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25.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33.xml"/>
  <Override ContentType="application/vnd.openxmlformats-officedocument.spreadsheetml.pivotTable+xml" PartName="/xl/pivotTables/pivotTable9.xml"/>
  <Override ContentType="application/vnd.openxmlformats-officedocument.spreadsheetml.pivotTable+xml" PartName="/xl/pivotTables/pivotTable24.xml"/>
  <Override ContentType="application/vnd.openxmlformats-officedocument.spreadsheetml.pivotTable+xml" PartName="/xl/pivotTables/pivotTable11.xml"/>
  <Override ContentType="application/vnd.openxmlformats-officedocument.spreadsheetml.pivotTable+xml" PartName="/xl/pivotTables/pivotTable26.xml"/>
  <Override ContentType="application/vnd.openxmlformats-officedocument.spreadsheetml.pivotTable+xml" PartName="/xl/pivotTables/pivotTable18.xml"/>
  <Override ContentType="application/vnd.openxmlformats-officedocument.spreadsheetml.pivotTable+xml" PartName="/xl/pivotTables/pivotTable3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27.xml"/>
  <Override ContentType="application/vnd.openxmlformats-officedocument.spreadsheetml.pivotTable+xml" PartName="/xl/pivotTables/pivotTable6.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31.xml"/>
  <Override ContentType="application/vnd.openxmlformats-officedocument.spreadsheetml.pivotTable+xml" PartName="/xl/pivotTables/pivotTable22.xml"/>
  <Override ContentType="application/vnd.openxmlformats-officedocument.spreadsheetml.pivotTable+xml" PartName="/xl/pivotTables/pivotTable28.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30.xml"/>
  <Override ContentType="application/vnd.openxmlformats-officedocument.spreadsheetml.pivotTable+xml" PartName="/xl/pivotTables/pivotTable2.xml"/>
  <Override ContentType="application/vnd.openxmlformats-officedocument.spreadsheetml.pivotTable+xml" PartName="/xl/pivotTables/pivotTable34.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29.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legios" sheetId="2" r:id="rId5"/>
    <sheet state="visible" name="PADD-R" sheetId="3" r:id="rId6"/>
    <sheet state="visible" name="CLASFICACIÓN" sheetId="4" r:id="rId7"/>
    <sheet state="visible" name="GLOBAL" sheetId="5" r:id="rId8"/>
    <sheet state="visible" name="LOS 3 AÑOS" sheetId="6" r:id="rId9"/>
    <sheet state="visible" name="2022,24" sheetId="7" r:id="rId10"/>
    <sheet state="visible" name="2023,24" sheetId="8" r:id="rId11"/>
    <sheet state="visible" name="SOLO 2024" sheetId="9" r:id="rId12"/>
    <sheet state="visible" name="Procesados" sheetId="10" r:id="rId13"/>
    <sheet state="visible" name="General" sheetId="11" r:id="rId14"/>
    <sheet state="visible" name="resumen x colegio" sheetId="12" r:id="rId15"/>
    <sheet state="visible" name="xRed" sheetId="13" r:id="rId16"/>
    <sheet state="visible" name="XGrado" sheetId="14" r:id="rId17"/>
    <sheet state="hidden" name="red-formula" sheetId="15" r:id="rId18"/>
    <sheet state="visible" name="filtro" sheetId="16" r:id="rId19"/>
    <sheet state="visible" name="Hoja 18" sheetId="17" r:id="rId20"/>
    <sheet state="hidden" name="Datos2-En proceso-2022" sheetId="18" r:id="rId21"/>
    <sheet state="hidden" name="2022-2023" sheetId="19" r:id="rId22"/>
    <sheet state="visible" name="muestra" sheetId="20" r:id="rId23"/>
    <sheet state="visible" name="nombres" sheetId="21" r:id="rId24"/>
    <sheet state="hidden" name="digitalData" sheetId="22" r:id="rId25"/>
    <sheet state="visible" name="claves" sheetId="23" r:id="rId26"/>
    <sheet state="visible" name="Red 44 Cuzco  Mate Com" sheetId="24" r:id="rId27"/>
  </sheets>
  <definedNames>
    <definedName hidden="1" localSheetId="18" name="_xlnm._FilterDatabase">'2022-2023'!$A$1:$BA$915</definedName>
  </definedNames>
  <calcPr/>
  <pivotCaches>
    <pivotCache cacheId="0" r:id="rId28"/>
    <pivotCache cacheId="1" r:id="rId29"/>
    <pivotCache cacheId="2" r:id="rId30"/>
    <pivotCache cacheId="3" r:id="rId31"/>
    <pivotCache cacheId="4" r:id="rId32"/>
    <pivotCache cacheId="5" r:id="rId33"/>
    <pivotCache cacheId="6" r:id="rId34"/>
  </pivotCaches>
</workbook>
</file>

<file path=xl/sharedStrings.xml><?xml version="1.0" encoding="utf-8"?>
<sst xmlns="http://schemas.openxmlformats.org/spreadsheetml/2006/main" count="111492" uniqueCount="2082">
  <si>
    <t>Estudiante</t>
  </si>
  <si>
    <t>Región</t>
  </si>
  <si>
    <t>Nivel</t>
  </si>
  <si>
    <t>Grado</t>
  </si>
  <si>
    <t>Institución Educativa</t>
  </si>
  <si>
    <t>Ambito</t>
  </si>
  <si>
    <t>Sexo</t>
  </si>
  <si>
    <t>R Matemática</t>
  </si>
  <si>
    <t>Año</t>
  </si>
  <si>
    <t>ANALISIS</t>
  </si>
  <si>
    <t>PADD-R</t>
  </si>
  <si>
    <t>ID. IE</t>
  </si>
  <si>
    <t>ID2</t>
  </si>
  <si>
    <t>47. Loreto</t>
  </si>
  <si>
    <t>Primaria</t>
  </si>
  <si>
    <t>2 Primaria</t>
  </si>
  <si>
    <t>Rural</t>
  </si>
  <si>
    <t>Femenino</t>
  </si>
  <si>
    <t>Inicio</t>
  </si>
  <si>
    <t>60136 MORALILLO</t>
  </si>
  <si>
    <t>4 Primaria</t>
  </si>
  <si>
    <t>Masculino</t>
  </si>
  <si>
    <t>6 Primaria</t>
  </si>
  <si>
    <t>60146 MORALILLO</t>
  </si>
  <si>
    <t>Proceso</t>
  </si>
  <si>
    <t>6010102 VILLA BUEN PASTOR</t>
  </si>
  <si>
    <t>601448 NUEVO MILAGRO</t>
  </si>
  <si>
    <t>Secundaria</t>
  </si>
  <si>
    <t>2 Secundaria</t>
  </si>
  <si>
    <t>EL MILAGRO</t>
  </si>
  <si>
    <t>4 Secundaria</t>
  </si>
  <si>
    <t>601614 NUEVA ESPERANZA</t>
  </si>
  <si>
    <t>Satisfactorio</t>
  </si>
  <si>
    <t>6010178 BELEN DE JUDA</t>
  </si>
  <si>
    <t>601514 EL DORADO</t>
  </si>
  <si>
    <t>601331 TRECE DE FEBRERO</t>
  </si>
  <si>
    <t>601391 PAUJIL II ZONA</t>
  </si>
  <si>
    <t>601570 ANGEL CARDENAS I</t>
  </si>
  <si>
    <t>601678 ANGEL CARDENAS II</t>
  </si>
  <si>
    <t>6010230 NUEVO HORIZONTE</t>
  </si>
  <si>
    <t>60181 SAN PEDRO DE PINTUYACU</t>
  </si>
  <si>
    <t>6010231 EX PETROLEROS I</t>
  </si>
  <si>
    <t>601511 10 DE OCTUBRE I</t>
  </si>
  <si>
    <t>601580 10 DE OCTUBRE II</t>
  </si>
  <si>
    <t>601444 TRIUNFO</t>
  </si>
  <si>
    <t>601571 HUAMBE</t>
  </si>
  <si>
    <t>601563 LA HABANA</t>
  </si>
  <si>
    <t>60133 CAHUIDE</t>
  </si>
  <si>
    <t>48. Piura</t>
  </si>
  <si>
    <t>14924 DANIEL ALCIDES CARRION</t>
  </si>
  <si>
    <t>20104</t>
  </si>
  <si>
    <t>14975</t>
  </si>
  <si>
    <t>15304</t>
  </si>
  <si>
    <t>SAGRADO CORAZON DE JESUS</t>
  </si>
  <si>
    <t>20123</t>
  </si>
  <si>
    <t>14144 SANTA ROSA</t>
  </si>
  <si>
    <t>15219</t>
  </si>
  <si>
    <t>14141</t>
  </si>
  <si>
    <t>15478</t>
  </si>
  <si>
    <t>15220</t>
  </si>
  <si>
    <t>14045</t>
  </si>
  <si>
    <t>14145 SANTA JULIA BILLIART</t>
  </si>
  <si>
    <t>14894</t>
  </si>
  <si>
    <t>15383</t>
  </si>
  <si>
    <t>54. Ancash</t>
  </si>
  <si>
    <t>Huarachuran</t>
  </si>
  <si>
    <t>Pichiu</t>
  </si>
  <si>
    <t>Carap</t>
  </si>
  <si>
    <t>Capan</t>
  </si>
  <si>
    <t>Huascar</t>
  </si>
  <si>
    <t>72. Ucayali</t>
  </si>
  <si>
    <t>64048 Nuevo Barranca</t>
  </si>
  <si>
    <t>64115 Nuevo Bagazán</t>
  </si>
  <si>
    <t>64508-B Santa Isabel</t>
  </si>
  <si>
    <t>64873-B Santa Elisa</t>
  </si>
  <si>
    <t>64545-B Puerto Consuelo</t>
  </si>
  <si>
    <t>64949 Isla Primavera</t>
  </si>
  <si>
    <t>64871-B Santa Martha</t>
  </si>
  <si>
    <t>64028 Mazaray</t>
  </si>
  <si>
    <t>64829 Villa Esther</t>
  </si>
  <si>
    <t>65199 Tres de Mayo</t>
  </si>
  <si>
    <t>64996 Libertad</t>
  </si>
  <si>
    <t>64641 Nueva Alianza</t>
  </si>
  <si>
    <t>64346 Miraflores</t>
  </si>
  <si>
    <t>79. Huancavelica</t>
  </si>
  <si>
    <t>Nuestra Sra Candelaria</t>
  </si>
  <si>
    <t>36173</t>
  </si>
  <si>
    <t>CORAS</t>
  </si>
  <si>
    <t>36207</t>
  </si>
  <si>
    <t>36789</t>
  </si>
  <si>
    <t>44. Cusco</t>
  </si>
  <si>
    <t>Papa Francisco I</t>
  </si>
  <si>
    <t>50492 CORAZON DE JESUS</t>
  </si>
  <si>
    <t>50495</t>
  </si>
  <si>
    <t>50547</t>
  </si>
  <si>
    <t>50550</t>
  </si>
  <si>
    <t>50552 TUPAC AMARU II</t>
  </si>
  <si>
    <t>50553</t>
  </si>
  <si>
    <t>50558</t>
  </si>
  <si>
    <t>50715</t>
  </si>
  <si>
    <t>50719 VIRGEN DEL CARMEN</t>
  </si>
  <si>
    <t>50765</t>
  </si>
  <si>
    <t>50696 YANACANCHA</t>
  </si>
  <si>
    <t>50854</t>
  </si>
  <si>
    <t>50977</t>
  </si>
  <si>
    <t>501344</t>
  </si>
  <si>
    <t>501432 PAPA FRANCISCO I</t>
  </si>
  <si>
    <t>501455 CRISTO REY TTIKARIY</t>
  </si>
  <si>
    <t>Nuestra Señora de la Candelaria</t>
  </si>
  <si>
    <t>Huanccallaco</t>
  </si>
  <si>
    <t>Santiago Antunez de Mayolo</t>
  </si>
  <si>
    <t>Sayri Tupac</t>
  </si>
  <si>
    <t>64155 Bagazan</t>
  </si>
  <si>
    <t>64872-B Santa Martha</t>
  </si>
  <si>
    <t>86809 Huarac-huarán</t>
  </si>
  <si>
    <t>88247 - Capan</t>
  </si>
  <si>
    <t>86548 - Pichiu</t>
  </si>
  <si>
    <t>14975 El Carbon</t>
  </si>
  <si>
    <t>15219 Tinajones</t>
  </si>
  <si>
    <t>15478 Cerro de Leones</t>
  </si>
  <si>
    <t>15383 Totoral Bajo</t>
  </si>
  <si>
    <t>14045 Miraflores Bajo</t>
  </si>
  <si>
    <t>20104 CP-8</t>
  </si>
  <si>
    <t>15304 Guaraguaos.B</t>
  </si>
  <si>
    <t>20123 Cruce de Vega</t>
  </si>
  <si>
    <t>14141 Pueblo Nuevo</t>
  </si>
  <si>
    <t>15220 Miraflores Alto</t>
  </si>
  <si>
    <t>14145 SJB</t>
  </si>
  <si>
    <t>SCJ PUEBLO LIBRE</t>
  </si>
  <si>
    <t>14924 DAC</t>
  </si>
  <si>
    <t>SantaRosa-Palominos</t>
  </si>
  <si>
    <t>601448</t>
  </si>
  <si>
    <t>601148</t>
  </si>
  <si>
    <t>601614</t>
  </si>
  <si>
    <t>El Milagro</t>
  </si>
  <si>
    <t>601514</t>
  </si>
  <si>
    <t>601331</t>
  </si>
  <si>
    <t>6010230</t>
  </si>
  <si>
    <t>60133</t>
  </si>
  <si>
    <t>Accocunca</t>
  </si>
  <si>
    <t>Andamayo</t>
  </si>
  <si>
    <t>Ccapana</t>
  </si>
  <si>
    <t>Cristo Rey</t>
  </si>
  <si>
    <t>Kumuncancha</t>
  </si>
  <si>
    <t>Llachi</t>
  </si>
  <si>
    <t>Marampaqui</t>
  </si>
  <si>
    <t>Ocongate</t>
  </si>
  <si>
    <t>Pampacancha</t>
  </si>
  <si>
    <t>Sallicancha</t>
  </si>
  <si>
    <t>Yanacancha</t>
  </si>
  <si>
    <t>IE Sagrado Corazón</t>
  </si>
  <si>
    <t>IE Santa Julia</t>
  </si>
  <si>
    <t>IE Santa Rosa</t>
  </si>
  <si>
    <t>IE Totoral Alto</t>
  </si>
  <si>
    <t>Captuy</t>
  </si>
  <si>
    <t>Huarac Huran</t>
  </si>
  <si>
    <t>Huáscar</t>
  </si>
  <si>
    <t>3 DE MAYO 65199</t>
  </si>
  <si>
    <t>64048 Barranca</t>
  </si>
  <si>
    <t>BAGAZAN 64115</t>
  </si>
  <si>
    <t>MAZARAY 64028</t>
  </si>
  <si>
    <t>MIRAFLORES 64346</t>
  </si>
  <si>
    <t>VILLA ESTHER 64836</t>
  </si>
  <si>
    <t>VILLA ESTHER 64837</t>
  </si>
  <si>
    <t>VILLA ESTHER 64838</t>
  </si>
  <si>
    <t>VILLA ESTHER 64839</t>
  </si>
  <si>
    <t>36161</t>
  </si>
  <si>
    <t>36166</t>
  </si>
  <si>
    <t>JORGE CHAVEZ</t>
  </si>
  <si>
    <t>Jorge Chavez</t>
  </si>
  <si>
    <t>Jorge Chávez</t>
  </si>
  <si>
    <t>JOSE CARLOS MARIATEGUI</t>
  </si>
  <si>
    <t>José Carlos Mariátegui</t>
  </si>
  <si>
    <t>RAMON CASTILLA MARQUESADO</t>
  </si>
  <si>
    <t>Ramón Castilla Marquezado</t>
  </si>
  <si>
    <t>1 Primaria</t>
  </si>
  <si>
    <t>VILLA ESTHER 64830</t>
  </si>
  <si>
    <t>Accocunca Nº 50547</t>
  </si>
  <si>
    <t>Andamayo Nº 50977</t>
  </si>
  <si>
    <t>Ccasapata Nº 501344</t>
  </si>
  <si>
    <t>Ccapana Nº 50495</t>
  </si>
  <si>
    <t>Ccoñamuro Nº 50536</t>
  </si>
  <si>
    <t>Cuyuni Nº 50912</t>
  </si>
  <si>
    <t>Huacatinco Nº 50552</t>
  </si>
  <si>
    <t>Huarahuara Nº 50535</t>
  </si>
  <si>
    <t>Lloqueta Nº 50976</t>
  </si>
  <si>
    <t>Llachi Nº 50715</t>
  </si>
  <si>
    <t>Kumuncancha N° 501432</t>
  </si>
  <si>
    <t>Marampaqui Nº 50553</t>
  </si>
  <si>
    <t>Ocongate – Corazón de Jesús</t>
  </si>
  <si>
    <t>Pacchanta Baja N° 501455</t>
  </si>
  <si>
    <t>Pampacancha Nº 50550</t>
  </si>
  <si>
    <t>Parccocalla N° 50558</t>
  </si>
  <si>
    <t>Sallicancha Nº 50765</t>
  </si>
  <si>
    <t>TINKE N° 50719</t>
  </si>
  <si>
    <t>Umuto N° 50504</t>
  </si>
  <si>
    <t>Yanacancha Nº 50796</t>
  </si>
  <si>
    <t>Patapallpa Alto Nº 50854</t>
  </si>
  <si>
    <t>Parcocalla Sec. Almirante Miguel Grau</t>
  </si>
  <si>
    <t>Ccoya Sec. Los Rittis del Alto Andino</t>
  </si>
  <si>
    <t>Kumuncancha Sec. 501432 Papa Francisco I</t>
  </si>
  <si>
    <t>5 Secundaria</t>
  </si>
  <si>
    <t>RER</t>
  </si>
  <si>
    <t>IIEE</t>
  </si>
  <si>
    <t>LÍNEA BASE 2022</t>
  </si>
  <si>
    <t>LÍNEA BASE 2023</t>
  </si>
  <si>
    <t>PADD 2023</t>
  </si>
  <si>
    <t>PADD 2024</t>
  </si>
  <si>
    <t>PADD</t>
  </si>
  <si>
    <t>ID IIEE</t>
  </si>
  <si>
    <t>CUSCO - 44</t>
  </si>
  <si>
    <t>501344 Ccasapata</t>
  </si>
  <si>
    <t>501455 Cristo Rey Ttikariy- Pacchanta Baja</t>
  </si>
  <si>
    <t>50492 "Corazón de Jesús" Ocongate</t>
  </si>
  <si>
    <t>50550 Pampacancha</t>
  </si>
  <si>
    <t>50552 Tupac Amaru II - Huacatinco</t>
  </si>
  <si>
    <t>50558 Parccocalla</t>
  </si>
  <si>
    <t>50719 Virgen del Carmen de Tinke</t>
  </si>
  <si>
    <t>50854 Patapallpa Alta</t>
  </si>
  <si>
    <t>50715 Llachi</t>
  </si>
  <si>
    <t>50765 Sallicancha</t>
  </si>
  <si>
    <t>50796 Yanacancha</t>
  </si>
  <si>
    <t xml:space="preserve">50495 Ccapana </t>
  </si>
  <si>
    <t>50536 Ccoñamuro</t>
  </si>
  <si>
    <t>50547 Accocunca</t>
  </si>
  <si>
    <t xml:space="preserve">50553 Marampaqui </t>
  </si>
  <si>
    <t>50912 Cuyuni</t>
  </si>
  <si>
    <t>50977 Andamayo</t>
  </si>
  <si>
    <t xml:space="preserve">501432 PAPA FRANCISCO I - Kumuncancha </t>
  </si>
  <si>
    <t>ALMIRANTE MIGUEL GRAU SEMINARIO</t>
  </si>
  <si>
    <t>IQUITOS - 47</t>
  </si>
  <si>
    <t>6010230 BARBARA D'ACHILLE</t>
  </si>
  <si>
    <t>60136</t>
  </si>
  <si>
    <t>60181</t>
  </si>
  <si>
    <t>601330</t>
  </si>
  <si>
    <t>601391</t>
  </si>
  <si>
    <t>601444</t>
  </si>
  <si>
    <t>601511</t>
  </si>
  <si>
    <t>601563</t>
  </si>
  <si>
    <t>601570</t>
  </si>
  <si>
    <t>601571</t>
  </si>
  <si>
    <t>601580</t>
  </si>
  <si>
    <t>601678</t>
  </si>
  <si>
    <t>6010102</t>
  </si>
  <si>
    <t>6010178</t>
  </si>
  <si>
    <t>6010231</t>
  </si>
  <si>
    <t>405</t>
  </si>
  <si>
    <t>536 MI CASITA DEL SABER</t>
  </si>
  <si>
    <t>604</t>
  </si>
  <si>
    <t>678</t>
  </si>
  <si>
    <t>811</t>
  </si>
  <si>
    <t>PIURA - 48</t>
  </si>
  <si>
    <t>IE 15374 Sagrado Corazón de Jesús - Pueblo libre</t>
  </si>
  <si>
    <t>IE 14145 Santa Julia Billiart</t>
  </si>
  <si>
    <t>IE 14144 Santa Rosa</t>
  </si>
  <si>
    <t>I.E.N° 14894 - TOTORAL ALTO</t>
  </si>
  <si>
    <t>14975  - EL CARBÓN</t>
  </si>
  <si>
    <t>15478 CERRO DE LEONES</t>
  </si>
  <si>
    <t>15383 TOTORAL BAJO</t>
  </si>
  <si>
    <t>20104 CP-8 "Esperanza de Mi Cautivo"</t>
  </si>
  <si>
    <t>15304 Guaraguaos B</t>
  </si>
  <si>
    <t>14141 PUEBLO NUEVO</t>
  </si>
  <si>
    <t>14924 - DANIEL ALCIDES CARRIÓN</t>
  </si>
  <si>
    <t>I.E. 910 LOS ZAPATAS</t>
  </si>
  <si>
    <t>I.E. N° 058 - PUEBLO LIBRE</t>
  </si>
  <si>
    <t>I.E. N° 1419 - CRUCE DE VEGA</t>
  </si>
  <si>
    <t>I.E. N° 1559 - MANCO CÁPAC</t>
  </si>
  <si>
    <t>I.E. N° 489 - JOSÉ MARÍA VELAZ - GUARAGUAOS BAJO</t>
  </si>
  <si>
    <t>I.E. N° 732 VIRGEN DE MONSERRAT - PALOMINOS</t>
  </si>
  <si>
    <t>I.E. N°1341 - CP-8</t>
  </si>
  <si>
    <t>I.E.N° 469 - TEJEDORES BAJO</t>
  </si>
  <si>
    <t>I.E.N° 909 - BELLO HORIZONTE</t>
  </si>
  <si>
    <t>I.E.N°1558 - MONTEVERDE ALTO</t>
  </si>
  <si>
    <t>ANCASH - 54</t>
  </si>
  <si>
    <t>692 - Cajay</t>
  </si>
  <si>
    <t>86548 "José María Velaz" Pichiu</t>
  </si>
  <si>
    <t>86769 "Abraham Valdelomar" Huáscar</t>
  </si>
  <si>
    <t>87009-01 Huanchuy</t>
  </si>
  <si>
    <t>88247 San Enrique de Capan</t>
  </si>
  <si>
    <t>88327 Carap</t>
  </si>
  <si>
    <t>86809 Huarac- huarán</t>
  </si>
  <si>
    <t>UCAYALI - 72</t>
  </si>
  <si>
    <t>64048 Nueva Barranca</t>
  </si>
  <si>
    <t>64508-B Santa Isabel de Bahuanisho</t>
  </si>
  <si>
    <t>65199 3 de Mayo</t>
  </si>
  <si>
    <t>525-B Santa Elisa</t>
  </si>
  <si>
    <t>555-B Santa Martha</t>
  </si>
  <si>
    <t>564 Nueva Barranca</t>
  </si>
  <si>
    <t>566 Isla Primavera</t>
  </si>
  <si>
    <t>333-B Santa Isabel de Bahuanisho</t>
  </si>
  <si>
    <t>294 Mazaray</t>
  </si>
  <si>
    <t>64115 Nuevo Bagazan</t>
  </si>
  <si>
    <t>HUANCAVELICA - 79</t>
  </si>
  <si>
    <t>846 Huanccallaco</t>
  </si>
  <si>
    <t>130</t>
  </si>
  <si>
    <t>156</t>
  </si>
  <si>
    <t>843</t>
  </si>
  <si>
    <t>36167</t>
  </si>
  <si>
    <t>36831</t>
  </si>
  <si>
    <t>Coras</t>
  </si>
  <si>
    <t>Marcas</t>
  </si>
  <si>
    <t>592</t>
  </si>
  <si>
    <t>36163</t>
  </si>
  <si>
    <t>36153</t>
  </si>
  <si>
    <t>RAMON CASTILLA MARQUEZADO</t>
  </si>
  <si>
    <t>TOTAL</t>
  </si>
  <si>
    <t>TOTALES - LÍNEA BASE POR CURSO</t>
  </si>
  <si>
    <t>COUNTA de R Matemática</t>
  </si>
  <si>
    <t>AS</t>
  </si>
  <si>
    <t>A1</t>
  </si>
  <si>
    <t>B</t>
  </si>
  <si>
    <t>CLASIFICACION</t>
  </si>
  <si>
    <t>ID</t>
  </si>
  <si>
    <t>1457365 LOS RIT'S DEL ALTO ANDINO</t>
  </si>
  <si>
    <t>36161 SAN VICENTE DE PAUL</t>
  </si>
  <si>
    <t>36163 JAVIER HERAUD PEREZ</t>
  </si>
  <si>
    <t>36166 HEROES 29 DE AGOSTO</t>
  </si>
  <si>
    <t>36789 NUESTRA SEÑORA DEL CARMEN</t>
  </si>
  <si>
    <t>50504</t>
  </si>
  <si>
    <t>50535</t>
  </si>
  <si>
    <t>50536</t>
  </si>
  <si>
    <t>50796</t>
  </si>
  <si>
    <t>50912</t>
  </si>
  <si>
    <t>50976</t>
  </si>
  <si>
    <t>64028</t>
  </si>
  <si>
    <t>64048</t>
  </si>
  <si>
    <t>64115</t>
  </si>
  <si>
    <t>64155</t>
  </si>
  <si>
    <t>64346</t>
  </si>
  <si>
    <t>64508-B</t>
  </si>
  <si>
    <t>64545-B</t>
  </si>
  <si>
    <t>64641</t>
  </si>
  <si>
    <t>64829</t>
  </si>
  <si>
    <t>64871-B</t>
  </si>
  <si>
    <t>64873-B</t>
  </si>
  <si>
    <t>64949</t>
  </si>
  <si>
    <t>64996</t>
  </si>
  <si>
    <t>65199</t>
  </si>
  <si>
    <t>86548 JOSE MARIA VELAZ</t>
  </si>
  <si>
    <t>86769 ABRAHAM VALDELOMAR</t>
  </si>
  <si>
    <t>86809</t>
  </si>
  <si>
    <t>88225 CAPTUY</t>
  </si>
  <si>
    <t>88247 SAN ENRIQUE</t>
  </si>
  <si>
    <t>88327</t>
  </si>
  <si>
    <t>NUESTRA SEÑORA DE LA CANDELARIA</t>
  </si>
  <si>
    <t>SANTIAGO ANTUNEZ DE MAYOLO</t>
  </si>
  <si>
    <t>SAYRI TUPAC</t>
  </si>
  <si>
    <t>RESULTADO GENERAL 5 RER</t>
  </si>
  <si>
    <t>RESULTADO GENERAL RER CUSCO</t>
  </si>
  <si>
    <t>Columnas</t>
  </si>
  <si>
    <t>Filas</t>
  </si>
  <si>
    <t>Valores</t>
  </si>
  <si>
    <t>IE</t>
  </si>
  <si>
    <t>GRADO</t>
  </si>
  <si>
    <t>Total 44. Cusco</t>
  </si>
  <si>
    <t>Total 47. Loreto</t>
  </si>
  <si>
    <t>Total 48. Piura</t>
  </si>
  <si>
    <t>Total 54. Ancash</t>
  </si>
  <si>
    <t>Total 72. Ucayali</t>
  </si>
  <si>
    <t>Total 79. Huancavelica</t>
  </si>
  <si>
    <t>Explicación</t>
  </si>
  <si>
    <t>Suma total</t>
  </si>
  <si>
    <t>Matemática</t>
  </si>
  <si>
    <t>FILTRO</t>
  </si>
  <si>
    <t>Nivel educativo</t>
  </si>
  <si>
    <t>*</t>
  </si>
  <si>
    <t>Red</t>
  </si>
  <si>
    <t>NIVEL DE LOGRO GENERAL COMPARADO</t>
  </si>
  <si>
    <t>Nivel de logro</t>
  </si>
  <si>
    <t>PROFESIONAL EMPODERADO</t>
  </si>
  <si>
    <t>#</t>
  </si>
  <si>
    <t>%</t>
  </si>
  <si>
    <t>Total Primaria</t>
  </si>
  <si>
    <t>Total Secundaria</t>
  </si>
  <si>
    <t>Incluir?</t>
  </si>
  <si>
    <t>RER Fe y Alegría 44 - Cusco</t>
  </si>
  <si>
    <t>Nivel básico</t>
  </si>
  <si>
    <t>En proceso</t>
  </si>
  <si>
    <t>Logro esperado</t>
  </si>
  <si>
    <t>Logro destacado</t>
  </si>
  <si>
    <t>Aprendices: Los docentes mejoran continuamente sus prácticas, aprendiendo de y con otros, y exploran prácticas probadas y prometedoras que aprovechan la tecnología digital para mejorar el aprendizaje de sus estudiantes.</t>
  </si>
  <si>
    <t>Líderes: Los docentes apoyan y empoderan a sus estudiantes para mejorar los procesos de enseñanza y aprendizaje.</t>
  </si>
  <si>
    <t>Ciudadanos digitales: Los docentes inspiran a sus estudiantes a contribuir positivamente y a participar responsablemente en el mundo digital.</t>
  </si>
  <si>
    <t>CATALIZADOR DEL APRENDIZAJE</t>
  </si>
  <si>
    <t>Colaboradores: Los docentes dedican tiempo a colaborar con colegas y estudiantes para mejorar sus prácticas, descubrir y compartir recursos e ideas y resolver problemas.</t>
  </si>
  <si>
    <t xml:space="preserve">Diseñadores: Los docentes diseñan actividades, y entornos de aprendizaje auténticos, que reconocen y consideran la diversidad de sus estudiantes.
</t>
  </si>
  <si>
    <t>Facilitadores: Los docentes facilitan el aprendizaje empleando la tecnología digital para apoyar el logro académico de sus estudiantes mediante la puesta en práctica de sus competencias digitales.</t>
  </si>
  <si>
    <t xml:space="preserve">Analistas: Los docentes comprenden y utilizan datos para mejorar la enseñanza, y apoyar a sus estudiantes en el logro de sus objetivos de aprendizaje.
</t>
  </si>
  <si>
    <t>Año  |</t>
  </si>
  <si>
    <t>TODOS LOS ENCUESTADOS</t>
  </si>
  <si>
    <t>MUESTRA</t>
  </si>
  <si>
    <t>BASE DE DATOS</t>
  </si>
  <si>
    <t>AVANCE</t>
  </si>
  <si>
    <t>COMPONENTE *</t>
  </si>
  <si>
    <t>MATEMÁTICA Y COMUNICACIÓN</t>
  </si>
  <si>
    <t>Sujeto encuestado *</t>
  </si>
  <si>
    <t>ESTUDIANTES</t>
  </si>
  <si>
    <t>BD</t>
  </si>
  <si>
    <t>DOCENTES</t>
  </si>
  <si>
    <t>Comparar Entre Niveles</t>
  </si>
  <si>
    <t>Comparar entre Red</t>
  </si>
  <si>
    <t>NIVEL</t>
  </si>
  <si>
    <t>Muestra</t>
  </si>
  <si>
    <t>RED</t>
  </si>
  <si>
    <t>INICIAL - JARDÍN</t>
  </si>
  <si>
    <t>RER FA 44</t>
  </si>
  <si>
    <t>PRIMARIA</t>
  </si>
  <si>
    <t>RER FA 47</t>
  </si>
  <si>
    <t>SECUNDARIA</t>
  </si>
  <si>
    <t>RER FA 48</t>
  </si>
  <si>
    <t>RER FA 54</t>
  </si>
  <si>
    <t>RER FA 72</t>
  </si>
  <si>
    <t>RER FA 79</t>
  </si>
  <si>
    <t>Total</t>
  </si>
  <si>
    <t>Grado / Sección</t>
  </si>
  <si>
    <t>H</t>
  </si>
  <si>
    <t>M</t>
  </si>
  <si>
    <t>1°</t>
  </si>
  <si>
    <t>2°</t>
  </si>
  <si>
    <t>3°</t>
  </si>
  <si>
    <t>4°</t>
  </si>
  <si>
    <t>5°</t>
  </si>
  <si>
    <t>6°</t>
  </si>
  <si>
    <t>SUM de Muestra</t>
  </si>
  <si>
    <t>Total PRIMARIA</t>
  </si>
  <si>
    <t>Total SECUNDARIA</t>
  </si>
  <si>
    <t>Marca temporal</t>
  </si>
  <si>
    <t>Nombre de la IIEE</t>
  </si>
  <si>
    <t>Nombres y apellidos</t>
  </si>
  <si>
    <t>Edad</t>
  </si>
  <si>
    <t>¿Cuentas con internet en casa?</t>
  </si>
  <si>
    <t>¿Con qué tipo de dispositivo te conectas a Internet desde casa?</t>
  </si>
  <si>
    <t>Tu Institución Educativa cuenta con Aulas de Innovación</t>
  </si>
  <si>
    <t>¿Cada cuánto tiempo ingresas al aula de Innovación?</t>
  </si>
  <si>
    <t>¿Cada cuánto tiempo haces uso de dispositivos (Chromebook) en aula?</t>
  </si>
  <si>
    <t>¿Estudias computación e informática como opción técnica?</t>
  </si>
  <si>
    <t>Temáticas aprendidas en computación e informática</t>
  </si>
  <si>
    <t>COMPETENCIAS DIGITALES</t>
  </si>
  <si>
    <t>Utiliza la tecnología para sus objetivos de aprendizaje</t>
  </si>
  <si>
    <t>1. Busco en Internet textos e imágenes para usarlos en mis trabajos</t>
  </si>
  <si>
    <t>2.   Guardo mis trabajos luego de crearlos en mi computadora, tablet o celular, organizándolos en carpetas.</t>
  </si>
  <si>
    <t>Comunica con creatividad</t>
  </si>
  <si>
    <t>3. Utilizo PowerPoint, Google Slides, Canva, Genially, Prezi y otros para crear
presentaciones creativas para exposiciones.</t>
  </si>
  <si>
    <t>4. Grabo audios y videos con la computadora, tablet o celular para hacer tareas.</t>
  </si>
  <si>
    <t>Trabaja colaborativamente</t>
  </si>
  <si>
    <t>5. Creo documentos colaborativos para hacer tareas junto con mi compañeros de clase, estando conectados a la vez.</t>
  </si>
  <si>
    <t>6. Puedo enviar correos electrónicos a otras personas adjuntando archivos de mi computadora, tablet o celular.</t>
  </si>
  <si>
    <t>Construye conocimiento</t>
  </si>
  <si>
    <t>7. Puedo reconocer cuándo la información que busco en Internet es confiable.</t>
  </si>
  <si>
    <t>8. Creo mapas mentales y mapas conceptuales utilizando herramientas digitales como PowerPoint, Google Slides o cualquier otra herramienta en mi computadora, tablet o celular.</t>
  </si>
  <si>
    <t>PENSAMIENTO COMPUTACIONAL</t>
  </si>
  <si>
    <t>Analiza problemas aplicando principios computacionales</t>
  </si>
  <si>
    <t>9. Cuando veo un problema grande puedo dividirlo en partes para solucionarlo por pequeños problemas.</t>
  </si>
  <si>
    <t>10. Puedo darme cuenta aquellas partes que se repiten en un problema.</t>
  </si>
  <si>
    <t>Implementa soluciones algorítmicas</t>
  </si>
  <si>
    <t>11. Aplico algoritmos para solucionar problemas paso a paso.</t>
  </si>
  <si>
    <t>12. Creo mis propios programas con lenguajes de programación como Scratch.</t>
  </si>
  <si>
    <t>Representa datos</t>
  </si>
  <si>
    <t>13. Puedo organizar datos en hojas de cálculo.</t>
  </si>
  <si>
    <t>14. Sé crear gráficos estadísticos en computadora para ver resultados de encuestas.</t>
  </si>
  <si>
    <t>Construye modelos y artefactos tecnológicos</t>
  </si>
  <si>
    <t>15. Sé cómo funciona un robot y sé cómo programarlo para que realice acciones.</t>
  </si>
  <si>
    <t>16. Se usar placas como Makey Makey o Microbit para programar artefactos</t>
  </si>
  <si>
    <t>CIUDADANÍA DIGITAL</t>
  </si>
  <si>
    <t xml:space="preserve">Cuida su identidad digital </t>
  </si>
  <si>
    <t>17. Reconozco que no debo dar información personal ni detalles de mi vida en los chat de los videojuegos en línea que participo.</t>
  </si>
  <si>
    <t>18. Puedo reconocer espacios seguros y confiables en Internet.</t>
  </si>
  <si>
    <t>Mantiene un comportamiento adecuado en espacios en línea</t>
  </si>
  <si>
    <t>19. Suelo ser respetuoso cuando me comunico por correo y chats con otras personas.</t>
  </si>
  <si>
    <t>20. Cuando alguien hace comentarios irrespetuosos en un chat soy capaz de corregirlo y avisar al profesor(a).</t>
  </si>
  <si>
    <t>Respeta la propiedad intelectual</t>
  </si>
  <si>
    <t>21. Cuando busco información para mis tareas cito adecuadamente la fuente de donde extraigo la información.</t>
  </si>
  <si>
    <t>22.  Puedo reconocer imágenes que puedo usar y las que tienen derecho de autor.</t>
  </si>
  <si>
    <t>Cuida sus datos personales</t>
  </si>
  <si>
    <t>23. Recuerdo cuál es mi contraseña de correo para acceder a mi clase y la mantengo segura.</t>
  </si>
  <si>
    <t>24. Soy consciente que no debo compartir en línea mi dirección, mis apellidos, el nombre de mis padres, con quienes vivo ni mis contraseñas.</t>
  </si>
  <si>
    <t>6to Primaria</t>
  </si>
  <si>
    <t>6</t>
  </si>
  <si>
    <t>Eva Choque Puma Quispe</t>
  </si>
  <si>
    <t>Sí</t>
  </si>
  <si>
    <t>Laptop</t>
  </si>
  <si>
    <t>No uso el aula de innovación</t>
  </si>
  <si>
    <t>Nick Snayder Mamani Pereyra</t>
  </si>
  <si>
    <t>Una vez por semana</t>
  </si>
  <si>
    <t>Quispe Yucra Ana Ruth</t>
  </si>
  <si>
    <t>Condori Chillihuani Rossi</t>
  </si>
  <si>
    <t>RER Fe y Alegría 47 - Iquitos</t>
  </si>
  <si>
    <t>WHINEY ITSIA CEBAS SANDI</t>
  </si>
  <si>
    <t xml:space="preserve">Flora Quispe Melo </t>
  </si>
  <si>
    <t>Laptop, Tablet, Smartphone</t>
  </si>
  <si>
    <t>Más de una vez a la semana</t>
  </si>
  <si>
    <t>Ruth Analia Quenaya Quispe</t>
  </si>
  <si>
    <t>PC, Tablet, Smartphone</t>
  </si>
  <si>
    <t>LEYSI PEREYRA CHARLES</t>
  </si>
  <si>
    <t>PC</t>
  </si>
  <si>
    <t>Una vez al mes</t>
  </si>
  <si>
    <t>Willber Ccoriccasa Laura</t>
  </si>
  <si>
    <t>No</t>
  </si>
  <si>
    <t>Sin dispositivo para Internet</t>
  </si>
  <si>
    <t>Frank Melo Inquillay</t>
  </si>
  <si>
    <t>Una vez a la quincena</t>
  </si>
  <si>
    <t>Yucra Quispe Elma Sonali</t>
  </si>
  <si>
    <t>Condori Mamani Kevin Josue</t>
  </si>
  <si>
    <t>Sebastian Alessandro Alarcón Espinoza</t>
  </si>
  <si>
    <t>RER Fe y Alegría 48 - Malingas</t>
  </si>
  <si>
    <t>Paico Montero Jhuset Allit</t>
  </si>
  <si>
    <t>RER Fe y Alegría 54 - Moro</t>
  </si>
  <si>
    <t>Miguel Gabino Rosas</t>
  </si>
  <si>
    <t>Sin dispositivo para conectarse a Internet</t>
  </si>
  <si>
    <t>-</t>
  </si>
  <si>
    <t>HUAMAN RODRIGUEZ, Aron Alin</t>
  </si>
  <si>
    <t>MILLA HUAMAN, Cesar Jherson</t>
  </si>
  <si>
    <t>BARAHONA PALMADERA Yesenia Iris</t>
  </si>
  <si>
    <t>CHACHAS MILLA, Hernan Gustavo</t>
  </si>
  <si>
    <t>CUTAMANCA GRANADOS, Lizeth Yeni</t>
  </si>
  <si>
    <t>MILLA GUERRERO, Jerson Teves</t>
  </si>
  <si>
    <t>MILLA HERRERA, Jerson Jhon</t>
  </si>
  <si>
    <t>MILLA PACHECO Ramiro Ordoño</t>
  </si>
  <si>
    <t>MILLA ROSAS, Meliquia Nolberta</t>
  </si>
  <si>
    <t>RER Fe y Alegría 72 - Pucallpa</t>
  </si>
  <si>
    <t>Juber Fababa Murayari</t>
  </si>
  <si>
    <t>Ender Manuel Fasanando Pacaya</t>
  </si>
  <si>
    <t>Jhey Pitter Saboya Monteluis</t>
  </si>
  <si>
    <t>Ruben Dario Davila</t>
  </si>
  <si>
    <t xml:space="preserve">Rouss Akemy Chung Arirama </t>
  </si>
  <si>
    <t>RER Fe y Alegría 79 - Acobamba</t>
  </si>
  <si>
    <t xml:space="preserve">Jheyson Raul QUISPE ANCALLE </t>
  </si>
  <si>
    <t>HUERTA SANDONAZ, Sonia Elizabeth</t>
  </si>
  <si>
    <t>MILLA FRUCTUOSO, Erick Yeisoni</t>
  </si>
  <si>
    <t>MILLA HUALLPAHUAQUE, Richard Hector</t>
  </si>
  <si>
    <t>MILLA ROSAS, Ceraclina Lizeth</t>
  </si>
  <si>
    <t>Yeritza Puma Laura</t>
  </si>
  <si>
    <t>Smartphone</t>
  </si>
  <si>
    <t>Samira</t>
  </si>
  <si>
    <t>Flor de Maria Huaraya Cruz</t>
  </si>
  <si>
    <t>Wilson Tony</t>
  </si>
  <si>
    <t>Huanca Huaman Joselin Anais</t>
  </si>
  <si>
    <t>Paccsi Merma Veronica</t>
  </si>
  <si>
    <t>NAOMI LINSAY ARMAS PACAYA</t>
  </si>
  <si>
    <t>Sara Zeta Heladito Jeampool</t>
  </si>
  <si>
    <t>Rufino Elizalde Dayron Gabriel</t>
  </si>
  <si>
    <t>Márquez Juarez Camila Nicol</t>
  </si>
  <si>
    <t>Yovera García Karen Adriana</t>
  </si>
  <si>
    <t>Giovanni Franco Rosales Melgarejo</t>
  </si>
  <si>
    <t>Rodrigo Cruz Sayhua</t>
  </si>
  <si>
    <t>Tablet</t>
  </si>
  <si>
    <t>Jhon Anderson Quispe Quispe</t>
  </si>
  <si>
    <t>LIZANDRO ALFREDO TANGOA FABABA</t>
  </si>
  <si>
    <t>Tiempo</t>
  </si>
  <si>
    <t>¿Con qué tipo de dispositivo te conectas a Internet desde casa?_</t>
  </si>
  <si>
    <t xml:space="preserve">Utiliza la tecnología para sus objetivos de aprendizaje
</t>
  </si>
  <si>
    <t xml:space="preserve">Trabaja colaborativamente
</t>
  </si>
  <si>
    <t xml:space="preserve">Construye conocimiento
</t>
  </si>
  <si>
    <t xml:space="preserve">Implementa soluciones algorítmicas
</t>
  </si>
  <si>
    <t xml:space="preserve">Construye modelos y artefactos tecnológicos
</t>
  </si>
  <si>
    <t xml:space="preserve">Cuida su identidad digital 
</t>
  </si>
  <si>
    <t xml:space="preserve">Mantiene un comportamiento adecuado en espacios en línea
</t>
  </si>
  <si>
    <t xml:space="preserve">Respeta la propiedad intelectual
</t>
  </si>
  <si>
    <t xml:space="preserve">Cuida sus datos personales
</t>
  </si>
  <si>
    <t>Resultados Ex post</t>
  </si>
  <si>
    <t>REYNER BRAD AGUILAR QUISPE</t>
  </si>
  <si>
    <t>No uso los dispositivos en aula</t>
  </si>
  <si>
    <t>Marizabel Yandy Linares Qquenta</t>
  </si>
  <si>
    <t>Robiño Quispe Cruz</t>
  </si>
  <si>
    <t>CARLOS DANIEL HUAMAN LIPE</t>
  </si>
  <si>
    <t>Andrew Shamir Pinto Cruz</t>
  </si>
  <si>
    <t>Lucila Yupanqui Quispe</t>
  </si>
  <si>
    <t>Linea base</t>
  </si>
  <si>
    <t>Milagros Huaman Apaza</t>
  </si>
  <si>
    <t>Chaucca Ovalle Ricardo Felipe</t>
  </si>
  <si>
    <t>IKER ANDREY ARMAS LACHUMA</t>
  </si>
  <si>
    <t>WELLIJER ANTONIO NAVARRO MICASA</t>
  </si>
  <si>
    <t>ROY KEVIN MANIHUARI GARCIA</t>
  </si>
  <si>
    <t>ALEX SAID FABABA ASPAJO</t>
  </si>
  <si>
    <t>JOSE DANIEL MANANITA GARCIA</t>
  </si>
  <si>
    <t>MOISES MANUYAMA MASHACURI</t>
  </si>
  <si>
    <t>JUAN PEPE RIOS MUÑOZ</t>
  </si>
  <si>
    <t>4to Secundaria</t>
  </si>
  <si>
    <t>ADRIANA V. PEÑA MUÑOZ</t>
  </si>
  <si>
    <t>Claudio huayta chavez</t>
  </si>
  <si>
    <t>Herramientas de Diseño Web</t>
  </si>
  <si>
    <t xml:space="preserve">Ricky </t>
  </si>
  <si>
    <t>Pulache Nima Yuri Berena</t>
  </si>
  <si>
    <t xml:space="preserve"> David César Chachas Milla</t>
  </si>
  <si>
    <t xml:space="preserve"> Daniel Luis Andrés Garbozo Cribillero</t>
  </si>
  <si>
    <t>Andy Damian</t>
  </si>
  <si>
    <t>Sin aula de innovación</t>
  </si>
  <si>
    <t>Delia rosa Meza Corpuma</t>
  </si>
  <si>
    <t>Laptop, Smartphone</t>
  </si>
  <si>
    <t>Más de un dispositivo</t>
  </si>
  <si>
    <t>Inacio Nilmer Ccasani Huisa</t>
  </si>
  <si>
    <t>Roni Wilfredo Condori Meza</t>
  </si>
  <si>
    <t>Tablet, Smartphone</t>
  </si>
  <si>
    <t>Anyela Gricel Zolarzana Quispe</t>
  </si>
  <si>
    <t>PC, Laptop, Smartphone</t>
  </si>
  <si>
    <t>Nicole Estefani Diaz Champi</t>
  </si>
  <si>
    <t>Nelma Meza Quispe</t>
  </si>
  <si>
    <t>Ruth Cintya Quispe Roca</t>
  </si>
  <si>
    <t xml:space="preserve">Frida Mamani Melo </t>
  </si>
  <si>
    <t>Luz Garda Quijhua Mayo</t>
  </si>
  <si>
    <t>Pamela Flores Meza</t>
  </si>
  <si>
    <t>Robert Ball Mendoza Mamani</t>
  </si>
  <si>
    <t>Snaider Cruz Merma</t>
  </si>
  <si>
    <t>Alan Rai Puma Quiñones</t>
  </si>
  <si>
    <t>PC, Smartphone</t>
  </si>
  <si>
    <t>Iker Taewa Mamamani Mandura</t>
  </si>
  <si>
    <t>Nayda Yoliza Cruz Huillca</t>
  </si>
  <si>
    <t>JAROL GARCIA SAJAMI</t>
  </si>
  <si>
    <t>PC, Laptop, Tablet, Smartphone</t>
  </si>
  <si>
    <t>ANDREA LILIANA SANDOVAL SHAPIAMA</t>
  </si>
  <si>
    <t>Herramientas de Ofimática de Microsoft, Herramientas de Ofimática de Google</t>
  </si>
  <si>
    <t>ALEXANDER GARCIA SAJAMI</t>
  </si>
  <si>
    <t>No estudia computación e Informática</t>
  </si>
  <si>
    <t>Aguilar Jara Fatima Yasmin</t>
  </si>
  <si>
    <t>Garcia Rufino Juan Josue</t>
  </si>
  <si>
    <t>Ramirez Gomez Keymy</t>
  </si>
  <si>
    <t xml:space="preserve">Juarez Yarleque Luis Mario </t>
  </si>
  <si>
    <t>Valdiviezo Pacherres Anderson Neymar</t>
  </si>
  <si>
    <t xml:space="preserve">Bereche Arrunategui Fabio Alessandro </t>
  </si>
  <si>
    <t>Crisanto Cordova Xiomara Kassandra</t>
  </si>
  <si>
    <t xml:space="preserve">Rivas Carnero Luis Alejandro </t>
  </si>
  <si>
    <t>MARC ANTHONY  MENDOZA CHAVEZ</t>
  </si>
  <si>
    <t xml:space="preserve">PAUL QUISPE CAPCHA </t>
  </si>
  <si>
    <t>PC, Laptop</t>
  </si>
  <si>
    <t>ANEL ANDREA  AGUILAR MONGE</t>
  </si>
  <si>
    <t>Una  vez al mes</t>
  </si>
  <si>
    <t>TOMAS FERNANDEZ TORRES</t>
  </si>
  <si>
    <t>Herramientas de Ofimática de Google, Herramientas de Diseño Gráfico</t>
  </si>
  <si>
    <t>María Fernanda PALOMINO OROZ</t>
  </si>
  <si>
    <t>Ensamblaje de computoras</t>
  </si>
  <si>
    <t>YESSICA HUAMAN PPACSI</t>
  </si>
  <si>
    <t>Alison Almendra Hachacca Pichuta</t>
  </si>
  <si>
    <t>Yimmy Robert Ulloa Paucart</t>
  </si>
  <si>
    <t>GONZALO AMACIFUEN RUIZ</t>
  </si>
  <si>
    <t>LIZ YUMBATO SANDY</t>
  </si>
  <si>
    <t>MARIA KAREN TAPUY SUCUMBIO</t>
  </si>
  <si>
    <t>ANGELO MARINO CAMPOS PINEDO</t>
  </si>
  <si>
    <t>JEAN NAIBER ALVAREZ YURIMACHI</t>
  </si>
  <si>
    <t>Sin aula de Innovación</t>
  </si>
  <si>
    <t>Juarez Alama Jose Ismael</t>
  </si>
  <si>
    <t>Zeta Carrasco José Alejandro</t>
  </si>
  <si>
    <t>Sandra Luisa Gonzales Angeles</t>
  </si>
  <si>
    <t xml:space="preserve">CLIVER PEREZ ESCOBAR </t>
  </si>
  <si>
    <t>Herramientas de Ofimática de Microsoft</t>
  </si>
  <si>
    <t>ALEX YORDAN QUISPE YANA</t>
  </si>
  <si>
    <t>Clever Yucra Chillihuani</t>
  </si>
  <si>
    <t>JHON JAVIER TURPO TURPO</t>
  </si>
  <si>
    <t>Giuseppe Adriano Coma Condori</t>
  </si>
  <si>
    <t>ANA MILUSKA RAMOS LAYME</t>
  </si>
  <si>
    <t>Jhon Dilbert Mendoza Condori</t>
  </si>
  <si>
    <t>JUAN CARLOS MERMA HUILLCA</t>
  </si>
  <si>
    <t>MADELY DILANIA CCOLQUE YANA</t>
  </si>
  <si>
    <t>En blanco</t>
  </si>
  <si>
    <t>Jhoel Demilson Ochoa Mandura</t>
  </si>
  <si>
    <t>JOAN PHOCCO YUCRA</t>
  </si>
  <si>
    <t>JUAN FERNANDO CONDORI ILLA</t>
  </si>
  <si>
    <t>Israel Sanches Andrade</t>
  </si>
  <si>
    <t>Analy Brigit Condori Ttito</t>
  </si>
  <si>
    <t>MARILUZ SINDIA CONDORI MAMANI</t>
  </si>
  <si>
    <t>Evelin Grisel Quispe Puma</t>
  </si>
  <si>
    <t>JIMENA CHALLCO FUENTES</t>
  </si>
  <si>
    <t>Angela Ariane Mamani Condori</t>
  </si>
  <si>
    <t>Frank Ulises Huillca Aguilar</t>
  </si>
  <si>
    <t>James</t>
  </si>
  <si>
    <t>JULIO CESAR CONDORI CHOQUE</t>
  </si>
  <si>
    <t>Parwa Alyson Paravecino Ulloa</t>
  </si>
  <si>
    <t>Rudy Paucar Quispe</t>
  </si>
  <si>
    <t>ALFREDO MERMA CRUZ</t>
  </si>
  <si>
    <t>RIUTH MELANI CHILLIHUANI CONDORI</t>
  </si>
  <si>
    <t>Alexandra Yamile Antonela Berricos Condori</t>
  </si>
  <si>
    <t>Brayan Edi Garcia Palomino</t>
  </si>
  <si>
    <t>Fredy Lukaña Palomino</t>
  </si>
  <si>
    <t>DIGNA AYDEE MERMA QUISPE</t>
  </si>
  <si>
    <t>Italo Aparicio Cano</t>
  </si>
  <si>
    <t>CRISTIAN REYNALDO LAYME QUISPE</t>
  </si>
  <si>
    <t>Diana Iris Huillca Aguilar</t>
  </si>
  <si>
    <t>DINA JARA CONDORI</t>
  </si>
  <si>
    <t>Alcidez Fueton Chatón</t>
  </si>
  <si>
    <t>ARNOL MERMA LAYME</t>
  </si>
  <si>
    <t>CRISTIAN RONALDO LAYME CHILLIHUANI</t>
  </si>
  <si>
    <t>GLORIA LAYME CHOQUE</t>
  </si>
  <si>
    <t>RODRIGO LAYME CHILLIHUANI</t>
  </si>
  <si>
    <t>GIAN PAUL NAYHUA QUISPE</t>
  </si>
  <si>
    <t>JOEL HUISA HUALLPA</t>
  </si>
  <si>
    <t>FLOR ADELY CUTIRE QUISPE</t>
  </si>
  <si>
    <t>ZULMA MARITCA CCOLQUE MACHACA</t>
  </si>
  <si>
    <t>Malú Karen Quispe</t>
  </si>
  <si>
    <t>Luznay Sonaly Mamani Machacca</t>
  </si>
  <si>
    <t xml:space="preserve">LUZGARDA CUCHUYRUMI QUISPE </t>
  </si>
  <si>
    <t>Roy Alvaro Turpo Qquentasi</t>
  </si>
  <si>
    <t>ROY WILLIAM CCOLQUE HUANCA</t>
  </si>
  <si>
    <t>ANALI MAYO HUILLCA</t>
  </si>
  <si>
    <t>JHON UBER PERCCA QUISPE</t>
  </si>
  <si>
    <t>GIAN APAZA CURASI</t>
  </si>
  <si>
    <t>WILLIAM ANDRES CONDORI QUISPE</t>
  </si>
  <si>
    <t>Harry Anderson  Mendoza Zarate</t>
  </si>
  <si>
    <t>JOSE ADERLY CRUZ MURILLO</t>
  </si>
  <si>
    <t>Erika Tania Huaman Apaza</t>
  </si>
  <si>
    <t>EDGAR CHOQUE HUAYTA</t>
  </si>
  <si>
    <t>YUN ZEON ARQUE GONZALO</t>
  </si>
  <si>
    <t>MIRIAM APAZA HUANCA</t>
  </si>
  <si>
    <t>YOVANA HANCCO CASA</t>
  </si>
  <si>
    <t>JOSE GABRIEL YUCRA HUAMAN</t>
  </si>
  <si>
    <t>ALEX MERMA GONZALO</t>
  </si>
  <si>
    <t xml:space="preserve">AYDEE MELANIA </t>
  </si>
  <si>
    <t>KELIN HUIILCA CLEMENTE</t>
  </si>
  <si>
    <t>EFRAIN HIUAMAN CHILLIHUANI</t>
  </si>
  <si>
    <t>FIDEL FRANK HUALLPA CONTRERAS</t>
  </si>
  <si>
    <t>Josue</t>
  </si>
  <si>
    <t>Marco Antonio Lima Cuchuyrumi</t>
  </si>
  <si>
    <t>Mari Carmen Magdalen Quispe</t>
  </si>
  <si>
    <t>Flor Esmeralda Quispe Huaman</t>
  </si>
  <si>
    <t>Yasenia Fernandez Condori</t>
  </si>
  <si>
    <t>Ruth Mayda Fernandes Rimachi</t>
  </si>
  <si>
    <t>Yasenia Inquillay Mamani</t>
  </si>
  <si>
    <t>Josue Quispe Chillihuani</t>
  </si>
  <si>
    <t>Dania Chillihuani Jancco</t>
  </si>
  <si>
    <t>Reyna Ester Vhillihuani Merma</t>
  </si>
  <si>
    <t>Manuel Cruz Quispe</t>
  </si>
  <si>
    <t>Anderson Chillihuani Turpo</t>
  </si>
  <si>
    <t>Yeritza Ribera Vargas</t>
  </si>
  <si>
    <t>Soraida Huanca Huaman</t>
  </si>
  <si>
    <t>Luz Clarita Chillihuani Huanca</t>
  </si>
  <si>
    <t>Xander Vinchenzo Mayo Quispe</t>
  </si>
  <si>
    <t>Jean Franca Ataulluco Ulloa</t>
  </si>
  <si>
    <t>Jose Maximiliano Chavez Para Vecino</t>
  </si>
  <si>
    <t>Jack Salvador</t>
  </si>
  <si>
    <t>Sonia Yupa Quispe</t>
  </si>
  <si>
    <t>Ccapa Condori Rudi</t>
  </si>
  <si>
    <t>Chillihuani Jhon Clever</t>
  </si>
  <si>
    <t>Rios Achahui Jakeline Fiorela</t>
  </si>
  <si>
    <t>Huanca Huanca Wendy Sharmely</t>
  </si>
  <si>
    <t>Macchaca Hilla Emerson</t>
  </si>
  <si>
    <t>Vilc Vega Yeyson</t>
  </si>
  <si>
    <t>JORGE BARDALES MORI</t>
  </si>
  <si>
    <t>JORGE CARLOS BALDEZ BARDALES</t>
  </si>
  <si>
    <t>ANSEL EUGENIO FRIAS JIMENEZ</t>
  </si>
  <si>
    <t>SEGUNDO LUIS AMACIFUEN RUIZ</t>
  </si>
  <si>
    <t>CARLOS AARON MORALES CHOTA</t>
  </si>
  <si>
    <t>HENRRI JACKSON PACAYA MACUYAMA</t>
  </si>
  <si>
    <t>CLARIVETH MARIA OLIVEIRA MOZOMBITE</t>
  </si>
  <si>
    <t>SARITA VALERIA YAICATE RODRIGUEZ</t>
  </si>
  <si>
    <t>MAGNO VILLACORTA BUTUNA</t>
  </si>
  <si>
    <t>KELLY CRISTINA MACAHUACHI PAREDES</t>
  </si>
  <si>
    <t>SAMUEL ARMANDO</t>
  </si>
  <si>
    <t>DEYVIS MOZOMBITE LUÑO</t>
  </si>
  <si>
    <t>SAUL PEÑA SINARAHUA</t>
  </si>
  <si>
    <t>GENESIS ESTER TAMANI VALLES</t>
  </si>
  <si>
    <t>ROUS NICOL SANDOVAL RODRIGUEZ</t>
  </si>
  <si>
    <t>JOSE GABRIEL LOZANO</t>
  </si>
  <si>
    <t>ROSITA GABRIELA CARIAJANO PIZANGO</t>
  </si>
  <si>
    <t>KIARA MELISSA SABOY CASTILLO</t>
  </si>
  <si>
    <t>KEISY MELANEA RIOS ARISTA</t>
  </si>
  <si>
    <t>KRISTOFER LEVIS FIGUEREDO ATACHE</t>
  </si>
  <si>
    <t>JUAN ANDRES MOZOMBITE VALDERRAMA</t>
  </si>
  <si>
    <t>CESIA O. SANTANA VELA</t>
  </si>
  <si>
    <t>FERNANDO FABRIZIO SILAPU GUEVARA</t>
  </si>
  <si>
    <t>NADIA</t>
  </si>
  <si>
    <t>JESUS PEREZ BENDEZU</t>
  </si>
  <si>
    <t>ORLANDO MURAYARI PACAYA</t>
  </si>
  <si>
    <t>JAVIER CARIAJANO SABOYA</t>
  </si>
  <si>
    <t>WICLER MASHACURI NOA</t>
  </si>
  <si>
    <t>BRAYAM EDWAR FASABI IRUYARI</t>
  </si>
  <si>
    <t>SANTIAGO ESEQUIEL TAMANI</t>
  </si>
  <si>
    <t>NICOL MARIA TAPULLI MA SANDI</t>
  </si>
  <si>
    <t>GINA ROLET VELA LOPEZ</t>
  </si>
  <si>
    <t>RUTH JUDITH,ARIMUYA PACAYA</t>
  </si>
  <si>
    <t>LUIS ALBERTO,GARCIA MURAYARI.</t>
  </si>
  <si>
    <t>MARIA LIZ TAPULLIMA AGUINDA</t>
  </si>
  <si>
    <t>MOISES CARIAJANO SABOYA</t>
  </si>
  <si>
    <t>JOE YAHUARCANI LINARES</t>
  </si>
  <si>
    <t>FRAN CAHUAZA MITRA</t>
  </si>
  <si>
    <t>OWEN ADRIANO MANIHUARI ROMAYNA</t>
  </si>
  <si>
    <t>Herramientas de Ofimática de Microsoft, Herramientas de Ofimática de Google, Lenguajes de programación, Herramientas de Diseño Gráfico</t>
  </si>
  <si>
    <t>JOY LITO MANUYAMA LOPEZ</t>
  </si>
  <si>
    <t>DAMARIS MOZOMBITE VILLACORTA</t>
  </si>
  <si>
    <t>GRIMALDO HUIÑAPI OLIVEIRA</t>
  </si>
  <si>
    <t>ALFONSO TAPAYURI HUAICAMA</t>
  </si>
  <si>
    <t>DARWIN PLAZA ARIRAMA</t>
  </si>
  <si>
    <t>MIQUEAS ARANDA</t>
  </si>
  <si>
    <t>NEVER VILLACORTA</t>
  </si>
  <si>
    <t>FRANK REATEGUI TUANAMA</t>
  </si>
  <si>
    <t>ESMERALDA ZUMBA PEZO</t>
  </si>
  <si>
    <t>SAULO ANDRES TAMANI DAHUA</t>
  </si>
  <si>
    <t>ANDERSON CAMILO SABOYA DIAZ</t>
  </si>
  <si>
    <t>DALIA TARICUARIMA AMIAS</t>
  </si>
  <si>
    <t>ABIGAIL ARIANA SANGAMA SH.</t>
  </si>
  <si>
    <t>TANIA ELIZABETH SANCHEZ PAYA</t>
  </si>
  <si>
    <t>Herramientas de Ofimática de Google</t>
  </si>
  <si>
    <t>JEIKO RUIZ FATAMA</t>
  </si>
  <si>
    <t>RANSES ELEAZAR PAREDES OLIVEIRA</t>
  </si>
  <si>
    <t>EDWIN GARCIA SAJAMI</t>
  </si>
  <si>
    <t>Herramientas de Ofimática de Microsoft, Lenguajes de programación</t>
  </si>
  <si>
    <t>JHACKELINE ESTHER BARDALES CANAYO</t>
  </si>
  <si>
    <t>Herramientas de Ofimática de Microsoft, Lenguajes de programación, Herramientas de Diseño Web, Herramientas de Diseño Gráfico</t>
  </si>
  <si>
    <t>PERLITA ANALI ALVARADO GARCIA</t>
  </si>
  <si>
    <t>Herramientas de Diseño Gráfico</t>
  </si>
  <si>
    <t>HENRRY GABRIEL NARO GUTIERREZ</t>
  </si>
  <si>
    <t>ARTIDORO ARIMUYA TARICUARIMA</t>
  </si>
  <si>
    <t>CARLOS ZAVALETA MEGO</t>
  </si>
  <si>
    <t>ALBINLLER AMARINGO BARDALES</t>
  </si>
  <si>
    <t>PETER QUEEN CÁRDENAS CHÁVEZ</t>
  </si>
  <si>
    <t>CLEDER HERRERA MANIHUARI</t>
  </si>
  <si>
    <t>JULIA NIEVES ORTIZ PEÑA</t>
  </si>
  <si>
    <t>ISAAC VALLES MURAYARI</t>
  </si>
  <si>
    <t>LORELIA ALVARADO SAAVEDRA</t>
  </si>
  <si>
    <t>SEGUNDO GUSTAVO ARIRAMA MURAYARI</t>
  </si>
  <si>
    <t>ANDRES MARLON LOZANO MELENDEZ</t>
  </si>
  <si>
    <t>MILAGROS MALDONADO LEON</t>
  </si>
  <si>
    <t>DEXI JERRI NOVOA SAJAMI</t>
  </si>
  <si>
    <t>JUAN CARLOS PEREA CAHUAZA</t>
  </si>
  <si>
    <t>JHULIANA VICTORIA,GONZALES MAMALLACTA.</t>
  </si>
  <si>
    <t>EMELY MARISOL, GRAICHT MANUYAMA.</t>
  </si>
  <si>
    <t>Otra</t>
  </si>
  <si>
    <t>JERAL, LOZANO MONTELVIS.</t>
  </si>
  <si>
    <t>MOISES, RAMIREZ ARIMUYA.</t>
  </si>
  <si>
    <t>INDIRA, TAPUY CARIAJANO.</t>
  </si>
  <si>
    <t>DANILO DAVID, VARGAS VASQUEZ.</t>
  </si>
  <si>
    <t>DOMINIC MARCELO, AMARANGO VASQUEZ.</t>
  </si>
  <si>
    <t>MAYK ANTHONY,GALINDO MORALES.</t>
  </si>
  <si>
    <t>LIDIO, TUESTA REATEGUI</t>
  </si>
  <si>
    <t>GLEER GAIR, SILVA VARGAS.</t>
  </si>
  <si>
    <t>JAMIL, TAPULLIMA LINARES.</t>
  </si>
  <si>
    <t>WILSON ABRAHA AREVALO CORNEJO</t>
  </si>
  <si>
    <t>Zeta Juarez Esther Nicol</t>
  </si>
  <si>
    <t>Espinoza Pulache Jose Antonio</t>
  </si>
  <si>
    <t>Castro Carmen Kevin  Leonel</t>
  </si>
  <si>
    <t xml:space="preserve">ORIZ MAZA ANDER YAIR </t>
  </si>
  <si>
    <t>Morales Zeta Dayron Yanpierre</t>
  </si>
  <si>
    <t>Gomez Zeta Elias Enoc</t>
  </si>
  <si>
    <t>Quintana Nima Bianca Anali</t>
  </si>
  <si>
    <t>Requena LOpez Susana Nathaniel</t>
  </si>
  <si>
    <t>Juarez Rivas Keyla Angelita</t>
  </si>
  <si>
    <t>Garcia Pulache Brayan Aldair</t>
  </si>
  <si>
    <t>Yamunaque Jara Yasumi Lizeth</t>
  </si>
  <si>
    <t>Rufino Juarez Luis Elias</t>
  </si>
  <si>
    <t>Nima Zeta Rosalinda del Pilar</t>
  </si>
  <si>
    <t>Zeta Rufino Keysi Darlen</t>
  </si>
  <si>
    <t>Flores Domingues Evelin Noemi</t>
  </si>
  <si>
    <t>Perez Juarez Alejandra Marina</t>
  </si>
  <si>
    <t>Salvador Justin Jerar</t>
  </si>
  <si>
    <t>Zeta Seminario Jhon Junior</t>
  </si>
  <si>
    <t>Carmen Flores Dayron Javier</t>
  </si>
  <si>
    <t>Vilela Carmen Geyson Stany</t>
  </si>
  <si>
    <t>Abramonte Salvador Angie Daniela.</t>
  </si>
  <si>
    <t>Valdiviezo Arevalo Yaritza Anabel</t>
  </si>
  <si>
    <t>Consuelo</t>
  </si>
  <si>
    <t>Juarez Yarleque Milton Esmih</t>
  </si>
  <si>
    <t>Lopez Bayona Nagelli Dayana</t>
  </si>
  <si>
    <t>Patiño Juarez Jairo Francisco</t>
  </si>
  <si>
    <t>Placido Santiago Angel Daniel</t>
  </si>
  <si>
    <t>Adrianzen Juarez Nathaly Lisbeth</t>
  </si>
  <si>
    <t>Dominguez Juarez Karito Yameli</t>
  </si>
  <si>
    <t>Valdiviezo Juarez Oscar Alberto</t>
  </si>
  <si>
    <t>Juarez Melendrez Azumi Naomi</t>
  </si>
  <si>
    <t>Juarez Pintado Ana Milagros</t>
  </si>
  <si>
    <t>Juarez Lopez Alonsito Aldair</t>
  </si>
  <si>
    <t>García Maza Yaritza Lizeth.</t>
  </si>
  <si>
    <t>Lopez Yovera Luis Angel</t>
  </si>
  <si>
    <t>Zeta García Jhon Manuel.</t>
  </si>
  <si>
    <t>Juarez Juarez Yerson Israel</t>
  </si>
  <si>
    <t>Arevalo Oviedo Kiara Rubi</t>
  </si>
  <si>
    <t>Sernaque Juarez Mariana Briguitte</t>
  </si>
  <si>
    <t>Suarez Nima Rosita Isabel</t>
  </si>
  <si>
    <t>Juarez Zeta Nahum Abel</t>
  </si>
  <si>
    <t>Sandoval Pacherres María Fernanda</t>
  </si>
  <si>
    <t xml:space="preserve">Arevalo Humbo Amdy Jose </t>
  </si>
  <si>
    <t>Suarez Pulache Darwin Alexander</t>
  </si>
  <si>
    <t>Villegas Flores Ingrid Maricielo</t>
  </si>
  <si>
    <t>Ramirez Peña Fran Junior</t>
  </si>
  <si>
    <t>Carmen Pacherres Treysi Brillith</t>
  </si>
  <si>
    <t>Humbo Cordova Jhon Jairo</t>
  </si>
  <si>
    <t>Pasapera Calle Leyton David.</t>
  </si>
  <si>
    <t xml:space="preserve">Montero Flores Naomy </t>
  </si>
  <si>
    <t>Nima Arrunátegui Dayron David</t>
  </si>
  <si>
    <t>Vilela Chiroque Priscila</t>
  </si>
  <si>
    <t>Arrunátegui Lupuche Yomarita de Jesús</t>
  </si>
  <si>
    <t>Nima Aguilar Grecia Lizbeth</t>
  </si>
  <si>
    <t>Palacios Carmen Jossep Samir</t>
  </si>
  <si>
    <t>Rufino Maza Melany Xiomara</t>
  </si>
  <si>
    <t>Patiño Juarez Gresly</t>
  </si>
  <si>
    <t>Arrunátegui Pulache Marilú Pilar</t>
  </si>
  <si>
    <t>Pulache Juarez Mario Smith</t>
  </si>
  <si>
    <t>Timana Juarez Valeria Nicol</t>
  </si>
  <si>
    <t>Tangoa Changanaque Ronal Josue</t>
  </si>
  <si>
    <t>Suarez Márquez Elmer Fabricio</t>
  </si>
  <si>
    <t>Zeta Navarro Jimena Yasuri</t>
  </si>
  <si>
    <t>Chiroque Adanaque Ruth Damaris</t>
  </si>
  <si>
    <t>García Maza Carlos Davinson</t>
  </si>
  <si>
    <t>Arevalo Cordova Sugely Nicole</t>
  </si>
  <si>
    <t>Dioses Nima Jinson Leonel</t>
  </si>
  <si>
    <t>Nima Zapata Jhossymar Alexandro</t>
  </si>
  <si>
    <t>Mulatillo Pintado Tatiana Verenays</t>
  </si>
  <si>
    <t>Nima Rosas Luiggy Jesús</t>
  </si>
  <si>
    <t>Juarez Saavedra Dennis Jean Frank</t>
  </si>
  <si>
    <t>Arrunátegui Jiménez Gian Luca Josué</t>
  </si>
  <si>
    <t>Domínguez Pacherres Crhistel Antonella.</t>
  </si>
  <si>
    <t>Calle Quispe Thalia Marisol</t>
  </si>
  <si>
    <t>Castillo Abramonte Elizabeth</t>
  </si>
  <si>
    <t>Correa Juarez Ana Lucia</t>
  </si>
  <si>
    <t xml:space="preserve">Correa Pacherres  Jesus Jhosimar </t>
  </si>
  <si>
    <t xml:space="preserve"> Juarez Jimenez Valeria Lizeth</t>
  </si>
  <si>
    <t>Crisanto Juarez Leidy Alessandra</t>
  </si>
  <si>
    <t>Juarez Juarez Naomi Lisbeth</t>
  </si>
  <si>
    <t xml:space="preserve">Flores Domingues David Alonso </t>
  </si>
  <si>
    <t>Dominguez  ISUIZA Karen Milena</t>
  </si>
  <si>
    <t>Villegas Rivera Wilder</t>
  </si>
  <si>
    <t xml:space="preserve">Rufino Calle Allison Jaziel </t>
  </si>
  <si>
    <t>Zeta Astudillo German Andrely</t>
  </si>
  <si>
    <t xml:space="preserve">Rufino Huertas Sinrhik Raquel </t>
  </si>
  <si>
    <t>Palma Maza Marcos Antonio</t>
  </si>
  <si>
    <t>Carmen Cordova Alexis Samir</t>
  </si>
  <si>
    <t xml:space="preserve">Peña Pacherres Leomardo Aldair </t>
  </si>
  <si>
    <t>Juarez Arevalo Brando Janpool</t>
  </si>
  <si>
    <t>Abramonte Bereche Diego Alonso</t>
  </si>
  <si>
    <t>Silupu Rengifo Dayron Jhouseph</t>
  </si>
  <si>
    <t xml:space="preserve">Zeta Vilela  Dayron  Martin </t>
  </si>
  <si>
    <t xml:space="preserve"> Gonza Acaro Yelitza Mileydi</t>
  </si>
  <si>
    <t>Pacherres Rosales Renzo Jeampier</t>
  </si>
  <si>
    <t>Piñin Panta Isaias</t>
  </si>
  <si>
    <t>Olaya Calderon Nelson Martin</t>
  </si>
  <si>
    <t>Panta Piñin Rosy Katherine</t>
  </si>
  <si>
    <t>Castillo Giron Tania Yamilet</t>
  </si>
  <si>
    <t>Cruz Zapata Mileidy Gisell</t>
  </si>
  <si>
    <t>Chica Hernández Jerson Israel</t>
  </si>
  <si>
    <t xml:space="preserve">Hernández Lazo Luis Antonio </t>
  </si>
  <si>
    <t>Juarez Seminario Fernanda Nicole</t>
  </si>
  <si>
    <t xml:space="preserve">Juarez Pulache Lesly Fernanda </t>
  </si>
  <si>
    <t>García Seminario Nelson David</t>
  </si>
  <si>
    <t>Juarez Nima Shirley Analy</t>
  </si>
  <si>
    <t>Calle Zapata Carlitos Leodan</t>
  </si>
  <si>
    <t>Pacherres García Franklin Javier</t>
  </si>
  <si>
    <t>xxx</t>
  </si>
  <si>
    <t>Sheyla Mayli Milla Murga</t>
  </si>
  <si>
    <t>Amelia Maria Casio Alegre</t>
  </si>
  <si>
    <t>Leonel Milito Fructuoso Ciriaco</t>
  </si>
  <si>
    <t>Libna Mareza Milla Huamán</t>
  </si>
  <si>
    <t>Kenlly Yocimar Polo Chachas</t>
  </si>
  <si>
    <t>Alex Andi Carhuayano Palmadera</t>
  </si>
  <si>
    <t>Erika Lizeth Ciriaco Sandonaz</t>
  </si>
  <si>
    <t xml:space="preserve"> Einer Yojan Duran Sandonas</t>
  </si>
  <si>
    <t>Kaori Yasuri Huertas Aguilar</t>
  </si>
  <si>
    <t>Jose Armando Mata Valdez</t>
  </si>
  <si>
    <t>Alexander Lopez Herrera</t>
  </si>
  <si>
    <t>Carina Celia Milla Arias</t>
  </si>
  <si>
    <t>Jan Junior Arias Laberiano</t>
  </si>
  <si>
    <t>Roylan Alfredo Marino Romualdo</t>
  </si>
  <si>
    <t>Maribel Gabino Alegre</t>
  </si>
  <si>
    <t>Nilver Cristian Rivas Palmadera</t>
  </si>
  <si>
    <t xml:space="preserve">Josue Ángel Arias Alegre </t>
  </si>
  <si>
    <t>HUAMAN RODRIGUEZ, Cati Yaquelina</t>
  </si>
  <si>
    <t>MENDEZ PALMADERA, Moises Joel</t>
  </si>
  <si>
    <t>ALEGRE SANDONAS, Eva Sarai</t>
  </si>
  <si>
    <t>GUERRERO PUMACINO, Denys Samuel</t>
  </si>
  <si>
    <t>MILLA MARINO, Rimer Froilan</t>
  </si>
  <si>
    <t>MILLA ROSAS, Yanina Yobana</t>
  </si>
  <si>
    <t>Melani Castro Fasanando</t>
  </si>
  <si>
    <t>María Ernestina Chavez Macedo</t>
  </si>
  <si>
    <t>Hugo David Suarez Zarate</t>
  </si>
  <si>
    <t>Franklin Arevalo</t>
  </si>
  <si>
    <t>Juana Nicolaza Valverde Vasquez</t>
  </si>
  <si>
    <t>Alina Marina Tapullima Flores</t>
  </si>
  <si>
    <t>Iker Ronaldo Vallejos Alva</t>
  </si>
  <si>
    <t>Heyner Isaí Flores Gonzales</t>
  </si>
  <si>
    <t>Italo Vargas Marquez</t>
  </si>
  <si>
    <t>Ruth Jarlin Gómez Cauper</t>
  </si>
  <si>
    <t>Antonio Idoel Sánchez Rengifo</t>
  </si>
  <si>
    <t>Deyvis Felix León Flores</t>
  </si>
  <si>
    <t>Ruth Candy Lopez Díaz</t>
  </si>
  <si>
    <t>Grey Briana Tapullima Canayo</t>
  </si>
  <si>
    <t xml:space="preserve">Margaret Sharleth Lino Paima </t>
  </si>
  <si>
    <t>Elvis Josué Ferreyra López</t>
  </si>
  <si>
    <t>Jhon Jack Benavides Pinchi</t>
  </si>
  <si>
    <t>Brighit Mayra Hermoza Santacruz</t>
  </si>
  <si>
    <t>Fiorella Alexander Da-Silva Cabidivo</t>
  </si>
  <si>
    <t>Iker Alexander Gomes Rengifo</t>
  </si>
  <si>
    <t>Yaser André Rodriguez Paima</t>
  </si>
  <si>
    <t>Aime Mirely De Souza Gutierrez</t>
  </si>
  <si>
    <t>Tiara Iverita Soria Sulca</t>
  </si>
  <si>
    <t>Dener Jafet Fababa Murayari</t>
  </si>
  <si>
    <t xml:space="preserve">Lleyli Isabel Lomas Huanuiri </t>
  </si>
  <si>
    <t>Grely Berlith Garcia Tenazoa</t>
  </si>
  <si>
    <t>Marco Antonio de la Mata Mozombite</t>
  </si>
  <si>
    <t>Christian Pashanasi Lopez</t>
  </si>
  <si>
    <t>Azumi MelaniaPaima Isuiza</t>
  </si>
  <si>
    <t>Carlos Noe Ecchaiz Pijuchi</t>
  </si>
  <si>
    <t>Candy Melissa Santa Cruz</t>
  </si>
  <si>
    <t>Julio Cesar  Davila Mori</t>
  </si>
  <si>
    <t>Ariana Adelina Gomez tapullima</t>
  </si>
  <si>
    <t>Kemedi Brixner Quemer Rengifo</t>
  </si>
  <si>
    <t>Jenson Paredes Salas</t>
  </si>
  <si>
    <t>Jack Miller Rodriguez Serruche</t>
  </si>
  <si>
    <t>SHINAY RUIZ CCENCHO</t>
  </si>
  <si>
    <t>JUANA  JHILARIMACIEL AUCAPIÑA YANCCE</t>
  </si>
  <si>
    <t>GLISSET SALAZAR IRRAZABAL</t>
  </si>
  <si>
    <t xml:space="preserve">JOSHY MALLMA PEREZ </t>
  </si>
  <si>
    <t xml:space="preserve">KAREN FLOR QUISPE ESCOBAR </t>
  </si>
  <si>
    <t>NIK JESUS QUISPE  PACCORI</t>
  </si>
  <si>
    <t>SHAMIR A. ARICOCHEA . M</t>
  </si>
  <si>
    <t>ALEJANDRO VALLEJOS .F</t>
  </si>
  <si>
    <t>XIOMARA MUÑOZ C.</t>
  </si>
  <si>
    <t>FALCO CAPCHA CELARAYAN</t>
  </si>
  <si>
    <t xml:space="preserve">XIOMARA DANITZA CAPCHA JEREMIAS </t>
  </si>
  <si>
    <t>PAMELA MAURY SORAS</t>
  </si>
  <si>
    <t>LUZ MIRIAN MEZA TIESE</t>
  </si>
  <si>
    <t>PILAR ROMAN ACUÑA</t>
  </si>
  <si>
    <t>JHONATAN  LLAUCA SOTO</t>
  </si>
  <si>
    <t>ODON HUAMANI JAVIER</t>
  </si>
  <si>
    <t xml:space="preserve">YELSI LLAUCA CHACON </t>
  </si>
  <si>
    <t>Jorge L. CASIHUE SALVATIERRA</t>
  </si>
  <si>
    <t>Yorima LANDEO MANUELO</t>
  </si>
  <si>
    <t>Medaly MANUELO MAYHUA</t>
  </si>
  <si>
    <t>Celia QUISPE TANTAHULLCA</t>
  </si>
  <si>
    <t>Marisol PEREZ TITO</t>
  </si>
  <si>
    <t>Yuliño MUÑOZ TAIPE</t>
  </si>
  <si>
    <t>Luis Angel CCENCHO MANUELO</t>
  </si>
  <si>
    <t>Luzmelinda PINO TITO</t>
  </si>
  <si>
    <t>Neder CCATAMAYO HUAMAN</t>
  </si>
  <si>
    <t xml:space="preserve"> Kamylh HUAMAN ASORZA </t>
  </si>
  <si>
    <t xml:space="preserve">Rosalin HUAYHUA CARDENAS </t>
  </si>
  <si>
    <t>Chriss Almendra SAENZ AZORSA</t>
  </si>
  <si>
    <t>Karol Selene URRIBARRI HERMOSA</t>
  </si>
  <si>
    <t>Hans Angelo AGUILAR REYES</t>
  </si>
  <si>
    <t>Yamilee CANCHARI PERALTA</t>
  </si>
  <si>
    <t>Jhonatan DAVILA AGUILAR</t>
  </si>
  <si>
    <t>Wilmer Jesús MARQUEZ HURTADO</t>
  </si>
  <si>
    <t>Jhon Enderson  MATAMOROS AGUIRRE</t>
  </si>
  <si>
    <t>Jhon MATAMOROS PIZARRO</t>
  </si>
  <si>
    <t>Andres MEDINA QUISPE</t>
  </si>
  <si>
    <t>Evans Gabriel ORTEGA ESTRADA</t>
  </si>
  <si>
    <t>Fred Stiven QUISPE AGUILAR</t>
  </si>
  <si>
    <t>Julio Cesar  VITOR AGUILAR</t>
  </si>
  <si>
    <t xml:space="preserve">ROSITA DEYSI CCANTO OBREGON </t>
  </si>
  <si>
    <t xml:space="preserve">ROSSY MAGDALY  ANTEZANA  CERAS </t>
  </si>
  <si>
    <t xml:space="preserve">CINTHYA  CUETO  LANDEO </t>
  </si>
  <si>
    <t>ROBERT ALEPO RAMOS</t>
  </si>
  <si>
    <t xml:space="preserve">JHOSEP  PALONTE OBREGON </t>
  </si>
  <si>
    <t xml:space="preserve">LUIS GABRIEL DAVILA HUARANCCA </t>
  </si>
  <si>
    <t xml:space="preserve">LIZ MEDALY ENRRIQUEZ ANTEZANA </t>
  </si>
  <si>
    <t>ELIZABETH  ESPEZA BREÑA</t>
  </si>
  <si>
    <t>LEO ALONSO  PEREZ PILLPA</t>
  </si>
  <si>
    <t>ANGELA DIXA RODRIGUEZ ESTRADA</t>
  </si>
  <si>
    <t>JUAN DAVID QUISPE TAYPE</t>
  </si>
  <si>
    <t>ANAYELY POMATAY AYALA</t>
  </si>
  <si>
    <t xml:space="preserve">MARC NILO  CHILINGANO GAVILAN </t>
  </si>
  <si>
    <t>PABLO SALAZAR ARECHE</t>
  </si>
  <si>
    <t>JUAN QUISPE  PILLPA</t>
  </si>
  <si>
    <t xml:space="preserve">LINDA LUZ PINO ESCOBAR </t>
  </si>
  <si>
    <t xml:space="preserve">MAX ANTHONY SANCHEZ ZAMBRANO </t>
  </si>
  <si>
    <t xml:space="preserve">CARLOS RAUL REYMUNDO NAVARRO </t>
  </si>
  <si>
    <t>ARACELI PILLPA AGUIRRE</t>
  </si>
  <si>
    <t xml:space="preserve">LINDA LUZ VARGAS ESPEZA </t>
  </si>
  <si>
    <t>CELSO ANTAY LLIMPE</t>
  </si>
  <si>
    <t xml:space="preserve">YONEL MALLCCO QUISPE </t>
  </si>
  <si>
    <t>JHUNIOR HUAYANAY ARECHE</t>
  </si>
  <si>
    <t>WENER HUAYHUA TRINIDAD</t>
  </si>
  <si>
    <t>EDUARDO MALLAVE LAURA</t>
  </si>
  <si>
    <t xml:space="preserve">ANLELY PATALA OBREGON </t>
  </si>
  <si>
    <t xml:space="preserve">YISELA ESTRADA GONZALES </t>
  </si>
  <si>
    <t xml:space="preserve">KATHERIN DAYANA PAUCAR PALACIOS </t>
  </si>
  <si>
    <t>Luis Alberto CHAVEZ LANDEO</t>
  </si>
  <si>
    <t>Angela PAUCAR LANDEO</t>
  </si>
  <si>
    <t>Shantal Yubitza GAVILAN CASTILLO</t>
  </si>
  <si>
    <t>Dareck MILENKO</t>
  </si>
  <si>
    <t>Franco CASTILLO RAMIREZ</t>
  </si>
  <si>
    <t>Yusmel QUISPE ROJAS</t>
  </si>
  <si>
    <t>Fredy Angel AUCCAPIÑA ESCOBAR</t>
  </si>
  <si>
    <t>Sonyou MALLQUI PALOMINO</t>
  </si>
  <si>
    <t>Analiz Rosa EGOAVIL QUISPE</t>
  </si>
  <si>
    <t>Yesser BARRIENTOS CCORI</t>
  </si>
  <si>
    <t>Merly Ameli TITO RAMOS</t>
  </si>
  <si>
    <t>Yasmeli QUISPE QUISPE</t>
  </si>
  <si>
    <t>Mary CORNEJO PALACIOS</t>
  </si>
  <si>
    <t>Elizabeth RAMOS MANRIQUE</t>
  </si>
  <si>
    <t>Nelson RUIZ PACCORI</t>
  </si>
  <si>
    <t>Jesús J. CARDENAS CCANCCE</t>
  </si>
  <si>
    <t>Ariana CUYA RAMOS</t>
  </si>
  <si>
    <t>Marisol J. GOMEZ CONDE</t>
  </si>
  <si>
    <t>Emily M. NUÑEZ GASPAR</t>
  </si>
  <si>
    <t>Salina HUATHUA CASTAÑEDA</t>
  </si>
  <si>
    <t>Andrea DE LA CRUZ BAUTISTA</t>
  </si>
  <si>
    <t>Lincol ANTAY JUARAR</t>
  </si>
  <si>
    <t>Frank  MENESES UCHUYPOMA</t>
  </si>
  <si>
    <t>Angel  G. BAUTISTA ROJAS</t>
  </si>
  <si>
    <t>kerlim Yosy GAVILAN DE LA CRUZ</t>
  </si>
  <si>
    <t>Angel Manuel HUAMAN VITOR</t>
  </si>
  <si>
    <t>Nilda HUAMAN VITOR</t>
  </si>
  <si>
    <t>Gabriel  MALLMA MENDOZA</t>
  </si>
  <si>
    <t>Andrea Jimena ORE AGUILAR</t>
  </si>
  <si>
    <t>Yessimin Alexandra ORTEGA ESTRADA</t>
  </si>
  <si>
    <t>Americo URRIBARRI CORDOVA</t>
  </si>
  <si>
    <t>Rosa Isabel VASQUEZ NUÑEZ</t>
  </si>
  <si>
    <t>Anghelina Britney VITOR AGUILAR</t>
  </si>
  <si>
    <t>Aba Linares Mamani</t>
  </si>
  <si>
    <t>CUTAMANCA MILLA, Yellsi Yaneli</t>
  </si>
  <si>
    <t>HUALLPAHUAQUE JARA, Noel Nando</t>
  </si>
  <si>
    <t>Díaz Vilchez Jefferson Fabricio</t>
  </si>
  <si>
    <t>SULMER QUISPE CASILLA</t>
  </si>
  <si>
    <t>Nataliel Sayaka Jancco Quisppe</t>
  </si>
  <si>
    <t>Frank Samata Tapara</t>
  </si>
  <si>
    <t>DONOBAN MELO MAMANI</t>
  </si>
  <si>
    <t>FRANKLIN HUAMAN MAMANI</t>
  </si>
  <si>
    <t>JHON ANDERSON</t>
  </si>
  <si>
    <t>NAYDA YULISA CRUZ HUILLCA</t>
  </si>
  <si>
    <t>Ivan Joel Pozo Huaman</t>
  </si>
  <si>
    <t>Dilan Estrada Tapara</t>
  </si>
  <si>
    <t>CRISTIAN SHARI VILLACRA HANCCO</t>
  </si>
  <si>
    <t>Wilmer Dominik Huallpa Ulloa</t>
  </si>
  <si>
    <t>FLOR DELIA LLANOS CRISPIN</t>
  </si>
  <si>
    <t>ROSA FLOR CHILLIHUANI YUCRA</t>
  </si>
  <si>
    <t>ELIZABETH MANDURA JURURO</t>
  </si>
  <si>
    <t>Ruth Clariza Yapura Sullcopuma</t>
  </si>
  <si>
    <t>ESTHER SARAY SILVA CJUNO</t>
  </si>
  <si>
    <t>Nila Vanezal Layme Mamani</t>
  </si>
  <si>
    <t>Flor Yutidh Sara Mendoza</t>
  </si>
  <si>
    <t xml:space="preserve">Josue Benjamin Mayhua Mariscal </t>
  </si>
  <si>
    <t>Jhoel Mamani Cruz</t>
  </si>
  <si>
    <t>RUTH YAMILY PAUCAR H.</t>
  </si>
  <si>
    <t>RUTH LIZBETH HUALLPA MAMANI</t>
  </si>
  <si>
    <t>Lizbeth Mamani Condori</t>
  </si>
  <si>
    <t>FRANCO CHARA MAMANAI</t>
  </si>
  <si>
    <t>Royer Alexis Huisa Fuentes</t>
  </si>
  <si>
    <t>Mary Isabel Quispe Saigua</t>
  </si>
  <si>
    <t>Cielo Zahori Valenzuela Turpo</t>
  </si>
  <si>
    <t>Lisbeth Cintia Condori Huisa</t>
  </si>
  <si>
    <t>MEDALI QUISPE CONDORI</t>
  </si>
  <si>
    <t>Luz Amelia Luz Condori</t>
  </si>
  <si>
    <t>Black Bardol Mamani Quispe</t>
  </si>
  <si>
    <t>Ñol Neymar Quispe Yupa</t>
  </si>
  <si>
    <t>Ruth Naysha Mamani Ccapa</t>
  </si>
  <si>
    <t>CAROLINA QUISPE JARA</t>
  </si>
  <si>
    <t>Adelayda Acruta Achahui</t>
  </si>
  <si>
    <t>Ibeth Sara R. Qquesuallpa. M</t>
  </si>
  <si>
    <t>Kathya Meza Ccacya</t>
  </si>
  <si>
    <t>WILLIAM MACHACA QUISPE</t>
  </si>
  <si>
    <t>Jhon Adan Rocca Quispe</t>
  </si>
  <si>
    <t>Erick Alexis Cruz Merma</t>
  </si>
  <si>
    <t>Edgar Raul Aparicio</t>
  </si>
  <si>
    <t>JOSE GABRIEL MAYOC CHOQQUE</t>
  </si>
  <si>
    <t>Sharon Sther Quispe Qqeshuallpa</t>
  </si>
  <si>
    <t>Luzgarda Flor Meza Quispe</t>
  </si>
  <si>
    <t>Natsumi Sharon Ulloa Herrera</t>
  </si>
  <si>
    <t>Ernesto Mamani Layme</t>
  </si>
  <si>
    <t>Juan Clever Quispe Quispe</t>
  </si>
  <si>
    <t>Jhon erick Huisa Mamani</t>
  </si>
  <si>
    <t>Dani Yamil Quispe Achahui</t>
  </si>
  <si>
    <t>BLADI ELISBAN CCORIMANYA CRISPIN</t>
  </si>
  <si>
    <t xml:space="preserve">Yeni Miriam </t>
  </si>
  <si>
    <t>Ronal Ccori Ccasa</t>
  </si>
  <si>
    <t>Breyni Saca Quispe</t>
  </si>
  <si>
    <t>Arturo Quispe Rocca</t>
  </si>
  <si>
    <t>Flor Belinda Flores Candia</t>
  </si>
  <si>
    <t>Yaritza</t>
  </si>
  <si>
    <t>Elias Cristofer Castillo Huanca</t>
  </si>
  <si>
    <t>Dania Layme Yapura</t>
  </si>
  <si>
    <t>Sarita Corihuaman Huallpa</t>
  </si>
  <si>
    <t>Reyna Britney Quispe Quispe</t>
  </si>
  <si>
    <t>Geovanni Dilman Quispe Ulloa</t>
  </si>
  <si>
    <t>Elisaban Quijua Llanos</t>
  </si>
  <si>
    <t>Jhon Kelvin Ccaccasto Fuentes</t>
  </si>
  <si>
    <t>Adan Smit</t>
  </si>
  <si>
    <t>Adilson Armando Quesusllpa Sarmiento</t>
  </si>
  <si>
    <t>Madad Iair Quispe Palomino</t>
  </si>
  <si>
    <t xml:space="preserve">Pedro Aamirkham Ttito </t>
  </si>
  <si>
    <t>Alexander Quispe Sara</t>
  </si>
  <si>
    <t>Jesus Angelo Cahuana Mamani</t>
  </si>
  <si>
    <t>Donodan Melo Mamani</t>
  </si>
  <si>
    <t>Yessica Huaman Pracsi</t>
  </si>
  <si>
    <t>Franklin Huaman Mamani</t>
  </si>
  <si>
    <t>Vidal Huillca Quispe</t>
  </si>
  <si>
    <t>Jhon Alex Ramos Turpo</t>
  </si>
  <si>
    <t>Luis rodrigo Ulloa Contreras</t>
  </si>
  <si>
    <t>Elver Mamani Cruz</t>
  </si>
  <si>
    <t>Katerine Quispe Mamani</t>
  </si>
  <si>
    <t>Clorinda Ulloa Haraya</t>
  </si>
  <si>
    <t>Graciela Mamani Mamani</t>
  </si>
  <si>
    <t>Marjely Ulloa Huaraya</t>
  </si>
  <si>
    <t>Choque Condori Jhon Anderson</t>
  </si>
  <si>
    <t>Yucra Quispe Israel</t>
  </si>
  <si>
    <t>Quispe Jalixto Jhon Edison</t>
  </si>
  <si>
    <t>Quispe Quispe Adolfo</t>
  </si>
  <si>
    <t>Flores Luna Cristian Maycol</t>
  </si>
  <si>
    <t>LUCIANA VALDERRAMA VILCA</t>
  </si>
  <si>
    <t>ANALY TUESTA PEZO</t>
  </si>
  <si>
    <t>CRISTOFER GENEROSO RUIZ HUAYTA</t>
  </si>
  <si>
    <t>VIANCA RODRIGUEZ CHAVEZ</t>
  </si>
  <si>
    <t>ADIXON LUVER ACHO ATACHI</t>
  </si>
  <si>
    <t>ANITH RADAMEL VASQUEZ R.</t>
  </si>
  <si>
    <t>YOSHI CESAR TEJADA GONZALES</t>
  </si>
  <si>
    <t>WERLINSON PIZANGO ALACHI</t>
  </si>
  <si>
    <t>CHRISTIAN ISRRAEL KIARI NODRE</t>
  </si>
  <si>
    <t>NICOL VALENTINA DOÑEZ CHUJUTALLI</t>
  </si>
  <si>
    <t>PATRICK</t>
  </si>
  <si>
    <t>JEAN PIERO LACHUMA CHUJUTALLI</t>
  </si>
  <si>
    <t>ROY MACUYAMA GEMAN</t>
  </si>
  <si>
    <t>ERICK JOEL CONDORI PANDURO</t>
  </si>
  <si>
    <t>ANGEL ISAAC SAAVEDRA MARIÑO</t>
  </si>
  <si>
    <t>RUTH ESTHER SINARAHUA PINCHI</t>
  </si>
  <si>
    <t>MARIANA BRILLITH TAPULLIMA PINEDO</t>
  </si>
  <si>
    <t>MERLI VARGAS JIMENEZ</t>
  </si>
  <si>
    <t>MERARDO BAZAN PEREZ</t>
  </si>
  <si>
    <t>ROYSER JAIR GONZALES SANGAMA</t>
  </si>
  <si>
    <t>JILARY GIMENEZ ALVA</t>
  </si>
  <si>
    <t>KEYLY BALERIA TORRES PANDURO</t>
  </si>
  <si>
    <t>ADRIANO GABRIEL PASTRANA DEL AGUILA</t>
  </si>
  <si>
    <t>CAMILA NICOLE CHANCHARI PANDURO</t>
  </si>
  <si>
    <t>DILVER MIGUEL CANAQUIRI BARDALES</t>
  </si>
  <si>
    <t>REVEL NARO HUAYTAN</t>
  </si>
  <si>
    <t>MARIA STACY UCEDA LIBIAPOMA</t>
  </si>
  <si>
    <t>RAY ADRIANO CHANCHARI ACIPALI</t>
  </si>
  <si>
    <t>KAREN CORREA SINARAHUA</t>
  </si>
  <si>
    <t>SERGIO ALEXANDER MELENDEZ RUBIO</t>
  </si>
  <si>
    <t>ANDY DANIEL AHUANARI LAVI</t>
  </si>
  <si>
    <t>DANIEL FERNANDO CACERES GARCIA</t>
  </si>
  <si>
    <t>FRIX SHIRLEY CAHUACHI TAPULLIMA</t>
  </si>
  <si>
    <t>AIXA LARISSA CORAL ANDRADE</t>
  </si>
  <si>
    <t xml:space="preserve">JERAL DIAZ CHAVEZ </t>
  </si>
  <si>
    <t>KOLI MIREYA FATAMA MURAYARI</t>
  </si>
  <si>
    <t>ANEL ROGER LINARES PEÑA</t>
  </si>
  <si>
    <t>NAYN KEYZUCK LOPEZ ARMAS</t>
  </si>
  <si>
    <t>GEYLI LUÑO MOZOMBITE</t>
  </si>
  <si>
    <t>MAX FERNANDO NAVARRO SILVANO</t>
  </si>
  <si>
    <t>JADE RICOPA CAHUAZA</t>
  </si>
  <si>
    <t>RHJU ALI RUIZ CHAUCAS</t>
  </si>
  <si>
    <t>JEYSITH MILAGROS TAMANI GUEDES</t>
  </si>
  <si>
    <t>CRISTOFER MURAYARI YUMBATO</t>
  </si>
  <si>
    <t>FRECIA THALIA,GARCIA MURAYARI</t>
  </si>
  <si>
    <t>KIOXAN,NAVARRO RODRIGUEZ</t>
  </si>
  <si>
    <t>SOFIA SAORI, PEZO ETENE</t>
  </si>
  <si>
    <t>SHIRLEY ELVIRA,TAPUY CARIAJANO</t>
  </si>
  <si>
    <t>ANGEL, VENANCINO ARIRAMA.</t>
  </si>
  <si>
    <t xml:space="preserve">ANA CRISTINA AMASIFUEN AMASIFUEN </t>
  </si>
  <si>
    <t>JONATHAN JAVIER GARCÍA BASTIDAS</t>
  </si>
  <si>
    <t>EVELIN BRILLI SALAS SILVANO</t>
  </si>
  <si>
    <t>Carlos Leonel Zamora Hualinga</t>
  </si>
  <si>
    <t>RENINGER RAFAEL CHACHARI LOPEZ</t>
  </si>
  <si>
    <t>ALEX ANTONIO ETENE CANCINO</t>
  </si>
  <si>
    <t>SAUL HUAYAMBA RODRIGUEZ</t>
  </si>
  <si>
    <t>JESUS MASHACURI</t>
  </si>
  <si>
    <t>CLAUDIA RIVERA TUISIMA</t>
  </si>
  <si>
    <t>JEYSI GAMONAL PAREDES</t>
  </si>
  <si>
    <t>VIVIANA LOZANO INUMA</t>
  </si>
  <si>
    <t>BRAILLE PELILEO JIPA</t>
  </si>
  <si>
    <t>DANNY GUERRA HUAICAMA</t>
  </si>
  <si>
    <t>REY MANUEL CORONADO ORTIZ</t>
  </si>
  <si>
    <t>OLIVER HAMILTON PANDURO SILVA</t>
  </si>
  <si>
    <t>MARICIELO REATEGUI SILVA</t>
  </si>
  <si>
    <t>ADRIANA GONZALES MOZOMBITE</t>
  </si>
  <si>
    <t>JOSUE MARIN SANGAMA</t>
  </si>
  <si>
    <t>ALISCE M. ISUIZA CASARA</t>
  </si>
  <si>
    <t>BRICETH REYNA JIMENEZ</t>
  </si>
  <si>
    <t>JAMESM TORRES HUAICAMA</t>
  </si>
  <si>
    <t>JAREN VARGAS AMARINGO</t>
  </si>
  <si>
    <t>Herramientas de Ofimática de Google, Ensamblaje de computoras</t>
  </si>
  <si>
    <t>SIXTON GONZALES AHUANARI</t>
  </si>
  <si>
    <t>KARLA PAULINA RIOS ORTIZ</t>
  </si>
  <si>
    <t>ADELA ESTHER AREVALO CORNEJO</t>
  </si>
  <si>
    <t>ANDERSON NICOLAS ISUIZA FLORES</t>
  </si>
  <si>
    <t>DANNY ALCIBIADES VARGAS AMARINGO</t>
  </si>
  <si>
    <t>ABSALON DE JESUS CACHIQUE VASQUEZ</t>
  </si>
  <si>
    <t>PRYA CHARLIN BACA CONDORI</t>
  </si>
  <si>
    <t>PILAR CHOTA TALEXIO</t>
  </si>
  <si>
    <t>ALEXIS LAULATE LUÑO</t>
  </si>
  <si>
    <t>Herramientas de Ofimática de Microsoft, Herramientas de Ofimática de Google, Herramientas de Diseño Web, Herramientas de Diseño Gráfico</t>
  </si>
  <si>
    <t>PERCY AREVALO SEGURA</t>
  </si>
  <si>
    <t>GEIVER AREVALO VELA</t>
  </si>
  <si>
    <t>WILLY PIERO DAVILA CAHUACHI</t>
  </si>
  <si>
    <t>CONNY YBETH PACAYA VASQUEZ</t>
  </si>
  <si>
    <t>SEGUNDO JAIME ASPIROS RODRIGUEZ</t>
  </si>
  <si>
    <t>XX</t>
  </si>
  <si>
    <t>JORGE AIVER PANDURO MACUSI</t>
  </si>
  <si>
    <t>LEYDI CARMEN SINARAHUA CNEPO</t>
  </si>
  <si>
    <t>IVONE MARGARITA TEJADA PEÑA</t>
  </si>
  <si>
    <t>CARMEN AMIS LOZANO ROMAINA</t>
  </si>
  <si>
    <t>CRISTIANO RONALDO PEREZ TAPULLIMA</t>
  </si>
  <si>
    <t>ADRIANA CELESTE SILVANO PEREZ</t>
  </si>
  <si>
    <t xml:space="preserve">JULIO TEJADA PEÑA </t>
  </si>
  <si>
    <t>LINDER GARCIA DIAZ</t>
  </si>
  <si>
    <t>STHYAN KALERY AMASIFUEN ZAVALETA</t>
  </si>
  <si>
    <t>JHORDAN SEBASTIÁN DÁVILA PÉREZ</t>
  </si>
  <si>
    <t>HÉCTOR ELÍ HEREDIA MURAYARI</t>
  </si>
  <si>
    <t>GRECIA MARICELA PORTOCARRERO PEÑA</t>
  </si>
  <si>
    <t>ELMER ARMAS CACHIQUE</t>
  </si>
  <si>
    <t>KEVIN LUÑO MOZOMBITE</t>
  </si>
  <si>
    <t>CESAR SAMUEL SIQUIHUA PEREZ</t>
  </si>
  <si>
    <t>ERWIN ALBERTO, FLORES ARMAS.</t>
  </si>
  <si>
    <t>CRISTIAN MOZOMBITE PIPA.</t>
  </si>
  <si>
    <t>CRISTHIAN ALEX, NAVARRO COQUINCHE.</t>
  </si>
  <si>
    <t>FIORI MADIEL,NUÑEZ FASABI.</t>
  </si>
  <si>
    <t>FRANCO ALVEIRO, PEZO ETENE.</t>
  </si>
  <si>
    <t>JOSEPH M, QUISPE L</t>
  </si>
  <si>
    <t>Otro</t>
  </si>
  <si>
    <t>HICLER, TAPAYURI TAMINCHI.</t>
  </si>
  <si>
    <t>GUZBITA EUNICIA, HUSE CARIAJANO.</t>
  </si>
  <si>
    <t>GERALDY,MANUYAMA HUAYUNGA.</t>
  </si>
  <si>
    <t>CHUISTON, MORCERA DEL AGUILA.</t>
  </si>
  <si>
    <t>TEDY RANDY, ROSALESGUERRA.</t>
  </si>
  <si>
    <t>JUAN MANUEL,TUESTA AHUANARI.</t>
  </si>
  <si>
    <t>MAEBA ANGELICA AJON YUYARIMA</t>
  </si>
  <si>
    <t>JHOSELY ISABEL CASARA PIZANGO</t>
  </si>
  <si>
    <t>ARGELY MICHELY CHANCHARI PANDURO</t>
  </si>
  <si>
    <t>DENIS DAVID FLORES PIZANGO</t>
  </si>
  <si>
    <t>LISBETH YOLANDA PADILLA GUERRA</t>
  </si>
  <si>
    <t>JUAN CARLOS SINARAHUA MOZOMBITE</t>
  </si>
  <si>
    <t>DANFER LISANDRO VARGAS DAHUA</t>
  </si>
  <si>
    <t>Maria cristina vargas shavier</t>
  </si>
  <si>
    <t>Gomez Giron Linda</t>
  </si>
  <si>
    <t>Juarez Navarro Oliver</t>
  </si>
  <si>
    <t>Vilcherres Alama Fabricio</t>
  </si>
  <si>
    <t>Tejada Abad Fabiana</t>
  </si>
  <si>
    <t>Roman Arrunategui Yadira Marisol</t>
  </si>
  <si>
    <t>Carmen Nima Segundo Andy</t>
  </si>
  <si>
    <t>Nima Navarro Jhonthan Edu</t>
  </si>
  <si>
    <t>Nima Salvador Jhan Carlos</t>
  </si>
  <si>
    <t>Nima Marquez Omar Joel</t>
  </si>
  <si>
    <t>Zapata Hernandez Melany Antonella</t>
  </si>
  <si>
    <t>Juarez Nima John Eder</t>
  </si>
  <si>
    <t>Ruiz Peña Stefano Alexandro</t>
  </si>
  <si>
    <t>Bereche Aguilar Sheyla Xiomara</t>
  </si>
  <si>
    <t>Dominmguez  Cuz Willian Alonso</t>
  </si>
  <si>
    <t>Elias Carmen Ricardo Javier</t>
  </si>
  <si>
    <t xml:space="preserve">Flores Cordova Jeam Franco Ovelar </t>
  </si>
  <si>
    <t>Huanambal Rojas Max Erick</t>
  </si>
  <si>
    <t>Calle Juárez Juan Melquiades.</t>
  </si>
  <si>
    <t>Calle Carnero Abraham</t>
  </si>
  <si>
    <t>Nuñez Carmen Marco David</t>
  </si>
  <si>
    <t>Valdiviezo Rufino Másico Alonso</t>
  </si>
  <si>
    <t>Zapata Raymundo Karina Yasmin</t>
  </si>
  <si>
    <t>Maza Vilcherrez Jorge Manuel</t>
  </si>
  <si>
    <t>Peña Ortiz Dariana Pamela</t>
  </si>
  <si>
    <t>Vilcherrez Cristhian Joel</t>
  </si>
  <si>
    <t>Carmen García Melissa Nicol</t>
  </si>
  <si>
    <t>Nima Pacherres Dana Noemi</t>
  </si>
  <si>
    <t>Hernández Bereche Grey's Fernanda</t>
  </si>
  <si>
    <t>Hernández Alama Rosita Yanella</t>
  </si>
  <si>
    <t>Córdova Gonza Uberly</t>
  </si>
  <si>
    <t>Zeta García Juan de Dios</t>
  </si>
  <si>
    <t>Flores Vilches Yordin Paul</t>
  </si>
  <si>
    <t>Chuquihuanca Saavedra Mayra</t>
  </si>
  <si>
    <t>Juarez Alama Jexson Aldair</t>
  </si>
  <si>
    <t>Seminario Juarez Brando Samir</t>
  </si>
  <si>
    <t xml:space="preserve">Juarez Navarro Tony Antonio </t>
  </si>
  <si>
    <t>Hernández Juarez Eliana Sarai</t>
  </si>
  <si>
    <t xml:space="preserve">Elizalde Guallanay Humberto Jesús </t>
  </si>
  <si>
    <t>Navarro Juarez Jeanpier Alexis</t>
  </si>
  <si>
    <t>Jhesica Brizeth Milla Paredez</t>
  </si>
  <si>
    <t>Amelia Maripaz,RAMOS GUERRERO</t>
  </si>
  <si>
    <t>Sergio Benito, MILLA RAMOS</t>
  </si>
  <si>
    <t>Jhordy Fernando Milla Llanto</t>
  </si>
  <si>
    <t>Sergio Omar, LLANTO FRUCTUOSO</t>
  </si>
  <si>
    <t>Piero Aldair Espinoza Mata</t>
  </si>
  <si>
    <t>Yhadira Gonzales Bailon</t>
  </si>
  <si>
    <t>Michaell Alejandro Lostaunau Polo</t>
  </si>
  <si>
    <t xml:space="preserve">HANSHELO ENRIQUE ANTAY </t>
  </si>
  <si>
    <t xml:space="preserve">MELODY  ZELARAYAN BLAS </t>
  </si>
  <si>
    <t xml:space="preserve">CARMELA NAVARRO QUISPE </t>
  </si>
  <si>
    <t xml:space="preserve">RODRIGO CAPCHA FLORES </t>
  </si>
  <si>
    <t>JHEDER QUISPE CAPCHA</t>
  </si>
  <si>
    <t>Adelina MANUELO MARALANO</t>
  </si>
  <si>
    <t xml:space="preserve">CARLA BEATRIZ CCENCHO INFANTE </t>
  </si>
  <si>
    <t xml:space="preserve">LUIS CARLOS ARECHE </t>
  </si>
  <si>
    <t>LIZAIDA DAVILA HUAYHUARIMA</t>
  </si>
  <si>
    <t>RICHARD DAVILA  LAURA</t>
  </si>
  <si>
    <t>CINTYA TORRE ESPEZA</t>
  </si>
  <si>
    <t>SONYU MUÑOZ MUÑOZ</t>
  </si>
  <si>
    <t>YENI PATALA HUAYHUARIMA</t>
  </si>
  <si>
    <t>Herramientas de Ofimática de Microsoft, Herramientas de Ofimática de Google, Herramientas de Diseño Web</t>
  </si>
  <si>
    <t xml:space="preserve">LILIANA ESPEZA CCAÑAHUA </t>
  </si>
  <si>
    <t xml:space="preserve">PERCY ELVIS INGA PATALA </t>
  </si>
  <si>
    <t>Diana ANTAY GUEVARA</t>
  </si>
  <si>
    <t>Max Anthony PEREZ MOLINA</t>
  </si>
  <si>
    <t>Lenguajes de programación</t>
  </si>
  <si>
    <t>Virna Maryori YANCE AUCAPIÑA</t>
  </si>
  <si>
    <t>Maycol SALVATIERRA MARALLANO</t>
  </si>
  <si>
    <t>Luis Angel LLIMPE CALDERON</t>
  </si>
  <si>
    <t>Cinthia  Lucero TORRES LANDEO</t>
  </si>
  <si>
    <t>David CORNEJO PEREZ</t>
  </si>
  <si>
    <t>Mark BrandoQUISPE ESCOBAR</t>
  </si>
  <si>
    <t>Brayan AUQUI TITO</t>
  </si>
  <si>
    <t>Rony TITO TELLO</t>
  </si>
  <si>
    <t>DAVID QUISPE CHAMPI</t>
  </si>
  <si>
    <t>VIDAL HUILLCA QUISPE</t>
  </si>
  <si>
    <t xml:space="preserve">Reynaldo Qquesuallpa </t>
  </si>
  <si>
    <t>Yordy Zarate Cuevas</t>
  </si>
  <si>
    <t>Adriano Quispe Condori</t>
  </si>
  <si>
    <t>Maribel Mendoza Ayme</t>
  </si>
  <si>
    <t>Nestor Uriel Quispe Quispe</t>
  </si>
  <si>
    <t>Efrain Lopez Quispe</t>
  </si>
  <si>
    <t>Erick Merma Halanoca</t>
  </si>
  <si>
    <t>Ruth Karina Quispe Huaman</t>
  </si>
  <si>
    <t>Ruth Yeritza Merma Huaman</t>
  </si>
  <si>
    <t>Flor Sadith Mendoza Chacon</t>
  </si>
  <si>
    <t>Ana Lucía Mamani Ulloa</t>
  </si>
  <si>
    <t>Edwin Mamani Chacon</t>
  </si>
  <si>
    <t>Tatiana Alexandra Auccacusi Sanchez</t>
  </si>
  <si>
    <t>Yosimar Oscar Quispe Ulloa</t>
  </si>
  <si>
    <t>Chillihuani Chillihuani Lisbeth Analy</t>
  </si>
  <si>
    <t>Nina Yana Delia</t>
  </si>
  <si>
    <t>NIEL ADRIEL FACHIN SAMANCIMA</t>
  </si>
  <si>
    <t>WILER</t>
  </si>
  <si>
    <t>ADRIÁN ALEXIS DÁVILA PÉREZ</t>
  </si>
  <si>
    <t>ROBERTO CARLOS FALCÓN CAHUAZA</t>
  </si>
  <si>
    <t>LEIDY HIDALGO NASHNATE</t>
  </si>
  <si>
    <t>JACKSON PEZO MURAYARI</t>
  </si>
  <si>
    <t>ULISES SANDOVAL ROMAYNA</t>
  </si>
  <si>
    <t>DARWIN ANDY TAMANI TORRES</t>
  </si>
  <si>
    <t>MOISES CASTERNOQUE ALVA</t>
  </si>
  <si>
    <t>DARWIN JOSE GARCIA SAJAMI</t>
  </si>
  <si>
    <t>ANELHI SOLANGE MACEDO RICOPA</t>
  </si>
  <si>
    <t>JOHAN BRUS MANANITA ALEGRIA</t>
  </si>
  <si>
    <t>FLOR CELESTE OJANAMA CUELLAR</t>
  </si>
  <si>
    <t>EDUARD PEZO SOTELO</t>
  </si>
  <si>
    <t>JUAN ANTONIO PEZO SOTELO</t>
  </si>
  <si>
    <t>JULIETA ROMINA SEGURA BOCANEGRA</t>
  </si>
  <si>
    <t>MARIANA ISABEL SOTO CUÑAÑAY</t>
  </si>
  <si>
    <t xml:space="preserve">ASHSLEY RIANA VASQUEZ RAMIREZ </t>
  </si>
  <si>
    <t>MELANIA DEL ROCIO ASCURRA SHUÑA</t>
  </si>
  <si>
    <t>ROBERTO CARLOS CERROY SANDOVAL</t>
  </si>
  <si>
    <t>MATIAS ADRIANO ISUIZA CASARA</t>
  </si>
  <si>
    <t>CRISTIANA VIVIANA PUA MARIÑO</t>
  </si>
  <si>
    <t>LARISA LUANA RENGIFO CHANCHARI</t>
  </si>
  <si>
    <t>MARIE FRANCE SUAREZ PINEDO</t>
  </si>
  <si>
    <t>JUAN ARTEMIO RIOS CUNAYAPA</t>
  </si>
  <si>
    <t>DIANA EUNICE CACHIQUE ZABALETA</t>
  </si>
  <si>
    <t>BRANDEN VALDERRAMA VILCA</t>
  </si>
  <si>
    <t>ANSELMA PANDURO YAICATE</t>
  </si>
  <si>
    <t>FERNANDO VALDERRAMA VILCA</t>
  </si>
  <si>
    <t>PILAR MURAYARI COLLANTES</t>
  </si>
  <si>
    <t>LUZ MILAGROS RÍOS VÁSQUEZ</t>
  </si>
  <si>
    <t>JOSUÉ SAÚL VARGAS PEZO</t>
  </si>
  <si>
    <t>IBELY BERITA ALVARADO LANZA</t>
  </si>
  <si>
    <t>CILER SIMON ANDRADE DUPA</t>
  </si>
  <si>
    <t>ESTEFANY FLORCITA ARIMUYA TARICUARIMA</t>
  </si>
  <si>
    <t xml:space="preserve">JHOHARIZ COMETIVO TUESTA </t>
  </si>
  <si>
    <t>RAYLI ZULEYKA GONZALES MACEDO</t>
  </si>
  <si>
    <t>PABLO DAVID GUEVARA RAMIREZ</t>
  </si>
  <si>
    <t xml:space="preserve">RUTH MARIA LOPEZ LOPEZ </t>
  </si>
  <si>
    <t xml:space="preserve">RODRIGO JESUS MANANITA ALEGRIA </t>
  </si>
  <si>
    <t xml:space="preserve">GILBERTO JIM PIER PEREA LAVIS </t>
  </si>
  <si>
    <t>ANISON LUCERO PANAIFO MANIHUARI</t>
  </si>
  <si>
    <t xml:space="preserve">BRANDY TEJADA SOLSOL </t>
  </si>
  <si>
    <t>SANDRELY AMASIFUEN FLORES</t>
  </si>
  <si>
    <t>GERARDO ADAN ARIMUYA SAAVEDRA</t>
  </si>
  <si>
    <t>NELVIN ATACHI VASQUEZ</t>
  </si>
  <si>
    <t>MILITON CHAVEZ MALAFAYA</t>
  </si>
  <si>
    <t>TAHINA YESSLIN GARCIA FACHIN</t>
  </si>
  <si>
    <t>LUZ JADIRIA PINEDO PEREZ</t>
  </si>
  <si>
    <t>ELI DANIEL RENGIFO CHANCHARI</t>
  </si>
  <si>
    <t>MEYLI VARGAS JIMENES</t>
  </si>
  <si>
    <t>Juarez Alama Jose Daniel</t>
  </si>
  <si>
    <t xml:space="preserve">Calle Ramos Nayeli del Pilar </t>
  </si>
  <si>
    <t>Yeritza Yojara HUALLPAHUAQUE JARA</t>
  </si>
  <si>
    <t>Rodoaldo Henri PAJUELO MURGA</t>
  </si>
  <si>
    <t>Carlos Fernando,CHACHAS RAMOS</t>
  </si>
  <si>
    <t>Angel ARANGO PEREZ</t>
  </si>
  <si>
    <t>Sury SULCA SULCA</t>
  </si>
  <si>
    <t>COMPONENTE</t>
  </si>
  <si>
    <t>ENCUESTADO</t>
  </si>
  <si>
    <t>ID. Grado</t>
  </si>
  <si>
    <t>Sección</t>
  </si>
  <si>
    <t>COLEGIO</t>
  </si>
  <si>
    <t>Data</t>
  </si>
  <si>
    <t>2° Grado - H</t>
  </si>
  <si>
    <t>2° Grado - M</t>
  </si>
  <si>
    <t>4° Grado - H</t>
  </si>
  <si>
    <t>4° Grado - M</t>
  </si>
  <si>
    <t>6° Grado - H</t>
  </si>
  <si>
    <t>6° Grado - M</t>
  </si>
  <si>
    <t/>
  </si>
  <si>
    <t>87009-01</t>
  </si>
  <si>
    <t>36153 SAYRI TUPAC</t>
  </si>
  <si>
    <t>36173 SANTIAGO ANTUNEZ DE MAYOLO</t>
  </si>
  <si>
    <t>GENERO</t>
  </si>
  <si>
    <t>5° Grado - H</t>
  </si>
  <si>
    <t>5° Grado - M</t>
  </si>
  <si>
    <t>811 (NUEVA ESPERANZA)</t>
  </si>
  <si>
    <t>536 (13 DE FEBRERO)</t>
  </si>
  <si>
    <t>405 (CAHUIDE)</t>
  </si>
  <si>
    <t xml:space="preserve">333-B </t>
  </si>
  <si>
    <t xml:space="preserve">555-B </t>
  </si>
  <si>
    <t>DIGITAL</t>
  </si>
  <si>
    <t>COLEGIOS / RED</t>
  </si>
  <si>
    <t>Opciones</t>
  </si>
  <si>
    <t>Valor</t>
  </si>
  <si>
    <t>COMPONENTES</t>
  </si>
  <si>
    <t>SUJETO</t>
  </si>
  <si>
    <t>Equiteta</t>
  </si>
  <si>
    <t># Región</t>
  </si>
  <si>
    <t>Lugar</t>
  </si>
  <si>
    <t>RED Lugar</t>
  </si>
  <si>
    <t># Lugar</t>
  </si>
  <si>
    <t>GRADO Y SECCIÓN</t>
  </si>
  <si>
    <t>SECCIÓN</t>
  </si>
  <si>
    <t>SI</t>
  </si>
  <si>
    <t>0</t>
  </si>
  <si>
    <t>Escala de nota</t>
  </si>
  <si>
    <t>RED 44</t>
  </si>
  <si>
    <t>44</t>
  </si>
  <si>
    <t>Cusco</t>
  </si>
  <si>
    <t>RER FA 44 CUSCO</t>
  </si>
  <si>
    <t>1° Grado - H</t>
  </si>
  <si>
    <t>1</t>
  </si>
  <si>
    <t>1-10</t>
  </si>
  <si>
    <t>2° Primaria</t>
  </si>
  <si>
    <t>0 a 20</t>
  </si>
  <si>
    <t>21 a 42</t>
  </si>
  <si>
    <t>43 a 50</t>
  </si>
  <si>
    <t>RED 47</t>
  </si>
  <si>
    <t>47</t>
  </si>
  <si>
    <t>Iquitos</t>
  </si>
  <si>
    <t>RER FA 47 IQUITOS</t>
  </si>
  <si>
    <t>47. Iquitos</t>
  </si>
  <si>
    <t>1° Grado - M</t>
  </si>
  <si>
    <t>2</t>
  </si>
  <si>
    <t>11-13</t>
  </si>
  <si>
    <t>4° Primaria</t>
  </si>
  <si>
    <t>RED 48</t>
  </si>
  <si>
    <t>48</t>
  </si>
  <si>
    <t>Malingas</t>
  </si>
  <si>
    <t>RER FA 48 MALINGAS</t>
  </si>
  <si>
    <t>48. Malingas</t>
  </si>
  <si>
    <t>NO</t>
  </si>
  <si>
    <t>3</t>
  </si>
  <si>
    <t>14-17</t>
  </si>
  <si>
    <t>6° Primaria</t>
  </si>
  <si>
    <t>RED 54</t>
  </si>
  <si>
    <t>54</t>
  </si>
  <si>
    <t>Moro</t>
  </si>
  <si>
    <t>RER FA 54 MORO</t>
  </si>
  <si>
    <t>54. Moro</t>
  </si>
  <si>
    <t>4</t>
  </si>
  <si>
    <t>18-20</t>
  </si>
  <si>
    <t>2° Secundaria</t>
  </si>
  <si>
    <t>RED 72</t>
  </si>
  <si>
    <t>72</t>
  </si>
  <si>
    <t>Pucallpa</t>
  </si>
  <si>
    <t>RER FA 72 PUCALLPA</t>
  </si>
  <si>
    <t>72. Pucallpa</t>
  </si>
  <si>
    <t>4° Secundaria</t>
  </si>
  <si>
    <t>RED 79</t>
  </si>
  <si>
    <t>79</t>
  </si>
  <si>
    <t>Acobamba</t>
  </si>
  <si>
    <t>RER FA 79 ACOBAMBA</t>
  </si>
  <si>
    <t>79. Acobamba</t>
  </si>
  <si>
    <t>*.</t>
  </si>
  <si>
    <t>0-10</t>
  </si>
  <si>
    <t>501432</t>
  </si>
  <si>
    <t>566</t>
  </si>
  <si>
    <t>Escala de calificación</t>
  </si>
  <si>
    <t>Descripción</t>
  </si>
  <si>
    <t>18 - 20</t>
  </si>
  <si>
    <t>Cuando el docente evidencia un dominio sobresaliente en las competencias digitales, demostrando manejo avanzado y aplicado en diversas situaciones educativas.</t>
  </si>
  <si>
    <t>14 - 17</t>
  </si>
  <si>
    <t>Cuando el docente evidencia el logro de las competencias digitales previstas, aplicándolas correctamente en la práctica docente.</t>
  </si>
  <si>
    <t>En proceso de desarrollo</t>
  </si>
  <si>
    <t>11 - 13</t>
  </si>
  <si>
    <t>Cuando el docente está en proceso de alcanzar las competencias digitales esperadas, mostrando avances parciales y áreas que requieren fortalecimiento.</t>
  </si>
  <si>
    <t>Nivel inicial</t>
  </si>
  <si>
    <t>10 o menos</t>
  </si>
  <si>
    <t>Cuando el docente evidencia un nivel básico o inicial en las competencias digitales, requiriendo mayor apoyo y acompañamiento para su desarrollo.</t>
  </si>
  <si>
    <t>Nombre de la IIEE:</t>
  </si>
  <si>
    <t>Ablohas unldılama</t>
  </si>
  <si>
    <t>Nombres y apellidos:</t>
  </si>
  <si>
    <t>Mila</t>
  </si>
  <si>
    <t>Sexo:</t>
  </si>
  <si>
    <t>Edad:</t>
  </si>
  <si>
    <t>¿Con qué tipo de dispositivo te conectas a internet desde casa?</t>
  </si>
  <si>
    <t>Smartphone(celular)</t>
  </si>
  <si>
    <t>¿Tu Institución Educativa cuenta con Aulas de Innovación?</t>
  </si>
  <si>
    <t>Temáticas aprendidas en computación e informática:</t>
  </si>
  <si>
    <t>1. Elijo buscadores de distinto tipo para encontrar y seleccionar información relevante. Además puedo guardar mis páginas favoritas.</t>
  </si>
  <si>
    <t>2. Guardo mis archivos como documentos, fotos, videos entre otros en la nube (como por ejemplo Google Drive), organizándolos correctamente en carpetas o en otros portafolios digitales.</t>
  </si>
  <si>
    <t>con facilidad</t>
  </si>
  <si>
    <t>3. Creo productos como presentaciones, videos, podcast, infografías, páginas web entre otros, para comunicar mis ideas a los demás.</t>
  </si>
  <si>
    <t>No sé cómo hacerlo</t>
  </si>
  <si>
    <t>4. Grabo audios y videos con la computadora, tablet o celular y puedo editarlos para entregar tareas.</t>
  </si>
  <si>
    <t>5. Creo y trabajo en documentos, archivos y carpetas colaborativos estableciendo niveles de acceso como editor, lector y comentador.</t>
  </si>
  <si>
    <t>Necesito ayuda</t>
  </si>
  <si>
    <t>6. Puedo enviar correos electrónicos a otras personas adjuntando archivos de mi computadora, tablet o celular y de la nube.</t>
  </si>
  <si>
    <t>7. Puedo valorar cuando la información que busco en Internet tiene credibilidad y relevancia.</t>
  </si>
  <si>
    <t>8. Creo organizadores visuales (como mapas mentales o conceptuales) utilizando herramientas como PowerPoint, Presentaciones de Google o cualquier otra desde mi computadora, tablet o celular o también de Internet para presentar las conclusiones y aprendizajes de los temas que investigo.</t>
  </si>
  <si>
    <t>9. Cuando enfrento un problema complejo lo puedo descomponer para solucionarlo.</t>
  </si>
  <si>
    <t>10. Puedo identificar lo más importante de un problema, ignorando los detalles poco relevantes.</t>
  </si>
  <si>
    <t>11. Utilizo instrucciones condicionales y repetitivas al implementar algoritmos.</t>
  </si>
  <si>
    <t>12. Puedo crear soluciones tecnológicas utilizando lenguajes de programación.</t>
  </si>
  <si>
    <t>13. Tengo conocimientos y manejo de base de datos.</t>
  </si>
  <si>
    <t>14. Puedo obtener estadísticas con los datos de una hoja de cálculo para analizar la información.</t>
  </si>
  <si>
    <t>15. Sé cómo funciona un robot y cómo programarlo para que realice acciones para resolver problemas del entorno.</t>
  </si>
  <si>
    <t>16. Conozco el manejo de placas como Arduino, para programar sensores y otros usos.</t>
  </si>
  <si>
    <t>17. Cuando publico videos o post en redes sociales cuido de no exponer datos ni información que perjudique a otros o a mí mismo.</t>
  </si>
  <si>
    <t>18. Soy consciente que todo lo que hago en redes, comentarios, mensajes, fotos, mis datos, dejan una huella digital.</t>
  </si>
  <si>
    <t>19. Suelo ser respetuoso cuando me comunico por correo, foros o chat con otros.</t>
  </si>
  <si>
    <t>20. Suelo respetar a otros al publicar información en redes sociales.</t>
  </si>
  <si>
    <t>21. Cuando realizo trabajos de investigación, respeto los derechos de autor, sin copiar y pegar información, citando correctamente a los autores con formatos como APA.</t>
  </si>
  <si>
    <t>22. Conozco el uso de banco de imágenes y otros recursos gratuitos para usarlos en mis trabajos.</t>
  </si>
  <si>
    <t>23. Conozco formas de establecer y medir contraseñas seguras en Internet.</t>
  </si>
  <si>
    <t>24. Soy cuidadoso con los datos personales como nombre, dirección, correo o teléfono cuando me registro en redes sociales y otros espacios.</t>
  </si>
  <si>
    <t>Comentario del proceso de extracción</t>
  </si>
  <si>
    <t>Sevundaria</t>
  </si>
  <si>
    <t>Item Examen</t>
  </si>
  <si>
    <t>ID. Cuadernillo</t>
  </si>
  <si>
    <t>Curso</t>
  </si>
  <si>
    <t>Cuadernillo</t>
  </si>
  <si>
    <t># Criterios</t>
  </si>
  <si>
    <t>Max Nota</t>
  </si>
  <si>
    <t>Rango</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</si>
  <si>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</si>
  <si>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</si>
  <si>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</si>
  <si>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</si>
  <si>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</si>
  <si>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</si>
  <si>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</si>
  <si>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</si>
  <si>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</si>
  <si>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</si>
  <si>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</si>
  <si>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</si>
  <si>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</si>
  <si>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</si>
  <si>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</si>
  <si>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</si>
  <si>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</si>
  <si>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</si>
  <si>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</si>
  <si>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</si>
  <si>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</si>
  <si>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</si>
  <si>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</si>
  <si>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</si>
  <si>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</si>
  <si>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PC1/1 Primaria</t>
  </si>
  <si>
    <t>Produccción de textos</t>
  </si>
  <si>
    <t>A</t>
  </si>
  <si>
    <t>C</t>
  </si>
  <si>
    <t>D</t>
  </si>
  <si>
    <t>MC1/2 Primaria</t>
  </si>
  <si>
    <t>MC1/4 Primaria</t>
  </si>
  <si>
    <t>MC1/6 Primaria</t>
  </si>
  <si>
    <t>MC1/2 Secundaria</t>
  </si>
  <si>
    <t>MC1/4 Secundaria</t>
  </si>
  <si>
    <t>BASE DE DATOS 2024 - RED 44 - CUZCO - COMUNINICACIÓN Y MATEMÁTICA</t>
  </si>
  <si>
    <t>RESPUESTAS</t>
  </si>
  <si>
    <t>Estud</t>
  </si>
  <si>
    <t>PUNTUACIÓN</t>
  </si>
  <si>
    <t>id</t>
  </si>
  <si>
    <t>Area</t>
  </si>
  <si>
    <t>Clave</t>
  </si>
  <si>
    <t>Prueba Aplicada</t>
  </si>
  <si>
    <t>APELL. PATERNO</t>
  </si>
  <si>
    <t>APELL. MATERNO</t>
  </si>
  <si>
    <t>NOMBRES</t>
  </si>
  <si>
    <t>P</t>
  </si>
  <si>
    <t>50492- CORAZON DE JESUS OCONGATE</t>
  </si>
  <si>
    <t>MATEMÁTICA CASTELLANO</t>
  </si>
  <si>
    <t xml:space="preserve">CCANAHUIRE </t>
  </si>
  <si>
    <t xml:space="preserve">GONZALES </t>
  </si>
  <si>
    <t>BRYAM ABNNEE</t>
  </si>
  <si>
    <t>MASCULINO</t>
  </si>
  <si>
    <t>b</t>
  </si>
  <si>
    <t>a</t>
  </si>
  <si>
    <t>c</t>
  </si>
  <si>
    <t xml:space="preserve">CONDORI </t>
  </si>
  <si>
    <t xml:space="preserve">QUIJHUA </t>
  </si>
  <si>
    <t>RUTH CINTIA</t>
  </si>
  <si>
    <t>FEMENINO</t>
  </si>
  <si>
    <t xml:space="preserve">MAMANI  </t>
  </si>
  <si>
    <t>MAMANI</t>
  </si>
  <si>
    <t>EDITH SHERLYN</t>
  </si>
  <si>
    <t xml:space="preserve">MENDOZA </t>
  </si>
  <si>
    <t xml:space="preserve">QUISPE </t>
  </si>
  <si>
    <t>AINTOR ABDIEL</t>
  </si>
  <si>
    <t xml:space="preserve">QQUENTASI </t>
  </si>
  <si>
    <t xml:space="preserve">PUMA </t>
  </si>
  <si>
    <t>RUSTH MIRELLA</t>
  </si>
  <si>
    <t xml:space="preserve">QUEA </t>
  </si>
  <si>
    <t xml:space="preserve">MAMANI </t>
  </si>
  <si>
    <t>IDAN ANDIEOT</t>
  </si>
  <si>
    <t xml:space="preserve">ULLOA </t>
  </si>
  <si>
    <t>CLARIBEL ADELINDA</t>
  </si>
  <si>
    <t xml:space="preserve">APAZA </t>
  </si>
  <si>
    <t>QUISPE,</t>
  </si>
  <si>
    <t>Vidal</t>
  </si>
  <si>
    <t xml:space="preserve">CCAPA , </t>
  </si>
  <si>
    <t>QUISPE</t>
  </si>
  <si>
    <t>Ivana Alejandra</t>
  </si>
  <si>
    <t xml:space="preserve">FLOREZ , </t>
  </si>
  <si>
    <t>PACHECO</t>
  </si>
  <si>
    <t>Jose Antonio</t>
  </si>
  <si>
    <t>d</t>
  </si>
  <si>
    <t xml:space="preserve">MAMANI , </t>
  </si>
  <si>
    <t>PHOCCOHUANCA</t>
  </si>
  <si>
    <t>Sheyla Milagros</t>
  </si>
  <si>
    <t xml:space="preserve">MONTALVO, </t>
  </si>
  <si>
    <t xml:space="preserve"> ROCCA</t>
  </si>
  <si>
    <t>Jhoshua Eyal</t>
  </si>
  <si>
    <t>QUISPE ,.</t>
  </si>
  <si>
    <t>LUNA</t>
  </si>
  <si>
    <t xml:space="preserve"> Luz Ariana</t>
  </si>
  <si>
    <t>RODRIGUEZ ,</t>
  </si>
  <si>
    <t>Jhosse Kaori</t>
  </si>
  <si>
    <t xml:space="preserve">URRUTIA , </t>
  </si>
  <si>
    <t>Edith Eum Hye</t>
  </si>
  <si>
    <t>APAZA</t>
  </si>
  <si>
    <t>Adriana milagros</t>
  </si>
  <si>
    <t xml:space="preserve">CRUZ </t>
  </si>
  <si>
    <t xml:space="preserve">LOAIZA </t>
  </si>
  <si>
    <t>Willian Fernando</t>
  </si>
  <si>
    <t>HUILLCA</t>
  </si>
  <si>
    <t xml:space="preserve">MACHACCA </t>
  </si>
  <si>
    <t>Iris Keyla</t>
  </si>
  <si>
    <t xml:space="preserve">QQUESUALLPA </t>
  </si>
  <si>
    <t>MACHACCA</t>
  </si>
  <si>
    <t>Jared Beltran</t>
  </si>
  <si>
    <t>RAFAILE</t>
  </si>
  <si>
    <t>Naidi Azumi</t>
  </si>
  <si>
    <t>ROMANI</t>
  </si>
  <si>
    <t xml:space="preserve">TURPO </t>
  </si>
  <si>
    <t>Jesus Adrian</t>
  </si>
  <si>
    <t>TURPO</t>
  </si>
  <si>
    <t xml:space="preserve"> CCAHUANA</t>
  </si>
  <si>
    <t xml:space="preserve"> Mhayli Luana</t>
  </si>
  <si>
    <t>AROCHE</t>
  </si>
  <si>
    <t>PUMA</t>
  </si>
  <si>
    <t>Yordy Stiven</t>
  </si>
  <si>
    <t>DAMIAN</t>
  </si>
  <si>
    <t>PARAVECINO</t>
  </si>
  <si>
    <t>Angeles Daged</t>
  </si>
  <si>
    <t>HUISA</t>
  </si>
  <si>
    <t>PEREZ</t>
  </si>
  <si>
    <t>Vania Romina</t>
  </si>
  <si>
    <t>ZARATE</t>
  </si>
  <si>
    <t>Oswaldo</t>
  </si>
  <si>
    <t>QQUESUALLPA</t>
  </si>
  <si>
    <t>ROCCA</t>
  </si>
  <si>
    <t>Vania Zamira</t>
  </si>
  <si>
    <t>Carlos Manuel</t>
  </si>
  <si>
    <t>CRUZ</t>
  </si>
  <si>
    <t>Karen Diana</t>
  </si>
  <si>
    <t>ZAMATA</t>
  </si>
  <si>
    <t xml:space="preserve">Andrea </t>
  </si>
  <si>
    <t>CHAMPI</t>
  </si>
  <si>
    <t>CHOQUE</t>
  </si>
  <si>
    <t>Xavi snaider</t>
  </si>
  <si>
    <t>CONDORI</t>
  </si>
  <si>
    <t>Yunder Quintin</t>
  </si>
  <si>
    <t>HUANCA</t>
  </si>
  <si>
    <t>Karinorca</t>
  </si>
  <si>
    <t>NINA</t>
  </si>
  <si>
    <t>MOSCOSO</t>
  </si>
  <si>
    <t>Alejandra Martha</t>
  </si>
  <si>
    <t>UMIÑA</t>
  </si>
  <si>
    <t>FLORES</t>
  </si>
  <si>
    <t>Daniel Alexander</t>
  </si>
  <si>
    <t xml:space="preserve">TUESTA </t>
  </si>
  <si>
    <t>LLACTA</t>
  </si>
  <si>
    <t>Cielo Celeste Emily</t>
  </si>
  <si>
    <t>Roy Alex</t>
  </si>
  <si>
    <t>GOMEZ</t>
  </si>
  <si>
    <t>QUENTA</t>
  </si>
  <si>
    <t>Ruth</t>
  </si>
  <si>
    <t>HUAMAN</t>
  </si>
  <si>
    <t>CCAPA</t>
  </si>
  <si>
    <t>Yerson Alan</t>
  </si>
  <si>
    <t>Jonathan Neymar</t>
  </si>
  <si>
    <t>Jack Rocky</t>
  </si>
  <si>
    <t>TTITO</t>
  </si>
  <si>
    <t>PAUCAR</t>
  </si>
  <si>
    <t>Luz Angely</t>
  </si>
  <si>
    <t>YUCRA</t>
  </si>
  <si>
    <t>Melissa</t>
  </si>
  <si>
    <t>CHILLIHUANI</t>
  </si>
  <si>
    <t>CHOQQUE</t>
  </si>
  <si>
    <t>Lady Diana</t>
  </si>
  <si>
    <t>HALANOCCA</t>
  </si>
  <si>
    <t>Nayely</t>
  </si>
  <si>
    <t>SULLCAPUMA</t>
  </si>
  <si>
    <t>Wilfredo</t>
  </si>
  <si>
    <t xml:space="preserve">CUEVAS </t>
  </si>
  <si>
    <t>Lourdes</t>
  </si>
  <si>
    <t>LUMA</t>
  </si>
  <si>
    <t xml:space="preserve">Brayan </t>
  </si>
  <si>
    <t>MANDURA</t>
  </si>
  <si>
    <t>AVILES</t>
  </si>
  <si>
    <t>Ángel Noe</t>
  </si>
  <si>
    <t>Imer Herberth</t>
  </si>
  <si>
    <t>ROMERO</t>
  </si>
  <si>
    <t>MELO</t>
  </si>
  <si>
    <t>Jose Gabriel</t>
  </si>
  <si>
    <t>CJANAHUIRE</t>
  </si>
  <si>
    <t>MAYO</t>
  </si>
  <si>
    <t>SENDY NORI</t>
  </si>
  <si>
    <t>GUZMAN</t>
  </si>
  <si>
    <t>KEVIN</t>
  </si>
  <si>
    <t>MACHACC</t>
  </si>
  <si>
    <t>ANA</t>
  </si>
  <si>
    <t>MENDOZA</t>
  </si>
  <si>
    <t xml:space="preserve"> JEFFERSON</t>
  </si>
  <si>
    <t>PINO</t>
  </si>
  <si>
    <t>YOHMI LUHANA</t>
  </si>
  <si>
    <t>QUIJHUA</t>
  </si>
  <si>
    <t>RUTH CAMILA</t>
  </si>
  <si>
    <t>JHEYSON FLORENS</t>
  </si>
  <si>
    <t>CALCINA</t>
  </si>
  <si>
    <t>ACHAHUI</t>
  </si>
  <si>
    <t>FLOR MEDOLY</t>
  </si>
  <si>
    <t>CURO</t>
  </si>
  <si>
    <t>XIARA</t>
  </si>
  <si>
    <t>FLOREZ</t>
  </si>
  <si>
    <t>RUSBEL</t>
  </si>
  <si>
    <t>PALOMINO</t>
  </si>
  <si>
    <t>VILAVILA</t>
  </si>
  <si>
    <t>SHENLOON VENGER</t>
  </si>
  <si>
    <t>SAYURI ANYELA</t>
  </si>
  <si>
    <t>MAX KELVIN</t>
  </si>
  <si>
    <t>RODRIGUEZ</t>
  </si>
  <si>
    <t>SULLY DANAE HEYDI</t>
  </si>
  <si>
    <t>Comprensión Lectora</t>
  </si>
  <si>
    <t>MC/2 Primaria</t>
  </si>
  <si>
    <t>COMPRENSIÓN LECTORA CASTELLANO</t>
  </si>
  <si>
    <t>MC/4 Primaria</t>
  </si>
  <si>
    <t>MC/6 Primaria</t>
  </si>
  <si>
    <t>50495 CCAPANA</t>
  </si>
  <si>
    <t>MATEMÁTICA QUECHUA</t>
  </si>
  <si>
    <t>NEIMAR</t>
  </si>
  <si>
    <t>ch</t>
  </si>
  <si>
    <t>chh</t>
  </si>
  <si>
    <t>COMPRENSIÓN LECTORA QUECHUA</t>
  </si>
  <si>
    <t>ROYER JAMES</t>
  </si>
  <si>
    <t>SILVA</t>
  </si>
  <si>
    <t>REYNALDO</t>
  </si>
  <si>
    <t>FERNANDEZ</t>
  </si>
  <si>
    <t>FLOR KATHERIN</t>
  </si>
  <si>
    <t>HUALLPA</t>
  </si>
  <si>
    <t>YEISON FRANCO</t>
  </si>
  <si>
    <t>MIRIAN</t>
  </si>
  <si>
    <t>ROSALINDA</t>
  </si>
  <si>
    <t>JANCCO</t>
  </si>
  <si>
    <t>NOEMI</t>
  </si>
  <si>
    <t>RUTH NAYDA</t>
  </si>
  <si>
    <t>LLANOS</t>
  </si>
  <si>
    <t>NEYMAR ALEX</t>
  </si>
  <si>
    <t>CCOLQQUE</t>
  </si>
  <si>
    <t>LUZ YENNY</t>
  </si>
  <si>
    <t>IRMA SOLEDAD</t>
  </si>
  <si>
    <t>ERNESTO</t>
  </si>
  <si>
    <t>CUCHUYRUMI</t>
  </si>
  <si>
    <t>NAY RUTH</t>
  </si>
  <si>
    <t>CUTIRI</t>
  </si>
  <si>
    <t>FREDERICK CLINTON</t>
  </si>
  <si>
    <t>JHON EFRAIN</t>
  </si>
  <si>
    <t>50550 PAMPACANCHA</t>
  </si>
  <si>
    <t>CRISTIAN WILBER</t>
  </si>
  <si>
    <t>PACHACUTE</t>
  </si>
  <si>
    <t>CUCHICARI</t>
  </si>
  <si>
    <t>TREISY YAYIRA</t>
  </si>
  <si>
    <t>RAMOS</t>
  </si>
  <si>
    <t>LAYME</t>
  </si>
  <si>
    <t>ALDO OLIVER</t>
  </si>
  <si>
    <t>NEYMAR</t>
  </si>
  <si>
    <t>PPACSI</t>
  </si>
  <si>
    <t>FREDELEY CARLDS</t>
  </si>
  <si>
    <t>YUPA</t>
  </si>
  <si>
    <t>JHON YEDISON</t>
  </si>
  <si>
    <t>50552 "TÚPAC AMARU II" - HUACATINCO</t>
  </si>
  <si>
    <t xml:space="preserve">CONDORI   </t>
  </si>
  <si>
    <t>Fraymar Yader</t>
  </si>
  <si>
    <t xml:space="preserve">FUENTES </t>
  </si>
  <si>
    <t xml:space="preserve">CONDORI  </t>
  </si>
  <si>
    <t>Leidy Diana</t>
  </si>
  <si>
    <t xml:space="preserve">HUISA  </t>
  </si>
  <si>
    <t xml:space="preserve">Jhaziel </t>
  </si>
  <si>
    <t xml:space="preserve">QUISOE </t>
  </si>
  <si>
    <t>Abdón Rogelio</t>
  </si>
  <si>
    <t xml:space="preserve"> CJANAHUIRI </t>
  </si>
  <si>
    <t>FUENTES</t>
  </si>
  <si>
    <t>Jifre Edmerson</t>
  </si>
  <si>
    <t xml:space="preserve"> CONDORI </t>
  </si>
  <si>
    <t xml:space="preserve">Zuleidy Linabel </t>
  </si>
  <si>
    <t xml:space="preserve"> FUENTES </t>
  </si>
  <si>
    <t>YAPURA</t>
  </si>
  <si>
    <t xml:space="preserve">Eliazar </t>
  </si>
  <si>
    <t xml:space="preserve"> GONZALES </t>
  </si>
  <si>
    <t>CCALLO</t>
  </si>
  <si>
    <t>Sulleimy Marilyn</t>
  </si>
  <si>
    <t xml:space="preserve">YAPURA </t>
  </si>
  <si>
    <t>Riede Orlando</t>
  </si>
  <si>
    <t>Javier Fernando</t>
  </si>
  <si>
    <t xml:space="preserve">MERMA </t>
  </si>
  <si>
    <t>Romario</t>
  </si>
  <si>
    <t xml:space="preserve">YUCRA </t>
  </si>
  <si>
    <t>CCOYORI</t>
  </si>
  <si>
    <t>Adan Yimer</t>
  </si>
  <si>
    <t>CCANAHUIRE</t>
  </si>
  <si>
    <t xml:space="preserve">Sadrac Raul </t>
  </si>
  <si>
    <t xml:space="preserve">CHILLIHUANI </t>
  </si>
  <si>
    <t xml:space="preserve">Liz Analy </t>
  </si>
  <si>
    <t>Eliana</t>
  </si>
  <si>
    <t xml:space="preserve">Olga Bresaida  </t>
  </si>
  <si>
    <t xml:space="preserve">TTITO </t>
  </si>
  <si>
    <t xml:space="preserve">Yosifer </t>
  </si>
  <si>
    <t>50553 MARAMPAQUI</t>
  </si>
  <si>
    <t>FERNANDINO</t>
  </si>
  <si>
    <t>CARI</t>
  </si>
  <si>
    <t>VILLAGRA</t>
  </si>
  <si>
    <t>ALEXANDRA</t>
  </si>
  <si>
    <t>KAROLINA</t>
  </si>
  <si>
    <t>50558 PARCCOCALLA</t>
  </si>
  <si>
    <t>Erick</t>
  </si>
  <si>
    <t>CRISPIN</t>
  </si>
  <si>
    <t xml:space="preserve">Andre Bensemaha Eyal </t>
  </si>
  <si>
    <t>Maysel Nayely</t>
  </si>
  <si>
    <t xml:space="preserve">CHALLCO </t>
  </si>
  <si>
    <t>Karen Vanessa</t>
  </si>
  <si>
    <t xml:space="preserve">Niumar </t>
  </si>
  <si>
    <t>VALDIVIA</t>
  </si>
  <si>
    <t>Anderson Dreick</t>
  </si>
  <si>
    <t xml:space="preserve"> Wilberth</t>
  </si>
  <si>
    <t xml:space="preserve"> YUCRA </t>
  </si>
  <si>
    <t>Aldair Jefferson</t>
  </si>
  <si>
    <t>50715 - Llachi</t>
  </si>
  <si>
    <t>COLQUEHUANCA</t>
  </si>
  <si>
    <t>LIAN CARLOS</t>
  </si>
  <si>
    <t>URIEL FABIAN</t>
  </si>
  <si>
    <t>AGUILAR</t>
  </si>
  <si>
    <t>LIZARASO</t>
  </si>
  <si>
    <t>MARITZA</t>
  </si>
  <si>
    <t>50719- VIRGEN DEL CARMEN TINKE</t>
  </si>
  <si>
    <t>JOSUE</t>
  </si>
  <si>
    <t>ILLA</t>
  </si>
  <si>
    <t>EDISON NEYMAR</t>
  </si>
  <si>
    <t>MARIA ELIZABETH</t>
  </si>
  <si>
    <t>PRINS ZNAIDER</t>
  </si>
  <si>
    <t>JEREMY ANGEL</t>
  </si>
  <si>
    <t>VIÑA</t>
  </si>
  <si>
    <t>MERMA</t>
  </si>
  <si>
    <t>NOEWILL ARNOLD</t>
  </si>
  <si>
    <t>YANA</t>
  </si>
  <si>
    <t>DEIVID</t>
  </si>
  <si>
    <t xml:space="preserve">YUPANQUI </t>
  </si>
  <si>
    <t xml:space="preserve">HUANCA </t>
  </si>
  <si>
    <t>RUTH DINA</t>
  </si>
  <si>
    <t>CALLER</t>
  </si>
  <si>
    <t>ESTRADA</t>
  </si>
  <si>
    <t>Lian Sebastian</t>
  </si>
  <si>
    <t>CCAHUANA</t>
  </si>
  <si>
    <t>GARCIA</t>
  </si>
  <si>
    <t>Stefany</t>
  </si>
  <si>
    <t>Axel Roy</t>
  </si>
  <si>
    <t>Neymar Alain</t>
  </si>
  <si>
    <t>SONCCO</t>
  </si>
  <si>
    <t>Eva Adela</t>
  </si>
  <si>
    <t>VEGA</t>
  </si>
  <si>
    <t>Josepf Diego</t>
  </si>
  <si>
    <t>YNFANSON</t>
  </si>
  <si>
    <t>PAUCCAR</t>
  </si>
  <si>
    <t>Lucy Cielo</t>
  </si>
  <si>
    <t>YUPANQUI</t>
  </si>
  <si>
    <t>Welly Alexis</t>
  </si>
  <si>
    <t>ISAI</t>
  </si>
  <si>
    <t>SHOMY LIZETH</t>
  </si>
  <si>
    <t>NORALY SKARLET</t>
  </si>
  <si>
    <t>GONZALO</t>
  </si>
  <si>
    <t>JEREMIAS</t>
  </si>
  <si>
    <t>SHEYLA VALESCA</t>
  </si>
  <si>
    <t>JUCHASARA</t>
  </si>
  <si>
    <t>RUDY JHOSMEL</t>
  </si>
  <si>
    <t>ANGIE CARILY</t>
  </si>
  <si>
    <t>MAX PAUL</t>
  </si>
  <si>
    <t>AJLEE LIZ</t>
  </si>
  <si>
    <t>TUCO</t>
  </si>
  <si>
    <t>JUAN MIJAEL</t>
  </si>
  <si>
    <t>JOHAN LIAM</t>
  </si>
  <si>
    <t>NILDA FLOR</t>
  </si>
  <si>
    <t>ANELIS NICOL</t>
  </si>
  <si>
    <t>ABEL</t>
  </si>
  <si>
    <t>HALISTO</t>
  </si>
  <si>
    <t>LIZ KATHERINE</t>
  </si>
  <si>
    <t>MELISSA</t>
  </si>
  <si>
    <t>ANGIE MILLETH</t>
  </si>
  <si>
    <t>DAISHA MIASHI</t>
  </si>
  <si>
    <t>CHOQUEHUAYTA</t>
  </si>
  <si>
    <t>JUAN RODRIGO</t>
  </si>
  <si>
    <t>FRANK NEYMAR</t>
  </si>
  <si>
    <t>CRIS MARICIELA</t>
  </si>
  <si>
    <t>BENJAMIN</t>
  </si>
  <si>
    <t>IVAN JHOEL</t>
  </si>
  <si>
    <t>ROSA FLOR</t>
  </si>
  <si>
    <t>PACSI</t>
  </si>
  <si>
    <t>CCOA</t>
  </si>
  <si>
    <t>ISRAEL JACOB</t>
  </si>
  <si>
    <t>LARICO</t>
  </si>
  <si>
    <t>SHAYURI</t>
  </si>
  <si>
    <t>ALINE ARIANNA</t>
  </si>
  <si>
    <t>CALSINA</t>
  </si>
  <si>
    <t>GRAYES</t>
  </si>
  <si>
    <t>CHOQUEPATA</t>
  </si>
  <si>
    <t>JOSE JEANPAUL</t>
  </si>
  <si>
    <t>ALDAIR RONALDHINO</t>
  </si>
  <si>
    <t>GRIES NATALI</t>
  </si>
  <si>
    <t>TAPARA</t>
  </si>
  <si>
    <t>YUSUE DAYIRO</t>
  </si>
  <si>
    <t>50765 - SALLICANCHA</t>
  </si>
  <si>
    <t>LUZ NAYDA</t>
  </si>
  <si>
    <t>CCOLQUE</t>
  </si>
  <si>
    <t xml:space="preserve">LUNA </t>
  </si>
  <si>
    <t>JHASMIN SHAKIRA</t>
  </si>
  <si>
    <t>ANDY JAIRO</t>
  </si>
  <si>
    <t>BEDOYA</t>
  </si>
  <si>
    <t>RUTH MILAGROS</t>
  </si>
  <si>
    <t xml:space="preserve">JARA </t>
  </si>
  <si>
    <t>JOSE ARMANDO</t>
  </si>
  <si>
    <t>CAYO</t>
  </si>
  <si>
    <t>KELY MAYUMI</t>
  </si>
  <si>
    <t>DANIEL</t>
  </si>
  <si>
    <t>CCARITA</t>
  </si>
  <si>
    <t>GILBER</t>
  </si>
  <si>
    <t>JHON ABEL</t>
  </si>
  <si>
    <t>YOSIMAR</t>
  </si>
  <si>
    <t>EVA</t>
  </si>
  <si>
    <t>SACA</t>
  </si>
  <si>
    <t>JHONATAN</t>
  </si>
  <si>
    <t xml:space="preserve">YANA </t>
  </si>
  <si>
    <t>RUTH MELINDA</t>
  </si>
  <si>
    <t>50854 de PATAPALLAPA ALTA</t>
  </si>
  <si>
    <t>Neymar</t>
  </si>
  <si>
    <t>MEZA</t>
  </si>
  <si>
    <t>Yuly Rosalinda</t>
  </si>
  <si>
    <t>Raymundo Yampol</t>
  </si>
  <si>
    <t>CHUQUIHUAYTA</t>
  </si>
  <si>
    <t>THIAGO ALEX</t>
  </si>
  <si>
    <t>CONDORAPA</t>
  </si>
  <si>
    <t>YON ALEX</t>
  </si>
  <si>
    <t>YURI SHELDON</t>
  </si>
  <si>
    <t>LUIS ANGEL</t>
  </si>
  <si>
    <t>LOCUMBER</t>
  </si>
  <si>
    <t>CONTRERAS</t>
  </si>
  <si>
    <t>MELINDA BRITANY</t>
  </si>
  <si>
    <t>SAMANES</t>
  </si>
  <si>
    <t>ABDON</t>
  </si>
  <si>
    <t>501344- CCASAPATA</t>
  </si>
  <si>
    <t xml:space="preserve">la niña llegó tarde a la evalución. La profesora señaló que la niña tiene una condición y que sabe leer, ni responder exámenes.  </t>
  </si>
  <si>
    <t>ZVIETCOVICH</t>
  </si>
  <si>
    <t>STEFANO</t>
  </si>
  <si>
    <t>PILLPE</t>
  </si>
  <si>
    <t>VARGAS</t>
  </si>
  <si>
    <t>LUCIANA MELISA</t>
  </si>
  <si>
    <t xml:space="preserve">GARCÍA </t>
  </si>
  <si>
    <t>GIAN MICHAEL</t>
  </si>
  <si>
    <t>501432 - Kumuncancha</t>
  </si>
  <si>
    <t xml:space="preserve"> LAYME</t>
  </si>
  <si>
    <t>Roni</t>
  </si>
  <si>
    <t xml:space="preserve"> CONDORI</t>
  </si>
  <si>
    <t>Shirley Yessill</t>
  </si>
  <si>
    <t xml:space="preserve">HUISA </t>
  </si>
  <si>
    <t xml:space="preserve"> HUILLCA</t>
  </si>
  <si>
    <t>Mary Flor</t>
  </si>
  <si>
    <t>JHON SNEIJDER</t>
  </si>
  <si>
    <t>FANNY LIZBETH</t>
  </si>
  <si>
    <t>JUAN ALCIDES</t>
  </si>
  <si>
    <t>HUBER JEFFERSON</t>
  </si>
  <si>
    <t xml:space="preserve">PPACSI </t>
  </si>
  <si>
    <t xml:space="preserve"> HUANCA</t>
  </si>
  <si>
    <t xml:space="preserve"> MARICRIS JASMIN</t>
  </si>
  <si>
    <t xml:space="preserve">VEGA </t>
  </si>
  <si>
    <t>YORDI CRISTIAN</t>
  </si>
  <si>
    <t>501455 - CRISTO REY TIKARIY</t>
  </si>
  <si>
    <t>YURI RONIEL</t>
  </si>
  <si>
    <t>HAROLOD ISAAC</t>
  </si>
  <si>
    <t xml:space="preserve">CRISPIN </t>
  </si>
  <si>
    <t>RUHT DILMA</t>
  </si>
  <si>
    <t xml:space="preserve">LAYME </t>
  </si>
  <si>
    <t>NAYMAY BRAYAN</t>
  </si>
  <si>
    <t>CRISTIAN RONALDIÑO</t>
  </si>
  <si>
    <t>CINTHIA LISBEHT</t>
  </si>
  <si>
    <t xml:space="preserve">HUAMAN </t>
  </si>
  <si>
    <t xml:space="preserve">GONZALO </t>
  </si>
  <si>
    <t>ANDERSON</t>
  </si>
  <si>
    <t>HANCCO</t>
  </si>
  <si>
    <t>YENI NATALY</t>
  </si>
  <si>
    <t xml:space="preserve">MAYO </t>
  </si>
  <si>
    <t>FLOR NELIDA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</si>
</sst>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h:mm:ss"/>
  </numFmts>
  <fonts count="52">
    <font>
      <sz val="10.0"/>
      <color rgb="FF000000"/>
      <name val="Arial"/>
      <scheme val="minor"/>
    </font>
    <font>
      <b/>
      <color theme="1"/>
      <name val="Arial Narrow"/>
    </font>
    <font>
      <color rgb="FFFFFFFF"/>
      <name val="Arial Narrow"/>
    </font>
    <font>
      <sz val="11.0"/>
      <color theme="1"/>
      <name val="Arial"/>
    </font>
    <font>
      <b/>
      <color theme="1"/>
      <name val="Arial"/>
    </font>
    <font>
      <sz val="10.0"/>
      <color theme="1"/>
      <name val="Arial"/>
    </font>
    <font>
      <color theme="1"/>
      <name val="Arial"/>
    </font>
    <font>
      <color theme="1"/>
      <name val="Arial"/>
      <scheme val="minor"/>
    </font>
    <font>
      <sz val="11.0"/>
      <color theme="1"/>
      <name val="Calibri"/>
    </font>
    <font>
      <b/>
      <color theme="1"/>
      <name val="Arial"/>
      <scheme val="minor"/>
    </font>
    <font>
      <b/>
      <color rgb="FF0000FF"/>
      <name val="Arial"/>
    </font>
    <font>
      <color rgb="FF0000FF"/>
      <name val="Arial"/>
    </font>
    <font>
      <b/>
      <color rgb="FFFF0000"/>
      <name val="Arial"/>
    </font>
    <font>
      <color rgb="FFFF0000"/>
      <name val="Arial"/>
    </font>
    <font>
      <b/>
      <color rgb="FFFFFFFF"/>
      <name val="Arial"/>
    </font>
    <font>
      <color rgb="FFFFFFFF"/>
      <name val="Arial"/>
    </font>
    <font/>
    <font>
      <b/>
      <sz val="17.0"/>
      <color rgb="FF000000"/>
      <name val="Calibri"/>
    </font>
    <font>
      <sz val="17.0"/>
      <color rgb="FF000000"/>
      <name val="Calibri"/>
    </font>
    <font>
      <b/>
      <sz val="17.0"/>
      <color rgb="FFFF0000"/>
      <name val="Calibri"/>
    </font>
    <font>
      <i/>
      <color theme="1"/>
      <name val="Arial"/>
      <scheme val="minor"/>
    </font>
    <font>
      <b/>
      <color rgb="FFFFFFFF"/>
      <name val="Arial"/>
      <scheme val="minor"/>
    </font>
    <font>
      <u/>
      <color theme="1"/>
      <name val="Arial"/>
      <scheme val="minor"/>
    </font>
    <font>
      <color rgb="FFFFFFFF"/>
      <name val="Arial"/>
      <scheme val="minor"/>
    </font>
    <font>
      <sz val="10.0"/>
      <color rgb="FF000000"/>
      <name val="Arial"/>
    </font>
    <font>
      <b/>
      <sz val="25.0"/>
      <color theme="1"/>
      <name val="Arial"/>
    </font>
    <font>
      <b/>
      <sz val="12.0"/>
      <color theme="1"/>
      <name val="Arial"/>
    </font>
    <font>
      <sz val="25.0"/>
      <color theme="1"/>
      <name val="Arial"/>
      <scheme val="minor"/>
    </font>
    <font>
      <sz val="20.0"/>
      <color theme="1"/>
      <name val="Arial"/>
    </font>
    <font>
      <sz val="20.0"/>
      <color theme="1"/>
      <name val="Arial"/>
      <scheme val="minor"/>
    </font>
    <font>
      <sz val="12.0"/>
      <color theme="1"/>
      <name val="Arial"/>
      <scheme val="minor"/>
    </font>
    <font>
      <b/>
      <sz val="14.0"/>
      <color theme="1"/>
      <name val="Arial"/>
    </font>
    <font>
      <sz val="16.0"/>
      <color theme="1"/>
      <name val="Arial"/>
      <scheme val="minor"/>
    </font>
    <font>
      <sz val="10.0"/>
      <color theme="1"/>
      <name val="Arial"/>
      <scheme val="minor"/>
    </font>
    <font>
      <b/>
      <sz val="10.0"/>
      <color theme="1"/>
      <name val="Arial"/>
    </font>
    <font>
      <sz val="12.0"/>
      <color theme="1"/>
      <name val="Arial"/>
    </font>
    <font>
      <sz val="14.0"/>
      <color theme="1"/>
      <name val="Arial"/>
      <scheme val="minor"/>
    </font>
    <font>
      <b/>
      <sz val="12.0"/>
      <color theme="1"/>
      <name val="Arial"/>
      <scheme val="minor"/>
    </font>
    <font>
      <b/>
      <sz val="9.0"/>
      <color theme="1"/>
      <name val="Arial"/>
    </font>
    <font>
      <b/>
      <sz val="9.0"/>
      <color theme="1"/>
      <name val="Aptos Narrow"/>
    </font>
    <font>
      <sz val="11.0"/>
      <color theme="1"/>
      <name val="Aptos Narrow"/>
    </font>
    <font>
      <b/>
      <sz val="11.0"/>
      <color theme="1"/>
      <name val="Aptos Narrow"/>
    </font>
    <font>
      <b/>
      <sz val="10.0"/>
      <color theme="1"/>
      <name val="Arial"/>
      <scheme val="minor"/>
    </font>
    <font>
      <sz val="10.0"/>
      <color theme="1"/>
      <name val="Aptos Narrow"/>
    </font>
    <font>
      <sz val="12.0"/>
      <color theme="1"/>
      <name val="Corbel"/>
    </font>
    <font>
      <sz val="11.0"/>
      <color theme="1"/>
      <name val="Corbel"/>
    </font>
    <font>
      <b/>
      <sz val="11.0"/>
      <color theme="1"/>
      <name val="Arial"/>
    </font>
    <font>
      <b/>
      <sz val="11.0"/>
      <color rgb="FF00B050"/>
      <name val="Arial"/>
    </font>
    <font>
      <b/>
      <sz val="11.0"/>
      <color theme="1"/>
      <name val="Corbel"/>
    </font>
    <font>
      <sz val="11.0"/>
      <color rgb="FF00B050"/>
      <name val="Arial"/>
    </font>
    <font>
      <sz val="9.0"/>
      <color rgb="FF00B050"/>
      <name val="Arial"/>
    </font>
    <font>
      <sz val="10.0"/>
      <color theme="1"/>
      <name val="Corbel"/>
    </font>
  </fonts>
  <fills count="33">
    <fill>
      <patternFill patternType="none"/>
    </fill>
    <fill>
      <patternFill patternType="lightGray"/>
    </fill>
    <fill>
      <patternFill patternType="solid">
        <fgColor rgb="FFA4C2F4"/>
        <bgColor rgb="FFA4C2F4"/>
      </patternFill>
    </fill>
    <fill>
      <patternFill patternType="solid">
        <fgColor rgb="FFFF0000"/>
        <bgColor rgb="FFFF0000"/>
      </patternFill>
    </fill>
    <fill>
      <patternFill patternType="solid">
        <fgColor rgb="FFFBE4D5"/>
        <bgColor rgb="FFFBE4D5"/>
      </patternFill>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
      <patternFill patternType="solid">
        <fgColor rgb="FFFEF1CC"/>
        <bgColor rgb="FFFEF1CC"/>
      </patternFill>
    </fill>
    <fill>
      <patternFill patternType="solid">
        <fgColor rgb="FFF28E85"/>
        <bgColor rgb="FFF28E85"/>
      </patternFill>
    </fill>
    <fill>
      <patternFill patternType="solid">
        <fgColor rgb="FFA6E3B6"/>
        <bgColor rgb="FFA6E3B6"/>
      </patternFill>
    </fill>
    <fill>
      <patternFill patternType="solid">
        <fgColor rgb="FF8FD7DC"/>
        <bgColor rgb="FF8FD7DC"/>
      </patternFill>
    </fill>
    <fill>
      <patternFill patternType="solid">
        <fgColor rgb="FFFDE49A"/>
        <bgColor rgb="FFFDE49A"/>
      </patternFill>
    </fill>
    <fill>
      <patternFill patternType="solid">
        <fgColor rgb="FFA5A5A5"/>
        <bgColor rgb="FFA5A5A5"/>
      </patternFill>
    </fill>
    <fill>
      <patternFill patternType="solid">
        <fgColor rgb="FF00FFFF"/>
        <bgColor rgb="FF00FFFF"/>
      </patternFill>
    </fill>
    <fill>
      <patternFill patternType="solid">
        <fgColor rgb="FFE0E0E0"/>
        <bgColor rgb="FFE0E0E0"/>
      </patternFill>
    </fill>
    <fill>
      <patternFill patternType="solid">
        <fgColor rgb="FFF0F0F0"/>
        <bgColor rgb="FFF0F0F0"/>
      </patternFill>
    </fill>
    <fill>
      <patternFill patternType="solid">
        <fgColor rgb="FFEFEFEF"/>
        <bgColor rgb="FFEFEFEF"/>
      </patternFill>
    </fill>
    <fill>
      <patternFill patternType="solid">
        <fgColor rgb="FFF3F3F3"/>
        <bgColor rgb="FFF3F3F3"/>
      </patternFill>
    </fill>
    <fill>
      <patternFill patternType="solid">
        <fgColor rgb="FFD8D8D8"/>
        <bgColor rgb="FFD8D8D8"/>
      </patternFill>
    </fill>
    <fill>
      <patternFill patternType="solid">
        <fgColor rgb="FFC9DAF8"/>
        <bgColor rgb="FFC9DAF8"/>
      </patternFill>
    </fill>
    <fill>
      <patternFill patternType="solid">
        <fgColor rgb="FF6C7687"/>
        <bgColor rgb="FF6C7687"/>
      </patternFill>
    </fill>
    <fill>
      <patternFill patternType="solid">
        <fgColor rgb="FF00FF00"/>
        <bgColor rgb="FF00FF00"/>
      </patternFill>
    </fill>
    <fill>
      <patternFill patternType="solid">
        <fgColor rgb="FFD9F1F3"/>
        <bgColor rgb="FFD9F1F3"/>
      </patternFill>
    </fill>
    <fill>
      <patternFill patternType="solid">
        <fgColor rgb="FF93C47D"/>
        <bgColor rgb="FF93C47D"/>
      </patternFill>
    </fill>
    <fill>
      <patternFill patternType="solid">
        <fgColor rgb="FFF6C6AC"/>
        <bgColor rgb="FFF6C6AC"/>
      </patternFill>
    </fill>
    <fill>
      <patternFill patternType="solid">
        <fgColor rgb="FFC1E4F5"/>
        <bgColor rgb="FFC1E4F5"/>
      </patternFill>
    </fill>
    <fill>
      <patternFill patternType="solid">
        <fgColor rgb="FF84E291"/>
        <bgColor rgb="FF84E291"/>
      </patternFill>
    </fill>
    <fill>
      <patternFill patternType="solid">
        <fgColor rgb="FFCCCCCC"/>
        <bgColor rgb="FFCCCCCC"/>
      </patternFill>
    </fill>
    <fill>
      <patternFill patternType="solid">
        <fgColor rgb="FFD9D9D9"/>
        <bgColor rgb="FFD9D9D9"/>
      </patternFill>
    </fill>
    <fill>
      <patternFill patternType="solid">
        <fgColor rgb="FFFFFFCC"/>
        <bgColor rgb="FFFFFFCC"/>
      </patternFill>
    </fill>
    <fill>
      <patternFill patternType="solid">
        <fgColor rgb="FF7B7B7B"/>
        <bgColor rgb="FF7B7B7B"/>
      </patternFill>
    </fill>
    <fill>
      <patternFill patternType="solid">
        <fgColor rgb="FFFFD965"/>
        <bgColor rgb="FFFFD965"/>
      </patternFill>
    </fill>
  </fills>
  <borders count="89">
    <border/>
    <border>
      <left/>
      <right/>
      <top/>
    </border>
    <border>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FFFFFF"/>
      </left>
      <right style="thin">
        <color rgb="FFFFFFFF"/>
      </right>
      <top style="thin">
        <color rgb="FFFFFFFF"/>
      </top>
      <bottom style="thick">
        <color rgb="FFFFFFFF"/>
      </bottom>
    </border>
    <border>
      <left style="thin">
        <color rgb="FFFFFFFF"/>
      </left>
      <right style="thin">
        <color rgb="FFFFFFFF"/>
      </right>
      <top style="thick">
        <color rgb="FFFFFFFF"/>
      </top>
      <bottom style="thin">
        <color rgb="FFFFFFFF"/>
      </bottom>
    </border>
    <border>
      <left style="thin">
        <color rgb="FFFFFFFF"/>
      </left>
      <right style="thin">
        <color rgb="FFFFFFFF"/>
      </right>
      <top style="thin">
        <color rgb="FFFFFFFF"/>
      </top>
      <bottom style="thin">
        <color rgb="FFFFFFFF"/>
      </bottom>
    </border>
    <border>
      <left style="dotted">
        <color rgb="FF6C7687"/>
      </left>
      <top style="dotted">
        <color rgb="FF6C7687"/>
      </top>
    </border>
    <border>
      <top style="dotted">
        <color rgb="FF6C7687"/>
      </top>
    </border>
    <border>
      <left style="hair">
        <color rgb="FF6C7687"/>
      </left>
      <right style="hair">
        <color rgb="FF6C7687"/>
      </right>
      <top style="hair">
        <color rgb="FF6C7687"/>
      </top>
      <bottom style="hair">
        <color rgb="FF6C7687"/>
      </bottom>
    </border>
    <border>
      <left style="dotted">
        <color rgb="FF6C7687"/>
      </left>
    </border>
    <border>
      <left style="hair">
        <color rgb="FF6C7687"/>
      </left>
      <right style="dotted">
        <color rgb="FF6C7687"/>
      </right>
    </border>
    <border>
      <left style="dotted">
        <color rgb="FF6C7687"/>
      </left>
      <bottom style="dotted">
        <color rgb="FF6C7687"/>
      </bottom>
    </border>
    <border>
      <bottom style="dotted">
        <color rgb="FF6C7687"/>
      </bottom>
    </border>
    <border>
      <left style="hair">
        <color rgb="FF6C7687"/>
      </left>
      <right style="dotted">
        <color rgb="FF6C7687"/>
      </right>
      <bottom style="dotted">
        <color rgb="FF6C7687"/>
      </bottom>
    </border>
    <border>
      <left style="dotted">
        <color rgb="FF000000"/>
      </left>
      <top style="dotted">
        <color rgb="FF000000"/>
      </top>
    </border>
    <border>
      <top style="dotted">
        <color rgb="FF000000"/>
      </top>
    </border>
    <border>
      <left style="dotted">
        <color rgb="FF000000"/>
      </left>
      <right style="dotted">
        <color rgb="FF000000"/>
      </right>
      <top style="dotted">
        <color rgb="FF000000"/>
      </top>
      <bottom style="dotted">
        <color rgb="FF000000"/>
      </bottom>
    </border>
    <border>
      <left style="dotted">
        <color rgb="FF000000"/>
      </left>
    </border>
    <border>
      <left style="dotted">
        <color rgb="FF000000"/>
      </left>
      <right style="dotted">
        <color rgb="FF000000"/>
      </right>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bottom style="double">
        <color rgb="FF000000"/>
      </bottom>
    </border>
    <border>
      <left style="dotted">
        <color rgb="FF000000"/>
      </left>
      <bottom style="dotted">
        <color rgb="FF000000"/>
      </bottom>
    </border>
    <border>
      <top style="dotted">
        <color rgb="FFFFFFFF"/>
      </top>
      <bottom style="dotted">
        <color rgb="FF000000"/>
      </bottom>
    </border>
    <border>
      <bottom style="dotted">
        <color rgb="FF000000"/>
      </bottom>
    </border>
    <border>
      <left style="dotted">
        <color rgb="FF000000"/>
      </left>
      <right style="dotted">
        <color rgb="FF000000"/>
      </right>
      <bottom style="dotted">
        <color rgb="FF000000"/>
      </bottom>
    </border>
    <border>
      <left style="medium">
        <color rgb="FF000000"/>
      </left>
      <top style="medium">
        <color rgb="FF000000"/>
      </top>
    </border>
    <border>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medium">
        <color rgb="FF000000"/>
      </bottom>
    </border>
    <border>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n">
        <color rgb="FF000000"/>
      </right>
      <top style="medium">
        <color rgb="FF000000"/>
      </top>
    </border>
    <border>
      <right style="thin">
        <color rgb="FF000000"/>
      </right>
      <bottom style="medium">
        <color rgb="FF000000"/>
      </bottom>
    </border>
    <border>
      <left style="medium">
        <color rgb="FF000000"/>
      </left>
      <right style="thin">
        <color rgb="FF000000"/>
      </right>
      <top style="medium">
        <color rgb="FF000000"/>
      </top>
    </border>
    <border>
      <left style="medium">
        <color rgb="FF000000"/>
      </left>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border>
    <border>
      <right style="medium">
        <color rgb="FF000000"/>
      </right>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right/>
      <top/>
      <bottom/>
    </border>
    <border>
      <left/>
      <right/>
      <top/>
      <bottom style="thin">
        <color rgb="FF45B0E1"/>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thin">
        <color rgb="FF000000"/>
      </left>
      <right style="thin">
        <color rgb="FF000000"/>
      </right>
      <top/>
      <bottom/>
    </border>
    <border>
      <left style="thin">
        <color rgb="FF000000"/>
      </left>
      <right style="thin">
        <color rgb="FF000000"/>
      </right>
      <top/>
      <bottom style="thin">
        <color rgb="FF45B0E1"/>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439">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horizontal="center" readingOrder="0" vertical="bottom"/>
    </xf>
    <xf borderId="0" fillId="2" fontId="1" numFmtId="0" xfId="0" applyAlignment="1" applyFont="1">
      <alignment horizontal="center" vertical="bottom"/>
    </xf>
    <xf borderId="0" fillId="2" fontId="1" numFmtId="0" xfId="0" applyAlignment="1" applyFont="1">
      <alignment vertical="bottom"/>
    </xf>
    <xf borderId="0" fillId="2" fontId="1" numFmtId="0" xfId="0" applyAlignment="1" applyFont="1">
      <alignment readingOrder="0" vertical="bottom"/>
    </xf>
    <xf borderId="1" fillId="3" fontId="2" numFmtId="0" xfId="0" applyAlignment="1" applyBorder="1" applyFill="1" applyFont="1">
      <alignment horizontal="center" readingOrder="0"/>
    </xf>
    <xf borderId="0" fillId="2" fontId="1" numFmtId="49" xfId="0" applyAlignment="1" applyFont="1" applyNumberFormat="1">
      <alignment vertical="bottom"/>
    </xf>
    <xf borderId="0" fillId="2" fontId="1" numFmtId="49" xfId="0" applyAlignment="1" applyFont="1" applyNumberFormat="1">
      <alignment readingOrder="0" vertical="bottom"/>
    </xf>
    <xf borderId="0" fillId="4" fontId="3" numFmtId="0" xfId="0" applyAlignment="1" applyFill="1" applyFont="1">
      <alignment vertical="bottom"/>
    </xf>
    <xf borderId="0" fillId="0" fontId="4" numFmtId="0" xfId="0" applyAlignment="1" applyFont="1">
      <alignment horizontal="center" readingOrder="0"/>
    </xf>
    <xf borderId="0" fillId="0" fontId="5" numFmtId="0" xfId="0" applyAlignment="1" applyFont="1">
      <alignment horizontal="center"/>
    </xf>
    <xf borderId="0" fillId="0" fontId="5" numFmtId="49" xfId="0" applyFont="1" applyNumberFormat="1"/>
    <xf borderId="0" fillId="0" fontId="5" numFmtId="0" xfId="0" applyFont="1"/>
    <xf borderId="0" fillId="0" fontId="5" numFmtId="49" xfId="0" applyAlignment="1" applyFont="1" applyNumberFormat="1">
      <alignment readingOrder="0"/>
    </xf>
    <xf borderId="0" fillId="0" fontId="5" numFmtId="0" xfId="0" applyAlignment="1" applyFont="1">
      <alignment horizontal="right"/>
    </xf>
    <xf borderId="0" fillId="0" fontId="6" numFmtId="49" xfId="0" applyAlignment="1" applyFont="1" applyNumberFormat="1">
      <alignment vertical="bottom"/>
    </xf>
    <xf borderId="0" fillId="0" fontId="7" numFmtId="49" xfId="0" applyFont="1" applyNumberFormat="1"/>
    <xf borderId="0" fillId="0" fontId="5" numFmtId="0" xfId="0" applyAlignment="1" applyFont="1">
      <alignment horizontal="center"/>
    </xf>
    <xf borderId="0" fillId="0" fontId="5" numFmtId="0" xfId="0" applyFont="1"/>
    <xf borderId="0" fillId="0" fontId="5" numFmtId="0" xfId="0" applyAlignment="1" applyFont="1">
      <alignment readingOrder="0"/>
    </xf>
    <xf borderId="0" fillId="0" fontId="5" numFmtId="0" xfId="0" applyAlignment="1" applyFont="1">
      <alignment horizontal="center" readingOrder="0"/>
    </xf>
    <xf borderId="0" fillId="0" fontId="5" numFmtId="0" xfId="0" applyAlignment="1" applyFont="1">
      <alignment horizontal="right" readingOrder="0"/>
    </xf>
    <xf borderId="0" fillId="0" fontId="8" numFmtId="49" xfId="0" applyAlignment="1" applyFont="1" applyNumberFormat="1">
      <alignment horizontal="center"/>
    </xf>
    <xf borderId="2" fillId="0" fontId="5" numFmtId="0" xfId="0" applyAlignment="1" applyBorder="1" applyFont="1">
      <alignment horizontal="center"/>
    </xf>
    <xf borderId="2" fillId="0" fontId="5" numFmtId="49" xfId="0" applyBorder="1" applyFont="1" applyNumberFormat="1"/>
    <xf borderId="2" fillId="0" fontId="5" numFmtId="0" xfId="0" applyBorder="1" applyFont="1"/>
    <xf borderId="2" fillId="0" fontId="5" numFmtId="49" xfId="0" applyAlignment="1" applyBorder="1" applyFont="1" applyNumberFormat="1">
      <alignment readingOrder="0"/>
    </xf>
    <xf borderId="2" fillId="0" fontId="5" numFmtId="0" xfId="0" applyAlignment="1" applyBorder="1" applyFont="1">
      <alignment readingOrder="0"/>
    </xf>
    <xf borderId="2" fillId="0" fontId="5" numFmtId="0" xfId="0" applyAlignment="1" applyBorder="1" applyFont="1">
      <alignment horizontal="right"/>
    </xf>
    <xf borderId="2" fillId="0" fontId="8" numFmtId="49" xfId="0" applyAlignment="1" applyBorder="1" applyFont="1" applyNumberFormat="1">
      <alignment horizontal="center"/>
    </xf>
    <xf borderId="2" fillId="0" fontId="7" numFmtId="49" xfId="0" applyBorder="1" applyFont="1" applyNumberFormat="1"/>
    <xf borderId="2" fillId="0" fontId="5" numFmtId="0" xfId="0" applyAlignment="1" applyBorder="1" applyFont="1">
      <alignment horizontal="center" readingOrder="0"/>
    </xf>
    <xf borderId="2" fillId="0" fontId="5" numFmtId="0" xfId="0" applyAlignment="1" applyBorder="1" applyFont="1">
      <alignment horizontal="right" readingOrder="0"/>
    </xf>
    <xf borderId="2" fillId="0" fontId="6" numFmtId="49" xfId="0" applyAlignment="1" applyBorder="1" applyFont="1" applyNumberFormat="1">
      <alignment vertical="bottom"/>
    </xf>
    <xf borderId="0" fillId="0" fontId="9" numFmtId="49" xfId="0" applyFont="1" applyNumberFormat="1"/>
    <xf borderId="0" fillId="0" fontId="9" numFmtId="0" xfId="0" applyFont="1"/>
    <xf borderId="0" fillId="0" fontId="7" numFmtId="0" xfId="0" applyFont="1"/>
    <xf borderId="0" fillId="0" fontId="7" numFmtId="49" xfId="0" applyAlignment="1" applyFont="1" applyNumberFormat="1">
      <alignment readingOrder="0"/>
    </xf>
    <xf borderId="3" fillId="5" fontId="4" numFmtId="0" xfId="0" applyAlignment="1" applyBorder="1" applyFill="1" applyFont="1">
      <alignment horizontal="center" shrinkToFit="0" vertical="center" wrapText="0"/>
    </xf>
    <xf borderId="3" fillId="5" fontId="4" numFmtId="0" xfId="0" applyAlignment="1" applyBorder="1" applyFont="1">
      <alignment horizontal="center" readingOrder="0" shrinkToFit="0" vertical="center" wrapText="1"/>
    </xf>
    <xf borderId="3" fillId="5" fontId="4" numFmtId="0" xfId="0" applyAlignment="1" applyBorder="1" applyFont="1">
      <alignment horizontal="center" shrinkToFit="0" vertical="center" wrapText="1"/>
    </xf>
    <xf borderId="3" fillId="5" fontId="4" numFmtId="49" xfId="0" applyAlignment="1" applyBorder="1" applyFont="1" applyNumberFormat="1">
      <alignment horizontal="left" readingOrder="0" vertical="center"/>
    </xf>
    <xf borderId="3" fillId="0" fontId="6" numFmtId="0" xfId="0" applyAlignment="1" applyBorder="1" applyFont="1">
      <alignment shrinkToFit="0" wrapText="0"/>
    </xf>
    <xf borderId="3" fillId="0" fontId="6" numFmtId="49" xfId="0" applyBorder="1" applyFont="1" applyNumberFormat="1"/>
    <xf borderId="3" fillId="0" fontId="6" numFmtId="0" xfId="0" applyBorder="1" applyFont="1"/>
    <xf borderId="3" fillId="0" fontId="10" numFmtId="0" xfId="0" applyAlignment="1" applyBorder="1" applyFont="1">
      <alignment horizontal="center"/>
    </xf>
    <xf borderId="3" fillId="0" fontId="11" numFmtId="49" xfId="0" applyAlignment="1" applyBorder="1" applyFont="1" applyNumberFormat="1">
      <alignment horizontal="left"/>
    </xf>
    <xf borderId="3" fillId="6" fontId="6" numFmtId="0" xfId="0" applyBorder="1" applyFill="1" applyFont="1"/>
    <xf borderId="3" fillId="6" fontId="10" numFmtId="0" xfId="0" applyAlignment="1" applyBorder="1" applyFont="1">
      <alignment horizontal="center"/>
    </xf>
    <xf borderId="3" fillId="0" fontId="12" numFmtId="0" xfId="0" applyAlignment="1" applyBorder="1" applyFont="1">
      <alignment horizontal="center"/>
    </xf>
    <xf borderId="3" fillId="0" fontId="13" numFmtId="49" xfId="0" applyAlignment="1" applyBorder="1" applyFont="1" applyNumberFormat="1">
      <alignment horizontal="left"/>
    </xf>
    <xf borderId="3" fillId="6" fontId="12" numFmtId="0" xfId="0" applyAlignment="1" applyBorder="1" applyFont="1">
      <alignment horizontal="center"/>
    </xf>
    <xf borderId="3" fillId="7" fontId="6" numFmtId="0" xfId="0" applyAlignment="1" applyBorder="1" applyFill="1" applyFont="1">
      <alignment shrinkToFit="0" wrapText="0"/>
    </xf>
    <xf borderId="3" fillId="7" fontId="10" numFmtId="0" xfId="0" applyAlignment="1" applyBorder="1" applyFont="1">
      <alignment horizontal="center"/>
    </xf>
    <xf borderId="3" fillId="7" fontId="6" numFmtId="0" xfId="0" applyBorder="1" applyFont="1"/>
    <xf borderId="3" fillId="8" fontId="11" numFmtId="49" xfId="0" applyAlignment="1" applyBorder="1" applyFill="1" applyFont="1" applyNumberFormat="1">
      <alignment horizontal="left"/>
    </xf>
    <xf borderId="3" fillId="7" fontId="11" numFmtId="49" xfId="0" applyAlignment="1" applyBorder="1" applyFont="1" applyNumberFormat="1">
      <alignment horizontal="left"/>
    </xf>
    <xf borderId="3" fillId="9" fontId="14" numFmtId="0" xfId="0" applyAlignment="1" applyBorder="1" applyFill="1" applyFont="1">
      <alignment horizontal="center"/>
    </xf>
    <xf borderId="3" fillId="9" fontId="6" numFmtId="0" xfId="0" applyBorder="1" applyFont="1"/>
    <xf borderId="3" fillId="9" fontId="15" numFmtId="49" xfId="0" applyAlignment="1" applyBorder="1" applyFont="1" applyNumberFormat="1">
      <alignment horizontal="left"/>
    </xf>
    <xf borderId="3" fillId="10" fontId="6" numFmtId="0" xfId="0" applyBorder="1" applyFill="1" applyFont="1"/>
    <xf borderId="3" fillId="10" fontId="10" numFmtId="0" xfId="0" applyAlignment="1" applyBorder="1" applyFont="1">
      <alignment horizontal="center"/>
    </xf>
    <xf borderId="3" fillId="10" fontId="11" numFmtId="49" xfId="0" applyAlignment="1" applyBorder="1" applyFont="1" applyNumberFormat="1">
      <alignment horizontal="left"/>
    </xf>
    <xf borderId="3" fillId="11" fontId="6" numFmtId="0" xfId="0" applyBorder="1" applyFill="1" applyFont="1"/>
    <xf borderId="3" fillId="11" fontId="10" numFmtId="0" xfId="0" applyAlignment="1" applyBorder="1" applyFont="1">
      <alignment horizontal="center"/>
    </xf>
    <xf borderId="3" fillId="11" fontId="11" numFmtId="49" xfId="0" applyAlignment="1" applyBorder="1" applyFont="1" applyNumberFormat="1">
      <alignment horizontal="left"/>
    </xf>
    <xf borderId="3" fillId="12" fontId="6" numFmtId="0" xfId="0" applyBorder="1" applyFill="1" applyFont="1"/>
    <xf borderId="3" fillId="12" fontId="10" numFmtId="0" xfId="0" applyAlignment="1" applyBorder="1" applyFont="1">
      <alignment horizontal="center"/>
    </xf>
    <xf borderId="3" fillId="12" fontId="11" numFmtId="49" xfId="0" applyAlignment="1" applyBorder="1" applyFont="1" applyNumberFormat="1">
      <alignment horizontal="left"/>
    </xf>
    <xf borderId="4" fillId="0" fontId="6" numFmtId="0" xfId="0" applyAlignment="1" applyBorder="1" applyFont="1">
      <alignment readingOrder="0"/>
    </xf>
    <xf borderId="5" fillId="0" fontId="16" numFmtId="0" xfId="0" applyBorder="1" applyFont="1"/>
    <xf borderId="3" fillId="0" fontId="6" numFmtId="0" xfId="0" applyAlignment="1" applyBorder="1" applyFont="1">
      <alignment horizontal="center"/>
    </xf>
    <xf borderId="6" fillId="0" fontId="6" numFmtId="0" xfId="0" applyAlignment="1" applyBorder="1" applyFont="1">
      <alignment horizontal="center"/>
    </xf>
    <xf borderId="6" fillId="0" fontId="6" numFmtId="49" xfId="0" applyAlignment="1" applyBorder="1" applyFont="1" applyNumberFormat="1">
      <alignment horizontal="left"/>
    </xf>
    <xf borderId="0" fillId="0" fontId="7" numFmtId="49" xfId="0" applyAlignment="1" applyFont="1" applyNumberFormat="1">
      <alignment horizontal="left"/>
    </xf>
    <xf borderId="0" fillId="0" fontId="4" numFmtId="0" xfId="0" applyAlignment="1" applyFont="1">
      <alignment shrinkToFit="0" wrapText="0"/>
    </xf>
    <xf borderId="0" fillId="0" fontId="7" numFmtId="0" xfId="0" applyAlignment="1" applyFont="1">
      <alignment readingOrder="0"/>
    </xf>
    <xf borderId="0" fillId="0" fontId="6" numFmtId="0" xfId="0" applyAlignment="1" applyFont="1">
      <alignment vertical="bottom"/>
    </xf>
    <xf borderId="0" fillId="0" fontId="7" numFmtId="0" xfId="0" applyAlignment="1" applyFont="1">
      <alignment horizontal="center"/>
    </xf>
    <xf borderId="0" fillId="0" fontId="4" numFmtId="0" xfId="0" applyAlignment="1" applyFont="1">
      <alignment shrinkToFit="0" vertical="bottom" wrapText="0"/>
    </xf>
    <xf borderId="0" fillId="0" fontId="9" numFmtId="0" xfId="0" applyAlignment="1" applyFont="1">
      <alignment readingOrder="0"/>
    </xf>
    <xf borderId="0" fillId="0" fontId="6" numFmtId="0" xfId="0" applyAlignment="1" applyFont="1">
      <alignment horizontal="center" vertical="bottom"/>
    </xf>
    <xf borderId="0" fillId="0" fontId="6" numFmtId="0" xfId="0" applyAlignment="1" applyFont="1">
      <alignment shrinkToFit="0" vertical="bottom" wrapText="0"/>
    </xf>
    <xf borderId="0" fillId="0" fontId="7" numFmtId="0" xfId="0" applyAlignment="1" applyFont="1">
      <alignment horizontal="center"/>
    </xf>
    <xf borderId="0" fillId="0" fontId="9" numFmtId="49" xfId="0" applyAlignment="1" applyFont="1" applyNumberFormat="1">
      <alignment readingOrder="0"/>
    </xf>
    <xf borderId="7" fillId="13" fontId="17" numFmtId="0" xfId="0" applyAlignment="1" applyBorder="1" applyFill="1" applyFont="1">
      <alignment horizontal="center" readingOrder="0"/>
    </xf>
    <xf borderId="7" fillId="14" fontId="17" numFmtId="0" xfId="0" applyAlignment="1" applyBorder="1" applyFill="1" applyFont="1">
      <alignment horizontal="center" readingOrder="0"/>
    </xf>
    <xf borderId="7" fillId="6" fontId="17" numFmtId="0" xfId="0" applyAlignment="1" applyBorder="1" applyFont="1">
      <alignment horizontal="center" readingOrder="0"/>
    </xf>
    <xf borderId="0" fillId="0" fontId="7" numFmtId="49" xfId="0" applyAlignment="1" applyFont="1" applyNumberFormat="1">
      <alignment horizontal="center"/>
    </xf>
    <xf borderId="8" fillId="13" fontId="17" numFmtId="0" xfId="0" applyAlignment="1" applyBorder="1" applyFont="1">
      <alignment horizontal="center" readingOrder="0"/>
    </xf>
    <xf borderId="8" fillId="15" fontId="18" numFmtId="0" xfId="0" applyAlignment="1" applyBorder="1" applyFill="1" applyFont="1">
      <alignment horizontal="center" readingOrder="0"/>
    </xf>
    <xf borderId="8" fillId="14" fontId="17" numFmtId="0" xfId="0" applyAlignment="1" applyBorder="1" applyFont="1">
      <alignment horizontal="center" readingOrder="0"/>
    </xf>
    <xf borderId="8" fillId="6" fontId="18" numFmtId="0" xfId="0" applyAlignment="1" applyBorder="1" applyFont="1">
      <alignment horizontal="center" readingOrder="0"/>
    </xf>
    <xf borderId="9" fillId="13" fontId="17" numFmtId="0" xfId="0" applyAlignment="1" applyBorder="1" applyFont="1">
      <alignment horizontal="center" readingOrder="0"/>
    </xf>
    <xf borderId="9" fillId="16" fontId="18" numFmtId="0" xfId="0" applyAlignment="1" applyBorder="1" applyFill="1" applyFont="1">
      <alignment horizontal="center" readingOrder="0"/>
    </xf>
    <xf borderId="9" fillId="14" fontId="17" numFmtId="0" xfId="0" applyAlignment="1" applyBorder="1" applyFont="1">
      <alignment horizontal="center" readingOrder="0"/>
    </xf>
    <xf borderId="9" fillId="6" fontId="18" numFmtId="0" xfId="0" applyAlignment="1" applyBorder="1" applyFont="1">
      <alignment horizontal="center" readingOrder="0"/>
    </xf>
    <xf borderId="9" fillId="15" fontId="18" numFmtId="0" xfId="0" applyAlignment="1" applyBorder="1" applyFont="1">
      <alignment horizontal="center" readingOrder="0"/>
    </xf>
    <xf borderId="9" fillId="13" fontId="19" numFmtId="0" xfId="0" applyAlignment="1" applyBorder="1" applyFont="1">
      <alignment horizontal="center" readingOrder="0"/>
    </xf>
    <xf borderId="9" fillId="15" fontId="19" numFmtId="0" xfId="0" applyAlignment="1" applyBorder="1" applyFont="1">
      <alignment horizontal="center" readingOrder="0"/>
    </xf>
    <xf borderId="9" fillId="16" fontId="19" numFmtId="0" xfId="0" applyAlignment="1" applyBorder="1" applyFont="1">
      <alignment horizontal="center" readingOrder="0"/>
    </xf>
    <xf borderId="0" fillId="0" fontId="7" numFmtId="0" xfId="0" applyAlignment="1" applyFont="1">
      <alignment vertical="center"/>
    </xf>
    <xf borderId="0" fillId="0" fontId="7" numFmtId="9" xfId="0" applyAlignment="1" applyFont="1" applyNumberFormat="1">
      <alignment horizontal="center"/>
    </xf>
    <xf borderId="7" fillId="13" fontId="17" numFmtId="9" xfId="0" applyAlignment="1" applyBorder="1" applyFont="1" applyNumberFormat="1">
      <alignment horizontal="center" readingOrder="0"/>
    </xf>
    <xf borderId="7" fillId="14" fontId="17" numFmtId="9" xfId="0" applyAlignment="1" applyBorder="1" applyFont="1" applyNumberFormat="1">
      <alignment horizontal="center" readingOrder="0"/>
    </xf>
    <xf borderId="7" fillId="6" fontId="17" numFmtId="9" xfId="0" applyAlignment="1" applyBorder="1" applyFont="1" applyNumberFormat="1">
      <alignment horizontal="center" readingOrder="0"/>
    </xf>
    <xf borderId="0" fillId="0" fontId="7" numFmtId="9" xfId="0" applyFont="1" applyNumberFormat="1"/>
    <xf borderId="8" fillId="13" fontId="17" numFmtId="9" xfId="0" applyAlignment="1" applyBorder="1" applyFont="1" applyNumberFormat="1">
      <alignment horizontal="center" readingOrder="0"/>
    </xf>
    <xf borderId="8" fillId="15" fontId="18" numFmtId="9" xfId="0" applyAlignment="1" applyBorder="1" applyFont="1" applyNumberFormat="1">
      <alignment horizontal="center" readingOrder="0"/>
    </xf>
    <xf borderId="8" fillId="14" fontId="18" numFmtId="9" xfId="0" applyAlignment="1" applyBorder="1" applyFont="1" applyNumberFormat="1">
      <alignment horizontal="center" readingOrder="0"/>
    </xf>
    <xf borderId="8" fillId="6" fontId="18" numFmtId="9" xfId="0" applyAlignment="1" applyBorder="1" applyFont="1" applyNumberFormat="1">
      <alignment horizontal="center" readingOrder="0"/>
    </xf>
    <xf borderId="9" fillId="13" fontId="17" numFmtId="9" xfId="0" applyAlignment="1" applyBorder="1" applyFont="1" applyNumberFormat="1">
      <alignment horizontal="center" readingOrder="0"/>
    </xf>
    <xf borderId="9" fillId="16" fontId="18" numFmtId="9" xfId="0" applyAlignment="1" applyBorder="1" applyFont="1" applyNumberFormat="1">
      <alignment horizontal="center" readingOrder="0"/>
    </xf>
    <xf borderId="9" fillId="14" fontId="18" numFmtId="9" xfId="0" applyAlignment="1" applyBorder="1" applyFont="1" applyNumberFormat="1">
      <alignment horizontal="center" readingOrder="0"/>
    </xf>
    <xf borderId="9" fillId="6" fontId="18" numFmtId="9" xfId="0" applyAlignment="1" applyBorder="1" applyFont="1" applyNumberFormat="1">
      <alignment horizontal="center" readingOrder="0"/>
    </xf>
    <xf borderId="0" fillId="0" fontId="7" numFmtId="9" xfId="0" applyAlignment="1" applyFont="1" applyNumberFormat="1">
      <alignment horizontal="center" readingOrder="0"/>
    </xf>
    <xf borderId="0" fillId="0" fontId="9" numFmtId="0" xfId="0" applyAlignment="1" applyFont="1">
      <alignment horizontal="center" readingOrder="0" shrinkToFit="0" vertical="center" wrapText="1"/>
    </xf>
    <xf borderId="0" fillId="0" fontId="9" numFmtId="0" xfId="0" applyAlignment="1" applyFont="1">
      <alignment horizontal="center" readingOrder="0"/>
    </xf>
    <xf borderId="0" fillId="0" fontId="7" numFmtId="0" xfId="0" applyAlignment="1" applyFont="1">
      <alignment shrinkToFit="0" vertical="center" wrapText="1"/>
    </xf>
    <xf borderId="0" fillId="0" fontId="7" numFmtId="0" xfId="0" applyAlignment="1" applyFont="1">
      <alignment readingOrder="0" vertical="center"/>
    </xf>
    <xf borderId="0" fillId="17" fontId="7" numFmtId="0" xfId="0" applyAlignment="1" applyFill="1" applyFont="1">
      <alignment horizontal="center" readingOrder="0" shrinkToFit="0" vertical="center" wrapText="1"/>
    </xf>
    <xf borderId="0" fillId="17" fontId="7" numFmtId="0" xfId="0" applyAlignment="1" applyFont="1">
      <alignment horizontal="center" readingOrder="0"/>
    </xf>
    <xf borderId="0" fillId="17" fontId="7" numFmtId="0" xfId="0" applyAlignment="1" applyFont="1">
      <alignment horizontal="center"/>
    </xf>
    <xf borderId="0" fillId="17" fontId="7" numFmtId="49" xfId="0" applyAlignment="1" applyFont="1" applyNumberFormat="1">
      <alignment horizontal="center"/>
    </xf>
    <xf borderId="0" fillId="0" fontId="7" numFmtId="49" xfId="0" applyAlignment="1" applyFont="1" applyNumberFormat="1">
      <alignment shrinkToFit="0" vertical="center" wrapText="1"/>
    </xf>
    <xf borderId="0" fillId="0" fontId="7" numFmtId="49" xfId="0" applyAlignment="1" applyFont="1" applyNumberFormat="1">
      <alignment vertical="center"/>
    </xf>
    <xf borderId="0" fillId="18" fontId="7" numFmtId="0" xfId="0" applyAlignment="1" applyFill="1" applyFont="1">
      <alignment horizontal="center" readingOrder="0" vertical="center"/>
    </xf>
    <xf borderId="0" fillId="18" fontId="7" numFmtId="0" xfId="0" applyAlignment="1" applyFont="1">
      <alignment horizontal="center" readingOrder="0"/>
    </xf>
    <xf borderId="0" fillId="18" fontId="7" numFmtId="0" xfId="0" applyAlignment="1" applyFont="1">
      <alignment horizontal="center"/>
    </xf>
    <xf borderId="0" fillId="18" fontId="7" numFmtId="49" xfId="0" applyAlignment="1" applyFont="1" applyNumberFormat="1">
      <alignment horizontal="center"/>
    </xf>
    <xf borderId="0" fillId="0" fontId="7" numFmtId="0" xfId="0" applyAlignment="1" applyFont="1">
      <alignment horizontal="center" readingOrder="0" shrinkToFit="0" vertical="center" wrapText="1"/>
    </xf>
    <xf borderId="10" fillId="0" fontId="7" numFmtId="0" xfId="0" applyBorder="1" applyFont="1"/>
    <xf borderId="11" fillId="0" fontId="7" numFmtId="0" xfId="0" applyBorder="1" applyFont="1"/>
    <xf borderId="12" fillId="0" fontId="9" numFmtId="0" xfId="0" applyAlignment="1" applyBorder="1" applyFont="1">
      <alignment readingOrder="0"/>
    </xf>
    <xf borderId="13" fillId="0" fontId="7" numFmtId="0" xfId="0" applyBorder="1" applyFont="1"/>
    <xf borderId="14" fillId="0" fontId="7" numFmtId="0" xfId="0" applyAlignment="1" applyBorder="1" applyFont="1">
      <alignment shrinkToFit="0" vertical="top" wrapText="1"/>
    </xf>
    <xf borderId="14" fillId="0" fontId="16" numFmtId="0" xfId="0" applyBorder="1" applyFont="1"/>
    <xf borderId="15" fillId="0" fontId="7" numFmtId="0" xfId="0" applyBorder="1" applyFont="1"/>
    <xf borderId="16" fillId="0" fontId="7" numFmtId="0" xfId="0" applyBorder="1" applyFont="1"/>
    <xf borderId="17" fillId="0" fontId="16" numFmtId="0" xfId="0" applyBorder="1" applyFont="1"/>
    <xf borderId="18" fillId="0" fontId="7" numFmtId="0" xfId="0" applyBorder="1" applyFont="1"/>
    <xf borderId="19" fillId="0" fontId="7" numFmtId="0" xfId="0" applyBorder="1" applyFont="1"/>
    <xf borderId="20" fillId="0" fontId="7" numFmtId="0" xfId="0" applyAlignment="1" applyBorder="1" applyFont="1">
      <alignment readingOrder="0"/>
    </xf>
    <xf borderId="21" fillId="0" fontId="7" numFmtId="0" xfId="0" applyBorder="1" applyFont="1"/>
    <xf borderId="0" fillId="19" fontId="9" numFmtId="0" xfId="0" applyAlignment="1" applyFill="1" applyFont="1">
      <alignment readingOrder="0"/>
    </xf>
    <xf borderId="0" fillId="19" fontId="7" numFmtId="0" xfId="0" applyFont="1"/>
    <xf borderId="22" fillId="20" fontId="6" numFmtId="0" xfId="0" applyAlignment="1" applyBorder="1" applyFill="1" applyFont="1">
      <alignment shrinkToFit="0" vertical="top" wrapText="1"/>
    </xf>
    <xf borderId="23" fillId="0" fontId="20" numFmtId="0" xfId="0" applyAlignment="1" applyBorder="1" applyFont="1">
      <alignment readingOrder="0"/>
    </xf>
    <xf borderId="24" fillId="0" fontId="7" numFmtId="0" xfId="0" applyAlignment="1" applyBorder="1" applyFont="1">
      <alignment readingOrder="0"/>
    </xf>
    <xf borderId="25" fillId="0" fontId="16" numFmtId="0" xfId="0" applyBorder="1" applyFont="1"/>
    <xf borderId="0" fillId="0" fontId="7" numFmtId="10" xfId="0" applyFont="1" applyNumberFormat="1"/>
    <xf borderId="22" fillId="0" fontId="16" numFmtId="0" xfId="0" applyBorder="1" applyFont="1"/>
    <xf borderId="0" fillId="0" fontId="7" numFmtId="0" xfId="0" applyFont="1"/>
    <xf borderId="0" fillId="18" fontId="9" numFmtId="0" xfId="0" applyAlignment="1" applyFont="1">
      <alignment readingOrder="0"/>
    </xf>
    <xf borderId="0" fillId="18" fontId="7" numFmtId="0" xfId="0" applyFont="1"/>
    <xf borderId="26" fillId="0" fontId="9" numFmtId="0" xfId="0" applyAlignment="1" applyBorder="1" applyFont="1">
      <alignment readingOrder="0"/>
    </xf>
    <xf borderId="26" fillId="21" fontId="21" numFmtId="0" xfId="0" applyAlignment="1" applyBorder="1" applyFill="1" applyFont="1">
      <alignment horizontal="center" readingOrder="0"/>
    </xf>
    <xf borderId="2" fillId="18" fontId="9" numFmtId="0" xfId="0" applyBorder="1" applyFont="1"/>
    <xf borderId="2" fillId="18" fontId="9" numFmtId="10" xfId="0" applyBorder="1" applyFont="1" applyNumberFormat="1"/>
    <xf borderId="0" fillId="0" fontId="7" numFmtId="0" xfId="0" applyFont="1"/>
    <xf borderId="0" fillId="0" fontId="7" numFmtId="4" xfId="0" applyFont="1" applyNumberFormat="1"/>
    <xf borderId="0" fillId="0" fontId="9" numFmtId="0" xfId="0" applyFont="1"/>
    <xf borderId="27" fillId="0" fontId="7" numFmtId="0" xfId="0" applyBorder="1" applyFont="1"/>
    <xf borderId="28" fillId="0" fontId="7" numFmtId="0" xfId="0" applyBorder="1" applyFont="1"/>
    <xf borderId="29" fillId="0" fontId="7" numFmtId="0" xfId="0" applyBorder="1" applyFont="1"/>
    <xf borderId="29" fillId="0" fontId="7" numFmtId="0" xfId="0" applyBorder="1" applyFont="1"/>
    <xf borderId="30" fillId="0" fontId="16" numFmtId="0" xfId="0" applyBorder="1" applyFont="1"/>
    <xf borderId="0" fillId="0" fontId="7" numFmtId="10" xfId="0" applyAlignment="1" applyFont="1" applyNumberFormat="1">
      <alignment horizontal="center"/>
    </xf>
    <xf borderId="0" fillId="0" fontId="7" numFmtId="3" xfId="0" applyAlignment="1" applyFont="1" applyNumberFormat="1">
      <alignment horizontal="center"/>
    </xf>
    <xf borderId="0" fillId="0" fontId="7" numFmtId="164" xfId="0" applyAlignment="1" applyFont="1" applyNumberFormat="1">
      <alignment horizontal="center"/>
    </xf>
    <xf borderId="0" fillId="0" fontId="7" numFmtId="49" xfId="0" applyAlignment="1" applyFont="1" applyNumberFormat="1">
      <alignment horizontal="center" readingOrder="0"/>
    </xf>
    <xf borderId="0" fillId="18" fontId="9" numFmtId="0" xfId="0" applyFont="1"/>
    <xf borderId="0" fillId="0" fontId="7" numFmtId="0" xfId="0" applyAlignment="1" applyFont="1">
      <alignment horizontal="left"/>
    </xf>
    <xf borderId="0" fillId="0" fontId="7" numFmtId="164" xfId="0" applyFont="1" applyNumberFormat="1"/>
    <xf borderId="0" fillId="0" fontId="22" numFmtId="0" xfId="0" applyFont="1"/>
    <xf borderId="0" fillId="0" fontId="23" numFmtId="0" xfId="0" applyAlignment="1" applyFont="1">
      <alignment readingOrder="0"/>
    </xf>
    <xf borderId="19" fillId="0" fontId="7" numFmtId="10" xfId="0" applyBorder="1" applyFont="1" applyNumberFormat="1"/>
    <xf borderId="0" fillId="0" fontId="7" numFmtId="3" xfId="0" applyFont="1" applyNumberFormat="1"/>
    <xf borderId="29" fillId="0" fontId="7" numFmtId="10" xfId="0" applyBorder="1" applyFont="1" applyNumberFormat="1"/>
    <xf borderId="22" fillId="0" fontId="7" numFmtId="0" xfId="0" applyBorder="1" applyFont="1"/>
    <xf borderId="30" fillId="0" fontId="7" numFmtId="0" xfId="0" applyBorder="1" applyFont="1"/>
    <xf borderId="18" fillId="0" fontId="6" numFmtId="0" xfId="0" applyAlignment="1" applyBorder="1" applyFont="1">
      <alignment vertical="bottom"/>
    </xf>
    <xf borderId="19" fillId="0" fontId="6" numFmtId="0" xfId="0" applyAlignment="1" applyBorder="1" applyFont="1">
      <alignment vertical="bottom"/>
    </xf>
    <xf borderId="19" fillId="0" fontId="6" numFmtId="10" xfId="0" applyAlignment="1" applyBorder="1" applyFont="1" applyNumberFormat="1">
      <alignment vertical="bottom"/>
    </xf>
    <xf borderId="20" fillId="0" fontId="6" numFmtId="0" xfId="0" applyAlignment="1" applyBorder="1" applyFont="1">
      <alignment vertical="bottom"/>
    </xf>
    <xf borderId="21" fillId="0" fontId="6" numFmtId="0" xfId="0" applyAlignment="1" applyBorder="1" applyFont="1">
      <alignment vertical="bottom"/>
    </xf>
    <xf borderId="0" fillId="0" fontId="6" numFmtId="0" xfId="0" applyAlignment="1" applyFont="1">
      <alignment readingOrder="0" vertical="bottom"/>
    </xf>
    <xf borderId="0" fillId="0" fontId="6" numFmtId="0" xfId="0" applyAlignment="1" applyFont="1">
      <alignment vertical="bottom"/>
    </xf>
    <xf borderId="0" fillId="0" fontId="6" numFmtId="10" xfId="0" applyAlignment="1" applyFont="1" applyNumberFormat="1">
      <alignment vertical="bottom"/>
    </xf>
    <xf borderId="27" fillId="0" fontId="6" numFmtId="0" xfId="0" applyAlignment="1" applyBorder="1" applyFont="1">
      <alignment vertical="bottom"/>
    </xf>
    <xf borderId="29" fillId="0" fontId="6" numFmtId="0" xfId="0" applyAlignment="1" applyBorder="1" applyFont="1">
      <alignment vertical="bottom"/>
    </xf>
    <xf borderId="29" fillId="0" fontId="6" numFmtId="10" xfId="0" applyAlignment="1" applyBorder="1" applyFont="1" applyNumberFormat="1">
      <alignment vertical="bottom"/>
    </xf>
    <xf borderId="0" fillId="18" fontId="4" numFmtId="0" xfId="0" applyAlignment="1" applyFont="1">
      <alignment vertical="bottom"/>
    </xf>
    <xf borderId="0" fillId="18" fontId="6" numFmtId="0" xfId="0" applyAlignment="1" applyFont="1">
      <alignment vertical="bottom"/>
    </xf>
    <xf borderId="0" fillId="0" fontId="6" numFmtId="9" xfId="0" applyAlignment="1" applyFont="1" applyNumberFormat="1">
      <alignment horizontal="right" vertical="bottom"/>
    </xf>
    <xf borderId="2" fillId="18" fontId="4" numFmtId="0" xfId="0" applyAlignment="1" applyBorder="1" applyFont="1">
      <alignment vertical="bottom"/>
    </xf>
    <xf borderId="2" fillId="18" fontId="4" numFmtId="10" xfId="0" applyAlignment="1" applyBorder="1" applyFont="1" applyNumberFormat="1">
      <alignment horizontal="right" vertical="bottom"/>
    </xf>
    <xf borderId="0" fillId="0" fontId="24" numFmtId="0" xfId="0" applyAlignment="1" applyFont="1">
      <alignment horizontal="left" readingOrder="0" shrinkToFit="0" vertical="center" wrapText="0"/>
    </xf>
    <xf borderId="0" fillId="0" fontId="6" numFmtId="0" xfId="0" applyAlignment="1" applyFont="1">
      <alignment readingOrder="0"/>
    </xf>
    <xf borderId="31" fillId="0" fontId="25" numFmtId="0" xfId="0" applyAlignment="1" applyBorder="1" applyFont="1">
      <alignment horizontal="left" readingOrder="0" vertical="center"/>
    </xf>
    <xf borderId="32" fillId="0" fontId="16" numFmtId="0" xfId="0" applyBorder="1" applyFont="1"/>
    <xf borderId="33" fillId="0" fontId="26" numFmtId="0" xfId="0" applyAlignment="1" applyBorder="1" applyFont="1">
      <alignment horizontal="center" readingOrder="0" vertical="center"/>
    </xf>
    <xf borderId="34" fillId="0" fontId="16" numFmtId="0" xfId="0" applyBorder="1" applyFont="1"/>
    <xf borderId="35" fillId="0" fontId="16" numFmtId="0" xfId="0" applyBorder="1" applyFont="1"/>
    <xf borderId="36" fillId="0" fontId="16" numFmtId="0" xfId="0" applyBorder="1" applyFont="1"/>
    <xf borderId="37" fillId="0" fontId="16" numFmtId="0" xfId="0" applyBorder="1" applyFont="1"/>
    <xf borderId="38" fillId="0" fontId="16" numFmtId="0" xfId="0" applyBorder="1" applyFont="1"/>
    <xf borderId="39" fillId="0" fontId="27" numFmtId="0" xfId="0" applyAlignment="1" applyBorder="1" applyFont="1">
      <alignment horizontal="center" vertical="center"/>
    </xf>
    <xf borderId="40" fillId="0" fontId="16" numFmtId="0" xfId="0" applyBorder="1" applyFont="1"/>
    <xf borderId="41" fillId="0" fontId="16" numFmtId="0" xfId="0" applyBorder="1" applyFont="1"/>
    <xf borderId="39" fillId="0" fontId="27" numFmtId="9" xfId="0" applyAlignment="1" applyBorder="1" applyFont="1" applyNumberFormat="1">
      <alignment horizontal="center" vertical="center"/>
    </xf>
    <xf borderId="42" fillId="0" fontId="16" numFmtId="0" xfId="0" applyBorder="1" applyFont="1"/>
    <xf borderId="31" fillId="22" fontId="28" numFmtId="0" xfId="0" applyAlignment="1" applyBorder="1" applyFill="1" applyFont="1">
      <alignment horizontal="center" readingOrder="0" shrinkToFit="0" vertical="center" wrapText="1"/>
    </xf>
    <xf borderId="43" fillId="0" fontId="16" numFmtId="0" xfId="0" applyBorder="1" applyFont="1"/>
    <xf borderId="44" fillId="0" fontId="16" numFmtId="0" xfId="0" applyBorder="1" applyFont="1"/>
    <xf borderId="39" fillId="0" fontId="29" numFmtId="0" xfId="0" applyAlignment="1" applyBorder="1" applyFont="1">
      <alignment horizontal="center" vertical="center"/>
    </xf>
    <xf borderId="39" fillId="0" fontId="29" numFmtId="9" xfId="0" applyAlignment="1" applyBorder="1" applyFont="1" applyNumberFormat="1">
      <alignment horizontal="center" vertical="center"/>
    </xf>
    <xf borderId="0" fillId="0" fontId="4"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horizontal="left" readingOrder="0" vertical="center"/>
    </xf>
    <xf borderId="0" fillId="0" fontId="30" numFmtId="0" xfId="0" applyFont="1"/>
    <xf borderId="45" fillId="0" fontId="31" numFmtId="0" xfId="0" applyAlignment="1" applyBorder="1" applyFont="1">
      <alignment horizontal="left" readingOrder="0" vertical="center"/>
    </xf>
    <xf borderId="0" fillId="0" fontId="32" numFmtId="0" xfId="0" applyFont="1"/>
    <xf borderId="46" fillId="0" fontId="16" numFmtId="0" xfId="0" applyBorder="1" applyFont="1"/>
    <xf borderId="39" fillId="0" fontId="32" numFmtId="0" xfId="0" applyAlignment="1" applyBorder="1" applyFont="1">
      <alignment horizontal="center" vertical="center"/>
    </xf>
    <xf borderId="39" fillId="0" fontId="32" numFmtId="9" xfId="0" applyAlignment="1" applyBorder="1" applyFont="1" applyNumberFormat="1">
      <alignment horizontal="center" vertical="center"/>
    </xf>
    <xf borderId="0" fillId="0" fontId="33" numFmtId="0" xfId="0" applyFont="1"/>
    <xf borderId="47" fillId="0" fontId="34" numFmtId="0" xfId="0" applyAlignment="1" applyBorder="1" applyFont="1">
      <alignment horizontal="center" readingOrder="0" vertical="center"/>
    </xf>
    <xf borderId="48" fillId="0" fontId="34" numFmtId="0" xfId="0" applyAlignment="1" applyBorder="1" applyFont="1">
      <alignment horizontal="center" readingOrder="0" vertical="center"/>
    </xf>
    <xf borderId="49" fillId="0" fontId="34" numFmtId="0" xfId="0" applyAlignment="1" applyBorder="1" applyFont="1">
      <alignment horizontal="center" readingOrder="0" vertical="center"/>
    </xf>
    <xf borderId="0" fillId="0" fontId="34" numFmtId="0" xfId="0" applyAlignment="1" applyFont="1">
      <alignment horizontal="center" readingOrder="0" vertical="center"/>
    </xf>
    <xf borderId="50" fillId="0" fontId="34" numFmtId="0" xfId="0" applyAlignment="1" applyBorder="1" applyFont="1">
      <alignment horizontal="center" readingOrder="0" vertical="center"/>
    </xf>
    <xf borderId="51" fillId="0" fontId="35" numFmtId="0" xfId="0" applyAlignment="1" applyBorder="1" applyFont="1">
      <alignment readingOrder="0" vertical="center"/>
    </xf>
    <xf borderId="6" fillId="0" fontId="30" numFmtId="0" xfId="0" applyAlignment="1" applyBorder="1" applyFont="1">
      <alignment vertical="center"/>
    </xf>
    <xf borderId="52" fillId="0" fontId="30" numFmtId="0" xfId="0" applyAlignment="1" applyBorder="1" applyFont="1">
      <alignment vertical="center"/>
    </xf>
    <xf borderId="0" fillId="0" fontId="36" numFmtId="0" xfId="0" applyAlignment="1" applyFont="1">
      <alignment vertical="center"/>
    </xf>
    <xf borderId="53" fillId="0" fontId="35" numFmtId="0" xfId="0" applyAlignment="1" applyBorder="1" applyFont="1">
      <alignment readingOrder="0"/>
    </xf>
    <xf borderId="6" fillId="0" fontId="30" numFmtId="0" xfId="0" applyBorder="1" applyFont="1"/>
    <xf borderId="52" fillId="0" fontId="30" numFmtId="9" xfId="0" applyAlignment="1" applyBorder="1" applyFont="1" applyNumberFormat="1">
      <alignment vertical="center"/>
    </xf>
    <xf borderId="52" fillId="0" fontId="30" numFmtId="9" xfId="0" applyBorder="1" applyFont="1" applyNumberFormat="1"/>
    <xf borderId="54" fillId="0" fontId="35" numFmtId="0" xfId="0" applyAlignment="1" applyBorder="1" applyFont="1">
      <alignment readingOrder="0" vertical="center"/>
    </xf>
    <xf borderId="3" fillId="0" fontId="30" numFmtId="0" xfId="0" applyAlignment="1" applyBorder="1" applyFont="1">
      <alignment vertical="center"/>
    </xf>
    <xf borderId="55" fillId="0" fontId="35" numFmtId="0" xfId="0" applyBorder="1" applyFont="1"/>
    <xf borderId="3" fillId="0" fontId="30" numFmtId="0" xfId="0" applyBorder="1" applyFont="1"/>
    <xf borderId="56" fillId="0" fontId="30" numFmtId="9" xfId="0" applyAlignment="1" applyBorder="1" applyFont="1" applyNumberFormat="1">
      <alignment vertical="center"/>
    </xf>
    <xf borderId="56" fillId="0" fontId="30" numFmtId="9" xfId="0" applyBorder="1" applyFont="1" applyNumberFormat="1"/>
    <xf borderId="54" fillId="0" fontId="30" numFmtId="0" xfId="0" applyBorder="1" applyFont="1"/>
    <xf borderId="56" fillId="0" fontId="30" numFmtId="0" xfId="0" applyBorder="1" applyFont="1"/>
    <xf borderId="55" fillId="0" fontId="35" numFmtId="0" xfId="0" applyAlignment="1" applyBorder="1" applyFont="1">
      <alignment readingOrder="0"/>
    </xf>
    <xf borderId="57" fillId="0" fontId="30" numFmtId="0" xfId="0" applyBorder="1" applyFont="1"/>
    <xf borderId="58" fillId="0" fontId="30" numFmtId="0" xfId="0" applyBorder="1" applyFont="1"/>
    <xf borderId="59" fillId="0" fontId="30" numFmtId="0" xfId="0" applyBorder="1" applyFont="1"/>
    <xf borderId="60" fillId="0" fontId="35" numFmtId="0" xfId="0" applyBorder="1" applyFont="1"/>
    <xf borderId="61" fillId="0" fontId="30" numFmtId="0" xfId="0" applyBorder="1" applyFont="1"/>
    <xf borderId="62" fillId="0" fontId="30" numFmtId="0" xfId="0" applyBorder="1" applyFont="1"/>
    <xf borderId="63" fillId="0" fontId="30" numFmtId="9" xfId="0" applyBorder="1" applyFont="1" applyNumberFormat="1"/>
    <xf borderId="3" fillId="0" fontId="37" numFmtId="0" xfId="0" applyAlignment="1" applyBorder="1" applyFont="1">
      <alignment readingOrder="0"/>
    </xf>
    <xf borderId="3" fillId="0" fontId="9" numFmtId="0" xfId="0" applyBorder="1" applyFont="1"/>
    <xf borderId="31" fillId="0" fontId="4" numFmtId="0" xfId="0" applyAlignment="1" applyBorder="1" applyFont="1">
      <alignment horizontal="center" readingOrder="0" vertical="center"/>
    </xf>
    <xf borderId="64" fillId="0" fontId="16" numFmtId="0" xfId="0" applyBorder="1" applyFont="1"/>
    <xf borderId="65" fillId="0" fontId="4" numFmtId="0" xfId="0" applyAlignment="1" applyBorder="1" applyFont="1">
      <alignment readingOrder="0" vertical="center"/>
    </xf>
    <xf borderId="50" fillId="0" fontId="6" numFmtId="0" xfId="0" applyAlignment="1" applyBorder="1" applyFont="1">
      <alignment horizontal="center" readingOrder="0"/>
    </xf>
    <xf borderId="66" fillId="0" fontId="16" numFmtId="0" xfId="0" applyBorder="1" applyFont="1"/>
    <xf borderId="67" fillId="0" fontId="16" numFmtId="0" xfId="0" applyBorder="1" applyFont="1"/>
    <xf borderId="68" fillId="0" fontId="6" numFmtId="0" xfId="0" applyAlignment="1" applyBorder="1" applyFont="1">
      <alignment horizontal="center" readingOrder="0"/>
    </xf>
    <xf borderId="69" fillId="0" fontId="16" numFmtId="0" xfId="0" applyBorder="1" applyFont="1"/>
    <xf borderId="37" fillId="0" fontId="7" numFmtId="0" xfId="0" applyAlignment="1" applyBorder="1" applyFont="1">
      <alignment horizontal="center"/>
    </xf>
    <xf borderId="70" fillId="0" fontId="16" numFmtId="0" xfId="0" applyBorder="1" applyFont="1"/>
    <xf borderId="69" fillId="0" fontId="7" numFmtId="0" xfId="0" applyAlignment="1" applyBorder="1" applyFont="1">
      <alignment horizontal="center"/>
    </xf>
    <xf borderId="71" fillId="0" fontId="6" numFmtId="0" xfId="0" applyAlignment="1" applyBorder="1" applyFont="1">
      <alignment horizontal="center" readingOrder="0"/>
    </xf>
    <xf borderId="72" fillId="0" fontId="7" numFmtId="0" xfId="0" applyBorder="1" applyFont="1"/>
    <xf borderId="73" fillId="0" fontId="16" numFmtId="0" xfId="0" applyBorder="1" applyFont="1"/>
    <xf borderId="71" fillId="0" fontId="7" numFmtId="0" xfId="0" applyBorder="1" applyFont="1"/>
    <xf borderId="69" fillId="0" fontId="6" numFmtId="0" xfId="0" applyAlignment="1" applyBorder="1" applyFont="1">
      <alignment horizontal="center" readingOrder="0"/>
    </xf>
    <xf borderId="37" fillId="0" fontId="7" numFmtId="0" xfId="0" applyBorder="1" applyFont="1"/>
    <xf borderId="69" fillId="0" fontId="7" numFmtId="0" xfId="0" applyBorder="1" applyFont="1"/>
    <xf borderId="0" fillId="0" fontId="4" numFmtId="0" xfId="0" applyAlignment="1" applyFont="1">
      <alignment readingOrder="0"/>
    </xf>
    <xf borderId="74" fillId="0" fontId="21" numFmtId="0" xfId="0" applyAlignment="1" applyBorder="1" applyFont="1">
      <alignment horizontal="center" readingOrder="0"/>
    </xf>
    <xf borderId="75" fillId="0" fontId="21" numFmtId="0" xfId="0" applyAlignment="1" applyBorder="1" applyFont="1">
      <alignment horizontal="center" readingOrder="0"/>
    </xf>
    <xf borderId="76" fillId="0" fontId="21" numFmtId="0" xfId="0" applyAlignment="1" applyBorder="1" applyFont="1">
      <alignment horizontal="center" readingOrder="0"/>
    </xf>
    <xf borderId="77" fillId="0" fontId="7" numFmtId="165" xfId="0" applyAlignment="1" applyBorder="1" applyFont="1" applyNumberFormat="1">
      <alignment readingOrder="0"/>
    </xf>
    <xf borderId="78" fillId="0" fontId="7" numFmtId="0" xfId="0" applyAlignment="1" applyBorder="1" applyFont="1">
      <alignment readingOrder="0"/>
    </xf>
    <xf borderId="78" fillId="0" fontId="7" numFmtId="0" xfId="0" applyBorder="1" applyFont="1"/>
    <xf borderId="79" fillId="0" fontId="7" numFmtId="0" xfId="0" applyAlignment="1" applyBorder="1" applyFont="1">
      <alignment readingOrder="0"/>
    </xf>
    <xf borderId="0" fillId="0" fontId="5" numFmtId="0" xfId="0" applyAlignment="1" applyFont="1">
      <alignment horizontal="center" vertical="center"/>
    </xf>
    <xf borderId="0" fillId="0" fontId="5" numFmtId="0" xfId="0" applyAlignment="1" applyFont="1">
      <alignment horizontal="left" vertical="center"/>
    </xf>
    <xf borderId="0" fillId="0" fontId="5" numFmtId="0" xfId="0" applyAlignment="1" applyFont="1">
      <alignment vertical="center"/>
    </xf>
    <xf borderId="80" fillId="19" fontId="5" numFmtId="0" xfId="0" applyAlignment="1" applyBorder="1" applyFont="1">
      <alignment vertical="center"/>
    </xf>
    <xf borderId="80" fillId="23" fontId="34" numFmtId="0" xfId="0" applyAlignment="1" applyBorder="1" applyFill="1" applyFont="1">
      <alignment horizontal="center" vertical="center"/>
    </xf>
    <xf borderId="80" fillId="23" fontId="34" numFmtId="0" xfId="0" applyAlignment="1" applyBorder="1" applyFont="1">
      <alignment horizontal="left" vertical="center"/>
    </xf>
    <xf borderId="80" fillId="23" fontId="34" numFmtId="0" xfId="0" applyAlignment="1" applyBorder="1" applyFont="1">
      <alignment vertical="center"/>
    </xf>
    <xf borderId="0" fillId="0" fontId="24" numFmtId="0" xfId="0" applyAlignment="1" applyFont="1">
      <alignment vertical="center"/>
    </xf>
    <xf borderId="0" fillId="0" fontId="5" numFmtId="165" xfId="0" applyAlignment="1" applyFont="1" applyNumberFormat="1">
      <alignment horizontal="center" vertical="center"/>
    </xf>
    <xf borderId="0" fillId="0" fontId="5" numFmtId="0" xfId="0" applyAlignment="1" applyFont="1">
      <alignment readingOrder="0" vertical="center"/>
    </xf>
    <xf borderId="80" fillId="19" fontId="5" numFmtId="0" xfId="0" applyAlignment="1" applyBorder="1" applyFont="1">
      <alignment readingOrder="0" vertical="center"/>
    </xf>
    <xf borderId="80" fillId="23" fontId="34" numFmtId="0" xfId="0" applyAlignment="1" applyBorder="1" applyFont="1">
      <alignment horizontal="center" readingOrder="0" vertical="center"/>
    </xf>
    <xf borderId="0" fillId="0" fontId="24" numFmtId="0" xfId="0" applyAlignment="1" applyFont="1">
      <alignment horizontal="left" vertical="center"/>
    </xf>
    <xf borderId="0" fillId="0" fontId="24" numFmtId="0" xfId="0" applyAlignment="1" applyFont="1">
      <alignment horizontal="center" vertical="center"/>
    </xf>
    <xf borderId="0" fillId="0" fontId="24" numFmtId="0" xfId="0" applyAlignment="1" applyFont="1">
      <alignment readingOrder="0" vertical="center"/>
    </xf>
    <xf borderId="80" fillId="24" fontId="5" numFmtId="165" xfId="0" applyAlignment="1" applyBorder="1" applyFill="1" applyFont="1" applyNumberFormat="1">
      <alignment horizontal="center" vertical="center"/>
    </xf>
    <xf borderId="0" fillId="0" fontId="4" numFmtId="0" xfId="0" applyAlignment="1" applyFont="1">
      <alignment horizontal="center" readingOrder="0" vertical="top"/>
    </xf>
    <xf borderId="0" fillId="0" fontId="4" numFmtId="0" xfId="0" applyAlignment="1" applyFont="1">
      <alignment horizontal="left" readingOrder="0"/>
    </xf>
    <xf borderId="0" fillId="0" fontId="6" numFmtId="0" xfId="0" applyAlignment="1" applyFont="1">
      <alignment horizontal="center" readingOrder="0" vertical="top"/>
    </xf>
    <xf borderId="0" fillId="0" fontId="6" numFmtId="0" xfId="0" applyFont="1"/>
    <xf borderId="81" fillId="25" fontId="38" numFmtId="1" xfId="0" applyAlignment="1" applyBorder="1" applyFill="1" applyFont="1" applyNumberFormat="1">
      <alignment horizontal="center" readingOrder="0" shrinkToFit="0" vertical="center" wrapText="1"/>
    </xf>
    <xf borderId="0" fillId="0" fontId="7" numFmtId="0" xfId="0" applyAlignment="1" applyFont="1">
      <alignment horizontal="center"/>
    </xf>
    <xf borderId="0" fillId="0" fontId="7" numFmtId="0" xfId="0" applyAlignment="1" applyFont="1">
      <alignment horizontal="left"/>
    </xf>
    <xf borderId="81" fillId="25" fontId="39" numFmtId="1" xfId="0" applyAlignment="1" applyBorder="1" applyFont="1" applyNumberFormat="1">
      <alignment horizontal="center" shrinkToFit="0" vertical="center" wrapText="1"/>
    </xf>
    <xf borderId="81" fillId="26" fontId="39" numFmtId="1" xfId="0" applyAlignment="1" applyBorder="1" applyFill="1" applyFont="1" applyNumberFormat="1">
      <alignment horizontal="center" shrinkToFit="0" vertical="center" wrapText="1"/>
    </xf>
    <xf borderId="81" fillId="27" fontId="39" numFmtId="1" xfId="0" applyAlignment="1" applyBorder="1" applyFill="1" applyFont="1" applyNumberFormat="1">
      <alignment horizontal="center" shrinkToFit="0" vertical="center" wrapText="1"/>
    </xf>
    <xf borderId="0" fillId="0" fontId="9" numFmtId="0" xfId="0" applyAlignment="1" applyFont="1">
      <alignment horizontal="left"/>
    </xf>
    <xf borderId="0" fillId="0" fontId="7" numFmtId="0" xfId="0" applyAlignment="1" applyFont="1">
      <alignment horizontal="center" vertical="top"/>
    </xf>
    <xf borderId="81" fillId="25" fontId="39" numFmtId="1" xfId="0" applyAlignment="1" applyBorder="1" applyFont="1" applyNumberFormat="1">
      <alignment horizontal="center" readingOrder="0" shrinkToFit="0" vertical="center" wrapText="1"/>
    </xf>
    <xf borderId="0" fillId="0" fontId="3" numFmtId="0" xfId="0" applyAlignment="1" applyFont="1">
      <alignment horizontal="center" readingOrder="0" vertical="top"/>
    </xf>
    <xf borderId="0" fillId="0" fontId="3" numFmtId="0" xfId="0" applyAlignment="1" applyFont="1">
      <alignment vertical="bottom"/>
    </xf>
    <xf borderId="0" fillId="0" fontId="40" numFmtId="0" xfId="0" applyAlignment="1" applyFont="1">
      <alignment vertical="bottom"/>
    </xf>
    <xf borderId="81" fillId="0" fontId="39" numFmtId="1" xfId="0" applyAlignment="1" applyBorder="1" applyFont="1" applyNumberFormat="1">
      <alignment horizontal="center" readingOrder="0" shrinkToFit="0" wrapText="1"/>
    </xf>
    <xf borderId="0" fillId="0" fontId="40" numFmtId="0" xfId="0" applyAlignment="1" applyFont="1">
      <alignment horizontal="center" vertical="bottom"/>
    </xf>
    <xf borderId="0" fillId="0" fontId="40" numFmtId="0" xfId="0" applyAlignment="1" applyFont="1">
      <alignment horizontal="left" vertical="bottom"/>
    </xf>
    <xf borderId="0" fillId="0" fontId="40" numFmtId="0" xfId="0" applyAlignment="1" applyFont="1">
      <alignment horizontal="right" vertical="bottom"/>
    </xf>
    <xf borderId="0" fillId="0" fontId="40" numFmtId="0" xfId="0" applyAlignment="1" applyFont="1">
      <alignment vertical="top"/>
    </xf>
    <xf borderId="81" fillId="0" fontId="39" numFmtId="1" xfId="0" applyAlignment="1" applyBorder="1" applyFont="1" applyNumberFormat="1">
      <alignment horizontal="center" shrinkToFit="0" wrapText="1"/>
    </xf>
    <xf borderId="0" fillId="0" fontId="3" numFmtId="0" xfId="0" applyAlignment="1" applyFont="1">
      <alignment readingOrder="0" vertical="bottom"/>
    </xf>
    <xf borderId="81" fillId="26" fontId="39" numFmtId="1" xfId="0" applyAlignment="1" applyBorder="1" applyFont="1" applyNumberFormat="1">
      <alignment horizontal="center" readingOrder="0" shrinkToFit="0" vertical="center" wrapText="1"/>
    </xf>
    <xf borderId="81" fillId="27" fontId="39" numFmtId="1" xfId="0" applyAlignment="1" applyBorder="1" applyFont="1" applyNumberFormat="1">
      <alignment horizontal="center" readingOrder="0" shrinkToFit="0" vertical="center" wrapText="1"/>
    </xf>
    <xf borderId="81" fillId="26" fontId="38" numFmtId="1" xfId="0" applyAlignment="1" applyBorder="1" applyFont="1" applyNumberFormat="1">
      <alignment horizontal="center" readingOrder="0" shrinkToFit="0" vertical="center" wrapText="1"/>
    </xf>
    <xf borderId="0" fillId="0" fontId="41" numFmtId="0" xfId="0" applyAlignment="1" applyFont="1">
      <alignment horizontal="center" vertical="bottom"/>
    </xf>
    <xf borderId="81" fillId="27" fontId="38" numFmtId="1" xfId="0" applyAlignment="1" applyBorder="1" applyFont="1" applyNumberFormat="1">
      <alignment horizontal="center" readingOrder="0" shrinkToFit="0" vertical="center" wrapText="1"/>
    </xf>
    <xf borderId="81" fillId="26" fontId="38" numFmtId="1" xfId="0" applyAlignment="1" applyBorder="1" applyFont="1" applyNumberFormat="1">
      <alignment horizontal="center" shrinkToFit="0" wrapText="1"/>
    </xf>
    <xf borderId="81" fillId="27" fontId="38" numFmtId="1" xfId="0" applyAlignment="1" applyBorder="1" applyFont="1" applyNumberFormat="1">
      <alignment horizontal="center" shrinkToFit="0" wrapText="1"/>
    </xf>
    <xf borderId="81" fillId="25" fontId="38" numFmtId="1" xfId="0" applyAlignment="1" applyBorder="1" applyFont="1" applyNumberFormat="1">
      <alignment horizontal="center" readingOrder="0" shrinkToFit="0" wrapText="1"/>
    </xf>
    <xf borderId="81" fillId="25" fontId="38" numFmtId="1" xfId="0" applyAlignment="1" applyBorder="1" applyFont="1" applyNumberFormat="1">
      <alignment horizontal="center" shrinkToFit="0" wrapText="1"/>
    </xf>
    <xf borderId="0" fillId="0" fontId="40" numFmtId="0" xfId="0" applyAlignment="1" applyFont="1">
      <alignment vertical="top"/>
    </xf>
    <xf borderId="0" fillId="0" fontId="3" numFmtId="0" xfId="0" applyAlignment="1" applyFont="1">
      <alignment readingOrder="0" vertical="top"/>
    </xf>
    <xf borderId="81" fillId="0" fontId="38" numFmtId="1" xfId="0" applyAlignment="1" applyBorder="1" applyFont="1" applyNumberFormat="1">
      <alignment horizontal="center" readingOrder="0" shrinkToFit="0" vertical="center" wrapText="1"/>
    </xf>
    <xf borderId="50" fillId="0" fontId="9" numFmtId="0" xfId="0" applyAlignment="1" applyBorder="1" applyFont="1">
      <alignment readingOrder="0"/>
    </xf>
    <xf borderId="66" fillId="0" fontId="7" numFmtId="0" xfId="0" applyBorder="1" applyFont="1"/>
    <xf borderId="67" fillId="0" fontId="7" numFmtId="0" xfId="0" applyBorder="1" applyFont="1"/>
    <xf borderId="3" fillId="0" fontId="9" numFmtId="0" xfId="0" applyAlignment="1" applyBorder="1" applyFont="1">
      <alignment readingOrder="0"/>
    </xf>
    <xf borderId="3" fillId="0" fontId="4" numFmtId="0" xfId="0" applyAlignment="1" applyBorder="1" applyFont="1">
      <alignment readingOrder="0"/>
    </xf>
    <xf borderId="82" fillId="0" fontId="42" numFmtId="0" xfId="0" applyAlignment="1" applyBorder="1" applyFont="1">
      <alignment horizontal="left" readingOrder="0" shrinkToFit="0" wrapText="0"/>
    </xf>
    <xf borderId="83" fillId="0" fontId="42" numFmtId="0" xfId="0" applyAlignment="1" applyBorder="1" applyFont="1">
      <alignment horizontal="left" shrinkToFit="0" wrapText="0"/>
    </xf>
    <xf borderId="83" fillId="0" fontId="42" numFmtId="0" xfId="0" applyAlignment="1" applyBorder="1" applyFont="1">
      <alignment horizontal="left" readingOrder="0" shrinkToFit="0" wrapText="0"/>
    </xf>
    <xf borderId="84" fillId="0" fontId="42" numFmtId="0" xfId="0" applyAlignment="1" applyBorder="1" applyFont="1">
      <alignment horizontal="left" shrinkToFit="0" wrapText="0"/>
    </xf>
    <xf borderId="3" fillId="0" fontId="33" numFmtId="0" xfId="0" applyAlignment="1" applyBorder="1" applyFont="1">
      <alignment horizontal="left" shrinkToFit="0" wrapText="0"/>
    </xf>
    <xf borderId="3" fillId="0" fontId="33" numFmtId="0" xfId="0" applyAlignment="1" applyBorder="1" applyFont="1">
      <alignment horizontal="left" readingOrder="0" shrinkToFit="0" wrapText="0"/>
    </xf>
    <xf borderId="83" fillId="0" fontId="33" numFmtId="0" xfId="0" applyBorder="1" applyFont="1"/>
    <xf borderId="83" fillId="0" fontId="5" numFmtId="0" xfId="0" applyBorder="1" applyFont="1"/>
    <xf borderId="83" fillId="0" fontId="5" numFmtId="0" xfId="0" applyAlignment="1" applyBorder="1" applyFont="1">
      <alignment readingOrder="0"/>
    </xf>
    <xf borderId="85" fillId="0" fontId="5" numFmtId="0" xfId="0" applyAlignment="1" applyBorder="1" applyFont="1">
      <alignment horizontal="left" readingOrder="0" vertical="center"/>
    </xf>
    <xf borderId="85" fillId="0" fontId="5" numFmtId="0" xfId="0" applyAlignment="1" applyBorder="1" applyFont="1">
      <alignment horizontal="left" vertical="center"/>
    </xf>
    <xf borderId="86" fillId="25" fontId="38" numFmtId="1" xfId="0" applyAlignment="1" applyBorder="1" applyFont="1" applyNumberFormat="1">
      <alignment horizontal="center" readingOrder="0" shrinkToFit="0" vertical="center" wrapText="1"/>
    </xf>
    <xf borderId="83" fillId="0" fontId="6" numFmtId="0" xfId="0" applyAlignment="1" applyBorder="1" applyFont="1">
      <alignment readingOrder="0"/>
    </xf>
    <xf borderId="0" fillId="0" fontId="33" numFmtId="0" xfId="0" applyFont="1"/>
    <xf borderId="83" fillId="0" fontId="33" numFmtId="0" xfId="0" applyBorder="1" applyFont="1"/>
    <xf borderId="82" fillId="0" fontId="33" numFmtId="49" xfId="0" applyAlignment="1" applyBorder="1" applyFont="1" applyNumberFormat="1">
      <alignment horizontal="left" shrinkToFit="0" wrapText="0"/>
    </xf>
    <xf borderId="83" fillId="0" fontId="33" numFmtId="49" xfId="0" applyAlignment="1" applyBorder="1" applyFont="1" applyNumberFormat="1">
      <alignment horizontal="left" shrinkToFit="0" wrapText="0"/>
    </xf>
    <xf borderId="84" fillId="0" fontId="33" numFmtId="49" xfId="0" applyAlignment="1" applyBorder="1" applyFont="1" applyNumberFormat="1">
      <alignment horizontal="left" shrinkToFit="0" wrapText="0"/>
    </xf>
    <xf borderId="0" fillId="0" fontId="33" numFmtId="49" xfId="0" applyAlignment="1" applyFont="1" applyNumberFormat="1">
      <alignment readingOrder="0"/>
    </xf>
    <xf borderId="83" fillId="0" fontId="5" numFmtId="0" xfId="0" applyBorder="1" applyFont="1"/>
    <xf borderId="85" fillId="0" fontId="33" numFmtId="0" xfId="0" applyBorder="1" applyFont="1"/>
    <xf borderId="85" fillId="0" fontId="43" numFmtId="0" xfId="0" applyAlignment="1" applyBorder="1" applyFont="1">
      <alignment horizontal="left" readingOrder="0" vertical="center"/>
    </xf>
    <xf borderId="85" fillId="0" fontId="43" numFmtId="0" xfId="0" applyAlignment="1" applyBorder="1" applyFont="1">
      <alignment horizontal="left" vertical="center"/>
    </xf>
    <xf borderId="83" fillId="0" fontId="33" numFmtId="49" xfId="0" applyAlignment="1" applyBorder="1" applyFont="1" applyNumberFormat="1">
      <alignment horizontal="left" readingOrder="0" shrinkToFit="0" wrapText="0"/>
    </xf>
    <xf borderId="84" fillId="0" fontId="7" numFmtId="49" xfId="0" applyAlignment="1" applyBorder="1" applyFont="1" applyNumberFormat="1">
      <alignment horizontal="left" shrinkToFit="0" wrapText="0"/>
    </xf>
    <xf borderId="85" fillId="0" fontId="7" numFmtId="0" xfId="0" applyBorder="1" applyFont="1"/>
    <xf borderId="86" fillId="25" fontId="39" numFmtId="1" xfId="0" applyAlignment="1" applyBorder="1" applyFont="1" applyNumberFormat="1">
      <alignment horizontal="center" shrinkToFit="0" vertical="center" wrapText="1"/>
    </xf>
    <xf borderId="3" fillId="0" fontId="7" numFmtId="0" xfId="0" applyAlignment="1" applyBorder="1" applyFont="1">
      <alignment horizontal="left" shrinkToFit="0" wrapText="0"/>
    </xf>
    <xf borderId="0" fillId="0" fontId="33" numFmtId="0" xfId="0" applyAlignment="1" applyFont="1">
      <alignment readingOrder="0"/>
    </xf>
    <xf borderId="86" fillId="26" fontId="39" numFmtId="1" xfId="0" applyAlignment="1" applyBorder="1" applyFont="1" applyNumberFormat="1">
      <alignment horizontal="center" shrinkToFit="0" vertical="center" wrapText="1"/>
    </xf>
    <xf borderId="82" fillId="0" fontId="7" numFmtId="49" xfId="0" applyAlignment="1" applyBorder="1" applyFont="1" applyNumberFormat="1">
      <alignment horizontal="left" shrinkToFit="0" wrapText="0"/>
    </xf>
    <xf borderId="83" fillId="0" fontId="7" numFmtId="49" xfId="0" applyAlignment="1" applyBorder="1" applyFont="1" applyNumberFormat="1">
      <alignment horizontal="left" shrinkToFit="0" wrapText="0"/>
    </xf>
    <xf borderId="83" fillId="0" fontId="5" numFmtId="0" xfId="0" applyAlignment="1" applyBorder="1" applyFont="1">
      <alignment horizontal="left" readingOrder="0" vertical="center"/>
    </xf>
    <xf borderId="83" fillId="0" fontId="7" numFmtId="0" xfId="0" applyBorder="1" applyFont="1"/>
    <xf borderId="83" fillId="0" fontId="43" numFmtId="0" xfId="0" applyAlignment="1" applyBorder="1" applyFont="1">
      <alignment horizontal="left" readingOrder="0" vertical="center"/>
    </xf>
    <xf borderId="83" fillId="0" fontId="43" numFmtId="0" xfId="0" applyAlignment="1" applyBorder="1" applyFont="1">
      <alignment horizontal="left" vertical="center"/>
    </xf>
    <xf borderId="83" fillId="0" fontId="7" numFmtId="0" xfId="0" applyAlignment="1" applyBorder="1" applyFont="1">
      <alignment readingOrder="0"/>
    </xf>
    <xf borderId="83" fillId="0" fontId="33" numFmtId="0" xfId="0" applyAlignment="1" applyBorder="1" applyFont="1">
      <alignment readingOrder="0"/>
    </xf>
    <xf borderId="86" fillId="27" fontId="39" numFmtId="1" xfId="0" applyAlignment="1" applyBorder="1" applyFont="1" applyNumberFormat="1">
      <alignment horizontal="center" shrinkToFit="0" vertical="center" wrapText="1"/>
    </xf>
    <xf borderId="83" fillId="0" fontId="7" numFmtId="0" xfId="0" applyBorder="1" applyFont="1"/>
    <xf borderId="86" fillId="26" fontId="38" numFmtId="1" xfId="0" applyAlignment="1" applyBorder="1" applyFont="1" applyNumberFormat="1">
      <alignment horizontal="center" readingOrder="0" shrinkToFit="0" vertical="center" wrapText="1"/>
    </xf>
    <xf borderId="86" fillId="27" fontId="38" numFmtId="1" xfId="0" applyAlignment="1" applyBorder="1" applyFont="1" applyNumberFormat="1">
      <alignment horizontal="center" readingOrder="0" shrinkToFit="0" vertical="center" wrapText="1"/>
    </xf>
    <xf borderId="6" fillId="0" fontId="33" numFmtId="0" xfId="0" applyBorder="1" applyFont="1"/>
    <xf borderId="6" fillId="0" fontId="7" numFmtId="0" xfId="0" applyBorder="1" applyFont="1"/>
    <xf borderId="3" fillId="0" fontId="33" numFmtId="0" xfId="0" applyAlignment="1" applyBorder="1" applyFont="1">
      <alignment horizontal="left" shrinkToFit="0" wrapText="0"/>
    </xf>
    <xf borderId="82" fillId="0" fontId="7" numFmtId="49" xfId="0" applyBorder="1" applyFont="1" applyNumberFormat="1"/>
    <xf borderId="83" fillId="0" fontId="7" numFmtId="49" xfId="0" applyBorder="1" applyFont="1" applyNumberFormat="1"/>
    <xf borderId="84" fillId="0" fontId="7" numFmtId="49" xfId="0" applyBorder="1" applyFont="1" applyNumberFormat="1"/>
    <xf borderId="46" fillId="0" fontId="7" numFmtId="49" xfId="0" applyBorder="1" applyFont="1" applyNumberFormat="1"/>
    <xf borderId="87" fillId="0" fontId="7" numFmtId="49" xfId="0" applyBorder="1" applyFont="1" applyNumberFormat="1"/>
    <xf borderId="88" fillId="0" fontId="7" numFmtId="49" xfId="0" applyBorder="1" applyFont="1" applyNumberFormat="1"/>
    <xf borderId="83" fillId="0" fontId="33" numFmtId="0" xfId="0" applyAlignment="1" applyBorder="1" applyFont="1">
      <alignment horizontal="left" shrinkToFit="0" wrapText="0"/>
    </xf>
    <xf borderId="3" fillId="0" fontId="7" numFmtId="0" xfId="0" applyBorder="1" applyFont="1"/>
    <xf borderId="83" fillId="0" fontId="7" numFmtId="0" xfId="0" applyAlignment="1" applyBorder="1" applyFont="1">
      <alignment horizontal="left" shrinkToFit="0" wrapText="0"/>
    </xf>
    <xf borderId="3" fillId="0" fontId="7" numFmtId="0" xfId="0" applyAlignment="1" applyBorder="1" applyFont="1">
      <alignment readingOrder="0"/>
    </xf>
    <xf borderId="0" fillId="0" fontId="7" numFmtId="1" xfId="0" applyAlignment="1" applyFont="1" applyNumberFormat="1">
      <alignment readingOrder="0"/>
    </xf>
    <xf borderId="0" fillId="0" fontId="7" numFmtId="0" xfId="0" applyAlignment="1" applyFont="1">
      <alignment readingOrder="0" shrinkToFit="0" wrapText="0"/>
    </xf>
    <xf borderId="0" fillId="0" fontId="7" numFmtId="0" xfId="0" applyAlignment="1" applyFont="1">
      <alignment horizontal="left" readingOrder="0"/>
    </xf>
    <xf borderId="0" fillId="0" fontId="7" numFmtId="0" xfId="0" applyAlignment="1" applyFont="1">
      <alignment shrinkToFit="0" wrapText="0"/>
    </xf>
    <xf borderId="0" fillId="28" fontId="7" numFmtId="0" xfId="0" applyAlignment="1" applyFill="1" applyFont="1">
      <alignment horizontal="left" readingOrder="0" vertical="center"/>
    </xf>
    <xf borderId="0" fillId="28" fontId="7" numFmtId="0" xfId="0" applyAlignment="1" applyFont="1">
      <alignment horizontal="center" readingOrder="0" vertical="center"/>
    </xf>
    <xf borderId="0" fillId="0" fontId="7" numFmtId="0" xfId="0" applyAlignment="1" applyFont="1">
      <alignment horizontal="center" readingOrder="0" vertical="center"/>
    </xf>
    <xf borderId="0" fillId="29" fontId="9" numFmtId="0" xfId="0" applyAlignment="1" applyFill="1" applyFont="1">
      <alignment horizontal="left" readingOrder="0" vertical="center"/>
    </xf>
    <xf borderId="0" fillId="29" fontId="9" numFmtId="0" xfId="0" applyAlignment="1" applyFont="1">
      <alignment horizontal="center" readingOrder="0" vertical="center"/>
    </xf>
    <xf borderId="0" fillId="29" fontId="9" numFmtId="0" xfId="0" applyAlignment="1" applyFont="1">
      <alignment horizontal="center" readingOrder="0"/>
    </xf>
    <xf borderId="0" fillId="29" fontId="9" numFmtId="0" xfId="0" applyAlignment="1" applyFont="1">
      <alignment horizontal="center"/>
    </xf>
    <xf borderId="0" fillId="29" fontId="9" numFmtId="0" xfId="0" applyAlignment="1" applyFont="1">
      <alignment horizontal="center"/>
    </xf>
    <xf borderId="0" fillId="0" fontId="7" numFmtId="0" xfId="0" applyAlignment="1" applyFont="1">
      <alignment horizontal="center" readingOrder="0"/>
    </xf>
    <xf borderId="0" fillId="0" fontId="7" numFmtId="0" xfId="0" applyAlignment="1" applyFont="1">
      <alignment horizontal="left" readingOrder="0" vertical="center"/>
    </xf>
    <xf borderId="0" fillId="0" fontId="7" numFmtId="0" xfId="0" applyAlignment="1" applyFont="1">
      <alignment horizontal="center" readingOrder="0"/>
    </xf>
    <xf borderId="0" fillId="0" fontId="7" numFmtId="0" xfId="0" applyAlignment="1" applyFont="1">
      <alignment horizontal="left" readingOrder="0"/>
    </xf>
    <xf borderId="0" fillId="0" fontId="3" numFmtId="0" xfId="0" applyFont="1"/>
    <xf borderId="0" fillId="0" fontId="3" numFmtId="0" xfId="0" applyAlignment="1" applyFont="1">
      <alignment horizontal="center"/>
    </xf>
    <xf borderId="0" fillId="30" fontId="44" numFmtId="0" xfId="0" applyAlignment="1" applyFill="1" applyFont="1">
      <alignment horizontal="left" readingOrder="0" vertical="center"/>
    </xf>
    <xf borderId="0" fillId="31" fontId="45" numFmtId="0" xfId="0" applyFill="1" applyFont="1"/>
    <xf borderId="0" fillId="32" fontId="46" numFmtId="0" xfId="0" applyAlignment="1" applyFill="1" applyFont="1">
      <alignment horizontal="left" readingOrder="0" vertical="center"/>
    </xf>
    <xf borderId="0" fillId="32" fontId="46" numFmtId="0" xfId="0" applyAlignment="1" applyFont="1">
      <alignment horizontal="center" vertical="center"/>
    </xf>
    <xf borderId="0" fillId="32" fontId="47" numFmtId="0" xfId="0" applyAlignment="1" applyFont="1">
      <alignment horizontal="center" vertical="center"/>
    </xf>
    <xf borderId="0" fillId="32" fontId="47" numFmtId="0" xfId="0" applyAlignment="1" applyFont="1">
      <alignment horizontal="left" vertical="center"/>
    </xf>
    <xf borderId="0" fillId="31" fontId="3" numFmtId="0" xfId="0" applyFont="1"/>
    <xf borderId="0" fillId="4" fontId="46" numFmtId="0" xfId="0" applyAlignment="1" applyFont="1">
      <alignment horizontal="left" readingOrder="0" vertical="center"/>
    </xf>
    <xf borderId="0" fillId="4" fontId="46" numFmtId="0" xfId="0" applyAlignment="1" applyFont="1">
      <alignment horizontal="center" vertical="center"/>
    </xf>
    <xf borderId="0" fillId="4" fontId="3" numFmtId="0" xfId="0" applyAlignment="1" applyFont="1">
      <alignment horizontal="center" vertical="center"/>
    </xf>
    <xf borderId="0" fillId="0" fontId="48" numFmtId="0" xfId="0" applyFont="1"/>
    <xf borderId="0" fillId="32" fontId="3" numFmtId="0" xfId="0" applyAlignment="1" applyFont="1">
      <alignment horizontal="center" vertical="center"/>
    </xf>
    <xf borderId="0" fillId="32" fontId="3" numFmtId="0" xfId="0" applyAlignment="1" applyFont="1">
      <alignment horizontal="center" vertical="center"/>
    </xf>
    <xf borderId="0" fillId="32" fontId="49" numFmtId="0" xfId="0" applyAlignment="1" applyFont="1">
      <alignment horizontal="center" vertical="center"/>
    </xf>
    <xf borderId="0" fillId="32" fontId="49" numFmtId="0" xfId="0" applyAlignment="1" applyFont="1">
      <alignment horizontal="left" vertical="center"/>
    </xf>
    <xf borderId="0" fillId="0" fontId="3" numFmtId="0" xfId="0" applyAlignment="1" applyFont="1">
      <alignment horizontal="center" vertical="center"/>
    </xf>
    <xf borderId="0" fillId="4" fontId="3" numFmtId="0" xfId="0" applyAlignment="1" applyFont="1">
      <alignment horizontal="center" vertical="center"/>
    </xf>
    <xf borderId="0" fillId="4" fontId="3" numFmtId="0" xfId="0" applyAlignment="1" applyFont="1">
      <alignment horizontal="center" vertical="center"/>
    </xf>
    <xf borderId="0" fillId="0" fontId="3" numFmtId="0" xfId="0" applyAlignment="1" applyFont="1">
      <alignment readingOrder="0"/>
    </xf>
    <xf borderId="0" fillId="0" fontId="3" numFmtId="0" xfId="0" applyFont="1"/>
    <xf borderId="0" fillId="30" fontId="45" numFmtId="49" xfId="0" applyAlignment="1" applyFont="1" applyNumberFormat="1">
      <alignment horizontal="center" vertical="center"/>
    </xf>
    <xf borderId="0" fillId="32" fontId="50" numFmtId="0" xfId="0" applyAlignment="1" applyFont="1">
      <alignment horizontal="left" vertical="center"/>
    </xf>
    <xf borderId="0" fillId="30" fontId="51" numFmtId="49" xfId="0" applyAlignment="1" applyFont="1" applyNumberFormat="1">
      <alignment horizontal="center" vertical="center"/>
    </xf>
    <xf borderId="0" fillId="4" fontId="49" numFmtId="0" xfId="0" applyAlignment="1" applyFont="1">
      <alignment horizontal="center" vertical="center"/>
    </xf>
    <xf borderId="0" fillId="32" fontId="50" numFmtId="0" xfId="0" applyAlignment="1" applyFont="1">
      <alignment horizontal="left" readingOrder="0" vertical="center"/>
    </xf>
  </cellXfs>
  <cellStyles count="1">
    <cellStyle xfId="0" name="Normal" builtinId="0"/>
  </cellStyles>
  <dxfs count="9">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color rgb="FFFFFFFF"/>
      </font>
      <fill>
        <patternFill patternType="solid">
          <fgColor rgb="FF0000FF"/>
          <bgColor rgb="FF0000FF"/>
        </patternFill>
      </fill>
      <border/>
    </dxf>
    <dxf>
      <font/>
      <fill>
        <patternFill patternType="solid">
          <fgColor rgb="FFFF0000"/>
          <bgColor rgb="FFFF0000"/>
        </patternFill>
      </fill>
      <border/>
    </dxf>
    <dxf>
      <font>
        <color rgb="FF0070C0"/>
      </font>
      <fill>
        <patternFill patternType="none"/>
      </fill>
      <border/>
    </dxf>
    <dxf>
      <font>
        <color rgb="FF00B050"/>
      </font>
      <fill>
        <patternFill patternType="none"/>
      </fill>
      <border/>
    </dxf>
    <dxf>
      <font>
        <color rgb="FFFF0000"/>
      </font>
      <fill>
        <patternFill patternType="none"/>
      </fill>
      <border/>
    </dxf>
  </dxfs>
  <tableStyles count="1">
    <tableStyle count="3" pivot="0" name="Datos2-En proceso-202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pivotCacheDefinition" Target="pivotCache/pivotCacheDefinition1.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pivotCacheDefinition" Target="pivotCache/pivotCacheDefinition2.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pivotCacheDefinition" Target="pivotCache/pivotCacheDefinition4.xml"/><Relationship Id="rId30" Type="http://schemas.openxmlformats.org/officeDocument/2006/relationships/pivotCacheDefinition" Target="pivotCache/pivotCacheDefinition3.xml"/><Relationship Id="rId11" Type="http://schemas.openxmlformats.org/officeDocument/2006/relationships/worksheet" Target="worksheets/sheet8.xml"/><Relationship Id="rId33" Type="http://schemas.openxmlformats.org/officeDocument/2006/relationships/pivotCacheDefinition" Target="pivotCache/pivotCacheDefinition6.xml"/><Relationship Id="rId10" Type="http://schemas.openxmlformats.org/officeDocument/2006/relationships/worksheet" Target="worksheets/sheet7.xml"/><Relationship Id="rId32" Type="http://schemas.openxmlformats.org/officeDocument/2006/relationships/pivotCacheDefinition" Target="pivotCache/pivotCacheDefinition5.xml"/><Relationship Id="rId13" Type="http://schemas.openxmlformats.org/officeDocument/2006/relationships/worksheet" Target="worksheets/sheet10.xml"/><Relationship Id="rId12" Type="http://schemas.openxmlformats.org/officeDocument/2006/relationships/worksheet" Target="worksheets/sheet9.xml"/><Relationship Id="rId34" Type="http://schemas.openxmlformats.org/officeDocument/2006/relationships/pivotCacheDefinition" Target="pivotCache/pivotCacheDefinition7.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Procesados!$D$5</c:f>
            </c:strRef>
          </c:tx>
          <c:dPt>
            <c:idx val="0"/>
            <c:spPr>
              <a:solidFill>
                <a:srgbClr val="4285F4"/>
              </a:solidFill>
            </c:spPr>
          </c:dPt>
          <c:dPt>
            <c:idx val="1"/>
            <c:spPr>
              <a:solidFill>
                <a:srgbClr val="EA4335"/>
              </a:solidFill>
            </c:spPr>
          </c:dPt>
          <c:dLbls>
            <c:showLegendKey val="0"/>
            <c:showVal val="0"/>
            <c:showCatName val="0"/>
            <c:showSerName val="0"/>
            <c:showPercent val="1"/>
            <c:showBubbleSize val="0"/>
            <c:showLeaderLines val="1"/>
          </c:dLbls>
          <c:cat>
            <c:strRef>
              <c:f>Procesados!$C$6:$C$7</c:f>
            </c:strRef>
          </c:cat>
          <c:val>
            <c:numRef>
              <c:f>Procesados!$D$6:$D$7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4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Procesados!$F$24</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1"/>
            <c:showBubbleSize val="0"/>
            <c:showLeaderLines val="1"/>
          </c:dLbls>
          <c:cat>
            <c:strRef>
              <c:f>Procesados!$C$25:$C$30</c:f>
            </c:strRef>
          </c:cat>
          <c:val>
            <c:numRef>
              <c:f>Procesados!$F$25:$F$30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4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Procesados!$F$44</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1"/>
            <c:showBubbleSize val="0"/>
            <c:showLeaderLines val="1"/>
          </c:dLbls>
          <c:cat>
            <c:strRef>
              <c:f>Procesados!$C$45:$C$50</c:f>
            </c:strRef>
          </c:cat>
          <c:val>
            <c:numRef>
              <c:f>Procesados!$F$45:$F$50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General!$C$13</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General!$D$12:$F$12</c:f>
            </c:strRef>
          </c:cat>
          <c:val>
            <c:numRef>
              <c:f>General!$D$13:$F$13</c:f>
              <c:numCache/>
            </c:numRef>
          </c:val>
        </c:ser>
        <c:ser>
          <c:idx val="1"/>
          <c:order val="1"/>
          <c:tx>
            <c:strRef>
              <c:f>General!$C$14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General!$D$12:$F$12</c:f>
            </c:strRef>
          </c:cat>
          <c:val>
            <c:numRef>
              <c:f>General!$D$14:$F$14</c:f>
              <c:numCache/>
            </c:numRef>
          </c:val>
        </c:ser>
        <c:ser>
          <c:idx val="2"/>
          <c:order val="2"/>
          <c:tx>
            <c:strRef>
              <c:f>General!$C$15</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General!$D$12:$F$12</c:f>
            </c:strRef>
          </c:cat>
          <c:val>
            <c:numRef>
              <c:f>General!$D$15:$F$15</c:f>
              <c:numCache/>
            </c:numRef>
          </c:val>
        </c:ser>
        <c:axId val="1309944937"/>
        <c:axId val="423176763"/>
      </c:bar3DChart>
      <c:catAx>
        <c:axId val="13099449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423176763"/>
      </c:catAx>
      <c:valAx>
        <c:axId val="423176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994493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xRed!$C$72</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xRed!$D$71:$F$71</c:f>
            </c:strRef>
          </c:cat>
          <c:val>
            <c:numRef>
              <c:f>xRed!$D$72:$F$72</c:f>
              <c:numCache/>
            </c:numRef>
          </c:val>
        </c:ser>
        <c:ser>
          <c:idx val="1"/>
          <c:order val="1"/>
          <c:tx>
            <c:strRef>
              <c:f>xRed!$C$73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xRed!$D$71:$F$71</c:f>
            </c:strRef>
          </c:cat>
          <c:val>
            <c:numRef>
              <c:f>xRed!$D$73:$F$73</c:f>
              <c:numCache/>
            </c:numRef>
          </c:val>
        </c:ser>
        <c:ser>
          <c:idx val="2"/>
          <c:order val="2"/>
          <c:tx>
            <c:strRef>
              <c:f>xRed!$C$74</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xRed!$D$71:$F$71</c:f>
            </c:strRef>
          </c:cat>
          <c:val>
            <c:numRef>
              <c:f>xRed!$D$74:$F$74</c:f>
              <c:numCache/>
            </c:numRef>
          </c:val>
        </c:ser>
        <c:axId val="756597764"/>
        <c:axId val="1195133067"/>
      </c:bar3DChart>
      <c:catAx>
        <c:axId val="7565977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1195133067"/>
      </c:catAx>
      <c:valAx>
        <c:axId val="1195133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659776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xRed!$C$101</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xRed!$D$100:$F$100</c:f>
            </c:strRef>
          </c:cat>
          <c:val>
            <c:numRef>
              <c:f>xRed!$D$101:$F$101</c:f>
              <c:numCache/>
            </c:numRef>
          </c:val>
        </c:ser>
        <c:ser>
          <c:idx val="1"/>
          <c:order val="1"/>
          <c:tx>
            <c:strRef>
              <c:f>xRed!$C$102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xRed!$D$100:$F$100</c:f>
            </c:strRef>
          </c:cat>
          <c:val>
            <c:numRef>
              <c:f>xRed!$D$102:$F$102</c:f>
              <c:numCache/>
            </c:numRef>
          </c:val>
        </c:ser>
        <c:ser>
          <c:idx val="2"/>
          <c:order val="2"/>
          <c:tx>
            <c:strRef>
              <c:f>xRed!$C$103</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xRed!$D$100:$F$100</c:f>
            </c:strRef>
          </c:cat>
          <c:val>
            <c:numRef>
              <c:f>xRed!$D$103:$F$103</c:f>
              <c:numCache/>
            </c:numRef>
          </c:val>
        </c:ser>
        <c:axId val="497030119"/>
        <c:axId val="766903362"/>
      </c:bar3DChart>
      <c:catAx>
        <c:axId val="4970301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766903362"/>
      </c:catAx>
      <c:valAx>
        <c:axId val="7669033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703011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xRed!$C$130</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xRed!$D$129:$F$129</c:f>
            </c:strRef>
          </c:cat>
          <c:val>
            <c:numRef>
              <c:f>xRed!$D$130:$F$130</c:f>
              <c:numCache/>
            </c:numRef>
          </c:val>
        </c:ser>
        <c:ser>
          <c:idx val="1"/>
          <c:order val="1"/>
          <c:tx>
            <c:strRef>
              <c:f>xRed!$C$131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xRed!$D$129:$F$129</c:f>
            </c:strRef>
          </c:cat>
          <c:val>
            <c:numRef>
              <c:f>xRed!$D$131:$F$131</c:f>
              <c:numCache/>
            </c:numRef>
          </c:val>
        </c:ser>
        <c:ser>
          <c:idx val="2"/>
          <c:order val="2"/>
          <c:tx>
            <c:strRef>
              <c:f>xRed!$C$132</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xRed!$D$129:$F$129</c:f>
            </c:strRef>
          </c:cat>
          <c:val>
            <c:numRef>
              <c:f>xRed!$D$132:$F$132</c:f>
              <c:numCache/>
            </c:numRef>
          </c:val>
        </c:ser>
        <c:axId val="656430257"/>
        <c:axId val="968900080"/>
      </c:bar3DChart>
      <c:catAx>
        <c:axId val="656430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968900080"/>
      </c:catAx>
      <c:valAx>
        <c:axId val="9689000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643025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xRed!$C$42</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xRed!$D$41:$F$41</c:f>
            </c:strRef>
          </c:cat>
          <c:val>
            <c:numRef>
              <c:f>xRed!$D$42:$F$42</c:f>
              <c:numCache/>
            </c:numRef>
          </c:val>
        </c:ser>
        <c:ser>
          <c:idx val="1"/>
          <c:order val="1"/>
          <c:tx>
            <c:strRef>
              <c:f>xRed!$C$43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xRed!$D$41:$F$41</c:f>
            </c:strRef>
          </c:cat>
          <c:val>
            <c:numRef>
              <c:f>xRed!$D$43:$F$43</c:f>
              <c:numCache/>
            </c:numRef>
          </c:val>
        </c:ser>
        <c:ser>
          <c:idx val="2"/>
          <c:order val="2"/>
          <c:tx>
            <c:strRef>
              <c:f>xRed!$C$44</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xRed!$D$41:$F$41</c:f>
            </c:strRef>
          </c:cat>
          <c:val>
            <c:numRef>
              <c:f>xRed!$D$44:$F$44</c:f>
              <c:numCache/>
            </c:numRef>
          </c:val>
        </c:ser>
        <c:axId val="354112238"/>
        <c:axId val="1880432526"/>
      </c:bar3DChart>
      <c:catAx>
        <c:axId val="3541122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1880432526"/>
      </c:catAx>
      <c:valAx>
        <c:axId val="18804325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411223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xRed!$C$13</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xRed!$D$12:$F$12</c:f>
            </c:strRef>
          </c:cat>
          <c:val>
            <c:numRef>
              <c:f>xRed!$D$13:$F$13</c:f>
              <c:numCache/>
            </c:numRef>
          </c:val>
        </c:ser>
        <c:ser>
          <c:idx val="1"/>
          <c:order val="1"/>
          <c:tx>
            <c:strRef>
              <c:f>xRed!$C$14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xRed!$D$12:$F$12</c:f>
            </c:strRef>
          </c:cat>
          <c:val>
            <c:numRef>
              <c:f>xRed!$D$14:$F$14</c:f>
              <c:numCache/>
            </c:numRef>
          </c:val>
        </c:ser>
        <c:ser>
          <c:idx val="2"/>
          <c:order val="2"/>
          <c:tx>
            <c:strRef>
              <c:f>xRed!$C$15</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xRed!$D$12:$F$12</c:f>
            </c:strRef>
          </c:cat>
          <c:val>
            <c:numRef>
              <c:f>xRed!$D$15:$F$15</c:f>
              <c:numCache/>
            </c:numRef>
          </c:val>
        </c:ser>
        <c:axId val="1687278967"/>
        <c:axId val="1729776220"/>
      </c:bar3DChart>
      <c:catAx>
        <c:axId val="1687278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1729776220"/>
      </c:catAx>
      <c:valAx>
        <c:axId val="17297762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727896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xRed!$C$162</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xRed!$D$161:$F$161</c:f>
            </c:strRef>
          </c:cat>
          <c:val>
            <c:numRef>
              <c:f>xRed!$D$162:$F$162</c:f>
              <c:numCache/>
            </c:numRef>
          </c:val>
        </c:ser>
        <c:ser>
          <c:idx val="1"/>
          <c:order val="1"/>
          <c:tx>
            <c:strRef>
              <c:f>xRed!$C$163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xRed!$D$161:$F$161</c:f>
            </c:strRef>
          </c:cat>
          <c:val>
            <c:numRef>
              <c:f>xRed!$D$163:$F$163</c:f>
              <c:numCache/>
            </c:numRef>
          </c:val>
        </c:ser>
        <c:ser>
          <c:idx val="2"/>
          <c:order val="2"/>
          <c:tx>
            <c:strRef>
              <c:f>xRed!$C$164</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xRed!$D$161:$F$161</c:f>
            </c:strRef>
          </c:cat>
          <c:val>
            <c:numRef>
              <c:f>xRed!$D$164:$F$164</c:f>
              <c:numCache/>
            </c:numRef>
          </c:val>
        </c:ser>
        <c:axId val="1780147470"/>
        <c:axId val="1780403850"/>
      </c:bar3DChart>
      <c:catAx>
        <c:axId val="17801474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1780403850"/>
      </c:catAx>
      <c:valAx>
        <c:axId val="17804038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0147470"/>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XGrado!$C$43</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XGrado!$D$42:$F$42</c:f>
            </c:strRef>
          </c:cat>
          <c:val>
            <c:numRef>
              <c:f>XGrado!$D$43:$F$43</c:f>
              <c:numCache/>
            </c:numRef>
          </c:val>
        </c:ser>
        <c:ser>
          <c:idx val="1"/>
          <c:order val="1"/>
          <c:tx>
            <c:strRef>
              <c:f>XGrado!$C$44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XGrado!$D$42:$F$42</c:f>
            </c:strRef>
          </c:cat>
          <c:val>
            <c:numRef>
              <c:f>XGrado!$D$44:$F$44</c:f>
              <c:numCache/>
            </c:numRef>
          </c:val>
        </c:ser>
        <c:ser>
          <c:idx val="2"/>
          <c:order val="2"/>
          <c:tx>
            <c:strRef>
              <c:f>XGrado!$C$45</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XGrado!$D$42:$F$42</c:f>
            </c:strRef>
          </c:cat>
          <c:val>
            <c:numRef>
              <c:f>XGrado!$D$45:$F$45</c:f>
              <c:numCache/>
            </c:numRef>
          </c:val>
        </c:ser>
        <c:axId val="718175972"/>
        <c:axId val="1751741222"/>
      </c:bar3DChart>
      <c:catAx>
        <c:axId val="7181759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1751741222"/>
      </c:catAx>
      <c:valAx>
        <c:axId val="1751741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8175972"/>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XGrado!$C$73</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XGrado!$D$72:$F$72</c:f>
            </c:strRef>
          </c:cat>
          <c:val>
            <c:numRef>
              <c:f>XGrado!$D$73:$F$73</c:f>
              <c:numCache/>
            </c:numRef>
          </c:val>
        </c:ser>
        <c:ser>
          <c:idx val="1"/>
          <c:order val="1"/>
          <c:tx>
            <c:strRef>
              <c:f>XGrado!$C$74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XGrado!$D$72:$F$72</c:f>
            </c:strRef>
          </c:cat>
          <c:val>
            <c:numRef>
              <c:f>XGrado!$D$74:$F$74</c:f>
              <c:numCache/>
            </c:numRef>
          </c:val>
        </c:ser>
        <c:ser>
          <c:idx val="2"/>
          <c:order val="2"/>
          <c:tx>
            <c:strRef>
              <c:f>XGrado!$C$75</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XGrado!$D$72:$F$72</c:f>
            </c:strRef>
          </c:cat>
          <c:val>
            <c:numRef>
              <c:f>XGrado!$D$75:$F$75</c:f>
              <c:numCache/>
            </c:numRef>
          </c:val>
        </c:ser>
        <c:axId val="1592282602"/>
        <c:axId val="797017994"/>
      </c:bar3DChart>
      <c:catAx>
        <c:axId val="15922826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797017994"/>
      </c:catAx>
      <c:valAx>
        <c:axId val="7970179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2282602"/>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XGrado!$C$105</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XGrado!$D$104:$F$104</c:f>
            </c:strRef>
          </c:cat>
          <c:val>
            <c:numRef>
              <c:f>XGrado!$D$105:$F$105</c:f>
              <c:numCache/>
            </c:numRef>
          </c:val>
        </c:ser>
        <c:ser>
          <c:idx val="1"/>
          <c:order val="1"/>
          <c:tx>
            <c:strRef>
              <c:f>XGrado!$C$106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XGrado!$D$104:$F$104</c:f>
            </c:strRef>
          </c:cat>
          <c:val>
            <c:numRef>
              <c:f>XGrado!$D$106:$F$106</c:f>
              <c:numCache/>
            </c:numRef>
          </c:val>
        </c:ser>
        <c:ser>
          <c:idx val="2"/>
          <c:order val="2"/>
          <c:tx>
            <c:strRef>
              <c:f>XGrado!$C$107</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XGrado!$D$104:$F$104</c:f>
            </c:strRef>
          </c:cat>
          <c:val>
            <c:numRef>
              <c:f>XGrado!$D$107:$F$107</c:f>
              <c:numCache/>
            </c:numRef>
          </c:val>
        </c:ser>
        <c:axId val="1222741957"/>
        <c:axId val="1544232196"/>
      </c:bar3DChart>
      <c:catAx>
        <c:axId val="12227419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1544232196"/>
      </c:catAx>
      <c:valAx>
        <c:axId val="1544232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2741957"/>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XGrado!$C$136</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XGrado!$D$135:$F$135</c:f>
            </c:strRef>
          </c:cat>
          <c:val>
            <c:numRef>
              <c:f>XGrado!$D$136:$F$136</c:f>
              <c:numCache/>
            </c:numRef>
          </c:val>
        </c:ser>
        <c:ser>
          <c:idx val="1"/>
          <c:order val="1"/>
          <c:tx>
            <c:strRef>
              <c:f>XGrado!$C$137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XGrado!$D$135:$F$135</c:f>
            </c:strRef>
          </c:cat>
          <c:val>
            <c:numRef>
              <c:f>XGrado!$D$137:$F$137</c:f>
              <c:numCache/>
            </c:numRef>
          </c:val>
        </c:ser>
        <c:ser>
          <c:idx val="2"/>
          <c:order val="2"/>
          <c:tx>
            <c:strRef>
              <c:f>XGrado!$C$138</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XGrado!$D$135:$F$135</c:f>
            </c:strRef>
          </c:cat>
          <c:val>
            <c:numRef>
              <c:f>XGrado!$D$138:$F$138</c:f>
              <c:numCache/>
            </c:numRef>
          </c:val>
        </c:ser>
        <c:axId val="276498360"/>
        <c:axId val="774284800"/>
      </c:bar3DChart>
      <c:catAx>
        <c:axId val="2764983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774284800"/>
      </c:catAx>
      <c:valAx>
        <c:axId val="7742848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6498360"/>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XGrado!$C$168</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XGrado!$D$167:$F$167</c:f>
            </c:strRef>
          </c:cat>
          <c:val>
            <c:numRef>
              <c:f>XGrado!$D$168:$F$168</c:f>
              <c:numCache/>
            </c:numRef>
          </c:val>
        </c:ser>
        <c:ser>
          <c:idx val="1"/>
          <c:order val="1"/>
          <c:tx>
            <c:strRef>
              <c:f>XGrado!$C$169</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XGrado!$D$167:$F$167</c:f>
            </c:strRef>
          </c:cat>
          <c:val>
            <c:numRef>
              <c:f>XGrado!$D$169:$F$169</c:f>
              <c:numCache/>
            </c:numRef>
          </c:val>
        </c:ser>
        <c:ser>
          <c:idx val="2"/>
          <c:order val="2"/>
          <c:tx>
            <c:strRef>
              <c:f>XGrado!$C$170</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XGrado!$D$167:$F$167</c:f>
            </c:strRef>
          </c:cat>
          <c:val>
            <c:numRef>
              <c:f>XGrado!$D$170:$F$170</c:f>
              <c:numCache/>
            </c:numRef>
          </c:val>
        </c:ser>
        <c:axId val="788363952"/>
        <c:axId val="277967969"/>
      </c:bar3DChart>
      <c:catAx>
        <c:axId val="788363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277967969"/>
      </c:catAx>
      <c:valAx>
        <c:axId val="2779679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836395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XGrado!$C$13</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XGrado!$D$12:$F$12</c:f>
            </c:strRef>
          </c:cat>
          <c:val>
            <c:numRef>
              <c:f>XGrado!$D$13:$F$13</c:f>
              <c:numCache/>
            </c:numRef>
          </c:val>
        </c:ser>
        <c:ser>
          <c:idx val="1"/>
          <c:order val="1"/>
          <c:tx>
            <c:strRef>
              <c:f>XGrado!$C$14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XGrado!$D$12:$F$12</c:f>
            </c:strRef>
          </c:cat>
          <c:val>
            <c:numRef>
              <c:f>XGrado!$D$14:$F$14</c:f>
              <c:numCache/>
            </c:numRef>
          </c:val>
        </c:ser>
        <c:ser>
          <c:idx val="2"/>
          <c:order val="2"/>
          <c:tx>
            <c:strRef>
              <c:f>XGrado!$C$15</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XGrado!$D$12:$F$12</c:f>
            </c:strRef>
          </c:cat>
          <c:val>
            <c:numRef>
              <c:f>XGrado!$D$15:$F$15</c:f>
              <c:numCache/>
            </c:numRef>
          </c:val>
        </c:ser>
        <c:axId val="1740718527"/>
        <c:axId val="728830383"/>
      </c:bar3DChart>
      <c:catAx>
        <c:axId val="1740718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728830383"/>
      </c:catAx>
      <c:valAx>
        <c:axId val="728830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0718527"/>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'red-formula'!$C$13</c:f>
            </c:strRef>
          </c:tx>
          <c:cat>
            <c:strRef>
              <c:f>'red-formula'!$D$12:$F$12</c:f>
            </c:strRef>
          </c:cat>
          <c:val>
            <c:numRef>
              <c:f>'red-formula'!$D$13:$F$13</c:f>
              <c:numCache/>
            </c:numRef>
          </c:val>
        </c:ser>
        <c:ser>
          <c:idx val="1"/>
          <c:order val="1"/>
          <c:tx>
            <c:strRef>
              <c:f>'red-formula'!$C$14</c:f>
            </c:strRef>
          </c:tx>
          <c:cat>
            <c:strRef>
              <c:f>'red-formula'!$D$12:$F$12</c:f>
            </c:strRef>
          </c:cat>
          <c:val>
            <c:numRef>
              <c:f>'red-formula'!$D$14:$F$14</c:f>
              <c:numCache/>
            </c:numRef>
          </c:val>
        </c:ser>
        <c:ser>
          <c:idx val="2"/>
          <c:order val="2"/>
          <c:tx>
            <c:strRef>
              <c:f>'red-formula'!$C$15</c:f>
            </c:strRef>
          </c:tx>
          <c:cat>
            <c:strRef>
              <c:f>'red-formula'!$D$12:$F$12</c:f>
            </c:strRef>
          </c:cat>
          <c:val>
            <c:numRef>
              <c:f>'red-formula'!$D$15:$F$15</c:f>
              <c:numCache/>
            </c:numRef>
          </c:val>
        </c:ser>
        <c:ser>
          <c:idx val="3"/>
          <c:order val="3"/>
          <c:tx>
            <c:strRef>
              <c:f>'red-formula'!$C$16</c:f>
            </c:strRef>
          </c:tx>
          <c:cat>
            <c:strRef>
              <c:f>'red-formula'!$D$12:$F$12</c:f>
            </c:strRef>
          </c:cat>
          <c:val>
            <c:numRef>
              <c:f>'red-formula'!$D$16:$F$16</c:f>
              <c:numCache/>
            </c:numRef>
          </c:val>
        </c:ser>
        <c:axId val="49895442"/>
        <c:axId val="754108188"/>
      </c:bar3DChart>
      <c:catAx>
        <c:axId val="498954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754108188"/>
      </c:catAx>
      <c:valAx>
        <c:axId val="754108188"/>
        <c:scaling>
          <c:orientation val="minMax"/>
        </c:scaling>
        <c:delete val="0"/>
        <c:axPos val="l"/>
        <c:tickLblPos val="nextTo"/>
        <c:spPr>
          <a:ln>
            <a:noFill/>
          </a:ln>
        </c:spPr>
        <c:crossAx val="49895442"/>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'red-formula'!$C$34</c:f>
            </c:strRef>
          </c:tx>
          <c:cat>
            <c:strRef>
              <c:f>'red-formula'!$D$33:$F$33</c:f>
            </c:strRef>
          </c:cat>
          <c:val>
            <c:numRef>
              <c:f>'red-formula'!$D$34:$F$34</c:f>
              <c:numCache/>
            </c:numRef>
          </c:val>
        </c:ser>
        <c:ser>
          <c:idx val="1"/>
          <c:order val="1"/>
          <c:tx>
            <c:strRef>
              <c:f>'red-formula'!$C$35</c:f>
            </c:strRef>
          </c:tx>
          <c:cat>
            <c:strRef>
              <c:f>'red-formula'!$D$33:$F$33</c:f>
            </c:strRef>
          </c:cat>
          <c:val>
            <c:numRef>
              <c:f>'red-formula'!$D$35:$F$35</c:f>
              <c:numCache/>
            </c:numRef>
          </c:val>
        </c:ser>
        <c:ser>
          <c:idx val="2"/>
          <c:order val="2"/>
          <c:tx>
            <c:strRef>
              <c:f>'red-formula'!$C$36</c:f>
            </c:strRef>
          </c:tx>
          <c:cat>
            <c:strRef>
              <c:f>'red-formula'!$D$33:$F$33</c:f>
            </c:strRef>
          </c:cat>
          <c:val>
            <c:numRef>
              <c:f>'red-formula'!$D$36:$F$36</c:f>
              <c:numCache/>
            </c:numRef>
          </c:val>
        </c:ser>
        <c:ser>
          <c:idx val="3"/>
          <c:order val="3"/>
          <c:tx>
            <c:strRef>
              <c:f>'red-formula'!$C$37</c:f>
            </c:strRef>
          </c:tx>
          <c:cat>
            <c:strRef>
              <c:f>'red-formula'!$D$33:$F$33</c:f>
            </c:strRef>
          </c:cat>
          <c:val>
            <c:numRef>
              <c:f>'red-formula'!$D$37:$F$37</c:f>
              <c:numCache/>
            </c:numRef>
          </c:val>
        </c:ser>
        <c:axId val="1792143071"/>
        <c:axId val="2077980252"/>
      </c:bar3DChart>
      <c:catAx>
        <c:axId val="17921430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2077980252"/>
      </c:catAx>
      <c:valAx>
        <c:axId val="2077980252"/>
        <c:scaling>
          <c:orientation val="minMax"/>
        </c:scaling>
        <c:delete val="0"/>
        <c:axPos val="l"/>
        <c:tickLblPos val="nextTo"/>
        <c:spPr>
          <a:ln>
            <a:noFill/>
          </a:ln>
        </c:spPr>
        <c:crossAx val="179214307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'red-formula'!$C$56</c:f>
            </c:strRef>
          </c:tx>
          <c:cat>
            <c:strRef>
              <c:f>'red-formula'!$D$55:$F$55</c:f>
            </c:strRef>
          </c:cat>
          <c:val>
            <c:numRef>
              <c:f>'red-formula'!$D$56:$F$56</c:f>
              <c:numCache/>
            </c:numRef>
          </c:val>
        </c:ser>
        <c:ser>
          <c:idx val="1"/>
          <c:order val="1"/>
          <c:tx>
            <c:strRef>
              <c:f>'red-formula'!$C$57</c:f>
            </c:strRef>
          </c:tx>
          <c:cat>
            <c:strRef>
              <c:f>'red-formula'!$D$55:$F$55</c:f>
            </c:strRef>
          </c:cat>
          <c:val>
            <c:numRef>
              <c:f>'red-formula'!$D$57:$F$57</c:f>
              <c:numCache/>
            </c:numRef>
          </c:val>
        </c:ser>
        <c:ser>
          <c:idx val="2"/>
          <c:order val="2"/>
          <c:tx>
            <c:strRef>
              <c:f>'red-formula'!$C$58</c:f>
            </c:strRef>
          </c:tx>
          <c:cat>
            <c:strRef>
              <c:f>'red-formula'!$D$55:$F$55</c:f>
            </c:strRef>
          </c:cat>
          <c:val>
            <c:numRef>
              <c:f>'red-formula'!$D$58:$F$58</c:f>
              <c:numCache/>
            </c:numRef>
          </c:val>
        </c:ser>
        <c:ser>
          <c:idx val="3"/>
          <c:order val="3"/>
          <c:tx>
            <c:strRef>
              <c:f>'red-formula'!$C$59</c:f>
            </c:strRef>
          </c:tx>
          <c:cat>
            <c:strRef>
              <c:f>'red-formula'!$D$55:$F$55</c:f>
            </c:strRef>
          </c:cat>
          <c:val>
            <c:numRef>
              <c:f>'red-formula'!$D$59:$F$59</c:f>
              <c:numCache/>
            </c:numRef>
          </c:val>
        </c:ser>
        <c:axId val="303831277"/>
        <c:axId val="959326324"/>
      </c:bar3DChart>
      <c:catAx>
        <c:axId val="3038312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959326324"/>
      </c:catAx>
      <c:valAx>
        <c:axId val="959326324"/>
        <c:scaling>
          <c:orientation val="minMax"/>
        </c:scaling>
        <c:delete val="0"/>
        <c:axPos val="l"/>
        <c:tickLblPos val="nextTo"/>
        <c:spPr>
          <a:ln>
            <a:noFill/>
          </a:ln>
        </c:spPr>
        <c:crossAx val="303831277"/>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'red-formula'!$C$90</c:f>
            </c:strRef>
          </c:tx>
          <c:cat>
            <c:strRef>
              <c:f>'red-formula'!$D$89:$F$89</c:f>
            </c:strRef>
          </c:cat>
          <c:val>
            <c:numRef>
              <c:f>'red-formula'!$D$90:$F$90</c:f>
              <c:numCache/>
            </c:numRef>
          </c:val>
        </c:ser>
        <c:ser>
          <c:idx val="1"/>
          <c:order val="1"/>
          <c:tx>
            <c:strRef>
              <c:f>'red-formula'!$C$91</c:f>
            </c:strRef>
          </c:tx>
          <c:cat>
            <c:strRef>
              <c:f>'red-formula'!$D$89:$F$89</c:f>
            </c:strRef>
          </c:cat>
          <c:val>
            <c:numRef>
              <c:f>'red-formula'!$D$91:$F$91</c:f>
              <c:numCache/>
            </c:numRef>
          </c:val>
        </c:ser>
        <c:ser>
          <c:idx val="2"/>
          <c:order val="2"/>
          <c:tx>
            <c:strRef>
              <c:f>'red-formula'!$C$92</c:f>
            </c:strRef>
          </c:tx>
          <c:cat>
            <c:strRef>
              <c:f>'red-formula'!$D$89:$F$89</c:f>
            </c:strRef>
          </c:cat>
          <c:val>
            <c:numRef>
              <c:f>'red-formula'!$D$92:$F$92</c:f>
              <c:numCache/>
            </c:numRef>
          </c:val>
        </c:ser>
        <c:ser>
          <c:idx val="3"/>
          <c:order val="3"/>
          <c:tx>
            <c:strRef>
              <c:f>'red-formula'!$C$93</c:f>
            </c:strRef>
          </c:tx>
          <c:cat>
            <c:strRef>
              <c:f>'red-formula'!$D$89:$F$89</c:f>
            </c:strRef>
          </c:cat>
          <c:val>
            <c:numRef>
              <c:f>'red-formula'!$D$93:$F$93</c:f>
              <c:numCache/>
            </c:numRef>
          </c:val>
        </c:ser>
        <c:axId val="1675764744"/>
        <c:axId val="575484755"/>
      </c:bar3DChart>
      <c:catAx>
        <c:axId val="16757647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575484755"/>
      </c:catAx>
      <c:valAx>
        <c:axId val="575484755"/>
        <c:scaling>
          <c:orientation val="minMax"/>
        </c:scaling>
        <c:delete val="0"/>
        <c:axPos val="l"/>
        <c:tickLblPos val="nextTo"/>
        <c:spPr>
          <a:ln>
            <a:noFill/>
          </a:ln>
        </c:spPr>
        <c:crossAx val="1675764744"/>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'red-formula'!$C$114</c:f>
            </c:strRef>
          </c:tx>
          <c:cat>
            <c:strRef>
              <c:f>'red-formula'!$D$113:$F$113</c:f>
            </c:strRef>
          </c:cat>
          <c:val>
            <c:numRef>
              <c:f>'red-formula'!$D$114:$F$114</c:f>
              <c:numCache/>
            </c:numRef>
          </c:val>
        </c:ser>
        <c:ser>
          <c:idx val="1"/>
          <c:order val="1"/>
          <c:tx>
            <c:strRef>
              <c:f>'red-formula'!$C$115</c:f>
            </c:strRef>
          </c:tx>
          <c:cat>
            <c:strRef>
              <c:f>'red-formula'!$D$113:$F$113</c:f>
            </c:strRef>
          </c:cat>
          <c:val>
            <c:numRef>
              <c:f>'red-formula'!$D$115:$F$115</c:f>
              <c:numCache/>
            </c:numRef>
          </c:val>
        </c:ser>
        <c:ser>
          <c:idx val="2"/>
          <c:order val="2"/>
          <c:tx>
            <c:strRef>
              <c:f>'red-formula'!$C$116</c:f>
            </c:strRef>
          </c:tx>
          <c:cat>
            <c:strRef>
              <c:f>'red-formula'!$D$113:$F$113</c:f>
            </c:strRef>
          </c:cat>
          <c:val>
            <c:numRef>
              <c:f>'red-formula'!$D$116:$F$116</c:f>
              <c:numCache/>
            </c:numRef>
          </c:val>
        </c:ser>
        <c:ser>
          <c:idx val="3"/>
          <c:order val="3"/>
          <c:tx>
            <c:strRef>
              <c:f>'red-formula'!$C$117</c:f>
            </c:strRef>
          </c:tx>
          <c:cat>
            <c:strRef>
              <c:f>'red-formula'!$D$113:$F$113</c:f>
            </c:strRef>
          </c:cat>
          <c:val>
            <c:numRef>
              <c:f>'red-formula'!$D$117:$F$117</c:f>
              <c:numCache/>
            </c:numRef>
          </c:val>
        </c:ser>
        <c:axId val="51003191"/>
        <c:axId val="2087775930"/>
      </c:bar3DChart>
      <c:catAx>
        <c:axId val="510031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2087775930"/>
      </c:catAx>
      <c:valAx>
        <c:axId val="2087775930"/>
        <c:scaling>
          <c:orientation val="minMax"/>
        </c:scaling>
        <c:delete val="0"/>
        <c:axPos val="l"/>
        <c:tickLblPos val="nextTo"/>
        <c:spPr>
          <a:ln>
            <a:noFill/>
          </a:ln>
        </c:spPr>
        <c:crossAx val="51003191"/>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'red-formula'!$C$138</c:f>
            </c:strRef>
          </c:tx>
          <c:cat>
            <c:strRef>
              <c:f>'red-formula'!$D$137:$F$137</c:f>
            </c:strRef>
          </c:cat>
          <c:val>
            <c:numRef>
              <c:f>'red-formula'!$D$138:$F$138</c:f>
              <c:numCache/>
            </c:numRef>
          </c:val>
        </c:ser>
        <c:ser>
          <c:idx val="1"/>
          <c:order val="1"/>
          <c:tx>
            <c:strRef>
              <c:f>'red-formula'!$C$139</c:f>
            </c:strRef>
          </c:tx>
          <c:cat>
            <c:strRef>
              <c:f>'red-formula'!$D$137:$F$137</c:f>
            </c:strRef>
          </c:cat>
          <c:val>
            <c:numRef>
              <c:f>'red-formula'!$D$139:$F$139</c:f>
              <c:numCache/>
            </c:numRef>
          </c:val>
        </c:ser>
        <c:ser>
          <c:idx val="2"/>
          <c:order val="2"/>
          <c:tx>
            <c:strRef>
              <c:f>'red-formula'!$C$140</c:f>
            </c:strRef>
          </c:tx>
          <c:cat>
            <c:strRef>
              <c:f>'red-formula'!$D$137:$F$137</c:f>
            </c:strRef>
          </c:cat>
          <c:val>
            <c:numRef>
              <c:f>'red-formula'!$D$140:$F$140</c:f>
              <c:numCache/>
            </c:numRef>
          </c:val>
        </c:ser>
        <c:ser>
          <c:idx val="3"/>
          <c:order val="3"/>
          <c:tx>
            <c:strRef>
              <c:f>'red-formula'!$C$141</c:f>
            </c:strRef>
          </c:tx>
          <c:cat>
            <c:strRef>
              <c:f>'red-formula'!$D$137:$F$137</c:f>
            </c:strRef>
          </c:cat>
          <c:val>
            <c:numRef>
              <c:f>'red-formula'!$D$141:$F$141</c:f>
              <c:numCache/>
            </c:numRef>
          </c:val>
        </c:ser>
        <c:axId val="1964492482"/>
        <c:axId val="841434981"/>
      </c:bar3DChart>
      <c:catAx>
        <c:axId val="19644924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841434981"/>
      </c:catAx>
      <c:valAx>
        <c:axId val="841434981"/>
        <c:scaling>
          <c:orientation val="minMax"/>
        </c:scaling>
        <c:delete val="0"/>
        <c:axPos val="l"/>
        <c:tickLblPos val="nextTo"/>
        <c:spPr>
          <a:ln>
            <a:noFill/>
          </a:ln>
        </c:spPr>
        <c:crossAx val="1964492482"/>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'red-formula'!$C$179</c:f>
            </c:strRef>
          </c:tx>
          <c:cat>
            <c:strRef>
              <c:f>'red-formula'!$D$178:$F$178</c:f>
            </c:strRef>
          </c:cat>
          <c:val>
            <c:numRef>
              <c:f>'red-formula'!$D$179:$F$179</c:f>
              <c:numCache/>
            </c:numRef>
          </c:val>
        </c:ser>
        <c:ser>
          <c:idx val="1"/>
          <c:order val="1"/>
          <c:tx>
            <c:strRef>
              <c:f>'red-formula'!$C$180</c:f>
            </c:strRef>
          </c:tx>
          <c:cat>
            <c:strRef>
              <c:f>'red-formula'!$D$178:$F$178</c:f>
            </c:strRef>
          </c:cat>
          <c:val>
            <c:numRef>
              <c:f>'red-formula'!$D$180:$F$180</c:f>
              <c:numCache/>
            </c:numRef>
          </c:val>
        </c:ser>
        <c:ser>
          <c:idx val="2"/>
          <c:order val="2"/>
          <c:tx>
            <c:strRef>
              <c:f>'red-formula'!$C$181</c:f>
            </c:strRef>
          </c:tx>
          <c:cat>
            <c:strRef>
              <c:f>'red-formula'!$D$178:$F$178</c:f>
            </c:strRef>
          </c:cat>
          <c:val>
            <c:numRef>
              <c:f>'red-formula'!$D$181:$F$181</c:f>
              <c:numCache/>
            </c:numRef>
          </c:val>
        </c:ser>
        <c:ser>
          <c:idx val="3"/>
          <c:order val="3"/>
          <c:tx>
            <c:strRef>
              <c:f>'red-formula'!$C$182</c:f>
            </c:strRef>
          </c:tx>
          <c:cat>
            <c:strRef>
              <c:f>'red-formula'!$D$178:$F$178</c:f>
            </c:strRef>
          </c:cat>
          <c:val>
            <c:numRef>
              <c:f>'red-formula'!$D$182:$F$182</c:f>
              <c:numCache/>
            </c:numRef>
          </c:val>
        </c:ser>
        <c:axId val="1966553462"/>
        <c:axId val="335836997"/>
      </c:bar3DChart>
      <c:catAx>
        <c:axId val="1966553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335836997"/>
      </c:catAx>
      <c:valAx>
        <c:axId val="335836997"/>
        <c:scaling>
          <c:orientation val="minMax"/>
        </c:scaling>
        <c:delete val="0"/>
        <c:axPos val="l"/>
        <c:tickLblPos val="nextTo"/>
        <c:spPr>
          <a:ln>
            <a:noFill/>
          </a:ln>
        </c:spPr>
        <c:crossAx val="1966553462"/>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'red-formula'!$C$203</c:f>
            </c:strRef>
          </c:tx>
          <c:cat>
            <c:strRef>
              <c:f>'red-formula'!$D$202:$F$202</c:f>
            </c:strRef>
          </c:cat>
          <c:val>
            <c:numRef>
              <c:f>'red-formula'!$D$203:$F$203</c:f>
              <c:numCache/>
            </c:numRef>
          </c:val>
        </c:ser>
        <c:ser>
          <c:idx val="1"/>
          <c:order val="1"/>
          <c:tx>
            <c:strRef>
              <c:f>'red-formula'!$C$204</c:f>
            </c:strRef>
          </c:tx>
          <c:cat>
            <c:strRef>
              <c:f>'red-formula'!$D$202:$F$202</c:f>
            </c:strRef>
          </c:cat>
          <c:val>
            <c:numRef>
              <c:f>'red-formula'!$D$204:$F$204</c:f>
              <c:numCache/>
            </c:numRef>
          </c:val>
        </c:ser>
        <c:ser>
          <c:idx val="2"/>
          <c:order val="2"/>
          <c:tx>
            <c:strRef>
              <c:f>'red-formula'!$C$205</c:f>
            </c:strRef>
          </c:tx>
          <c:cat>
            <c:strRef>
              <c:f>'red-formula'!$D$202:$F$202</c:f>
            </c:strRef>
          </c:cat>
          <c:val>
            <c:numRef>
              <c:f>'red-formula'!$D$205:$F$205</c:f>
              <c:numCache/>
            </c:numRef>
          </c:val>
        </c:ser>
        <c:ser>
          <c:idx val="3"/>
          <c:order val="3"/>
          <c:tx>
            <c:strRef>
              <c:f>'red-formula'!$C$206</c:f>
            </c:strRef>
          </c:tx>
          <c:cat>
            <c:strRef>
              <c:f>'red-formula'!$D$202:$F$202</c:f>
            </c:strRef>
          </c:cat>
          <c:val>
            <c:numRef>
              <c:f>'red-formula'!$D$206:$F$206</c:f>
              <c:numCache/>
            </c:numRef>
          </c:val>
        </c:ser>
        <c:axId val="1181512798"/>
        <c:axId val="649668316"/>
      </c:bar3DChart>
      <c:catAx>
        <c:axId val="11815127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649668316"/>
      </c:catAx>
      <c:valAx>
        <c:axId val="649668316"/>
        <c:scaling>
          <c:orientation val="minMax"/>
        </c:scaling>
        <c:delete val="0"/>
        <c:axPos val="l"/>
        <c:tickLblPos val="nextTo"/>
        <c:spPr>
          <a:ln>
            <a:noFill/>
          </a:ln>
        </c:spPr>
        <c:crossAx val="1181512798"/>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'red-formula'!$C$227</c:f>
            </c:strRef>
          </c:tx>
          <c:cat>
            <c:strRef>
              <c:f>'red-formula'!$D$226:$F$226</c:f>
            </c:strRef>
          </c:cat>
          <c:val>
            <c:numRef>
              <c:f>'red-formula'!$D$227:$F$227</c:f>
              <c:numCache/>
            </c:numRef>
          </c:val>
        </c:ser>
        <c:ser>
          <c:idx val="1"/>
          <c:order val="1"/>
          <c:tx>
            <c:strRef>
              <c:f>'red-formula'!$C$228</c:f>
            </c:strRef>
          </c:tx>
          <c:cat>
            <c:strRef>
              <c:f>'red-formula'!$D$226:$F$226</c:f>
            </c:strRef>
          </c:cat>
          <c:val>
            <c:numRef>
              <c:f>'red-formula'!$D$228:$F$228</c:f>
              <c:numCache/>
            </c:numRef>
          </c:val>
        </c:ser>
        <c:ser>
          <c:idx val="2"/>
          <c:order val="2"/>
          <c:tx>
            <c:strRef>
              <c:f>'red-formula'!$C$229</c:f>
            </c:strRef>
          </c:tx>
          <c:cat>
            <c:strRef>
              <c:f>'red-formula'!$D$226:$F$226</c:f>
            </c:strRef>
          </c:cat>
          <c:val>
            <c:numRef>
              <c:f>'red-formula'!$D$229:$F$229</c:f>
              <c:numCache/>
            </c:numRef>
          </c:val>
        </c:ser>
        <c:ser>
          <c:idx val="3"/>
          <c:order val="3"/>
          <c:tx>
            <c:strRef>
              <c:f>'red-formula'!$C$230</c:f>
            </c:strRef>
          </c:tx>
          <c:cat>
            <c:strRef>
              <c:f>'red-formula'!$D$226:$F$226</c:f>
            </c:strRef>
          </c:cat>
          <c:val>
            <c:numRef>
              <c:f>'red-formula'!$D$230:$F$230</c:f>
              <c:numCache/>
            </c:numRef>
          </c:val>
        </c:ser>
        <c:axId val="446747044"/>
        <c:axId val="1354750357"/>
      </c:bar3DChart>
      <c:catAx>
        <c:axId val="446747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spPr/>
        <c:txPr>
          <a:bodyPr/>
          <a:lstStyle/>
          <a:p>
            <a:pPr lvl="0">
              <a:defRPr b="0">
                <a:solidFill>
                  <a:srgbClr val="000000"/>
                </a:solidFill>
                <a:latin typeface="+mn-lt"/>
              </a:defRPr>
            </a:pPr>
          </a:p>
        </c:txPr>
        <c:crossAx val="1354750357"/>
      </c:catAx>
      <c:valAx>
        <c:axId val="1354750357"/>
        <c:scaling>
          <c:orientation val="minMax"/>
        </c:scaling>
        <c:delete val="0"/>
        <c:axPos val="l"/>
        <c:tickLblPos val="nextTo"/>
        <c:spPr>
          <a:ln>
            <a:noFill/>
          </a:ln>
        </c:spPr>
        <c:crossAx val="446747044"/>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Comparar entre Red - Estudiantes</a:t>
            </a:r>
          </a:p>
        </c:rich>
      </c:tx>
      <c:overlay val="0"/>
    </c:title>
    <c:plotArea>
      <c:layout/>
      <c:pieChart>
        <c:varyColors val="1"/>
        <c:ser>
          <c:idx val="0"/>
          <c:order val="0"/>
          <c:tx>
            <c:strRef>
              <c:f>filtro!$G$15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filtro!$F$16:$F$22</c:f>
            </c:strRef>
          </c:cat>
          <c:val>
            <c:numRef>
              <c:f>filtro!$G$16:$G$22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Comparar entre Red - Docentes</a:t>
            </a:r>
          </a:p>
        </c:rich>
      </c:tx>
      <c:overlay val="0"/>
    </c:title>
    <c:plotArea>
      <c:layout/>
      <c:pieChart>
        <c:varyColors val="1"/>
        <c:ser>
          <c:idx val="0"/>
          <c:order val="0"/>
          <c:tx>
            <c:strRef>
              <c:f>filtro!$O$15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filtro!$N$16:$N$21</c:f>
            </c:strRef>
          </c:cat>
          <c:val>
            <c:numRef>
              <c:f>filtro!$O$16:$O$21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 Id="rId6"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5" Type="http://schemas.openxmlformats.org/officeDocument/2006/relationships/chart" Target="../charts/chart15.xml"/><Relationship Id="rId6" Type="http://schemas.openxmlformats.org/officeDocument/2006/relationships/chart" Target="../charts/chart1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9" Type="http://schemas.openxmlformats.org/officeDocument/2006/relationships/chart" Target="../charts/chart25.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647700</xdr:colOff>
      <xdr:row>2</xdr:row>
      <xdr:rowOff>28575</xdr:rowOff>
    </xdr:from>
    <xdr:ext cx="4133850" cy="25622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647700</xdr:colOff>
      <xdr:row>20</xdr:row>
      <xdr:rowOff>47625</xdr:rowOff>
    </xdr:from>
    <xdr:ext cx="4133850" cy="25622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647700</xdr:colOff>
      <xdr:row>41</xdr:row>
      <xdr:rowOff>66675</xdr:rowOff>
    </xdr:from>
    <xdr:ext cx="4133850" cy="256222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276225</xdr:colOff>
      <xdr:row>4</xdr:row>
      <xdr:rowOff>9525</xdr:rowOff>
    </xdr:from>
    <xdr:ext cx="5067300" cy="3276600"/>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62</xdr:row>
      <xdr:rowOff>171450</xdr:rowOff>
    </xdr:from>
    <xdr:ext cx="5067300" cy="32766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219075</xdr:colOff>
      <xdr:row>92</xdr:row>
      <xdr:rowOff>9525</xdr:rowOff>
    </xdr:from>
    <xdr:ext cx="5067300" cy="32766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219075</xdr:colOff>
      <xdr:row>120</xdr:row>
      <xdr:rowOff>161925</xdr:rowOff>
    </xdr:from>
    <xdr:ext cx="5067300" cy="3276600"/>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219075</xdr:colOff>
      <xdr:row>32</xdr:row>
      <xdr:rowOff>133350</xdr:rowOff>
    </xdr:from>
    <xdr:ext cx="5067300" cy="3276600"/>
    <xdr:graphicFrame>
      <xdr:nvGraphicFramePr>
        <xdr:cNvPr id="8" name="Chart 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276225</xdr:colOff>
      <xdr:row>3</xdr:row>
      <xdr:rowOff>104775</xdr:rowOff>
    </xdr:from>
    <xdr:ext cx="5067300" cy="3276600"/>
    <xdr:graphicFrame>
      <xdr:nvGraphicFramePr>
        <xdr:cNvPr id="9" name="Chart 9"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219075</xdr:colOff>
      <xdr:row>152</xdr:row>
      <xdr:rowOff>104775</xdr:rowOff>
    </xdr:from>
    <xdr:ext cx="5067300" cy="3276600"/>
    <xdr:graphicFrame>
      <xdr:nvGraphicFramePr>
        <xdr:cNvPr id="10" name="Chart 10" title="Gráfico"/>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219075</xdr:colOff>
      <xdr:row>33</xdr:row>
      <xdr:rowOff>133350</xdr:rowOff>
    </xdr:from>
    <xdr:ext cx="5067300" cy="3276600"/>
    <xdr:graphicFrame>
      <xdr:nvGraphicFramePr>
        <xdr:cNvPr id="11" name="Chart 1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219075</xdr:colOff>
      <xdr:row>63</xdr:row>
      <xdr:rowOff>171450</xdr:rowOff>
    </xdr:from>
    <xdr:ext cx="5067300" cy="3276600"/>
    <xdr:graphicFrame>
      <xdr:nvGraphicFramePr>
        <xdr:cNvPr id="12" name="Chart 1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219075</xdr:colOff>
      <xdr:row>96</xdr:row>
      <xdr:rowOff>9525</xdr:rowOff>
    </xdr:from>
    <xdr:ext cx="5067300" cy="3276600"/>
    <xdr:graphicFrame>
      <xdr:nvGraphicFramePr>
        <xdr:cNvPr id="13" name="Chart 1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219075</xdr:colOff>
      <xdr:row>126</xdr:row>
      <xdr:rowOff>161925</xdr:rowOff>
    </xdr:from>
    <xdr:ext cx="5067300" cy="3276600"/>
    <xdr:graphicFrame>
      <xdr:nvGraphicFramePr>
        <xdr:cNvPr id="14" name="Chart 1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219075</xdr:colOff>
      <xdr:row>158</xdr:row>
      <xdr:rowOff>152400</xdr:rowOff>
    </xdr:from>
    <xdr:ext cx="5067300" cy="3276600"/>
    <xdr:graphicFrame>
      <xdr:nvGraphicFramePr>
        <xdr:cNvPr id="15" name="Chart 1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276225</xdr:colOff>
      <xdr:row>3</xdr:row>
      <xdr:rowOff>104775</xdr:rowOff>
    </xdr:from>
    <xdr:ext cx="5067300" cy="3276600"/>
    <xdr:graphicFrame>
      <xdr:nvGraphicFramePr>
        <xdr:cNvPr id="16" name="Chart 16" title="Gráfico"/>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276225</xdr:colOff>
      <xdr:row>10</xdr:row>
      <xdr:rowOff>9525</xdr:rowOff>
    </xdr:from>
    <xdr:ext cx="5067300" cy="3276600"/>
    <xdr:graphicFrame>
      <xdr:nvGraphicFramePr>
        <xdr:cNvPr id="17" name="Chart 1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219075</xdr:colOff>
      <xdr:row>31</xdr:row>
      <xdr:rowOff>0</xdr:rowOff>
    </xdr:from>
    <xdr:ext cx="5067300" cy="3276600"/>
    <xdr:graphicFrame>
      <xdr:nvGraphicFramePr>
        <xdr:cNvPr id="18" name="Chart 1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219075</xdr:colOff>
      <xdr:row>52</xdr:row>
      <xdr:rowOff>133350</xdr:rowOff>
    </xdr:from>
    <xdr:ext cx="5067300" cy="3276600"/>
    <xdr:graphicFrame>
      <xdr:nvGraphicFramePr>
        <xdr:cNvPr id="19" name="Chart 19"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219075</xdr:colOff>
      <xdr:row>86</xdr:row>
      <xdr:rowOff>171450</xdr:rowOff>
    </xdr:from>
    <xdr:ext cx="5067300" cy="3276600"/>
    <xdr:graphicFrame>
      <xdr:nvGraphicFramePr>
        <xdr:cNvPr id="20" name="Chart 20"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219075</xdr:colOff>
      <xdr:row>111</xdr:row>
      <xdr:rowOff>9525</xdr:rowOff>
    </xdr:from>
    <xdr:ext cx="5067300" cy="3276600"/>
    <xdr:graphicFrame>
      <xdr:nvGraphicFramePr>
        <xdr:cNvPr id="21" name="Chart 21"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219075</xdr:colOff>
      <xdr:row>134</xdr:row>
      <xdr:rowOff>161925</xdr:rowOff>
    </xdr:from>
    <xdr:ext cx="5067300" cy="3276600"/>
    <xdr:graphicFrame>
      <xdr:nvGraphicFramePr>
        <xdr:cNvPr id="22" name="Chart 22"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219075</xdr:colOff>
      <xdr:row>175</xdr:row>
      <xdr:rowOff>152400</xdr:rowOff>
    </xdr:from>
    <xdr:ext cx="5067300" cy="3276600"/>
    <xdr:graphicFrame>
      <xdr:nvGraphicFramePr>
        <xdr:cNvPr id="23" name="Chart 23"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219075</xdr:colOff>
      <xdr:row>199</xdr:row>
      <xdr:rowOff>142875</xdr:rowOff>
    </xdr:from>
    <xdr:ext cx="5067300" cy="3276600"/>
    <xdr:graphicFrame>
      <xdr:nvGraphicFramePr>
        <xdr:cNvPr id="24" name="Chart 24" title="Gráfico"/>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219075</xdr:colOff>
      <xdr:row>223</xdr:row>
      <xdr:rowOff>190500</xdr:rowOff>
    </xdr:from>
    <xdr:ext cx="5067300" cy="3276600"/>
    <xdr:graphicFrame>
      <xdr:nvGraphicFramePr>
        <xdr:cNvPr id="25" name="Chart 25" title="Gráfico"/>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752475</xdr:colOff>
      <xdr:row>23</xdr:row>
      <xdr:rowOff>114300</xdr:rowOff>
    </xdr:from>
    <xdr:ext cx="5019675" cy="1695450"/>
    <xdr:graphicFrame>
      <xdr:nvGraphicFramePr>
        <xdr:cNvPr id="26" name="Chart 2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34</xdr:row>
      <xdr:rowOff>0</xdr:rowOff>
    </xdr:from>
    <xdr:ext cx="5019675" cy="1752600"/>
    <xdr:graphicFrame>
      <xdr:nvGraphicFramePr>
        <xdr:cNvPr id="27" name="Chart 27"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618" sheet="DATA"/>
  </cacheSource>
  <cacheFields>
    <cacheField name="Estudiant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15.0"/>
        <n v="2516.0"/>
        <n v="2517.0"/>
        <n v="2518.0"/>
        <n v="2519.0"/>
        <n v="2520.0"/>
        <n v="2521.0"/>
        <n v="2522.0"/>
        <n v="2523.0"/>
        <n v="2524.0"/>
        <n v="2525.0"/>
        <n v="2526.0"/>
        <n v="2527.0"/>
        <n v="2528.0"/>
        <n v="2529.0"/>
        <n v="2530.0"/>
        <n v="2531.0"/>
        <n v="2532.0"/>
        <n v="2533.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3.0"/>
        <n v="3024.0"/>
        <n v="3025.0"/>
        <n v="3026.0"/>
        <n v="3027.0"/>
        <n v="3028.0"/>
        <n v="3029.0"/>
        <n v="3030.0"/>
        <n v="3644.0"/>
        <n v="3645.0"/>
        <n v="3646.0"/>
        <n v="3647.0"/>
        <n v="3648.0"/>
        <n v="3649.0"/>
        <n v="3650.0"/>
        <n v="3651.0"/>
        <n v="3652.0"/>
        <n v="3653.0"/>
        <n v="3654.0"/>
        <n v="3655.0"/>
        <n v="3656.0"/>
        <n v="3657.0"/>
        <n v="3658.0"/>
        <n v="3659.0"/>
        <n v="3660.0"/>
        <n v="3661.0"/>
        <n v="3662.0"/>
        <n v="3669.0"/>
        <n v="3670.0"/>
        <n v="3671.0"/>
        <n v="3672.0"/>
        <n v="3673.0"/>
        <n v="3674.0"/>
        <n v="3675.0"/>
        <n v="3676.0"/>
        <n v="3677.0"/>
        <n v="3678.0"/>
        <n v="3679.0"/>
        <n v="3680.0"/>
        <n v="3681.0"/>
        <n v="3682.0"/>
        <n v="3683.0"/>
        <n v="3684.0"/>
        <n v="3685.0"/>
        <n v="3689.0"/>
        <n v="3690.0"/>
        <n v="3691.0"/>
        <n v="3692.0"/>
        <n v="3693.0"/>
        <n v="3694.0"/>
        <n v="3695.0"/>
        <n v="3696.0"/>
        <n v="3697.0"/>
        <n v="3698.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4316.0"/>
        <n v="4317.0"/>
        <n v="4318.0"/>
        <n v="4319.0"/>
        <n v="4320.0"/>
        <n v="4321.0"/>
        <n v="4322.0"/>
        <n v="4323.0"/>
        <n v="4324.0"/>
        <n v="4325.0"/>
        <n v="4326.0"/>
        <n v="4329.0"/>
        <n v="4330.0"/>
        <n v="4331.0"/>
        <n v="4332.0"/>
        <n v="4333.0"/>
        <n v="4334.0"/>
        <n v="4335.0"/>
        <n v="4336.0"/>
        <n v="4337.0"/>
        <n v="4338.0"/>
        <n v="433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9.0"/>
        <n v="4390.0"/>
        <n v="4391.0"/>
        <n v="4392.0"/>
        <n v="4584.0"/>
        <n v="4585.0"/>
        <n v="4586.0"/>
        <n v="4587.0"/>
        <n v="4588.0"/>
        <n v="4589.0"/>
        <n v="4590.0"/>
        <n v="4591.0"/>
        <n v="4592.0"/>
        <n v="4593.0"/>
        <n v="4594.0"/>
        <n v="4596.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2251.0"/>
        <n v="2252.0"/>
        <n v="2253.0"/>
        <n v="2254.0"/>
        <n v="2255.0"/>
        <n v="2256.0"/>
        <n v="2257.0"/>
        <n v="2258.0"/>
        <n v="2259.0"/>
        <n v="2260.0"/>
        <n v="2261.0"/>
        <n v="2262.0"/>
        <n v="2263.0"/>
        <n v="2264.0"/>
        <n v="2265.0"/>
        <n v="2266.0"/>
        <n v="2267.0"/>
        <n v="2268.0"/>
        <n v="2402.0"/>
        <n v="2403.0"/>
        <n v="2404.0"/>
        <n v="2405.0"/>
        <n v="2406.0"/>
        <n v="2407.0"/>
        <n v="2408.0"/>
        <n v="2409.0"/>
        <n v="2410.0"/>
        <n v="2411.0"/>
        <n v="2412.0"/>
        <n v="2413.0"/>
        <n v="2414.0"/>
        <n v="2415.0"/>
        <n v="2416.0"/>
        <n v="2417.0"/>
        <n v="2418.0"/>
        <n v="2419.0"/>
        <n v="2420.0"/>
        <n v="2421.0"/>
        <n v="2509.0"/>
        <n v="2510.0"/>
        <n v="2511.0"/>
        <n v="2512.0"/>
        <n v="2513.0"/>
        <n v="2514.0"/>
        <n v="2534.0"/>
        <n v="2535.0"/>
        <n v="2536.0"/>
        <n v="2537.0"/>
        <n v="2538.0"/>
        <n v="2636.0"/>
        <n v="2637.0"/>
        <n v="2638.0"/>
        <n v="2639.0"/>
        <n v="2640.0"/>
        <n v="2641.0"/>
        <n v="2642.0"/>
        <n v="2643.0"/>
        <n v="2645.0"/>
        <n v="2646.0"/>
        <n v="2647.0"/>
        <n v="2697.0"/>
        <n v="2698.0"/>
        <n v="2699.0"/>
        <n v="2700.0"/>
        <n v="2701.0"/>
        <n v="2702.0"/>
        <n v="2703.0"/>
        <n v="2704.0"/>
        <n v="2705.0"/>
        <n v="2706.0"/>
        <n v="2707.0"/>
        <n v="2708.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3022.0"/>
        <n v="3031.0"/>
        <n v="3032.0"/>
        <n v="3639.0"/>
        <n v="3640.0"/>
        <n v="3641.0"/>
        <n v="3642.0"/>
        <n v="3643.0"/>
        <n v="3663.0"/>
        <n v="3664.0"/>
        <n v="3665.0"/>
        <n v="3666.0"/>
        <n v="3667.0"/>
        <n v="3668.0"/>
        <n v="3686.0"/>
        <n v="3687.0"/>
        <n v="3688.0"/>
        <n v="3699.0"/>
        <n v="3700.0"/>
        <n v="3733.0"/>
        <n v="3734.0"/>
        <n v="3735.0"/>
        <n v="3736.0"/>
        <n v="3737.0"/>
        <n v="3738.0"/>
        <n v="3739.0"/>
        <n v="3740.0"/>
        <n v="3741.0"/>
        <n v="3742.0"/>
        <n v="4327.0"/>
        <n v="4328.0"/>
        <n v="4340.0"/>
        <n v="4341.0"/>
        <n v="4342.0"/>
        <n v="4343.0"/>
        <n v="4344.0"/>
        <n v="4345.0"/>
        <n v="4346.0"/>
        <n v="4347.0"/>
        <n v="4348.0"/>
        <n v="4349.0"/>
        <n v="4388.0"/>
        <n v="4393.0"/>
        <n v="4394.0"/>
        <n v="4582.0"/>
        <n v="4583.0"/>
        <n v="4597.0"/>
        <n v="4598.0"/>
        <n v="4599.0"/>
        <n v="4600.0"/>
        <n v="4601.0"/>
        <n v="4602.0"/>
        <n v="4603.0"/>
        <n v="4604.0"/>
        <n v="4605.0"/>
        <n v="4606.0"/>
        <n v="4607.0"/>
        <n v="4639.0"/>
        <n v="4640.0"/>
        <n v="4641.0"/>
        <n v="4642.0"/>
        <n v="4643.0"/>
        <n v="4644.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sharedItems>
    </cacheField>
    <cacheField name="Región" numFmtId="49">
      <sharedItems>
        <s v="47. Loreto"/>
        <s v="48. Piura"/>
        <s v="54. Ancash"/>
        <s v="72. Ucayali"/>
        <s v="79. Huancavelica"/>
        <s v="44. Cusco"/>
      </sharedItems>
    </cacheField>
    <cacheField name="Nivel" numFmtId="49">
      <sharedItems>
        <s v="Primaria"/>
        <s v="Secundaria"/>
      </sharedItems>
    </cacheField>
    <cacheField name="Grado" numFmtId="0">
      <sharedItems>
        <s v="2 Primaria"/>
        <s v="4 Primaria"/>
        <s v="6 Primaria"/>
        <s v="2 Secundaria"/>
        <s v="4 Secundaria"/>
        <s v="1 Primaria"/>
        <s v="5 Secundaria"/>
      </sharedItems>
    </cacheField>
    <cacheField name="Institución Educativa" numFmtId="49">
      <sharedItems>
        <s v="60136"/>
        <s v="6010102"/>
        <s v="601448"/>
        <s v="EL MILAGRO"/>
        <s v="601614"/>
        <s v="6010178"/>
        <s v="601514"/>
        <s v="601331"/>
        <s v="601391"/>
        <s v="601570"/>
        <s v="601678"/>
        <s v="6010230 BARBARA D'ACHILLE"/>
        <s v="60181"/>
        <s v="6010231"/>
        <s v="601511"/>
        <s v="601580"/>
        <s v="601444"/>
        <s v="601571"/>
        <s v="601563"/>
        <s v="60133"/>
        <s v="14924 DANIEL ALCIDES CARRION"/>
        <s v="20104"/>
        <s v="14975"/>
        <s v="15304"/>
        <s v="SAGRADO CORAZON DE JESUS"/>
        <s v="20123"/>
        <s v="14144 SANTA ROSA"/>
        <s v="15219"/>
        <s v="14141"/>
        <s v="15478"/>
        <s v="15220"/>
        <s v="14045"/>
        <s v="14145 SANTA JULIA BILLIART"/>
        <s v="14894"/>
        <s v="15383"/>
        <s v="86809"/>
        <s v="86548 JOSE MARIA VELAZ"/>
        <s v="88327"/>
        <s v="88247 SAN ENRIQUE"/>
        <s v="86769 ABRAHAM VALDELOMAR"/>
        <s v="64048"/>
        <s v="64115"/>
        <s v="64508-B"/>
        <s v="64873-B"/>
        <s v="64545-B"/>
        <s v="64949"/>
        <s v="64871-B"/>
        <s v="64028"/>
        <s v="64829"/>
        <s v="65199"/>
        <s v="64996"/>
        <s v="64641"/>
        <s v="64346"/>
        <s v="NUESTRA SEÑORA DE LA CANDELARIA"/>
        <s v="36173"/>
        <s v="CORAS"/>
        <s v="36207"/>
        <s v="36789 NUESTRA SEÑORA DEL CARMEN"/>
        <s v="501432 PAPA FRANCISCO I"/>
        <s v="50492 CORAZON DE JESUS"/>
        <s v="50495"/>
        <s v="50547"/>
        <s v="50550"/>
        <s v="50552 TUPAC AMARU II"/>
        <s v="50553"/>
        <s v="50558"/>
        <s v="50715"/>
        <s v="50719 VIRGEN DEL CARMEN"/>
        <s v="50765"/>
        <s v="50696 YANACANCHA"/>
        <s v="50854"/>
        <s v="50977"/>
        <s v="501344"/>
        <s v="501455 CRISTO REY TTIKARIY"/>
        <s v="36163 JAVIER HERAUD PEREZ"/>
        <s v="SANTIAGO ANTUNEZ DE MAYOLO"/>
        <s v="SAYRI TUPAC"/>
        <s v="64155"/>
        <s v="88225 CAPTUY"/>
        <s v="36161 SAN VICENTE DE PAUL"/>
        <s v="36166 HEROES 29 DE AGOSTO"/>
        <s v="JORGE CHAVEZ"/>
        <s v="JOSE CARLOS MARIATEGUI"/>
        <s v="RAMON CASTILLA MARQUEZADO"/>
        <s v="50536"/>
        <s v="50912"/>
        <s v="50535"/>
        <s v="50976"/>
        <s v="50504"/>
        <s v="50796"/>
        <s v="ALMIRANTE MIGUEL GRAU SEMINARIO"/>
        <s v="1457365 LOS RIT'S DEL ALTO ANDINO"/>
      </sharedItems>
    </cacheField>
    <cacheField name="Ambito" numFmtId="49">
      <sharedItems>
        <s v="Rural"/>
      </sharedItems>
    </cacheField>
    <cacheField name="Sexo" numFmtId="49">
      <sharedItems>
        <s v="Femenino"/>
        <s v="Masculino"/>
      </sharedItems>
    </cacheField>
    <cacheField name="R Matemática" numFmtId="49">
      <sharedItems>
        <s v="Inicio"/>
        <s v="Proceso"/>
        <s v="Satisfactorio"/>
      </sharedItems>
    </cacheField>
    <cacheField name="Año" numFmtId="0">
      <sharedItems containsSemiMixedTypes="0" containsString="0" containsNumber="1" containsInteger="1">
        <n v="2024.0"/>
        <n v="2023.0"/>
        <n v="202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618" sheet="DATA"/>
  </cacheSource>
  <cacheFields>
    <cacheField name="Estudiant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15.0"/>
        <n v="2516.0"/>
        <n v="2517.0"/>
        <n v="2518.0"/>
        <n v="2519.0"/>
        <n v="2520.0"/>
        <n v="2521.0"/>
        <n v="2522.0"/>
        <n v="2523.0"/>
        <n v="2524.0"/>
        <n v="2525.0"/>
        <n v="2526.0"/>
        <n v="2527.0"/>
        <n v="2528.0"/>
        <n v="2529.0"/>
        <n v="2530.0"/>
        <n v="2531.0"/>
        <n v="2532.0"/>
        <n v="2533.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3.0"/>
        <n v="3024.0"/>
        <n v="3025.0"/>
        <n v="3026.0"/>
        <n v="3027.0"/>
        <n v="3028.0"/>
        <n v="3029.0"/>
        <n v="3030.0"/>
        <n v="3644.0"/>
        <n v="3645.0"/>
        <n v="3646.0"/>
        <n v="3647.0"/>
        <n v="3648.0"/>
        <n v="3649.0"/>
        <n v="3650.0"/>
        <n v="3651.0"/>
        <n v="3652.0"/>
        <n v="3653.0"/>
        <n v="3654.0"/>
        <n v="3655.0"/>
        <n v="3656.0"/>
        <n v="3657.0"/>
        <n v="3658.0"/>
        <n v="3659.0"/>
        <n v="3660.0"/>
        <n v="3661.0"/>
        <n v="3662.0"/>
        <n v="3669.0"/>
        <n v="3670.0"/>
        <n v="3671.0"/>
        <n v="3672.0"/>
        <n v="3673.0"/>
        <n v="3674.0"/>
        <n v="3675.0"/>
        <n v="3676.0"/>
        <n v="3677.0"/>
        <n v="3678.0"/>
        <n v="3679.0"/>
        <n v="3680.0"/>
        <n v="3681.0"/>
        <n v="3682.0"/>
        <n v="3683.0"/>
        <n v="3684.0"/>
        <n v="3685.0"/>
        <n v="3689.0"/>
        <n v="3690.0"/>
        <n v="3691.0"/>
        <n v="3692.0"/>
        <n v="3693.0"/>
        <n v="3694.0"/>
        <n v="3695.0"/>
        <n v="3696.0"/>
        <n v="3697.0"/>
        <n v="3698.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4316.0"/>
        <n v="4317.0"/>
        <n v="4318.0"/>
        <n v="4319.0"/>
        <n v="4320.0"/>
        <n v="4321.0"/>
        <n v="4322.0"/>
        <n v="4323.0"/>
        <n v="4324.0"/>
        <n v="4325.0"/>
        <n v="4326.0"/>
        <n v="4329.0"/>
        <n v="4330.0"/>
        <n v="4331.0"/>
        <n v="4332.0"/>
        <n v="4333.0"/>
        <n v="4334.0"/>
        <n v="4335.0"/>
        <n v="4336.0"/>
        <n v="4337.0"/>
        <n v="4338.0"/>
        <n v="433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9.0"/>
        <n v="4390.0"/>
        <n v="4391.0"/>
        <n v="4392.0"/>
        <n v="4584.0"/>
        <n v="4585.0"/>
        <n v="4586.0"/>
        <n v="4587.0"/>
        <n v="4588.0"/>
        <n v="4589.0"/>
        <n v="4590.0"/>
        <n v="4591.0"/>
        <n v="4592.0"/>
        <n v="4593.0"/>
        <n v="4594.0"/>
        <n v="4596.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2251.0"/>
        <n v="2252.0"/>
        <n v="2253.0"/>
        <n v="2254.0"/>
        <n v="2255.0"/>
        <n v="2256.0"/>
        <n v="2257.0"/>
        <n v="2258.0"/>
        <n v="2259.0"/>
        <n v="2260.0"/>
        <n v="2261.0"/>
        <n v="2262.0"/>
        <n v="2263.0"/>
        <n v="2264.0"/>
        <n v="2265.0"/>
        <n v="2266.0"/>
        <n v="2267.0"/>
        <n v="2268.0"/>
        <n v="2402.0"/>
        <n v="2403.0"/>
        <n v="2404.0"/>
        <n v="2405.0"/>
        <n v="2406.0"/>
        <n v="2407.0"/>
        <n v="2408.0"/>
        <n v="2409.0"/>
        <n v="2410.0"/>
        <n v="2411.0"/>
        <n v="2412.0"/>
        <n v="2413.0"/>
        <n v="2414.0"/>
        <n v="2415.0"/>
        <n v="2416.0"/>
        <n v="2417.0"/>
        <n v="2418.0"/>
        <n v="2419.0"/>
        <n v="2420.0"/>
        <n v="2421.0"/>
        <n v="2509.0"/>
        <n v="2510.0"/>
        <n v="2511.0"/>
        <n v="2512.0"/>
        <n v="2513.0"/>
        <n v="2514.0"/>
        <n v="2534.0"/>
        <n v="2535.0"/>
        <n v="2536.0"/>
        <n v="2537.0"/>
        <n v="2538.0"/>
        <n v="2636.0"/>
        <n v="2637.0"/>
        <n v="2638.0"/>
        <n v="2639.0"/>
        <n v="2640.0"/>
        <n v="2641.0"/>
        <n v="2642.0"/>
        <n v="2643.0"/>
        <n v="2645.0"/>
        <n v="2646.0"/>
        <n v="2647.0"/>
        <n v="2697.0"/>
        <n v="2698.0"/>
        <n v="2699.0"/>
        <n v="2700.0"/>
        <n v="2701.0"/>
        <n v="2702.0"/>
        <n v="2703.0"/>
        <n v="2704.0"/>
        <n v="2705.0"/>
        <n v="2706.0"/>
        <n v="2707.0"/>
        <n v="2708.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3022.0"/>
        <n v="3031.0"/>
        <n v="3032.0"/>
        <n v="3639.0"/>
        <n v="3640.0"/>
        <n v="3641.0"/>
        <n v="3642.0"/>
        <n v="3643.0"/>
        <n v="3663.0"/>
        <n v="3664.0"/>
        <n v="3665.0"/>
        <n v="3666.0"/>
        <n v="3667.0"/>
        <n v="3668.0"/>
        <n v="3686.0"/>
        <n v="3687.0"/>
        <n v="3688.0"/>
        <n v="3699.0"/>
        <n v="3700.0"/>
        <n v="3733.0"/>
        <n v="3734.0"/>
        <n v="3735.0"/>
        <n v="3736.0"/>
        <n v="3737.0"/>
        <n v="3738.0"/>
        <n v="3739.0"/>
        <n v="3740.0"/>
        <n v="3741.0"/>
        <n v="3742.0"/>
        <n v="4327.0"/>
        <n v="4328.0"/>
        <n v="4340.0"/>
        <n v="4341.0"/>
        <n v="4342.0"/>
        <n v="4343.0"/>
        <n v="4344.0"/>
        <n v="4345.0"/>
        <n v="4346.0"/>
        <n v="4347.0"/>
        <n v="4348.0"/>
        <n v="4349.0"/>
        <n v="4388.0"/>
        <n v="4393.0"/>
        <n v="4394.0"/>
        <n v="4582.0"/>
        <n v="4583.0"/>
        <n v="4597.0"/>
        <n v="4598.0"/>
        <n v="4599.0"/>
        <n v="4600.0"/>
        <n v="4601.0"/>
        <n v="4602.0"/>
        <n v="4603.0"/>
        <n v="4604.0"/>
        <n v="4605.0"/>
        <n v="4606.0"/>
        <n v="4607.0"/>
        <n v="4639.0"/>
        <n v="4640.0"/>
        <n v="4641.0"/>
        <n v="4642.0"/>
        <n v="4643.0"/>
        <n v="4644.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sharedItems>
    </cacheField>
    <cacheField name="Región" numFmtId="49">
      <sharedItems>
        <s v="47. Loreto"/>
        <s v="48. Piura"/>
        <s v="54. Ancash"/>
        <s v="72. Ucayali"/>
        <s v="79. Huancavelica"/>
        <s v="44. Cusco"/>
      </sharedItems>
    </cacheField>
    <cacheField name="Nivel" numFmtId="49">
      <sharedItems>
        <s v="Primaria"/>
        <s v="Secundaria"/>
      </sharedItems>
    </cacheField>
    <cacheField name="Grado" numFmtId="0">
      <sharedItems>
        <s v="2 Primaria"/>
        <s v="4 Primaria"/>
        <s v="6 Primaria"/>
        <s v="2 Secundaria"/>
        <s v="4 Secundaria"/>
        <s v="1 Primaria"/>
        <s v="5 Secundaria"/>
      </sharedItems>
    </cacheField>
    <cacheField name="Institución Educativa" numFmtId="49">
      <sharedItems>
        <s v="60136"/>
        <s v="6010102"/>
        <s v="601448"/>
        <s v="EL MILAGRO"/>
        <s v="601614"/>
        <s v="6010178"/>
        <s v="601514"/>
        <s v="601331"/>
        <s v="601391"/>
        <s v="601570"/>
        <s v="601678"/>
        <s v="6010230 BARBARA D'ACHILLE"/>
        <s v="60181"/>
        <s v="6010231"/>
        <s v="601511"/>
        <s v="601580"/>
        <s v="601444"/>
        <s v="601571"/>
        <s v="601563"/>
        <s v="60133"/>
        <s v="14924 DANIEL ALCIDES CARRION"/>
        <s v="20104"/>
        <s v="14975"/>
        <s v="15304"/>
        <s v="SAGRADO CORAZON DE JESUS"/>
        <s v="20123"/>
        <s v="14144 SANTA ROSA"/>
        <s v="15219"/>
        <s v="14141"/>
        <s v="15478"/>
        <s v="15220"/>
        <s v="14045"/>
        <s v="14145 SANTA JULIA BILLIART"/>
        <s v="14894"/>
        <s v="15383"/>
        <s v="86809"/>
        <s v="86548 JOSE MARIA VELAZ"/>
        <s v="88327"/>
        <s v="88247 SAN ENRIQUE"/>
        <s v="86769 ABRAHAM VALDELOMAR"/>
        <s v="64048"/>
        <s v="64115"/>
        <s v="64508-B"/>
        <s v="64873-B"/>
        <s v="64545-B"/>
        <s v="64949"/>
        <s v="64871-B"/>
        <s v="64028"/>
        <s v="64829"/>
        <s v="65199"/>
        <s v="64996"/>
        <s v="64641"/>
        <s v="64346"/>
        <s v="NUESTRA SEÑORA DE LA CANDELARIA"/>
        <s v="36173"/>
        <s v="CORAS"/>
        <s v="36207"/>
        <s v="36789 NUESTRA SEÑORA DEL CARMEN"/>
        <s v="501432 PAPA FRANCISCO I"/>
        <s v="50492 CORAZON DE JESUS"/>
        <s v="50495"/>
        <s v="50547"/>
        <s v="50550"/>
        <s v="50552 TUPAC AMARU II"/>
        <s v="50553"/>
        <s v="50558"/>
        <s v="50715"/>
        <s v="50719 VIRGEN DEL CARMEN"/>
        <s v="50765"/>
        <s v="50696 YANACANCHA"/>
        <s v="50854"/>
        <s v="50977"/>
        <s v="501344"/>
        <s v="501455 CRISTO REY TTIKARIY"/>
        <s v="36163 JAVIER HERAUD PEREZ"/>
        <s v="SANTIAGO ANTUNEZ DE MAYOLO"/>
        <s v="SAYRI TUPAC"/>
        <s v="64155"/>
        <s v="88225 CAPTUY"/>
        <s v="36161 SAN VICENTE DE PAUL"/>
        <s v="36166 HEROES 29 DE AGOSTO"/>
        <s v="JORGE CHAVEZ"/>
        <s v="JOSE CARLOS MARIATEGUI"/>
        <s v="RAMON CASTILLA MARQUEZADO"/>
        <s v="50536"/>
        <s v="50912"/>
        <s v="50535"/>
        <s v="50976"/>
        <s v="50504"/>
        <s v="50796"/>
        <s v="ALMIRANTE MIGUEL GRAU SEMINARIO"/>
        <s v="1457365 LOS RIT'S DEL ALTO ANDINO"/>
      </sharedItems>
    </cacheField>
    <cacheField name="Ambito" numFmtId="49">
      <sharedItems>
        <s v="Rural"/>
      </sharedItems>
    </cacheField>
    <cacheField name="Sexo" numFmtId="49">
      <sharedItems>
        <s v="Femenino"/>
        <s v="Masculino"/>
      </sharedItems>
    </cacheField>
    <cacheField name="R Matemática" numFmtId="49">
      <sharedItems>
        <s v="Inicio"/>
        <s v="Proceso"/>
        <s v="Satisfactorio"/>
      </sharedItems>
    </cacheField>
    <cacheField name="Año" numFmtId="0">
      <sharedItems containsSemiMixedTypes="0" containsString="0" containsNumber="1" containsInteger="1">
        <n v="2024.0"/>
        <n v="2023.0"/>
        <n v="2022.0"/>
      </sharedItems>
    </cacheField>
    <cacheField name="ANALISIS" numFmtId="49">
      <sharedItems>
        <s v="SOLO 2024"/>
        <s v="LOS 3 AÑOS"/>
        <s v="2023 Y 2024"/>
        <s v="SOLO 2022 Y 2024"/>
        <s v="SOLO 2023"/>
        <s v="SOLO LINEA BASE"/>
      </sharedItems>
    </cacheField>
    <cacheField name="PADD-R" numFmtId="0">
      <sharedItems containsBlank="1">
        <m/>
        <s v="PADD 2023 Y 2024"/>
        <s v="SOLO 2023"/>
        <s v="NO PARTICIPÓ"/>
        <s v="SOLO 2024"/>
      </sharedItems>
    </cacheField>
    <cacheField name="ID. IE" numFmtId="49">
      <sharedItems>
        <s v="60136 MORALILLO"/>
        <s v="60146 MORALILLO"/>
        <s v="6010102 VILLA BUEN PASTOR"/>
        <s v="601448 NUEVO MILAGRO"/>
        <s v="EL MILAGRO"/>
        <s v="601614 NUEVA ESPERANZA"/>
        <s v="6010178 BELEN DE JUDA"/>
        <s v="601514 EL DORADO"/>
        <s v="601331 TRECE DE FEBRERO"/>
        <s v="601391 PAUJIL II ZONA"/>
        <s v="601570 ANGEL CARDENAS I"/>
        <s v="601678 ANGEL CARDENAS II"/>
        <s v="6010230 NUEVO HORIZONTE"/>
        <s v="60181 SAN PEDRO DE PINTUYACU"/>
        <s v="6010231 EX PETROLEROS I"/>
        <s v="601511 10 DE OCTUBRE I"/>
        <s v="601580 10 DE OCTUBRE II"/>
        <s v="601444 TRIUNFO"/>
        <s v="601571 HUAMBE"/>
        <s v="601563 LA HABANA"/>
        <s v="60133 CAHUIDE"/>
        <s v="14924 DANIEL ALCIDES CARRION"/>
        <s v="20104"/>
        <s v="14975"/>
        <s v="15304"/>
        <s v="SAGRADO CORAZON DE JESUS"/>
        <s v="20123"/>
        <s v="14144 SANTA ROSA"/>
        <s v="15219"/>
        <s v="14141"/>
        <s v="15478"/>
        <s v="15220"/>
        <s v="14045"/>
        <s v="14145 SANTA JULIA BILLIART"/>
        <s v="14894"/>
        <s v="15383"/>
        <s v="Huarachuran"/>
        <s v="Pichiu"/>
        <s v="Carap"/>
        <s v="Capan"/>
        <s v="Huascar"/>
        <s v="64048 Nuevo Barranca"/>
        <s v="64115 Nuevo Bagazán"/>
        <s v="64508-B Santa Isabel"/>
        <s v="64873-B Santa Elisa"/>
        <s v="64545-B Puerto Consuelo"/>
        <s v="64949 Isla Primavera"/>
        <s v="64871-B Santa Martha"/>
        <s v="64028 Mazaray"/>
        <s v="64829 Villa Esther"/>
        <s v="65199 Tres de Mayo"/>
        <s v="64996 Libertad"/>
        <s v="64641 Nueva Alianza"/>
        <s v="64346 Miraflores"/>
        <s v="Nuestra Sra Candelaria"/>
        <s v="36173"/>
        <s v="CORAS"/>
        <s v="36207"/>
        <s v="36789"/>
        <s v="Papa Francisco I"/>
        <s v="50492 CORAZON DE JESUS"/>
        <s v="50495"/>
        <s v="50547"/>
        <s v="50550"/>
        <s v="50552 TUPAC AMARU II"/>
        <s v="50553"/>
        <s v="50558"/>
        <s v="50715"/>
        <s v="50719 VIRGEN DEL CARMEN"/>
        <s v="50765"/>
        <s v="50696 YANACANCHA"/>
        <s v="50854"/>
        <s v="50977"/>
        <s v="501344"/>
        <s v="501432 PAPA FRANCISCO I"/>
        <s v="501455 CRISTO REY TTIKARIY"/>
        <s v="Nuestra Señora de la Candelaria"/>
        <s v="Huanccallaco"/>
        <s v="Santiago Antunez de Mayolo"/>
        <s v="Sayri Tupac"/>
        <s v="64155 Bagazan"/>
        <s v="64872-B Santa Martha"/>
        <s v="86809 Huarac-huarán"/>
        <s v="88247 - Capan"/>
        <s v="86548 - Pichiu"/>
        <s v="14975 El Carbon"/>
        <s v="15219 Tinajones"/>
        <s v="15478 Cerro de Leones"/>
        <s v="15383 Totoral Bajo"/>
        <s v="14045 Miraflores Bajo"/>
        <s v="20104 CP-8"/>
        <s v="15304 Guaraguaos.B"/>
        <s v="20123 Cruce de Vega"/>
        <s v="14141 Pueblo Nuevo"/>
        <s v="15220 Miraflores Alto"/>
        <s v="14145 SJB"/>
        <s v="SCJ PUEBLO LIBRE"/>
        <s v="14924 DAC"/>
        <s v="SantaRosa-Palominos"/>
        <s v="601448"/>
        <s v="601148"/>
        <s v="601614"/>
        <s v="601514"/>
        <s v="601331"/>
        <s v="6010230"/>
        <s v="60133"/>
        <s v="Accocunca"/>
        <s v="Andamayo"/>
        <s v="Ccapana"/>
        <s v="Cristo Rey"/>
        <s v="Kumuncancha"/>
        <s v="Llachi"/>
        <s v="Marampaqui"/>
        <s v="Ocongate"/>
        <s v="Pampacancha"/>
        <s v="Sallicancha"/>
        <s v="Yanacancha"/>
        <s v="IE Sagrado Corazón"/>
        <s v="IE Santa Julia"/>
        <s v="IE Santa Rosa"/>
        <s v="IE Totoral Alto"/>
        <s v="Captuy"/>
        <s v="Huarac Huran"/>
        <s v="Huáscar"/>
        <s v="3 DE MAYO 65199"/>
        <s v="64048 Barranca"/>
        <s v="BAGAZAN 64115"/>
        <s v="MAZARAY 64028"/>
        <s v="MIRAFLORES 64346"/>
        <s v="VILLA ESTHER 64836"/>
        <s v="VILLA ESTHER 64837"/>
        <s v="VILLA ESTHER 64838"/>
        <s v="VILLA ESTHER 64839"/>
        <s v="36161"/>
        <s v="36166"/>
        <s v="JORGE CHAVEZ"/>
        <s v="Jorge Chávez"/>
        <s v="JOSE CARLOS MARIATEGUI"/>
        <s v="José Carlos Mariátegui"/>
        <s v="RAMON CASTILLA MARQUESADO"/>
        <s v="Ramón Castilla Marquezado"/>
        <s v="VILLA ESTHER 64830"/>
        <s v="Accocunca Nº 50547"/>
        <s v="Andamayo Nº 50977"/>
        <s v="Ccasapata Nº 501344"/>
        <s v="Ccapana Nº 50495"/>
        <s v="Ccoñamuro Nº 50536"/>
        <s v="Cuyuni Nº 50912"/>
        <s v="Huacatinco Nº 50552"/>
        <s v="Huarahuara Nº 50535"/>
        <s v="Lloqueta Nº 50976"/>
        <s v="Llachi Nº 50715"/>
        <s v="Kumuncancha N° 501432"/>
        <s v="Marampaqui Nº 50553"/>
        <s v="Ocongate – Corazón de Jesús"/>
        <s v="Pacchanta Baja N° 501455"/>
        <s v="Pampacancha Nº 50550"/>
        <s v="Parccocalla N° 50558"/>
        <s v="Sallicancha Nº 50765"/>
        <s v="TINKE N° 50719"/>
        <s v="Umuto N° 50504"/>
        <s v="Yanacancha Nº 50796"/>
        <s v="Patapallpa Alto Nº 50854"/>
        <s v="Parcocalla Sec. Almirante Miguel Grau"/>
        <s v="Ccoya Sec. Los Rittis del Alto Andino"/>
        <s v="Kumuncancha Sec. 501432 Papa Francisco I"/>
      </sharedItems>
    </cacheField>
    <cacheField name="ID2" numFmtId="49">
      <sharedItems>
        <s v="601362 Primaria"/>
        <s v="601364 Primaria"/>
        <s v="601366 Primaria"/>
        <s v="60101022 Primaria"/>
        <s v="60101024 Primaria"/>
        <s v="60101026 Primaria"/>
        <s v="6014482 Primaria"/>
        <s v="6014484 Primaria"/>
        <s v="6014486 Primaria"/>
        <s v="EL MILAGRO2 Secundaria"/>
        <s v="EL MILAGRO4 Secundaria"/>
        <s v="6016142 Primaria"/>
        <s v="6016144 Primaria"/>
        <s v="60101782 Primaria"/>
        <s v="60101786 Primaria"/>
        <s v="6015142 Primaria"/>
        <s v="6015144 Primaria"/>
        <s v="6015146 Primaria"/>
        <s v="6013312 Primaria"/>
        <s v="6013314 Primaria"/>
        <s v="6013316 Primaria"/>
        <s v="6013312 Secundaria"/>
        <s v="6013314 Secundaria"/>
        <s v="6013912 Primaria"/>
        <s v="6013916 Primaria"/>
        <s v="6015702 Primaria"/>
        <s v="6015706 Primaria"/>
        <s v="6016784 Primaria"/>
        <s v="6016786 Primaria"/>
        <s v="6010230 BARBARA D'ACHILLE2 Primaria"/>
        <s v="6010230 BARBARA D'ACHILLE4 Primaria"/>
        <s v="6010230 BARBARA D'ACHILLE6 Primaria"/>
        <s v="6010230 BARBARA D'ACHILLE2 Secundaria"/>
        <s v="6010230 BARBARA D'ACHILLE4 Secundaria"/>
        <s v="601812 Primaria"/>
        <s v="60102312 Primaria"/>
        <s v="60102314 Primaria"/>
        <s v="60102316 Primaria"/>
        <s v="60102312 Secundaria"/>
        <s v="60102314 Secundaria"/>
        <s v="6015114 Primaria"/>
        <s v="6015116 Primaria"/>
        <s v="6015806 Primaria"/>
        <s v="6014442 Primaria"/>
        <s v="6014444 Primaria"/>
        <s v="6014446 Primaria"/>
        <s v="6015712 Primaria"/>
        <s v="6015714 Primaria"/>
        <s v="6015716 Primaria"/>
        <s v="6015632 Primaria"/>
        <s v="6015634 Primaria"/>
        <s v="6015636 Primaria"/>
        <s v="601332 Primaria"/>
        <s v="601334 Primaria"/>
        <s v="601336 Primaria"/>
        <s v="601332 Secundaria"/>
        <s v="601334 Secundaria"/>
        <s v="14924 DANIEL ALCIDES CARRION6 Primaria"/>
        <s v="201046 Primaria"/>
        <s v="149756 Primaria"/>
        <s v="153046 Primaria"/>
        <s v="SAGRADO CORAZON DE JESUS6 Primaria"/>
        <s v="201236 Primaria"/>
        <s v="14144 SANTA ROSA6 Primaria"/>
        <s v="152196 Primaria"/>
        <s v="141416 Primaria"/>
        <s v="154786 Primaria"/>
        <s v="152206 Primaria"/>
        <s v="140456 Primaria"/>
        <s v="14145 SANTA JULIA BILLIART6 Primaria"/>
        <s v="14924 DANIEL ALCIDES CARRION4 Primaria"/>
        <s v="201044 Primaria"/>
        <s v="149754 Primaria"/>
        <s v="153044 Primaria"/>
        <s v="SAGRADO CORAZON DE JESUS4 Primaria"/>
        <s v="14144 SANTA ROSA4 Primaria"/>
        <s v="148944 Primaria"/>
        <s v="153834 Primaria"/>
        <s v="141414 Primaria"/>
        <s v="154784 Primaria"/>
        <s v="140454 Primaria"/>
        <s v="14145 SANTA JULIA BILLIART4 Primaria"/>
        <s v="868092 Primaria"/>
        <s v="868094 Primaria"/>
        <s v="868096 Primaria"/>
        <s v="86548 JOSE MARIA VELAZ2 Primaria"/>
        <s v="86548 JOSE MARIA VELAZ4 Primaria"/>
        <s v="86548 JOSE MARIA VELAZ6 Primaria"/>
        <s v="86548 JOSE MARIA VELAZ2 Secundaria"/>
        <s v="86548 JOSE MARIA VELAZ4 Secundaria"/>
        <s v="883272 Primaria"/>
        <s v="883274 Primaria"/>
        <s v="883276 Primaria"/>
        <s v="88247 SAN ENRIQUE2 Primaria"/>
        <s v="88247 SAN ENRIQUE4 Primaria"/>
        <s v="88247 SAN ENRIQUE6 Primaria"/>
        <s v="86769 ABRAHAM VALDELOMAR2 Primaria"/>
        <s v="86769 ABRAHAM VALDELOMAR4 Primaria"/>
        <s v="86769 ABRAHAM VALDELOMAR6 Primaria"/>
        <s v="86769 ABRAHAM VALDELOMAR2 Secundaria"/>
        <s v="86769 ABRAHAM VALDELOMAR4 Secundaria"/>
        <s v="640482 Primaria"/>
        <s v="640484 Primaria"/>
        <s v="640486 Primaria"/>
        <s v="641152 Primaria"/>
        <s v="641154 Primaria"/>
        <s v="641156 Primaria"/>
        <s v="64508-B2 Primaria"/>
        <s v="64508-B4 Primaria"/>
        <s v="64508-B6 Primaria"/>
        <s v="64873-B2 Primaria"/>
        <s v="64873-B4 Primaria"/>
        <s v="64873-B6 Primaria"/>
        <s v="64545-B2 Primaria"/>
        <s v="64545-B4 Primaria"/>
        <s v="64545-B6 Primaria"/>
        <s v="649492 Primaria"/>
        <s v="649496 Primaria"/>
        <s v="64871-B2 Primaria"/>
        <s v="64871-B4 Primaria"/>
        <s v="64871-B6 Primaria"/>
        <s v="640282 Primaria"/>
        <s v="640284 Primaria"/>
        <s v="640286 Primaria"/>
        <s v="648292 Primaria"/>
        <s v="648294 Primaria"/>
        <s v="648296 Primaria"/>
        <s v="651992 Primaria"/>
        <s v="651994 Primaria"/>
        <s v="651996 Primaria"/>
        <s v="649962 Primaria"/>
        <s v="649964 Primaria"/>
        <s v="649966 Primaria"/>
        <s v="646412 Primaria"/>
        <s v="646414 Primaria"/>
        <s v="643462 Primaria"/>
        <s v="643464 Primaria"/>
        <s v="643466 Primaria"/>
        <s v="NUESTRA SEÑORA DE LA CANDELARIA2 Secundaria"/>
        <s v="361732 Primaria"/>
        <s v="361734 Primaria"/>
        <s v="361736 Primaria"/>
        <s v="CORAS2 Secundaria"/>
        <s v="CORAS4 Secundaria"/>
        <s v="362072 Primaria"/>
        <s v="362074 Primaria"/>
        <s v="362076 Primaria"/>
        <s v="36789 NUESTRA SEÑORA DEL CARMEN2 Primaria"/>
        <s v="36789 NUESTRA SEÑORA DEL CARMEN4 Primaria"/>
        <s v="36789 NUESTRA SEÑORA DEL CARMEN6 Primaria"/>
        <s v="NUESTRA SEÑORA DE LA CANDELARIA4 Secundaria"/>
        <s v="501432 PAPA FRANCISCO I2 Secundaria"/>
        <s v="501432 PAPA FRANCISCO I4 Secundaria"/>
        <s v="50492 CORAZON DE JESUS2 Primaria"/>
        <s v="50492 CORAZON DE JESUS4 Primaria"/>
        <s v="50492 CORAZON DE JESUS6 Primaria"/>
        <s v="504952 Primaria"/>
        <s v="504954 Primaria"/>
        <s v="504956 Primaria"/>
        <s v="505472 Primaria"/>
        <s v="505474 Primaria"/>
        <s v="505476 Primaria"/>
        <s v="505502 Primaria"/>
        <s v="505504 Primaria"/>
        <s v="505506 Primaria"/>
        <s v="50552 TUPAC AMARU II2 Primaria"/>
        <s v="50552 TUPAC AMARU II4 Primaria"/>
        <s v="50552 TUPAC AMARU II6 Primaria"/>
        <s v="505532 Primaria"/>
        <s v="505534 Primaria"/>
        <s v="505536 Primaria"/>
        <s v="505584 Primaria"/>
        <s v="505586 Primaria"/>
        <s v="507152 Primaria"/>
        <s v="507154 Primaria"/>
        <s v="507156 Primaria"/>
        <s v="50719 VIRGEN DEL CARMEN2 Primaria"/>
        <s v="50719 VIRGEN DEL CARMEN4 Primaria"/>
        <s v="50719 VIRGEN DEL CARMEN6 Primaria"/>
        <s v="507652 Primaria"/>
        <s v="507654 Primaria"/>
        <s v="507656 Primaria"/>
        <s v="50696 YANACANCHA2 Primaria"/>
        <s v="50696 YANACANCHA4 Primaria"/>
        <s v="50696 YANACANCHA6 Primaria"/>
        <s v="508542 Primaria"/>
        <s v="508544 Primaria"/>
        <s v="508546 Primaria"/>
        <s v="509772 Primaria"/>
        <s v="509774 Primaria"/>
        <s v="509776 Primaria"/>
        <s v="5013444 Primaria"/>
        <s v="5013446 Primaria"/>
        <s v="501432 PAPA FRANCISCO I2 Primaria"/>
        <s v="501432 PAPA FRANCISCO I4 Primaria"/>
        <s v="501432 PAPA FRANCISCO I6 Primaria"/>
        <s v="501455 CRISTO REY TTIKARIY2 Primaria"/>
        <s v="501455 CRISTO REY TTIKARIY4 Primaria"/>
        <s v="501455 CRISTO REY TTIKARIY6 Primaria"/>
        <s v="36163 JAVIER HERAUD PEREZ4 Primaria"/>
        <s v="36163 JAVIER HERAUD PEREZ2 Primaria"/>
        <s v="36163 JAVIER HERAUD PEREZ6 Primaria"/>
        <s v="SANTIAGO ANTUNEZ DE MAYOLO2 Primaria"/>
        <s v="SANTIAGO ANTUNEZ DE MAYOLO4 Primaria"/>
        <s v="SANTIAGO ANTUNEZ DE MAYOLO6 Primaria"/>
        <s v="SAYRI TUPAC2 Primaria"/>
        <s v="SAYRI TUPAC6 Primaria"/>
        <s v="641552 Primaria"/>
        <s v="646416 Primaria"/>
        <s v="149752 Primaria"/>
        <s v="152192 Primaria"/>
        <s v="152194 Primaria"/>
        <s v="154782 Primaria"/>
        <s v="153832 Primaria"/>
        <s v="153836 Primaria"/>
        <s v="140452 Primaria"/>
        <s v="201042 Primaria"/>
        <s v="153042 Primaria"/>
        <s v="201232 Primaria"/>
        <s v="152202 Primaria"/>
        <s v="152204 Primaria"/>
        <s v="14145 SANTA JULIA BILLIART2 Primaria"/>
        <s v="SAGRADO CORAZON DE JESUS2 Primaria"/>
        <s v="14924 DANIEL ALCIDES CARRION2 Primaria"/>
        <s v="14144 SANTA ROSA2 Primaria"/>
        <s v="6016146 Primaria"/>
        <s v="14144 SANTA ROSA2 Secundaria"/>
        <s v="14144 SANTA ROSA4 Secundaria"/>
        <s v="148942 Primaria"/>
        <s v="148946 Primaria"/>
        <s v="88225 CAPTUY2 Primaria"/>
        <s v="88225 CAPTUY4 Primaria"/>
        <s v="88225 CAPTUY6 Primaria"/>
        <s v="36161 SAN VICENTE DE PAUL2 Primaria"/>
        <s v="36161 SAN VICENTE DE PAUL4 Primaria"/>
        <s v="36161 SAN VICENTE DE PAUL6 Primaria"/>
        <s v="36166 HEROES 29 DE AGOSTO2 Primaria"/>
        <s v="36166 HEROES 29 DE AGOSTO4 Primaria"/>
        <s v="36166 HEROES 29 DE AGOSTO6 Primaria"/>
        <s v="JORGE CHAVEZ2 Secundaria"/>
        <s v="JORGE CHAVEZ4 Secundaria"/>
        <s v="JOSE CARLOS MARIATEGUI2 Secundaria"/>
        <s v="JOSE CARLOS MARIATEGUI4 Secundaria"/>
        <s v="RAMON CASTILLA MARQUEZADO2 Secundaria"/>
        <s v="RAMON CASTILLA MARQUEZADO4 Secundaria"/>
        <s v="361731 Primaria"/>
        <s v="362071 Primaria"/>
        <s v="601331 Primaria"/>
        <s v="6013311 Primaria"/>
        <s v="6014481 Primaria"/>
        <s v="6010230 BARBARA D'ACHILLE1 Primaria"/>
        <s v="SAGRADO CORAZON DE JESUS1 Primaria"/>
        <s v="14145 SANTA JULIA BILLIART1 Primaria"/>
        <s v="14144 SANTA ROSA1 Primaria"/>
        <s v="148941 Primaria"/>
        <s v="88225 CAPTUY1 Primaria"/>
        <s v="883271 Primaria"/>
        <s v="868091 Primaria"/>
        <s v="86769 ABRAHAM VALDELOMAR1 Primaria"/>
        <s v="86548 JOSE MARIA VELAZ1 Primaria"/>
        <s v="641151 Primaria"/>
        <s v="640281 Primaria"/>
        <s v="648291 Primaria"/>
        <s v="36161 SAN VICENTE DE PAUL1 Primaria"/>
        <s v="36166 HEROES 29 DE AGOSTO1 Primaria"/>
        <s v="5013442 Primaria"/>
        <s v="505362 Primaria"/>
        <s v="509122 Primaria"/>
        <s v="505352 Primaria"/>
        <s v="509762 Primaria"/>
        <s v="505582 Primaria"/>
        <s v="505042 Primaria"/>
        <s v="507962 Primaria"/>
        <s v="505364 Primaria"/>
        <s v="509124 Primaria"/>
        <s v="505354 Primaria"/>
        <s v="509764 Primaria"/>
        <s v="505044 Primaria"/>
        <s v="507964 Primaria"/>
        <s v="505366 Primaria"/>
        <s v="509126 Primaria"/>
        <s v="505356 Primaria"/>
        <s v="509766 Primaria"/>
        <s v="507966 Primaria"/>
        <s v="ALMIRANTE MIGUEL GRAU SEMINARIO2 Secundaria"/>
        <s v="1457365 LOS RIT'S DEL ALTO ANDINO2 Secundaria"/>
        <s v="ALMIRANTE MIGUEL GRAU SEMINARIO5 Secundaria"/>
        <s v="1457365 LOS RIT'S DEL ALTO ANDINO5 Secundaria"/>
        <s v="141412 Primaria"/>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618" sheet="DATA"/>
  </cacheSource>
  <cacheFields>
    <cacheField name="Estudiant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15.0"/>
        <n v="2516.0"/>
        <n v="2517.0"/>
        <n v="2518.0"/>
        <n v="2519.0"/>
        <n v="2520.0"/>
        <n v="2521.0"/>
        <n v="2522.0"/>
        <n v="2523.0"/>
        <n v="2524.0"/>
        <n v="2525.0"/>
        <n v="2526.0"/>
        <n v="2527.0"/>
        <n v="2528.0"/>
        <n v="2529.0"/>
        <n v="2530.0"/>
        <n v="2531.0"/>
        <n v="2532.0"/>
        <n v="2533.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3.0"/>
        <n v="3024.0"/>
        <n v="3025.0"/>
        <n v="3026.0"/>
        <n v="3027.0"/>
        <n v="3028.0"/>
        <n v="3029.0"/>
        <n v="3030.0"/>
        <n v="3644.0"/>
        <n v="3645.0"/>
        <n v="3646.0"/>
        <n v="3647.0"/>
        <n v="3648.0"/>
        <n v="3649.0"/>
        <n v="3650.0"/>
        <n v="3651.0"/>
        <n v="3652.0"/>
        <n v="3653.0"/>
        <n v="3654.0"/>
        <n v="3655.0"/>
        <n v="3656.0"/>
        <n v="3657.0"/>
        <n v="3658.0"/>
        <n v="3659.0"/>
        <n v="3660.0"/>
        <n v="3661.0"/>
        <n v="3662.0"/>
        <n v="3669.0"/>
        <n v="3670.0"/>
        <n v="3671.0"/>
        <n v="3672.0"/>
        <n v="3673.0"/>
        <n v="3674.0"/>
        <n v="3675.0"/>
        <n v="3676.0"/>
        <n v="3677.0"/>
        <n v="3678.0"/>
        <n v="3679.0"/>
        <n v="3680.0"/>
        <n v="3681.0"/>
        <n v="3682.0"/>
        <n v="3683.0"/>
        <n v="3684.0"/>
        <n v="3685.0"/>
        <n v="3689.0"/>
        <n v="3690.0"/>
        <n v="3691.0"/>
        <n v="3692.0"/>
        <n v="3693.0"/>
        <n v="3694.0"/>
        <n v="3695.0"/>
        <n v="3696.0"/>
        <n v="3697.0"/>
        <n v="3698.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4316.0"/>
        <n v="4317.0"/>
        <n v="4318.0"/>
        <n v="4319.0"/>
        <n v="4320.0"/>
        <n v="4321.0"/>
        <n v="4322.0"/>
        <n v="4323.0"/>
        <n v="4324.0"/>
        <n v="4325.0"/>
        <n v="4326.0"/>
        <n v="4329.0"/>
        <n v="4330.0"/>
        <n v="4331.0"/>
        <n v="4332.0"/>
        <n v="4333.0"/>
        <n v="4334.0"/>
        <n v="4335.0"/>
        <n v="4336.0"/>
        <n v="4337.0"/>
        <n v="4338.0"/>
        <n v="433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9.0"/>
        <n v="4390.0"/>
        <n v="4391.0"/>
        <n v="4392.0"/>
        <n v="4584.0"/>
        <n v="4585.0"/>
        <n v="4586.0"/>
        <n v="4587.0"/>
        <n v="4588.0"/>
        <n v="4589.0"/>
        <n v="4590.0"/>
        <n v="4591.0"/>
        <n v="4592.0"/>
        <n v="4593.0"/>
        <n v="4594.0"/>
        <n v="4596.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2251.0"/>
        <n v="2252.0"/>
        <n v="2253.0"/>
        <n v="2254.0"/>
        <n v="2255.0"/>
        <n v="2256.0"/>
        <n v="2257.0"/>
        <n v="2258.0"/>
        <n v="2259.0"/>
        <n v="2260.0"/>
        <n v="2261.0"/>
        <n v="2262.0"/>
        <n v="2263.0"/>
        <n v="2264.0"/>
        <n v="2265.0"/>
        <n v="2266.0"/>
        <n v="2267.0"/>
        <n v="2268.0"/>
        <n v="2402.0"/>
        <n v="2403.0"/>
        <n v="2404.0"/>
        <n v="2405.0"/>
        <n v="2406.0"/>
        <n v="2407.0"/>
        <n v="2408.0"/>
        <n v="2409.0"/>
        <n v="2410.0"/>
        <n v="2411.0"/>
        <n v="2412.0"/>
        <n v="2413.0"/>
        <n v="2414.0"/>
        <n v="2415.0"/>
        <n v="2416.0"/>
        <n v="2417.0"/>
        <n v="2418.0"/>
        <n v="2419.0"/>
        <n v="2420.0"/>
        <n v="2421.0"/>
        <n v="2509.0"/>
        <n v="2510.0"/>
        <n v="2511.0"/>
        <n v="2512.0"/>
        <n v="2513.0"/>
        <n v="2514.0"/>
        <n v="2534.0"/>
        <n v="2535.0"/>
        <n v="2536.0"/>
        <n v="2537.0"/>
        <n v="2538.0"/>
        <n v="2636.0"/>
        <n v="2637.0"/>
        <n v="2638.0"/>
        <n v="2639.0"/>
        <n v="2640.0"/>
        <n v="2641.0"/>
        <n v="2642.0"/>
        <n v="2643.0"/>
        <n v="2645.0"/>
        <n v="2646.0"/>
        <n v="2647.0"/>
        <n v="2697.0"/>
        <n v="2698.0"/>
        <n v="2699.0"/>
        <n v="2700.0"/>
        <n v="2701.0"/>
        <n v="2702.0"/>
        <n v="2703.0"/>
        <n v="2704.0"/>
        <n v="2705.0"/>
        <n v="2706.0"/>
        <n v="2707.0"/>
        <n v="2708.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3022.0"/>
        <n v="3031.0"/>
        <n v="3032.0"/>
        <n v="3639.0"/>
        <n v="3640.0"/>
        <n v="3641.0"/>
        <n v="3642.0"/>
        <n v="3643.0"/>
        <n v="3663.0"/>
        <n v="3664.0"/>
        <n v="3665.0"/>
        <n v="3666.0"/>
        <n v="3667.0"/>
        <n v="3668.0"/>
        <n v="3686.0"/>
        <n v="3687.0"/>
        <n v="3688.0"/>
        <n v="3699.0"/>
        <n v="3700.0"/>
        <n v="3733.0"/>
        <n v="3734.0"/>
        <n v="3735.0"/>
        <n v="3736.0"/>
        <n v="3737.0"/>
        <n v="3738.0"/>
        <n v="3739.0"/>
        <n v="3740.0"/>
        <n v="3741.0"/>
        <n v="3742.0"/>
        <n v="4327.0"/>
        <n v="4328.0"/>
        <n v="4340.0"/>
        <n v="4341.0"/>
        <n v="4342.0"/>
        <n v="4343.0"/>
        <n v="4344.0"/>
        <n v="4345.0"/>
        <n v="4346.0"/>
        <n v="4347.0"/>
        <n v="4348.0"/>
        <n v="4349.0"/>
        <n v="4388.0"/>
        <n v="4393.0"/>
        <n v="4394.0"/>
        <n v="4582.0"/>
        <n v="4583.0"/>
        <n v="4597.0"/>
        <n v="4598.0"/>
        <n v="4599.0"/>
        <n v="4600.0"/>
        <n v="4601.0"/>
        <n v="4602.0"/>
        <n v="4603.0"/>
        <n v="4604.0"/>
        <n v="4605.0"/>
        <n v="4606.0"/>
        <n v="4607.0"/>
        <n v="4639.0"/>
        <n v="4640.0"/>
        <n v="4641.0"/>
        <n v="4642.0"/>
        <n v="4643.0"/>
        <n v="4644.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sharedItems>
    </cacheField>
    <cacheField name="Región" numFmtId="49">
      <sharedItems>
        <s v="47. Loreto"/>
        <s v="48. Piura"/>
        <s v="54. Ancash"/>
        <s v="72. Ucayali"/>
        <s v="79. Huancavelica"/>
        <s v="44. Cusco"/>
      </sharedItems>
    </cacheField>
    <cacheField name="Nivel" numFmtId="49">
      <sharedItems>
        <s v="Primaria"/>
        <s v="Secundaria"/>
      </sharedItems>
    </cacheField>
    <cacheField name="Grado" numFmtId="0">
      <sharedItems>
        <s v="2 Primaria"/>
        <s v="4 Primaria"/>
        <s v="6 Primaria"/>
        <s v="2 Secundaria"/>
        <s v="4 Secundaria"/>
        <s v="1 Primaria"/>
        <s v="5 Secundaria"/>
      </sharedItems>
    </cacheField>
    <cacheField name="Institución Educativa" numFmtId="49">
      <sharedItems>
        <s v="60136"/>
        <s v="6010102"/>
        <s v="601448"/>
        <s v="EL MILAGRO"/>
        <s v="601614"/>
        <s v="6010178"/>
        <s v="601514"/>
        <s v="601331"/>
        <s v="601391"/>
        <s v="601570"/>
        <s v="601678"/>
        <s v="6010230 BARBARA D'ACHILLE"/>
        <s v="60181"/>
        <s v="6010231"/>
        <s v="601511"/>
        <s v="601580"/>
        <s v="601444"/>
        <s v="601571"/>
        <s v="601563"/>
        <s v="60133"/>
        <s v="14924 DANIEL ALCIDES CARRION"/>
        <s v="20104"/>
        <s v="14975"/>
        <s v="15304"/>
        <s v="SAGRADO CORAZON DE JESUS"/>
        <s v="20123"/>
        <s v="14144 SANTA ROSA"/>
        <s v="15219"/>
        <s v="14141"/>
        <s v="15478"/>
        <s v="15220"/>
        <s v="14045"/>
        <s v="14145 SANTA JULIA BILLIART"/>
        <s v="14894"/>
        <s v="15383"/>
        <s v="86809"/>
        <s v="86548 JOSE MARIA VELAZ"/>
        <s v="88327"/>
        <s v="88247 SAN ENRIQUE"/>
        <s v="86769 ABRAHAM VALDELOMAR"/>
        <s v="64048"/>
        <s v="64115"/>
        <s v="64508-B"/>
        <s v="64873-B"/>
        <s v="64545-B"/>
        <s v="64949"/>
        <s v="64871-B"/>
        <s v="64028"/>
        <s v="64829"/>
        <s v="65199"/>
        <s v="64996"/>
        <s v="64641"/>
        <s v="64346"/>
        <s v="NUESTRA SEÑORA DE LA CANDELARIA"/>
        <s v="36173"/>
        <s v="CORAS"/>
        <s v="36207"/>
        <s v="36789 NUESTRA SEÑORA DEL CARMEN"/>
        <s v="501432 PAPA FRANCISCO I"/>
        <s v="50492 CORAZON DE JESUS"/>
        <s v="50495"/>
        <s v="50547"/>
        <s v="50550"/>
        <s v="50552 TUPAC AMARU II"/>
        <s v="50553"/>
        <s v="50558"/>
        <s v="50715"/>
        <s v="50719 VIRGEN DEL CARMEN"/>
        <s v="50765"/>
        <s v="50696 YANACANCHA"/>
        <s v="50854"/>
        <s v="50977"/>
        <s v="501344"/>
        <s v="501455 CRISTO REY TTIKARIY"/>
        <s v="36163 JAVIER HERAUD PEREZ"/>
        <s v="SANTIAGO ANTUNEZ DE MAYOLO"/>
        <s v="SAYRI TUPAC"/>
        <s v="64155"/>
        <s v="88225 CAPTUY"/>
        <s v="36161 SAN VICENTE DE PAUL"/>
        <s v="36166 HEROES 29 DE AGOSTO"/>
        <s v="JORGE CHAVEZ"/>
        <s v="JOSE CARLOS MARIATEGUI"/>
        <s v="RAMON CASTILLA MARQUEZADO"/>
        <s v="50536"/>
        <s v="50912"/>
        <s v="50535"/>
        <s v="50976"/>
        <s v="50504"/>
        <s v="50796"/>
        <s v="ALMIRANTE MIGUEL GRAU SEMINARIO"/>
        <s v="1457365 LOS RIT'S DEL ALTO ANDINO"/>
      </sharedItems>
    </cacheField>
    <cacheField name="Ambito" numFmtId="49">
      <sharedItems>
        <s v="Rural"/>
      </sharedItems>
    </cacheField>
    <cacheField name="Sexo" numFmtId="49">
      <sharedItems>
        <s v="Femenino"/>
        <s v="Masculino"/>
      </sharedItems>
    </cacheField>
    <cacheField name="R Matemática" numFmtId="49">
      <sharedItems>
        <s v="Inicio"/>
        <s v="Proceso"/>
        <s v="Satisfactorio"/>
      </sharedItems>
    </cacheField>
    <cacheField name="Año" numFmtId="0">
      <sharedItems containsSemiMixedTypes="0" containsString="0" containsNumber="1" containsInteger="1">
        <n v="2024.0"/>
        <n v="2023.0"/>
        <n v="2022.0"/>
      </sharedItems>
    </cacheField>
    <cacheField name="ANALISIS" numFmtId="49">
      <sharedItems>
        <s v="SOLO 2024"/>
        <s v="LOS 3 AÑOS"/>
        <s v="2023 Y 2024"/>
        <s v="SOLO 2022 Y 2024"/>
        <s v="SOLO 2023"/>
        <s v="SOLO LINEA BASE"/>
      </sharedItems>
    </cacheField>
    <cacheField name="PADD-R" numFmtId="0">
      <sharedItems containsBlank="1">
        <m/>
        <s v="PADD 2023 Y 2024"/>
        <s v="SOLO 2023"/>
        <s v="NO PARTICIPÓ"/>
        <s v="SOLO 2024"/>
      </sharedItems>
    </cacheField>
    <cacheField name="ID. IE" numFmtId="49">
      <sharedItems>
        <s v="60136 MORALILLO"/>
        <s v="60146 MORALILLO"/>
        <s v="6010102 VILLA BUEN PASTOR"/>
        <s v="601448 NUEVO MILAGRO"/>
        <s v="EL MILAGRO"/>
        <s v="601614 NUEVA ESPERANZA"/>
        <s v="6010178 BELEN DE JUDA"/>
        <s v="601514 EL DORADO"/>
        <s v="601331 TRECE DE FEBRERO"/>
        <s v="601391 PAUJIL II ZONA"/>
        <s v="601570 ANGEL CARDENAS I"/>
        <s v="601678 ANGEL CARDENAS II"/>
        <s v="6010230 NUEVO HORIZONTE"/>
        <s v="60181 SAN PEDRO DE PINTUYACU"/>
        <s v="6010231 EX PETROLEROS I"/>
        <s v="601511 10 DE OCTUBRE I"/>
        <s v="601580 10 DE OCTUBRE II"/>
        <s v="601444 TRIUNFO"/>
        <s v="601571 HUAMBE"/>
        <s v="601563 LA HABANA"/>
        <s v="60133 CAHUIDE"/>
        <s v="14924 DANIEL ALCIDES CARRION"/>
        <s v="20104"/>
        <s v="14975"/>
        <s v="15304"/>
        <s v="SAGRADO CORAZON DE JESUS"/>
        <s v="20123"/>
        <s v="14144 SANTA ROSA"/>
        <s v="15219"/>
        <s v="14141"/>
        <s v="15478"/>
        <s v="15220"/>
        <s v="14045"/>
        <s v="14145 SANTA JULIA BILLIART"/>
        <s v="14894"/>
        <s v="15383"/>
        <s v="Huarachuran"/>
        <s v="Pichiu"/>
        <s v="Carap"/>
        <s v="Capan"/>
        <s v="Huascar"/>
        <s v="64048 Nuevo Barranca"/>
        <s v="64115 Nuevo Bagazán"/>
        <s v="64508-B Santa Isabel"/>
        <s v="64873-B Santa Elisa"/>
        <s v="64545-B Puerto Consuelo"/>
        <s v="64949 Isla Primavera"/>
        <s v="64871-B Santa Martha"/>
        <s v="64028 Mazaray"/>
        <s v="64829 Villa Esther"/>
        <s v="65199 Tres de Mayo"/>
        <s v="64996 Libertad"/>
        <s v="64641 Nueva Alianza"/>
        <s v="64346 Miraflores"/>
        <s v="Nuestra Sra Candelaria"/>
        <s v="36173"/>
        <s v="CORAS"/>
        <s v="36207"/>
        <s v="36789"/>
        <s v="Papa Francisco I"/>
        <s v="50492 CORAZON DE JESUS"/>
        <s v="50495"/>
        <s v="50547"/>
        <s v="50550"/>
        <s v="50552 TUPAC AMARU II"/>
        <s v="50553"/>
        <s v="50558"/>
        <s v="50715"/>
        <s v="50719 VIRGEN DEL CARMEN"/>
        <s v="50765"/>
        <s v="50696 YANACANCHA"/>
        <s v="50854"/>
        <s v="50977"/>
        <s v="501344"/>
        <s v="501432 PAPA FRANCISCO I"/>
        <s v="501455 CRISTO REY TTIKARIY"/>
        <s v="Nuestra Señora de la Candelaria"/>
        <s v="Huanccallaco"/>
        <s v="Santiago Antunez de Mayolo"/>
        <s v="Sayri Tupac"/>
        <s v="64155 Bagazan"/>
        <s v="64872-B Santa Martha"/>
        <s v="86809 Huarac-huarán"/>
        <s v="88247 - Capan"/>
        <s v="86548 - Pichiu"/>
        <s v="14975 El Carbon"/>
        <s v="15219 Tinajones"/>
        <s v="15478 Cerro de Leones"/>
        <s v="15383 Totoral Bajo"/>
        <s v="14045 Miraflores Bajo"/>
        <s v="20104 CP-8"/>
        <s v="15304 Guaraguaos.B"/>
        <s v="20123 Cruce de Vega"/>
        <s v="14141 Pueblo Nuevo"/>
        <s v="15220 Miraflores Alto"/>
        <s v="14145 SJB"/>
        <s v="SCJ PUEBLO LIBRE"/>
        <s v="14924 DAC"/>
        <s v="SantaRosa-Palominos"/>
        <s v="601448"/>
        <s v="601148"/>
        <s v="601614"/>
        <s v="601514"/>
        <s v="601331"/>
        <s v="6010230"/>
        <s v="60133"/>
        <s v="Accocunca"/>
        <s v="Andamayo"/>
        <s v="Ccapana"/>
        <s v="Cristo Rey"/>
        <s v="Kumuncancha"/>
        <s v="Llachi"/>
        <s v="Marampaqui"/>
        <s v="Ocongate"/>
        <s v="Pampacancha"/>
        <s v="Sallicancha"/>
        <s v="Yanacancha"/>
        <s v="IE Sagrado Corazón"/>
        <s v="IE Santa Julia"/>
        <s v="IE Santa Rosa"/>
        <s v="IE Totoral Alto"/>
        <s v="Captuy"/>
        <s v="Huarac Huran"/>
        <s v="Huáscar"/>
        <s v="3 DE MAYO 65199"/>
        <s v="64048 Barranca"/>
        <s v="BAGAZAN 64115"/>
        <s v="MAZARAY 64028"/>
        <s v="MIRAFLORES 64346"/>
        <s v="VILLA ESTHER 64836"/>
        <s v="VILLA ESTHER 64837"/>
        <s v="VILLA ESTHER 64838"/>
        <s v="VILLA ESTHER 64839"/>
        <s v="36161"/>
        <s v="36166"/>
        <s v="JORGE CHAVEZ"/>
        <s v="Jorge Chávez"/>
        <s v="JOSE CARLOS MARIATEGUI"/>
        <s v="José Carlos Mariátegui"/>
        <s v="RAMON CASTILLA MARQUESADO"/>
        <s v="Ramón Castilla Marquezado"/>
        <s v="VILLA ESTHER 64830"/>
        <s v="Accocunca Nº 50547"/>
        <s v="Andamayo Nº 50977"/>
        <s v="Ccasapata Nº 501344"/>
        <s v="Ccapana Nº 50495"/>
        <s v="Ccoñamuro Nº 50536"/>
        <s v="Cuyuni Nº 50912"/>
        <s v="Huacatinco Nº 50552"/>
        <s v="Huarahuara Nº 50535"/>
        <s v="Lloqueta Nº 50976"/>
        <s v="Llachi Nº 50715"/>
        <s v="Kumuncancha N° 501432"/>
        <s v="Marampaqui Nº 50553"/>
        <s v="Ocongate – Corazón de Jesús"/>
        <s v="Pacchanta Baja N° 501455"/>
        <s v="Pampacancha Nº 50550"/>
        <s v="Parccocalla N° 50558"/>
        <s v="Sallicancha Nº 50765"/>
        <s v="TINKE N° 50719"/>
        <s v="Umuto N° 50504"/>
        <s v="Yanacancha Nº 50796"/>
        <s v="Patapallpa Alto Nº 50854"/>
        <s v="Parcocalla Sec. Almirante Miguel Grau"/>
        <s v="Ccoya Sec. Los Rittis del Alto Andino"/>
        <s v="Kumuncancha Sec. 501432 Papa Francisco I"/>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680" sheet="DATA"/>
  </cacheSource>
  <cacheFields>
    <cacheField name="Estudiant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15.0"/>
        <n v="2516.0"/>
        <n v="2517.0"/>
        <n v="2518.0"/>
        <n v="2519.0"/>
        <n v="2520.0"/>
        <n v="2521.0"/>
        <n v="2522.0"/>
        <n v="2523.0"/>
        <n v="2524.0"/>
        <n v="2525.0"/>
        <n v="2526.0"/>
        <n v="2527.0"/>
        <n v="2528.0"/>
        <n v="2529.0"/>
        <n v="2530.0"/>
        <n v="2531.0"/>
        <n v="2532.0"/>
        <n v="2533.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3.0"/>
        <n v="3024.0"/>
        <n v="3025.0"/>
        <n v="3026.0"/>
        <n v="3027.0"/>
        <n v="3028.0"/>
        <n v="3029.0"/>
        <n v="3030.0"/>
        <n v="3644.0"/>
        <n v="3645.0"/>
        <n v="3646.0"/>
        <n v="3647.0"/>
        <n v="3648.0"/>
        <n v="3649.0"/>
        <n v="3650.0"/>
        <n v="3651.0"/>
        <n v="3652.0"/>
        <n v="3653.0"/>
        <n v="3654.0"/>
        <n v="3655.0"/>
        <n v="3656.0"/>
        <n v="3657.0"/>
        <n v="3658.0"/>
        <n v="3659.0"/>
        <n v="3660.0"/>
        <n v="3661.0"/>
        <n v="3662.0"/>
        <n v="3669.0"/>
        <n v="3670.0"/>
        <n v="3671.0"/>
        <n v="3672.0"/>
        <n v="3673.0"/>
        <n v="3674.0"/>
        <n v="3675.0"/>
        <n v="3676.0"/>
        <n v="3677.0"/>
        <n v="3678.0"/>
        <n v="3679.0"/>
        <n v="3680.0"/>
        <n v="3681.0"/>
        <n v="3682.0"/>
        <n v="3683.0"/>
        <n v="3684.0"/>
        <n v="3685.0"/>
        <n v="3689.0"/>
        <n v="3690.0"/>
        <n v="3691.0"/>
        <n v="3692.0"/>
        <n v="3693.0"/>
        <n v="3694.0"/>
        <n v="3695.0"/>
        <n v="3696.0"/>
        <n v="3697.0"/>
        <n v="3698.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4316.0"/>
        <n v="4317.0"/>
        <n v="4318.0"/>
        <n v="4319.0"/>
        <n v="4320.0"/>
        <n v="4321.0"/>
        <n v="4322.0"/>
        <n v="4323.0"/>
        <n v="4324.0"/>
        <n v="4325.0"/>
        <n v="4326.0"/>
        <n v="4329.0"/>
        <n v="4330.0"/>
        <n v="4331.0"/>
        <n v="4332.0"/>
        <n v="4333.0"/>
        <n v="4334.0"/>
        <n v="4335.0"/>
        <n v="4336.0"/>
        <n v="4337.0"/>
        <n v="4338.0"/>
        <n v="433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9.0"/>
        <n v="4390.0"/>
        <n v="4391.0"/>
        <n v="4392.0"/>
        <n v="4584.0"/>
        <n v="4585.0"/>
        <n v="4586.0"/>
        <n v="4587.0"/>
        <n v="4588.0"/>
        <n v="4589.0"/>
        <n v="4590.0"/>
        <n v="4591.0"/>
        <n v="4592.0"/>
        <n v="4593.0"/>
        <n v="4594.0"/>
        <n v="4596.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sharedItems>
    </cacheField>
    <cacheField name="Región" numFmtId="49">
      <sharedItems>
        <s v="47. Loreto"/>
        <s v="48. Piura"/>
        <s v="54. Ancash"/>
        <s v="72. Ucayali"/>
        <s v="79. Huancavelica"/>
        <s v="44. Cusco"/>
      </sharedItems>
    </cacheField>
    <cacheField name="Nivel" numFmtId="49">
      <sharedItems>
        <s v="Primaria"/>
        <s v="Secundaria"/>
      </sharedItems>
    </cacheField>
    <cacheField name="Grado" numFmtId="0">
      <sharedItems>
        <s v="2 Primaria"/>
        <s v="4 Primaria"/>
        <s v="6 Primaria"/>
        <s v="2 Secundaria"/>
        <s v="4 Secundaria"/>
      </sharedItems>
    </cacheField>
    <cacheField name="Institución Educativa" numFmtId="49">
      <sharedItems>
        <s v="60136"/>
        <s v="6010102"/>
        <s v="601448"/>
        <s v="EL MILAGRO"/>
        <s v="601614"/>
        <s v="6010178"/>
        <s v="601514"/>
        <s v="601331"/>
        <s v="601391"/>
        <s v="601570"/>
        <s v="601678"/>
        <s v="6010230 BARBARA D'ACHILLE"/>
        <s v="60181"/>
        <s v="6010231"/>
        <s v="601511"/>
        <s v="601580"/>
        <s v="601444"/>
        <s v="601571"/>
        <s v="601563"/>
        <s v="60133"/>
        <s v="14924 DANIEL ALCIDES CARRION"/>
        <s v="20104"/>
        <s v="14975"/>
        <s v="15304"/>
        <s v="SAGRADO CORAZON DE JESUS"/>
        <s v="20123"/>
        <s v="14144 SANTA ROSA"/>
        <s v="15219"/>
        <s v="14141"/>
        <s v="15478"/>
        <s v="15220"/>
        <s v="14045"/>
        <s v="14145 SANTA JULIA BILLIART"/>
        <s v="14894"/>
        <s v="15383"/>
        <s v="86809"/>
        <s v="86548 JOSE MARIA VELAZ"/>
        <s v="88327"/>
        <s v="88247 SAN ENRIQUE"/>
        <s v="86769 ABRAHAM VALDELOMAR"/>
        <s v="64048"/>
        <s v="64115"/>
        <s v="64508-B"/>
        <s v="64873-B"/>
        <s v="64545-B"/>
        <s v="64949"/>
        <s v="64871-B"/>
        <s v="64028"/>
        <s v="64829"/>
        <s v="65199"/>
        <s v="64996"/>
        <s v="64641"/>
        <s v="64346"/>
        <s v="NUESTRA SEÑORA DE LA CANDELARIA"/>
        <s v="36173"/>
        <s v="CORAS"/>
        <s v="36207"/>
        <s v="36789 NUESTRA SEÑORA DEL CARMEN"/>
        <s v="501432 PAPA FRANCISCO I"/>
        <s v="50492 CORAZON DE JESUS"/>
        <s v="50495"/>
        <s v="50547"/>
        <s v="50550"/>
        <s v="50552 TUPAC AMARU II"/>
        <s v="50553"/>
        <s v="50558"/>
        <s v="50715"/>
        <s v="50719 VIRGEN DEL CARMEN"/>
        <s v="50765"/>
        <s v="50696 YANACANCHA"/>
        <s v="50854"/>
        <s v="50977"/>
        <s v="501344"/>
        <s v="501455 CRISTO REY TTIKARIY"/>
        <s v="36163 JAVIER HERAUD PEREZ"/>
        <s v="SANTIAGO ANTUNEZ DE MAYOLO"/>
        <s v="SAYRI TUPAC"/>
        <s v="64155"/>
        <s v="88225 CAPTUY"/>
        <s v="36161 SAN VICENTE DE PAUL"/>
        <s v="36166 HEROES 29 DE AGOSTO"/>
        <s v="JORGE CHAVEZ"/>
        <s v="JOSE CARLOS MARIATEGUI"/>
        <s v="RAMON CASTILLA MARQUEZADO"/>
      </sharedItems>
    </cacheField>
    <cacheField name="Ambito" numFmtId="49">
      <sharedItems>
        <s v="Rural"/>
      </sharedItems>
    </cacheField>
    <cacheField name="Sexo" numFmtId="49">
      <sharedItems>
        <s v="Femenino"/>
        <s v="Masculino"/>
      </sharedItems>
    </cacheField>
    <cacheField name="R Matemática" numFmtId="49">
      <sharedItems>
        <s v="Inicio"/>
        <s v="Proceso"/>
        <s v="Satisfactorio"/>
      </sharedItems>
    </cacheField>
    <cacheField name="Año" numFmtId="0">
      <sharedItems containsSemiMixedTypes="0" containsString="0" containsNumber="1" containsInteger="1">
        <n v="2024.0"/>
        <n v="2023.0"/>
        <n v="2022.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872" sheet="DATA"/>
  </cacheSource>
  <cacheFields>
    <cacheField name="Estudiant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15.0"/>
        <n v="2516.0"/>
        <n v="2517.0"/>
        <n v="2518.0"/>
        <n v="2519.0"/>
        <n v="2520.0"/>
        <n v="2521.0"/>
        <n v="2522.0"/>
        <n v="2523.0"/>
        <n v="2524.0"/>
        <n v="2525.0"/>
        <n v="2526.0"/>
        <n v="2527.0"/>
        <n v="2528.0"/>
        <n v="2529.0"/>
        <n v="2530.0"/>
        <n v="2531.0"/>
        <n v="2532.0"/>
        <n v="2533.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3.0"/>
        <n v="3024.0"/>
        <n v="3025.0"/>
        <n v="3026.0"/>
        <n v="3027.0"/>
        <n v="3028.0"/>
        <n v="3029.0"/>
        <n v="3030.0"/>
        <n v="3644.0"/>
        <n v="3645.0"/>
        <n v="3646.0"/>
        <n v="3647.0"/>
        <n v="3648.0"/>
        <n v="3649.0"/>
        <n v="3650.0"/>
        <n v="3651.0"/>
        <n v="3652.0"/>
        <n v="3653.0"/>
        <n v="3654.0"/>
        <n v="3655.0"/>
        <n v="3656.0"/>
        <n v="3657.0"/>
        <n v="3658.0"/>
        <n v="3659.0"/>
        <n v="3660.0"/>
        <n v="3661.0"/>
        <n v="3662.0"/>
        <n v="3669.0"/>
        <n v="3670.0"/>
        <n v="3671.0"/>
        <n v="3672.0"/>
        <n v="3673.0"/>
        <n v="3674.0"/>
        <n v="3675.0"/>
        <n v="3676.0"/>
        <n v="3677.0"/>
        <n v="3678.0"/>
        <n v="3679.0"/>
        <n v="3680.0"/>
        <n v="3681.0"/>
        <n v="3682.0"/>
        <n v="3683.0"/>
        <n v="3684.0"/>
        <n v="3685.0"/>
        <n v="3689.0"/>
        <n v="3690.0"/>
        <n v="3691.0"/>
        <n v="3692.0"/>
        <n v="3693.0"/>
        <n v="3694.0"/>
        <n v="3695.0"/>
        <n v="3696.0"/>
        <n v="3697.0"/>
        <n v="3698.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4316.0"/>
        <n v="4317.0"/>
        <n v="4318.0"/>
        <n v="4319.0"/>
        <n v="4320.0"/>
        <n v="4321.0"/>
        <n v="4322.0"/>
        <n v="4323.0"/>
        <n v="4324.0"/>
        <n v="4325.0"/>
        <n v="4326.0"/>
        <n v="4329.0"/>
        <n v="4330.0"/>
        <n v="4331.0"/>
        <n v="4332.0"/>
        <n v="4333.0"/>
        <n v="4334.0"/>
        <n v="4335.0"/>
        <n v="4336.0"/>
        <n v="4337.0"/>
        <n v="4338.0"/>
        <n v="433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9.0"/>
        <n v="4390.0"/>
        <n v="4391.0"/>
        <n v="4392.0"/>
        <n v="4584.0"/>
        <n v="4585.0"/>
        <n v="4586.0"/>
        <n v="4587.0"/>
        <n v="4588.0"/>
        <n v="4589.0"/>
        <n v="4590.0"/>
        <n v="4591.0"/>
        <n v="4592.0"/>
        <n v="4593.0"/>
        <n v="4594.0"/>
        <n v="4596.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2251.0"/>
        <n v="2252.0"/>
        <n v="2253.0"/>
        <n v="2254.0"/>
        <n v="2255.0"/>
        <n v="2256.0"/>
        <n v="2257.0"/>
        <n v="2258.0"/>
        <n v="2259.0"/>
        <n v="2260.0"/>
        <n v="2261.0"/>
        <n v="2262.0"/>
        <n v="2263.0"/>
        <n v="2264.0"/>
        <n v="2265.0"/>
        <n v="2266.0"/>
        <n v="2267.0"/>
        <n v="2268.0"/>
        <n v="2402.0"/>
        <n v="2403.0"/>
        <n v="2404.0"/>
        <n v="2405.0"/>
        <n v="2406.0"/>
        <n v="2407.0"/>
        <n v="2408.0"/>
        <n v="2409.0"/>
        <n v="2410.0"/>
        <n v="2411.0"/>
        <n v="2412.0"/>
        <n v="2413.0"/>
        <n v="2414.0"/>
        <n v="2415.0"/>
        <n v="2416.0"/>
        <n v="2417.0"/>
        <n v="2418.0"/>
        <n v="2419.0"/>
        <n v="2420.0"/>
        <n v="2421.0"/>
        <n v="2509.0"/>
        <n v="2510.0"/>
        <n v="2511.0"/>
        <n v="2512.0"/>
        <n v="2513.0"/>
        <n v="2514.0"/>
        <n v="2534.0"/>
        <n v="2535.0"/>
        <n v="2536.0"/>
        <n v="2537.0"/>
        <n v="2538.0"/>
        <n v="2636.0"/>
        <n v="2637.0"/>
        <n v="2638.0"/>
        <n v="2639.0"/>
        <n v="2640.0"/>
        <n v="2641.0"/>
        <n v="2642.0"/>
        <n v="2643.0"/>
        <n v="2645.0"/>
        <n v="2646.0"/>
        <n v="2647.0"/>
        <n v="2697.0"/>
        <n v="2698.0"/>
        <n v="2699.0"/>
        <n v="2700.0"/>
        <n v="2701.0"/>
        <n v="2702.0"/>
        <n v="2703.0"/>
        <n v="2704.0"/>
        <n v="2705.0"/>
        <n v="2706.0"/>
        <n v="2707.0"/>
        <n v="2708.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3022.0"/>
        <n v="3031.0"/>
        <n v="3032.0"/>
        <n v="3639.0"/>
        <n v="3640.0"/>
        <n v="3641.0"/>
        <n v="3642.0"/>
        <n v="3643.0"/>
        <n v="3663.0"/>
        <n v="3664.0"/>
        <n v="3665.0"/>
        <n v="3666.0"/>
        <n v="3667.0"/>
        <n v="3668.0"/>
        <n v="3686.0"/>
        <n v="3687.0"/>
        <n v="3688.0"/>
        <n v="3699.0"/>
        <n v="3700.0"/>
        <n v="3733.0"/>
        <n v="3734.0"/>
        <n v="3735.0"/>
        <n v="3736.0"/>
        <n v="3737.0"/>
        <n v="3738.0"/>
        <n v="3739.0"/>
        <n v="3740.0"/>
        <n v="3741.0"/>
        <n v="3742.0"/>
        <n v="4327.0"/>
        <n v="4328.0"/>
        <n v="4340.0"/>
        <n v="4341.0"/>
        <n v="4342.0"/>
        <n v="4343.0"/>
        <n v="4344.0"/>
        <n v="4345.0"/>
        <n v="4346.0"/>
        <n v="4347.0"/>
        <n v="4348.0"/>
        <n v="4349.0"/>
        <n v="4388.0"/>
        <n v="4393.0"/>
        <n v="4394.0"/>
        <n v="4582.0"/>
        <n v="4583.0"/>
        <n v="4597.0"/>
        <n v="4598.0"/>
        <n v="4599.0"/>
        <n v="4600.0"/>
        <n v="4601.0"/>
        <n v="4602.0"/>
        <n v="4603.0"/>
        <n v="4604.0"/>
        <n v="4605.0"/>
        <n v="4606.0"/>
        <n v="4607.0"/>
        <n v="4639.0"/>
        <n v="4640.0"/>
        <n v="4641.0"/>
        <n v="4642.0"/>
        <n v="4643.0"/>
        <n v="4644.0"/>
      </sharedItems>
    </cacheField>
    <cacheField name="Región" numFmtId="49">
      <sharedItems>
        <s v="47. Loreto"/>
        <s v="48. Piura"/>
        <s v="54. Ancash"/>
        <s v="72. Ucayali"/>
        <s v="79. Huancavelica"/>
        <s v="44. Cusco"/>
      </sharedItems>
    </cacheField>
    <cacheField name="Nivel" numFmtId="49">
      <sharedItems>
        <s v="Primaria"/>
        <s v="Secundaria"/>
      </sharedItems>
    </cacheField>
    <cacheField name="Grado" numFmtId="0">
      <sharedItems>
        <s v="2 Primaria"/>
        <s v="4 Primaria"/>
        <s v="6 Primaria"/>
        <s v="2 Secundaria"/>
        <s v="4 Secundaria"/>
        <s v="1 Primaria"/>
      </sharedItems>
    </cacheField>
    <cacheField name="Institución Educativa" numFmtId="49">
      <sharedItems>
        <s v="60136"/>
        <s v="6010102"/>
        <s v="601448"/>
        <s v="EL MILAGRO"/>
        <s v="601614"/>
        <s v="6010178"/>
        <s v="601514"/>
        <s v="601331"/>
        <s v="601391"/>
        <s v="601570"/>
        <s v="601678"/>
        <s v="6010230 BARBARA D'ACHILLE"/>
        <s v="60181"/>
        <s v="6010231"/>
        <s v="601511"/>
        <s v="601580"/>
        <s v="601444"/>
        <s v="601571"/>
        <s v="601563"/>
        <s v="60133"/>
        <s v="14924 DANIEL ALCIDES CARRION"/>
        <s v="20104"/>
        <s v="14975"/>
        <s v="15304"/>
        <s v="SAGRADO CORAZON DE JESUS"/>
        <s v="20123"/>
        <s v="14144 SANTA ROSA"/>
        <s v="15219"/>
        <s v="14141"/>
        <s v="15478"/>
        <s v="15220"/>
        <s v="14045"/>
        <s v="14145 SANTA JULIA BILLIART"/>
        <s v="14894"/>
        <s v="15383"/>
        <s v="86809"/>
        <s v="86548 JOSE MARIA VELAZ"/>
        <s v="88327"/>
        <s v="88247 SAN ENRIQUE"/>
        <s v="86769 ABRAHAM VALDELOMAR"/>
        <s v="64048"/>
        <s v="64115"/>
        <s v="64508-B"/>
        <s v="64873-B"/>
        <s v="64545-B"/>
        <s v="64949"/>
        <s v="64871-B"/>
        <s v="64028"/>
        <s v="64829"/>
        <s v="65199"/>
        <s v="64996"/>
        <s v="64641"/>
        <s v="64346"/>
        <s v="NUESTRA SEÑORA DE LA CANDELARIA"/>
        <s v="36173"/>
        <s v="CORAS"/>
        <s v="36207"/>
        <s v="36789 NUESTRA SEÑORA DEL CARMEN"/>
        <s v="501432 PAPA FRANCISCO I"/>
        <s v="50492 CORAZON DE JESUS"/>
        <s v="50495"/>
        <s v="50547"/>
        <s v="50550"/>
        <s v="50552 TUPAC AMARU II"/>
        <s v="50553"/>
        <s v="50558"/>
        <s v="50715"/>
        <s v="50719 VIRGEN DEL CARMEN"/>
        <s v="50765"/>
        <s v="50696 YANACANCHA"/>
        <s v="50854"/>
        <s v="50977"/>
        <s v="501344"/>
        <s v="501455 CRISTO REY TTIKARIY"/>
        <s v="36163 JAVIER HERAUD PEREZ"/>
        <s v="SANTIAGO ANTUNEZ DE MAYOLO"/>
        <s v="SAYRI TUPAC"/>
        <s v="64155"/>
        <s v="88225 CAPTUY"/>
        <s v="36161 SAN VICENTE DE PAUL"/>
        <s v="36166 HEROES 29 DE AGOSTO"/>
        <s v="JORGE CHAVEZ"/>
        <s v="JOSE CARLOS MARIATEGUI"/>
        <s v="RAMON CASTILLA MARQUEZADO"/>
      </sharedItems>
    </cacheField>
    <cacheField name="Ambito" numFmtId="49">
      <sharedItems>
        <s v="Rural"/>
      </sharedItems>
    </cacheField>
    <cacheField name="Sexo" numFmtId="49">
      <sharedItems>
        <s v="Femenino"/>
        <s v="Masculino"/>
      </sharedItems>
    </cacheField>
    <cacheField name="R Matemática" numFmtId="49">
      <sharedItems>
        <s v="Inicio"/>
        <s v="Proceso"/>
        <s v="Satisfactorio"/>
      </sharedItems>
    </cacheField>
    <cacheField name="Año" numFmtId="0">
      <sharedItems containsSemiMixedTypes="0" containsString="0" containsNumber="1" containsInteger="1">
        <n v="2024.0"/>
        <n v="2023.0"/>
        <n v="2022.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532" sheet="DATA"/>
  </cacheSource>
  <cacheFields>
    <cacheField name="Estudiant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15.0"/>
        <n v="2516.0"/>
        <n v="2517.0"/>
        <n v="2518.0"/>
        <n v="2519.0"/>
        <n v="2520.0"/>
        <n v="2521.0"/>
        <n v="2522.0"/>
        <n v="2523.0"/>
        <n v="2524.0"/>
        <n v="2525.0"/>
        <n v="2526.0"/>
        <n v="2527.0"/>
        <n v="2528.0"/>
        <n v="2529.0"/>
        <n v="2530.0"/>
        <n v="2531.0"/>
        <n v="2532.0"/>
        <n v="2533.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3.0"/>
        <n v="3024.0"/>
        <n v="3025.0"/>
        <n v="3026.0"/>
        <n v="3027.0"/>
        <n v="3028.0"/>
        <n v="3029.0"/>
        <n v="3030.0"/>
        <n v="3644.0"/>
        <n v="3645.0"/>
        <n v="3646.0"/>
        <n v="3647.0"/>
        <n v="3648.0"/>
        <n v="3649.0"/>
        <n v="3650.0"/>
        <n v="3651.0"/>
        <n v="3652.0"/>
        <n v="3653.0"/>
        <n v="3654.0"/>
        <n v="3655.0"/>
        <n v="3656.0"/>
        <n v="3657.0"/>
        <n v="3658.0"/>
        <n v="3659.0"/>
        <n v="3660.0"/>
        <n v="3661.0"/>
        <n v="3662.0"/>
        <n v="3669.0"/>
        <n v="3670.0"/>
        <n v="3671.0"/>
        <n v="3672.0"/>
        <n v="3673.0"/>
        <n v="3674.0"/>
        <n v="3675.0"/>
        <n v="3676.0"/>
        <n v="3677.0"/>
        <n v="3678.0"/>
        <n v="3679.0"/>
        <n v="3680.0"/>
        <n v="3681.0"/>
        <n v="3682.0"/>
        <n v="3683.0"/>
        <n v="3684.0"/>
        <n v="3685.0"/>
        <n v="3689.0"/>
        <n v="3690.0"/>
        <n v="3691.0"/>
        <n v="3692.0"/>
        <n v="3693.0"/>
        <n v="3694.0"/>
        <n v="3695.0"/>
        <n v="3696.0"/>
        <n v="3697.0"/>
        <n v="3698.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4316.0"/>
        <n v="4317.0"/>
        <n v="4318.0"/>
        <n v="4319.0"/>
        <n v="4320.0"/>
        <n v="4321.0"/>
        <n v="4322.0"/>
        <n v="4323.0"/>
        <n v="4324.0"/>
        <n v="4325.0"/>
        <n v="4326.0"/>
        <n v="4329.0"/>
        <n v="4330.0"/>
        <n v="4331.0"/>
        <n v="4332.0"/>
        <n v="4333.0"/>
        <n v="4334.0"/>
        <n v="4335.0"/>
        <n v="4336.0"/>
        <n v="4337.0"/>
        <n v="4338.0"/>
        <n v="433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9.0"/>
        <n v="4390.0"/>
        <n v="4391.0"/>
        <n v="4392.0"/>
        <n v="4584.0"/>
        <n v="4585.0"/>
        <n v="4586.0"/>
        <n v="4587.0"/>
        <n v="4588.0"/>
        <n v="4589.0"/>
        <n v="4590.0"/>
        <n v="4591.0"/>
        <n v="4592.0"/>
        <n v="4593.0"/>
        <n v="4594.0"/>
        <n v="4596.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2251.0"/>
        <n v="2252.0"/>
        <n v="2253.0"/>
        <n v="2254.0"/>
        <n v="2255.0"/>
        <n v="2256.0"/>
        <n v="2257.0"/>
        <n v="2258.0"/>
        <n v="2259.0"/>
        <n v="2260.0"/>
        <n v="2261.0"/>
        <n v="2262.0"/>
        <n v="2263.0"/>
        <n v="2264.0"/>
        <n v="2265.0"/>
        <n v="2266.0"/>
        <n v="2267.0"/>
        <n v="2268.0"/>
        <n v="2402.0"/>
        <n v="2403.0"/>
        <n v="2404.0"/>
        <n v="2405.0"/>
        <n v="2406.0"/>
        <n v="2407.0"/>
        <n v="2408.0"/>
        <n v="2409.0"/>
        <n v="2410.0"/>
        <n v="2411.0"/>
        <n v="2412.0"/>
        <n v="2413.0"/>
        <n v="2414.0"/>
        <n v="2415.0"/>
        <n v="2416.0"/>
        <n v="2417.0"/>
        <n v="2418.0"/>
        <n v="2419.0"/>
        <n v="2420.0"/>
        <n v="2421.0"/>
        <n v="2509.0"/>
        <n v="2510.0"/>
        <n v="2511.0"/>
        <n v="2512.0"/>
        <n v="2513.0"/>
        <n v="2514.0"/>
        <n v="2534.0"/>
        <n v="2535.0"/>
        <n v="2536.0"/>
        <n v="2537.0"/>
        <n v="2538.0"/>
        <n v="2636.0"/>
        <n v="2637.0"/>
        <n v="2638.0"/>
        <n v="2639.0"/>
        <n v="2640.0"/>
        <n v="2641.0"/>
        <n v="2642.0"/>
        <n v="2643.0"/>
        <n v="2645.0"/>
        <n v="2646.0"/>
        <n v="2647.0"/>
        <n v="2697.0"/>
        <n v="2698.0"/>
        <n v="2699.0"/>
        <n v="2700.0"/>
        <n v="2701.0"/>
        <n v="2702.0"/>
        <n v="2703.0"/>
        <n v="2704.0"/>
        <n v="2705.0"/>
        <n v="2706.0"/>
        <n v="2707.0"/>
        <n v="2708.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3022.0"/>
        <n v="3031.0"/>
        <n v="3032.0"/>
        <n v="3639.0"/>
        <n v="3640.0"/>
        <n v="3641.0"/>
        <n v="3642.0"/>
        <n v="3643.0"/>
        <n v="3663.0"/>
        <n v="3664.0"/>
        <n v="3665.0"/>
        <n v="3666.0"/>
        <n v="3667.0"/>
        <n v="3668.0"/>
        <n v="3686.0"/>
        <n v="3687.0"/>
        <n v="3688.0"/>
        <n v="3699.0"/>
        <n v="3700.0"/>
        <n v="3733.0"/>
        <n v="3734.0"/>
        <n v="3735.0"/>
        <n v="3736.0"/>
        <n v="3737.0"/>
        <n v="3738.0"/>
        <n v="3739.0"/>
        <n v="3740.0"/>
        <n v="3741.0"/>
        <n v="3742.0"/>
        <n v="4327.0"/>
        <n v="4328.0"/>
        <n v="4340.0"/>
        <n v="4341.0"/>
        <n v="4342.0"/>
        <n v="4343.0"/>
        <n v="4344.0"/>
        <n v="4345.0"/>
        <n v="4346.0"/>
        <n v="4347.0"/>
        <n v="4348.0"/>
        <n v="4349.0"/>
        <n v="4388.0"/>
        <n v="4393.0"/>
        <n v="4394.0"/>
        <n v="4582.0"/>
        <n v="4583.0"/>
        <n v="4597.0"/>
        <n v="4598.0"/>
        <n v="4599.0"/>
        <n v="4600.0"/>
        <n v="4601.0"/>
        <n v="4602.0"/>
        <n v="4603.0"/>
        <n v="4604.0"/>
        <n v="4605.0"/>
        <n v="4606.0"/>
        <n v="4607.0"/>
        <n v="4639.0"/>
        <n v="4640.0"/>
        <n v="4641.0"/>
        <n v="4642.0"/>
        <n v="4643.0"/>
        <n v="4644.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sharedItems>
    </cacheField>
    <cacheField name="Región" numFmtId="49">
      <sharedItems>
        <s v="47. Loreto"/>
        <s v="48. Piura"/>
        <s v="54. Ancash"/>
        <s v="72. Ucayali"/>
        <s v="79. Huancavelica"/>
        <s v="44. Cusco"/>
      </sharedItems>
    </cacheField>
    <cacheField name="Nivel" numFmtId="49">
      <sharedItems>
        <s v="Primaria"/>
        <s v="Secundaria"/>
      </sharedItems>
    </cacheField>
    <cacheField name="Grado" numFmtId="0">
      <sharedItems>
        <s v="2 Primaria"/>
        <s v="4 Primaria"/>
        <s v="6 Primaria"/>
        <s v="2 Secundaria"/>
        <s v="4 Secundaria"/>
        <s v="1 Primaria"/>
        <s v="5 Secundaria"/>
      </sharedItems>
    </cacheField>
    <cacheField name="Institución Educativa" numFmtId="49">
      <sharedItems>
        <s v="60136"/>
        <s v="6010102"/>
        <s v="601448"/>
        <s v="EL MILAGRO"/>
        <s v="601614"/>
        <s v="6010178"/>
        <s v="601514"/>
        <s v="601331"/>
        <s v="601391"/>
        <s v="601570"/>
        <s v="601678"/>
        <s v="6010230 BARBARA D'ACHILLE"/>
        <s v="60181"/>
        <s v="6010231"/>
        <s v="601511"/>
        <s v="601580"/>
        <s v="601444"/>
        <s v="601571"/>
        <s v="601563"/>
        <s v="60133"/>
        <s v="14924 DANIEL ALCIDES CARRION"/>
        <s v="20104"/>
        <s v="14975"/>
        <s v="15304"/>
        <s v="SAGRADO CORAZON DE JESUS"/>
        <s v="20123"/>
        <s v="14144 SANTA ROSA"/>
        <s v="15219"/>
        <s v="14141"/>
        <s v="15478"/>
        <s v="15220"/>
        <s v="14045"/>
        <s v="14145 SANTA JULIA BILLIART"/>
        <s v="14894"/>
        <s v="15383"/>
        <s v="86809"/>
        <s v="86548 JOSE MARIA VELAZ"/>
        <s v="88327"/>
        <s v="88247 SAN ENRIQUE"/>
        <s v="86769 ABRAHAM VALDELOMAR"/>
        <s v="64048"/>
        <s v="64115"/>
        <s v="64508-B"/>
        <s v="64873-B"/>
        <s v="64545-B"/>
        <s v="64949"/>
        <s v="64871-B"/>
        <s v="64028"/>
        <s v="64829"/>
        <s v="65199"/>
        <s v="64996"/>
        <s v="64641"/>
        <s v="64346"/>
        <s v="NUESTRA SEÑORA DE LA CANDELARIA"/>
        <s v="36173"/>
        <s v="CORAS"/>
        <s v="36207"/>
        <s v="36789 NUESTRA SEÑORA DEL CARMEN"/>
        <s v="501432 PAPA FRANCISCO I"/>
        <s v="50492 CORAZON DE JESUS"/>
        <s v="50495"/>
        <s v="50547"/>
        <s v="50550"/>
        <s v="50552 TUPAC AMARU II"/>
        <s v="50553"/>
        <s v="50558"/>
        <s v="50715"/>
        <s v="50719 VIRGEN DEL CARMEN"/>
        <s v="50765"/>
        <s v="50696 YANACANCHA"/>
        <s v="50854"/>
        <s v="50977"/>
        <s v="501344"/>
        <s v="501455 CRISTO REY TTIKARIY"/>
        <s v="36163 JAVIER HERAUD PEREZ"/>
        <s v="SANTIAGO ANTUNEZ DE MAYOLO"/>
        <s v="SAYRI TUPAC"/>
        <s v="64155"/>
        <s v="88225 CAPTUY"/>
        <s v="36161 SAN VICENTE DE PAUL"/>
        <s v="36166 HEROES 29 DE AGOSTO"/>
        <s v="JORGE CHAVEZ"/>
        <s v="JOSE CARLOS MARIATEGUI"/>
        <s v="RAMON CASTILLA MARQUEZADO"/>
        <s v="50536"/>
        <s v="50912"/>
        <s v="50535"/>
        <s v="50976"/>
        <s v="50504"/>
        <s v="50796"/>
        <s v="ALMIRANTE MIGUEL GRAU SEMINARIO"/>
        <s v="1457365 LOS RIT'S DEL ALTO ANDINO"/>
      </sharedItems>
    </cacheField>
    <cacheField name="Ambito" numFmtId="49">
      <sharedItems>
        <s v="Rural"/>
      </sharedItems>
    </cacheField>
    <cacheField name="Sexo" numFmtId="49">
      <sharedItems>
        <s v="Femenino"/>
        <s v="Masculino"/>
      </sharedItems>
    </cacheField>
    <cacheField name="R Matemática" numFmtId="49">
      <sharedItems>
        <s v="Inicio"/>
        <s v="Proceso"/>
        <s v="Satisfactorio"/>
      </sharedItems>
    </cacheField>
    <cacheField name="Año" numFmtId="0">
      <sharedItems containsSemiMixedTypes="0" containsString="0" containsNumber="1" containsInteger="1">
        <n v="2024.0"/>
        <n v="2023.0"/>
        <n v="2022.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J2003" sheet="muestra"/>
  </cacheSource>
  <cacheFields>
    <cacheField name="COMPONENTE" numFmtId="0">
      <sharedItems containsBlank="1">
        <s v="MATEMÁTICA Y COMUNICACIÓN"/>
        <s v=""/>
        <m/>
        <s v="GENERO"/>
        <s v="DIGITAL"/>
      </sharedItems>
    </cacheField>
    <cacheField name="ENCUESTADO" numFmtId="0">
      <sharedItems containsBlank="1">
        <s v="ESTUDIANTES"/>
        <m/>
        <s v=""/>
        <s v="DOCENTES"/>
      </sharedItems>
    </cacheField>
    <cacheField name="NIVEL" numFmtId="0">
      <sharedItems containsBlank="1">
        <s v="PRIMARIA"/>
        <m/>
        <s v="SECUNDARIA"/>
        <s v="INICIAL - JARDÍN"/>
      </sharedItems>
    </cacheField>
    <cacheField name="RED" numFmtId="0">
      <sharedItems containsBlank="1">
        <s v="RER FA 44"/>
        <m/>
        <s v="RER FA 47"/>
        <s v="RER FA 48"/>
        <s v="RER FA 54"/>
        <s v="RER FA 72"/>
        <s v="RER FA 79"/>
      </sharedItems>
    </cacheField>
    <cacheField name="ID. Grado" numFmtId="1">
      <sharedItems containsBlank="1">
        <s v="2° Grado - H"/>
        <s v="2° Grado - M"/>
        <s v="4° Grado - H"/>
        <s v="4° Grado - M"/>
        <s v="6° Grado - H"/>
        <s v="6° Grado - M"/>
        <m/>
        <s v="5° Grado - H"/>
        <s v="5° Grado - M"/>
      </sharedItems>
    </cacheField>
    <cacheField name="Grado" numFmtId="0">
      <sharedItems containsBlank="1">
        <s v="2°"/>
        <s v="4°"/>
        <s v="6°"/>
        <s v=""/>
        <m/>
        <s v="5°"/>
      </sharedItems>
    </cacheField>
    <cacheField name="Sección" numFmtId="0">
      <sharedItems containsBlank="1">
        <s v="H"/>
        <s v="M"/>
        <s v=""/>
        <m/>
      </sharedItems>
    </cacheField>
    <cacheField name="COLEGIO">
      <sharedItems containsBlank="1" containsMixedTypes="1" containsNumber="1" containsInteger="1">
        <n v="50495.0"/>
        <m/>
        <n v="50547.0"/>
        <n v="50550.0"/>
        <n v="50553.0"/>
        <n v="50558.0"/>
        <n v="50765.0"/>
        <n v="50796.0"/>
        <n v="50854.0"/>
        <n v="50977.0"/>
        <n v="501344.0"/>
        <n v="501432.0"/>
        <s v="501455 CRISTO REY TTIKARIY"/>
        <s v="50492 CORAZON DE JESUS"/>
        <s v="50552 TUPAC AMARU II"/>
        <s v="50719 VIRGEN DEL CARMEN"/>
        <n v="60133.0"/>
        <n v="60136.0"/>
        <n v="60181.0"/>
        <n v="601330.0"/>
        <n v="601331.0"/>
        <n v="601391.0"/>
        <n v="601444.0"/>
        <n v="601448.0"/>
        <n v="601511.0"/>
        <n v="601514.0"/>
        <n v="601563.0"/>
        <n v="601570.0"/>
        <n v="601571.0"/>
        <n v="601580.0"/>
        <n v="601614.0"/>
        <n v="601678.0"/>
        <n v="6010102.0"/>
        <n v="6010178.0"/>
        <n v="6010231.0"/>
        <s v="6010230 BARBARA D'ACHILLE"/>
        <n v="14045.0"/>
        <n v="14141.0"/>
        <n v="14894.0"/>
        <n v="14975.0"/>
        <n v="15219.0"/>
        <n v="15220.0"/>
        <n v="15304.0"/>
        <n v="15383.0"/>
        <n v="15478.0"/>
        <n v="20104.0"/>
        <n v="20123.0"/>
        <s v="14144 SANTA ROSA"/>
        <s v="14145 SANTA JULIA BILLIART"/>
        <s v="14924 DANIEL ALCIDES CARRION"/>
        <s v="SAGRADO CORAZON DE JESUS"/>
        <n v="86809.0"/>
        <n v="88327.0"/>
        <s v="86548 JOSE MARIA VELAZ"/>
        <s v="86769 ABRAHAM VALDELOMAR"/>
        <s v="87009-01"/>
        <s v="88247 SAN ENRIQUE"/>
        <n v="64028.0"/>
        <n v="64048.0"/>
        <n v="64115.0"/>
        <n v="64346.0"/>
        <n v="64641.0"/>
        <n v="64829.0"/>
        <n v="64949.0"/>
        <n v="64996.0"/>
        <n v="65199.0"/>
        <s v="64508-B"/>
        <s v="64545-B"/>
        <s v="64871-B"/>
        <s v="64873-B"/>
        <n v="36167.0"/>
        <n v="36207.0"/>
        <n v="36831.0"/>
        <s v="36153 SAYRI TUPAC"/>
        <s v="36163 JAVIER HERAUD PEREZ"/>
        <s v="36173 SANTIAGO ANTUNEZ DE MAYOLO"/>
        <s v="36789 NUESTRA SEÑORA DEL CARMEN"/>
        <s v="501432 PAPA FRANCISCO I"/>
        <s v="EL MILAGRO"/>
        <s v="CORAS"/>
        <n v="50536.0"/>
        <n v="50715.0"/>
        <n v="50912.0"/>
        <s v="ALMIRANTE MIGUEL GRAU SEMINARIO"/>
        <s v="JORGE CHAVEZ"/>
        <s v="JOSE CARLOS MARIATEGUI"/>
        <s v="NUESTRA SEÑORA DE LA CANDELARIA"/>
        <s v="RAMON CASTILLA MARQUEZADO"/>
        <s v="811 (NUEVA ESPERANZA)"/>
        <s v="536 (13 DE FEBRERO)"/>
        <s v="405 (CAHUIDE)"/>
        <n v="566.0"/>
        <s v="333-B "/>
        <s v="555-B "/>
        <s v="36161 SAN VICENTE DE PAUL"/>
        <s v="36166 HEROES 29 DE AGOSTO"/>
      </sharedItems>
    </cacheField>
    <cacheField name="Muestra" numFmtId="0">
      <sharedItems containsString="0" containsBlank="1" containsNumber="1" containsInteger="1">
        <n v="1.0"/>
        <n v="0.0"/>
        <n v="2.0"/>
        <m/>
        <n v="3.0"/>
        <n v="10.0"/>
        <n v="12.0"/>
        <n v="11.0"/>
        <n v="9.0"/>
        <n v="13.0"/>
        <n v="5.0"/>
        <n v="6.0"/>
        <n v="7.0"/>
        <n v="4.0"/>
        <n v="8.0"/>
        <n v="14.0"/>
        <n v="17.0"/>
        <n v="16.0"/>
        <n v="20.0"/>
        <n v="15.0"/>
        <n v="19.0"/>
        <n v="23.0"/>
        <n v="1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CLASFICACIÓN" cacheId="0" dataCaption="" rowGrandTotals="0" colGrandTotals="0" compact="0" compactData="0">
  <location ref="A1:E291" firstHeaderRow="0" firstDataRow="2" firstDataCol="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Row" compact="0" outline="0" multipleItemSelectionAllowed="1" showAll="0" sortType="ascending">
      <items>
        <item x="5"/>
        <item x="0"/>
        <item x="3"/>
        <item x="1"/>
        <item x="4"/>
        <item x="6"/>
        <item x="2"/>
        <item t="default"/>
      </items>
    </pivotField>
    <pivotField name="Institución Educativa" axis="axisRow" compact="0" numFmtId="49" outline="0" multipleItemSelectionAllowed="1" showAll="0" sortType="ascending" defaultSubtotal="0">
      <items>
        <item x="31"/>
        <item x="28"/>
        <item x="26"/>
        <item x="32"/>
        <item x="91"/>
        <item x="33"/>
        <item x="20"/>
        <item x="22"/>
        <item x="27"/>
        <item x="30"/>
        <item x="23"/>
        <item x="34"/>
        <item x="29"/>
        <item x="21"/>
        <item x="25"/>
        <item x="79"/>
        <item x="74"/>
        <item x="80"/>
        <item x="54"/>
        <item x="56"/>
        <item x="57"/>
        <item x="72"/>
        <item x="58"/>
        <item x="73"/>
        <item x="59"/>
        <item x="60"/>
        <item x="88"/>
        <item x="86"/>
        <item x="84"/>
        <item x="61"/>
        <item x="62"/>
        <item x="63"/>
        <item x="64"/>
        <item x="65"/>
        <item x="69"/>
        <item x="66"/>
        <item x="67"/>
        <item x="68"/>
        <item x="89"/>
        <item x="70"/>
        <item x="85"/>
        <item x="87"/>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90"/>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Col" compact="0" outline="0" multipleItemSelectionAllowed="1" showAll="0" sortType="ascending">
      <items>
        <item x="2"/>
        <item x="1"/>
        <item x="0"/>
        <item t="default"/>
      </items>
    </pivotField>
  </pivotFields>
  <rowFields>
    <field x="4"/>
    <field x="3"/>
  </rowFields>
  <colFields>
    <field x="8"/>
  </colFields>
  <dataFields>
    <dataField name="COUNTA of R Matemática" fld="7" subtotal="count" baseField="0"/>
  </dataFields>
</pivotTableDefinition>
</file>

<file path=xl/pivotTables/pivotTable2.xml><?xml version="1.0" encoding="utf-8"?>
<pivotTableDefinition xmlns="http://schemas.openxmlformats.org/spreadsheetml/2006/main" name="GLOBAL" cacheId="0" dataCaption="" rowGrandTotals="0" colGrandTotals="0" compact="0" compactData="0">
  <location ref="A3:J10" firstHeaderRow="0" firstDataRow="2" firstDataCol="2"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Page" compact="0" numFmtId="49" outline="0" multipleItemSelectionAllowed="1" showAll="0">
      <items>
        <item x="0"/>
        <item x="1"/>
        <item x="2"/>
        <item x="3"/>
        <item x="4"/>
        <item h="1" x="5"/>
        <item t="default"/>
      </items>
    </pivotField>
    <pivotField name="Nivel" axis="axisRow" compact="0" numFmtId="49" outline="0" multipleItemSelectionAllowed="1" showAll="0" sortType="ascending" defaultSubtotal="0">
      <items>
        <item x="0"/>
        <item x="1"/>
      </items>
    </pivotField>
    <pivotField name="Grado" axis="axisRow" compact="0" outline="0" multipleItemSelectionAllowed="1" showAll="0" sortType="ascending">
      <items>
        <item h="1" x="5"/>
        <item x="0"/>
        <item x="3"/>
        <item x="1"/>
        <item x="4"/>
        <item h="1" x="6"/>
        <item x="2"/>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Col" compact="0" outline="0" multipleItemSelectionAllowed="1" showAll="0" sortType="ascending" defaultSubtotal="0">
      <items>
        <item x="2"/>
        <item x="1"/>
        <item x="0"/>
      </items>
    </pivotField>
  </pivotFields>
  <rowFields>
    <field x="2"/>
    <field x="3"/>
  </rowFields>
  <colFields>
    <field x="8"/>
    <field x="7"/>
  </colFields>
  <pageFields>
    <pageField fld="1"/>
  </pageFields>
  <dataFields>
    <dataField name="COUNTA of R Matemática" fld="7" subtotal="count" baseField="0"/>
  </dataFields>
</pivotTableDefinition>
</file>

<file path=xl/pivotTables/pivotTable3.xml><?xml version="1.0" encoding="utf-8"?>
<pivotTableDefinition xmlns="http://schemas.openxmlformats.org/spreadsheetml/2006/main" name="GLOBAL 2" cacheId="0" dataCaption="" rowGrandTotals="0" colGrandTotals="0" compact="0" compactData="0">
  <location ref="A26:K33" firstHeaderRow="0" firstDataRow="2" firstDataCol="2"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Page" compact="0" numFmtId="49" outline="0" multipleItemSelectionAllowed="1" showAll="0">
      <items>
        <item h="1" x="0"/>
        <item h="1" x="1"/>
        <item h="1" x="2"/>
        <item h="1" x="3"/>
        <item h="1" x="4"/>
        <item x="5"/>
        <item t="default"/>
      </items>
    </pivotField>
    <pivotField name="Nivel" axis="axisRow" compact="0" numFmtId="49" outline="0" multipleItemSelectionAllowed="1" showAll="0" sortType="ascending" defaultSubtotal="0">
      <items>
        <item x="0"/>
        <item x="1"/>
      </items>
    </pivotField>
    <pivotField name="Grado" axis="axisRow" compact="0" outline="0" multipleItemSelectionAllowed="1" showAll="0" sortType="ascending">
      <items>
        <item h="1" x="5"/>
        <item x="0"/>
        <item x="3"/>
        <item x="1"/>
        <item x="4"/>
        <item h="1" x="6"/>
        <item x="2"/>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Col" compact="0" outline="0" multipleItemSelectionAllowed="1" showAll="0" sortType="ascending" defaultSubtotal="0">
      <items>
        <item x="2"/>
        <item x="1"/>
        <item x="0"/>
      </items>
    </pivotField>
  </pivotFields>
  <rowFields>
    <field x="2"/>
    <field x="3"/>
  </rowFields>
  <colFields>
    <field x="8"/>
    <field x="7"/>
  </colFields>
  <pageFields>
    <pageField fld="1"/>
  </pageFields>
  <dataFields>
    <dataField name="COUNTA of R Matemática" fld="7" subtotal="count" baseField="0"/>
  </dataFields>
</pivotTableDefinition>
</file>

<file path=xl/pivotTables/pivotTable4.xml><?xml version="1.0" encoding="utf-8"?>
<pivotTableDefinition xmlns="http://schemas.openxmlformats.org/spreadsheetml/2006/main" name="GLOBAL 3" cacheId="1" dataCaption="" rowGrandTotals="0" colGrandTotals="0" compact="0" compactData="0">
  <location ref="A48:E57" firstHeaderRow="0" firstDataRow="2" firstDataCol="2" rowPageCount="2"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Page" compact="0" numFmtId="49" outline="0" multipleItemSelectionAllowed="1" showAll="0">
      <items>
        <item h="1" x="0"/>
        <item h="1" x="1"/>
        <item h="1" x="2"/>
        <item h="1" x="3"/>
        <item h="1" x="4"/>
        <item x="5"/>
        <item t="default"/>
      </items>
    </pivotField>
    <pivotField name="Nivel" compact="0" numFmtId="49" outline="0" multipleItemSelectionAllowed="1" showAll="0">
      <items>
        <item x="0"/>
        <item x="1"/>
        <item t="default"/>
      </items>
    </pivotField>
    <pivotField name="Grado" axis="axisRow" compact="0" outline="0" multipleItemSelectionAllowed="1" showAll="0" sortType="ascending">
      <items>
        <item x="5"/>
        <item x="0"/>
        <item x="3"/>
        <item x="1"/>
        <item x="4"/>
        <item x="6"/>
        <item x="2"/>
        <item t="default"/>
      </items>
    </pivotField>
    <pivotField name="Institución Educativa" axis="axisRow" compact="0" numFmtId="49" outline="0" multipleItemSelectionAllowed="1" showAll="0" sortType="ascending" defaultSubtotal="0">
      <items>
        <item x="31"/>
        <item x="28"/>
        <item x="26"/>
        <item x="32"/>
        <item x="91"/>
        <item x="33"/>
        <item x="20"/>
        <item x="22"/>
        <item x="27"/>
        <item x="30"/>
        <item x="23"/>
        <item x="34"/>
        <item x="29"/>
        <item x="21"/>
        <item x="25"/>
        <item x="79"/>
        <item x="74"/>
        <item x="80"/>
        <item x="54"/>
        <item x="56"/>
        <item x="57"/>
        <item x="72"/>
        <item x="58"/>
        <item x="73"/>
        <item x="59"/>
        <item x="60"/>
        <item x="88"/>
        <item x="86"/>
        <item x="84"/>
        <item x="61"/>
        <item x="62"/>
        <item x="63"/>
        <item x="64"/>
        <item x="65"/>
        <item x="69"/>
        <item x="66"/>
        <item x="67"/>
        <item x="68"/>
        <item x="89"/>
        <item x="70"/>
        <item x="85"/>
        <item x="87"/>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90"/>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defaultSubtotal="0">
      <items>
        <item x="0"/>
        <item x="1"/>
        <item x="2"/>
      </items>
    </pivotField>
    <pivotField name="Año" axis="axisCol" compact="0" outline="0" multipleItemSelectionAllowed="1" showAll="0" sortType="ascending">
      <items>
        <item x="2"/>
        <item x="1"/>
        <item x="0"/>
        <item t="default"/>
      </items>
    </pivotField>
    <pivotField name="ANALISIS" compact="0" numFmtId="49" outline="0" multipleItemSelectionAllowed="1" showAll="0">
      <items>
        <item x="0"/>
        <item x="1"/>
        <item x="2"/>
        <item x="3"/>
        <item x="4"/>
        <item x="5"/>
        <item t="default"/>
      </items>
    </pivotField>
    <pivotField name="PADD-R" compact="0" outline="0" multipleItemSelectionAllowed="1" showAll="0">
      <items>
        <item x="0"/>
        <item x="1"/>
        <item x="2"/>
        <item x="3"/>
        <item x="4"/>
        <item t="default"/>
      </items>
    </pivotField>
    <pivotField name="ID. IE" axis="axisPage" compact="0" numFmtId="49"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t="default"/>
      </items>
    </pivotField>
    <pivotField name="ID2"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t="default"/>
      </items>
    </pivotField>
  </pivotFields>
  <rowFields>
    <field x="4"/>
    <field x="3"/>
  </rowFields>
  <colFields>
    <field x="7"/>
    <field x="8"/>
  </colFields>
  <pageFields>
    <pageField fld="1"/>
    <pageField fld="11"/>
  </pageFields>
  <dataFields>
    <dataField name="COUNTA of R Matemática" fld="7" subtotal="count" baseField="0"/>
  </dataFields>
</pivotTableDefinition>
</file>

<file path=xl/pivotTables/pivotTable5.xml><?xml version="1.0" encoding="utf-8"?>
<pivotTableDefinition xmlns="http://schemas.openxmlformats.org/spreadsheetml/2006/main" name="LOS 3 AÑOS" cacheId="2" dataCaption="" rowGrandTotals="0" colGrandTotals="0" compact="0" compactData="0">
  <location ref="A3:M77" firstHeaderRow="0" firstDataRow="4" firstDataCol="2"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Row" compact="0" numFmtId="49" outline="0" multipleItemSelectionAllowed="1" showAll="0" sortType="ascending">
      <items>
        <item x="5"/>
        <item x="0"/>
        <item x="1"/>
        <item x="2"/>
        <item x="3"/>
        <item x="4"/>
        <item t="default"/>
      </items>
    </pivotField>
    <pivotField name="Nivel" axis="axisRow" compact="0" numFmtId="49" outline="0" multipleItemSelectionAllowed="1" showAll="0" sortType="ascending" defaultSubtotal="0">
      <items>
        <item x="0"/>
        <item x="1"/>
      </items>
    </pivotField>
    <pivotField name="Grado" axis="axisRow" compact="0" outline="0" multipleItemSelectionAllowed="1" showAll="0" sortType="ascending">
      <items>
        <item x="5"/>
        <item x="0"/>
        <item x="3"/>
        <item x="1"/>
        <item x="4"/>
        <item x="6"/>
        <item x="2"/>
        <item t="default"/>
      </items>
    </pivotField>
    <pivotField name="Institución Educativa" axis="axisRow" compact="0" numFmtId="49" outline="0" multipleItemSelectionAllowed="1" showAll="0" sortType="ascending" defaultSubtotal="0">
      <items>
        <item x="31"/>
        <item x="28"/>
        <item x="26"/>
        <item x="32"/>
        <item x="91"/>
        <item x="33"/>
        <item x="20"/>
        <item x="22"/>
        <item x="27"/>
        <item x="30"/>
        <item x="23"/>
        <item x="34"/>
        <item x="29"/>
        <item x="21"/>
        <item x="25"/>
        <item x="79"/>
        <item x="74"/>
        <item x="80"/>
        <item x="54"/>
        <item x="56"/>
        <item x="57"/>
        <item x="72"/>
        <item x="58"/>
        <item x="73"/>
        <item x="59"/>
        <item x="60"/>
        <item x="88"/>
        <item x="86"/>
        <item x="84"/>
        <item x="61"/>
        <item x="62"/>
        <item x="63"/>
        <item x="64"/>
        <item x="65"/>
        <item x="69"/>
        <item x="66"/>
        <item x="67"/>
        <item x="68"/>
        <item x="89"/>
        <item x="70"/>
        <item x="85"/>
        <item x="87"/>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90"/>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Col" compact="0" outline="0" multipleItemSelectionAllowed="1" showAll="0" sortType="ascending" defaultSubtotal="0">
      <items>
        <item x="2"/>
        <item x="1"/>
        <item x="0"/>
      </items>
    </pivotField>
    <pivotField name="ANALISIS" axis="axisPage" compact="0" numFmtId="49" outline="0" multipleItemSelectionAllowed="1" showAll="0">
      <items>
        <item h="1" x="0"/>
        <item x="1"/>
        <item h="1" x="2"/>
        <item h="1" x="3"/>
        <item h="1" x="4"/>
        <item h="1" x="5"/>
        <item t="default"/>
      </items>
    </pivotField>
    <pivotField name="PADD-R" compact="0" outline="0" multipleItemSelectionAllowed="1" showAll="0">
      <items>
        <item x="0"/>
        <item x="1"/>
        <item x="2"/>
        <item x="3"/>
        <item x="4"/>
        <item t="default"/>
      </items>
    </pivotField>
    <pivotField name="ID. I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s>
  <rowFields>
    <field x="1"/>
    <field x="4"/>
    <field x="2"/>
    <field x="3"/>
  </rowFields>
  <colFields>
    <field x="8"/>
    <field x="7"/>
  </colFields>
  <pageFields>
    <pageField fld="9"/>
  </pageFields>
  <dataFields>
    <dataField name="COUNTA of R Matemática" fld="7" subtotal="count" baseField="0"/>
  </dataFields>
</pivotTableDefinition>
</file>

<file path=xl/pivotTables/pivotTable6.xml><?xml version="1.0" encoding="utf-8"?>
<pivotTableDefinition xmlns="http://schemas.openxmlformats.org/spreadsheetml/2006/main" name="2022,24" cacheId="2" dataCaption="" rowGrandTotals="0" colGrandTotals="0" compact="0" compactData="0">
  <location ref="A3:J51" firstHeaderRow="0" firstDataRow="4" firstDataCol="2"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Row" compact="0" numFmtId="49" outline="0" multipleItemSelectionAllowed="1" showAll="0" sortType="ascending">
      <items>
        <item x="5"/>
        <item x="0"/>
        <item x="1"/>
        <item x="2"/>
        <item x="3"/>
        <item x="4"/>
        <item t="default"/>
      </items>
    </pivotField>
    <pivotField name="Nivel" axis="axisRow" compact="0" numFmtId="49" outline="0" multipleItemSelectionAllowed="1" showAll="0" sortType="ascending" defaultSubtotal="0">
      <items>
        <item x="0"/>
        <item x="1"/>
      </items>
    </pivotField>
    <pivotField name="Grado" axis="axisRow" compact="0" outline="0" multipleItemSelectionAllowed="1" showAll="0" sortType="ascending">
      <items>
        <item x="5"/>
        <item x="0"/>
        <item x="3"/>
        <item x="1"/>
        <item x="4"/>
        <item x="6"/>
        <item x="2"/>
        <item t="default"/>
      </items>
    </pivotField>
    <pivotField name="Institución Educativa" axis="axisRow" compact="0" numFmtId="49" outline="0" multipleItemSelectionAllowed="1" showAll="0" sortType="ascending" defaultSubtotal="0">
      <items>
        <item x="31"/>
        <item x="28"/>
        <item x="26"/>
        <item x="32"/>
        <item x="91"/>
        <item x="33"/>
        <item x="20"/>
        <item x="22"/>
        <item x="27"/>
        <item x="30"/>
        <item x="23"/>
        <item x="34"/>
        <item x="29"/>
        <item x="21"/>
        <item x="25"/>
        <item x="79"/>
        <item x="74"/>
        <item x="80"/>
        <item x="54"/>
        <item x="56"/>
        <item x="57"/>
        <item x="72"/>
        <item x="58"/>
        <item x="73"/>
        <item x="59"/>
        <item x="60"/>
        <item x="88"/>
        <item x="86"/>
        <item x="84"/>
        <item x="61"/>
        <item x="62"/>
        <item x="63"/>
        <item x="64"/>
        <item x="65"/>
        <item x="69"/>
        <item x="66"/>
        <item x="67"/>
        <item x="68"/>
        <item x="89"/>
        <item x="70"/>
        <item x="85"/>
        <item x="87"/>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90"/>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Col" compact="0" outline="0" multipleItemSelectionAllowed="1" showAll="0" sortType="ascending" defaultSubtotal="0">
      <items>
        <item x="2"/>
        <item x="1"/>
        <item x="0"/>
      </items>
    </pivotField>
    <pivotField name="ANALISIS" axis="axisPage" compact="0" numFmtId="49" outline="0" multipleItemSelectionAllowed="1" showAll="0">
      <items>
        <item h="1" x="0"/>
        <item h="1" x="1"/>
        <item h="1" x="2"/>
        <item x="3"/>
        <item h="1" x="4"/>
        <item h="1" x="5"/>
        <item t="default"/>
      </items>
    </pivotField>
    <pivotField name="PADD-R" compact="0" outline="0" multipleItemSelectionAllowed="1" showAll="0">
      <items>
        <item x="0"/>
        <item x="1"/>
        <item x="2"/>
        <item x="3"/>
        <item x="4"/>
        <item t="default"/>
      </items>
    </pivotField>
    <pivotField name="ID. I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s>
  <rowFields>
    <field x="1"/>
    <field x="4"/>
    <field x="2"/>
    <field x="3"/>
  </rowFields>
  <colFields>
    <field x="8"/>
    <field x="7"/>
  </colFields>
  <pageFields>
    <pageField fld="9"/>
  </pageFields>
  <dataFields>
    <dataField name="COUNTA of R Matemática" fld="7" subtotal="count" baseField="0"/>
  </dataFields>
</pivotTableDefinition>
</file>

<file path=xl/pivotTables/pivotTable7.xml><?xml version="1.0" encoding="utf-8"?>
<pivotTableDefinition xmlns="http://schemas.openxmlformats.org/spreadsheetml/2006/main" name="2023,24" cacheId="2" dataCaption="" rowGrandTotals="0" colGrandTotals="0" compact="0" compactData="0">
  <location ref="A3:J51" firstHeaderRow="0" firstDataRow="4" firstDataCol="2"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Row" compact="0" numFmtId="49" outline="0" multipleItemSelectionAllowed="1" showAll="0" sortType="ascending">
      <items>
        <item x="5"/>
        <item x="0"/>
        <item x="1"/>
        <item x="2"/>
        <item x="3"/>
        <item x="4"/>
        <item t="default"/>
      </items>
    </pivotField>
    <pivotField name="Nivel" axis="axisRow" compact="0" numFmtId="49" outline="0" multipleItemSelectionAllowed="1" showAll="0" sortType="ascending" defaultSubtotal="0">
      <items>
        <item x="0"/>
        <item x="1"/>
      </items>
    </pivotField>
    <pivotField name="Grado" axis="axisRow" compact="0" outline="0" multipleItemSelectionAllowed="1" showAll="0" sortType="ascending">
      <items>
        <item x="5"/>
        <item x="0"/>
        <item x="3"/>
        <item x="1"/>
        <item x="4"/>
        <item x="6"/>
        <item x="2"/>
        <item t="default"/>
      </items>
    </pivotField>
    <pivotField name="Institución Educativa" axis="axisRow" compact="0" numFmtId="49" outline="0" multipleItemSelectionAllowed="1" showAll="0" sortType="ascending" defaultSubtotal="0">
      <items>
        <item x="31"/>
        <item x="28"/>
        <item x="26"/>
        <item x="32"/>
        <item x="91"/>
        <item x="33"/>
        <item x="20"/>
        <item x="22"/>
        <item x="27"/>
        <item x="30"/>
        <item x="23"/>
        <item x="34"/>
        <item x="29"/>
        <item x="21"/>
        <item x="25"/>
        <item x="79"/>
        <item x="74"/>
        <item x="80"/>
        <item x="54"/>
        <item x="56"/>
        <item x="57"/>
        <item x="72"/>
        <item x="58"/>
        <item x="73"/>
        <item x="59"/>
        <item x="60"/>
        <item x="88"/>
        <item x="86"/>
        <item x="84"/>
        <item x="61"/>
        <item x="62"/>
        <item x="63"/>
        <item x="64"/>
        <item x="65"/>
        <item x="69"/>
        <item x="66"/>
        <item x="67"/>
        <item x="68"/>
        <item x="89"/>
        <item x="70"/>
        <item x="85"/>
        <item x="87"/>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90"/>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Col" compact="0" outline="0" multipleItemSelectionAllowed="1" showAll="0" sortType="ascending" defaultSubtotal="0">
      <items>
        <item x="2"/>
        <item x="1"/>
        <item x="0"/>
      </items>
    </pivotField>
    <pivotField name="ANALISIS" axis="axisPage" compact="0" numFmtId="49" outline="0" multipleItemSelectionAllowed="1" showAll="0">
      <items>
        <item h="1" x="0"/>
        <item h="1" x="1"/>
        <item x="2"/>
        <item h="1" x="3"/>
        <item h="1" x="4"/>
        <item h="1" x="5"/>
        <item t="default"/>
      </items>
    </pivotField>
    <pivotField name="PADD-R" compact="0" outline="0" multipleItemSelectionAllowed="1" showAll="0">
      <items>
        <item x="0"/>
        <item x="1"/>
        <item x="2"/>
        <item x="3"/>
        <item x="4"/>
        <item t="default"/>
      </items>
    </pivotField>
    <pivotField name="ID. I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s>
  <rowFields>
    <field x="1"/>
    <field x="4"/>
    <field x="2"/>
    <field x="3"/>
  </rowFields>
  <colFields>
    <field x="8"/>
    <field x="7"/>
  </colFields>
  <pageFields>
    <pageField fld="9"/>
  </pageFields>
  <dataFields>
    <dataField name="COUNTA of R Matemática" fld="7" subtotal="count" baseField="0"/>
  </dataFields>
</pivotTableDefinition>
</file>

<file path=xl/pivotTables/pivotTable8.xml><?xml version="1.0" encoding="utf-8"?>
<pivotTableDefinition xmlns="http://schemas.openxmlformats.org/spreadsheetml/2006/main" name="SOLO 2024" cacheId="2" dataCaption="" rowGrandTotals="0" colGrandTotals="0" compact="0" compactData="0">
  <location ref="A3:G76" firstHeaderRow="0" firstDataRow="4" firstDataCol="2"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Row" compact="0" numFmtId="49" outline="0" multipleItemSelectionAllowed="1" showAll="0" sortType="ascending">
      <items>
        <item x="5"/>
        <item x="0"/>
        <item x="1"/>
        <item x="2"/>
        <item x="3"/>
        <item x="4"/>
        <item t="default"/>
      </items>
    </pivotField>
    <pivotField name="Nivel" axis="axisRow" compact="0" numFmtId="49" outline="0" multipleItemSelectionAllowed="1" showAll="0" sortType="ascending" defaultSubtotal="0">
      <items>
        <item x="0"/>
        <item x="1"/>
      </items>
    </pivotField>
    <pivotField name="Grado" axis="axisRow" compact="0" outline="0" multipleItemSelectionAllowed="1" showAll="0" sortType="ascending">
      <items>
        <item x="5"/>
        <item x="0"/>
        <item x="3"/>
        <item x="1"/>
        <item x="4"/>
        <item x="6"/>
        <item x="2"/>
        <item t="default"/>
      </items>
    </pivotField>
    <pivotField name="Institución Educativa" axis="axisRow" compact="0" numFmtId="49" outline="0" multipleItemSelectionAllowed="1" showAll="0" sortType="ascending" defaultSubtotal="0">
      <items>
        <item x="31"/>
        <item x="28"/>
        <item x="26"/>
        <item x="32"/>
        <item x="91"/>
        <item x="33"/>
        <item x="20"/>
        <item x="22"/>
        <item x="27"/>
        <item x="30"/>
        <item x="23"/>
        <item x="34"/>
        <item x="29"/>
        <item x="21"/>
        <item x="25"/>
        <item x="79"/>
        <item x="74"/>
        <item x="80"/>
        <item x="54"/>
        <item x="56"/>
        <item x="57"/>
        <item x="72"/>
        <item x="58"/>
        <item x="73"/>
        <item x="59"/>
        <item x="60"/>
        <item x="88"/>
        <item x="86"/>
        <item x="84"/>
        <item x="61"/>
        <item x="62"/>
        <item x="63"/>
        <item x="64"/>
        <item x="65"/>
        <item x="69"/>
        <item x="66"/>
        <item x="67"/>
        <item x="68"/>
        <item x="89"/>
        <item x="70"/>
        <item x="85"/>
        <item x="87"/>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90"/>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Col" compact="0" outline="0" multipleItemSelectionAllowed="1" showAll="0" sortType="ascending" defaultSubtotal="0">
      <items>
        <item x="2"/>
        <item x="1"/>
        <item x="0"/>
      </items>
    </pivotField>
    <pivotField name="ANALISIS" axis="axisPage" compact="0" numFmtId="49" outline="0" multipleItemSelectionAllowed="1" showAll="0">
      <items>
        <item x="0"/>
        <item h="1" x="1"/>
        <item h="1" x="2"/>
        <item h="1" x="3"/>
        <item h="1" x="4"/>
        <item h="1" x="5"/>
        <item t="default"/>
      </items>
    </pivotField>
    <pivotField name="PADD-R" compact="0" outline="0" multipleItemSelectionAllowed="1" showAll="0">
      <items>
        <item x="0"/>
        <item x="1"/>
        <item x="2"/>
        <item x="3"/>
        <item x="4"/>
        <item t="default"/>
      </items>
    </pivotField>
    <pivotField name="ID. I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s>
  <rowFields>
    <field x="1"/>
    <field x="4"/>
    <field x="2"/>
    <field x="3"/>
  </rowFields>
  <colFields>
    <field x="8"/>
    <field x="7"/>
  </colFields>
  <pageFields>
    <pageField fld="9"/>
  </pageFields>
  <dataFields>
    <dataField name="COUNTA of R Matemática" fld="7" subtotal="count" baseField="0"/>
  </dataFields>
</pivotTableDefinition>
</file>

<file path=xl/pivotTables/pivotTable9.xml><?xml version="1.0" encoding="utf-8"?>
<pivotTableDefinition xmlns="http://schemas.openxmlformats.org/spreadsheetml/2006/main" name="Procesados" cacheId="3" dataCaption="" colGrandTotals="0" compact="0" compactData="0">
  <location ref="C4:F8" firstHeaderRow="0" firstDataRow="1"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axis="axisRow" compact="0" numFmtId="49" outline="0" multipleItemSelectionAllowed="1" showAll="0" sortType="ascending">
      <items>
        <item x="0"/>
        <item x="1"/>
        <item t="default"/>
      </items>
    </pivotField>
    <pivotField name="R Matemática" dataField="1" compact="0" numFmtId="49" outline="0" multipleItemSelectionAllowed="1" showAll="0">
      <items>
        <item x="0"/>
        <item x="1"/>
        <item x="2"/>
        <item t="default"/>
      </items>
    </pivotField>
    <pivotField name="Año" axis="axisCol" compact="0" outline="0" multipleItemSelectionAllowed="1" showAll="0" sortType="ascending">
      <items>
        <item x="2"/>
        <item x="1"/>
        <item x="0"/>
        <item t="default"/>
      </items>
    </pivotField>
  </pivotFields>
  <rowFields>
    <field x="6"/>
  </rowFields>
  <colFields>
    <field x="8"/>
  </colFields>
  <pageFields>
    <pageField fld="3"/>
  </pageFields>
  <dataFields>
    <dataField name="COUNTA of R Matemática" fld="7" subtotal="count" baseField="0"/>
  </dataFields>
</pivotTableDefinition>
</file>

<file path=xl/pivotTables/pivotTable10.xml><?xml version="1.0" encoding="utf-8"?>
<pivotTableDefinition xmlns="http://schemas.openxmlformats.org/spreadsheetml/2006/main" name="Procesados 2" cacheId="3" dataCaption="" colGrandTotals="0" compact="0" compactData="0">
  <location ref="C23:F30" firstHeaderRow="0" firstDataRow="1" firstDataCol="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Row" compact="0" outline="0" multipleItemSelectionAllowed="1" showAll="0" sortType="ascending">
      <items>
        <item x="0"/>
        <item x="3"/>
        <item x="1"/>
        <item x="4"/>
        <item x="2"/>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Col" compact="0" outline="0" multipleItemSelectionAllowed="1" showAll="0" sortType="ascending">
      <items>
        <item x="2"/>
        <item x="1"/>
        <item x="0"/>
        <item t="default"/>
      </items>
    </pivotField>
  </pivotFields>
  <rowFields>
    <field x="3"/>
  </rowFields>
  <colFields>
    <field x="8"/>
  </colFields>
  <dataFields>
    <dataField name="COUNTA of R Matemática" fld="7" subtotal="count" baseField="0"/>
  </dataFields>
</pivotTableDefinition>
</file>

<file path=xl/pivotTables/pivotTable11.xml><?xml version="1.0" encoding="utf-8"?>
<pivotTableDefinition xmlns="http://schemas.openxmlformats.org/spreadsheetml/2006/main" name="Procesados 3" cacheId="3" dataCaption="" colGrandTotals="0" compact="0" compactData="0">
  <location ref="C43:F51" firstHeaderRow="0" firstDataRow="1"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Row" compact="0" numFmtId="49" outline="0" multipleItemSelectionAllowed="1" showAll="0" sortType="ascending">
      <items>
        <item x="5"/>
        <item x="0"/>
        <item x="1"/>
        <item x="2"/>
        <item x="3"/>
        <item x="4"/>
        <item t="default"/>
      </items>
    </pivotField>
    <pivotField name="Nivel" compact="0" numFmtId="49" outline="0" multipleItemSelectionAllowed="1" showAll="0">
      <items>
        <item x="0"/>
        <item x="1"/>
        <item t="default"/>
      </items>
    </pivotField>
    <pivotField name="Grado" axis="axisPage"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Col" compact="0" outline="0" multipleItemSelectionAllowed="1" showAll="0" sortType="ascending">
      <items>
        <item x="2"/>
        <item x="1"/>
        <item x="0"/>
        <item t="default"/>
      </items>
    </pivotField>
  </pivotFields>
  <rowFields>
    <field x="1"/>
  </rowFields>
  <colFields>
    <field x="8"/>
  </colFields>
  <pageFields>
    <pageField fld="3"/>
  </pageFields>
  <dataFields>
    <dataField name="COUNTA of R Matemática" fld="7" subtotal="count" baseField="0"/>
  </dataFields>
</pivotTableDefinition>
</file>

<file path=xl/pivotTables/pivotTable12.xml><?xml version="1.0" encoding="utf-8"?>
<pivotTableDefinition xmlns="http://schemas.openxmlformats.org/spreadsheetml/2006/main" name="General" cacheId="3" dataCaption="" compact="0" compactData="0">
  <location ref="C25:K31" firstHeaderRow="0" firstDataRow="2" firstDataCol="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dataFields>
    <dataField name="COUNTA of R Matemática" fld="7" subtotal="count" baseField="0"/>
    <dataField name="COUNTA of R Matemática" fld="7" subtotal="count" showDataAs="percentOfCol" baseField="0" numFmtId="10"/>
  </dataFields>
</pivotTableDefinition>
</file>

<file path=xl/pivotTables/pivotTable13.xml><?xml version="1.0" encoding="utf-8"?>
<pivotTableDefinition xmlns="http://schemas.openxmlformats.org/spreadsheetml/2006/main" name="resumen x colegio" cacheId="3" dataCaption="" compact="0" compactData="0">
  <location ref="B3:F209" firstHeaderRow="0" firstDataRow="4" firstDataCol="0"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Row" compact="0" numFmtId="49" outline="0" multipleItemSelectionAllowed="1" showAll="0" sortType="ascending">
      <items>
        <item x="5"/>
        <item x="0"/>
        <item x="1"/>
        <item x="2"/>
        <item x="3"/>
        <item x="4"/>
        <item t="default"/>
      </items>
    </pivotField>
    <pivotField name="Nivel" compact="0" numFmtId="49" outline="0" multipleItemSelectionAllowed="1" showAll="0">
      <items>
        <item x="0"/>
        <item x="1"/>
        <item t="default"/>
      </items>
    </pivotField>
    <pivotField name="Grado" axis="axisRow" compact="0" outline="0" multipleItemSelectionAllowed="1" showAll="0" sortType="ascending">
      <items>
        <item x="0"/>
        <item x="3"/>
        <item x="1"/>
        <item x="4"/>
        <item x="2"/>
        <item t="default"/>
      </items>
    </pivotField>
    <pivotField name="Institución Educativa" axis="axisRow" compact="0" numFmtId="49" outline="0" multipleItemSelectionAllowed="1" showAll="0" sortType="ascending" defaultSubtotal="0">
      <items>
        <item x="31"/>
        <item x="28"/>
        <item x="26"/>
        <item x="32"/>
        <item x="33"/>
        <item x="20"/>
        <item x="22"/>
        <item x="27"/>
        <item x="30"/>
        <item x="23"/>
        <item x="34"/>
        <item x="29"/>
        <item x="21"/>
        <item x="25"/>
        <item x="79"/>
        <item x="74"/>
        <item x="80"/>
        <item x="54"/>
        <item x="56"/>
        <item x="57"/>
        <item x="72"/>
        <item x="58"/>
        <item x="73"/>
        <item x="59"/>
        <item x="60"/>
        <item x="61"/>
        <item x="62"/>
        <item x="63"/>
        <item x="64"/>
        <item x="65"/>
        <item x="69"/>
        <item x="66"/>
        <item x="67"/>
        <item x="68"/>
        <item x="70"/>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Page" compact="0" outline="0" multipleItemSelectionAllowed="1" showAll="0">
      <items>
        <item x="0"/>
        <item h="1" x="1"/>
        <item h="1" x="2"/>
        <item t="default"/>
      </items>
    </pivotField>
  </pivotFields>
  <rowFields>
    <field x="1"/>
    <field x="4"/>
    <field x="3"/>
  </rowFields>
  <colFields>
    <field x="-2"/>
  </colFields>
  <pageFields>
    <pageField fld="8"/>
  </pageFields>
  <dataFields>
    <dataField name="#" fld="7" subtotal="count" baseField="0"/>
    <dataField name="%" fld="7" subtotal="count" showDataAs="percentOfCol" baseField="0" numFmtId="10"/>
  </dataFields>
</pivotTableDefinition>
</file>

<file path=xl/pivotTables/pivotTable14.xml><?xml version="1.0" encoding="utf-8"?>
<pivotTableDefinition xmlns="http://schemas.openxmlformats.org/spreadsheetml/2006/main" name="resumen x colegio 2" cacheId="3" dataCaption="" compact="0" compactData="0">
  <location ref="M3:U12" firstHeaderRow="0" firstDataRow="1" firstDataCol="2"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Row" compact="0" numFmtId="49" outline="0" multipleItemSelectionAllowed="1" showAll="0" sortType="ascending">
      <items>
        <item x="5"/>
        <item x="0"/>
        <item x="1"/>
        <item x="2"/>
        <item x="3"/>
        <item x="4"/>
        <item t="default"/>
      </items>
    </pivotField>
    <pivotField name="Nivel" axis="axisCol" compact="0" numFmtId="49" outline="0" multipleItemSelectionAllowed="1" showAll="0" sortType="ascending">
      <items>
        <item x="0"/>
        <item x="1"/>
        <item t="default"/>
      </items>
    </pivotField>
    <pivotField name="Grado" axis="axisCol" compact="0" outline="0" multipleItemSelectionAllowed="1" showAll="0" sortType="ascending">
      <items>
        <item x="0"/>
        <item x="3"/>
        <item x="1"/>
        <item x="4"/>
        <item x="2"/>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Page" compact="0" outline="0" multipleItemSelectionAllowed="1" showAll="0">
      <items>
        <item x="0"/>
        <item h="1" x="1"/>
        <item h="1" x="2"/>
        <item t="default"/>
      </items>
    </pivotField>
  </pivotFields>
  <rowFields>
    <field x="1"/>
  </rowFields>
  <colFields>
    <field x="2"/>
    <field x="3"/>
  </colFields>
  <pageFields>
    <pageField fld="8"/>
  </pageFields>
  <dataFields>
    <dataField name="COUNTA of R Matemática" fld="7" subtotal="count" baseField="0"/>
  </dataFields>
</pivotTableDefinition>
</file>

<file path=xl/pivotTables/pivotTable15.xml><?xml version="1.0" encoding="utf-8"?>
<pivotTableDefinition xmlns="http://schemas.openxmlformats.org/spreadsheetml/2006/main" name="resumen x colegio 3" cacheId="3" dataCaption="" colGrandTotals="0" compact="0" compactData="0">
  <location ref="M17:P21" firstHeaderRow="0" firstDataRow="1"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axis="axisRow" compact="0" numFmtId="49" outline="0" multipleItemSelectionAllowed="1" showAll="0" sortType="ascending">
      <items>
        <item x="0"/>
        <item x="1"/>
        <item t="default"/>
      </items>
    </pivotField>
    <pivotField name="Grado" axis="axisPage"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Col" compact="0" outline="0" multipleItemSelectionAllowed="1" showAll="0" sortType="ascending">
      <items>
        <item x="2"/>
        <item x="1"/>
        <item x="0"/>
        <item t="default"/>
      </items>
    </pivotField>
  </pivotFields>
  <rowFields>
    <field x="2"/>
  </rowFields>
  <colFields>
    <field x="8"/>
  </colFields>
  <pageFields>
    <pageField fld="3"/>
  </pageFields>
  <dataFields>
    <dataField name="COUNTA of R Matemática" fld="7" subtotal="count" baseField="0"/>
  </dataFields>
</pivotTableDefinition>
</file>

<file path=xl/pivotTables/pivotTable16.xml><?xml version="1.0" encoding="utf-8"?>
<pivotTableDefinition xmlns="http://schemas.openxmlformats.org/spreadsheetml/2006/main" name="resumen x colegio 4" cacheId="3" dataCaption="" compact="0" compactData="0">
  <location ref="M26:O32" firstHeaderRow="0" firstDataRow="2" firstDataCol="0"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Row" compact="0" outline="0" multipleItemSelectionAllowed="1" showAll="0" sortType="ascending">
      <items>
        <item x="0"/>
        <item x="3"/>
        <item x="1"/>
        <item x="4"/>
        <item x="2"/>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Page" compact="0" outline="0" multipleItemSelectionAllowed="1" showAll="0">
      <items>
        <item x="0"/>
        <item h="1" x="1"/>
        <item h="1" x="2"/>
        <item t="default"/>
      </items>
    </pivotField>
  </pivotFields>
  <rowFields>
    <field x="3"/>
  </rowFields>
  <colFields>
    <field x="-2"/>
  </colFields>
  <pageFields>
    <pageField fld="8"/>
  </pageFields>
  <dataFields>
    <dataField name="COUNTA of R Matemática" fld="7" subtotal="count" baseField="0"/>
    <dataField name="COUNTA of R Matemática" fld="7" subtotal="count" showDataAs="percentOfCol" baseField="0" numFmtId="10"/>
  </dataFields>
</pivotTableDefinition>
</file>

<file path=xl/pivotTables/pivotTable17.xml><?xml version="1.0" encoding="utf-8"?>
<pivotTableDefinition xmlns="http://schemas.openxmlformats.org/spreadsheetml/2006/main" name="resumen x colegio 5" cacheId="3" dataCaption="" compact="0" compactData="0">
  <location ref="M36:O42" firstHeaderRow="0" firstDataRow="2" firstDataCol="0"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Row" compact="0" outline="0" multipleItemSelectionAllowed="1" showAll="0" sortType="ascending">
      <items>
        <item x="0"/>
        <item x="3"/>
        <item x="1"/>
        <item x="4"/>
        <item x="2"/>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Page" compact="0" outline="0" multipleItemSelectionAllowed="1" showAll="0">
      <items>
        <item x="0"/>
        <item h="1" x="1"/>
        <item h="1" x="2"/>
        <item t="default"/>
      </items>
    </pivotField>
  </pivotFields>
  <rowFields>
    <field x="3"/>
  </rowFields>
  <colFields>
    <field x="-2"/>
  </colFields>
  <pageFields>
    <pageField fld="8"/>
  </pageFields>
  <dataFields>
    <dataField name="COUNTA of R Matemática" fld="7" subtotal="count" baseField="0"/>
    <dataField name="COUNTA of R Matemática" fld="7" subtotal="count" showDataAs="percentOfCol" baseField="0" numFmtId="10"/>
  </dataFields>
</pivotTableDefinition>
</file>

<file path=xl/pivotTables/pivotTable18.xml><?xml version="1.0" encoding="utf-8"?>
<pivotTableDefinition xmlns="http://schemas.openxmlformats.org/spreadsheetml/2006/main" name="resumen x colegio 6" cacheId="4" dataCaption="" colGrandTotals="0" compact="0" compactData="0">
  <location ref="M48:Q53" firstHeaderRow="0" firstDataRow="2" firstDataCol="1" rowPageCount="2"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h="1" x="0"/>
        <item h="1" x="1"/>
        <item h="1" x="2"/>
        <item h="1" x="3"/>
        <item h="1" x="4"/>
        <item x="5"/>
        <item t="default"/>
      </items>
    </pivotField>
    <pivotField name="Institución Educativa" axis="axisRow" compact="0" numFmtId="49" outline="0" multipleItemSelectionAllowed="1" showAll="0" sortType="ascending">
      <items>
        <item x="31"/>
        <item x="28"/>
        <item x="26"/>
        <item x="32"/>
        <item x="33"/>
        <item x="20"/>
        <item x="22"/>
        <item x="27"/>
        <item x="30"/>
        <item x="23"/>
        <item x="34"/>
        <item x="29"/>
        <item x="21"/>
        <item x="25"/>
        <item x="79"/>
        <item x="74"/>
        <item x="80"/>
        <item x="54"/>
        <item x="56"/>
        <item x="57"/>
        <item x="72"/>
        <item x="58"/>
        <item x="73"/>
        <item x="59"/>
        <item x="60"/>
        <item x="61"/>
        <item x="62"/>
        <item x="63"/>
        <item x="64"/>
        <item x="65"/>
        <item x="69"/>
        <item x="66"/>
        <item x="67"/>
        <item x="68"/>
        <item x="70"/>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55"/>
        <item x="3"/>
        <item x="81"/>
        <item x="82"/>
        <item x="53"/>
        <item x="83"/>
        <item x="24"/>
        <item x="75"/>
        <item x="76"/>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Page" compact="0" outline="0" multipleItemSelectionAllowed="1" showAll="0">
      <items>
        <item x="0"/>
        <item h="1" x="1"/>
        <item h="1" x="2"/>
        <item t="default"/>
      </items>
    </pivotField>
  </pivotFields>
  <rowFields>
    <field x="4"/>
  </rowFields>
  <colFields>
    <field x="7"/>
    <field x="-2"/>
  </colFields>
  <pageFields>
    <pageField fld="3"/>
    <pageField fld="8"/>
  </pageFields>
  <dataFields>
    <dataField name="COUNTA of R Matemática" fld="7" subtotal="count" baseField="0"/>
    <dataField name="COUNTA of R Matemática" fld="7" subtotal="count" showDataAs="percentOfRow" baseField="0" numFmtId="10"/>
  </dataFields>
</pivotTableDefinition>
</file>

<file path=xl/pivotTables/pivotTable19.xml><?xml version="1.0" encoding="utf-8"?>
<pivotTableDefinition xmlns="http://schemas.openxmlformats.org/spreadsheetml/2006/main" name="resumen x colegio 7" cacheId="3" dataCaption="" colGrandTotals="0" compact="0" compactData="0">
  <location ref="B239:H446" firstHeaderRow="0" firstDataRow="4"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Row" compact="0" numFmtId="49" outline="0" multipleItemSelectionAllowed="1" showAll="0" sortType="ascending">
      <items>
        <item x="5"/>
        <item x="0"/>
        <item x="1"/>
        <item x="2"/>
        <item x="3"/>
        <item x="4"/>
        <item t="default"/>
      </items>
    </pivotField>
    <pivotField name="Nivel" axis="axisRow" compact="0" numFmtId="49" outline="0" multipleItemSelectionAllowed="1" showAll="0" sortType="ascending" defaultSubtotal="0">
      <items>
        <item x="0"/>
        <item x="1"/>
      </items>
    </pivotField>
    <pivotField name="Grado" axis="axisRow" compact="0" outline="0" multipleItemSelectionAllowed="1" showAll="0" sortType="ascending">
      <items>
        <item x="0"/>
        <item x="3"/>
        <item x="1"/>
        <item x="4"/>
        <item x="2"/>
        <item t="default"/>
      </items>
    </pivotField>
    <pivotField name="Institución Educativa" axis="axisRow" compact="0" numFmtId="49" outline="0" multipleItemSelectionAllowed="1" showAll="0" sortType="ascending" defaultSubtotal="0">
      <items>
        <item x="31"/>
        <item x="28"/>
        <item x="26"/>
        <item x="32"/>
        <item x="33"/>
        <item x="20"/>
        <item x="22"/>
        <item x="27"/>
        <item x="30"/>
        <item x="23"/>
        <item x="34"/>
        <item x="29"/>
        <item x="21"/>
        <item x="25"/>
        <item x="79"/>
        <item x="74"/>
        <item x="80"/>
        <item x="54"/>
        <item x="56"/>
        <item x="57"/>
        <item x="72"/>
        <item x="58"/>
        <item x="73"/>
        <item x="59"/>
        <item x="60"/>
        <item x="61"/>
        <item x="62"/>
        <item x="63"/>
        <item x="64"/>
        <item x="65"/>
        <item x="69"/>
        <item x="66"/>
        <item x="67"/>
        <item x="68"/>
        <item x="70"/>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Col" dataField="1" compact="0" numFmtId="49" outline="0" multipleItemSelectionAllowed="1" showAll="0" sortType="ascending">
      <items>
        <item x="0"/>
        <item x="1"/>
        <item x="2"/>
        <item t="default"/>
      </items>
    </pivotField>
    <pivotField name="Año" axis="axisPage" compact="0" outline="0" multipleItemSelectionAllowed="1" showAll="0">
      <items>
        <item x="0"/>
        <item h="1" x="1"/>
        <item h="1" x="2"/>
        <item t="default"/>
      </items>
    </pivotField>
  </pivotFields>
  <rowFields>
    <field x="1"/>
    <field x="4"/>
    <field x="2"/>
    <field x="3"/>
  </rowFields>
  <colFields>
    <field x="7"/>
  </colFields>
  <pageFields>
    <pageField fld="8"/>
  </pageFields>
  <dataFields>
    <dataField name="%" fld="7" subtotal="count" showDataAs="percentOfRow" baseField="0" numFmtId="10"/>
  </dataFields>
</pivotTableDefinition>
</file>

<file path=xl/pivotTables/pivotTable20.xml><?xml version="1.0" encoding="utf-8"?>
<pivotTableDefinition xmlns="http://schemas.openxmlformats.org/spreadsheetml/2006/main" name="resumen x colegio 8" cacheId="5" dataCaption="" rowGrandTotals="0" colGrandTotals="0" compact="0" compactData="0">
  <location ref="B462:G751" firstHeaderRow="0" firstDataRow="3" firstDataCol="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t="default"/>
      </items>
    </pivotField>
    <pivotField name="Región" axis="axisRow" compact="0" numFmtId="49" outline="0" multipleItemSelectionAllowed="1" showAll="0" sortType="ascending" defaultSubtotal="0">
      <items>
        <item x="5"/>
        <item x="0"/>
        <item x="1"/>
        <item x="2"/>
        <item x="3"/>
        <item x="4"/>
      </items>
    </pivotField>
    <pivotField name="Nivel" compact="0" numFmtId="49" outline="0" multipleItemSelectionAllowed="1" showAll="0">
      <items>
        <item x="0"/>
        <item x="1"/>
        <item t="default"/>
      </items>
    </pivotField>
    <pivotField name="Grado" axis="axisRow" compact="0" outline="0" multipleItemSelectionAllowed="1" showAll="0" sortType="ascending">
      <items>
        <item x="5"/>
        <item x="0"/>
        <item x="3"/>
        <item x="1"/>
        <item x="4"/>
        <item x="6"/>
        <item x="2"/>
        <item t="default"/>
      </items>
    </pivotField>
    <pivotField name="Institución Educativa" axis="axisRow" compact="0" numFmtId="49" outline="0" multipleItemSelectionAllowed="1" showAll="0" sortType="ascending" defaultSubtotal="0">
      <items>
        <item x="31"/>
        <item x="28"/>
        <item x="26"/>
        <item x="32"/>
        <item x="91"/>
        <item x="33"/>
        <item x="20"/>
        <item x="22"/>
        <item x="27"/>
        <item x="30"/>
        <item x="23"/>
        <item x="34"/>
        <item x="29"/>
        <item x="21"/>
        <item x="25"/>
        <item x="79"/>
        <item x="74"/>
        <item x="80"/>
        <item x="54"/>
        <item x="56"/>
        <item x="57"/>
        <item x="72"/>
        <item x="58"/>
        <item x="73"/>
        <item x="59"/>
        <item x="60"/>
        <item x="88"/>
        <item x="86"/>
        <item x="84"/>
        <item x="61"/>
        <item x="62"/>
        <item x="63"/>
        <item x="64"/>
        <item x="65"/>
        <item x="69"/>
        <item x="66"/>
        <item x="67"/>
        <item x="68"/>
        <item x="89"/>
        <item x="70"/>
        <item x="85"/>
        <item x="87"/>
        <item x="71"/>
        <item x="1"/>
        <item x="5"/>
        <item x="11"/>
        <item x="13"/>
        <item x="19"/>
        <item x="7"/>
        <item x="0"/>
        <item x="8"/>
        <item x="16"/>
        <item x="2"/>
        <item x="14"/>
        <item x="6"/>
        <item x="18"/>
        <item x="9"/>
        <item x="17"/>
        <item x="15"/>
        <item x="4"/>
        <item x="10"/>
        <item x="12"/>
        <item x="47"/>
        <item x="40"/>
        <item x="41"/>
        <item x="77"/>
        <item x="52"/>
        <item x="42"/>
        <item x="44"/>
        <item x="51"/>
        <item x="48"/>
        <item x="46"/>
        <item x="43"/>
        <item x="45"/>
        <item x="50"/>
        <item x="49"/>
        <item x="36"/>
        <item x="39"/>
        <item x="35"/>
        <item x="78"/>
        <item x="38"/>
        <item x="37"/>
        <item x="90"/>
        <item x="55"/>
        <item x="3"/>
        <item x="81"/>
        <item x="82"/>
        <item x="53"/>
        <item x="83"/>
        <item x="24"/>
        <item x="75"/>
        <item x="76"/>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dataField="1" compact="0" numFmtId="49" outline="0" multipleItemSelectionAllowed="1" showAll="0">
      <items>
        <item x="0"/>
        <item x="1"/>
        <item x="2"/>
        <item t="default"/>
      </items>
    </pivotField>
    <pivotField name="Año" axis="axisCol" compact="0" outline="0" multipleItemSelectionAllowed="1" showAll="0" sortType="ascending">
      <items>
        <item x="2"/>
        <item x="1"/>
        <item x="0"/>
        <item t="default"/>
      </items>
    </pivotField>
  </pivotFields>
  <rowFields>
    <field x="1"/>
    <field x="4"/>
    <field x="3"/>
  </rowFields>
  <colFields>
    <field x="8"/>
  </colFields>
  <dataFields>
    <dataField name="COUNTA of R Matemática" fld="7" subtotal="count" baseField="0"/>
  </dataFields>
</pivotTableDefinition>
</file>

<file path=xl/pivotTables/pivotTable21.xml><?xml version="1.0" encoding="utf-8"?>
<pivotTableDefinition xmlns="http://schemas.openxmlformats.org/spreadsheetml/2006/main" name="xRed" cacheId="3" dataCaption="" colGrandTotals="0" compact="0" compactData="0">
  <location ref="C21:G27"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Page" compact="0" numFmtId="49" outline="0" multipleItemSelectionAllowed="1" showAll="0">
      <items>
        <item h="1" x="0"/>
        <item h="1" x="1"/>
        <item h="1" x="2"/>
        <item h="1" x="3"/>
        <item h="1" x="4"/>
        <item x="5"/>
        <item t="default"/>
      </items>
    </pivotField>
    <pivotField name="Nivel" compact="0" numFmtId="49" outline="0" multipleItemSelectionAllowed="1" showAll="0">
      <items>
        <item x="0"/>
        <item x="1"/>
        <item t="default"/>
      </items>
    </pivotField>
    <pivotField name="Grado"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1"/>
  </pageFields>
  <dataFields>
    <dataField name="COUNTA of R Matemática" fld="7" subtotal="count" baseField="0"/>
    <dataField name="COUNTA of R Matemática" fld="7" subtotal="count" showDataAs="percentOfCol" baseField="0" numFmtId="10"/>
  </dataFields>
</pivotTableDefinition>
</file>

<file path=xl/pivotTables/pivotTable22.xml><?xml version="1.0" encoding="utf-8"?>
<pivotTableDefinition xmlns="http://schemas.openxmlformats.org/spreadsheetml/2006/main" name="xRed 2" cacheId="3" dataCaption="" colGrandTotals="0" compact="0" compactData="0">
  <location ref="C52:I58"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Page" compact="0" numFmtId="49" outline="0" multipleItemSelectionAllowed="1" showAll="0">
      <items>
        <item x="0"/>
        <item h="1" x="1"/>
        <item h="1" x="2"/>
        <item h="1" x="3"/>
        <item h="1" x="4"/>
        <item h="1" x="5"/>
        <item t="default"/>
      </items>
    </pivotField>
    <pivotField name="Nivel" compact="0" numFmtId="49" outline="0" multipleItemSelectionAllowed="1" showAll="0">
      <items>
        <item x="0"/>
        <item x="1"/>
        <item t="default"/>
      </items>
    </pivotField>
    <pivotField name="Grado"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1"/>
  </pageFields>
  <dataFields>
    <dataField name="COUNTA of R Matemática" fld="7" subtotal="count" baseField="0"/>
    <dataField name="COUNTA of R Matemática" fld="7" subtotal="count" showDataAs="percentOfCol" baseField="0" numFmtId="10"/>
  </dataFields>
</pivotTableDefinition>
</file>

<file path=xl/pivotTables/pivotTable23.xml><?xml version="1.0" encoding="utf-8"?>
<pivotTableDefinition xmlns="http://schemas.openxmlformats.org/spreadsheetml/2006/main" name="xRed 3" cacheId="3" dataCaption="" colGrandTotals="0" compact="0" compactData="0">
  <location ref="C80:I86"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Page" compact="0" numFmtId="49" outline="0" multipleItemSelectionAllowed="1" showAll="0">
      <items>
        <item h="1" x="0"/>
        <item x="1"/>
        <item h="1" x="2"/>
        <item h="1" x="3"/>
        <item h="1" x="4"/>
        <item h="1" x="5"/>
        <item t="default"/>
      </items>
    </pivotField>
    <pivotField name="Nivel" compact="0" numFmtId="49" outline="0" multipleItemSelectionAllowed="1" showAll="0">
      <items>
        <item x="0"/>
        <item x="1"/>
        <item t="default"/>
      </items>
    </pivotField>
    <pivotField name="Grado"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1"/>
  </pageFields>
  <dataFields>
    <dataField name="COUNTA of R Matemática" fld="7" subtotal="count" baseField="0"/>
    <dataField name="COUNTA of R Matemática" fld="7" subtotal="count" showDataAs="percentOfCol" baseField="0" numFmtId="10"/>
  </dataFields>
</pivotTableDefinition>
</file>

<file path=xl/pivotTables/pivotTable24.xml><?xml version="1.0" encoding="utf-8"?>
<pivotTableDefinition xmlns="http://schemas.openxmlformats.org/spreadsheetml/2006/main" name="xRed 4" cacheId="3" dataCaption="" colGrandTotals="0" compact="0" compactData="0">
  <location ref="C110:I116"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Page" compact="0" numFmtId="49" outline="0" multipleItemSelectionAllowed="1" showAll="0">
      <items>
        <item h="1" x="0"/>
        <item h="1" x="1"/>
        <item x="2"/>
        <item h="1" x="3"/>
        <item h="1" x="4"/>
        <item h="1" x="5"/>
        <item t="default"/>
      </items>
    </pivotField>
    <pivotField name="Nivel" compact="0" numFmtId="49" outline="0" multipleItemSelectionAllowed="1" showAll="0">
      <items>
        <item x="0"/>
        <item x="1"/>
        <item t="default"/>
      </items>
    </pivotField>
    <pivotField name="Grado"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1"/>
  </pageFields>
  <dataFields>
    <dataField name="COUNTA of R Matemática" fld="7" subtotal="count" baseField="0"/>
    <dataField name="COUNTA of R Matemática" fld="7" subtotal="count" showDataAs="percentOfCol" baseField="0" numFmtId="10"/>
  </dataFields>
</pivotTableDefinition>
</file>

<file path=xl/pivotTables/pivotTable25.xml><?xml version="1.0" encoding="utf-8"?>
<pivotTableDefinition xmlns="http://schemas.openxmlformats.org/spreadsheetml/2006/main" name="xRed 5" cacheId="3" dataCaption="" colGrandTotals="0" compact="0" compactData="0">
  <location ref="C139:I145"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Page" compact="0" numFmtId="49" outline="0" multipleItemSelectionAllowed="1" showAll="0">
      <items>
        <item h="1" x="0"/>
        <item h="1" x="1"/>
        <item h="1" x="2"/>
        <item x="3"/>
        <item h="1" x="4"/>
        <item h="1" x="5"/>
        <item t="default"/>
      </items>
    </pivotField>
    <pivotField name="Nivel" compact="0" numFmtId="49" outline="0" multipleItemSelectionAllowed="1" showAll="0">
      <items>
        <item x="0"/>
        <item x="1"/>
        <item t="default"/>
      </items>
    </pivotField>
    <pivotField name="Grado"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1"/>
  </pageFields>
  <dataFields>
    <dataField name="COUNTA of R Matemática" fld="7" subtotal="count" baseField="0"/>
    <dataField name="COUNTA of R Matemática" fld="7" subtotal="count" showDataAs="percentOfCol" baseField="0" numFmtId="10"/>
  </dataFields>
</pivotTableDefinition>
</file>

<file path=xl/pivotTables/pivotTable26.xml><?xml version="1.0" encoding="utf-8"?>
<pivotTableDefinition xmlns="http://schemas.openxmlformats.org/spreadsheetml/2006/main" name="xRed 6" cacheId="3" dataCaption="" colGrandTotals="0" compact="0" compactData="0">
  <location ref="C172:I178"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axis="axisPage" compact="0" numFmtId="49" outline="0" multipleItemSelectionAllowed="1" showAll="0">
      <items>
        <item h="1" x="0"/>
        <item h="1" x="1"/>
        <item h="1" x="2"/>
        <item h="1" x="3"/>
        <item x="4"/>
        <item h="1" x="5"/>
        <item t="default"/>
      </items>
    </pivotField>
    <pivotField name="Nivel" compact="0" numFmtId="49" outline="0" multipleItemSelectionAllowed="1" showAll="0">
      <items>
        <item x="0"/>
        <item x="1"/>
        <item t="default"/>
      </items>
    </pivotField>
    <pivotField name="Grado" compact="0" outline="0" multipleItemSelectionAllowed="1" showAll="0">
      <items>
        <item x="0"/>
        <item x="1"/>
        <item x="2"/>
        <item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1"/>
  </pageFields>
  <dataFields>
    <dataField name="COUNTA of R Matemática" fld="7" subtotal="count" baseField="0"/>
    <dataField name="COUNTA of R Matemática" fld="7" subtotal="count" showDataAs="percentOfCol" baseField="0" numFmtId="10"/>
  </dataFields>
</pivotTableDefinition>
</file>

<file path=xl/pivotTables/pivotTable27.xml><?xml version="1.0" encoding="utf-8"?>
<pivotTableDefinition xmlns="http://schemas.openxmlformats.org/spreadsheetml/2006/main" name="XGrado" cacheId="4" dataCaption="" colGrandTotals="0" compact="0" compactData="0">
  <location ref="C21:G26"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h="1" x="0"/>
        <item h="1" x="1"/>
        <item h="1" x="2"/>
        <item h="1" x="3"/>
        <item h="1" x="4"/>
        <item x="5"/>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3"/>
  </pageFields>
  <dataFields>
    <dataField name="COUNTA of R Matemática" fld="7" subtotal="count" baseField="0"/>
    <dataField name="COUNTA of R Matemática" fld="7" subtotal="count" showDataAs="percentOfCol" baseField="0" numFmtId="10"/>
  </dataFields>
</pivotTableDefinition>
</file>

<file path=xl/pivotTables/pivotTable28.xml><?xml version="1.0" encoding="utf-8"?>
<pivotTableDefinition xmlns="http://schemas.openxmlformats.org/spreadsheetml/2006/main" name="XGrado 2" cacheId="3" dataCaption="" colGrandTotals="0" compact="0" compactData="0">
  <location ref="C52:I58"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x="0"/>
        <item h="1" x="1"/>
        <item h="1" x="2"/>
        <item h="1" x="3"/>
        <item h="1"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3"/>
  </pageFields>
  <dataFields>
    <dataField name="COUNTA of R Matemática" fld="7" subtotal="count" baseField="0"/>
    <dataField name="COUNTA of R Matemática" fld="7" subtotal="count" showDataAs="percentOfCol" baseField="0" numFmtId="10"/>
  </dataFields>
</pivotTableDefinition>
</file>

<file path=xl/pivotTables/pivotTable29.xml><?xml version="1.0" encoding="utf-8"?>
<pivotTableDefinition xmlns="http://schemas.openxmlformats.org/spreadsheetml/2006/main" name="XGrado 3" cacheId="3" dataCaption="" colGrandTotals="0" compact="0" compactData="0">
  <location ref="C83:I89"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h="1" x="0"/>
        <item h="1" x="1"/>
        <item x="2"/>
        <item h="1" x="3"/>
        <item h="1"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3"/>
  </pageFields>
  <dataFields>
    <dataField name="COUNTA of R Matemática" fld="7" subtotal="count" baseField="0"/>
    <dataField name="COUNTA of R Matemática" fld="7" subtotal="count" showDataAs="percentOfCol" baseField="0" numFmtId="10"/>
  </dataFields>
</pivotTableDefinition>
</file>

<file path=xl/pivotTables/pivotTable30.xml><?xml version="1.0" encoding="utf-8"?>
<pivotTableDefinition xmlns="http://schemas.openxmlformats.org/spreadsheetml/2006/main" name="XGrado 4" cacheId="3" dataCaption="" colGrandTotals="0" compact="0" compactData="0">
  <location ref="C113:I119"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h="1" x="0"/>
        <item h="1" x="1"/>
        <item x="2"/>
        <item h="1" x="3"/>
        <item h="1"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3"/>
  </pageFields>
  <dataFields>
    <dataField name="COUNTA of R Matemática" fld="7" subtotal="count" baseField="0"/>
    <dataField name="COUNTA of R Matemática" fld="7" subtotal="count" showDataAs="percentOfCol" baseField="0" numFmtId="10"/>
  </dataFields>
</pivotTableDefinition>
</file>

<file path=xl/pivotTables/pivotTable31.xml><?xml version="1.0" encoding="utf-8"?>
<pivotTableDefinition xmlns="http://schemas.openxmlformats.org/spreadsheetml/2006/main" name="XGrado 5" cacheId="3" dataCaption="" colGrandTotals="0" compact="0" compactData="0">
  <location ref="C145:I151"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h="1" x="0"/>
        <item h="1" x="1"/>
        <item h="1" x="2"/>
        <item x="3"/>
        <item h="1"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3"/>
  </pageFields>
  <dataFields>
    <dataField name="COUNTA of R Matemática" fld="7" subtotal="count" baseField="0"/>
    <dataField name="COUNTA of R Matemática" fld="7" subtotal="count" showDataAs="percentOfCol" baseField="0" numFmtId="10"/>
  </dataFields>
</pivotTableDefinition>
</file>

<file path=xl/pivotTables/pivotTable32.xml><?xml version="1.0" encoding="utf-8"?>
<pivotTableDefinition xmlns="http://schemas.openxmlformats.org/spreadsheetml/2006/main" name="XGrado 6" cacheId="3" dataCaption="" colGrandTotals="0" compact="0" compactData="0">
  <location ref="C177:I182" firstHeaderRow="0" firstDataRow="2" firstDataCol="1" rowPageCount="1" colPageCount="1"/>
  <pivotFields>
    <pivotField name="Estudia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t="default"/>
      </items>
    </pivotField>
    <pivotField name="Región" compact="0" numFmtId="49" outline="0" multipleItemSelectionAllowed="1" showAll="0">
      <items>
        <item x="0"/>
        <item x="1"/>
        <item x="2"/>
        <item x="3"/>
        <item x="4"/>
        <item x="5"/>
        <item t="default"/>
      </items>
    </pivotField>
    <pivotField name="Nivel" compact="0" numFmtId="49" outline="0" multipleItemSelectionAllowed="1" showAll="0">
      <items>
        <item x="0"/>
        <item x="1"/>
        <item t="default"/>
      </items>
    </pivotField>
    <pivotField name="Grado" axis="axisPage" compact="0" outline="0" multipleItemSelectionAllowed="1" showAll="0">
      <items>
        <item h="1" x="0"/>
        <item h="1" x="1"/>
        <item h="1" x="2"/>
        <item h="1" x="3"/>
        <item x="4"/>
        <item t="default"/>
      </items>
    </pivotField>
    <pivotField name="Institución Educativa"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t="default"/>
      </items>
    </pivotField>
    <pivotField name="Ambito" compact="0" numFmtId="49" outline="0" multipleItemSelectionAllowed="1" showAll="0">
      <items>
        <item x="0"/>
        <item t="default"/>
      </items>
    </pivotField>
    <pivotField name="Sexo" compact="0" numFmtId="49" outline="0" multipleItemSelectionAllowed="1" showAll="0">
      <items>
        <item x="0"/>
        <item x="1"/>
        <item t="default"/>
      </items>
    </pivotField>
    <pivotField name="R Matemática" axis="axisRow" dataField="1" compact="0" numFmtId="49" outline="0" multipleItemSelectionAllowed="1" showAll="0" sortType="ascending">
      <items>
        <item x="0"/>
        <item x="1"/>
        <item x="2"/>
        <item t="default"/>
      </items>
    </pivotField>
    <pivotField name="Año" axis="axisCol" compact="0" outline="0" multipleItemSelectionAllowed="1" showAll="0" sortType="ascending">
      <items>
        <item x="2"/>
        <item x="1"/>
        <item x="0"/>
        <item t="default"/>
      </items>
    </pivotField>
  </pivotFields>
  <rowFields>
    <field x="7"/>
  </rowFields>
  <colFields>
    <field x="8"/>
    <field x="-2"/>
  </colFields>
  <pageFields>
    <pageField fld="3"/>
  </pageFields>
  <dataFields>
    <dataField name="COUNTA of R Matemática" fld="7" subtotal="count" baseField="0"/>
    <dataField name="COUNTA of R Matemática" fld="7" subtotal="count" showDataAs="percentOfCol" baseField="0" numFmtId="10"/>
  </dataFields>
</pivotTableDefinition>
</file>

<file path=xl/pivotTables/pivotTable33.xml><?xml version="1.0" encoding="utf-8"?>
<pivotTableDefinition xmlns="http://schemas.openxmlformats.org/spreadsheetml/2006/main" name="filtro" cacheId="6" dataCaption="" compact="0" compactData="0">
  <location ref="B50:J59" firstHeaderRow="0" firstDataRow="1" firstDataCol="2" rowPageCount="1" colPageCount="1"/>
  <pivotFields>
    <pivotField name="COMPONENTE" axis="axisPage" compact="0" outline="0" multipleItemSelectionAllowed="1" showAll="0">
      <items>
        <item x="0"/>
        <item h="1" x="1"/>
        <item h="1" x="2"/>
        <item h="1" x="3"/>
        <item h="1" x="4"/>
        <item t="default"/>
      </items>
    </pivotField>
    <pivotField name="ENCUESTADO" compact="0" outline="0" multipleItemSelectionAllowed="1" showAll="0">
      <items>
        <item x="0"/>
        <item x="1"/>
        <item x="2"/>
        <item x="3"/>
        <item t="default"/>
      </items>
    </pivotField>
    <pivotField name="NIVEL" axis="axisCol" compact="0" outline="0" multipleItemSelectionAllowed="1" showAll="0" sortType="ascending">
      <items>
        <item h="1" x="1"/>
        <item h="1" x="3"/>
        <item x="0"/>
        <item x="2"/>
        <item t="default"/>
      </items>
    </pivotField>
    <pivotField name="RED" axis="axisRow" compact="0" outline="0" multipleItemSelectionAllowed="1" showAll="0" sortType="ascending">
      <items>
        <item x="1"/>
        <item x="0"/>
        <item x="2"/>
        <item x="3"/>
        <item x="4"/>
        <item x="5"/>
        <item x="6"/>
        <item t="default"/>
      </items>
    </pivotField>
    <pivotField name="ID. Grado" compact="0" numFmtId="1" outline="0" multipleItemSelectionAllowed="1" showAll="0">
      <items>
        <item x="0"/>
        <item x="1"/>
        <item x="2"/>
        <item x="3"/>
        <item x="4"/>
        <item x="5"/>
        <item x="6"/>
        <item x="7"/>
        <item x="8"/>
        <item t="default"/>
      </items>
    </pivotField>
    <pivotField name="Grado" axis="axisCol" compact="0" outline="0" multipleItemSelectionAllowed="1" showAll="0" sortType="ascending">
      <items>
        <item x="4"/>
        <item x="3"/>
        <item x="0"/>
        <item x="1"/>
        <item x="5"/>
        <item x="2"/>
        <item t="default"/>
      </items>
    </pivotField>
    <pivotField name="Sección" compact="0" outline="0" multipleItemSelectionAllowed="1" showAll="0">
      <items>
        <item x="0"/>
        <item x="1"/>
        <item x="2"/>
        <item x="3"/>
        <item t="default"/>
      </items>
    </pivotField>
    <pivotField name="COLEG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uestra"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s>
  <rowFields>
    <field x="3"/>
  </rowFields>
  <colFields>
    <field x="2"/>
    <field x="5"/>
  </colFields>
  <pageFields>
    <pageField fld="0"/>
  </pageFields>
  <dataFields>
    <dataField name="SUM of Muestra" fld="8" baseField="0"/>
  </dataFields>
</pivotTableDefinition>
</file>

<file path=xl/pivotTables/pivotTable34.xml><?xml version="1.0" encoding="utf-8"?>
<pivotTableDefinition xmlns="http://schemas.openxmlformats.org/spreadsheetml/2006/main" name="Hoja 18" cacheId="6" dataCaption="" compact="0" compactData="0">
  <location ref="B3:J12" firstHeaderRow="0" firstDataRow="1" firstDataCol="2" rowPageCount="1" colPageCount="1"/>
  <pivotFields>
    <pivotField name="COMPONENTE" axis="axisPage" compact="0" outline="0" multipleItemSelectionAllowed="1" showAll="0">
      <items>
        <item x="0"/>
        <item h="1" x="1"/>
        <item h="1" x="2"/>
        <item h="1" x="3"/>
        <item h="1" x="4"/>
        <item t="default"/>
      </items>
    </pivotField>
    <pivotField name="ENCUESTADO" compact="0" outline="0" multipleItemSelectionAllowed="1" showAll="0">
      <items>
        <item x="0"/>
        <item x="1"/>
        <item x="2"/>
        <item x="3"/>
        <item t="default"/>
      </items>
    </pivotField>
    <pivotField name="NIVEL" axis="axisCol" compact="0" outline="0" multipleItemSelectionAllowed="1" showAll="0" sortType="ascending">
      <items>
        <item x="1"/>
        <item x="3"/>
        <item x="0"/>
        <item x="2"/>
        <item t="default"/>
      </items>
    </pivotField>
    <pivotField name="RED" axis="axisRow" compact="0" outline="0" multipleItemSelectionAllowed="1" showAll="0" sortType="ascending">
      <items>
        <item x="1"/>
        <item x="0"/>
        <item x="2"/>
        <item x="3"/>
        <item x="4"/>
        <item x="5"/>
        <item x="6"/>
        <item t="default"/>
      </items>
    </pivotField>
    <pivotField name="ID. Grado" compact="0" numFmtId="1" outline="0" multipleItemSelectionAllowed="1" showAll="0">
      <items>
        <item x="0"/>
        <item x="1"/>
        <item x="2"/>
        <item x="3"/>
        <item x="4"/>
        <item x="5"/>
        <item x="6"/>
        <item x="7"/>
        <item x="8"/>
        <item t="default"/>
      </items>
    </pivotField>
    <pivotField name="Grado" axis="axisCol" compact="0" outline="0" multipleItemSelectionAllowed="1" showAll="0" sortType="ascending">
      <items>
        <item x="4"/>
        <item x="3"/>
        <item x="0"/>
        <item x="1"/>
        <item x="5"/>
        <item x="2"/>
        <item t="default"/>
      </items>
    </pivotField>
    <pivotField name="Sección" compact="0" outline="0" multipleItemSelectionAllowed="1" showAll="0">
      <items>
        <item x="0"/>
        <item x="1"/>
        <item x="2"/>
        <item x="3"/>
        <item t="default"/>
      </items>
    </pivotField>
    <pivotField name="COLEG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Muestra"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s>
  <rowFields>
    <field x="3"/>
  </rowFields>
  <colFields>
    <field x="2"/>
    <field x="5"/>
  </colFields>
  <pageFields>
    <pageField fld="0"/>
  </pageFields>
  <dataFields>
    <dataField name="SUM of Muestra" fld="8" baseField="0"/>
  </dataFields>
</pivotTableDefinition>
</file>

<file path=xl/tables/table1.xml><?xml version="1.0" encoding="utf-8"?>
<table xmlns="http://schemas.openxmlformats.org/spreadsheetml/2006/main" headerRowCount="0" ref="A1:BD50" displayName="Table_1" name="Table_1" id="1">
  <tableColumns count="5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s>
  <tableStyleInfo name="Datos2-En proceso-202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pivotTable" Target="../pivotTables/pivotTable15.xml"/><Relationship Id="rId4" Type="http://schemas.openxmlformats.org/officeDocument/2006/relationships/pivotTable" Target="../pivotTables/pivotTable16.xml"/><Relationship Id="rId9" Type="http://schemas.openxmlformats.org/officeDocument/2006/relationships/drawing" Target="../drawings/drawing12.xml"/><Relationship Id="rId5" Type="http://schemas.openxmlformats.org/officeDocument/2006/relationships/pivotTable" Target="../pivotTables/pivotTable17.xml"/><Relationship Id="rId6" Type="http://schemas.openxmlformats.org/officeDocument/2006/relationships/pivotTable" Target="../pivotTables/pivotTable18.xml"/><Relationship Id="rId7" Type="http://schemas.openxmlformats.org/officeDocument/2006/relationships/pivotTable" Target="../pivotTables/pivotTable19.xml"/><Relationship Id="rId8"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pivotTable" Target="../pivotTables/pivotTable22.xml"/><Relationship Id="rId3" Type="http://schemas.openxmlformats.org/officeDocument/2006/relationships/pivotTable" Target="../pivotTables/pivotTable23.xml"/><Relationship Id="rId4" Type="http://schemas.openxmlformats.org/officeDocument/2006/relationships/pivotTable" Target="../pivotTables/pivotTable24.xml"/><Relationship Id="rId5" Type="http://schemas.openxmlformats.org/officeDocument/2006/relationships/pivotTable" Target="../pivotTables/pivotTable25.xml"/><Relationship Id="rId6" Type="http://schemas.openxmlformats.org/officeDocument/2006/relationships/pivotTable" Target="../pivotTables/pivotTable26.xm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7.xml"/><Relationship Id="rId2" Type="http://schemas.openxmlformats.org/officeDocument/2006/relationships/pivotTable" Target="../pivotTables/pivotTable28.xml"/><Relationship Id="rId3" Type="http://schemas.openxmlformats.org/officeDocument/2006/relationships/pivotTable" Target="../pivotTables/pivotTable29.xml"/><Relationship Id="rId4" Type="http://schemas.openxmlformats.org/officeDocument/2006/relationships/pivotTable" Target="../pivotTables/pivotTable30.xml"/><Relationship Id="rId5" Type="http://schemas.openxmlformats.org/officeDocument/2006/relationships/pivotTable" Target="../pivotTables/pivotTable31.xml"/><Relationship Id="rId6" Type="http://schemas.openxmlformats.org/officeDocument/2006/relationships/pivotTable" Target="../pivotTables/pivotTable32.xm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3.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4.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8.38"/>
    <col customWidth="1" min="3" max="3" width="10.38"/>
    <col customWidth="1" min="4" max="4" width="17.38"/>
    <col customWidth="1" min="5" max="5" width="21.25"/>
    <col customWidth="1" min="6" max="7" width="8.5"/>
    <col customWidth="1" min="8" max="8" width="12.25"/>
    <col customWidth="1" min="9" max="9" width="8.5"/>
    <col customWidth="1" min="10" max="11" width="18.38"/>
    <col customWidth="1" min="12" max="12" width="30.5"/>
    <col customWidth="1" min="13" max="20" width="17.75"/>
  </cols>
  <sheetData>
    <row r="1" ht="14.25" customHeight="1">
      <c r="A1" s="1" t="s">
        <v>0</v>
      </c>
      <c r="B1" s="2" t="s">
        <v>1</v>
      </c>
      <c r="C1" s="3" t="s">
        <v>2</v>
      </c>
      <c r="D1" s="1" t="s">
        <v>3</v>
      </c>
      <c r="E1" s="4" t="s">
        <v>4</v>
      </c>
      <c r="F1" s="5" t="s">
        <v>5</v>
      </c>
      <c r="G1" s="1" t="s">
        <v>6</v>
      </c>
      <c r="H1" s="6" t="s">
        <v>7</v>
      </c>
      <c r="I1" s="3" t="s">
        <v>8</v>
      </c>
      <c r="J1" s="7" t="s">
        <v>9</v>
      </c>
      <c r="K1" s="8" t="s">
        <v>10</v>
      </c>
      <c r="L1" s="8" t="s">
        <v>11</v>
      </c>
      <c r="M1" s="9" t="s">
        <v>12</v>
      </c>
      <c r="N1" s="10"/>
      <c r="O1" s="10"/>
      <c r="P1" s="10"/>
      <c r="Q1" s="10"/>
      <c r="R1" s="10"/>
      <c r="S1" s="10"/>
      <c r="T1" s="10"/>
    </row>
    <row r="2" ht="14.25" customHeight="1">
      <c r="A2" s="11">
        <v>1.0</v>
      </c>
      <c r="B2" s="12" t="s">
        <v>13</v>
      </c>
      <c r="C2" s="12" t="s">
        <v>14</v>
      </c>
      <c r="D2" s="13" t="s">
        <v>15</v>
      </c>
      <c r="E2" s="12" t="str">
        <f>IFERROR(__xludf.DUMMYFUNCTION("FILTER(colegios!$B$2:$B5618,colegios!$A$2:$A5618=L2)"),"60136")</f>
        <v>60136</v>
      </c>
      <c r="F2" s="14" t="s">
        <v>16</v>
      </c>
      <c r="G2" s="14" t="s">
        <v>17</v>
      </c>
      <c r="H2" s="12" t="s">
        <v>18</v>
      </c>
      <c r="I2" s="15">
        <v>2024.0</v>
      </c>
      <c r="J2" s="16" t="str">
        <f>IFERROR(__xludf.DUMMYFUNCTION("FILTER('CLASFICACIÓN'!$F$3:$F5618,'CLASFICACIÓN'!$G$3:$G5618=M2)"),"SOLO 2024")</f>
        <v>SOLO 2024</v>
      </c>
      <c r="K2" s="16"/>
      <c r="L2" s="12" t="s">
        <v>19</v>
      </c>
      <c r="M2" s="16" t="str">
        <f t="shared" ref="M2:M5618" si="1">E2&amp;D2</f>
        <v>601362 Primaria</v>
      </c>
      <c r="N2" s="17"/>
      <c r="O2" s="17"/>
      <c r="P2" s="17"/>
      <c r="Q2" s="17"/>
      <c r="R2" s="17"/>
      <c r="S2" s="17"/>
      <c r="T2" s="17"/>
    </row>
    <row r="3" ht="14.25" customHeight="1">
      <c r="A3" s="11">
        <v>2.0</v>
      </c>
      <c r="B3" s="12" t="s">
        <v>13</v>
      </c>
      <c r="C3" s="12" t="s">
        <v>14</v>
      </c>
      <c r="D3" s="13" t="s">
        <v>20</v>
      </c>
      <c r="E3" s="12" t="str">
        <f>IFERROR(__xludf.DUMMYFUNCTION("FILTER(colegios!$B$2:$B5618,colegios!$A$2:$A5618=L3)"),"60136")</f>
        <v>60136</v>
      </c>
      <c r="F3" s="14" t="s">
        <v>16</v>
      </c>
      <c r="G3" s="14" t="s">
        <v>21</v>
      </c>
      <c r="H3" s="12" t="s">
        <v>18</v>
      </c>
      <c r="I3" s="15">
        <v>2024.0</v>
      </c>
      <c r="J3" s="16" t="str">
        <f>IFERROR(__xludf.DUMMYFUNCTION("FILTER('CLASFICACIÓN'!$F$3:$F5618,'CLASFICACIÓN'!$G$3:$G5618=M3)"),"SOLO 2024")</f>
        <v>SOLO 2024</v>
      </c>
      <c r="K3" s="16"/>
      <c r="L3" s="12" t="s">
        <v>19</v>
      </c>
      <c r="M3" s="16" t="str">
        <f t="shared" si="1"/>
        <v>601364 Primaria</v>
      </c>
      <c r="N3" s="17"/>
      <c r="O3" s="17"/>
      <c r="P3" s="17"/>
      <c r="Q3" s="17"/>
      <c r="R3" s="17"/>
      <c r="S3" s="17"/>
      <c r="T3" s="17"/>
    </row>
    <row r="4" ht="14.25" customHeight="1">
      <c r="A4" s="11">
        <v>3.0</v>
      </c>
      <c r="B4" s="12" t="s">
        <v>13</v>
      </c>
      <c r="C4" s="12" t="s">
        <v>14</v>
      </c>
      <c r="D4" s="13" t="s">
        <v>20</v>
      </c>
      <c r="E4" s="12" t="str">
        <f>IFERROR(__xludf.DUMMYFUNCTION("FILTER(colegios!$B$2:$B5618,colegios!$A$2:$A5618=L4)"),"60136")</f>
        <v>60136</v>
      </c>
      <c r="F4" s="14" t="s">
        <v>16</v>
      </c>
      <c r="G4" s="14" t="s">
        <v>17</v>
      </c>
      <c r="H4" s="12" t="s">
        <v>18</v>
      </c>
      <c r="I4" s="15">
        <v>2024.0</v>
      </c>
      <c r="J4" s="16" t="str">
        <f>IFERROR(__xludf.DUMMYFUNCTION("FILTER('CLASFICACIÓN'!$F$3:$F5618,'CLASFICACIÓN'!$G$3:$G5618=M4)"),"SOLO 2024")</f>
        <v>SOLO 2024</v>
      </c>
      <c r="K4" s="16"/>
      <c r="L4" s="12" t="s">
        <v>19</v>
      </c>
      <c r="M4" s="16" t="str">
        <f t="shared" si="1"/>
        <v>601364 Primaria</v>
      </c>
      <c r="N4" s="17"/>
      <c r="O4" s="17"/>
      <c r="P4" s="17"/>
      <c r="Q4" s="17"/>
      <c r="R4" s="17"/>
      <c r="S4" s="17"/>
      <c r="T4" s="17"/>
    </row>
    <row r="5" ht="14.25" customHeight="1">
      <c r="A5" s="11">
        <v>4.0</v>
      </c>
      <c r="B5" s="12" t="s">
        <v>13</v>
      </c>
      <c r="C5" s="12" t="s">
        <v>14</v>
      </c>
      <c r="D5" s="13" t="s">
        <v>22</v>
      </c>
      <c r="E5" s="12" t="str">
        <f>IFERROR(__xludf.DUMMYFUNCTION("FILTER(colegios!$B$2:$B5618,colegios!$A$2:$A5618=L5)"),"60136")</f>
        <v>60136</v>
      </c>
      <c r="F5" s="14" t="s">
        <v>16</v>
      </c>
      <c r="G5" s="12" t="s">
        <v>21</v>
      </c>
      <c r="H5" s="12" t="s">
        <v>18</v>
      </c>
      <c r="I5" s="15">
        <v>2024.0</v>
      </c>
      <c r="J5" s="16" t="str">
        <f>IFERROR(__xludf.DUMMYFUNCTION("FILTER('CLASFICACIÓN'!$F$3:$F5618,'CLASFICACIÓN'!$G$3:$G5618=M5)"),"SOLO 2024")</f>
        <v>SOLO 2024</v>
      </c>
      <c r="K5" s="16"/>
      <c r="L5" s="12" t="s">
        <v>23</v>
      </c>
      <c r="M5" s="16" t="str">
        <f t="shared" si="1"/>
        <v>601366 Primaria</v>
      </c>
      <c r="N5" s="17"/>
      <c r="O5" s="17"/>
      <c r="P5" s="17"/>
      <c r="Q5" s="17"/>
      <c r="R5" s="17"/>
      <c r="S5" s="17"/>
      <c r="T5" s="17"/>
    </row>
    <row r="6" ht="14.25" customHeight="1">
      <c r="A6" s="11">
        <v>5.0</v>
      </c>
      <c r="B6" s="12" t="s">
        <v>13</v>
      </c>
      <c r="C6" s="12" t="s">
        <v>14</v>
      </c>
      <c r="D6" s="13" t="s">
        <v>22</v>
      </c>
      <c r="E6" s="12" t="str">
        <f>IFERROR(__xludf.DUMMYFUNCTION("FILTER(colegios!$B$2:$B5618,colegios!$A$2:$A5618=L6)"),"60136")</f>
        <v>60136</v>
      </c>
      <c r="F6" s="14" t="s">
        <v>16</v>
      </c>
      <c r="G6" s="14" t="s">
        <v>17</v>
      </c>
      <c r="H6" s="12" t="s">
        <v>18</v>
      </c>
      <c r="I6" s="15">
        <v>2024.0</v>
      </c>
      <c r="J6" s="16" t="str">
        <f>IFERROR(__xludf.DUMMYFUNCTION("FILTER('CLASFICACIÓN'!$F$3:$F5618,'CLASFICACIÓN'!$G$3:$G5618=M6)"),"SOLO 2024")</f>
        <v>SOLO 2024</v>
      </c>
      <c r="K6" s="16"/>
      <c r="L6" s="12" t="s">
        <v>19</v>
      </c>
      <c r="M6" s="16" t="str">
        <f t="shared" si="1"/>
        <v>601366 Primaria</v>
      </c>
      <c r="N6" s="17"/>
      <c r="O6" s="17"/>
      <c r="P6" s="17"/>
      <c r="Q6" s="17"/>
      <c r="R6" s="17"/>
      <c r="S6" s="17"/>
      <c r="T6" s="17"/>
    </row>
    <row r="7" ht="14.25" customHeight="1">
      <c r="A7" s="11">
        <v>6.0</v>
      </c>
      <c r="B7" s="12" t="s">
        <v>13</v>
      </c>
      <c r="C7" s="12" t="s">
        <v>14</v>
      </c>
      <c r="D7" s="13" t="s">
        <v>15</v>
      </c>
      <c r="E7" s="12" t="str">
        <f>IFERROR(__xludf.DUMMYFUNCTION("FILTER(colegios!$B$2:$B5618,colegios!$A$2:$A5618=L7)"),"6010102")</f>
        <v>6010102</v>
      </c>
      <c r="F7" s="14" t="s">
        <v>16</v>
      </c>
      <c r="G7" s="12" t="s">
        <v>21</v>
      </c>
      <c r="H7" s="12" t="s">
        <v>24</v>
      </c>
      <c r="I7" s="15">
        <v>2024.0</v>
      </c>
      <c r="J7" s="16" t="str">
        <f>IFERROR(__xludf.DUMMYFUNCTION("FILTER('CLASFICACIÓN'!$F$3:$F5618,'CLASFICACIÓN'!$G$3:$G5618=M7)"),"SOLO 2024")</f>
        <v>SOLO 2024</v>
      </c>
      <c r="K7" s="16"/>
      <c r="L7" s="12" t="s">
        <v>25</v>
      </c>
      <c r="M7" s="16" t="str">
        <f t="shared" si="1"/>
        <v>60101022 Primaria</v>
      </c>
      <c r="N7" s="17"/>
      <c r="O7" s="17"/>
      <c r="P7" s="17"/>
      <c r="Q7" s="17"/>
      <c r="R7" s="17"/>
      <c r="S7" s="17"/>
      <c r="T7" s="17"/>
    </row>
    <row r="8" ht="14.25" customHeight="1">
      <c r="A8" s="11">
        <v>7.0</v>
      </c>
      <c r="B8" s="12" t="s">
        <v>13</v>
      </c>
      <c r="C8" s="12" t="s">
        <v>14</v>
      </c>
      <c r="D8" s="13" t="s">
        <v>15</v>
      </c>
      <c r="E8" s="12" t="str">
        <f>IFERROR(__xludf.DUMMYFUNCTION("FILTER(colegios!$B$2:$B5618,colegios!$A$2:$A5618=L8)"),"6010102")</f>
        <v>6010102</v>
      </c>
      <c r="F8" s="14" t="s">
        <v>16</v>
      </c>
      <c r="G8" s="12" t="s">
        <v>21</v>
      </c>
      <c r="H8" s="12" t="s">
        <v>18</v>
      </c>
      <c r="I8" s="15">
        <v>2024.0</v>
      </c>
      <c r="J8" s="16" t="str">
        <f>IFERROR(__xludf.DUMMYFUNCTION("FILTER('CLASFICACIÓN'!$F$3:$F5618,'CLASFICACIÓN'!$G$3:$G5618=M8)"),"SOLO 2024")</f>
        <v>SOLO 2024</v>
      </c>
      <c r="K8" s="16"/>
      <c r="L8" s="12" t="s">
        <v>25</v>
      </c>
      <c r="M8" s="16" t="str">
        <f t="shared" si="1"/>
        <v>60101022 Primaria</v>
      </c>
      <c r="N8" s="17"/>
      <c r="O8" s="17"/>
      <c r="P8" s="17"/>
      <c r="Q8" s="17"/>
      <c r="R8" s="17"/>
      <c r="S8" s="17"/>
      <c r="T8" s="17"/>
    </row>
    <row r="9" ht="14.25" customHeight="1">
      <c r="A9" s="11">
        <v>8.0</v>
      </c>
      <c r="B9" s="12" t="s">
        <v>13</v>
      </c>
      <c r="C9" s="12" t="s">
        <v>14</v>
      </c>
      <c r="D9" s="13" t="s">
        <v>15</v>
      </c>
      <c r="E9" s="12" t="str">
        <f>IFERROR(__xludf.DUMMYFUNCTION("FILTER(colegios!$B$2:$B5618,colegios!$A$2:$A5618=L9)"),"6010102")</f>
        <v>6010102</v>
      </c>
      <c r="F9" s="14" t="s">
        <v>16</v>
      </c>
      <c r="G9" s="12" t="s">
        <v>21</v>
      </c>
      <c r="H9" s="12" t="s">
        <v>18</v>
      </c>
      <c r="I9" s="15">
        <v>2024.0</v>
      </c>
      <c r="J9" s="16" t="str">
        <f>IFERROR(__xludf.DUMMYFUNCTION("FILTER('CLASFICACIÓN'!$F$3:$F5618,'CLASFICACIÓN'!$G$3:$G5618=M9)"),"SOLO 2024")</f>
        <v>SOLO 2024</v>
      </c>
      <c r="K9" s="16"/>
      <c r="L9" s="12" t="s">
        <v>25</v>
      </c>
      <c r="M9" s="16" t="str">
        <f t="shared" si="1"/>
        <v>60101022 Primaria</v>
      </c>
      <c r="N9" s="17"/>
      <c r="O9" s="17"/>
      <c r="P9" s="17"/>
      <c r="Q9" s="17"/>
      <c r="R9" s="17"/>
      <c r="S9" s="17"/>
      <c r="T9" s="17"/>
    </row>
    <row r="10" ht="14.25" customHeight="1">
      <c r="A10" s="11">
        <v>9.0</v>
      </c>
      <c r="B10" s="12" t="s">
        <v>13</v>
      </c>
      <c r="C10" s="12" t="s">
        <v>14</v>
      </c>
      <c r="D10" s="13" t="s">
        <v>20</v>
      </c>
      <c r="E10" s="12" t="str">
        <f>IFERROR(__xludf.DUMMYFUNCTION("FILTER(colegios!$B$2:$B5618,colegios!$A$2:$A5618=L10)"),"6010102")</f>
        <v>6010102</v>
      </c>
      <c r="F10" s="14" t="s">
        <v>16</v>
      </c>
      <c r="G10" s="14" t="s">
        <v>21</v>
      </c>
      <c r="H10" s="12" t="s">
        <v>24</v>
      </c>
      <c r="I10" s="15">
        <v>2024.0</v>
      </c>
      <c r="J10" s="16" t="str">
        <f>IFERROR(__xludf.DUMMYFUNCTION("FILTER('CLASFICACIÓN'!$F$3:$F5618,'CLASFICACIÓN'!$G$3:$G5618=M10)"),"SOLO 2024")</f>
        <v>SOLO 2024</v>
      </c>
      <c r="K10" s="16"/>
      <c r="L10" s="12" t="s">
        <v>25</v>
      </c>
      <c r="M10" s="16" t="str">
        <f t="shared" si="1"/>
        <v>60101024 Primaria</v>
      </c>
      <c r="N10" s="17"/>
      <c r="O10" s="17"/>
      <c r="P10" s="17"/>
      <c r="Q10" s="17"/>
      <c r="R10" s="17"/>
      <c r="S10" s="17"/>
      <c r="T10" s="17"/>
    </row>
    <row r="11" ht="14.25" customHeight="1">
      <c r="A11" s="11">
        <v>10.0</v>
      </c>
      <c r="B11" s="12" t="s">
        <v>13</v>
      </c>
      <c r="C11" s="12" t="s">
        <v>14</v>
      </c>
      <c r="D11" s="13" t="s">
        <v>20</v>
      </c>
      <c r="E11" s="12" t="str">
        <f>IFERROR(__xludf.DUMMYFUNCTION("FILTER(colegios!$B$2:$B5618,colegios!$A$2:$A5618=L11)"),"6010102")</f>
        <v>6010102</v>
      </c>
      <c r="F11" s="14" t="s">
        <v>16</v>
      </c>
      <c r="G11" s="12" t="s">
        <v>17</v>
      </c>
      <c r="H11" s="12" t="s">
        <v>24</v>
      </c>
      <c r="I11" s="15">
        <v>2024.0</v>
      </c>
      <c r="J11" s="16" t="str">
        <f>IFERROR(__xludf.DUMMYFUNCTION("FILTER('CLASFICACIÓN'!$F$3:$F5618,'CLASFICACIÓN'!$G$3:$G5618=M11)"),"SOLO 2024")</f>
        <v>SOLO 2024</v>
      </c>
      <c r="K11" s="16"/>
      <c r="L11" s="12" t="s">
        <v>25</v>
      </c>
      <c r="M11" s="16" t="str">
        <f t="shared" si="1"/>
        <v>60101024 Primaria</v>
      </c>
      <c r="N11" s="17"/>
      <c r="O11" s="17"/>
      <c r="P11" s="17"/>
      <c r="Q11" s="17"/>
      <c r="R11" s="17"/>
      <c r="S11" s="17"/>
      <c r="T11" s="17"/>
    </row>
    <row r="12" ht="14.25" customHeight="1">
      <c r="A12" s="11">
        <v>11.0</v>
      </c>
      <c r="B12" s="12" t="s">
        <v>13</v>
      </c>
      <c r="C12" s="12" t="s">
        <v>14</v>
      </c>
      <c r="D12" s="13" t="s">
        <v>20</v>
      </c>
      <c r="E12" s="12" t="str">
        <f>IFERROR(__xludf.DUMMYFUNCTION("FILTER(colegios!$B$2:$B5618,colegios!$A$2:$A5618=L12)"),"6010102")</f>
        <v>6010102</v>
      </c>
      <c r="F12" s="14" t="s">
        <v>16</v>
      </c>
      <c r="G12" s="14" t="s">
        <v>17</v>
      </c>
      <c r="H12" s="12" t="s">
        <v>24</v>
      </c>
      <c r="I12" s="15">
        <v>2024.0</v>
      </c>
      <c r="J12" s="16" t="str">
        <f>IFERROR(__xludf.DUMMYFUNCTION("FILTER('CLASFICACIÓN'!$F$3:$F5618,'CLASFICACIÓN'!$G$3:$G5618=M12)"),"SOLO 2024")</f>
        <v>SOLO 2024</v>
      </c>
      <c r="K12" s="16"/>
      <c r="L12" s="12" t="s">
        <v>25</v>
      </c>
      <c r="M12" s="16" t="str">
        <f t="shared" si="1"/>
        <v>60101024 Primaria</v>
      </c>
      <c r="N12" s="17"/>
      <c r="O12" s="17"/>
      <c r="P12" s="17"/>
      <c r="Q12" s="17"/>
      <c r="R12" s="17"/>
      <c r="S12" s="17"/>
      <c r="T12" s="17"/>
    </row>
    <row r="13" ht="14.25" customHeight="1">
      <c r="A13" s="11">
        <v>12.0</v>
      </c>
      <c r="B13" s="12" t="s">
        <v>13</v>
      </c>
      <c r="C13" s="12" t="s">
        <v>14</v>
      </c>
      <c r="D13" s="13" t="s">
        <v>20</v>
      </c>
      <c r="E13" s="12" t="str">
        <f>IFERROR(__xludf.DUMMYFUNCTION("FILTER(colegios!$B$2:$B5618,colegios!$A$2:$A5618=L13)"),"6010102")</f>
        <v>6010102</v>
      </c>
      <c r="F13" s="14" t="s">
        <v>16</v>
      </c>
      <c r="G13" s="12" t="s">
        <v>21</v>
      </c>
      <c r="H13" s="12" t="s">
        <v>24</v>
      </c>
      <c r="I13" s="15">
        <v>2024.0</v>
      </c>
      <c r="J13" s="16" t="str">
        <f>IFERROR(__xludf.DUMMYFUNCTION("FILTER('CLASFICACIÓN'!$F$3:$F5618,'CLASFICACIÓN'!$G$3:$G5618=M13)"),"SOLO 2024")</f>
        <v>SOLO 2024</v>
      </c>
      <c r="K13" s="16"/>
      <c r="L13" s="12" t="s">
        <v>25</v>
      </c>
      <c r="M13" s="16" t="str">
        <f t="shared" si="1"/>
        <v>60101024 Primaria</v>
      </c>
      <c r="N13" s="17"/>
      <c r="O13" s="17"/>
      <c r="P13" s="17"/>
      <c r="Q13" s="17"/>
      <c r="R13" s="17"/>
      <c r="S13" s="17"/>
      <c r="T13" s="17"/>
    </row>
    <row r="14" ht="14.25" customHeight="1">
      <c r="A14" s="11">
        <v>13.0</v>
      </c>
      <c r="B14" s="12" t="s">
        <v>13</v>
      </c>
      <c r="C14" s="12" t="s">
        <v>14</v>
      </c>
      <c r="D14" s="13" t="s">
        <v>20</v>
      </c>
      <c r="E14" s="12" t="str">
        <f>IFERROR(__xludf.DUMMYFUNCTION("FILTER(colegios!$B$2:$B5618,colegios!$A$2:$A5618=L14)"),"6010102")</f>
        <v>6010102</v>
      </c>
      <c r="F14" s="14" t="s">
        <v>16</v>
      </c>
      <c r="G14" s="12" t="s">
        <v>21</v>
      </c>
      <c r="H14" s="12" t="s">
        <v>24</v>
      </c>
      <c r="I14" s="15">
        <v>2024.0</v>
      </c>
      <c r="J14" s="16" t="str">
        <f>IFERROR(__xludf.DUMMYFUNCTION("FILTER('CLASFICACIÓN'!$F$3:$F5618,'CLASFICACIÓN'!$G$3:$G5618=M14)"),"SOLO 2024")</f>
        <v>SOLO 2024</v>
      </c>
      <c r="K14" s="16"/>
      <c r="L14" s="12" t="s">
        <v>25</v>
      </c>
      <c r="M14" s="16" t="str">
        <f t="shared" si="1"/>
        <v>60101024 Primaria</v>
      </c>
      <c r="N14" s="17"/>
      <c r="O14" s="17"/>
      <c r="P14" s="17"/>
      <c r="Q14" s="17"/>
      <c r="R14" s="17"/>
      <c r="S14" s="17"/>
      <c r="T14" s="17"/>
    </row>
    <row r="15" ht="14.25" customHeight="1">
      <c r="A15" s="11">
        <v>14.0</v>
      </c>
      <c r="B15" s="12" t="s">
        <v>13</v>
      </c>
      <c r="C15" s="12" t="s">
        <v>14</v>
      </c>
      <c r="D15" s="13" t="s">
        <v>22</v>
      </c>
      <c r="E15" s="12" t="str">
        <f>IFERROR(__xludf.DUMMYFUNCTION("FILTER(colegios!$B$2:$B5618,colegios!$A$2:$A5618=L15)"),"6010102")</f>
        <v>6010102</v>
      </c>
      <c r="F15" s="14" t="s">
        <v>16</v>
      </c>
      <c r="G15" s="12" t="s">
        <v>21</v>
      </c>
      <c r="H15" s="12" t="s">
        <v>18</v>
      </c>
      <c r="I15" s="15">
        <v>2024.0</v>
      </c>
      <c r="J15" s="16" t="str">
        <f>IFERROR(__xludf.DUMMYFUNCTION("FILTER('CLASFICACIÓN'!$F$3:$F5618,'CLASFICACIÓN'!$G$3:$G5618=M15)"),"SOLO 2024")</f>
        <v>SOLO 2024</v>
      </c>
      <c r="K15" s="16"/>
      <c r="L15" s="12" t="s">
        <v>25</v>
      </c>
      <c r="M15" s="16" t="str">
        <f t="shared" si="1"/>
        <v>60101026 Primaria</v>
      </c>
      <c r="N15" s="17"/>
      <c r="O15" s="17"/>
      <c r="P15" s="17"/>
      <c r="Q15" s="17"/>
      <c r="R15" s="17"/>
      <c r="S15" s="17"/>
      <c r="T15" s="17"/>
    </row>
    <row r="16" ht="14.25" customHeight="1">
      <c r="A16" s="11">
        <v>15.0</v>
      </c>
      <c r="B16" s="12" t="s">
        <v>13</v>
      </c>
      <c r="C16" s="12" t="s">
        <v>14</v>
      </c>
      <c r="D16" s="13" t="s">
        <v>22</v>
      </c>
      <c r="E16" s="12" t="str">
        <f>IFERROR(__xludf.DUMMYFUNCTION("FILTER(colegios!$B$2:$B5618,colegios!$A$2:$A5618=L16)"),"6010102")</f>
        <v>6010102</v>
      </c>
      <c r="F16" s="14" t="s">
        <v>16</v>
      </c>
      <c r="G16" s="14" t="s">
        <v>17</v>
      </c>
      <c r="H16" s="12" t="s">
        <v>24</v>
      </c>
      <c r="I16" s="15">
        <v>2024.0</v>
      </c>
      <c r="J16" s="16" t="str">
        <f>IFERROR(__xludf.DUMMYFUNCTION("FILTER('CLASFICACIÓN'!$F$3:$F5618,'CLASFICACIÓN'!$G$3:$G5618=M16)"),"SOLO 2024")</f>
        <v>SOLO 2024</v>
      </c>
      <c r="K16" s="16"/>
      <c r="L16" s="12" t="s">
        <v>25</v>
      </c>
      <c r="M16" s="16" t="str">
        <f t="shared" si="1"/>
        <v>60101026 Primaria</v>
      </c>
      <c r="N16" s="17"/>
      <c r="O16" s="17"/>
      <c r="P16" s="17"/>
      <c r="Q16" s="17"/>
      <c r="R16" s="17"/>
      <c r="S16" s="17"/>
      <c r="T16" s="17"/>
    </row>
    <row r="17" ht="14.25" customHeight="1">
      <c r="A17" s="11">
        <v>16.0</v>
      </c>
      <c r="B17" s="12" t="s">
        <v>13</v>
      </c>
      <c r="C17" s="12" t="s">
        <v>14</v>
      </c>
      <c r="D17" s="13" t="s">
        <v>15</v>
      </c>
      <c r="E17" s="12" t="str">
        <f>IFERROR(__xludf.DUMMYFUNCTION("FILTER(colegios!$B$2:$B5618,colegios!$A$2:$A5618=L17)"),"601448")</f>
        <v>601448</v>
      </c>
      <c r="F17" s="14" t="s">
        <v>16</v>
      </c>
      <c r="G17" s="14" t="s">
        <v>17</v>
      </c>
      <c r="H17" s="12" t="s">
        <v>24</v>
      </c>
      <c r="I17" s="15">
        <v>2024.0</v>
      </c>
      <c r="J17" s="16" t="str">
        <f>IFERROR(__xludf.DUMMYFUNCTION("FILTER('CLASFICACIÓN'!$F$3:$F5618,'CLASFICACIÓN'!$G$3:$G5618=M17)"),"LOS 3 AÑOS")</f>
        <v>LOS 3 AÑOS</v>
      </c>
      <c r="K17" s="16"/>
      <c r="L17" s="12" t="s">
        <v>26</v>
      </c>
      <c r="M17" s="16" t="str">
        <f t="shared" si="1"/>
        <v>6014482 Primaria</v>
      </c>
      <c r="N17" s="17"/>
      <c r="O17" s="17"/>
      <c r="P17" s="17"/>
      <c r="Q17" s="17"/>
      <c r="R17" s="17"/>
      <c r="S17" s="17"/>
      <c r="T17" s="17"/>
    </row>
    <row r="18" ht="14.25" customHeight="1">
      <c r="A18" s="11">
        <v>17.0</v>
      </c>
      <c r="B18" s="12" t="s">
        <v>13</v>
      </c>
      <c r="C18" s="12" t="s">
        <v>14</v>
      </c>
      <c r="D18" s="13" t="s">
        <v>15</v>
      </c>
      <c r="E18" s="12" t="str">
        <f>IFERROR(__xludf.DUMMYFUNCTION("FILTER(colegios!$B$2:$B5618,colegios!$A$2:$A5618=L18)"),"601448")</f>
        <v>601448</v>
      </c>
      <c r="F18" s="14" t="s">
        <v>16</v>
      </c>
      <c r="G18" s="12" t="s">
        <v>21</v>
      </c>
      <c r="H18" s="12" t="s">
        <v>18</v>
      </c>
      <c r="I18" s="15">
        <v>2024.0</v>
      </c>
      <c r="J18" s="16" t="str">
        <f>IFERROR(__xludf.DUMMYFUNCTION("FILTER('CLASFICACIÓN'!$F$3:$F5618,'CLASFICACIÓN'!$G$3:$G5618=M18)"),"LOS 3 AÑOS")</f>
        <v>LOS 3 AÑOS</v>
      </c>
      <c r="K18" s="16"/>
      <c r="L18" s="12" t="s">
        <v>26</v>
      </c>
      <c r="M18" s="16" t="str">
        <f t="shared" si="1"/>
        <v>6014482 Primaria</v>
      </c>
      <c r="N18" s="17"/>
      <c r="O18" s="17"/>
      <c r="P18" s="17"/>
      <c r="Q18" s="17"/>
      <c r="R18" s="17"/>
      <c r="S18" s="17"/>
      <c r="T18" s="17"/>
    </row>
    <row r="19" ht="14.25" customHeight="1">
      <c r="A19" s="11">
        <v>18.0</v>
      </c>
      <c r="B19" s="12" t="s">
        <v>13</v>
      </c>
      <c r="C19" s="12" t="s">
        <v>14</v>
      </c>
      <c r="D19" s="13" t="s">
        <v>15</v>
      </c>
      <c r="E19" s="12" t="str">
        <f>IFERROR(__xludf.DUMMYFUNCTION("FILTER(colegios!$B$2:$B5618,colegios!$A$2:$A5618=L19)"),"601448")</f>
        <v>601448</v>
      </c>
      <c r="F19" s="14" t="s">
        <v>16</v>
      </c>
      <c r="G19" s="12" t="s">
        <v>21</v>
      </c>
      <c r="H19" s="12" t="s">
        <v>24</v>
      </c>
      <c r="I19" s="15">
        <v>2024.0</v>
      </c>
      <c r="J19" s="16" t="str">
        <f>IFERROR(__xludf.DUMMYFUNCTION("FILTER('CLASFICACIÓN'!$F$3:$F5618,'CLASFICACIÓN'!$G$3:$G5618=M19)"),"LOS 3 AÑOS")</f>
        <v>LOS 3 AÑOS</v>
      </c>
      <c r="K19" s="16"/>
      <c r="L19" s="12" t="s">
        <v>26</v>
      </c>
      <c r="M19" s="16" t="str">
        <f t="shared" si="1"/>
        <v>6014482 Primaria</v>
      </c>
      <c r="N19" s="17"/>
      <c r="O19" s="17"/>
      <c r="P19" s="17"/>
      <c r="Q19" s="17"/>
      <c r="R19" s="17"/>
      <c r="S19" s="17"/>
      <c r="T19" s="17"/>
    </row>
    <row r="20" ht="14.25" customHeight="1">
      <c r="A20" s="11">
        <v>19.0</v>
      </c>
      <c r="B20" s="12" t="s">
        <v>13</v>
      </c>
      <c r="C20" s="12" t="s">
        <v>14</v>
      </c>
      <c r="D20" s="13" t="s">
        <v>20</v>
      </c>
      <c r="E20" s="12" t="str">
        <f>IFERROR(__xludf.DUMMYFUNCTION("FILTER(colegios!$B$2:$B5618,colegios!$A$2:$A5618=L20)"),"601448")</f>
        <v>601448</v>
      </c>
      <c r="F20" s="14" t="s">
        <v>16</v>
      </c>
      <c r="G20" s="12" t="s">
        <v>21</v>
      </c>
      <c r="H20" s="12" t="s">
        <v>18</v>
      </c>
      <c r="I20" s="15">
        <v>2024.0</v>
      </c>
      <c r="J20" s="16" t="str">
        <f>IFERROR(__xludf.DUMMYFUNCTION("FILTER('CLASFICACIÓN'!$F$3:$F5618,'CLASFICACIÓN'!$G$3:$G5618=M20)"),"LOS 3 AÑOS")</f>
        <v>LOS 3 AÑOS</v>
      </c>
      <c r="K20" s="16"/>
      <c r="L20" s="12" t="s">
        <v>26</v>
      </c>
      <c r="M20" s="16" t="str">
        <f t="shared" si="1"/>
        <v>6014484 Primaria</v>
      </c>
      <c r="N20" s="17"/>
      <c r="O20" s="17"/>
      <c r="P20" s="17"/>
      <c r="Q20" s="17"/>
      <c r="R20" s="17"/>
      <c r="S20" s="17"/>
      <c r="T20" s="17"/>
    </row>
    <row r="21" ht="14.25" customHeight="1">
      <c r="A21" s="11">
        <v>20.0</v>
      </c>
      <c r="B21" s="12" t="s">
        <v>13</v>
      </c>
      <c r="C21" s="12" t="s">
        <v>14</v>
      </c>
      <c r="D21" s="13" t="s">
        <v>20</v>
      </c>
      <c r="E21" s="12" t="str">
        <f>IFERROR(__xludf.DUMMYFUNCTION("FILTER(colegios!$B$2:$B5618,colegios!$A$2:$A5618=L21)"),"601448")</f>
        <v>601448</v>
      </c>
      <c r="F21" s="14" t="s">
        <v>16</v>
      </c>
      <c r="G21" s="14" t="s">
        <v>17</v>
      </c>
      <c r="H21" s="12" t="s">
        <v>24</v>
      </c>
      <c r="I21" s="15">
        <v>2024.0</v>
      </c>
      <c r="J21" s="16" t="str">
        <f>IFERROR(__xludf.DUMMYFUNCTION("FILTER('CLASFICACIÓN'!$F$3:$F5618,'CLASFICACIÓN'!$G$3:$G5618=M21)"),"LOS 3 AÑOS")</f>
        <v>LOS 3 AÑOS</v>
      </c>
      <c r="K21" s="16"/>
      <c r="L21" s="12" t="s">
        <v>26</v>
      </c>
      <c r="M21" s="16" t="str">
        <f t="shared" si="1"/>
        <v>6014484 Primaria</v>
      </c>
      <c r="N21" s="17"/>
      <c r="O21" s="17"/>
      <c r="P21" s="17"/>
      <c r="Q21" s="17"/>
      <c r="R21" s="17"/>
      <c r="S21" s="17"/>
      <c r="T21" s="17"/>
    </row>
    <row r="22" ht="14.25" customHeight="1">
      <c r="A22" s="11">
        <v>21.0</v>
      </c>
      <c r="B22" s="12" t="s">
        <v>13</v>
      </c>
      <c r="C22" s="12" t="s">
        <v>14</v>
      </c>
      <c r="D22" s="13" t="s">
        <v>22</v>
      </c>
      <c r="E22" s="12" t="str">
        <f>IFERROR(__xludf.DUMMYFUNCTION("FILTER(colegios!$B$2:$B5618,colegios!$A$2:$A5618=L22)"),"601448")</f>
        <v>601448</v>
      </c>
      <c r="F22" s="14" t="s">
        <v>16</v>
      </c>
      <c r="G22" s="14" t="s">
        <v>21</v>
      </c>
      <c r="H22" s="12" t="s">
        <v>24</v>
      </c>
      <c r="I22" s="15">
        <v>2024.0</v>
      </c>
      <c r="J22" s="16" t="str">
        <f>IFERROR(__xludf.DUMMYFUNCTION("FILTER('CLASFICACIÓN'!$F$3:$F5618,'CLASFICACIÓN'!$G$3:$G5618=M22)"),"LOS 3 AÑOS")</f>
        <v>LOS 3 AÑOS</v>
      </c>
      <c r="K22" s="16"/>
      <c r="L22" s="12" t="s">
        <v>26</v>
      </c>
      <c r="M22" s="16" t="str">
        <f t="shared" si="1"/>
        <v>6014486 Primaria</v>
      </c>
      <c r="N22" s="17"/>
      <c r="O22" s="17"/>
      <c r="P22" s="17"/>
      <c r="Q22" s="17"/>
      <c r="R22" s="17"/>
      <c r="S22" s="17"/>
      <c r="T22" s="17"/>
    </row>
    <row r="23" ht="14.25" customHeight="1">
      <c r="A23" s="11">
        <v>22.0</v>
      </c>
      <c r="B23" s="12" t="s">
        <v>13</v>
      </c>
      <c r="C23" s="12" t="s">
        <v>14</v>
      </c>
      <c r="D23" s="13" t="s">
        <v>22</v>
      </c>
      <c r="E23" s="12" t="str">
        <f>IFERROR(__xludf.DUMMYFUNCTION("FILTER(colegios!$B$2:$B5618,colegios!$A$2:$A5618=L23)"),"601448")</f>
        <v>601448</v>
      </c>
      <c r="F23" s="14" t="s">
        <v>16</v>
      </c>
      <c r="G23" s="14" t="s">
        <v>17</v>
      </c>
      <c r="H23" s="12" t="s">
        <v>24</v>
      </c>
      <c r="I23" s="15">
        <v>2024.0</v>
      </c>
      <c r="J23" s="16" t="str">
        <f>IFERROR(__xludf.DUMMYFUNCTION("FILTER('CLASFICACIÓN'!$F$3:$F5618,'CLASFICACIÓN'!$G$3:$G5618=M23)"),"LOS 3 AÑOS")</f>
        <v>LOS 3 AÑOS</v>
      </c>
      <c r="K23" s="16"/>
      <c r="L23" s="12" t="s">
        <v>26</v>
      </c>
      <c r="M23" s="16" t="str">
        <f t="shared" si="1"/>
        <v>6014486 Primaria</v>
      </c>
      <c r="N23" s="17"/>
      <c r="O23" s="17"/>
      <c r="P23" s="17"/>
      <c r="Q23" s="17"/>
      <c r="R23" s="17"/>
      <c r="S23" s="17"/>
      <c r="T23" s="17"/>
    </row>
    <row r="24" ht="14.25" customHeight="1">
      <c r="A24" s="11">
        <v>23.0</v>
      </c>
      <c r="B24" s="12" t="s">
        <v>13</v>
      </c>
      <c r="C24" s="12" t="s">
        <v>27</v>
      </c>
      <c r="D24" s="13" t="s">
        <v>28</v>
      </c>
      <c r="E24" s="12" t="str">
        <f>IFERROR(__xludf.DUMMYFUNCTION("FILTER(colegios!$B$2:$B5618,colegios!$A$2:$A5618=L24)"),"EL MILAGRO")</f>
        <v>EL MILAGRO</v>
      </c>
      <c r="F24" s="14" t="s">
        <v>16</v>
      </c>
      <c r="G24" s="14" t="s">
        <v>21</v>
      </c>
      <c r="H24" s="12" t="s">
        <v>18</v>
      </c>
      <c r="I24" s="15">
        <v>2024.0</v>
      </c>
      <c r="J24" s="16" t="str">
        <f>IFERROR(__xludf.DUMMYFUNCTION("FILTER('CLASFICACIÓN'!$F$3:$F5618,'CLASFICACIÓN'!$G$3:$G5618=M24)"),"LOS 3 AÑOS")</f>
        <v>LOS 3 AÑOS</v>
      </c>
      <c r="K24" s="16"/>
      <c r="L24" s="12" t="s">
        <v>29</v>
      </c>
      <c r="M24" s="16" t="str">
        <f t="shared" si="1"/>
        <v>EL MILAGRO2 Secundaria</v>
      </c>
      <c r="N24" s="17"/>
      <c r="O24" s="17"/>
      <c r="P24" s="17"/>
      <c r="Q24" s="17"/>
      <c r="R24" s="17"/>
      <c r="S24" s="17"/>
      <c r="T24" s="17"/>
    </row>
    <row r="25" ht="14.25" customHeight="1">
      <c r="A25" s="11">
        <v>24.0</v>
      </c>
      <c r="B25" s="12" t="s">
        <v>13</v>
      </c>
      <c r="C25" s="12" t="s">
        <v>27</v>
      </c>
      <c r="D25" s="13" t="s">
        <v>28</v>
      </c>
      <c r="E25" s="12" t="str">
        <f>IFERROR(__xludf.DUMMYFUNCTION("FILTER(colegios!$B$2:$B5618,colegios!$A$2:$A5618=L25)"),"EL MILAGRO")</f>
        <v>EL MILAGRO</v>
      </c>
      <c r="F25" s="14" t="s">
        <v>16</v>
      </c>
      <c r="G25" s="14" t="s">
        <v>17</v>
      </c>
      <c r="H25" s="12" t="s">
        <v>18</v>
      </c>
      <c r="I25" s="15">
        <v>2024.0</v>
      </c>
      <c r="J25" s="16" t="str">
        <f>IFERROR(__xludf.DUMMYFUNCTION("FILTER('CLASFICACIÓN'!$F$3:$F5618,'CLASFICACIÓN'!$G$3:$G5618=M25)"),"LOS 3 AÑOS")</f>
        <v>LOS 3 AÑOS</v>
      </c>
      <c r="K25" s="16"/>
      <c r="L25" s="12" t="s">
        <v>29</v>
      </c>
      <c r="M25" s="16" t="str">
        <f t="shared" si="1"/>
        <v>EL MILAGRO2 Secundaria</v>
      </c>
      <c r="N25" s="17"/>
      <c r="O25" s="17"/>
      <c r="P25" s="17"/>
      <c r="Q25" s="17"/>
      <c r="R25" s="17"/>
      <c r="S25" s="17"/>
      <c r="T25" s="17"/>
    </row>
    <row r="26" ht="14.25" customHeight="1">
      <c r="A26" s="11">
        <v>25.0</v>
      </c>
      <c r="B26" s="12" t="s">
        <v>13</v>
      </c>
      <c r="C26" s="12" t="s">
        <v>27</v>
      </c>
      <c r="D26" s="13" t="s">
        <v>28</v>
      </c>
      <c r="E26" s="12" t="str">
        <f>IFERROR(__xludf.DUMMYFUNCTION("FILTER(colegios!$B$2:$B5618,colegios!$A$2:$A5618=L26)"),"EL MILAGRO")</f>
        <v>EL MILAGRO</v>
      </c>
      <c r="F26" s="14" t="s">
        <v>16</v>
      </c>
      <c r="G26" s="14" t="s">
        <v>17</v>
      </c>
      <c r="H26" s="12" t="s">
        <v>18</v>
      </c>
      <c r="I26" s="15">
        <v>2024.0</v>
      </c>
      <c r="J26" s="16" t="str">
        <f>IFERROR(__xludf.DUMMYFUNCTION("FILTER('CLASFICACIÓN'!$F$3:$F5618,'CLASFICACIÓN'!$G$3:$G5618=M26)"),"LOS 3 AÑOS")</f>
        <v>LOS 3 AÑOS</v>
      </c>
      <c r="K26" s="16"/>
      <c r="L26" s="12" t="s">
        <v>29</v>
      </c>
      <c r="M26" s="16" t="str">
        <f t="shared" si="1"/>
        <v>EL MILAGRO2 Secundaria</v>
      </c>
      <c r="N26" s="17"/>
      <c r="O26" s="17"/>
      <c r="P26" s="17"/>
      <c r="Q26" s="17"/>
      <c r="R26" s="17"/>
      <c r="S26" s="17"/>
      <c r="T26" s="17"/>
    </row>
    <row r="27" ht="14.25" customHeight="1">
      <c r="A27" s="11">
        <v>26.0</v>
      </c>
      <c r="B27" s="12" t="s">
        <v>13</v>
      </c>
      <c r="C27" s="12" t="s">
        <v>27</v>
      </c>
      <c r="D27" s="13" t="s">
        <v>28</v>
      </c>
      <c r="E27" s="12" t="str">
        <f>IFERROR(__xludf.DUMMYFUNCTION("FILTER(colegios!$B$2:$B5618,colegios!$A$2:$A5618=L27)"),"EL MILAGRO")</f>
        <v>EL MILAGRO</v>
      </c>
      <c r="F27" s="14" t="s">
        <v>16</v>
      </c>
      <c r="G27" s="14" t="s">
        <v>17</v>
      </c>
      <c r="H27" s="12" t="s">
        <v>18</v>
      </c>
      <c r="I27" s="15">
        <v>2024.0</v>
      </c>
      <c r="J27" s="16" t="str">
        <f>IFERROR(__xludf.DUMMYFUNCTION("FILTER('CLASFICACIÓN'!$F$3:$F5618,'CLASFICACIÓN'!$G$3:$G5618=M27)"),"LOS 3 AÑOS")</f>
        <v>LOS 3 AÑOS</v>
      </c>
      <c r="K27" s="16"/>
      <c r="L27" s="12" t="s">
        <v>29</v>
      </c>
      <c r="M27" s="16" t="str">
        <f t="shared" si="1"/>
        <v>EL MILAGRO2 Secundaria</v>
      </c>
      <c r="N27" s="17"/>
      <c r="O27" s="17"/>
      <c r="P27" s="17"/>
      <c r="Q27" s="17"/>
      <c r="R27" s="17"/>
      <c r="S27" s="17"/>
      <c r="T27" s="17"/>
    </row>
    <row r="28" ht="14.25" customHeight="1">
      <c r="A28" s="11">
        <v>27.0</v>
      </c>
      <c r="B28" s="12" t="s">
        <v>13</v>
      </c>
      <c r="C28" s="12" t="s">
        <v>27</v>
      </c>
      <c r="D28" s="13" t="s">
        <v>28</v>
      </c>
      <c r="E28" s="12" t="str">
        <f>IFERROR(__xludf.DUMMYFUNCTION("FILTER(colegios!$B$2:$B5618,colegios!$A$2:$A5618=L28)"),"EL MILAGRO")</f>
        <v>EL MILAGRO</v>
      </c>
      <c r="F28" s="14" t="s">
        <v>16</v>
      </c>
      <c r="G28" s="12" t="s">
        <v>21</v>
      </c>
      <c r="H28" s="12" t="s">
        <v>24</v>
      </c>
      <c r="I28" s="15">
        <v>2024.0</v>
      </c>
      <c r="J28" s="16" t="str">
        <f>IFERROR(__xludf.DUMMYFUNCTION("FILTER('CLASFICACIÓN'!$F$3:$F5618,'CLASFICACIÓN'!$G$3:$G5618=M28)"),"LOS 3 AÑOS")</f>
        <v>LOS 3 AÑOS</v>
      </c>
      <c r="K28" s="16"/>
      <c r="L28" s="12" t="s">
        <v>29</v>
      </c>
      <c r="M28" s="16" t="str">
        <f t="shared" si="1"/>
        <v>EL MILAGRO2 Secundaria</v>
      </c>
      <c r="N28" s="17"/>
      <c r="O28" s="17"/>
      <c r="P28" s="17"/>
      <c r="Q28" s="17"/>
      <c r="R28" s="17"/>
      <c r="S28" s="17"/>
      <c r="T28" s="17"/>
    </row>
    <row r="29" ht="14.25" customHeight="1">
      <c r="A29" s="11">
        <v>28.0</v>
      </c>
      <c r="B29" s="12" t="s">
        <v>13</v>
      </c>
      <c r="C29" s="12" t="s">
        <v>27</v>
      </c>
      <c r="D29" s="13" t="s">
        <v>28</v>
      </c>
      <c r="E29" s="12" t="str">
        <f>IFERROR(__xludf.DUMMYFUNCTION("FILTER(colegios!$B$2:$B5618,colegios!$A$2:$A5618=L29)"),"EL MILAGRO")</f>
        <v>EL MILAGRO</v>
      </c>
      <c r="F29" s="14" t="s">
        <v>16</v>
      </c>
      <c r="G29" s="12" t="s">
        <v>17</v>
      </c>
      <c r="H29" s="12" t="s">
        <v>18</v>
      </c>
      <c r="I29" s="15">
        <v>2024.0</v>
      </c>
      <c r="J29" s="16" t="str">
        <f>IFERROR(__xludf.DUMMYFUNCTION("FILTER('CLASFICACIÓN'!$F$3:$F5618,'CLASFICACIÓN'!$G$3:$G5618=M29)"),"LOS 3 AÑOS")</f>
        <v>LOS 3 AÑOS</v>
      </c>
      <c r="K29" s="16"/>
      <c r="L29" s="12" t="s">
        <v>29</v>
      </c>
      <c r="M29" s="16" t="str">
        <f t="shared" si="1"/>
        <v>EL MILAGRO2 Secundaria</v>
      </c>
      <c r="N29" s="17"/>
      <c r="O29" s="17"/>
      <c r="P29" s="17"/>
      <c r="Q29" s="17"/>
      <c r="R29" s="17"/>
      <c r="S29" s="17"/>
      <c r="T29" s="17"/>
    </row>
    <row r="30" ht="14.25" customHeight="1">
      <c r="A30" s="11">
        <v>29.0</v>
      </c>
      <c r="B30" s="12" t="s">
        <v>13</v>
      </c>
      <c r="C30" s="12" t="s">
        <v>27</v>
      </c>
      <c r="D30" s="13" t="s">
        <v>28</v>
      </c>
      <c r="E30" s="12" t="str">
        <f>IFERROR(__xludf.DUMMYFUNCTION("FILTER(colegios!$B$2:$B5618,colegios!$A$2:$A5618=L30)"),"EL MILAGRO")</f>
        <v>EL MILAGRO</v>
      </c>
      <c r="F30" s="14" t="s">
        <v>16</v>
      </c>
      <c r="G30" s="12" t="s">
        <v>21</v>
      </c>
      <c r="H30" s="12" t="s">
        <v>24</v>
      </c>
      <c r="I30" s="15">
        <v>2024.0</v>
      </c>
      <c r="J30" s="16" t="str">
        <f>IFERROR(__xludf.DUMMYFUNCTION("FILTER('CLASFICACIÓN'!$F$3:$F5618,'CLASFICACIÓN'!$G$3:$G5618=M30)"),"LOS 3 AÑOS")</f>
        <v>LOS 3 AÑOS</v>
      </c>
      <c r="K30" s="16"/>
      <c r="L30" s="12" t="s">
        <v>29</v>
      </c>
      <c r="M30" s="16" t="str">
        <f t="shared" si="1"/>
        <v>EL MILAGRO2 Secundaria</v>
      </c>
      <c r="N30" s="17"/>
      <c r="O30" s="17"/>
      <c r="P30" s="17"/>
      <c r="Q30" s="17"/>
      <c r="R30" s="17"/>
      <c r="S30" s="17"/>
      <c r="T30" s="17"/>
    </row>
    <row r="31" ht="14.25" customHeight="1">
      <c r="A31" s="11">
        <v>30.0</v>
      </c>
      <c r="B31" s="12" t="s">
        <v>13</v>
      </c>
      <c r="C31" s="12" t="s">
        <v>27</v>
      </c>
      <c r="D31" s="13" t="s">
        <v>28</v>
      </c>
      <c r="E31" s="12" t="str">
        <f>IFERROR(__xludf.DUMMYFUNCTION("FILTER(colegios!$B$2:$B5618,colegios!$A$2:$A5618=L31)"),"EL MILAGRO")</f>
        <v>EL MILAGRO</v>
      </c>
      <c r="F31" s="14" t="s">
        <v>16</v>
      </c>
      <c r="G31" s="14" t="s">
        <v>17</v>
      </c>
      <c r="H31" s="12" t="s">
        <v>18</v>
      </c>
      <c r="I31" s="15">
        <v>2024.0</v>
      </c>
      <c r="J31" s="16" t="str">
        <f>IFERROR(__xludf.DUMMYFUNCTION("FILTER('CLASFICACIÓN'!$F$3:$F5618,'CLASFICACIÓN'!$G$3:$G5618=M31)"),"LOS 3 AÑOS")</f>
        <v>LOS 3 AÑOS</v>
      </c>
      <c r="K31" s="16"/>
      <c r="L31" s="12" t="s">
        <v>29</v>
      </c>
      <c r="M31" s="16" t="str">
        <f t="shared" si="1"/>
        <v>EL MILAGRO2 Secundaria</v>
      </c>
      <c r="N31" s="17"/>
      <c r="O31" s="17"/>
      <c r="P31" s="17"/>
      <c r="Q31" s="17"/>
      <c r="R31" s="17"/>
      <c r="S31" s="17"/>
      <c r="T31" s="17"/>
    </row>
    <row r="32" ht="14.25" customHeight="1">
      <c r="A32" s="11">
        <v>31.0</v>
      </c>
      <c r="B32" s="12" t="s">
        <v>13</v>
      </c>
      <c r="C32" s="12" t="s">
        <v>27</v>
      </c>
      <c r="D32" s="13" t="s">
        <v>28</v>
      </c>
      <c r="E32" s="12" t="str">
        <f>IFERROR(__xludf.DUMMYFUNCTION("FILTER(colegios!$B$2:$B5618,colegios!$A$2:$A5618=L32)"),"EL MILAGRO")</f>
        <v>EL MILAGRO</v>
      </c>
      <c r="F32" s="14" t="s">
        <v>16</v>
      </c>
      <c r="G32" s="14" t="s">
        <v>17</v>
      </c>
      <c r="H32" s="12" t="s">
        <v>18</v>
      </c>
      <c r="I32" s="15">
        <v>2024.0</v>
      </c>
      <c r="J32" s="16" t="str">
        <f>IFERROR(__xludf.DUMMYFUNCTION("FILTER('CLASFICACIÓN'!$F$3:$F5618,'CLASFICACIÓN'!$G$3:$G5618=M32)"),"LOS 3 AÑOS")</f>
        <v>LOS 3 AÑOS</v>
      </c>
      <c r="K32" s="16"/>
      <c r="L32" s="12" t="s">
        <v>29</v>
      </c>
      <c r="M32" s="16" t="str">
        <f t="shared" si="1"/>
        <v>EL MILAGRO2 Secundaria</v>
      </c>
      <c r="N32" s="17"/>
      <c r="O32" s="17"/>
      <c r="P32" s="17"/>
      <c r="Q32" s="17"/>
      <c r="R32" s="17"/>
      <c r="S32" s="17"/>
      <c r="T32" s="17"/>
    </row>
    <row r="33" ht="14.25" customHeight="1">
      <c r="A33" s="11">
        <v>32.0</v>
      </c>
      <c r="B33" s="12" t="s">
        <v>13</v>
      </c>
      <c r="C33" s="12" t="s">
        <v>27</v>
      </c>
      <c r="D33" s="13" t="s">
        <v>28</v>
      </c>
      <c r="E33" s="12" t="str">
        <f>IFERROR(__xludf.DUMMYFUNCTION("FILTER(colegios!$B$2:$B5618,colegios!$A$2:$A5618=L33)"),"EL MILAGRO")</f>
        <v>EL MILAGRO</v>
      </c>
      <c r="F33" s="14" t="s">
        <v>16</v>
      </c>
      <c r="G33" s="14" t="s">
        <v>17</v>
      </c>
      <c r="H33" s="12" t="s">
        <v>18</v>
      </c>
      <c r="I33" s="15">
        <v>2024.0</v>
      </c>
      <c r="J33" s="16" t="str">
        <f>IFERROR(__xludf.DUMMYFUNCTION("FILTER('CLASFICACIÓN'!$F$3:$F5618,'CLASFICACIÓN'!$G$3:$G5618=M33)"),"LOS 3 AÑOS")</f>
        <v>LOS 3 AÑOS</v>
      </c>
      <c r="K33" s="16"/>
      <c r="L33" s="12" t="s">
        <v>29</v>
      </c>
      <c r="M33" s="16" t="str">
        <f t="shared" si="1"/>
        <v>EL MILAGRO2 Secundaria</v>
      </c>
      <c r="N33" s="17"/>
      <c r="O33" s="17"/>
      <c r="P33" s="17"/>
      <c r="Q33" s="17"/>
      <c r="R33" s="17"/>
      <c r="S33" s="17"/>
      <c r="T33" s="17"/>
    </row>
    <row r="34" ht="14.25" customHeight="1">
      <c r="A34" s="11">
        <v>33.0</v>
      </c>
      <c r="B34" s="12" t="s">
        <v>13</v>
      </c>
      <c r="C34" s="12" t="s">
        <v>27</v>
      </c>
      <c r="D34" s="13" t="s">
        <v>28</v>
      </c>
      <c r="E34" s="12" t="str">
        <f>IFERROR(__xludf.DUMMYFUNCTION("FILTER(colegios!$B$2:$B5618,colegios!$A$2:$A5618=L34)"),"EL MILAGRO")</f>
        <v>EL MILAGRO</v>
      </c>
      <c r="F34" s="14" t="s">
        <v>16</v>
      </c>
      <c r="G34" s="12" t="s">
        <v>17</v>
      </c>
      <c r="H34" s="12" t="s">
        <v>18</v>
      </c>
      <c r="I34" s="15">
        <v>2024.0</v>
      </c>
      <c r="J34" s="16" t="str">
        <f>IFERROR(__xludf.DUMMYFUNCTION("FILTER('CLASFICACIÓN'!$F$3:$F5618,'CLASFICACIÓN'!$G$3:$G5618=M34)"),"LOS 3 AÑOS")</f>
        <v>LOS 3 AÑOS</v>
      </c>
      <c r="K34" s="16"/>
      <c r="L34" s="12" t="s">
        <v>29</v>
      </c>
      <c r="M34" s="16" t="str">
        <f t="shared" si="1"/>
        <v>EL MILAGRO2 Secundaria</v>
      </c>
      <c r="N34" s="17"/>
      <c r="O34" s="17"/>
      <c r="P34" s="17"/>
      <c r="Q34" s="17"/>
      <c r="R34" s="17"/>
      <c r="S34" s="17"/>
      <c r="T34" s="17"/>
    </row>
    <row r="35" ht="14.25" customHeight="1">
      <c r="A35" s="11">
        <v>34.0</v>
      </c>
      <c r="B35" s="12" t="s">
        <v>13</v>
      </c>
      <c r="C35" s="12" t="s">
        <v>27</v>
      </c>
      <c r="D35" s="13" t="s">
        <v>28</v>
      </c>
      <c r="E35" s="12" t="str">
        <f>IFERROR(__xludf.DUMMYFUNCTION("FILTER(colegios!$B$2:$B5618,colegios!$A$2:$A5618=L35)"),"EL MILAGRO")</f>
        <v>EL MILAGRO</v>
      </c>
      <c r="F35" s="14" t="s">
        <v>16</v>
      </c>
      <c r="G35" s="12" t="s">
        <v>17</v>
      </c>
      <c r="H35" s="12" t="s">
        <v>18</v>
      </c>
      <c r="I35" s="15">
        <v>2024.0</v>
      </c>
      <c r="J35" s="16" t="str">
        <f>IFERROR(__xludf.DUMMYFUNCTION("FILTER('CLASFICACIÓN'!$F$3:$F5618,'CLASFICACIÓN'!$G$3:$G5618=M35)"),"LOS 3 AÑOS")</f>
        <v>LOS 3 AÑOS</v>
      </c>
      <c r="K35" s="16"/>
      <c r="L35" s="12" t="s">
        <v>29</v>
      </c>
      <c r="M35" s="16" t="str">
        <f t="shared" si="1"/>
        <v>EL MILAGRO2 Secundaria</v>
      </c>
      <c r="N35" s="17"/>
      <c r="O35" s="17"/>
      <c r="P35" s="17"/>
      <c r="Q35" s="17"/>
      <c r="R35" s="17"/>
      <c r="S35" s="17"/>
      <c r="T35" s="17"/>
    </row>
    <row r="36" ht="14.25" customHeight="1">
      <c r="A36" s="11">
        <v>35.0</v>
      </c>
      <c r="B36" s="12" t="s">
        <v>13</v>
      </c>
      <c r="C36" s="12" t="s">
        <v>27</v>
      </c>
      <c r="D36" s="13" t="s">
        <v>28</v>
      </c>
      <c r="E36" s="12" t="str">
        <f>IFERROR(__xludf.DUMMYFUNCTION("FILTER(colegios!$B$2:$B5618,colegios!$A$2:$A5618=L36)"),"EL MILAGRO")</f>
        <v>EL MILAGRO</v>
      </c>
      <c r="F36" s="14" t="s">
        <v>16</v>
      </c>
      <c r="G36" s="12" t="s">
        <v>17</v>
      </c>
      <c r="H36" s="12" t="s">
        <v>18</v>
      </c>
      <c r="I36" s="15">
        <v>2024.0</v>
      </c>
      <c r="J36" s="16" t="str">
        <f>IFERROR(__xludf.DUMMYFUNCTION("FILTER('CLASFICACIÓN'!$F$3:$F5618,'CLASFICACIÓN'!$G$3:$G5618=M36)"),"LOS 3 AÑOS")</f>
        <v>LOS 3 AÑOS</v>
      </c>
      <c r="K36" s="16"/>
      <c r="L36" s="12" t="s">
        <v>29</v>
      </c>
      <c r="M36" s="16" t="str">
        <f t="shared" si="1"/>
        <v>EL MILAGRO2 Secundaria</v>
      </c>
      <c r="N36" s="17"/>
      <c r="O36" s="17"/>
      <c r="P36" s="17"/>
      <c r="Q36" s="17"/>
      <c r="R36" s="17"/>
      <c r="S36" s="17"/>
      <c r="T36" s="17"/>
    </row>
    <row r="37" ht="14.25" customHeight="1">
      <c r="A37" s="11">
        <v>36.0</v>
      </c>
      <c r="B37" s="12" t="s">
        <v>13</v>
      </c>
      <c r="C37" s="12" t="s">
        <v>27</v>
      </c>
      <c r="D37" s="13" t="s">
        <v>28</v>
      </c>
      <c r="E37" s="12" t="str">
        <f>IFERROR(__xludf.DUMMYFUNCTION("FILTER(colegios!$B$2:$B5618,colegios!$A$2:$A5618=L37)"),"EL MILAGRO")</f>
        <v>EL MILAGRO</v>
      </c>
      <c r="F37" s="14" t="s">
        <v>16</v>
      </c>
      <c r="G37" s="14" t="s">
        <v>21</v>
      </c>
      <c r="H37" s="12" t="s">
        <v>18</v>
      </c>
      <c r="I37" s="15">
        <v>2024.0</v>
      </c>
      <c r="J37" s="16" t="str">
        <f>IFERROR(__xludf.DUMMYFUNCTION("FILTER('CLASFICACIÓN'!$F$3:$F5618,'CLASFICACIÓN'!$G$3:$G5618=M37)"),"LOS 3 AÑOS")</f>
        <v>LOS 3 AÑOS</v>
      </c>
      <c r="K37" s="16"/>
      <c r="L37" s="12" t="s">
        <v>29</v>
      </c>
      <c r="M37" s="16" t="str">
        <f t="shared" si="1"/>
        <v>EL MILAGRO2 Secundaria</v>
      </c>
      <c r="N37" s="17"/>
      <c r="O37" s="17"/>
      <c r="P37" s="17"/>
      <c r="Q37" s="17"/>
      <c r="R37" s="17"/>
      <c r="S37" s="17"/>
      <c r="T37" s="17"/>
    </row>
    <row r="38" ht="14.25" customHeight="1">
      <c r="A38" s="11">
        <v>37.0</v>
      </c>
      <c r="B38" s="12" t="s">
        <v>13</v>
      </c>
      <c r="C38" s="12" t="s">
        <v>27</v>
      </c>
      <c r="D38" s="13" t="s">
        <v>28</v>
      </c>
      <c r="E38" s="12" t="str">
        <f>IFERROR(__xludf.DUMMYFUNCTION("FILTER(colegios!$B$2:$B5618,colegios!$A$2:$A5618=L38)"),"EL MILAGRO")</f>
        <v>EL MILAGRO</v>
      </c>
      <c r="F38" s="14" t="s">
        <v>16</v>
      </c>
      <c r="G38" s="14" t="s">
        <v>17</v>
      </c>
      <c r="H38" s="12" t="s">
        <v>18</v>
      </c>
      <c r="I38" s="15">
        <v>2024.0</v>
      </c>
      <c r="J38" s="16" t="str">
        <f>IFERROR(__xludf.DUMMYFUNCTION("FILTER('CLASFICACIÓN'!$F$3:$F5618,'CLASFICACIÓN'!$G$3:$G5618=M38)"),"LOS 3 AÑOS")</f>
        <v>LOS 3 AÑOS</v>
      </c>
      <c r="K38" s="16"/>
      <c r="L38" s="12" t="s">
        <v>29</v>
      </c>
      <c r="M38" s="16" t="str">
        <f t="shared" si="1"/>
        <v>EL MILAGRO2 Secundaria</v>
      </c>
      <c r="N38" s="17"/>
      <c r="O38" s="17"/>
      <c r="P38" s="17"/>
      <c r="Q38" s="17"/>
      <c r="R38" s="17"/>
      <c r="S38" s="17"/>
      <c r="T38" s="17"/>
    </row>
    <row r="39" ht="14.25" customHeight="1">
      <c r="A39" s="11">
        <v>38.0</v>
      </c>
      <c r="B39" s="12" t="s">
        <v>13</v>
      </c>
      <c r="C39" s="12" t="s">
        <v>27</v>
      </c>
      <c r="D39" s="13" t="s">
        <v>28</v>
      </c>
      <c r="E39" s="12" t="str">
        <f>IFERROR(__xludf.DUMMYFUNCTION("FILTER(colegios!$B$2:$B5618,colegios!$A$2:$A5618=L39)"),"EL MILAGRO")</f>
        <v>EL MILAGRO</v>
      </c>
      <c r="F39" s="14" t="s">
        <v>16</v>
      </c>
      <c r="G39" s="14" t="s">
        <v>17</v>
      </c>
      <c r="H39" s="12" t="s">
        <v>18</v>
      </c>
      <c r="I39" s="15">
        <v>2024.0</v>
      </c>
      <c r="J39" s="16" t="str">
        <f>IFERROR(__xludf.DUMMYFUNCTION("FILTER('CLASFICACIÓN'!$F$3:$F5618,'CLASFICACIÓN'!$G$3:$G5618=M39)"),"LOS 3 AÑOS")</f>
        <v>LOS 3 AÑOS</v>
      </c>
      <c r="K39" s="16"/>
      <c r="L39" s="12" t="s">
        <v>29</v>
      </c>
      <c r="M39" s="16" t="str">
        <f t="shared" si="1"/>
        <v>EL MILAGRO2 Secundaria</v>
      </c>
      <c r="N39" s="17"/>
      <c r="O39" s="17"/>
      <c r="P39" s="17"/>
      <c r="Q39" s="17"/>
      <c r="R39" s="17"/>
      <c r="S39" s="17"/>
      <c r="T39" s="17"/>
    </row>
    <row r="40" ht="14.25" customHeight="1">
      <c r="A40" s="11">
        <v>39.0</v>
      </c>
      <c r="B40" s="12" t="s">
        <v>13</v>
      </c>
      <c r="C40" s="12" t="s">
        <v>27</v>
      </c>
      <c r="D40" s="13" t="s">
        <v>28</v>
      </c>
      <c r="E40" s="12" t="str">
        <f>IFERROR(__xludf.DUMMYFUNCTION("FILTER(colegios!$B$2:$B5618,colegios!$A$2:$A5618=L40)"),"EL MILAGRO")</f>
        <v>EL MILAGRO</v>
      </c>
      <c r="F40" s="14" t="s">
        <v>16</v>
      </c>
      <c r="G40" s="14" t="s">
        <v>21</v>
      </c>
      <c r="H40" s="12" t="s">
        <v>18</v>
      </c>
      <c r="I40" s="15">
        <v>2024.0</v>
      </c>
      <c r="J40" s="16" t="str">
        <f>IFERROR(__xludf.DUMMYFUNCTION("FILTER('CLASFICACIÓN'!$F$3:$F5618,'CLASFICACIÓN'!$G$3:$G5618=M40)"),"LOS 3 AÑOS")</f>
        <v>LOS 3 AÑOS</v>
      </c>
      <c r="K40" s="16"/>
      <c r="L40" s="12" t="s">
        <v>29</v>
      </c>
      <c r="M40" s="16" t="str">
        <f t="shared" si="1"/>
        <v>EL MILAGRO2 Secundaria</v>
      </c>
      <c r="N40" s="17"/>
      <c r="O40" s="17"/>
      <c r="P40" s="17"/>
      <c r="Q40" s="17"/>
      <c r="R40" s="17"/>
      <c r="S40" s="17"/>
      <c r="T40" s="17"/>
    </row>
    <row r="41" ht="14.25" customHeight="1">
      <c r="A41" s="11">
        <v>40.0</v>
      </c>
      <c r="B41" s="12" t="s">
        <v>13</v>
      </c>
      <c r="C41" s="12" t="s">
        <v>27</v>
      </c>
      <c r="D41" s="13" t="s">
        <v>28</v>
      </c>
      <c r="E41" s="12" t="str">
        <f>IFERROR(__xludf.DUMMYFUNCTION("FILTER(colegios!$B$2:$B5618,colegios!$A$2:$A5618=L41)"),"EL MILAGRO")</f>
        <v>EL MILAGRO</v>
      </c>
      <c r="F41" s="14" t="s">
        <v>16</v>
      </c>
      <c r="G41" s="14" t="s">
        <v>21</v>
      </c>
      <c r="H41" s="12" t="s">
        <v>18</v>
      </c>
      <c r="I41" s="15">
        <v>2024.0</v>
      </c>
      <c r="J41" s="16" t="str">
        <f>IFERROR(__xludf.DUMMYFUNCTION("FILTER('CLASFICACIÓN'!$F$3:$F5618,'CLASFICACIÓN'!$G$3:$G5618=M41)"),"LOS 3 AÑOS")</f>
        <v>LOS 3 AÑOS</v>
      </c>
      <c r="K41" s="16"/>
      <c r="L41" s="12" t="s">
        <v>29</v>
      </c>
      <c r="M41" s="16" t="str">
        <f t="shared" si="1"/>
        <v>EL MILAGRO2 Secundaria</v>
      </c>
      <c r="N41" s="17"/>
      <c r="O41" s="17"/>
      <c r="P41" s="17"/>
      <c r="Q41" s="17"/>
      <c r="R41" s="17"/>
      <c r="S41" s="17"/>
      <c r="T41" s="17"/>
    </row>
    <row r="42" ht="14.25" customHeight="1">
      <c r="A42" s="11">
        <v>41.0</v>
      </c>
      <c r="B42" s="12" t="s">
        <v>13</v>
      </c>
      <c r="C42" s="12" t="s">
        <v>27</v>
      </c>
      <c r="D42" s="13" t="s">
        <v>28</v>
      </c>
      <c r="E42" s="12" t="str">
        <f>IFERROR(__xludf.DUMMYFUNCTION("FILTER(colegios!$B$2:$B5618,colegios!$A$2:$A5618=L42)"),"EL MILAGRO")</f>
        <v>EL MILAGRO</v>
      </c>
      <c r="F42" s="14" t="s">
        <v>16</v>
      </c>
      <c r="G42" s="14" t="s">
        <v>17</v>
      </c>
      <c r="H42" s="12" t="s">
        <v>24</v>
      </c>
      <c r="I42" s="15">
        <v>2024.0</v>
      </c>
      <c r="J42" s="16" t="str">
        <f>IFERROR(__xludf.DUMMYFUNCTION("FILTER('CLASFICACIÓN'!$F$3:$F5618,'CLASFICACIÓN'!$G$3:$G5618=M42)"),"LOS 3 AÑOS")</f>
        <v>LOS 3 AÑOS</v>
      </c>
      <c r="K42" s="16"/>
      <c r="L42" s="12" t="s">
        <v>29</v>
      </c>
      <c r="M42" s="16" t="str">
        <f t="shared" si="1"/>
        <v>EL MILAGRO2 Secundaria</v>
      </c>
      <c r="N42" s="17"/>
      <c r="O42" s="17"/>
      <c r="P42" s="17"/>
      <c r="Q42" s="17"/>
      <c r="R42" s="17"/>
      <c r="S42" s="17"/>
      <c r="T42" s="17"/>
    </row>
    <row r="43" ht="14.25" customHeight="1">
      <c r="A43" s="11">
        <v>42.0</v>
      </c>
      <c r="B43" s="12" t="s">
        <v>13</v>
      </c>
      <c r="C43" s="12" t="s">
        <v>27</v>
      </c>
      <c r="D43" s="13" t="s">
        <v>28</v>
      </c>
      <c r="E43" s="12" t="str">
        <f>IFERROR(__xludf.DUMMYFUNCTION("FILTER(colegios!$B$2:$B5618,colegios!$A$2:$A5618=L43)"),"EL MILAGRO")</f>
        <v>EL MILAGRO</v>
      </c>
      <c r="F43" s="14" t="s">
        <v>16</v>
      </c>
      <c r="G43" s="12" t="s">
        <v>21</v>
      </c>
      <c r="H43" s="12" t="s">
        <v>18</v>
      </c>
      <c r="I43" s="15">
        <v>2024.0</v>
      </c>
      <c r="J43" s="16" t="str">
        <f>IFERROR(__xludf.DUMMYFUNCTION("FILTER('CLASFICACIÓN'!$F$3:$F5618,'CLASFICACIÓN'!$G$3:$G5618=M43)"),"LOS 3 AÑOS")</f>
        <v>LOS 3 AÑOS</v>
      </c>
      <c r="K43" s="16"/>
      <c r="L43" s="12" t="s">
        <v>29</v>
      </c>
      <c r="M43" s="16" t="str">
        <f t="shared" si="1"/>
        <v>EL MILAGRO2 Secundaria</v>
      </c>
      <c r="N43" s="17"/>
      <c r="O43" s="17"/>
      <c r="P43" s="17"/>
      <c r="Q43" s="17"/>
      <c r="R43" s="17"/>
      <c r="S43" s="17"/>
      <c r="T43" s="17"/>
    </row>
    <row r="44" ht="14.25" customHeight="1">
      <c r="A44" s="11">
        <v>43.0</v>
      </c>
      <c r="B44" s="12" t="s">
        <v>13</v>
      </c>
      <c r="C44" s="12" t="s">
        <v>27</v>
      </c>
      <c r="D44" s="13" t="s">
        <v>28</v>
      </c>
      <c r="E44" s="12" t="str">
        <f>IFERROR(__xludf.DUMMYFUNCTION("FILTER(colegios!$B$2:$B5618,colegios!$A$2:$A5618=L44)"),"EL MILAGRO")</f>
        <v>EL MILAGRO</v>
      </c>
      <c r="F44" s="14" t="s">
        <v>16</v>
      </c>
      <c r="G44" s="12" t="s">
        <v>17</v>
      </c>
      <c r="H44" s="12" t="s">
        <v>18</v>
      </c>
      <c r="I44" s="15">
        <v>2024.0</v>
      </c>
      <c r="J44" s="16" t="str">
        <f>IFERROR(__xludf.DUMMYFUNCTION("FILTER('CLASFICACIÓN'!$F$3:$F5618,'CLASFICACIÓN'!$G$3:$G5618=M44)"),"LOS 3 AÑOS")</f>
        <v>LOS 3 AÑOS</v>
      </c>
      <c r="K44" s="16"/>
      <c r="L44" s="12" t="s">
        <v>29</v>
      </c>
      <c r="M44" s="16" t="str">
        <f t="shared" si="1"/>
        <v>EL MILAGRO2 Secundaria</v>
      </c>
      <c r="N44" s="17"/>
      <c r="O44" s="17"/>
      <c r="P44" s="17"/>
      <c r="Q44" s="17"/>
      <c r="R44" s="17"/>
      <c r="S44" s="17"/>
      <c r="T44" s="17"/>
    </row>
    <row r="45" ht="14.25" customHeight="1">
      <c r="A45" s="11">
        <v>44.0</v>
      </c>
      <c r="B45" s="12" t="s">
        <v>13</v>
      </c>
      <c r="C45" s="12" t="s">
        <v>27</v>
      </c>
      <c r="D45" s="13" t="s">
        <v>28</v>
      </c>
      <c r="E45" s="12" t="str">
        <f>IFERROR(__xludf.DUMMYFUNCTION("FILTER(colegios!$B$2:$B5618,colegios!$A$2:$A5618=L45)"),"EL MILAGRO")</f>
        <v>EL MILAGRO</v>
      </c>
      <c r="F45" s="14" t="s">
        <v>16</v>
      </c>
      <c r="G45" s="12" t="s">
        <v>21</v>
      </c>
      <c r="H45" s="12" t="s">
        <v>18</v>
      </c>
      <c r="I45" s="15">
        <v>2024.0</v>
      </c>
      <c r="J45" s="16" t="str">
        <f>IFERROR(__xludf.DUMMYFUNCTION("FILTER('CLASFICACIÓN'!$F$3:$F5618,'CLASFICACIÓN'!$G$3:$G5618=M45)"),"LOS 3 AÑOS")</f>
        <v>LOS 3 AÑOS</v>
      </c>
      <c r="K45" s="16"/>
      <c r="L45" s="12" t="s">
        <v>29</v>
      </c>
      <c r="M45" s="16" t="str">
        <f t="shared" si="1"/>
        <v>EL MILAGRO2 Secundaria</v>
      </c>
      <c r="N45" s="17"/>
      <c r="O45" s="17"/>
      <c r="P45" s="17"/>
      <c r="Q45" s="17"/>
      <c r="R45" s="17"/>
      <c r="S45" s="17"/>
      <c r="T45" s="17"/>
    </row>
    <row r="46" ht="14.25" customHeight="1">
      <c r="A46" s="11">
        <v>45.0</v>
      </c>
      <c r="B46" s="12" t="s">
        <v>13</v>
      </c>
      <c r="C46" s="12" t="s">
        <v>27</v>
      </c>
      <c r="D46" s="13" t="s">
        <v>28</v>
      </c>
      <c r="E46" s="12" t="str">
        <f>IFERROR(__xludf.DUMMYFUNCTION("FILTER(colegios!$B$2:$B5618,colegios!$A$2:$A5618=L46)"),"EL MILAGRO")</f>
        <v>EL MILAGRO</v>
      </c>
      <c r="F46" s="14" t="s">
        <v>16</v>
      </c>
      <c r="G46" s="12" t="s">
        <v>17</v>
      </c>
      <c r="H46" s="12" t="s">
        <v>24</v>
      </c>
      <c r="I46" s="15">
        <v>2024.0</v>
      </c>
      <c r="J46" s="16" t="str">
        <f>IFERROR(__xludf.DUMMYFUNCTION("FILTER('CLASFICACIÓN'!$F$3:$F5618,'CLASFICACIÓN'!$G$3:$G5618=M46)"),"LOS 3 AÑOS")</f>
        <v>LOS 3 AÑOS</v>
      </c>
      <c r="K46" s="16"/>
      <c r="L46" s="12" t="s">
        <v>29</v>
      </c>
      <c r="M46" s="16" t="str">
        <f t="shared" si="1"/>
        <v>EL MILAGRO2 Secundaria</v>
      </c>
      <c r="N46" s="17"/>
      <c r="O46" s="17"/>
      <c r="P46" s="17"/>
      <c r="Q46" s="17"/>
      <c r="R46" s="17"/>
      <c r="S46" s="17"/>
      <c r="T46" s="17"/>
    </row>
    <row r="47" ht="14.25" customHeight="1">
      <c r="A47" s="11">
        <v>46.0</v>
      </c>
      <c r="B47" s="12" t="s">
        <v>13</v>
      </c>
      <c r="C47" s="12" t="s">
        <v>27</v>
      </c>
      <c r="D47" s="13" t="s">
        <v>28</v>
      </c>
      <c r="E47" s="12" t="str">
        <f>IFERROR(__xludf.DUMMYFUNCTION("FILTER(colegios!$B$2:$B5618,colegios!$A$2:$A5618=L47)"),"EL MILAGRO")</f>
        <v>EL MILAGRO</v>
      </c>
      <c r="F47" s="14" t="s">
        <v>16</v>
      </c>
      <c r="G47" s="12" t="s">
        <v>21</v>
      </c>
      <c r="H47" s="12" t="s">
        <v>18</v>
      </c>
      <c r="I47" s="15">
        <v>2024.0</v>
      </c>
      <c r="J47" s="16" t="str">
        <f>IFERROR(__xludf.DUMMYFUNCTION("FILTER('CLASFICACIÓN'!$F$3:$F5618,'CLASFICACIÓN'!$G$3:$G5618=M47)"),"LOS 3 AÑOS")</f>
        <v>LOS 3 AÑOS</v>
      </c>
      <c r="K47" s="16"/>
      <c r="L47" s="12" t="s">
        <v>29</v>
      </c>
      <c r="M47" s="16" t="str">
        <f t="shared" si="1"/>
        <v>EL MILAGRO2 Secundaria</v>
      </c>
      <c r="N47" s="17"/>
      <c r="O47" s="17"/>
      <c r="P47" s="17"/>
      <c r="Q47" s="17"/>
      <c r="R47" s="17"/>
      <c r="S47" s="17"/>
      <c r="T47" s="17"/>
    </row>
    <row r="48" ht="14.25" customHeight="1">
      <c r="A48" s="11">
        <v>47.0</v>
      </c>
      <c r="B48" s="12" t="s">
        <v>13</v>
      </c>
      <c r="C48" s="12" t="s">
        <v>27</v>
      </c>
      <c r="D48" s="13" t="s">
        <v>28</v>
      </c>
      <c r="E48" s="12" t="str">
        <f>IFERROR(__xludf.DUMMYFUNCTION("FILTER(colegios!$B$2:$B5618,colegios!$A$2:$A5618=L48)"),"EL MILAGRO")</f>
        <v>EL MILAGRO</v>
      </c>
      <c r="F48" s="14" t="s">
        <v>16</v>
      </c>
      <c r="G48" s="12" t="s">
        <v>21</v>
      </c>
      <c r="H48" s="12" t="s">
        <v>24</v>
      </c>
      <c r="I48" s="15">
        <v>2024.0</v>
      </c>
      <c r="J48" s="16" t="str">
        <f>IFERROR(__xludf.DUMMYFUNCTION("FILTER('CLASFICACIÓN'!$F$3:$F5618,'CLASFICACIÓN'!$G$3:$G5618=M48)"),"LOS 3 AÑOS")</f>
        <v>LOS 3 AÑOS</v>
      </c>
      <c r="K48" s="16"/>
      <c r="L48" s="12" t="s">
        <v>29</v>
      </c>
      <c r="M48" s="16" t="str">
        <f t="shared" si="1"/>
        <v>EL MILAGRO2 Secundaria</v>
      </c>
      <c r="N48" s="17"/>
      <c r="O48" s="17"/>
      <c r="P48" s="17"/>
      <c r="Q48" s="17"/>
      <c r="R48" s="17"/>
      <c r="S48" s="17"/>
      <c r="T48" s="17"/>
    </row>
    <row r="49" ht="14.25" customHeight="1">
      <c r="A49" s="11">
        <v>48.0</v>
      </c>
      <c r="B49" s="12" t="s">
        <v>13</v>
      </c>
      <c r="C49" s="12" t="s">
        <v>27</v>
      </c>
      <c r="D49" s="13" t="s">
        <v>28</v>
      </c>
      <c r="E49" s="12" t="str">
        <f>IFERROR(__xludf.DUMMYFUNCTION("FILTER(colegios!$B$2:$B5618,colegios!$A$2:$A5618=L49)"),"EL MILAGRO")</f>
        <v>EL MILAGRO</v>
      </c>
      <c r="F49" s="14" t="s">
        <v>16</v>
      </c>
      <c r="G49" s="12" t="s">
        <v>17</v>
      </c>
      <c r="H49" s="12" t="s">
        <v>18</v>
      </c>
      <c r="I49" s="15">
        <v>2024.0</v>
      </c>
      <c r="J49" s="16" t="str">
        <f>IFERROR(__xludf.DUMMYFUNCTION("FILTER('CLASFICACIÓN'!$F$3:$F5618,'CLASFICACIÓN'!$G$3:$G5618=M49)"),"LOS 3 AÑOS")</f>
        <v>LOS 3 AÑOS</v>
      </c>
      <c r="K49" s="16"/>
      <c r="L49" s="12" t="s">
        <v>29</v>
      </c>
      <c r="M49" s="16" t="str">
        <f t="shared" si="1"/>
        <v>EL MILAGRO2 Secundaria</v>
      </c>
      <c r="N49" s="17"/>
      <c r="O49" s="17"/>
      <c r="P49" s="17"/>
      <c r="Q49" s="17"/>
      <c r="R49" s="17"/>
      <c r="S49" s="17"/>
      <c r="T49" s="17"/>
    </row>
    <row r="50" ht="14.25" customHeight="1">
      <c r="A50" s="11">
        <v>49.0</v>
      </c>
      <c r="B50" s="12" t="s">
        <v>13</v>
      </c>
      <c r="C50" s="12" t="s">
        <v>27</v>
      </c>
      <c r="D50" s="13" t="s">
        <v>30</v>
      </c>
      <c r="E50" s="12" t="str">
        <f>IFERROR(__xludf.DUMMYFUNCTION("FILTER(colegios!$B$2:$B5618,colegios!$A$2:$A5618=L50)"),"EL MILAGRO")</f>
        <v>EL MILAGRO</v>
      </c>
      <c r="F50" s="14" t="s">
        <v>16</v>
      </c>
      <c r="G50" s="14" t="s">
        <v>21</v>
      </c>
      <c r="H50" s="12" t="s">
        <v>18</v>
      </c>
      <c r="I50" s="15">
        <v>2024.0</v>
      </c>
      <c r="J50" s="16" t="str">
        <f>IFERROR(__xludf.DUMMYFUNCTION("FILTER('CLASFICACIÓN'!$F$3:$F5618,'CLASFICACIÓN'!$G$3:$G5618=M50)"),"LOS 3 AÑOS")</f>
        <v>LOS 3 AÑOS</v>
      </c>
      <c r="K50" s="16"/>
      <c r="L50" s="12" t="s">
        <v>29</v>
      </c>
      <c r="M50" s="16" t="str">
        <f t="shared" si="1"/>
        <v>EL MILAGRO4 Secundaria</v>
      </c>
      <c r="N50" s="17"/>
      <c r="O50" s="17"/>
      <c r="P50" s="17"/>
      <c r="Q50" s="17"/>
      <c r="R50" s="17"/>
      <c r="S50" s="17"/>
      <c r="T50" s="17"/>
    </row>
    <row r="51" ht="14.25" customHeight="1">
      <c r="A51" s="11">
        <v>50.0</v>
      </c>
      <c r="B51" s="12" t="s">
        <v>13</v>
      </c>
      <c r="C51" s="12" t="s">
        <v>27</v>
      </c>
      <c r="D51" s="13" t="s">
        <v>30</v>
      </c>
      <c r="E51" s="12" t="str">
        <f>IFERROR(__xludf.DUMMYFUNCTION("FILTER(colegios!$B$2:$B5618,colegios!$A$2:$A5618=L51)"),"EL MILAGRO")</f>
        <v>EL MILAGRO</v>
      </c>
      <c r="F51" s="14" t="s">
        <v>16</v>
      </c>
      <c r="G51" s="14" t="s">
        <v>21</v>
      </c>
      <c r="H51" s="12" t="s">
        <v>18</v>
      </c>
      <c r="I51" s="15">
        <v>2024.0</v>
      </c>
      <c r="J51" s="16" t="str">
        <f>IFERROR(__xludf.DUMMYFUNCTION("FILTER('CLASFICACIÓN'!$F$3:$F5618,'CLASFICACIÓN'!$G$3:$G5618=M51)"),"LOS 3 AÑOS")</f>
        <v>LOS 3 AÑOS</v>
      </c>
      <c r="K51" s="16"/>
      <c r="L51" s="12" t="s">
        <v>29</v>
      </c>
      <c r="M51" s="16" t="str">
        <f t="shared" si="1"/>
        <v>EL MILAGRO4 Secundaria</v>
      </c>
      <c r="N51" s="17"/>
      <c r="O51" s="17"/>
      <c r="P51" s="17"/>
      <c r="Q51" s="17"/>
      <c r="R51" s="17"/>
      <c r="S51" s="17"/>
      <c r="T51" s="17"/>
    </row>
    <row r="52" ht="14.25" customHeight="1">
      <c r="A52" s="11">
        <v>51.0</v>
      </c>
      <c r="B52" s="12" t="s">
        <v>13</v>
      </c>
      <c r="C52" s="12" t="s">
        <v>27</v>
      </c>
      <c r="D52" s="13" t="s">
        <v>30</v>
      </c>
      <c r="E52" s="12" t="str">
        <f>IFERROR(__xludf.DUMMYFUNCTION("FILTER(colegios!$B$2:$B5618,colegios!$A$2:$A5618=L52)"),"EL MILAGRO")</f>
        <v>EL MILAGRO</v>
      </c>
      <c r="F52" s="14" t="s">
        <v>16</v>
      </c>
      <c r="G52" s="14" t="s">
        <v>17</v>
      </c>
      <c r="H52" s="12" t="s">
        <v>18</v>
      </c>
      <c r="I52" s="15">
        <v>2024.0</v>
      </c>
      <c r="J52" s="16" t="str">
        <f>IFERROR(__xludf.DUMMYFUNCTION("FILTER('CLASFICACIÓN'!$F$3:$F5618,'CLASFICACIÓN'!$G$3:$G5618=M52)"),"LOS 3 AÑOS")</f>
        <v>LOS 3 AÑOS</v>
      </c>
      <c r="K52" s="16"/>
      <c r="L52" s="12" t="s">
        <v>29</v>
      </c>
      <c r="M52" s="16" t="str">
        <f t="shared" si="1"/>
        <v>EL MILAGRO4 Secundaria</v>
      </c>
      <c r="N52" s="17"/>
      <c r="O52" s="17"/>
      <c r="P52" s="17"/>
      <c r="Q52" s="17"/>
      <c r="R52" s="17"/>
      <c r="S52" s="17"/>
      <c r="T52" s="17"/>
    </row>
    <row r="53" ht="14.25" customHeight="1">
      <c r="A53" s="11">
        <v>52.0</v>
      </c>
      <c r="B53" s="12" t="s">
        <v>13</v>
      </c>
      <c r="C53" s="12" t="s">
        <v>27</v>
      </c>
      <c r="D53" s="13" t="s">
        <v>30</v>
      </c>
      <c r="E53" s="12" t="str">
        <f>IFERROR(__xludf.DUMMYFUNCTION("FILTER(colegios!$B$2:$B5618,colegios!$A$2:$A5618=L53)"),"EL MILAGRO")</f>
        <v>EL MILAGRO</v>
      </c>
      <c r="F53" s="14" t="s">
        <v>16</v>
      </c>
      <c r="G53" s="14" t="s">
        <v>21</v>
      </c>
      <c r="H53" s="12" t="s">
        <v>18</v>
      </c>
      <c r="I53" s="15">
        <v>2024.0</v>
      </c>
      <c r="J53" s="16" t="str">
        <f>IFERROR(__xludf.DUMMYFUNCTION("FILTER('CLASFICACIÓN'!$F$3:$F5618,'CLASFICACIÓN'!$G$3:$G5618=M53)"),"LOS 3 AÑOS")</f>
        <v>LOS 3 AÑOS</v>
      </c>
      <c r="K53" s="16"/>
      <c r="L53" s="12" t="s">
        <v>29</v>
      </c>
      <c r="M53" s="16" t="str">
        <f t="shared" si="1"/>
        <v>EL MILAGRO4 Secundaria</v>
      </c>
      <c r="N53" s="17"/>
      <c r="O53" s="17"/>
      <c r="P53" s="17"/>
      <c r="Q53" s="17"/>
      <c r="R53" s="17"/>
      <c r="S53" s="17"/>
      <c r="T53" s="17"/>
    </row>
    <row r="54" ht="14.25" customHeight="1">
      <c r="A54" s="11">
        <v>53.0</v>
      </c>
      <c r="B54" s="12" t="s">
        <v>13</v>
      </c>
      <c r="C54" s="12" t="s">
        <v>27</v>
      </c>
      <c r="D54" s="13" t="s">
        <v>30</v>
      </c>
      <c r="E54" s="12" t="str">
        <f>IFERROR(__xludf.DUMMYFUNCTION("FILTER(colegios!$B$2:$B5618,colegios!$A$2:$A5618=L54)"),"EL MILAGRO")</f>
        <v>EL MILAGRO</v>
      </c>
      <c r="F54" s="14" t="s">
        <v>16</v>
      </c>
      <c r="G54" s="14" t="s">
        <v>21</v>
      </c>
      <c r="H54" s="12" t="s">
        <v>24</v>
      </c>
      <c r="I54" s="15">
        <v>2024.0</v>
      </c>
      <c r="J54" s="16" t="str">
        <f>IFERROR(__xludf.DUMMYFUNCTION("FILTER('CLASFICACIÓN'!$F$3:$F5618,'CLASFICACIÓN'!$G$3:$G5618=M54)"),"LOS 3 AÑOS")</f>
        <v>LOS 3 AÑOS</v>
      </c>
      <c r="K54" s="16"/>
      <c r="L54" s="12" t="s">
        <v>29</v>
      </c>
      <c r="M54" s="16" t="str">
        <f t="shared" si="1"/>
        <v>EL MILAGRO4 Secundaria</v>
      </c>
      <c r="N54" s="17"/>
      <c r="O54" s="17"/>
      <c r="P54" s="17"/>
      <c r="Q54" s="17"/>
      <c r="R54" s="17"/>
      <c r="S54" s="17"/>
      <c r="T54" s="17"/>
    </row>
    <row r="55" ht="14.25" customHeight="1">
      <c r="A55" s="11">
        <v>54.0</v>
      </c>
      <c r="B55" s="12" t="s">
        <v>13</v>
      </c>
      <c r="C55" s="12" t="s">
        <v>27</v>
      </c>
      <c r="D55" s="13" t="s">
        <v>30</v>
      </c>
      <c r="E55" s="12" t="str">
        <f>IFERROR(__xludf.DUMMYFUNCTION("FILTER(colegios!$B$2:$B5618,colegios!$A$2:$A5618=L55)"),"EL MILAGRO")</f>
        <v>EL MILAGRO</v>
      </c>
      <c r="F55" s="14" t="s">
        <v>16</v>
      </c>
      <c r="G55" s="14" t="s">
        <v>21</v>
      </c>
      <c r="H55" s="12" t="s">
        <v>18</v>
      </c>
      <c r="I55" s="15">
        <v>2024.0</v>
      </c>
      <c r="J55" s="16" t="str">
        <f>IFERROR(__xludf.DUMMYFUNCTION("FILTER('CLASFICACIÓN'!$F$3:$F5618,'CLASFICACIÓN'!$G$3:$G5618=M55)"),"LOS 3 AÑOS")</f>
        <v>LOS 3 AÑOS</v>
      </c>
      <c r="K55" s="16"/>
      <c r="L55" s="12" t="s">
        <v>29</v>
      </c>
      <c r="M55" s="16" t="str">
        <f t="shared" si="1"/>
        <v>EL MILAGRO4 Secundaria</v>
      </c>
      <c r="N55" s="17"/>
      <c r="O55" s="17"/>
      <c r="P55" s="17"/>
      <c r="Q55" s="17"/>
      <c r="R55" s="17"/>
      <c r="S55" s="17"/>
      <c r="T55" s="17"/>
    </row>
    <row r="56" ht="14.25" customHeight="1">
      <c r="A56" s="11">
        <v>55.0</v>
      </c>
      <c r="B56" s="12" t="s">
        <v>13</v>
      </c>
      <c r="C56" s="12" t="s">
        <v>27</v>
      </c>
      <c r="D56" s="13" t="s">
        <v>30</v>
      </c>
      <c r="E56" s="12" t="str">
        <f>IFERROR(__xludf.DUMMYFUNCTION("FILTER(colegios!$B$2:$B5618,colegios!$A$2:$A5618=L56)"),"EL MILAGRO")</f>
        <v>EL MILAGRO</v>
      </c>
      <c r="F56" s="14" t="s">
        <v>16</v>
      </c>
      <c r="G56" s="14" t="s">
        <v>21</v>
      </c>
      <c r="H56" s="12" t="s">
        <v>18</v>
      </c>
      <c r="I56" s="15">
        <v>2024.0</v>
      </c>
      <c r="J56" s="16" t="str">
        <f>IFERROR(__xludf.DUMMYFUNCTION("FILTER('CLASFICACIÓN'!$F$3:$F5618,'CLASFICACIÓN'!$G$3:$G5618=M56)"),"LOS 3 AÑOS")</f>
        <v>LOS 3 AÑOS</v>
      </c>
      <c r="K56" s="16"/>
      <c r="L56" s="12" t="s">
        <v>29</v>
      </c>
      <c r="M56" s="16" t="str">
        <f t="shared" si="1"/>
        <v>EL MILAGRO4 Secundaria</v>
      </c>
      <c r="N56" s="17"/>
      <c r="O56" s="17"/>
      <c r="P56" s="17"/>
      <c r="Q56" s="17"/>
      <c r="R56" s="17"/>
      <c r="S56" s="17"/>
      <c r="T56" s="17"/>
    </row>
    <row r="57" ht="14.25" customHeight="1">
      <c r="A57" s="11">
        <v>56.0</v>
      </c>
      <c r="B57" s="12" t="s">
        <v>13</v>
      </c>
      <c r="C57" s="12" t="s">
        <v>27</v>
      </c>
      <c r="D57" s="13" t="s">
        <v>30</v>
      </c>
      <c r="E57" s="12" t="str">
        <f>IFERROR(__xludf.DUMMYFUNCTION("FILTER(colegios!$B$2:$B5618,colegios!$A$2:$A5618=L57)"),"EL MILAGRO")</f>
        <v>EL MILAGRO</v>
      </c>
      <c r="F57" s="14" t="s">
        <v>16</v>
      </c>
      <c r="G57" s="14" t="s">
        <v>21</v>
      </c>
      <c r="H57" s="12" t="s">
        <v>18</v>
      </c>
      <c r="I57" s="15">
        <v>2024.0</v>
      </c>
      <c r="J57" s="16" t="str">
        <f>IFERROR(__xludf.DUMMYFUNCTION("FILTER('CLASFICACIÓN'!$F$3:$F5618,'CLASFICACIÓN'!$G$3:$G5618=M57)"),"LOS 3 AÑOS")</f>
        <v>LOS 3 AÑOS</v>
      </c>
      <c r="K57" s="16"/>
      <c r="L57" s="12" t="s">
        <v>29</v>
      </c>
      <c r="M57" s="16" t="str">
        <f t="shared" si="1"/>
        <v>EL MILAGRO4 Secundaria</v>
      </c>
      <c r="N57" s="17"/>
      <c r="O57" s="17"/>
      <c r="P57" s="17"/>
      <c r="Q57" s="17"/>
      <c r="R57" s="17"/>
      <c r="S57" s="17"/>
      <c r="T57" s="17"/>
    </row>
    <row r="58" ht="14.25" customHeight="1">
      <c r="A58" s="11">
        <v>57.0</v>
      </c>
      <c r="B58" s="12" t="s">
        <v>13</v>
      </c>
      <c r="C58" s="12" t="s">
        <v>27</v>
      </c>
      <c r="D58" s="13" t="s">
        <v>30</v>
      </c>
      <c r="E58" s="12" t="str">
        <f>IFERROR(__xludf.DUMMYFUNCTION("FILTER(colegios!$B$2:$B5618,colegios!$A$2:$A5618=L58)"),"EL MILAGRO")</f>
        <v>EL MILAGRO</v>
      </c>
      <c r="F58" s="14" t="s">
        <v>16</v>
      </c>
      <c r="G58" s="14" t="s">
        <v>21</v>
      </c>
      <c r="H58" s="12" t="s">
        <v>18</v>
      </c>
      <c r="I58" s="15">
        <v>2024.0</v>
      </c>
      <c r="J58" s="16" t="str">
        <f>IFERROR(__xludf.DUMMYFUNCTION("FILTER('CLASFICACIÓN'!$F$3:$F5618,'CLASFICACIÓN'!$G$3:$G5618=M58)"),"LOS 3 AÑOS")</f>
        <v>LOS 3 AÑOS</v>
      </c>
      <c r="K58" s="16"/>
      <c r="L58" s="12" t="s">
        <v>29</v>
      </c>
      <c r="M58" s="16" t="str">
        <f t="shared" si="1"/>
        <v>EL MILAGRO4 Secundaria</v>
      </c>
      <c r="N58" s="17"/>
      <c r="O58" s="17"/>
      <c r="P58" s="17"/>
      <c r="Q58" s="17"/>
      <c r="R58" s="17"/>
      <c r="S58" s="17"/>
      <c r="T58" s="17"/>
    </row>
    <row r="59" ht="14.25" customHeight="1">
      <c r="A59" s="11">
        <v>58.0</v>
      </c>
      <c r="B59" s="12" t="s">
        <v>13</v>
      </c>
      <c r="C59" s="12" t="s">
        <v>27</v>
      </c>
      <c r="D59" s="13" t="s">
        <v>30</v>
      </c>
      <c r="E59" s="12" t="str">
        <f>IFERROR(__xludf.DUMMYFUNCTION("FILTER(colegios!$B$2:$B5618,colegios!$A$2:$A5618=L59)"),"EL MILAGRO")</f>
        <v>EL MILAGRO</v>
      </c>
      <c r="F59" s="14" t="s">
        <v>16</v>
      </c>
      <c r="G59" s="14" t="s">
        <v>21</v>
      </c>
      <c r="H59" s="12" t="s">
        <v>18</v>
      </c>
      <c r="I59" s="15">
        <v>2024.0</v>
      </c>
      <c r="J59" s="16" t="str">
        <f>IFERROR(__xludf.DUMMYFUNCTION("FILTER('CLASFICACIÓN'!$F$3:$F5618,'CLASFICACIÓN'!$G$3:$G5618=M59)"),"LOS 3 AÑOS")</f>
        <v>LOS 3 AÑOS</v>
      </c>
      <c r="K59" s="16"/>
      <c r="L59" s="12" t="s">
        <v>29</v>
      </c>
      <c r="M59" s="16" t="str">
        <f t="shared" si="1"/>
        <v>EL MILAGRO4 Secundaria</v>
      </c>
      <c r="N59" s="17"/>
      <c r="O59" s="17"/>
      <c r="P59" s="17"/>
      <c r="Q59" s="17"/>
      <c r="R59" s="17"/>
      <c r="S59" s="17"/>
      <c r="T59" s="17"/>
    </row>
    <row r="60" ht="14.25" customHeight="1">
      <c r="A60" s="11">
        <v>59.0</v>
      </c>
      <c r="B60" s="12" t="s">
        <v>13</v>
      </c>
      <c r="C60" s="12" t="s">
        <v>27</v>
      </c>
      <c r="D60" s="13" t="s">
        <v>30</v>
      </c>
      <c r="E60" s="12" t="str">
        <f>IFERROR(__xludf.DUMMYFUNCTION("FILTER(colegios!$B$2:$B5618,colegios!$A$2:$A5618=L60)"),"EL MILAGRO")</f>
        <v>EL MILAGRO</v>
      </c>
      <c r="F60" s="14" t="s">
        <v>16</v>
      </c>
      <c r="G60" s="14" t="s">
        <v>21</v>
      </c>
      <c r="H60" s="12" t="s">
        <v>18</v>
      </c>
      <c r="I60" s="15">
        <v>2024.0</v>
      </c>
      <c r="J60" s="16" t="str">
        <f>IFERROR(__xludf.DUMMYFUNCTION("FILTER('CLASFICACIÓN'!$F$3:$F5618,'CLASFICACIÓN'!$G$3:$G5618=M60)"),"LOS 3 AÑOS")</f>
        <v>LOS 3 AÑOS</v>
      </c>
      <c r="K60" s="16"/>
      <c r="L60" s="12" t="s">
        <v>29</v>
      </c>
      <c r="M60" s="16" t="str">
        <f t="shared" si="1"/>
        <v>EL MILAGRO4 Secundaria</v>
      </c>
      <c r="N60" s="17"/>
      <c r="O60" s="17"/>
      <c r="P60" s="17"/>
      <c r="Q60" s="17"/>
      <c r="R60" s="17"/>
      <c r="S60" s="17"/>
      <c r="T60" s="17"/>
    </row>
    <row r="61" ht="14.25" customHeight="1">
      <c r="A61" s="11">
        <v>60.0</v>
      </c>
      <c r="B61" s="12" t="s">
        <v>13</v>
      </c>
      <c r="C61" s="12" t="s">
        <v>27</v>
      </c>
      <c r="D61" s="13" t="s">
        <v>30</v>
      </c>
      <c r="E61" s="12" t="str">
        <f>IFERROR(__xludf.DUMMYFUNCTION("FILTER(colegios!$B$2:$B5618,colegios!$A$2:$A5618=L61)"),"EL MILAGRO")</f>
        <v>EL MILAGRO</v>
      </c>
      <c r="F61" s="14" t="s">
        <v>16</v>
      </c>
      <c r="G61" s="12" t="s">
        <v>21</v>
      </c>
      <c r="H61" s="12" t="s">
        <v>18</v>
      </c>
      <c r="I61" s="15">
        <v>2024.0</v>
      </c>
      <c r="J61" s="16" t="str">
        <f>IFERROR(__xludf.DUMMYFUNCTION("FILTER('CLASFICACIÓN'!$F$3:$F5618,'CLASFICACIÓN'!$G$3:$G5618=M61)"),"LOS 3 AÑOS")</f>
        <v>LOS 3 AÑOS</v>
      </c>
      <c r="K61" s="16"/>
      <c r="L61" s="12" t="s">
        <v>29</v>
      </c>
      <c r="M61" s="16" t="str">
        <f t="shared" si="1"/>
        <v>EL MILAGRO4 Secundaria</v>
      </c>
      <c r="N61" s="17"/>
      <c r="O61" s="17"/>
      <c r="P61" s="17"/>
      <c r="Q61" s="17"/>
      <c r="R61" s="17"/>
      <c r="S61" s="17"/>
      <c r="T61" s="17"/>
    </row>
    <row r="62" ht="14.25" customHeight="1">
      <c r="A62" s="11">
        <v>61.0</v>
      </c>
      <c r="B62" s="12" t="s">
        <v>13</v>
      </c>
      <c r="C62" s="12" t="s">
        <v>27</v>
      </c>
      <c r="D62" s="13" t="s">
        <v>30</v>
      </c>
      <c r="E62" s="12" t="str">
        <f>IFERROR(__xludf.DUMMYFUNCTION("FILTER(colegios!$B$2:$B5618,colegios!$A$2:$A5618=L62)"),"EL MILAGRO")</f>
        <v>EL MILAGRO</v>
      </c>
      <c r="F62" s="14" t="s">
        <v>16</v>
      </c>
      <c r="G62" s="12" t="s">
        <v>21</v>
      </c>
      <c r="H62" s="12" t="s">
        <v>18</v>
      </c>
      <c r="I62" s="15">
        <v>2024.0</v>
      </c>
      <c r="J62" s="16" t="str">
        <f>IFERROR(__xludf.DUMMYFUNCTION("FILTER('CLASFICACIÓN'!$F$3:$F5618,'CLASFICACIÓN'!$G$3:$G5618=M62)"),"LOS 3 AÑOS")</f>
        <v>LOS 3 AÑOS</v>
      </c>
      <c r="K62" s="16"/>
      <c r="L62" s="12" t="s">
        <v>29</v>
      </c>
      <c r="M62" s="16" t="str">
        <f t="shared" si="1"/>
        <v>EL MILAGRO4 Secundaria</v>
      </c>
      <c r="N62" s="17"/>
      <c r="O62" s="17"/>
      <c r="P62" s="17"/>
      <c r="Q62" s="17"/>
      <c r="R62" s="17"/>
      <c r="S62" s="17"/>
      <c r="T62" s="17"/>
    </row>
    <row r="63" ht="14.25" customHeight="1">
      <c r="A63" s="11">
        <v>62.0</v>
      </c>
      <c r="B63" s="12" t="s">
        <v>13</v>
      </c>
      <c r="C63" s="12" t="s">
        <v>27</v>
      </c>
      <c r="D63" s="13" t="s">
        <v>30</v>
      </c>
      <c r="E63" s="12" t="str">
        <f>IFERROR(__xludf.DUMMYFUNCTION("FILTER(colegios!$B$2:$B5618,colegios!$A$2:$A5618=L63)"),"EL MILAGRO")</f>
        <v>EL MILAGRO</v>
      </c>
      <c r="F63" s="14" t="s">
        <v>16</v>
      </c>
      <c r="G63" s="12" t="s">
        <v>21</v>
      </c>
      <c r="H63" s="12" t="s">
        <v>18</v>
      </c>
      <c r="I63" s="15">
        <v>2024.0</v>
      </c>
      <c r="J63" s="16" t="str">
        <f>IFERROR(__xludf.DUMMYFUNCTION("FILTER('CLASFICACIÓN'!$F$3:$F5618,'CLASFICACIÓN'!$G$3:$G5618=M63)"),"LOS 3 AÑOS")</f>
        <v>LOS 3 AÑOS</v>
      </c>
      <c r="K63" s="16"/>
      <c r="L63" s="12" t="s">
        <v>29</v>
      </c>
      <c r="M63" s="16" t="str">
        <f t="shared" si="1"/>
        <v>EL MILAGRO4 Secundaria</v>
      </c>
      <c r="N63" s="17"/>
      <c r="O63" s="17"/>
      <c r="P63" s="17"/>
      <c r="Q63" s="17"/>
      <c r="R63" s="17"/>
      <c r="S63" s="17"/>
      <c r="T63" s="17"/>
    </row>
    <row r="64" ht="14.25" customHeight="1">
      <c r="A64" s="11">
        <v>63.0</v>
      </c>
      <c r="B64" s="12" t="s">
        <v>13</v>
      </c>
      <c r="C64" s="12" t="s">
        <v>27</v>
      </c>
      <c r="D64" s="13" t="s">
        <v>30</v>
      </c>
      <c r="E64" s="12" t="str">
        <f>IFERROR(__xludf.DUMMYFUNCTION("FILTER(colegios!$B$2:$B5618,colegios!$A$2:$A5618=L64)"),"EL MILAGRO")</f>
        <v>EL MILAGRO</v>
      </c>
      <c r="F64" s="14" t="s">
        <v>16</v>
      </c>
      <c r="G64" s="12" t="s">
        <v>21</v>
      </c>
      <c r="H64" s="12" t="s">
        <v>18</v>
      </c>
      <c r="I64" s="15">
        <v>2024.0</v>
      </c>
      <c r="J64" s="16" t="str">
        <f>IFERROR(__xludf.DUMMYFUNCTION("FILTER('CLASFICACIÓN'!$F$3:$F5618,'CLASFICACIÓN'!$G$3:$G5618=M64)"),"LOS 3 AÑOS")</f>
        <v>LOS 3 AÑOS</v>
      </c>
      <c r="K64" s="16"/>
      <c r="L64" s="12" t="s">
        <v>29</v>
      </c>
      <c r="M64" s="16" t="str">
        <f t="shared" si="1"/>
        <v>EL MILAGRO4 Secundaria</v>
      </c>
      <c r="N64" s="17"/>
      <c r="O64" s="17"/>
      <c r="P64" s="17"/>
      <c r="Q64" s="17"/>
      <c r="R64" s="17"/>
      <c r="S64" s="17"/>
      <c r="T64" s="17"/>
    </row>
    <row r="65" ht="14.25" customHeight="1">
      <c r="A65" s="11">
        <v>64.0</v>
      </c>
      <c r="B65" s="12" t="s">
        <v>13</v>
      </c>
      <c r="C65" s="12" t="s">
        <v>27</v>
      </c>
      <c r="D65" s="13" t="s">
        <v>30</v>
      </c>
      <c r="E65" s="12" t="str">
        <f>IFERROR(__xludf.DUMMYFUNCTION("FILTER(colegios!$B$2:$B5618,colegios!$A$2:$A5618=L65)"),"EL MILAGRO")</f>
        <v>EL MILAGRO</v>
      </c>
      <c r="F65" s="14" t="s">
        <v>16</v>
      </c>
      <c r="G65" s="12" t="s">
        <v>17</v>
      </c>
      <c r="H65" s="12" t="s">
        <v>18</v>
      </c>
      <c r="I65" s="15">
        <v>2024.0</v>
      </c>
      <c r="J65" s="16" t="str">
        <f>IFERROR(__xludf.DUMMYFUNCTION("FILTER('CLASFICACIÓN'!$F$3:$F5618,'CLASFICACIÓN'!$G$3:$G5618=M65)"),"LOS 3 AÑOS")</f>
        <v>LOS 3 AÑOS</v>
      </c>
      <c r="K65" s="16"/>
      <c r="L65" s="12" t="s">
        <v>29</v>
      </c>
      <c r="M65" s="16" t="str">
        <f t="shared" si="1"/>
        <v>EL MILAGRO4 Secundaria</v>
      </c>
      <c r="N65" s="17"/>
      <c r="O65" s="17"/>
      <c r="P65" s="17"/>
      <c r="Q65" s="17"/>
      <c r="R65" s="17"/>
      <c r="S65" s="17"/>
      <c r="T65" s="17"/>
    </row>
    <row r="66" ht="14.25" customHeight="1">
      <c r="A66" s="11">
        <v>65.0</v>
      </c>
      <c r="B66" s="12" t="s">
        <v>13</v>
      </c>
      <c r="C66" s="12" t="s">
        <v>27</v>
      </c>
      <c r="D66" s="13" t="s">
        <v>30</v>
      </c>
      <c r="E66" s="12" t="str">
        <f>IFERROR(__xludf.DUMMYFUNCTION("FILTER(colegios!$B$2:$B5618,colegios!$A$2:$A5618=L66)"),"EL MILAGRO")</f>
        <v>EL MILAGRO</v>
      </c>
      <c r="F66" s="14" t="s">
        <v>16</v>
      </c>
      <c r="G66" s="12" t="s">
        <v>17</v>
      </c>
      <c r="H66" s="12" t="s">
        <v>18</v>
      </c>
      <c r="I66" s="15">
        <v>2024.0</v>
      </c>
      <c r="J66" s="16" t="str">
        <f>IFERROR(__xludf.DUMMYFUNCTION("FILTER('CLASFICACIÓN'!$F$3:$F5618,'CLASFICACIÓN'!$G$3:$G5618=M66)"),"LOS 3 AÑOS")</f>
        <v>LOS 3 AÑOS</v>
      </c>
      <c r="K66" s="16"/>
      <c r="L66" s="12" t="s">
        <v>29</v>
      </c>
      <c r="M66" s="16" t="str">
        <f t="shared" si="1"/>
        <v>EL MILAGRO4 Secundaria</v>
      </c>
      <c r="N66" s="17"/>
      <c r="O66" s="17"/>
      <c r="P66" s="17"/>
      <c r="Q66" s="17"/>
      <c r="R66" s="17"/>
      <c r="S66" s="17"/>
      <c r="T66" s="17"/>
    </row>
    <row r="67" ht="14.25" customHeight="1">
      <c r="A67" s="11">
        <v>66.0</v>
      </c>
      <c r="B67" s="12" t="s">
        <v>13</v>
      </c>
      <c r="C67" s="12" t="s">
        <v>27</v>
      </c>
      <c r="D67" s="13" t="s">
        <v>30</v>
      </c>
      <c r="E67" s="12" t="str">
        <f>IFERROR(__xludf.DUMMYFUNCTION("FILTER(colegios!$B$2:$B5618,colegios!$A$2:$A5618=L67)"),"EL MILAGRO")</f>
        <v>EL MILAGRO</v>
      </c>
      <c r="F67" s="14" t="s">
        <v>16</v>
      </c>
      <c r="G67" s="14" t="s">
        <v>17</v>
      </c>
      <c r="H67" s="12" t="s">
        <v>18</v>
      </c>
      <c r="I67" s="15">
        <v>2024.0</v>
      </c>
      <c r="J67" s="16" t="str">
        <f>IFERROR(__xludf.DUMMYFUNCTION("FILTER('CLASFICACIÓN'!$F$3:$F5618,'CLASFICACIÓN'!$G$3:$G5618=M67)"),"LOS 3 AÑOS")</f>
        <v>LOS 3 AÑOS</v>
      </c>
      <c r="K67" s="16"/>
      <c r="L67" s="12" t="s">
        <v>29</v>
      </c>
      <c r="M67" s="16" t="str">
        <f t="shared" si="1"/>
        <v>EL MILAGRO4 Secundaria</v>
      </c>
      <c r="N67" s="17"/>
      <c r="O67" s="17"/>
      <c r="P67" s="17"/>
      <c r="Q67" s="17"/>
      <c r="R67" s="17"/>
      <c r="S67" s="17"/>
      <c r="T67" s="17"/>
    </row>
    <row r="68" ht="14.25" customHeight="1">
      <c r="A68" s="11">
        <v>67.0</v>
      </c>
      <c r="B68" s="12" t="s">
        <v>13</v>
      </c>
      <c r="C68" s="12" t="s">
        <v>27</v>
      </c>
      <c r="D68" s="13" t="s">
        <v>30</v>
      </c>
      <c r="E68" s="12" t="str">
        <f>IFERROR(__xludf.DUMMYFUNCTION("FILTER(colegios!$B$2:$B5618,colegios!$A$2:$A5618=L68)"),"EL MILAGRO")</f>
        <v>EL MILAGRO</v>
      </c>
      <c r="F68" s="14" t="s">
        <v>16</v>
      </c>
      <c r="G68" s="14" t="s">
        <v>21</v>
      </c>
      <c r="H68" s="12" t="s">
        <v>18</v>
      </c>
      <c r="I68" s="15">
        <v>2024.0</v>
      </c>
      <c r="J68" s="16" t="str">
        <f>IFERROR(__xludf.DUMMYFUNCTION("FILTER('CLASFICACIÓN'!$F$3:$F5618,'CLASFICACIÓN'!$G$3:$G5618=M68)"),"LOS 3 AÑOS")</f>
        <v>LOS 3 AÑOS</v>
      </c>
      <c r="K68" s="16"/>
      <c r="L68" s="12" t="s">
        <v>29</v>
      </c>
      <c r="M68" s="16" t="str">
        <f t="shared" si="1"/>
        <v>EL MILAGRO4 Secundaria</v>
      </c>
      <c r="N68" s="17"/>
      <c r="O68" s="17"/>
      <c r="P68" s="17"/>
      <c r="Q68" s="17"/>
      <c r="R68" s="17"/>
      <c r="S68" s="17"/>
      <c r="T68" s="17"/>
    </row>
    <row r="69" ht="14.25" customHeight="1">
      <c r="A69" s="11">
        <v>68.0</v>
      </c>
      <c r="B69" s="12" t="s">
        <v>13</v>
      </c>
      <c r="C69" s="12" t="s">
        <v>27</v>
      </c>
      <c r="D69" s="13" t="s">
        <v>30</v>
      </c>
      <c r="E69" s="12" t="str">
        <f>IFERROR(__xludf.DUMMYFUNCTION("FILTER(colegios!$B$2:$B5618,colegios!$A$2:$A5618=L69)"),"EL MILAGRO")</f>
        <v>EL MILAGRO</v>
      </c>
      <c r="F69" s="14" t="s">
        <v>16</v>
      </c>
      <c r="G69" s="14" t="s">
        <v>17</v>
      </c>
      <c r="H69" s="12" t="s">
        <v>18</v>
      </c>
      <c r="I69" s="15">
        <v>2024.0</v>
      </c>
      <c r="J69" s="16" t="str">
        <f>IFERROR(__xludf.DUMMYFUNCTION("FILTER('CLASFICACIÓN'!$F$3:$F5618,'CLASFICACIÓN'!$G$3:$G5618=M69)"),"LOS 3 AÑOS")</f>
        <v>LOS 3 AÑOS</v>
      </c>
      <c r="K69" s="16"/>
      <c r="L69" s="12" t="s">
        <v>29</v>
      </c>
      <c r="M69" s="16" t="str">
        <f t="shared" si="1"/>
        <v>EL MILAGRO4 Secundaria</v>
      </c>
      <c r="N69" s="17"/>
      <c r="O69" s="17"/>
      <c r="P69" s="17"/>
      <c r="Q69" s="17"/>
      <c r="R69" s="17"/>
      <c r="S69" s="17"/>
      <c r="T69" s="17"/>
    </row>
    <row r="70" ht="14.25" customHeight="1">
      <c r="A70" s="11">
        <v>69.0</v>
      </c>
      <c r="B70" s="12" t="s">
        <v>13</v>
      </c>
      <c r="C70" s="12" t="s">
        <v>27</v>
      </c>
      <c r="D70" s="13" t="s">
        <v>30</v>
      </c>
      <c r="E70" s="12" t="str">
        <f>IFERROR(__xludf.DUMMYFUNCTION("FILTER(colegios!$B$2:$B5618,colegios!$A$2:$A5618=L70)"),"EL MILAGRO")</f>
        <v>EL MILAGRO</v>
      </c>
      <c r="F70" s="14" t="s">
        <v>16</v>
      </c>
      <c r="G70" s="14" t="s">
        <v>17</v>
      </c>
      <c r="H70" s="12" t="s">
        <v>18</v>
      </c>
      <c r="I70" s="15">
        <v>2024.0</v>
      </c>
      <c r="J70" s="16" t="str">
        <f>IFERROR(__xludf.DUMMYFUNCTION("FILTER('CLASFICACIÓN'!$F$3:$F5618,'CLASFICACIÓN'!$G$3:$G5618=M70)"),"LOS 3 AÑOS")</f>
        <v>LOS 3 AÑOS</v>
      </c>
      <c r="K70" s="16"/>
      <c r="L70" s="12" t="s">
        <v>29</v>
      </c>
      <c r="M70" s="16" t="str">
        <f t="shared" si="1"/>
        <v>EL MILAGRO4 Secundaria</v>
      </c>
      <c r="N70" s="17"/>
      <c r="O70" s="17"/>
      <c r="P70" s="17"/>
      <c r="Q70" s="17"/>
      <c r="R70" s="17"/>
      <c r="S70" s="17"/>
      <c r="T70" s="17"/>
    </row>
    <row r="71" ht="14.25" customHeight="1">
      <c r="A71" s="11">
        <v>70.0</v>
      </c>
      <c r="B71" s="12" t="s">
        <v>13</v>
      </c>
      <c r="C71" s="12" t="s">
        <v>27</v>
      </c>
      <c r="D71" s="13" t="s">
        <v>30</v>
      </c>
      <c r="E71" s="12" t="str">
        <f>IFERROR(__xludf.DUMMYFUNCTION("FILTER(colegios!$B$2:$B5618,colegios!$A$2:$A5618=L71)"),"EL MILAGRO")</f>
        <v>EL MILAGRO</v>
      </c>
      <c r="F71" s="14" t="s">
        <v>16</v>
      </c>
      <c r="G71" s="12" t="s">
        <v>17</v>
      </c>
      <c r="H71" s="12" t="s">
        <v>18</v>
      </c>
      <c r="I71" s="15">
        <v>2024.0</v>
      </c>
      <c r="J71" s="16" t="str">
        <f>IFERROR(__xludf.DUMMYFUNCTION("FILTER('CLASFICACIÓN'!$F$3:$F5618,'CLASFICACIÓN'!$G$3:$G5618=M71)"),"LOS 3 AÑOS")</f>
        <v>LOS 3 AÑOS</v>
      </c>
      <c r="K71" s="16"/>
      <c r="L71" s="12" t="s">
        <v>29</v>
      </c>
      <c r="M71" s="16" t="str">
        <f t="shared" si="1"/>
        <v>EL MILAGRO4 Secundaria</v>
      </c>
      <c r="N71" s="17"/>
      <c r="O71" s="17"/>
      <c r="P71" s="17"/>
      <c r="Q71" s="17"/>
      <c r="R71" s="17"/>
      <c r="S71" s="17"/>
      <c r="T71" s="17"/>
    </row>
    <row r="72" ht="14.25" customHeight="1">
      <c r="A72" s="11">
        <v>71.0</v>
      </c>
      <c r="B72" s="12" t="s">
        <v>13</v>
      </c>
      <c r="C72" s="12" t="s">
        <v>27</v>
      </c>
      <c r="D72" s="13" t="s">
        <v>30</v>
      </c>
      <c r="E72" s="12" t="str">
        <f>IFERROR(__xludf.DUMMYFUNCTION("FILTER(colegios!$B$2:$B5618,colegios!$A$2:$A5618=L72)"),"EL MILAGRO")</f>
        <v>EL MILAGRO</v>
      </c>
      <c r="F72" s="14" t="s">
        <v>16</v>
      </c>
      <c r="G72" s="14" t="s">
        <v>21</v>
      </c>
      <c r="H72" s="12" t="s">
        <v>18</v>
      </c>
      <c r="I72" s="15">
        <v>2024.0</v>
      </c>
      <c r="J72" s="16" t="str">
        <f>IFERROR(__xludf.DUMMYFUNCTION("FILTER('CLASFICACIÓN'!$F$3:$F5618,'CLASFICACIÓN'!$G$3:$G5618=M72)"),"LOS 3 AÑOS")</f>
        <v>LOS 3 AÑOS</v>
      </c>
      <c r="K72" s="16"/>
      <c r="L72" s="12" t="s">
        <v>29</v>
      </c>
      <c r="M72" s="16" t="str">
        <f t="shared" si="1"/>
        <v>EL MILAGRO4 Secundaria</v>
      </c>
      <c r="N72" s="17"/>
      <c r="O72" s="17"/>
      <c r="P72" s="17"/>
      <c r="Q72" s="17"/>
      <c r="R72" s="17"/>
      <c r="S72" s="17"/>
      <c r="T72" s="17"/>
    </row>
    <row r="73" ht="14.25" customHeight="1">
      <c r="A73" s="11">
        <v>72.0</v>
      </c>
      <c r="B73" s="12" t="s">
        <v>13</v>
      </c>
      <c r="C73" s="12" t="s">
        <v>27</v>
      </c>
      <c r="D73" s="13" t="s">
        <v>30</v>
      </c>
      <c r="E73" s="12" t="str">
        <f>IFERROR(__xludf.DUMMYFUNCTION("FILTER(colegios!$B$2:$B5618,colegios!$A$2:$A5618=L73)"),"EL MILAGRO")</f>
        <v>EL MILAGRO</v>
      </c>
      <c r="F73" s="14" t="s">
        <v>16</v>
      </c>
      <c r="G73" s="14" t="s">
        <v>21</v>
      </c>
      <c r="H73" s="12" t="s">
        <v>18</v>
      </c>
      <c r="I73" s="15">
        <v>2024.0</v>
      </c>
      <c r="J73" s="16" t="str">
        <f>IFERROR(__xludf.DUMMYFUNCTION("FILTER('CLASFICACIÓN'!$F$3:$F5618,'CLASFICACIÓN'!$G$3:$G5618=M73)"),"LOS 3 AÑOS")</f>
        <v>LOS 3 AÑOS</v>
      </c>
      <c r="K73" s="16"/>
      <c r="L73" s="12" t="s">
        <v>29</v>
      </c>
      <c r="M73" s="16" t="str">
        <f t="shared" si="1"/>
        <v>EL MILAGRO4 Secundaria</v>
      </c>
      <c r="N73" s="17"/>
      <c r="O73" s="17"/>
      <c r="P73" s="17"/>
      <c r="Q73" s="17"/>
      <c r="R73" s="17"/>
      <c r="S73" s="17"/>
      <c r="T73" s="17"/>
    </row>
    <row r="74" ht="14.25" customHeight="1">
      <c r="A74" s="11">
        <v>73.0</v>
      </c>
      <c r="B74" s="12" t="s">
        <v>13</v>
      </c>
      <c r="C74" s="12" t="s">
        <v>14</v>
      </c>
      <c r="D74" s="13" t="s">
        <v>15</v>
      </c>
      <c r="E74" s="12" t="str">
        <f>IFERROR(__xludf.DUMMYFUNCTION("FILTER(colegios!$B$2:$B5618,colegios!$A$2:$A5618=L74)"),"601614")</f>
        <v>601614</v>
      </c>
      <c r="F74" s="14" t="s">
        <v>16</v>
      </c>
      <c r="G74" s="14" t="s">
        <v>21</v>
      </c>
      <c r="H74" s="12" t="s">
        <v>24</v>
      </c>
      <c r="I74" s="15">
        <v>2024.0</v>
      </c>
      <c r="J74" s="16" t="str">
        <f>IFERROR(__xludf.DUMMYFUNCTION("FILTER('CLASFICACIÓN'!$F$3:$F5618,'CLASFICACIÓN'!$G$3:$G5618=M74)"),"SOLO 2024")</f>
        <v>SOLO 2024</v>
      </c>
      <c r="K74" s="16"/>
      <c r="L74" s="12" t="s">
        <v>31</v>
      </c>
      <c r="M74" s="16" t="str">
        <f t="shared" si="1"/>
        <v>6016142 Primaria</v>
      </c>
      <c r="N74" s="17"/>
      <c r="O74" s="17"/>
      <c r="P74" s="17"/>
      <c r="Q74" s="17"/>
      <c r="R74" s="17"/>
      <c r="S74" s="17"/>
      <c r="T74" s="17"/>
    </row>
    <row r="75" ht="14.25" customHeight="1">
      <c r="A75" s="11">
        <v>74.0</v>
      </c>
      <c r="B75" s="12" t="s">
        <v>13</v>
      </c>
      <c r="C75" s="12" t="s">
        <v>14</v>
      </c>
      <c r="D75" s="13" t="s">
        <v>20</v>
      </c>
      <c r="E75" s="12" t="str">
        <f>IFERROR(__xludf.DUMMYFUNCTION("FILTER(colegios!$B$2:$B5618,colegios!$A$2:$A5618=L75)"),"601614")</f>
        <v>601614</v>
      </c>
      <c r="F75" s="14" t="s">
        <v>16</v>
      </c>
      <c r="G75" s="14" t="s">
        <v>17</v>
      </c>
      <c r="H75" s="12" t="s">
        <v>24</v>
      </c>
      <c r="I75" s="15">
        <v>2024.0</v>
      </c>
      <c r="J75" s="16" t="str">
        <f>IFERROR(__xludf.DUMMYFUNCTION("FILTER('CLASFICACIÓN'!$F$3:$F5618,'CLASFICACIÓN'!$G$3:$G5618=M75)"),"2023 Y 2024")</f>
        <v>2023 Y 2024</v>
      </c>
      <c r="K75" s="16"/>
      <c r="L75" s="12" t="s">
        <v>31</v>
      </c>
      <c r="M75" s="16" t="str">
        <f t="shared" si="1"/>
        <v>6016144 Primaria</v>
      </c>
      <c r="N75" s="17"/>
      <c r="O75" s="17"/>
      <c r="P75" s="17"/>
      <c r="Q75" s="17"/>
      <c r="R75" s="17"/>
      <c r="S75" s="17"/>
      <c r="T75" s="17"/>
    </row>
    <row r="76" ht="14.25" customHeight="1">
      <c r="A76" s="11">
        <v>75.0</v>
      </c>
      <c r="B76" s="12" t="s">
        <v>13</v>
      </c>
      <c r="C76" s="12" t="s">
        <v>14</v>
      </c>
      <c r="D76" s="13" t="s">
        <v>15</v>
      </c>
      <c r="E76" s="12" t="str">
        <f>IFERROR(__xludf.DUMMYFUNCTION("FILTER(colegios!$B$2:$B5618,colegios!$A$2:$A5618=L76)"),"6010178")</f>
        <v>6010178</v>
      </c>
      <c r="F76" s="14" t="s">
        <v>16</v>
      </c>
      <c r="G76" s="14" t="s">
        <v>21</v>
      </c>
      <c r="H76" s="14" t="s">
        <v>32</v>
      </c>
      <c r="I76" s="15">
        <v>2024.0</v>
      </c>
      <c r="J76" s="16" t="str">
        <f>IFERROR(__xludf.DUMMYFUNCTION("FILTER('CLASFICACIÓN'!$F$3:$F5618,'CLASFICACIÓN'!$G$3:$G5618=M76)"),"SOLO 2024")</f>
        <v>SOLO 2024</v>
      </c>
      <c r="K76" s="16"/>
      <c r="L76" s="12" t="s">
        <v>33</v>
      </c>
      <c r="M76" s="16" t="str">
        <f t="shared" si="1"/>
        <v>60101782 Primaria</v>
      </c>
      <c r="N76" s="17"/>
      <c r="O76" s="17"/>
      <c r="P76" s="17"/>
      <c r="Q76" s="17"/>
      <c r="R76" s="17"/>
      <c r="S76" s="17"/>
      <c r="T76" s="17"/>
    </row>
    <row r="77" ht="14.25" customHeight="1">
      <c r="A77" s="11">
        <v>76.0</v>
      </c>
      <c r="B77" s="12" t="s">
        <v>13</v>
      </c>
      <c r="C77" s="12" t="s">
        <v>14</v>
      </c>
      <c r="D77" s="13" t="s">
        <v>22</v>
      </c>
      <c r="E77" s="12" t="str">
        <f>IFERROR(__xludf.DUMMYFUNCTION("FILTER(colegios!$B$2:$B5618,colegios!$A$2:$A5618=L77)"),"6010178")</f>
        <v>6010178</v>
      </c>
      <c r="F77" s="14" t="s">
        <v>16</v>
      </c>
      <c r="G77" s="14" t="s">
        <v>17</v>
      </c>
      <c r="H77" s="12" t="s">
        <v>18</v>
      </c>
      <c r="I77" s="15">
        <v>2024.0</v>
      </c>
      <c r="J77" s="16" t="str">
        <f>IFERROR(__xludf.DUMMYFUNCTION("FILTER('CLASFICACIÓN'!$F$3:$F5618,'CLASFICACIÓN'!$G$3:$G5618=M77)"),"SOLO 2024")</f>
        <v>SOLO 2024</v>
      </c>
      <c r="K77" s="16"/>
      <c r="L77" s="12" t="s">
        <v>33</v>
      </c>
      <c r="M77" s="16" t="str">
        <f t="shared" si="1"/>
        <v>60101786 Primaria</v>
      </c>
      <c r="N77" s="17"/>
      <c r="O77" s="17"/>
      <c r="P77" s="17"/>
      <c r="Q77" s="17"/>
      <c r="R77" s="17"/>
      <c r="S77" s="17"/>
      <c r="T77" s="17"/>
    </row>
    <row r="78" ht="14.25" customHeight="1">
      <c r="A78" s="11">
        <v>77.0</v>
      </c>
      <c r="B78" s="12" t="s">
        <v>13</v>
      </c>
      <c r="C78" s="12" t="s">
        <v>14</v>
      </c>
      <c r="D78" s="13" t="s">
        <v>15</v>
      </c>
      <c r="E78" s="12" t="str">
        <f>IFERROR(__xludf.DUMMYFUNCTION("FILTER(colegios!$B$2:$B5618,colegios!$A$2:$A5618=L78)"),"601514")</f>
        <v>601514</v>
      </c>
      <c r="F78" s="14" t="s">
        <v>16</v>
      </c>
      <c r="G78" s="12" t="s">
        <v>17</v>
      </c>
      <c r="H78" s="12" t="s">
        <v>24</v>
      </c>
      <c r="I78" s="15">
        <v>2024.0</v>
      </c>
      <c r="J78" s="16" t="str">
        <f>IFERROR(__xludf.DUMMYFUNCTION("FILTER('CLASFICACIÓN'!$F$3:$F5618,'CLASFICACIÓN'!$G$3:$G5618=M78)"),"2023 Y 2024")</f>
        <v>2023 Y 2024</v>
      </c>
      <c r="K78" s="16"/>
      <c r="L78" s="12" t="s">
        <v>34</v>
      </c>
      <c r="M78" s="16" t="str">
        <f t="shared" si="1"/>
        <v>6015142 Primaria</v>
      </c>
      <c r="N78" s="17"/>
      <c r="O78" s="17"/>
      <c r="P78" s="17"/>
      <c r="Q78" s="17"/>
      <c r="R78" s="17"/>
      <c r="S78" s="17"/>
      <c r="T78" s="17"/>
    </row>
    <row r="79" ht="14.25" customHeight="1">
      <c r="A79" s="11">
        <v>78.0</v>
      </c>
      <c r="B79" s="12" t="s">
        <v>13</v>
      </c>
      <c r="C79" s="12" t="s">
        <v>14</v>
      </c>
      <c r="D79" s="13" t="s">
        <v>20</v>
      </c>
      <c r="E79" s="12" t="str">
        <f>IFERROR(__xludf.DUMMYFUNCTION("FILTER(colegios!$B$2:$B5618,colegios!$A$2:$A5618=L79)"),"601514")</f>
        <v>601514</v>
      </c>
      <c r="F79" s="14" t="s">
        <v>16</v>
      </c>
      <c r="G79" s="12" t="s">
        <v>17</v>
      </c>
      <c r="H79" s="14" t="s">
        <v>32</v>
      </c>
      <c r="I79" s="15">
        <v>2024.0</v>
      </c>
      <c r="J79" s="16" t="str">
        <f>IFERROR(__xludf.DUMMYFUNCTION("FILTER('CLASFICACIÓN'!$F$3:$F5618,'CLASFICACIÓN'!$G$3:$G5618=M79)"),"2023 Y 2024")</f>
        <v>2023 Y 2024</v>
      </c>
      <c r="K79" s="16"/>
      <c r="L79" s="12" t="s">
        <v>34</v>
      </c>
      <c r="M79" s="16" t="str">
        <f t="shared" si="1"/>
        <v>6015144 Primaria</v>
      </c>
      <c r="N79" s="17"/>
      <c r="O79" s="17"/>
      <c r="P79" s="17"/>
      <c r="Q79" s="17"/>
      <c r="R79" s="17"/>
      <c r="S79" s="17"/>
      <c r="T79" s="17"/>
    </row>
    <row r="80" ht="14.25" customHeight="1">
      <c r="A80" s="11">
        <v>79.0</v>
      </c>
      <c r="B80" s="12" t="s">
        <v>13</v>
      </c>
      <c r="C80" s="12" t="s">
        <v>14</v>
      </c>
      <c r="D80" s="13" t="s">
        <v>22</v>
      </c>
      <c r="E80" s="12" t="str">
        <f>IFERROR(__xludf.DUMMYFUNCTION("FILTER(colegios!$B$2:$B5618,colegios!$A$2:$A5618=L80)"),"601514")</f>
        <v>601514</v>
      </c>
      <c r="F80" s="14" t="s">
        <v>16</v>
      </c>
      <c r="G80" s="12" t="s">
        <v>21</v>
      </c>
      <c r="H80" s="12" t="s">
        <v>24</v>
      </c>
      <c r="I80" s="15">
        <v>2024.0</v>
      </c>
      <c r="J80" s="16" t="str">
        <f>IFERROR(__xludf.DUMMYFUNCTION("FILTER('CLASFICACIÓN'!$F$3:$F5618,'CLASFICACIÓN'!$G$3:$G5618=M80)"),"2023 Y 2024")</f>
        <v>2023 Y 2024</v>
      </c>
      <c r="K80" s="16"/>
      <c r="L80" s="12" t="s">
        <v>34</v>
      </c>
      <c r="M80" s="16" t="str">
        <f t="shared" si="1"/>
        <v>6015146 Primaria</v>
      </c>
      <c r="N80" s="17"/>
      <c r="O80" s="17"/>
      <c r="P80" s="17"/>
      <c r="Q80" s="17"/>
      <c r="R80" s="17"/>
      <c r="S80" s="17"/>
      <c r="T80" s="17"/>
    </row>
    <row r="81" ht="14.25" customHeight="1">
      <c r="A81" s="11">
        <v>80.0</v>
      </c>
      <c r="B81" s="12" t="s">
        <v>13</v>
      </c>
      <c r="C81" s="12" t="s">
        <v>14</v>
      </c>
      <c r="D81" s="13" t="s">
        <v>22</v>
      </c>
      <c r="E81" s="12" t="str">
        <f>IFERROR(__xludf.DUMMYFUNCTION("FILTER(colegios!$B$2:$B5618,colegios!$A$2:$A5618=L81)"),"601514")</f>
        <v>601514</v>
      </c>
      <c r="F81" s="14" t="s">
        <v>16</v>
      </c>
      <c r="G81" s="12" t="s">
        <v>17</v>
      </c>
      <c r="H81" s="12" t="s">
        <v>24</v>
      </c>
      <c r="I81" s="15">
        <v>2024.0</v>
      </c>
      <c r="J81" s="16" t="str">
        <f>IFERROR(__xludf.DUMMYFUNCTION("FILTER('CLASFICACIÓN'!$F$3:$F5618,'CLASFICACIÓN'!$G$3:$G5618=M81)"),"2023 Y 2024")</f>
        <v>2023 Y 2024</v>
      </c>
      <c r="K81" s="16"/>
      <c r="L81" s="12" t="s">
        <v>34</v>
      </c>
      <c r="M81" s="16" t="str">
        <f t="shared" si="1"/>
        <v>6015146 Primaria</v>
      </c>
      <c r="N81" s="17"/>
      <c r="O81" s="17"/>
      <c r="P81" s="17"/>
      <c r="Q81" s="17"/>
      <c r="R81" s="17"/>
      <c r="S81" s="17"/>
      <c r="T81" s="17"/>
    </row>
    <row r="82" ht="14.25" customHeight="1">
      <c r="A82" s="11">
        <v>81.0</v>
      </c>
      <c r="B82" s="12" t="s">
        <v>13</v>
      </c>
      <c r="C82" s="12" t="s">
        <v>14</v>
      </c>
      <c r="D82" s="13" t="s">
        <v>15</v>
      </c>
      <c r="E82" s="12" t="str">
        <f>IFERROR(__xludf.DUMMYFUNCTION("FILTER(colegios!$B$2:$B5618,colegios!$A$2:$A5618=L82)"),"601331")</f>
        <v>601331</v>
      </c>
      <c r="F82" s="14" t="s">
        <v>16</v>
      </c>
      <c r="G82" s="12" t="s">
        <v>21</v>
      </c>
      <c r="H82" s="12" t="s">
        <v>18</v>
      </c>
      <c r="I82" s="15">
        <v>2024.0</v>
      </c>
      <c r="J82" s="16" t="str">
        <f>IFERROR(__xludf.DUMMYFUNCTION("FILTER('CLASFICACIÓN'!$F$3:$F5618,'CLASFICACIÓN'!$G$3:$G5618=M82)"),"LOS 3 AÑOS")</f>
        <v>LOS 3 AÑOS</v>
      </c>
      <c r="K82" s="16"/>
      <c r="L82" s="12" t="s">
        <v>35</v>
      </c>
      <c r="M82" s="16" t="str">
        <f t="shared" si="1"/>
        <v>6013312 Primaria</v>
      </c>
      <c r="N82" s="17"/>
      <c r="O82" s="17"/>
      <c r="P82" s="17"/>
      <c r="Q82" s="17"/>
      <c r="R82" s="17"/>
      <c r="S82" s="17"/>
      <c r="T82" s="17"/>
    </row>
    <row r="83" ht="14.25" customHeight="1">
      <c r="A83" s="11">
        <v>82.0</v>
      </c>
      <c r="B83" s="12" t="s">
        <v>13</v>
      </c>
      <c r="C83" s="12" t="s">
        <v>14</v>
      </c>
      <c r="D83" s="13" t="s">
        <v>15</v>
      </c>
      <c r="E83" s="12" t="str">
        <f>IFERROR(__xludf.DUMMYFUNCTION("FILTER(colegios!$B$2:$B5618,colegios!$A$2:$A5618=L83)"),"601331")</f>
        <v>601331</v>
      </c>
      <c r="F83" s="14" t="s">
        <v>16</v>
      </c>
      <c r="G83" s="12" t="s">
        <v>21</v>
      </c>
      <c r="H83" s="12" t="s">
        <v>18</v>
      </c>
      <c r="I83" s="15">
        <v>2024.0</v>
      </c>
      <c r="J83" s="16" t="str">
        <f>IFERROR(__xludf.DUMMYFUNCTION("FILTER('CLASFICACIÓN'!$F$3:$F5618,'CLASFICACIÓN'!$G$3:$G5618=M83)"),"LOS 3 AÑOS")</f>
        <v>LOS 3 AÑOS</v>
      </c>
      <c r="K83" s="16"/>
      <c r="L83" s="12" t="s">
        <v>35</v>
      </c>
      <c r="M83" s="16" t="str">
        <f t="shared" si="1"/>
        <v>6013312 Primaria</v>
      </c>
      <c r="N83" s="17"/>
      <c r="O83" s="17"/>
      <c r="P83" s="17"/>
      <c r="Q83" s="17"/>
      <c r="R83" s="17"/>
      <c r="S83" s="17"/>
      <c r="T83" s="17"/>
    </row>
    <row r="84" ht="14.25" customHeight="1">
      <c r="A84" s="11">
        <v>83.0</v>
      </c>
      <c r="B84" s="12" t="s">
        <v>13</v>
      </c>
      <c r="C84" s="12" t="s">
        <v>14</v>
      </c>
      <c r="D84" s="13" t="s">
        <v>15</v>
      </c>
      <c r="E84" s="12" t="str">
        <f>IFERROR(__xludf.DUMMYFUNCTION("FILTER(colegios!$B$2:$B5618,colegios!$A$2:$A5618=L84)"),"601331")</f>
        <v>601331</v>
      </c>
      <c r="F84" s="14" t="s">
        <v>16</v>
      </c>
      <c r="G84" s="12" t="s">
        <v>21</v>
      </c>
      <c r="H84" s="12" t="s">
        <v>18</v>
      </c>
      <c r="I84" s="15">
        <v>2024.0</v>
      </c>
      <c r="J84" s="16" t="str">
        <f>IFERROR(__xludf.DUMMYFUNCTION("FILTER('CLASFICACIÓN'!$F$3:$F5618,'CLASFICACIÓN'!$G$3:$G5618=M84)"),"LOS 3 AÑOS")</f>
        <v>LOS 3 AÑOS</v>
      </c>
      <c r="K84" s="16"/>
      <c r="L84" s="12" t="s">
        <v>35</v>
      </c>
      <c r="M84" s="16" t="str">
        <f t="shared" si="1"/>
        <v>6013312 Primaria</v>
      </c>
      <c r="N84" s="17"/>
      <c r="O84" s="17"/>
      <c r="P84" s="17"/>
      <c r="Q84" s="17"/>
      <c r="R84" s="17"/>
      <c r="S84" s="17"/>
      <c r="T84" s="17"/>
    </row>
    <row r="85" ht="14.25" customHeight="1">
      <c r="A85" s="11">
        <v>84.0</v>
      </c>
      <c r="B85" s="12" t="s">
        <v>13</v>
      </c>
      <c r="C85" s="12" t="s">
        <v>14</v>
      </c>
      <c r="D85" s="13" t="s">
        <v>15</v>
      </c>
      <c r="E85" s="12" t="str">
        <f>IFERROR(__xludf.DUMMYFUNCTION("FILTER(colegios!$B$2:$B5618,colegios!$A$2:$A5618=L85)"),"601331")</f>
        <v>601331</v>
      </c>
      <c r="F85" s="14" t="s">
        <v>16</v>
      </c>
      <c r="G85" s="12" t="s">
        <v>17</v>
      </c>
      <c r="H85" s="12" t="s">
        <v>24</v>
      </c>
      <c r="I85" s="15">
        <v>2024.0</v>
      </c>
      <c r="J85" s="16" t="str">
        <f>IFERROR(__xludf.DUMMYFUNCTION("FILTER('CLASFICACIÓN'!$F$3:$F5618,'CLASFICACIÓN'!$G$3:$G5618=M85)"),"LOS 3 AÑOS")</f>
        <v>LOS 3 AÑOS</v>
      </c>
      <c r="K85" s="16"/>
      <c r="L85" s="12" t="s">
        <v>35</v>
      </c>
      <c r="M85" s="16" t="str">
        <f t="shared" si="1"/>
        <v>6013312 Primaria</v>
      </c>
      <c r="N85" s="17"/>
      <c r="O85" s="17"/>
      <c r="P85" s="17"/>
      <c r="Q85" s="17"/>
      <c r="R85" s="17"/>
      <c r="S85" s="17"/>
      <c r="T85" s="17"/>
    </row>
    <row r="86" ht="14.25" customHeight="1">
      <c r="A86" s="11">
        <v>85.0</v>
      </c>
      <c r="B86" s="12" t="s">
        <v>13</v>
      </c>
      <c r="C86" s="12" t="s">
        <v>14</v>
      </c>
      <c r="D86" s="13" t="s">
        <v>15</v>
      </c>
      <c r="E86" s="12" t="str">
        <f>IFERROR(__xludf.DUMMYFUNCTION("FILTER(colegios!$B$2:$B5618,colegios!$A$2:$A5618=L86)"),"601331")</f>
        <v>601331</v>
      </c>
      <c r="F86" s="14" t="s">
        <v>16</v>
      </c>
      <c r="G86" s="12" t="s">
        <v>21</v>
      </c>
      <c r="H86" s="12" t="s">
        <v>18</v>
      </c>
      <c r="I86" s="15">
        <v>2024.0</v>
      </c>
      <c r="J86" s="16" t="str">
        <f>IFERROR(__xludf.DUMMYFUNCTION("FILTER('CLASFICACIÓN'!$F$3:$F5618,'CLASFICACIÓN'!$G$3:$G5618=M86)"),"LOS 3 AÑOS")</f>
        <v>LOS 3 AÑOS</v>
      </c>
      <c r="K86" s="16"/>
      <c r="L86" s="12" t="s">
        <v>35</v>
      </c>
      <c r="M86" s="16" t="str">
        <f t="shared" si="1"/>
        <v>6013312 Primaria</v>
      </c>
      <c r="N86" s="17"/>
      <c r="O86" s="17"/>
      <c r="P86" s="17"/>
      <c r="Q86" s="17"/>
      <c r="R86" s="17"/>
      <c r="S86" s="17"/>
      <c r="T86" s="17"/>
    </row>
    <row r="87" ht="14.25" customHeight="1">
      <c r="A87" s="11">
        <v>86.0</v>
      </c>
      <c r="B87" s="12" t="s">
        <v>13</v>
      </c>
      <c r="C87" s="12" t="s">
        <v>14</v>
      </c>
      <c r="D87" s="13" t="s">
        <v>15</v>
      </c>
      <c r="E87" s="12" t="str">
        <f>IFERROR(__xludf.DUMMYFUNCTION("FILTER(colegios!$B$2:$B5618,colegios!$A$2:$A5618=L87)"),"601331")</f>
        <v>601331</v>
      </c>
      <c r="F87" s="14" t="s">
        <v>16</v>
      </c>
      <c r="G87" s="12" t="s">
        <v>17</v>
      </c>
      <c r="H87" s="12" t="s">
        <v>18</v>
      </c>
      <c r="I87" s="15">
        <v>2024.0</v>
      </c>
      <c r="J87" s="16" t="str">
        <f>IFERROR(__xludf.DUMMYFUNCTION("FILTER('CLASFICACIÓN'!$F$3:$F5618,'CLASFICACIÓN'!$G$3:$G5618=M87)"),"LOS 3 AÑOS")</f>
        <v>LOS 3 AÑOS</v>
      </c>
      <c r="K87" s="16"/>
      <c r="L87" s="12" t="s">
        <v>35</v>
      </c>
      <c r="M87" s="16" t="str">
        <f t="shared" si="1"/>
        <v>6013312 Primaria</v>
      </c>
      <c r="N87" s="17"/>
      <c r="O87" s="17"/>
      <c r="P87" s="17"/>
      <c r="Q87" s="17"/>
      <c r="R87" s="17"/>
      <c r="S87" s="17"/>
      <c r="T87" s="17"/>
    </row>
    <row r="88" ht="14.25" customHeight="1">
      <c r="A88" s="11">
        <v>87.0</v>
      </c>
      <c r="B88" s="12" t="s">
        <v>13</v>
      </c>
      <c r="C88" s="12" t="s">
        <v>14</v>
      </c>
      <c r="D88" s="13" t="s">
        <v>15</v>
      </c>
      <c r="E88" s="12" t="str">
        <f>IFERROR(__xludf.DUMMYFUNCTION("FILTER(colegios!$B$2:$B5618,colegios!$A$2:$A5618=L88)"),"601331")</f>
        <v>601331</v>
      </c>
      <c r="F88" s="14" t="s">
        <v>16</v>
      </c>
      <c r="G88" s="12" t="s">
        <v>17</v>
      </c>
      <c r="H88" s="12" t="s">
        <v>24</v>
      </c>
      <c r="I88" s="15">
        <v>2024.0</v>
      </c>
      <c r="J88" s="16" t="str">
        <f>IFERROR(__xludf.DUMMYFUNCTION("FILTER('CLASFICACIÓN'!$F$3:$F5618,'CLASFICACIÓN'!$G$3:$G5618=M88)"),"LOS 3 AÑOS")</f>
        <v>LOS 3 AÑOS</v>
      </c>
      <c r="K88" s="16"/>
      <c r="L88" s="12" t="s">
        <v>35</v>
      </c>
      <c r="M88" s="16" t="str">
        <f t="shared" si="1"/>
        <v>6013312 Primaria</v>
      </c>
      <c r="N88" s="17"/>
      <c r="O88" s="17"/>
      <c r="P88" s="17"/>
      <c r="Q88" s="17"/>
      <c r="R88" s="17"/>
      <c r="S88" s="17"/>
      <c r="T88" s="17"/>
    </row>
    <row r="89" ht="14.25" customHeight="1">
      <c r="A89" s="11">
        <v>88.0</v>
      </c>
      <c r="B89" s="12" t="s">
        <v>13</v>
      </c>
      <c r="C89" s="12" t="s">
        <v>14</v>
      </c>
      <c r="D89" s="13" t="s">
        <v>15</v>
      </c>
      <c r="E89" s="12" t="str">
        <f>IFERROR(__xludf.DUMMYFUNCTION("FILTER(colegios!$B$2:$B5618,colegios!$A$2:$A5618=L89)"),"601331")</f>
        <v>601331</v>
      </c>
      <c r="F89" s="14" t="s">
        <v>16</v>
      </c>
      <c r="G89" s="12" t="s">
        <v>21</v>
      </c>
      <c r="H89" s="12" t="s">
        <v>18</v>
      </c>
      <c r="I89" s="15">
        <v>2024.0</v>
      </c>
      <c r="J89" s="16" t="str">
        <f>IFERROR(__xludf.DUMMYFUNCTION("FILTER('CLASFICACIÓN'!$F$3:$F5618,'CLASFICACIÓN'!$G$3:$G5618=M89)"),"LOS 3 AÑOS")</f>
        <v>LOS 3 AÑOS</v>
      </c>
      <c r="K89" s="16"/>
      <c r="L89" s="12" t="s">
        <v>35</v>
      </c>
      <c r="M89" s="16" t="str">
        <f t="shared" si="1"/>
        <v>6013312 Primaria</v>
      </c>
      <c r="N89" s="17"/>
      <c r="O89" s="17"/>
      <c r="P89" s="17"/>
      <c r="Q89" s="17"/>
      <c r="R89" s="17"/>
      <c r="S89" s="17"/>
      <c r="T89" s="17"/>
    </row>
    <row r="90" ht="14.25" customHeight="1">
      <c r="A90" s="11">
        <v>89.0</v>
      </c>
      <c r="B90" s="12" t="s">
        <v>13</v>
      </c>
      <c r="C90" s="12" t="s">
        <v>14</v>
      </c>
      <c r="D90" s="13" t="s">
        <v>15</v>
      </c>
      <c r="E90" s="12" t="str">
        <f>IFERROR(__xludf.DUMMYFUNCTION("FILTER(colegios!$B$2:$B5618,colegios!$A$2:$A5618=L90)"),"601331")</f>
        <v>601331</v>
      </c>
      <c r="F90" s="14" t="s">
        <v>16</v>
      </c>
      <c r="G90" s="14" t="s">
        <v>17</v>
      </c>
      <c r="H90" s="12" t="s">
        <v>18</v>
      </c>
      <c r="I90" s="15">
        <v>2024.0</v>
      </c>
      <c r="J90" s="16" t="str">
        <f>IFERROR(__xludf.DUMMYFUNCTION("FILTER('CLASFICACIÓN'!$F$3:$F5618,'CLASFICACIÓN'!$G$3:$G5618=M90)"),"LOS 3 AÑOS")</f>
        <v>LOS 3 AÑOS</v>
      </c>
      <c r="K90" s="16"/>
      <c r="L90" s="12" t="s">
        <v>35</v>
      </c>
      <c r="M90" s="16" t="str">
        <f t="shared" si="1"/>
        <v>6013312 Primaria</v>
      </c>
      <c r="N90" s="17"/>
      <c r="O90" s="17"/>
      <c r="P90" s="17"/>
      <c r="Q90" s="17"/>
      <c r="R90" s="17"/>
      <c r="S90" s="17"/>
      <c r="T90" s="17"/>
    </row>
    <row r="91" ht="14.25" customHeight="1">
      <c r="A91" s="11">
        <v>90.0</v>
      </c>
      <c r="B91" s="12" t="s">
        <v>13</v>
      </c>
      <c r="C91" s="12" t="s">
        <v>14</v>
      </c>
      <c r="D91" s="13" t="s">
        <v>20</v>
      </c>
      <c r="E91" s="12" t="str">
        <f>IFERROR(__xludf.DUMMYFUNCTION("FILTER(colegios!$B$2:$B5618,colegios!$A$2:$A5618=L91)"),"601331")</f>
        <v>601331</v>
      </c>
      <c r="F91" s="14" t="s">
        <v>16</v>
      </c>
      <c r="G91" s="14" t="s">
        <v>21</v>
      </c>
      <c r="H91" s="12" t="s">
        <v>18</v>
      </c>
      <c r="I91" s="15">
        <v>2024.0</v>
      </c>
      <c r="J91" s="16" t="str">
        <f>IFERROR(__xludf.DUMMYFUNCTION("FILTER('CLASFICACIÓN'!$F$3:$F5618,'CLASFICACIÓN'!$G$3:$G5618=M91)"),"LOS 3 AÑOS")</f>
        <v>LOS 3 AÑOS</v>
      </c>
      <c r="K91" s="16"/>
      <c r="L91" s="12" t="s">
        <v>35</v>
      </c>
      <c r="M91" s="16" t="str">
        <f t="shared" si="1"/>
        <v>6013314 Primaria</v>
      </c>
      <c r="N91" s="17"/>
      <c r="O91" s="17"/>
      <c r="P91" s="17"/>
      <c r="Q91" s="17"/>
      <c r="R91" s="17"/>
      <c r="S91" s="17"/>
      <c r="T91" s="17"/>
    </row>
    <row r="92" ht="14.25" customHeight="1">
      <c r="A92" s="11">
        <v>91.0</v>
      </c>
      <c r="B92" s="12" t="s">
        <v>13</v>
      </c>
      <c r="C92" s="12" t="s">
        <v>14</v>
      </c>
      <c r="D92" s="13" t="s">
        <v>20</v>
      </c>
      <c r="E92" s="12" t="str">
        <f>IFERROR(__xludf.DUMMYFUNCTION("FILTER(colegios!$B$2:$B5618,colegios!$A$2:$A5618=L92)"),"601331")</f>
        <v>601331</v>
      </c>
      <c r="F92" s="14" t="s">
        <v>16</v>
      </c>
      <c r="G92" s="14" t="s">
        <v>17</v>
      </c>
      <c r="H92" s="12" t="s">
        <v>24</v>
      </c>
      <c r="I92" s="15">
        <v>2024.0</v>
      </c>
      <c r="J92" s="16" t="str">
        <f>IFERROR(__xludf.DUMMYFUNCTION("FILTER('CLASFICACIÓN'!$F$3:$F5618,'CLASFICACIÓN'!$G$3:$G5618=M92)"),"LOS 3 AÑOS")</f>
        <v>LOS 3 AÑOS</v>
      </c>
      <c r="K92" s="16"/>
      <c r="L92" s="12" t="s">
        <v>35</v>
      </c>
      <c r="M92" s="16" t="str">
        <f t="shared" si="1"/>
        <v>6013314 Primaria</v>
      </c>
      <c r="N92" s="17"/>
      <c r="O92" s="17"/>
      <c r="P92" s="17"/>
      <c r="Q92" s="17"/>
      <c r="R92" s="17"/>
      <c r="S92" s="17"/>
      <c r="T92" s="17"/>
    </row>
    <row r="93" ht="15.75" customHeight="1">
      <c r="A93" s="18">
        <v>92.0</v>
      </c>
      <c r="B93" s="12" t="s">
        <v>13</v>
      </c>
      <c r="C93" s="12" t="s">
        <v>14</v>
      </c>
      <c r="D93" s="19" t="s">
        <v>20</v>
      </c>
      <c r="E93" s="12" t="str">
        <f>IFERROR(__xludf.DUMMYFUNCTION("FILTER(colegios!$B$2:$B5618,colegios!$A$2:$A5618=L93)"),"601331")</f>
        <v>601331</v>
      </c>
      <c r="F93" s="14" t="s">
        <v>16</v>
      </c>
      <c r="G93" s="20" t="s">
        <v>17</v>
      </c>
      <c r="H93" s="12" t="s">
        <v>24</v>
      </c>
      <c r="I93" s="15">
        <v>2024.0</v>
      </c>
      <c r="J93" s="16" t="str">
        <f>IFERROR(__xludf.DUMMYFUNCTION("FILTER('CLASFICACIÓN'!$F$3:$F5618,'CLASFICACIÓN'!$G$3:$G5618=M93)"),"LOS 3 AÑOS")</f>
        <v>LOS 3 AÑOS</v>
      </c>
      <c r="K93" s="16"/>
      <c r="L93" s="12" t="s">
        <v>35</v>
      </c>
      <c r="M93" s="16" t="str">
        <f t="shared" si="1"/>
        <v>6013314 Primaria</v>
      </c>
      <c r="N93" s="17"/>
      <c r="O93" s="17"/>
      <c r="P93" s="17"/>
      <c r="Q93" s="17"/>
      <c r="R93" s="17"/>
      <c r="S93" s="17"/>
      <c r="T93" s="17"/>
    </row>
    <row r="94" ht="15.75" customHeight="1">
      <c r="A94" s="18">
        <v>93.0</v>
      </c>
      <c r="B94" s="12" t="s">
        <v>13</v>
      </c>
      <c r="C94" s="12" t="s">
        <v>14</v>
      </c>
      <c r="D94" s="19" t="s">
        <v>20</v>
      </c>
      <c r="E94" s="12" t="str">
        <f>IFERROR(__xludf.DUMMYFUNCTION("FILTER(colegios!$B$2:$B5618,colegios!$A$2:$A5618=L94)"),"601331")</f>
        <v>601331</v>
      </c>
      <c r="F94" s="14" t="s">
        <v>16</v>
      </c>
      <c r="G94" s="20" t="s">
        <v>21</v>
      </c>
      <c r="H94" s="12" t="s">
        <v>18</v>
      </c>
      <c r="I94" s="15">
        <v>2024.0</v>
      </c>
      <c r="J94" s="16" t="str">
        <f>IFERROR(__xludf.DUMMYFUNCTION("FILTER('CLASFICACIÓN'!$F$3:$F5618,'CLASFICACIÓN'!$G$3:$G5618=M94)"),"LOS 3 AÑOS")</f>
        <v>LOS 3 AÑOS</v>
      </c>
      <c r="K94" s="16"/>
      <c r="L94" s="12" t="s">
        <v>35</v>
      </c>
      <c r="M94" s="16" t="str">
        <f t="shared" si="1"/>
        <v>6013314 Primaria</v>
      </c>
      <c r="N94" s="17"/>
      <c r="O94" s="17"/>
      <c r="P94" s="17"/>
      <c r="Q94" s="17"/>
      <c r="R94" s="17"/>
      <c r="S94" s="17"/>
      <c r="T94" s="17"/>
    </row>
    <row r="95" ht="15.75" customHeight="1">
      <c r="A95" s="18">
        <v>94.0</v>
      </c>
      <c r="B95" s="12" t="s">
        <v>13</v>
      </c>
      <c r="C95" s="12" t="s">
        <v>14</v>
      </c>
      <c r="D95" s="19" t="s">
        <v>20</v>
      </c>
      <c r="E95" s="12" t="str">
        <f>IFERROR(__xludf.DUMMYFUNCTION("FILTER(colegios!$B$2:$B5618,colegios!$A$2:$A5618=L95)"),"601331")</f>
        <v>601331</v>
      </c>
      <c r="F95" s="14" t="s">
        <v>16</v>
      </c>
      <c r="G95" s="20" t="s">
        <v>21</v>
      </c>
      <c r="H95" s="12" t="s">
        <v>24</v>
      </c>
      <c r="I95" s="15">
        <v>2024.0</v>
      </c>
      <c r="J95" s="16" t="str">
        <f>IFERROR(__xludf.DUMMYFUNCTION("FILTER('CLASFICACIÓN'!$F$3:$F5618,'CLASFICACIÓN'!$G$3:$G5618=M95)"),"LOS 3 AÑOS")</f>
        <v>LOS 3 AÑOS</v>
      </c>
      <c r="K95" s="16"/>
      <c r="L95" s="12" t="s">
        <v>35</v>
      </c>
      <c r="M95" s="16" t="str">
        <f t="shared" si="1"/>
        <v>6013314 Primaria</v>
      </c>
      <c r="N95" s="17"/>
      <c r="O95" s="17"/>
      <c r="P95" s="17"/>
      <c r="Q95" s="17"/>
      <c r="R95" s="17"/>
      <c r="S95" s="17"/>
      <c r="T95" s="17"/>
    </row>
    <row r="96" ht="15.75" customHeight="1">
      <c r="A96" s="18">
        <v>95.0</v>
      </c>
      <c r="B96" s="12" t="s">
        <v>13</v>
      </c>
      <c r="C96" s="12" t="s">
        <v>14</v>
      </c>
      <c r="D96" s="19" t="s">
        <v>20</v>
      </c>
      <c r="E96" s="12" t="str">
        <f>IFERROR(__xludf.DUMMYFUNCTION("FILTER(colegios!$B$2:$B5618,colegios!$A$2:$A5618=L96)"),"601331")</f>
        <v>601331</v>
      </c>
      <c r="F96" s="14" t="s">
        <v>16</v>
      </c>
      <c r="G96" s="19" t="s">
        <v>21</v>
      </c>
      <c r="H96" s="12" t="s">
        <v>24</v>
      </c>
      <c r="I96" s="15">
        <v>2024.0</v>
      </c>
      <c r="J96" s="16" t="str">
        <f>IFERROR(__xludf.DUMMYFUNCTION("FILTER('CLASFICACIÓN'!$F$3:$F5618,'CLASFICACIÓN'!$G$3:$G5618=M96)"),"LOS 3 AÑOS")</f>
        <v>LOS 3 AÑOS</v>
      </c>
      <c r="K96" s="16"/>
      <c r="L96" s="12" t="s">
        <v>35</v>
      </c>
      <c r="M96" s="16" t="str">
        <f t="shared" si="1"/>
        <v>6013314 Primaria</v>
      </c>
      <c r="N96" s="17"/>
      <c r="O96" s="17"/>
      <c r="P96" s="17"/>
      <c r="Q96" s="17"/>
      <c r="R96" s="17"/>
      <c r="S96" s="17"/>
      <c r="T96" s="17"/>
    </row>
    <row r="97" ht="15.75" customHeight="1">
      <c r="A97" s="18">
        <v>96.0</v>
      </c>
      <c r="B97" s="12" t="s">
        <v>13</v>
      </c>
      <c r="C97" s="12" t="s">
        <v>14</v>
      </c>
      <c r="D97" s="19" t="s">
        <v>20</v>
      </c>
      <c r="E97" s="12" t="str">
        <f>IFERROR(__xludf.DUMMYFUNCTION("FILTER(colegios!$B$2:$B5618,colegios!$A$2:$A5618=L97)"),"601331")</f>
        <v>601331</v>
      </c>
      <c r="F97" s="14" t="s">
        <v>16</v>
      </c>
      <c r="G97" s="19" t="s">
        <v>17</v>
      </c>
      <c r="H97" s="12" t="s">
        <v>24</v>
      </c>
      <c r="I97" s="15">
        <v>2024.0</v>
      </c>
      <c r="J97" s="16" t="str">
        <f>IFERROR(__xludf.DUMMYFUNCTION("FILTER('CLASFICACIÓN'!$F$3:$F5618,'CLASFICACIÓN'!$G$3:$G5618=M97)"),"LOS 3 AÑOS")</f>
        <v>LOS 3 AÑOS</v>
      </c>
      <c r="K97" s="16"/>
      <c r="L97" s="12" t="s">
        <v>35</v>
      </c>
      <c r="M97" s="16" t="str">
        <f t="shared" si="1"/>
        <v>6013314 Primaria</v>
      </c>
      <c r="N97" s="17"/>
      <c r="O97" s="17"/>
      <c r="P97" s="17"/>
      <c r="Q97" s="17"/>
      <c r="R97" s="17"/>
      <c r="S97" s="17"/>
      <c r="T97" s="17"/>
    </row>
    <row r="98" ht="15.75" customHeight="1">
      <c r="A98" s="18">
        <v>97.0</v>
      </c>
      <c r="B98" s="12" t="s">
        <v>13</v>
      </c>
      <c r="C98" s="12" t="s">
        <v>14</v>
      </c>
      <c r="D98" s="19" t="s">
        <v>22</v>
      </c>
      <c r="E98" s="12" t="str">
        <f>IFERROR(__xludf.DUMMYFUNCTION("FILTER(colegios!$B$2:$B5618,colegios!$A$2:$A5618=L98)"),"601331")</f>
        <v>601331</v>
      </c>
      <c r="F98" s="14" t="s">
        <v>16</v>
      </c>
      <c r="G98" s="19" t="s">
        <v>21</v>
      </c>
      <c r="H98" s="12" t="s">
        <v>18</v>
      </c>
      <c r="I98" s="15">
        <v>2024.0</v>
      </c>
      <c r="J98" s="16" t="str">
        <f>IFERROR(__xludf.DUMMYFUNCTION("FILTER('CLASFICACIÓN'!$F$3:$F5618,'CLASFICACIÓN'!$G$3:$G5618=M98)"),"LOS 3 AÑOS")</f>
        <v>LOS 3 AÑOS</v>
      </c>
      <c r="K98" s="16"/>
      <c r="L98" s="12" t="s">
        <v>35</v>
      </c>
      <c r="M98" s="16" t="str">
        <f t="shared" si="1"/>
        <v>6013316 Primaria</v>
      </c>
      <c r="N98" s="17"/>
      <c r="O98" s="17"/>
      <c r="P98" s="17"/>
      <c r="Q98" s="17"/>
      <c r="R98" s="17"/>
      <c r="S98" s="17"/>
      <c r="T98" s="17"/>
    </row>
    <row r="99" ht="15.75" customHeight="1">
      <c r="A99" s="18">
        <v>98.0</v>
      </c>
      <c r="B99" s="12" t="s">
        <v>13</v>
      </c>
      <c r="C99" s="12" t="s">
        <v>14</v>
      </c>
      <c r="D99" s="19" t="s">
        <v>22</v>
      </c>
      <c r="E99" s="12" t="str">
        <f>IFERROR(__xludf.DUMMYFUNCTION("FILTER(colegios!$B$2:$B5618,colegios!$A$2:$A5618=L99)"),"601331")</f>
        <v>601331</v>
      </c>
      <c r="F99" s="14" t="s">
        <v>16</v>
      </c>
      <c r="G99" s="19" t="s">
        <v>17</v>
      </c>
      <c r="H99" s="12" t="s">
        <v>24</v>
      </c>
      <c r="I99" s="15">
        <v>2024.0</v>
      </c>
      <c r="J99" s="16" t="str">
        <f>IFERROR(__xludf.DUMMYFUNCTION("FILTER('CLASFICACIÓN'!$F$3:$F5618,'CLASFICACIÓN'!$G$3:$G5618=M99)"),"LOS 3 AÑOS")</f>
        <v>LOS 3 AÑOS</v>
      </c>
      <c r="K99" s="16"/>
      <c r="L99" s="12" t="s">
        <v>35</v>
      </c>
      <c r="M99" s="16" t="str">
        <f t="shared" si="1"/>
        <v>6013316 Primaria</v>
      </c>
      <c r="N99" s="17"/>
      <c r="O99" s="17"/>
      <c r="P99" s="17"/>
      <c r="Q99" s="17"/>
      <c r="R99" s="17"/>
      <c r="S99" s="17"/>
      <c r="T99" s="17"/>
    </row>
    <row r="100" ht="15.75" customHeight="1">
      <c r="A100" s="18">
        <v>99.0</v>
      </c>
      <c r="B100" s="12" t="s">
        <v>13</v>
      </c>
      <c r="C100" s="12" t="s">
        <v>14</v>
      </c>
      <c r="D100" s="19" t="s">
        <v>22</v>
      </c>
      <c r="E100" s="12" t="str">
        <f>IFERROR(__xludf.DUMMYFUNCTION("FILTER(colegios!$B$2:$B5618,colegios!$A$2:$A5618=L100)"),"601331")</f>
        <v>601331</v>
      </c>
      <c r="F100" s="14" t="s">
        <v>16</v>
      </c>
      <c r="G100" s="19" t="s">
        <v>17</v>
      </c>
      <c r="H100" s="12" t="s">
        <v>24</v>
      </c>
      <c r="I100" s="15">
        <v>2024.0</v>
      </c>
      <c r="J100" s="16" t="str">
        <f>IFERROR(__xludf.DUMMYFUNCTION("FILTER('CLASFICACIÓN'!$F$3:$F5618,'CLASFICACIÓN'!$G$3:$G5618=M100)"),"LOS 3 AÑOS")</f>
        <v>LOS 3 AÑOS</v>
      </c>
      <c r="K100" s="16"/>
      <c r="L100" s="12" t="s">
        <v>35</v>
      </c>
      <c r="M100" s="16" t="str">
        <f t="shared" si="1"/>
        <v>6013316 Primaria</v>
      </c>
      <c r="N100" s="17"/>
      <c r="O100" s="17"/>
      <c r="P100" s="17"/>
      <c r="Q100" s="17"/>
      <c r="R100" s="17"/>
      <c r="S100" s="17"/>
      <c r="T100" s="17"/>
    </row>
    <row r="101" ht="15.75" customHeight="1">
      <c r="A101" s="18">
        <v>100.0</v>
      </c>
      <c r="B101" s="12" t="s">
        <v>13</v>
      </c>
      <c r="C101" s="12" t="s">
        <v>14</v>
      </c>
      <c r="D101" s="19" t="s">
        <v>22</v>
      </c>
      <c r="E101" s="12" t="str">
        <f>IFERROR(__xludf.DUMMYFUNCTION("FILTER(colegios!$B$2:$B5618,colegios!$A$2:$A5618=L101)"),"601331")</f>
        <v>601331</v>
      </c>
      <c r="F101" s="14" t="s">
        <v>16</v>
      </c>
      <c r="G101" s="20" t="s">
        <v>21</v>
      </c>
      <c r="H101" s="12" t="s">
        <v>18</v>
      </c>
      <c r="I101" s="15">
        <v>2024.0</v>
      </c>
      <c r="J101" s="16" t="str">
        <f>IFERROR(__xludf.DUMMYFUNCTION("FILTER('CLASFICACIÓN'!$F$3:$F5618,'CLASFICACIÓN'!$G$3:$G5618=M101)"),"LOS 3 AÑOS")</f>
        <v>LOS 3 AÑOS</v>
      </c>
      <c r="K101" s="16"/>
      <c r="L101" s="12" t="s">
        <v>35</v>
      </c>
      <c r="M101" s="16" t="str">
        <f t="shared" si="1"/>
        <v>6013316 Primaria</v>
      </c>
      <c r="N101" s="17"/>
      <c r="O101" s="17"/>
      <c r="P101" s="17"/>
      <c r="Q101" s="17"/>
      <c r="R101" s="17"/>
      <c r="S101" s="17"/>
      <c r="T101" s="17"/>
    </row>
    <row r="102" ht="15.75" customHeight="1">
      <c r="A102" s="18">
        <v>101.0</v>
      </c>
      <c r="B102" s="12" t="s">
        <v>13</v>
      </c>
      <c r="C102" s="12" t="s">
        <v>14</v>
      </c>
      <c r="D102" s="19" t="s">
        <v>22</v>
      </c>
      <c r="E102" s="12" t="str">
        <f>IFERROR(__xludf.DUMMYFUNCTION("FILTER(colegios!$B$2:$B5618,colegios!$A$2:$A5618=L102)"),"601331")</f>
        <v>601331</v>
      </c>
      <c r="F102" s="14" t="s">
        <v>16</v>
      </c>
      <c r="G102" s="20" t="s">
        <v>21</v>
      </c>
      <c r="H102" s="12" t="s">
        <v>24</v>
      </c>
      <c r="I102" s="15">
        <v>2024.0</v>
      </c>
      <c r="J102" s="16" t="str">
        <f>IFERROR(__xludf.DUMMYFUNCTION("FILTER('CLASFICACIÓN'!$F$3:$F5618,'CLASFICACIÓN'!$G$3:$G5618=M102)"),"LOS 3 AÑOS")</f>
        <v>LOS 3 AÑOS</v>
      </c>
      <c r="K102" s="16"/>
      <c r="L102" s="12" t="s">
        <v>35</v>
      </c>
      <c r="M102" s="16" t="str">
        <f t="shared" si="1"/>
        <v>6013316 Primaria</v>
      </c>
      <c r="N102" s="17"/>
      <c r="O102" s="17"/>
      <c r="P102" s="17"/>
      <c r="Q102" s="17"/>
      <c r="R102" s="17"/>
      <c r="S102" s="17"/>
      <c r="T102" s="17"/>
    </row>
    <row r="103" ht="15.75" customHeight="1">
      <c r="A103" s="18">
        <v>102.0</v>
      </c>
      <c r="B103" s="12" t="s">
        <v>13</v>
      </c>
      <c r="C103" s="12" t="s">
        <v>14</v>
      </c>
      <c r="D103" s="19" t="s">
        <v>22</v>
      </c>
      <c r="E103" s="12" t="str">
        <f>IFERROR(__xludf.DUMMYFUNCTION("FILTER(colegios!$B$2:$B5618,colegios!$A$2:$A5618=L103)"),"601331")</f>
        <v>601331</v>
      </c>
      <c r="F103" s="14" t="s">
        <v>16</v>
      </c>
      <c r="G103" s="20" t="s">
        <v>17</v>
      </c>
      <c r="H103" s="12" t="s">
        <v>18</v>
      </c>
      <c r="I103" s="15">
        <v>2024.0</v>
      </c>
      <c r="J103" s="16" t="str">
        <f>IFERROR(__xludf.DUMMYFUNCTION("FILTER('CLASFICACIÓN'!$F$3:$F5618,'CLASFICACIÓN'!$G$3:$G5618=M103)"),"LOS 3 AÑOS")</f>
        <v>LOS 3 AÑOS</v>
      </c>
      <c r="K103" s="16"/>
      <c r="L103" s="12" t="s">
        <v>35</v>
      </c>
      <c r="M103" s="16" t="str">
        <f t="shared" si="1"/>
        <v>6013316 Primaria</v>
      </c>
      <c r="N103" s="17"/>
      <c r="O103" s="17"/>
      <c r="P103" s="17"/>
      <c r="Q103" s="17"/>
      <c r="R103" s="17"/>
      <c r="S103" s="17"/>
      <c r="T103" s="17"/>
    </row>
    <row r="104" ht="15.75" customHeight="1">
      <c r="A104" s="18">
        <v>103.0</v>
      </c>
      <c r="B104" s="12" t="s">
        <v>13</v>
      </c>
      <c r="C104" s="12" t="s">
        <v>14</v>
      </c>
      <c r="D104" s="19" t="s">
        <v>22</v>
      </c>
      <c r="E104" s="12" t="str">
        <f>IFERROR(__xludf.DUMMYFUNCTION("FILTER(colegios!$B$2:$B5618,colegios!$A$2:$A5618=L104)"),"601331")</f>
        <v>601331</v>
      </c>
      <c r="F104" s="14" t="s">
        <v>16</v>
      </c>
      <c r="G104" s="20" t="s">
        <v>17</v>
      </c>
      <c r="H104" s="12" t="s">
        <v>24</v>
      </c>
      <c r="I104" s="15">
        <v>2024.0</v>
      </c>
      <c r="J104" s="16" t="str">
        <f>IFERROR(__xludf.DUMMYFUNCTION("FILTER('CLASFICACIÓN'!$F$3:$F5618,'CLASFICACIÓN'!$G$3:$G5618=M104)"),"LOS 3 AÑOS")</f>
        <v>LOS 3 AÑOS</v>
      </c>
      <c r="K104" s="16"/>
      <c r="L104" s="12" t="s">
        <v>35</v>
      </c>
      <c r="M104" s="16" t="str">
        <f t="shared" si="1"/>
        <v>6013316 Primaria</v>
      </c>
      <c r="N104" s="17"/>
      <c r="O104" s="17"/>
      <c r="P104" s="17"/>
      <c r="Q104" s="17"/>
      <c r="R104" s="17"/>
      <c r="S104" s="17"/>
      <c r="T104" s="17"/>
    </row>
    <row r="105" ht="15.75" customHeight="1">
      <c r="A105" s="18">
        <v>104.0</v>
      </c>
      <c r="B105" s="12" t="s">
        <v>13</v>
      </c>
      <c r="C105" s="12" t="s">
        <v>14</v>
      </c>
      <c r="D105" s="19" t="s">
        <v>22</v>
      </c>
      <c r="E105" s="12" t="str">
        <f>IFERROR(__xludf.DUMMYFUNCTION("FILTER(colegios!$B$2:$B5618,colegios!$A$2:$A5618=L105)"),"601331")</f>
        <v>601331</v>
      </c>
      <c r="F105" s="14" t="s">
        <v>16</v>
      </c>
      <c r="G105" s="20" t="s">
        <v>17</v>
      </c>
      <c r="H105" s="12" t="s">
        <v>24</v>
      </c>
      <c r="I105" s="15">
        <v>2024.0</v>
      </c>
      <c r="J105" s="16" t="str">
        <f>IFERROR(__xludf.DUMMYFUNCTION("FILTER('CLASFICACIÓN'!$F$3:$F5618,'CLASFICACIÓN'!$G$3:$G5618=M105)"),"LOS 3 AÑOS")</f>
        <v>LOS 3 AÑOS</v>
      </c>
      <c r="K105" s="16"/>
      <c r="L105" s="12" t="s">
        <v>35</v>
      </c>
      <c r="M105" s="16" t="str">
        <f t="shared" si="1"/>
        <v>6013316 Primaria</v>
      </c>
      <c r="N105" s="17"/>
      <c r="O105" s="17"/>
      <c r="P105" s="17"/>
      <c r="Q105" s="17"/>
      <c r="R105" s="17"/>
      <c r="S105" s="17"/>
      <c r="T105" s="17"/>
    </row>
    <row r="106" ht="15.75" customHeight="1">
      <c r="A106" s="18">
        <v>105.0</v>
      </c>
      <c r="B106" s="12" t="s">
        <v>13</v>
      </c>
      <c r="C106" s="12" t="s">
        <v>14</v>
      </c>
      <c r="D106" s="19" t="s">
        <v>22</v>
      </c>
      <c r="E106" s="12" t="str">
        <f>IFERROR(__xludf.DUMMYFUNCTION("FILTER(colegios!$B$2:$B5618,colegios!$A$2:$A5618=L106)"),"601331")</f>
        <v>601331</v>
      </c>
      <c r="F106" s="14" t="s">
        <v>16</v>
      </c>
      <c r="G106" s="20" t="s">
        <v>21</v>
      </c>
      <c r="H106" s="12" t="s">
        <v>24</v>
      </c>
      <c r="I106" s="15">
        <v>2024.0</v>
      </c>
      <c r="J106" s="16" t="str">
        <f>IFERROR(__xludf.DUMMYFUNCTION("FILTER('CLASFICACIÓN'!$F$3:$F5618,'CLASFICACIÓN'!$G$3:$G5618=M106)"),"LOS 3 AÑOS")</f>
        <v>LOS 3 AÑOS</v>
      </c>
      <c r="K106" s="16"/>
      <c r="L106" s="12" t="s">
        <v>35</v>
      </c>
      <c r="M106" s="16" t="str">
        <f t="shared" si="1"/>
        <v>6013316 Primaria</v>
      </c>
      <c r="N106" s="17"/>
      <c r="O106" s="17"/>
      <c r="P106" s="17"/>
      <c r="Q106" s="17"/>
      <c r="R106" s="17"/>
      <c r="S106" s="17"/>
      <c r="T106" s="17"/>
    </row>
    <row r="107" ht="15.75" customHeight="1">
      <c r="A107" s="18">
        <v>106.0</v>
      </c>
      <c r="B107" s="12" t="s">
        <v>13</v>
      </c>
      <c r="C107" s="12" t="s">
        <v>27</v>
      </c>
      <c r="D107" s="19" t="s">
        <v>28</v>
      </c>
      <c r="E107" s="12" t="str">
        <f>IFERROR(__xludf.DUMMYFUNCTION("FILTER(colegios!$B$2:$B5618,colegios!$A$2:$A5618=L107)"),"601331")</f>
        <v>601331</v>
      </c>
      <c r="F107" s="14" t="s">
        <v>16</v>
      </c>
      <c r="G107" s="20" t="s">
        <v>17</v>
      </c>
      <c r="H107" s="12" t="s">
        <v>18</v>
      </c>
      <c r="I107" s="15">
        <v>2024.0</v>
      </c>
      <c r="J107" s="16" t="str">
        <f>IFERROR(__xludf.DUMMYFUNCTION("FILTER('CLASFICACIÓN'!$F$3:$F5618,'CLASFICACIÓN'!$G$3:$G5618=M107)"),"LOS 3 AÑOS")</f>
        <v>LOS 3 AÑOS</v>
      </c>
      <c r="K107" s="16"/>
      <c r="L107" s="12" t="s">
        <v>35</v>
      </c>
      <c r="M107" s="16" t="str">
        <f t="shared" si="1"/>
        <v>6013312 Secundaria</v>
      </c>
      <c r="N107" s="17"/>
      <c r="O107" s="17"/>
      <c r="P107" s="17"/>
      <c r="Q107" s="17"/>
      <c r="R107" s="17"/>
      <c r="S107" s="17"/>
      <c r="T107" s="17"/>
    </row>
    <row r="108" ht="15.75" customHeight="1">
      <c r="A108" s="18">
        <v>107.0</v>
      </c>
      <c r="B108" s="12" t="s">
        <v>13</v>
      </c>
      <c r="C108" s="12" t="s">
        <v>27</v>
      </c>
      <c r="D108" s="19" t="s">
        <v>28</v>
      </c>
      <c r="E108" s="12" t="str">
        <f>IFERROR(__xludf.DUMMYFUNCTION("FILTER(colegios!$B$2:$B5618,colegios!$A$2:$A5618=L108)"),"601331")</f>
        <v>601331</v>
      </c>
      <c r="F108" s="14" t="s">
        <v>16</v>
      </c>
      <c r="G108" s="20" t="s">
        <v>17</v>
      </c>
      <c r="H108" s="12" t="s">
        <v>18</v>
      </c>
      <c r="I108" s="15">
        <v>2024.0</v>
      </c>
      <c r="J108" s="16" t="str">
        <f>IFERROR(__xludf.DUMMYFUNCTION("FILTER('CLASFICACIÓN'!$F$3:$F5618,'CLASFICACIÓN'!$G$3:$G5618=M108)"),"LOS 3 AÑOS")</f>
        <v>LOS 3 AÑOS</v>
      </c>
      <c r="K108" s="16"/>
      <c r="L108" s="12" t="s">
        <v>35</v>
      </c>
      <c r="M108" s="16" t="str">
        <f t="shared" si="1"/>
        <v>6013312 Secundaria</v>
      </c>
      <c r="N108" s="17"/>
      <c r="O108" s="17"/>
      <c r="P108" s="17"/>
      <c r="Q108" s="17"/>
      <c r="R108" s="17"/>
      <c r="S108" s="17"/>
      <c r="T108" s="17"/>
    </row>
    <row r="109" ht="15.75" customHeight="1">
      <c r="A109" s="18">
        <v>108.0</v>
      </c>
      <c r="B109" s="12" t="s">
        <v>13</v>
      </c>
      <c r="C109" s="12" t="s">
        <v>27</v>
      </c>
      <c r="D109" s="19" t="s">
        <v>28</v>
      </c>
      <c r="E109" s="12" t="str">
        <f>IFERROR(__xludf.DUMMYFUNCTION("FILTER(colegios!$B$2:$B5618,colegios!$A$2:$A5618=L109)"),"601331")</f>
        <v>601331</v>
      </c>
      <c r="F109" s="14" t="s">
        <v>16</v>
      </c>
      <c r="G109" s="19" t="s">
        <v>21</v>
      </c>
      <c r="H109" s="12" t="s">
        <v>18</v>
      </c>
      <c r="I109" s="15">
        <v>2024.0</v>
      </c>
      <c r="J109" s="16" t="str">
        <f>IFERROR(__xludf.DUMMYFUNCTION("FILTER('CLASFICACIÓN'!$F$3:$F5618,'CLASFICACIÓN'!$G$3:$G5618=M109)"),"LOS 3 AÑOS")</f>
        <v>LOS 3 AÑOS</v>
      </c>
      <c r="K109" s="16"/>
      <c r="L109" s="12" t="s">
        <v>35</v>
      </c>
      <c r="M109" s="16" t="str">
        <f t="shared" si="1"/>
        <v>6013312 Secundaria</v>
      </c>
      <c r="N109" s="17"/>
      <c r="O109" s="17"/>
      <c r="P109" s="17"/>
      <c r="Q109" s="17"/>
      <c r="R109" s="17"/>
      <c r="S109" s="17"/>
      <c r="T109" s="17"/>
    </row>
    <row r="110" ht="15.75" customHeight="1">
      <c r="A110" s="18">
        <v>109.0</v>
      </c>
      <c r="B110" s="12" t="s">
        <v>13</v>
      </c>
      <c r="C110" s="12" t="s">
        <v>27</v>
      </c>
      <c r="D110" s="19" t="s">
        <v>28</v>
      </c>
      <c r="E110" s="12" t="str">
        <f>IFERROR(__xludf.DUMMYFUNCTION("FILTER(colegios!$B$2:$B5618,colegios!$A$2:$A5618=L110)"),"601331")</f>
        <v>601331</v>
      </c>
      <c r="F110" s="14" t="s">
        <v>16</v>
      </c>
      <c r="G110" s="20" t="s">
        <v>17</v>
      </c>
      <c r="H110" s="12" t="s">
        <v>18</v>
      </c>
      <c r="I110" s="15">
        <v>2024.0</v>
      </c>
      <c r="J110" s="16" t="str">
        <f>IFERROR(__xludf.DUMMYFUNCTION("FILTER('CLASFICACIÓN'!$F$3:$F5618,'CLASFICACIÓN'!$G$3:$G5618=M110)"),"LOS 3 AÑOS")</f>
        <v>LOS 3 AÑOS</v>
      </c>
      <c r="K110" s="16"/>
      <c r="L110" s="12" t="s">
        <v>35</v>
      </c>
      <c r="M110" s="16" t="str">
        <f t="shared" si="1"/>
        <v>6013312 Secundaria</v>
      </c>
      <c r="N110" s="17"/>
      <c r="O110" s="17"/>
      <c r="P110" s="17"/>
      <c r="Q110" s="17"/>
      <c r="R110" s="17"/>
      <c r="S110" s="17"/>
      <c r="T110" s="17"/>
    </row>
    <row r="111" ht="15.75" customHeight="1">
      <c r="A111" s="18">
        <v>110.0</v>
      </c>
      <c r="B111" s="12" t="s">
        <v>13</v>
      </c>
      <c r="C111" s="12" t="s">
        <v>27</v>
      </c>
      <c r="D111" s="19" t="s">
        <v>28</v>
      </c>
      <c r="E111" s="12" t="str">
        <f>IFERROR(__xludf.DUMMYFUNCTION("FILTER(colegios!$B$2:$B5618,colegios!$A$2:$A5618=L111)"),"601331")</f>
        <v>601331</v>
      </c>
      <c r="F111" s="14" t="s">
        <v>16</v>
      </c>
      <c r="G111" s="20" t="s">
        <v>21</v>
      </c>
      <c r="H111" s="12" t="s">
        <v>18</v>
      </c>
      <c r="I111" s="15">
        <v>2024.0</v>
      </c>
      <c r="J111" s="16" t="str">
        <f>IFERROR(__xludf.DUMMYFUNCTION("FILTER('CLASFICACIÓN'!$F$3:$F5618,'CLASFICACIÓN'!$G$3:$G5618=M111)"),"LOS 3 AÑOS")</f>
        <v>LOS 3 AÑOS</v>
      </c>
      <c r="K111" s="16"/>
      <c r="L111" s="12" t="s">
        <v>35</v>
      </c>
      <c r="M111" s="16" t="str">
        <f t="shared" si="1"/>
        <v>6013312 Secundaria</v>
      </c>
      <c r="N111" s="17"/>
      <c r="O111" s="17"/>
      <c r="P111" s="17"/>
      <c r="Q111" s="17"/>
      <c r="R111" s="17"/>
      <c r="S111" s="17"/>
      <c r="T111" s="17"/>
    </row>
    <row r="112" ht="15.75" customHeight="1">
      <c r="A112" s="18">
        <v>111.0</v>
      </c>
      <c r="B112" s="12" t="s">
        <v>13</v>
      </c>
      <c r="C112" s="12" t="s">
        <v>27</v>
      </c>
      <c r="D112" s="19" t="s">
        <v>28</v>
      </c>
      <c r="E112" s="12" t="str">
        <f>IFERROR(__xludf.DUMMYFUNCTION("FILTER(colegios!$B$2:$B5618,colegios!$A$2:$A5618=L112)"),"601331")</f>
        <v>601331</v>
      </c>
      <c r="F112" s="14" t="s">
        <v>16</v>
      </c>
      <c r="G112" s="19" t="s">
        <v>21</v>
      </c>
      <c r="H112" s="12" t="s">
        <v>18</v>
      </c>
      <c r="I112" s="15">
        <v>2024.0</v>
      </c>
      <c r="J112" s="16" t="str">
        <f>IFERROR(__xludf.DUMMYFUNCTION("FILTER('CLASFICACIÓN'!$F$3:$F5618,'CLASFICACIÓN'!$G$3:$G5618=M112)"),"LOS 3 AÑOS")</f>
        <v>LOS 3 AÑOS</v>
      </c>
      <c r="K112" s="16"/>
      <c r="L112" s="12" t="s">
        <v>35</v>
      </c>
      <c r="M112" s="16" t="str">
        <f t="shared" si="1"/>
        <v>6013312 Secundaria</v>
      </c>
      <c r="N112" s="17"/>
      <c r="O112" s="17"/>
      <c r="P112" s="17"/>
      <c r="Q112" s="17"/>
      <c r="R112" s="17"/>
      <c r="S112" s="17"/>
      <c r="T112" s="17"/>
    </row>
    <row r="113" ht="15.75" customHeight="1">
      <c r="A113" s="18">
        <v>112.0</v>
      </c>
      <c r="B113" s="12" t="s">
        <v>13</v>
      </c>
      <c r="C113" s="12" t="s">
        <v>27</v>
      </c>
      <c r="D113" s="19" t="s">
        <v>28</v>
      </c>
      <c r="E113" s="12" t="str">
        <f>IFERROR(__xludf.DUMMYFUNCTION("FILTER(colegios!$B$2:$B5618,colegios!$A$2:$A5618=L113)"),"601331")</f>
        <v>601331</v>
      </c>
      <c r="F113" s="14" t="s">
        <v>16</v>
      </c>
      <c r="G113" s="19" t="s">
        <v>21</v>
      </c>
      <c r="H113" s="12" t="s">
        <v>18</v>
      </c>
      <c r="I113" s="15">
        <v>2024.0</v>
      </c>
      <c r="J113" s="16" t="str">
        <f>IFERROR(__xludf.DUMMYFUNCTION("FILTER('CLASFICACIÓN'!$F$3:$F5618,'CLASFICACIÓN'!$G$3:$G5618=M113)"),"LOS 3 AÑOS")</f>
        <v>LOS 3 AÑOS</v>
      </c>
      <c r="K113" s="16"/>
      <c r="L113" s="12" t="s">
        <v>35</v>
      </c>
      <c r="M113" s="16" t="str">
        <f t="shared" si="1"/>
        <v>6013312 Secundaria</v>
      </c>
      <c r="N113" s="17"/>
      <c r="O113" s="17"/>
      <c r="P113" s="17"/>
      <c r="Q113" s="17"/>
      <c r="R113" s="17"/>
      <c r="S113" s="17"/>
      <c r="T113" s="17"/>
    </row>
    <row r="114" ht="15.75" customHeight="1">
      <c r="A114" s="18">
        <v>113.0</v>
      </c>
      <c r="B114" s="12" t="s">
        <v>13</v>
      </c>
      <c r="C114" s="12" t="s">
        <v>27</v>
      </c>
      <c r="D114" s="19" t="s">
        <v>28</v>
      </c>
      <c r="E114" s="12" t="str">
        <f>IFERROR(__xludf.DUMMYFUNCTION("FILTER(colegios!$B$2:$B5618,colegios!$A$2:$A5618=L114)"),"601331")</f>
        <v>601331</v>
      </c>
      <c r="F114" s="14" t="s">
        <v>16</v>
      </c>
      <c r="G114" s="19" t="s">
        <v>17</v>
      </c>
      <c r="H114" s="12" t="s">
        <v>18</v>
      </c>
      <c r="I114" s="15">
        <v>2024.0</v>
      </c>
      <c r="J114" s="16" t="str">
        <f>IFERROR(__xludf.DUMMYFUNCTION("FILTER('CLASFICACIÓN'!$F$3:$F5618,'CLASFICACIÓN'!$G$3:$G5618=M114)"),"LOS 3 AÑOS")</f>
        <v>LOS 3 AÑOS</v>
      </c>
      <c r="K114" s="16"/>
      <c r="L114" s="12" t="s">
        <v>35</v>
      </c>
      <c r="M114" s="16" t="str">
        <f t="shared" si="1"/>
        <v>6013312 Secundaria</v>
      </c>
      <c r="N114" s="17"/>
      <c r="O114" s="17"/>
      <c r="P114" s="17"/>
      <c r="Q114" s="17"/>
      <c r="R114" s="17"/>
      <c r="S114" s="17"/>
      <c r="T114" s="17"/>
    </row>
    <row r="115" ht="15.75" customHeight="1">
      <c r="A115" s="18">
        <v>114.0</v>
      </c>
      <c r="B115" s="12" t="s">
        <v>13</v>
      </c>
      <c r="C115" s="12" t="s">
        <v>27</v>
      </c>
      <c r="D115" s="19" t="s">
        <v>28</v>
      </c>
      <c r="E115" s="12" t="str">
        <f>IFERROR(__xludf.DUMMYFUNCTION("FILTER(colegios!$B$2:$B5618,colegios!$A$2:$A5618=L115)"),"601331")</f>
        <v>601331</v>
      </c>
      <c r="F115" s="14" t="s">
        <v>16</v>
      </c>
      <c r="G115" s="20" t="s">
        <v>21</v>
      </c>
      <c r="H115" s="12" t="s">
        <v>24</v>
      </c>
      <c r="I115" s="15">
        <v>2024.0</v>
      </c>
      <c r="J115" s="16" t="str">
        <f>IFERROR(__xludf.DUMMYFUNCTION("FILTER('CLASFICACIÓN'!$F$3:$F5618,'CLASFICACIÓN'!$G$3:$G5618=M115)"),"LOS 3 AÑOS")</f>
        <v>LOS 3 AÑOS</v>
      </c>
      <c r="K115" s="16"/>
      <c r="L115" s="12" t="s">
        <v>35</v>
      </c>
      <c r="M115" s="16" t="str">
        <f t="shared" si="1"/>
        <v>6013312 Secundaria</v>
      </c>
      <c r="N115" s="17"/>
      <c r="O115" s="17"/>
      <c r="P115" s="17"/>
      <c r="Q115" s="17"/>
      <c r="R115" s="17"/>
      <c r="S115" s="17"/>
      <c r="T115" s="17"/>
    </row>
    <row r="116" ht="15.75" customHeight="1">
      <c r="A116" s="18">
        <v>115.0</v>
      </c>
      <c r="B116" s="12" t="s">
        <v>13</v>
      </c>
      <c r="C116" s="12" t="s">
        <v>27</v>
      </c>
      <c r="D116" s="19" t="s">
        <v>28</v>
      </c>
      <c r="E116" s="12" t="str">
        <f>IFERROR(__xludf.DUMMYFUNCTION("FILTER(colegios!$B$2:$B5618,colegios!$A$2:$A5618=L116)"),"601331")</f>
        <v>601331</v>
      </c>
      <c r="F116" s="14" t="s">
        <v>16</v>
      </c>
      <c r="G116" s="19" t="s">
        <v>21</v>
      </c>
      <c r="H116" s="12" t="s">
        <v>18</v>
      </c>
      <c r="I116" s="15">
        <v>2024.0</v>
      </c>
      <c r="J116" s="16" t="str">
        <f>IFERROR(__xludf.DUMMYFUNCTION("FILTER('CLASFICACIÓN'!$F$3:$F5618,'CLASFICACIÓN'!$G$3:$G5618=M116)"),"LOS 3 AÑOS")</f>
        <v>LOS 3 AÑOS</v>
      </c>
      <c r="K116" s="16"/>
      <c r="L116" s="12" t="s">
        <v>35</v>
      </c>
      <c r="M116" s="16" t="str">
        <f t="shared" si="1"/>
        <v>6013312 Secundaria</v>
      </c>
      <c r="N116" s="17"/>
      <c r="O116" s="17"/>
      <c r="P116" s="17"/>
      <c r="Q116" s="17"/>
      <c r="R116" s="17"/>
      <c r="S116" s="17"/>
      <c r="T116" s="17"/>
    </row>
    <row r="117" ht="15.75" customHeight="1">
      <c r="A117" s="18">
        <v>116.0</v>
      </c>
      <c r="B117" s="12" t="s">
        <v>13</v>
      </c>
      <c r="C117" s="12" t="s">
        <v>27</v>
      </c>
      <c r="D117" s="19" t="s">
        <v>28</v>
      </c>
      <c r="E117" s="12" t="str">
        <f>IFERROR(__xludf.DUMMYFUNCTION("FILTER(colegios!$B$2:$B5618,colegios!$A$2:$A5618=L117)"),"601331")</f>
        <v>601331</v>
      </c>
      <c r="F117" s="14" t="s">
        <v>16</v>
      </c>
      <c r="G117" s="19" t="s">
        <v>21</v>
      </c>
      <c r="H117" s="12" t="s">
        <v>18</v>
      </c>
      <c r="I117" s="15">
        <v>2024.0</v>
      </c>
      <c r="J117" s="16" t="str">
        <f>IFERROR(__xludf.DUMMYFUNCTION("FILTER('CLASFICACIÓN'!$F$3:$F5618,'CLASFICACIÓN'!$G$3:$G5618=M117)"),"LOS 3 AÑOS")</f>
        <v>LOS 3 AÑOS</v>
      </c>
      <c r="K117" s="16"/>
      <c r="L117" s="12" t="s">
        <v>35</v>
      </c>
      <c r="M117" s="16" t="str">
        <f t="shared" si="1"/>
        <v>6013312 Secundaria</v>
      </c>
      <c r="N117" s="17"/>
      <c r="O117" s="17"/>
      <c r="P117" s="17"/>
      <c r="Q117" s="17"/>
      <c r="R117" s="17"/>
      <c r="S117" s="17"/>
      <c r="T117" s="17"/>
    </row>
    <row r="118" ht="15.75" customHeight="1">
      <c r="A118" s="18">
        <v>117.0</v>
      </c>
      <c r="B118" s="12" t="s">
        <v>13</v>
      </c>
      <c r="C118" s="12" t="s">
        <v>27</v>
      </c>
      <c r="D118" s="19" t="s">
        <v>28</v>
      </c>
      <c r="E118" s="12" t="str">
        <f>IFERROR(__xludf.DUMMYFUNCTION("FILTER(colegios!$B$2:$B5618,colegios!$A$2:$A5618=L118)"),"601331")</f>
        <v>601331</v>
      </c>
      <c r="F118" s="14" t="s">
        <v>16</v>
      </c>
      <c r="G118" s="20" t="s">
        <v>17</v>
      </c>
      <c r="H118" s="12" t="s">
        <v>24</v>
      </c>
      <c r="I118" s="15">
        <v>2024.0</v>
      </c>
      <c r="J118" s="16" t="str">
        <f>IFERROR(__xludf.DUMMYFUNCTION("FILTER('CLASFICACIÓN'!$F$3:$F5618,'CLASFICACIÓN'!$G$3:$G5618=M118)"),"LOS 3 AÑOS")</f>
        <v>LOS 3 AÑOS</v>
      </c>
      <c r="K118" s="16"/>
      <c r="L118" s="12" t="s">
        <v>35</v>
      </c>
      <c r="M118" s="16" t="str">
        <f t="shared" si="1"/>
        <v>6013312 Secundaria</v>
      </c>
      <c r="N118" s="17"/>
      <c r="O118" s="17"/>
      <c r="P118" s="17"/>
      <c r="Q118" s="17"/>
      <c r="R118" s="17"/>
      <c r="S118" s="17"/>
      <c r="T118" s="17"/>
    </row>
    <row r="119" ht="15.75" customHeight="1">
      <c r="A119" s="18">
        <v>118.0</v>
      </c>
      <c r="B119" s="12" t="s">
        <v>13</v>
      </c>
      <c r="C119" s="12" t="s">
        <v>27</v>
      </c>
      <c r="D119" s="19" t="s">
        <v>30</v>
      </c>
      <c r="E119" s="12" t="str">
        <f>IFERROR(__xludf.DUMMYFUNCTION("FILTER(colegios!$B$2:$B5618,colegios!$A$2:$A5618=L119)"),"601331")</f>
        <v>601331</v>
      </c>
      <c r="F119" s="14" t="s">
        <v>16</v>
      </c>
      <c r="G119" s="20" t="s">
        <v>17</v>
      </c>
      <c r="H119" s="12" t="s">
        <v>18</v>
      </c>
      <c r="I119" s="15">
        <v>2024.0</v>
      </c>
      <c r="J119" s="16" t="str">
        <f>IFERROR(__xludf.DUMMYFUNCTION("FILTER('CLASFICACIÓN'!$F$3:$F5618,'CLASFICACIÓN'!$G$3:$G5618=M119)"),"LOS 3 AÑOS")</f>
        <v>LOS 3 AÑOS</v>
      </c>
      <c r="K119" s="16"/>
      <c r="L119" s="12" t="s">
        <v>35</v>
      </c>
      <c r="M119" s="16" t="str">
        <f t="shared" si="1"/>
        <v>6013314 Secundaria</v>
      </c>
      <c r="N119" s="17"/>
      <c r="O119" s="17"/>
      <c r="P119" s="17"/>
      <c r="Q119" s="17"/>
      <c r="R119" s="17"/>
      <c r="S119" s="17"/>
      <c r="T119" s="17"/>
    </row>
    <row r="120" ht="15.75" customHeight="1">
      <c r="A120" s="18">
        <v>119.0</v>
      </c>
      <c r="B120" s="12" t="s">
        <v>13</v>
      </c>
      <c r="C120" s="12" t="s">
        <v>27</v>
      </c>
      <c r="D120" s="19" t="s">
        <v>30</v>
      </c>
      <c r="E120" s="12" t="str">
        <f>IFERROR(__xludf.DUMMYFUNCTION("FILTER(colegios!$B$2:$B5618,colegios!$A$2:$A5618=L120)"),"601331")</f>
        <v>601331</v>
      </c>
      <c r="F120" s="14" t="s">
        <v>16</v>
      </c>
      <c r="G120" s="20" t="s">
        <v>21</v>
      </c>
      <c r="H120" s="12" t="s">
        <v>18</v>
      </c>
      <c r="I120" s="15">
        <v>2024.0</v>
      </c>
      <c r="J120" s="16" t="str">
        <f>IFERROR(__xludf.DUMMYFUNCTION("FILTER('CLASFICACIÓN'!$F$3:$F5618,'CLASFICACIÓN'!$G$3:$G5618=M120)"),"LOS 3 AÑOS")</f>
        <v>LOS 3 AÑOS</v>
      </c>
      <c r="K120" s="16"/>
      <c r="L120" s="12" t="s">
        <v>35</v>
      </c>
      <c r="M120" s="16" t="str">
        <f t="shared" si="1"/>
        <v>6013314 Secundaria</v>
      </c>
      <c r="N120" s="17"/>
      <c r="O120" s="17"/>
      <c r="P120" s="17"/>
      <c r="Q120" s="17"/>
      <c r="R120" s="17"/>
      <c r="S120" s="17"/>
      <c r="T120" s="17"/>
    </row>
    <row r="121" ht="15.75" customHeight="1">
      <c r="A121" s="18">
        <v>120.0</v>
      </c>
      <c r="B121" s="12" t="s">
        <v>13</v>
      </c>
      <c r="C121" s="12" t="s">
        <v>27</v>
      </c>
      <c r="D121" s="19" t="s">
        <v>30</v>
      </c>
      <c r="E121" s="12" t="str">
        <f>IFERROR(__xludf.DUMMYFUNCTION("FILTER(colegios!$B$2:$B5618,colegios!$A$2:$A5618=L121)"),"601331")</f>
        <v>601331</v>
      </c>
      <c r="F121" s="14" t="s">
        <v>16</v>
      </c>
      <c r="G121" s="20" t="s">
        <v>21</v>
      </c>
      <c r="H121" s="12" t="s">
        <v>18</v>
      </c>
      <c r="I121" s="15">
        <v>2024.0</v>
      </c>
      <c r="J121" s="16" t="str">
        <f>IFERROR(__xludf.DUMMYFUNCTION("FILTER('CLASFICACIÓN'!$F$3:$F5618,'CLASFICACIÓN'!$G$3:$G5618=M121)"),"LOS 3 AÑOS")</f>
        <v>LOS 3 AÑOS</v>
      </c>
      <c r="K121" s="16"/>
      <c r="L121" s="12" t="s">
        <v>35</v>
      </c>
      <c r="M121" s="16" t="str">
        <f t="shared" si="1"/>
        <v>6013314 Secundaria</v>
      </c>
      <c r="N121" s="17"/>
      <c r="O121" s="17"/>
      <c r="P121" s="17"/>
      <c r="Q121" s="17"/>
      <c r="R121" s="17"/>
      <c r="S121" s="17"/>
      <c r="T121" s="17"/>
    </row>
    <row r="122" ht="15.75" customHeight="1">
      <c r="A122" s="18">
        <v>121.0</v>
      </c>
      <c r="B122" s="12" t="s">
        <v>13</v>
      </c>
      <c r="C122" s="12" t="s">
        <v>27</v>
      </c>
      <c r="D122" s="19" t="s">
        <v>30</v>
      </c>
      <c r="E122" s="12" t="str">
        <f>IFERROR(__xludf.DUMMYFUNCTION("FILTER(colegios!$B$2:$B5618,colegios!$A$2:$A5618=L122)"),"601331")</f>
        <v>601331</v>
      </c>
      <c r="F122" s="14" t="s">
        <v>16</v>
      </c>
      <c r="G122" s="19" t="s">
        <v>21</v>
      </c>
      <c r="H122" s="12" t="s">
        <v>18</v>
      </c>
      <c r="I122" s="15">
        <v>2024.0</v>
      </c>
      <c r="J122" s="16" t="str">
        <f>IFERROR(__xludf.DUMMYFUNCTION("FILTER('CLASFICACIÓN'!$F$3:$F5618,'CLASFICACIÓN'!$G$3:$G5618=M122)"),"LOS 3 AÑOS")</f>
        <v>LOS 3 AÑOS</v>
      </c>
      <c r="K122" s="16"/>
      <c r="L122" s="12" t="s">
        <v>35</v>
      </c>
      <c r="M122" s="16" t="str">
        <f t="shared" si="1"/>
        <v>6013314 Secundaria</v>
      </c>
      <c r="N122" s="17"/>
      <c r="O122" s="17"/>
      <c r="P122" s="17"/>
      <c r="Q122" s="17"/>
      <c r="R122" s="17"/>
      <c r="S122" s="17"/>
      <c r="T122" s="17"/>
    </row>
    <row r="123" ht="15.75" customHeight="1">
      <c r="A123" s="18">
        <v>122.0</v>
      </c>
      <c r="B123" s="12" t="s">
        <v>13</v>
      </c>
      <c r="C123" s="12" t="s">
        <v>27</v>
      </c>
      <c r="D123" s="19" t="s">
        <v>30</v>
      </c>
      <c r="E123" s="12" t="str">
        <f>IFERROR(__xludf.DUMMYFUNCTION("FILTER(colegios!$B$2:$B5618,colegios!$A$2:$A5618=L123)"),"601331")</f>
        <v>601331</v>
      </c>
      <c r="F123" s="14" t="s">
        <v>16</v>
      </c>
      <c r="G123" s="19" t="s">
        <v>21</v>
      </c>
      <c r="H123" s="12" t="s">
        <v>18</v>
      </c>
      <c r="I123" s="15">
        <v>2024.0</v>
      </c>
      <c r="J123" s="16" t="str">
        <f>IFERROR(__xludf.DUMMYFUNCTION("FILTER('CLASFICACIÓN'!$F$3:$F5618,'CLASFICACIÓN'!$G$3:$G5618=M123)"),"LOS 3 AÑOS")</f>
        <v>LOS 3 AÑOS</v>
      </c>
      <c r="K123" s="16"/>
      <c r="L123" s="12" t="s">
        <v>35</v>
      </c>
      <c r="M123" s="16" t="str">
        <f t="shared" si="1"/>
        <v>6013314 Secundaria</v>
      </c>
      <c r="N123" s="17"/>
      <c r="O123" s="17"/>
      <c r="P123" s="17"/>
      <c r="Q123" s="17"/>
      <c r="R123" s="17"/>
      <c r="S123" s="17"/>
      <c r="T123" s="17"/>
    </row>
    <row r="124" ht="15.75" customHeight="1">
      <c r="A124" s="18">
        <v>123.0</v>
      </c>
      <c r="B124" s="12" t="s">
        <v>13</v>
      </c>
      <c r="C124" s="12" t="s">
        <v>27</v>
      </c>
      <c r="D124" s="19" t="s">
        <v>30</v>
      </c>
      <c r="E124" s="12" t="str">
        <f>IFERROR(__xludf.DUMMYFUNCTION("FILTER(colegios!$B$2:$B5618,colegios!$A$2:$A5618=L124)"),"601331")</f>
        <v>601331</v>
      </c>
      <c r="F124" s="14" t="s">
        <v>16</v>
      </c>
      <c r="G124" s="19" t="s">
        <v>21</v>
      </c>
      <c r="H124" s="12" t="s">
        <v>18</v>
      </c>
      <c r="I124" s="15">
        <v>2024.0</v>
      </c>
      <c r="J124" s="16" t="str">
        <f>IFERROR(__xludf.DUMMYFUNCTION("FILTER('CLASFICACIÓN'!$F$3:$F5618,'CLASFICACIÓN'!$G$3:$G5618=M124)"),"LOS 3 AÑOS")</f>
        <v>LOS 3 AÑOS</v>
      </c>
      <c r="K124" s="16"/>
      <c r="L124" s="12" t="s">
        <v>35</v>
      </c>
      <c r="M124" s="16" t="str">
        <f t="shared" si="1"/>
        <v>6013314 Secundaria</v>
      </c>
      <c r="N124" s="17"/>
      <c r="O124" s="17"/>
      <c r="P124" s="17"/>
      <c r="Q124" s="17"/>
      <c r="R124" s="17"/>
      <c r="S124" s="17"/>
      <c r="T124" s="17"/>
    </row>
    <row r="125" ht="15.75" customHeight="1">
      <c r="A125" s="18">
        <v>124.0</v>
      </c>
      <c r="B125" s="12" t="s">
        <v>13</v>
      </c>
      <c r="C125" s="12" t="s">
        <v>27</v>
      </c>
      <c r="D125" s="19" t="s">
        <v>30</v>
      </c>
      <c r="E125" s="12" t="str">
        <f>IFERROR(__xludf.DUMMYFUNCTION("FILTER(colegios!$B$2:$B5618,colegios!$A$2:$A5618=L125)"),"601331")</f>
        <v>601331</v>
      </c>
      <c r="F125" s="14" t="s">
        <v>16</v>
      </c>
      <c r="G125" s="19" t="s">
        <v>17</v>
      </c>
      <c r="H125" s="12" t="s">
        <v>18</v>
      </c>
      <c r="I125" s="15">
        <v>2024.0</v>
      </c>
      <c r="J125" s="16" t="str">
        <f>IFERROR(__xludf.DUMMYFUNCTION("FILTER('CLASFICACIÓN'!$F$3:$F5618,'CLASFICACIÓN'!$G$3:$G5618=M125)"),"LOS 3 AÑOS")</f>
        <v>LOS 3 AÑOS</v>
      </c>
      <c r="K125" s="16"/>
      <c r="L125" s="12" t="s">
        <v>35</v>
      </c>
      <c r="M125" s="16" t="str">
        <f t="shared" si="1"/>
        <v>6013314 Secundaria</v>
      </c>
      <c r="N125" s="17"/>
      <c r="O125" s="17"/>
      <c r="P125" s="17"/>
      <c r="Q125" s="17"/>
      <c r="R125" s="17"/>
      <c r="S125" s="17"/>
      <c r="T125" s="17"/>
    </row>
    <row r="126" ht="15.75" customHeight="1">
      <c r="A126" s="18">
        <v>125.0</v>
      </c>
      <c r="B126" s="12" t="s">
        <v>13</v>
      </c>
      <c r="C126" s="12" t="s">
        <v>27</v>
      </c>
      <c r="D126" s="19" t="s">
        <v>30</v>
      </c>
      <c r="E126" s="12" t="str">
        <f>IFERROR(__xludf.DUMMYFUNCTION("FILTER(colegios!$B$2:$B5618,colegios!$A$2:$A5618=L126)"),"601331")</f>
        <v>601331</v>
      </c>
      <c r="F126" s="14" t="s">
        <v>16</v>
      </c>
      <c r="G126" s="19" t="s">
        <v>17</v>
      </c>
      <c r="H126" s="12" t="s">
        <v>18</v>
      </c>
      <c r="I126" s="15">
        <v>2024.0</v>
      </c>
      <c r="J126" s="16" t="str">
        <f>IFERROR(__xludf.DUMMYFUNCTION("FILTER('CLASFICACIÓN'!$F$3:$F5618,'CLASFICACIÓN'!$G$3:$G5618=M126)"),"LOS 3 AÑOS")</f>
        <v>LOS 3 AÑOS</v>
      </c>
      <c r="K126" s="16"/>
      <c r="L126" s="12" t="s">
        <v>35</v>
      </c>
      <c r="M126" s="16" t="str">
        <f t="shared" si="1"/>
        <v>6013314 Secundaria</v>
      </c>
      <c r="N126" s="17"/>
      <c r="O126" s="17"/>
      <c r="P126" s="17"/>
      <c r="Q126" s="17"/>
      <c r="R126" s="17"/>
      <c r="S126" s="17"/>
      <c r="T126" s="17"/>
    </row>
    <row r="127" ht="15.75" customHeight="1">
      <c r="A127" s="18">
        <v>126.0</v>
      </c>
      <c r="B127" s="12" t="s">
        <v>13</v>
      </c>
      <c r="C127" s="12" t="s">
        <v>27</v>
      </c>
      <c r="D127" s="19" t="s">
        <v>30</v>
      </c>
      <c r="E127" s="12" t="str">
        <f>IFERROR(__xludf.DUMMYFUNCTION("FILTER(colegios!$B$2:$B5618,colegios!$A$2:$A5618=L127)"),"601331")</f>
        <v>601331</v>
      </c>
      <c r="F127" s="14" t="s">
        <v>16</v>
      </c>
      <c r="G127" s="19" t="s">
        <v>21</v>
      </c>
      <c r="H127" s="12" t="s">
        <v>18</v>
      </c>
      <c r="I127" s="15">
        <v>2024.0</v>
      </c>
      <c r="J127" s="16" t="str">
        <f>IFERROR(__xludf.DUMMYFUNCTION("FILTER('CLASFICACIÓN'!$F$3:$F5618,'CLASFICACIÓN'!$G$3:$G5618=M127)"),"LOS 3 AÑOS")</f>
        <v>LOS 3 AÑOS</v>
      </c>
      <c r="K127" s="16"/>
      <c r="L127" s="12" t="s">
        <v>35</v>
      </c>
      <c r="M127" s="16" t="str">
        <f t="shared" si="1"/>
        <v>6013314 Secundaria</v>
      </c>
      <c r="N127" s="17"/>
      <c r="O127" s="17"/>
      <c r="P127" s="17"/>
      <c r="Q127" s="17"/>
      <c r="R127" s="17"/>
      <c r="S127" s="17"/>
      <c r="T127" s="17"/>
    </row>
    <row r="128" ht="15.75" customHeight="1">
      <c r="A128" s="18">
        <v>127.0</v>
      </c>
      <c r="B128" s="12" t="s">
        <v>13</v>
      </c>
      <c r="C128" s="12" t="s">
        <v>27</v>
      </c>
      <c r="D128" s="19" t="s">
        <v>30</v>
      </c>
      <c r="E128" s="12" t="str">
        <f>IFERROR(__xludf.DUMMYFUNCTION("FILTER(colegios!$B$2:$B5618,colegios!$A$2:$A5618=L128)"),"601331")</f>
        <v>601331</v>
      </c>
      <c r="F128" s="14" t="s">
        <v>16</v>
      </c>
      <c r="G128" s="20" t="s">
        <v>17</v>
      </c>
      <c r="H128" s="12" t="s">
        <v>18</v>
      </c>
      <c r="I128" s="15">
        <v>2024.0</v>
      </c>
      <c r="J128" s="16" t="str">
        <f>IFERROR(__xludf.DUMMYFUNCTION("FILTER('CLASFICACIÓN'!$F$3:$F5618,'CLASFICACIÓN'!$G$3:$G5618=M128)"),"LOS 3 AÑOS")</f>
        <v>LOS 3 AÑOS</v>
      </c>
      <c r="K128" s="16"/>
      <c r="L128" s="12" t="s">
        <v>35</v>
      </c>
      <c r="M128" s="16" t="str">
        <f t="shared" si="1"/>
        <v>6013314 Secundaria</v>
      </c>
      <c r="N128" s="17"/>
      <c r="O128" s="17"/>
      <c r="P128" s="17"/>
      <c r="Q128" s="17"/>
      <c r="R128" s="17"/>
      <c r="S128" s="17"/>
      <c r="T128" s="17"/>
    </row>
    <row r="129" ht="15.75" customHeight="1">
      <c r="A129" s="18">
        <v>128.0</v>
      </c>
      <c r="B129" s="12" t="s">
        <v>13</v>
      </c>
      <c r="C129" s="12" t="s">
        <v>27</v>
      </c>
      <c r="D129" s="19" t="s">
        <v>30</v>
      </c>
      <c r="E129" s="12" t="str">
        <f>IFERROR(__xludf.DUMMYFUNCTION("FILTER(colegios!$B$2:$B5618,colegios!$A$2:$A5618=L129)"),"601331")</f>
        <v>601331</v>
      </c>
      <c r="F129" s="14" t="s">
        <v>16</v>
      </c>
      <c r="G129" s="19" t="s">
        <v>21</v>
      </c>
      <c r="H129" s="12" t="s">
        <v>18</v>
      </c>
      <c r="I129" s="15">
        <v>2024.0</v>
      </c>
      <c r="J129" s="16" t="str">
        <f>IFERROR(__xludf.DUMMYFUNCTION("FILTER('CLASFICACIÓN'!$F$3:$F5618,'CLASFICACIÓN'!$G$3:$G5618=M129)"),"LOS 3 AÑOS")</f>
        <v>LOS 3 AÑOS</v>
      </c>
      <c r="K129" s="16"/>
      <c r="L129" s="12" t="s">
        <v>35</v>
      </c>
      <c r="M129" s="16" t="str">
        <f t="shared" si="1"/>
        <v>6013314 Secundaria</v>
      </c>
      <c r="N129" s="17"/>
      <c r="O129" s="17"/>
      <c r="P129" s="17"/>
      <c r="Q129" s="17"/>
      <c r="R129" s="17"/>
      <c r="S129" s="17"/>
      <c r="T129" s="17"/>
    </row>
    <row r="130" ht="15.75" customHeight="1">
      <c r="A130" s="18">
        <v>129.0</v>
      </c>
      <c r="B130" s="12" t="s">
        <v>13</v>
      </c>
      <c r="C130" s="12" t="s">
        <v>14</v>
      </c>
      <c r="D130" s="19" t="s">
        <v>15</v>
      </c>
      <c r="E130" s="12" t="str">
        <f>IFERROR(__xludf.DUMMYFUNCTION("FILTER(colegios!$B$2:$B5618,colegios!$A$2:$A5618=L130)"),"601391")</f>
        <v>601391</v>
      </c>
      <c r="F130" s="14" t="s">
        <v>16</v>
      </c>
      <c r="G130" s="19" t="s">
        <v>17</v>
      </c>
      <c r="H130" s="12" t="s">
        <v>24</v>
      </c>
      <c r="I130" s="15">
        <v>2024.0</v>
      </c>
      <c r="J130" s="16" t="str">
        <f>IFERROR(__xludf.DUMMYFUNCTION("FILTER('CLASFICACIÓN'!$F$3:$F5618,'CLASFICACIÓN'!$G$3:$G5618=M130)"),"SOLO 2024")</f>
        <v>SOLO 2024</v>
      </c>
      <c r="K130" s="16"/>
      <c r="L130" s="12" t="s">
        <v>36</v>
      </c>
      <c r="M130" s="16" t="str">
        <f t="shared" si="1"/>
        <v>6013912 Primaria</v>
      </c>
      <c r="N130" s="17"/>
      <c r="O130" s="17"/>
      <c r="P130" s="17"/>
      <c r="Q130" s="17"/>
      <c r="R130" s="17"/>
      <c r="S130" s="17"/>
      <c r="T130" s="17"/>
    </row>
    <row r="131" ht="15.75" customHeight="1">
      <c r="A131" s="18">
        <v>130.0</v>
      </c>
      <c r="B131" s="12" t="s">
        <v>13</v>
      </c>
      <c r="C131" s="12" t="s">
        <v>14</v>
      </c>
      <c r="D131" s="19" t="s">
        <v>22</v>
      </c>
      <c r="E131" s="12" t="str">
        <f>IFERROR(__xludf.DUMMYFUNCTION("FILTER(colegios!$B$2:$B5618,colegios!$A$2:$A5618=L131)"),"601391")</f>
        <v>601391</v>
      </c>
      <c r="F131" s="14" t="s">
        <v>16</v>
      </c>
      <c r="G131" s="19" t="s">
        <v>21</v>
      </c>
      <c r="H131" s="12" t="s">
        <v>24</v>
      </c>
      <c r="I131" s="15">
        <v>2024.0</v>
      </c>
      <c r="J131" s="16" t="str">
        <f>IFERROR(__xludf.DUMMYFUNCTION("FILTER('CLASFICACIÓN'!$F$3:$F5618,'CLASFICACIÓN'!$G$3:$G5618=M131)"),"SOLO 2024")</f>
        <v>SOLO 2024</v>
      </c>
      <c r="K131" s="16"/>
      <c r="L131" s="12" t="s">
        <v>36</v>
      </c>
      <c r="M131" s="16" t="str">
        <f t="shared" si="1"/>
        <v>6013916 Primaria</v>
      </c>
      <c r="N131" s="17"/>
      <c r="O131" s="17"/>
      <c r="P131" s="17"/>
      <c r="Q131" s="17"/>
      <c r="R131" s="17"/>
      <c r="S131" s="17"/>
      <c r="T131" s="17"/>
    </row>
    <row r="132" ht="15.75" customHeight="1">
      <c r="A132" s="18">
        <v>131.0</v>
      </c>
      <c r="B132" s="12" t="s">
        <v>13</v>
      </c>
      <c r="C132" s="12" t="s">
        <v>14</v>
      </c>
      <c r="D132" s="19" t="s">
        <v>15</v>
      </c>
      <c r="E132" s="12" t="str">
        <f>IFERROR(__xludf.DUMMYFUNCTION("FILTER(colegios!$B$2:$B5618,colegios!$A$2:$A5618=L132)"),"601570")</f>
        <v>601570</v>
      </c>
      <c r="F132" s="14" t="s">
        <v>16</v>
      </c>
      <c r="G132" s="19" t="s">
        <v>17</v>
      </c>
      <c r="H132" s="12" t="s">
        <v>18</v>
      </c>
      <c r="I132" s="15">
        <v>2024.0</v>
      </c>
      <c r="J132" s="16" t="str">
        <f>IFERROR(__xludf.DUMMYFUNCTION("FILTER('CLASFICACIÓN'!$F$3:$F5618,'CLASFICACIÓN'!$G$3:$G5618=M132)"),"SOLO 2024")</f>
        <v>SOLO 2024</v>
      </c>
      <c r="K132" s="16"/>
      <c r="L132" s="12" t="s">
        <v>37</v>
      </c>
      <c r="M132" s="16" t="str">
        <f t="shared" si="1"/>
        <v>6015702 Primaria</v>
      </c>
      <c r="N132" s="17"/>
      <c r="O132" s="17"/>
      <c r="P132" s="17"/>
      <c r="Q132" s="17"/>
      <c r="R132" s="17"/>
      <c r="S132" s="17"/>
      <c r="T132" s="17"/>
    </row>
    <row r="133" ht="15.75" customHeight="1">
      <c r="A133" s="18">
        <v>132.0</v>
      </c>
      <c r="B133" s="12" t="s">
        <v>13</v>
      </c>
      <c r="C133" s="12" t="s">
        <v>14</v>
      </c>
      <c r="D133" s="19" t="s">
        <v>15</v>
      </c>
      <c r="E133" s="12" t="str">
        <f>IFERROR(__xludf.DUMMYFUNCTION("FILTER(colegios!$B$2:$B5618,colegios!$A$2:$A5618=L133)"),"601570")</f>
        <v>601570</v>
      </c>
      <c r="F133" s="14" t="s">
        <v>16</v>
      </c>
      <c r="G133" s="20" t="s">
        <v>21</v>
      </c>
      <c r="H133" s="12" t="s">
        <v>18</v>
      </c>
      <c r="I133" s="15">
        <v>2024.0</v>
      </c>
      <c r="J133" s="16" t="str">
        <f>IFERROR(__xludf.DUMMYFUNCTION("FILTER('CLASFICACIÓN'!$F$3:$F5618,'CLASFICACIÓN'!$G$3:$G5618=M133)"),"SOLO 2024")</f>
        <v>SOLO 2024</v>
      </c>
      <c r="K133" s="16"/>
      <c r="L133" s="12" t="s">
        <v>37</v>
      </c>
      <c r="M133" s="16" t="str">
        <f t="shared" si="1"/>
        <v>6015702 Primaria</v>
      </c>
      <c r="N133" s="17"/>
      <c r="O133" s="17"/>
      <c r="P133" s="17"/>
      <c r="Q133" s="17"/>
      <c r="R133" s="17"/>
      <c r="S133" s="17"/>
      <c r="T133" s="17"/>
    </row>
    <row r="134" ht="15.75" customHeight="1">
      <c r="A134" s="18">
        <v>133.0</v>
      </c>
      <c r="B134" s="12" t="s">
        <v>13</v>
      </c>
      <c r="C134" s="12" t="s">
        <v>14</v>
      </c>
      <c r="D134" s="19" t="s">
        <v>22</v>
      </c>
      <c r="E134" s="12" t="str">
        <f>IFERROR(__xludf.DUMMYFUNCTION("FILTER(colegios!$B$2:$B5618,colegios!$A$2:$A5618=L134)"),"601570")</f>
        <v>601570</v>
      </c>
      <c r="F134" s="14" t="s">
        <v>16</v>
      </c>
      <c r="G134" s="20" t="s">
        <v>21</v>
      </c>
      <c r="H134" s="12" t="s">
        <v>18</v>
      </c>
      <c r="I134" s="15">
        <v>2024.0</v>
      </c>
      <c r="J134" s="16" t="str">
        <f>IFERROR(__xludf.DUMMYFUNCTION("FILTER('CLASFICACIÓN'!$F$3:$F5618,'CLASFICACIÓN'!$G$3:$G5618=M134)"),"SOLO 2024")</f>
        <v>SOLO 2024</v>
      </c>
      <c r="K134" s="16"/>
      <c r="L134" s="12" t="s">
        <v>37</v>
      </c>
      <c r="M134" s="16" t="str">
        <f t="shared" si="1"/>
        <v>6015706 Primaria</v>
      </c>
      <c r="N134" s="17"/>
      <c r="O134" s="17"/>
      <c r="P134" s="17"/>
      <c r="Q134" s="17"/>
      <c r="R134" s="17"/>
      <c r="S134" s="17"/>
      <c r="T134" s="17"/>
    </row>
    <row r="135" ht="15.75" customHeight="1">
      <c r="A135" s="18">
        <v>134.0</v>
      </c>
      <c r="B135" s="12" t="s">
        <v>13</v>
      </c>
      <c r="C135" s="12" t="s">
        <v>14</v>
      </c>
      <c r="D135" s="19" t="s">
        <v>20</v>
      </c>
      <c r="E135" s="12" t="str">
        <f>IFERROR(__xludf.DUMMYFUNCTION("FILTER(colegios!$B$2:$B5618,colegios!$A$2:$A5618=L135)"),"601678")</f>
        <v>601678</v>
      </c>
      <c r="F135" s="14" t="s">
        <v>16</v>
      </c>
      <c r="G135" s="20" t="s">
        <v>17</v>
      </c>
      <c r="H135" s="12" t="s">
        <v>24</v>
      </c>
      <c r="I135" s="15">
        <v>2024.0</v>
      </c>
      <c r="J135" s="16" t="str">
        <f>IFERROR(__xludf.DUMMYFUNCTION("FILTER('CLASFICACIÓN'!$F$3:$F5618,'CLASFICACIÓN'!$G$3:$G5618=M135)"),"SOLO 2024")</f>
        <v>SOLO 2024</v>
      </c>
      <c r="K135" s="16"/>
      <c r="L135" s="12" t="s">
        <v>38</v>
      </c>
      <c r="M135" s="16" t="str">
        <f t="shared" si="1"/>
        <v>6016784 Primaria</v>
      </c>
      <c r="N135" s="17"/>
      <c r="O135" s="17"/>
      <c r="P135" s="17"/>
      <c r="Q135" s="17"/>
      <c r="R135" s="17"/>
      <c r="S135" s="17"/>
      <c r="T135" s="17"/>
    </row>
    <row r="136" ht="15.75" customHeight="1">
      <c r="A136" s="18">
        <v>135.0</v>
      </c>
      <c r="B136" s="12" t="s">
        <v>13</v>
      </c>
      <c r="C136" s="12" t="s">
        <v>14</v>
      </c>
      <c r="D136" s="19" t="s">
        <v>22</v>
      </c>
      <c r="E136" s="12" t="str">
        <f>IFERROR(__xludf.DUMMYFUNCTION("FILTER(colegios!$B$2:$B5618,colegios!$A$2:$A5618=L136)"),"601678")</f>
        <v>601678</v>
      </c>
      <c r="F136" s="14" t="s">
        <v>16</v>
      </c>
      <c r="G136" s="20" t="s">
        <v>21</v>
      </c>
      <c r="H136" s="12" t="s">
        <v>18</v>
      </c>
      <c r="I136" s="15">
        <v>2024.0</v>
      </c>
      <c r="J136" s="16" t="str">
        <f>IFERROR(__xludf.DUMMYFUNCTION("FILTER('CLASFICACIÓN'!$F$3:$F5618,'CLASFICACIÓN'!$G$3:$G5618=M136)"),"SOLO 2024")</f>
        <v>SOLO 2024</v>
      </c>
      <c r="K136" s="16"/>
      <c r="L136" s="12" t="s">
        <v>38</v>
      </c>
      <c r="M136" s="16" t="str">
        <f t="shared" si="1"/>
        <v>6016786 Primaria</v>
      </c>
      <c r="N136" s="17"/>
      <c r="O136" s="17"/>
      <c r="P136" s="17"/>
      <c r="Q136" s="17"/>
      <c r="R136" s="17"/>
      <c r="S136" s="17"/>
      <c r="T136" s="17"/>
    </row>
    <row r="137" ht="15.75" customHeight="1">
      <c r="A137" s="18">
        <v>136.0</v>
      </c>
      <c r="B137" s="12" t="s">
        <v>13</v>
      </c>
      <c r="C137" s="12" t="s">
        <v>14</v>
      </c>
      <c r="D137" s="19" t="s">
        <v>15</v>
      </c>
      <c r="E137" s="12" t="str">
        <f>IFERROR(__xludf.DUMMYFUNCTION("FILTER(colegios!$B$2:$B5618,colegios!$A$2:$A5618=L137)"),"6010230 BARBARA D'ACHILLE")</f>
        <v>6010230 BARBARA D'ACHILLE</v>
      </c>
      <c r="F137" s="14" t="s">
        <v>16</v>
      </c>
      <c r="G137" s="20" t="s">
        <v>21</v>
      </c>
      <c r="H137" s="12" t="s">
        <v>24</v>
      </c>
      <c r="I137" s="15">
        <v>2024.0</v>
      </c>
      <c r="J137" s="16" t="str">
        <f>IFERROR(__xludf.DUMMYFUNCTION("FILTER('CLASFICACIÓN'!$F$3:$F5618,'CLASFICACIÓN'!$G$3:$G5618=M137)"),"LOS 3 AÑOS")</f>
        <v>LOS 3 AÑOS</v>
      </c>
      <c r="K137" s="16"/>
      <c r="L137" s="12" t="s">
        <v>39</v>
      </c>
      <c r="M137" s="16" t="str">
        <f t="shared" si="1"/>
        <v>6010230 BARBARA D'ACHILLE2 Primaria</v>
      </c>
      <c r="N137" s="17"/>
      <c r="O137" s="17"/>
      <c r="P137" s="17"/>
      <c r="Q137" s="17"/>
      <c r="R137" s="17"/>
      <c r="S137" s="17"/>
      <c r="T137" s="17"/>
    </row>
    <row r="138" ht="15.75" customHeight="1">
      <c r="A138" s="18">
        <v>137.0</v>
      </c>
      <c r="B138" s="12" t="s">
        <v>13</v>
      </c>
      <c r="C138" s="12" t="s">
        <v>14</v>
      </c>
      <c r="D138" s="19" t="s">
        <v>15</v>
      </c>
      <c r="E138" s="12" t="str">
        <f>IFERROR(__xludf.DUMMYFUNCTION("FILTER(colegios!$B$2:$B5618,colegios!$A$2:$A5618=L138)"),"6010230 BARBARA D'ACHILLE")</f>
        <v>6010230 BARBARA D'ACHILLE</v>
      </c>
      <c r="F138" s="14" t="s">
        <v>16</v>
      </c>
      <c r="G138" s="20" t="s">
        <v>17</v>
      </c>
      <c r="H138" s="12" t="s">
        <v>24</v>
      </c>
      <c r="I138" s="15">
        <v>2024.0</v>
      </c>
      <c r="J138" s="16" t="str">
        <f>IFERROR(__xludf.DUMMYFUNCTION("FILTER('CLASFICACIÓN'!$F$3:$F5618,'CLASFICACIÓN'!$G$3:$G5618=M138)"),"LOS 3 AÑOS")</f>
        <v>LOS 3 AÑOS</v>
      </c>
      <c r="K138" s="16"/>
      <c r="L138" s="12" t="s">
        <v>39</v>
      </c>
      <c r="M138" s="16" t="str">
        <f t="shared" si="1"/>
        <v>6010230 BARBARA D'ACHILLE2 Primaria</v>
      </c>
      <c r="N138" s="17"/>
      <c r="O138" s="17"/>
      <c r="P138" s="17"/>
      <c r="Q138" s="17"/>
      <c r="R138" s="17"/>
      <c r="S138" s="17"/>
      <c r="T138" s="17"/>
    </row>
    <row r="139" ht="15.75" customHeight="1">
      <c r="A139" s="18">
        <v>138.0</v>
      </c>
      <c r="B139" s="12" t="s">
        <v>13</v>
      </c>
      <c r="C139" s="12" t="s">
        <v>14</v>
      </c>
      <c r="D139" s="19" t="s">
        <v>20</v>
      </c>
      <c r="E139" s="12" t="str">
        <f>IFERROR(__xludf.DUMMYFUNCTION("FILTER(colegios!$B$2:$B5618,colegios!$A$2:$A5618=L139)"),"6010230 BARBARA D'ACHILLE")</f>
        <v>6010230 BARBARA D'ACHILLE</v>
      </c>
      <c r="F139" s="14" t="s">
        <v>16</v>
      </c>
      <c r="G139" s="20" t="s">
        <v>21</v>
      </c>
      <c r="H139" s="12" t="s">
        <v>18</v>
      </c>
      <c r="I139" s="15">
        <v>2024.0</v>
      </c>
      <c r="J139" s="16" t="str">
        <f>IFERROR(__xludf.DUMMYFUNCTION("FILTER('CLASFICACIÓN'!$F$3:$F5618,'CLASFICACIÓN'!$G$3:$G5618=M139)"),"LOS 3 AÑOS")</f>
        <v>LOS 3 AÑOS</v>
      </c>
      <c r="K139" s="16"/>
      <c r="L139" s="12" t="s">
        <v>39</v>
      </c>
      <c r="M139" s="16" t="str">
        <f t="shared" si="1"/>
        <v>6010230 BARBARA D'ACHILLE4 Primaria</v>
      </c>
      <c r="N139" s="17"/>
      <c r="O139" s="17"/>
      <c r="P139" s="17"/>
      <c r="Q139" s="17"/>
      <c r="R139" s="17"/>
      <c r="S139" s="17"/>
      <c r="T139" s="17"/>
    </row>
    <row r="140" ht="15.75" customHeight="1">
      <c r="A140" s="18">
        <v>139.0</v>
      </c>
      <c r="B140" s="12" t="s">
        <v>13</v>
      </c>
      <c r="C140" s="12" t="s">
        <v>14</v>
      </c>
      <c r="D140" s="19" t="s">
        <v>20</v>
      </c>
      <c r="E140" s="12" t="str">
        <f>IFERROR(__xludf.DUMMYFUNCTION("FILTER(colegios!$B$2:$B5618,colegios!$A$2:$A5618=L140)"),"6010230 BARBARA D'ACHILLE")</f>
        <v>6010230 BARBARA D'ACHILLE</v>
      </c>
      <c r="F140" s="14" t="s">
        <v>16</v>
      </c>
      <c r="G140" s="20" t="s">
        <v>21</v>
      </c>
      <c r="H140" s="12" t="s">
        <v>24</v>
      </c>
      <c r="I140" s="15">
        <v>2024.0</v>
      </c>
      <c r="J140" s="16" t="str">
        <f>IFERROR(__xludf.DUMMYFUNCTION("FILTER('CLASFICACIÓN'!$F$3:$F5618,'CLASFICACIÓN'!$G$3:$G5618=M140)"),"LOS 3 AÑOS")</f>
        <v>LOS 3 AÑOS</v>
      </c>
      <c r="K140" s="16"/>
      <c r="L140" s="12" t="s">
        <v>39</v>
      </c>
      <c r="M140" s="16" t="str">
        <f t="shared" si="1"/>
        <v>6010230 BARBARA D'ACHILLE4 Primaria</v>
      </c>
      <c r="N140" s="17"/>
      <c r="O140" s="17"/>
      <c r="P140" s="17"/>
      <c r="Q140" s="17"/>
      <c r="R140" s="17"/>
      <c r="S140" s="17"/>
      <c r="T140" s="17"/>
    </row>
    <row r="141" ht="15.75" customHeight="1">
      <c r="A141" s="18">
        <v>140.0</v>
      </c>
      <c r="B141" s="12" t="s">
        <v>13</v>
      </c>
      <c r="C141" s="12" t="s">
        <v>14</v>
      </c>
      <c r="D141" s="19" t="s">
        <v>22</v>
      </c>
      <c r="E141" s="12" t="str">
        <f>IFERROR(__xludf.DUMMYFUNCTION("FILTER(colegios!$B$2:$B5618,colegios!$A$2:$A5618=L141)"),"6010230 BARBARA D'ACHILLE")</f>
        <v>6010230 BARBARA D'ACHILLE</v>
      </c>
      <c r="F141" s="14" t="s">
        <v>16</v>
      </c>
      <c r="G141" s="19" t="s">
        <v>17</v>
      </c>
      <c r="H141" s="12" t="s">
        <v>24</v>
      </c>
      <c r="I141" s="15">
        <v>2024.0</v>
      </c>
      <c r="J141" s="16" t="str">
        <f>IFERROR(__xludf.DUMMYFUNCTION("FILTER('CLASFICACIÓN'!$F$3:$F5618,'CLASFICACIÓN'!$G$3:$G5618=M141)"),"LOS 3 AÑOS")</f>
        <v>LOS 3 AÑOS</v>
      </c>
      <c r="K141" s="16"/>
      <c r="L141" s="12" t="s">
        <v>39</v>
      </c>
      <c r="M141" s="16" t="str">
        <f t="shared" si="1"/>
        <v>6010230 BARBARA D'ACHILLE6 Primaria</v>
      </c>
      <c r="N141" s="17"/>
      <c r="O141" s="17"/>
      <c r="P141" s="17"/>
      <c r="Q141" s="17"/>
      <c r="R141" s="17"/>
      <c r="S141" s="17"/>
      <c r="T141" s="17"/>
    </row>
    <row r="142" ht="15.75" customHeight="1">
      <c r="A142" s="18">
        <v>141.0</v>
      </c>
      <c r="B142" s="12" t="s">
        <v>13</v>
      </c>
      <c r="C142" s="12" t="s">
        <v>14</v>
      </c>
      <c r="D142" s="19" t="s">
        <v>22</v>
      </c>
      <c r="E142" s="12" t="str">
        <f>IFERROR(__xludf.DUMMYFUNCTION("FILTER(colegios!$B$2:$B5618,colegios!$A$2:$A5618=L142)"),"6010230 BARBARA D'ACHILLE")</f>
        <v>6010230 BARBARA D'ACHILLE</v>
      </c>
      <c r="F142" s="14" t="s">
        <v>16</v>
      </c>
      <c r="G142" s="19" t="s">
        <v>21</v>
      </c>
      <c r="H142" s="12" t="s">
        <v>24</v>
      </c>
      <c r="I142" s="15">
        <v>2024.0</v>
      </c>
      <c r="J142" s="16" t="str">
        <f>IFERROR(__xludf.DUMMYFUNCTION("FILTER('CLASFICACIÓN'!$F$3:$F5618,'CLASFICACIÓN'!$G$3:$G5618=M142)"),"LOS 3 AÑOS")</f>
        <v>LOS 3 AÑOS</v>
      </c>
      <c r="K142" s="16"/>
      <c r="L142" s="12" t="s">
        <v>39</v>
      </c>
      <c r="M142" s="16" t="str">
        <f t="shared" si="1"/>
        <v>6010230 BARBARA D'ACHILLE6 Primaria</v>
      </c>
      <c r="N142" s="17"/>
      <c r="O142" s="17"/>
      <c r="P142" s="17"/>
      <c r="Q142" s="17"/>
      <c r="R142" s="17"/>
      <c r="S142" s="17"/>
      <c r="T142" s="17"/>
    </row>
    <row r="143" ht="15.75" customHeight="1">
      <c r="A143" s="18">
        <v>142.0</v>
      </c>
      <c r="B143" s="12" t="s">
        <v>13</v>
      </c>
      <c r="C143" s="12" t="s">
        <v>14</v>
      </c>
      <c r="D143" s="19" t="s">
        <v>22</v>
      </c>
      <c r="E143" s="12" t="str">
        <f>IFERROR(__xludf.DUMMYFUNCTION("FILTER(colegios!$B$2:$B5618,colegios!$A$2:$A5618=L143)"),"6010230 BARBARA D'ACHILLE")</f>
        <v>6010230 BARBARA D'ACHILLE</v>
      </c>
      <c r="F143" s="14" t="s">
        <v>16</v>
      </c>
      <c r="G143" s="19" t="s">
        <v>21</v>
      </c>
      <c r="H143" s="12" t="s">
        <v>18</v>
      </c>
      <c r="I143" s="15">
        <v>2024.0</v>
      </c>
      <c r="J143" s="16" t="str">
        <f>IFERROR(__xludf.DUMMYFUNCTION("FILTER('CLASFICACIÓN'!$F$3:$F5618,'CLASFICACIÓN'!$G$3:$G5618=M143)"),"LOS 3 AÑOS")</f>
        <v>LOS 3 AÑOS</v>
      </c>
      <c r="K143" s="16"/>
      <c r="L143" s="12" t="s">
        <v>39</v>
      </c>
      <c r="M143" s="16" t="str">
        <f t="shared" si="1"/>
        <v>6010230 BARBARA D'ACHILLE6 Primaria</v>
      </c>
      <c r="N143" s="17"/>
      <c r="O143" s="17"/>
      <c r="P143" s="17"/>
      <c r="Q143" s="17"/>
      <c r="R143" s="17"/>
      <c r="S143" s="17"/>
      <c r="T143" s="17"/>
    </row>
    <row r="144" ht="15.75" customHeight="1">
      <c r="A144" s="18">
        <v>143.0</v>
      </c>
      <c r="B144" s="12" t="s">
        <v>13</v>
      </c>
      <c r="C144" s="12" t="s">
        <v>14</v>
      </c>
      <c r="D144" s="19" t="s">
        <v>22</v>
      </c>
      <c r="E144" s="12" t="str">
        <f>IFERROR(__xludf.DUMMYFUNCTION("FILTER(colegios!$B$2:$B5618,colegios!$A$2:$A5618=L144)"),"6010230 BARBARA D'ACHILLE")</f>
        <v>6010230 BARBARA D'ACHILLE</v>
      </c>
      <c r="F144" s="14" t="s">
        <v>16</v>
      </c>
      <c r="G144" s="19" t="s">
        <v>21</v>
      </c>
      <c r="H144" s="12" t="s">
        <v>18</v>
      </c>
      <c r="I144" s="15">
        <v>2024.0</v>
      </c>
      <c r="J144" s="16" t="str">
        <f>IFERROR(__xludf.DUMMYFUNCTION("FILTER('CLASFICACIÓN'!$F$3:$F5618,'CLASFICACIÓN'!$G$3:$G5618=M144)"),"LOS 3 AÑOS")</f>
        <v>LOS 3 AÑOS</v>
      </c>
      <c r="K144" s="16"/>
      <c r="L144" s="12" t="s">
        <v>39</v>
      </c>
      <c r="M144" s="16" t="str">
        <f t="shared" si="1"/>
        <v>6010230 BARBARA D'ACHILLE6 Primaria</v>
      </c>
      <c r="N144" s="17"/>
      <c r="O144" s="17"/>
      <c r="P144" s="17"/>
      <c r="Q144" s="17"/>
      <c r="R144" s="17"/>
      <c r="S144" s="17"/>
      <c r="T144" s="17"/>
    </row>
    <row r="145" ht="15.75" customHeight="1">
      <c r="A145" s="18">
        <v>144.0</v>
      </c>
      <c r="B145" s="12" t="s">
        <v>13</v>
      </c>
      <c r="C145" s="12" t="s">
        <v>27</v>
      </c>
      <c r="D145" s="19" t="s">
        <v>28</v>
      </c>
      <c r="E145" s="12" t="str">
        <f>IFERROR(__xludf.DUMMYFUNCTION("FILTER(colegios!$B$2:$B5618,colegios!$A$2:$A5618=L145)"),"6010230 BARBARA D'ACHILLE")</f>
        <v>6010230 BARBARA D'ACHILLE</v>
      </c>
      <c r="F145" s="14" t="s">
        <v>16</v>
      </c>
      <c r="G145" s="19" t="s">
        <v>21</v>
      </c>
      <c r="H145" s="12" t="s">
        <v>18</v>
      </c>
      <c r="I145" s="15">
        <v>2024.0</v>
      </c>
      <c r="J145" s="16" t="str">
        <f>IFERROR(__xludf.DUMMYFUNCTION("FILTER('CLASFICACIÓN'!$F$3:$F5618,'CLASFICACIÓN'!$G$3:$G5618=M145)"),"LOS 3 AÑOS")</f>
        <v>LOS 3 AÑOS</v>
      </c>
      <c r="K145" s="16"/>
      <c r="L145" s="12" t="s">
        <v>39</v>
      </c>
      <c r="M145" s="16" t="str">
        <f t="shared" si="1"/>
        <v>6010230 BARBARA D'ACHILLE2 Secundaria</v>
      </c>
      <c r="N145" s="17"/>
      <c r="O145" s="17"/>
      <c r="P145" s="17"/>
      <c r="Q145" s="17"/>
      <c r="R145" s="17"/>
      <c r="S145" s="17"/>
      <c r="T145" s="17"/>
    </row>
    <row r="146" ht="15.75" customHeight="1">
      <c r="A146" s="18">
        <v>145.0</v>
      </c>
      <c r="B146" s="12" t="s">
        <v>13</v>
      </c>
      <c r="C146" s="12" t="s">
        <v>27</v>
      </c>
      <c r="D146" s="19" t="s">
        <v>28</v>
      </c>
      <c r="E146" s="12" t="str">
        <f>IFERROR(__xludf.DUMMYFUNCTION("FILTER(colegios!$B$2:$B5618,colegios!$A$2:$A5618=L146)"),"6010230 BARBARA D'ACHILLE")</f>
        <v>6010230 BARBARA D'ACHILLE</v>
      </c>
      <c r="F146" s="14" t="s">
        <v>16</v>
      </c>
      <c r="G146" s="19" t="s">
        <v>17</v>
      </c>
      <c r="H146" s="12" t="s">
        <v>18</v>
      </c>
      <c r="I146" s="15">
        <v>2024.0</v>
      </c>
      <c r="J146" s="16" t="str">
        <f>IFERROR(__xludf.DUMMYFUNCTION("FILTER('CLASFICACIÓN'!$F$3:$F5618,'CLASFICACIÓN'!$G$3:$G5618=M146)"),"LOS 3 AÑOS")</f>
        <v>LOS 3 AÑOS</v>
      </c>
      <c r="K146" s="16"/>
      <c r="L146" s="12" t="s">
        <v>39</v>
      </c>
      <c r="M146" s="16" t="str">
        <f t="shared" si="1"/>
        <v>6010230 BARBARA D'ACHILLE2 Secundaria</v>
      </c>
      <c r="N146" s="17"/>
      <c r="O146" s="17"/>
      <c r="P146" s="17"/>
      <c r="Q146" s="17"/>
      <c r="R146" s="17"/>
      <c r="S146" s="17"/>
      <c r="T146" s="17"/>
    </row>
    <row r="147" ht="15.75" customHeight="1">
      <c r="A147" s="18">
        <v>146.0</v>
      </c>
      <c r="B147" s="12" t="s">
        <v>13</v>
      </c>
      <c r="C147" s="12" t="s">
        <v>27</v>
      </c>
      <c r="D147" s="19" t="s">
        <v>28</v>
      </c>
      <c r="E147" s="12" t="str">
        <f>IFERROR(__xludf.DUMMYFUNCTION("FILTER(colegios!$B$2:$B5618,colegios!$A$2:$A5618=L147)"),"6010230 BARBARA D'ACHILLE")</f>
        <v>6010230 BARBARA D'ACHILLE</v>
      </c>
      <c r="F147" s="14" t="s">
        <v>16</v>
      </c>
      <c r="G147" s="19" t="s">
        <v>21</v>
      </c>
      <c r="H147" s="12" t="s">
        <v>18</v>
      </c>
      <c r="I147" s="15">
        <v>2024.0</v>
      </c>
      <c r="J147" s="16" t="str">
        <f>IFERROR(__xludf.DUMMYFUNCTION("FILTER('CLASFICACIÓN'!$F$3:$F5618,'CLASFICACIÓN'!$G$3:$G5618=M147)"),"LOS 3 AÑOS")</f>
        <v>LOS 3 AÑOS</v>
      </c>
      <c r="K147" s="16"/>
      <c r="L147" s="12" t="s">
        <v>39</v>
      </c>
      <c r="M147" s="16" t="str">
        <f t="shared" si="1"/>
        <v>6010230 BARBARA D'ACHILLE2 Secundaria</v>
      </c>
      <c r="N147" s="17"/>
      <c r="O147" s="17"/>
      <c r="P147" s="17"/>
      <c r="Q147" s="17"/>
      <c r="R147" s="17"/>
      <c r="S147" s="17"/>
      <c r="T147" s="17"/>
    </row>
    <row r="148" ht="15.75" customHeight="1">
      <c r="A148" s="18">
        <v>147.0</v>
      </c>
      <c r="B148" s="12" t="s">
        <v>13</v>
      </c>
      <c r="C148" s="12" t="s">
        <v>27</v>
      </c>
      <c r="D148" s="19" t="s">
        <v>28</v>
      </c>
      <c r="E148" s="12" t="str">
        <f>IFERROR(__xludf.DUMMYFUNCTION("FILTER(colegios!$B$2:$B5618,colegios!$A$2:$A5618=L148)"),"6010230 BARBARA D'ACHILLE")</f>
        <v>6010230 BARBARA D'ACHILLE</v>
      </c>
      <c r="F148" s="14" t="s">
        <v>16</v>
      </c>
      <c r="G148" s="20" t="s">
        <v>17</v>
      </c>
      <c r="H148" s="12" t="s">
        <v>18</v>
      </c>
      <c r="I148" s="15">
        <v>2024.0</v>
      </c>
      <c r="J148" s="16" t="str">
        <f>IFERROR(__xludf.DUMMYFUNCTION("FILTER('CLASFICACIÓN'!$F$3:$F5618,'CLASFICACIÓN'!$G$3:$G5618=M148)"),"LOS 3 AÑOS")</f>
        <v>LOS 3 AÑOS</v>
      </c>
      <c r="K148" s="16"/>
      <c r="L148" s="12" t="s">
        <v>39</v>
      </c>
      <c r="M148" s="16" t="str">
        <f t="shared" si="1"/>
        <v>6010230 BARBARA D'ACHILLE2 Secundaria</v>
      </c>
      <c r="N148" s="17"/>
      <c r="O148" s="17"/>
      <c r="P148" s="17"/>
      <c r="Q148" s="17"/>
      <c r="R148" s="17"/>
      <c r="S148" s="17"/>
      <c r="T148" s="17"/>
    </row>
    <row r="149" ht="15.75" customHeight="1">
      <c r="A149" s="18">
        <v>148.0</v>
      </c>
      <c r="B149" s="12" t="s">
        <v>13</v>
      </c>
      <c r="C149" s="12" t="s">
        <v>27</v>
      </c>
      <c r="D149" s="19" t="s">
        <v>28</v>
      </c>
      <c r="E149" s="12" t="str">
        <f>IFERROR(__xludf.DUMMYFUNCTION("FILTER(colegios!$B$2:$B5618,colegios!$A$2:$A5618=L149)"),"6010230 BARBARA D'ACHILLE")</f>
        <v>6010230 BARBARA D'ACHILLE</v>
      </c>
      <c r="F149" s="14" t="s">
        <v>16</v>
      </c>
      <c r="G149" s="20" t="s">
        <v>21</v>
      </c>
      <c r="H149" s="12" t="s">
        <v>18</v>
      </c>
      <c r="I149" s="15">
        <v>2024.0</v>
      </c>
      <c r="J149" s="16" t="str">
        <f>IFERROR(__xludf.DUMMYFUNCTION("FILTER('CLASFICACIÓN'!$F$3:$F5618,'CLASFICACIÓN'!$G$3:$G5618=M149)"),"LOS 3 AÑOS")</f>
        <v>LOS 3 AÑOS</v>
      </c>
      <c r="K149" s="16"/>
      <c r="L149" s="12" t="s">
        <v>39</v>
      </c>
      <c r="M149" s="16" t="str">
        <f t="shared" si="1"/>
        <v>6010230 BARBARA D'ACHILLE2 Secundaria</v>
      </c>
      <c r="N149" s="17"/>
      <c r="O149" s="17"/>
      <c r="P149" s="17"/>
      <c r="Q149" s="17"/>
      <c r="R149" s="17"/>
      <c r="S149" s="17"/>
      <c r="T149" s="17"/>
    </row>
    <row r="150" ht="15.75" customHeight="1">
      <c r="A150" s="18">
        <v>149.0</v>
      </c>
      <c r="B150" s="12" t="s">
        <v>13</v>
      </c>
      <c r="C150" s="12" t="s">
        <v>27</v>
      </c>
      <c r="D150" s="19" t="s">
        <v>28</v>
      </c>
      <c r="E150" s="12" t="str">
        <f>IFERROR(__xludf.DUMMYFUNCTION("FILTER(colegios!$B$2:$B5618,colegios!$A$2:$A5618=L150)"),"6010230 BARBARA D'ACHILLE")</f>
        <v>6010230 BARBARA D'ACHILLE</v>
      </c>
      <c r="F150" s="14" t="s">
        <v>16</v>
      </c>
      <c r="G150" s="20" t="s">
        <v>21</v>
      </c>
      <c r="H150" s="12" t="s">
        <v>18</v>
      </c>
      <c r="I150" s="15">
        <v>2024.0</v>
      </c>
      <c r="J150" s="16" t="str">
        <f>IFERROR(__xludf.DUMMYFUNCTION("FILTER('CLASFICACIÓN'!$F$3:$F5618,'CLASFICACIÓN'!$G$3:$G5618=M150)"),"LOS 3 AÑOS")</f>
        <v>LOS 3 AÑOS</v>
      </c>
      <c r="K150" s="16"/>
      <c r="L150" s="12" t="s">
        <v>39</v>
      </c>
      <c r="M150" s="16" t="str">
        <f t="shared" si="1"/>
        <v>6010230 BARBARA D'ACHILLE2 Secundaria</v>
      </c>
      <c r="N150" s="17"/>
      <c r="O150" s="17"/>
      <c r="P150" s="17"/>
      <c r="Q150" s="17"/>
      <c r="R150" s="17"/>
      <c r="S150" s="17"/>
      <c r="T150" s="17"/>
    </row>
    <row r="151" ht="15.75" customHeight="1">
      <c r="A151" s="18">
        <v>150.0</v>
      </c>
      <c r="B151" s="12" t="s">
        <v>13</v>
      </c>
      <c r="C151" s="12" t="s">
        <v>27</v>
      </c>
      <c r="D151" s="19" t="s">
        <v>28</v>
      </c>
      <c r="E151" s="12" t="str">
        <f>IFERROR(__xludf.DUMMYFUNCTION("FILTER(colegios!$B$2:$B5618,colegios!$A$2:$A5618=L151)"),"6010230 BARBARA D'ACHILLE")</f>
        <v>6010230 BARBARA D'ACHILLE</v>
      </c>
      <c r="F151" s="14" t="s">
        <v>16</v>
      </c>
      <c r="G151" s="20" t="s">
        <v>21</v>
      </c>
      <c r="H151" s="12" t="s">
        <v>18</v>
      </c>
      <c r="I151" s="15">
        <v>2024.0</v>
      </c>
      <c r="J151" s="16" t="str">
        <f>IFERROR(__xludf.DUMMYFUNCTION("FILTER('CLASFICACIÓN'!$F$3:$F5618,'CLASFICACIÓN'!$G$3:$G5618=M151)"),"LOS 3 AÑOS")</f>
        <v>LOS 3 AÑOS</v>
      </c>
      <c r="K151" s="16"/>
      <c r="L151" s="12" t="s">
        <v>39</v>
      </c>
      <c r="M151" s="16" t="str">
        <f t="shared" si="1"/>
        <v>6010230 BARBARA D'ACHILLE2 Secundaria</v>
      </c>
      <c r="N151" s="17"/>
      <c r="O151" s="17"/>
      <c r="P151" s="17"/>
      <c r="Q151" s="17"/>
      <c r="R151" s="17"/>
      <c r="S151" s="17"/>
      <c r="T151" s="17"/>
    </row>
    <row r="152" ht="15.75" customHeight="1">
      <c r="A152" s="18">
        <v>151.0</v>
      </c>
      <c r="B152" s="12" t="s">
        <v>13</v>
      </c>
      <c r="C152" s="12" t="s">
        <v>27</v>
      </c>
      <c r="D152" s="19" t="s">
        <v>28</v>
      </c>
      <c r="E152" s="12" t="str">
        <f>IFERROR(__xludf.DUMMYFUNCTION("FILTER(colegios!$B$2:$B5618,colegios!$A$2:$A5618=L152)"),"6010230 BARBARA D'ACHILLE")</f>
        <v>6010230 BARBARA D'ACHILLE</v>
      </c>
      <c r="F152" s="14" t="s">
        <v>16</v>
      </c>
      <c r="G152" s="20" t="s">
        <v>21</v>
      </c>
      <c r="H152" s="12" t="s">
        <v>18</v>
      </c>
      <c r="I152" s="15">
        <v>2024.0</v>
      </c>
      <c r="J152" s="16" t="str">
        <f>IFERROR(__xludf.DUMMYFUNCTION("FILTER('CLASFICACIÓN'!$F$3:$F5618,'CLASFICACIÓN'!$G$3:$G5618=M152)"),"LOS 3 AÑOS")</f>
        <v>LOS 3 AÑOS</v>
      </c>
      <c r="K152" s="16"/>
      <c r="L152" s="12" t="s">
        <v>39</v>
      </c>
      <c r="M152" s="16" t="str">
        <f t="shared" si="1"/>
        <v>6010230 BARBARA D'ACHILLE2 Secundaria</v>
      </c>
      <c r="N152" s="17"/>
      <c r="O152" s="17"/>
      <c r="P152" s="17"/>
      <c r="Q152" s="17"/>
      <c r="R152" s="17"/>
      <c r="S152" s="17"/>
      <c r="T152" s="17"/>
    </row>
    <row r="153" ht="15.75" customHeight="1">
      <c r="A153" s="18">
        <v>152.0</v>
      </c>
      <c r="B153" s="12" t="s">
        <v>13</v>
      </c>
      <c r="C153" s="12" t="s">
        <v>27</v>
      </c>
      <c r="D153" s="19" t="s">
        <v>30</v>
      </c>
      <c r="E153" s="12" t="str">
        <f>IFERROR(__xludf.DUMMYFUNCTION("FILTER(colegios!$B$2:$B5618,colegios!$A$2:$A5618=L153)"),"6010230 BARBARA D'ACHILLE")</f>
        <v>6010230 BARBARA D'ACHILLE</v>
      </c>
      <c r="F153" s="14" t="s">
        <v>16</v>
      </c>
      <c r="G153" s="19" t="s">
        <v>17</v>
      </c>
      <c r="H153" s="12" t="s">
        <v>18</v>
      </c>
      <c r="I153" s="15">
        <v>2024.0</v>
      </c>
      <c r="J153" s="16" t="str">
        <f>IFERROR(__xludf.DUMMYFUNCTION("FILTER('CLASFICACIÓN'!$F$3:$F5618,'CLASFICACIÓN'!$G$3:$G5618=M153)"),"LOS 3 AÑOS")</f>
        <v>LOS 3 AÑOS</v>
      </c>
      <c r="K153" s="16"/>
      <c r="L153" s="12" t="s">
        <v>39</v>
      </c>
      <c r="M153" s="16" t="str">
        <f t="shared" si="1"/>
        <v>6010230 BARBARA D'ACHILLE4 Secundaria</v>
      </c>
      <c r="N153" s="17"/>
      <c r="O153" s="17"/>
      <c r="P153" s="17"/>
      <c r="Q153" s="17"/>
      <c r="R153" s="17"/>
      <c r="S153" s="17"/>
      <c r="T153" s="17"/>
    </row>
    <row r="154" ht="15.75" customHeight="1">
      <c r="A154" s="18">
        <v>153.0</v>
      </c>
      <c r="B154" s="12" t="s">
        <v>13</v>
      </c>
      <c r="C154" s="12" t="s">
        <v>27</v>
      </c>
      <c r="D154" s="19" t="s">
        <v>30</v>
      </c>
      <c r="E154" s="12" t="str">
        <f>IFERROR(__xludf.DUMMYFUNCTION("FILTER(colegios!$B$2:$B5618,colegios!$A$2:$A5618=L154)"),"6010230 BARBARA D'ACHILLE")</f>
        <v>6010230 BARBARA D'ACHILLE</v>
      </c>
      <c r="F154" s="14" t="s">
        <v>16</v>
      </c>
      <c r="G154" s="20" t="s">
        <v>21</v>
      </c>
      <c r="H154" s="12" t="s">
        <v>18</v>
      </c>
      <c r="I154" s="15">
        <v>2024.0</v>
      </c>
      <c r="J154" s="16" t="str">
        <f>IFERROR(__xludf.DUMMYFUNCTION("FILTER('CLASFICACIÓN'!$F$3:$F5618,'CLASFICACIÓN'!$G$3:$G5618=M154)"),"LOS 3 AÑOS")</f>
        <v>LOS 3 AÑOS</v>
      </c>
      <c r="K154" s="16"/>
      <c r="L154" s="12" t="s">
        <v>39</v>
      </c>
      <c r="M154" s="16" t="str">
        <f t="shared" si="1"/>
        <v>6010230 BARBARA D'ACHILLE4 Secundaria</v>
      </c>
      <c r="N154" s="17"/>
      <c r="O154" s="17"/>
      <c r="P154" s="17"/>
      <c r="Q154" s="17"/>
      <c r="R154" s="17"/>
      <c r="S154" s="17"/>
      <c r="T154" s="17"/>
    </row>
    <row r="155" ht="15.75" customHeight="1">
      <c r="A155" s="18">
        <v>154.0</v>
      </c>
      <c r="B155" s="12" t="s">
        <v>13</v>
      </c>
      <c r="C155" s="12" t="s">
        <v>27</v>
      </c>
      <c r="D155" s="19" t="s">
        <v>30</v>
      </c>
      <c r="E155" s="12" t="str">
        <f>IFERROR(__xludf.DUMMYFUNCTION("FILTER(colegios!$B$2:$B5618,colegios!$A$2:$A5618=L155)"),"6010230 BARBARA D'ACHILLE")</f>
        <v>6010230 BARBARA D'ACHILLE</v>
      </c>
      <c r="F155" s="14" t="s">
        <v>16</v>
      </c>
      <c r="G155" s="19" t="s">
        <v>17</v>
      </c>
      <c r="H155" s="12" t="s">
        <v>18</v>
      </c>
      <c r="I155" s="15">
        <v>2024.0</v>
      </c>
      <c r="J155" s="16" t="str">
        <f>IFERROR(__xludf.DUMMYFUNCTION("FILTER('CLASFICACIÓN'!$F$3:$F5618,'CLASFICACIÓN'!$G$3:$G5618=M155)"),"LOS 3 AÑOS")</f>
        <v>LOS 3 AÑOS</v>
      </c>
      <c r="K155" s="16"/>
      <c r="L155" s="12" t="s">
        <v>39</v>
      </c>
      <c r="M155" s="16" t="str">
        <f t="shared" si="1"/>
        <v>6010230 BARBARA D'ACHILLE4 Secundaria</v>
      </c>
      <c r="N155" s="17"/>
      <c r="O155" s="17"/>
      <c r="P155" s="17"/>
      <c r="Q155" s="17"/>
      <c r="R155" s="17"/>
      <c r="S155" s="17"/>
      <c r="T155" s="17"/>
    </row>
    <row r="156" ht="15.75" customHeight="1">
      <c r="A156" s="18">
        <v>155.0</v>
      </c>
      <c r="B156" s="12" t="s">
        <v>13</v>
      </c>
      <c r="C156" s="12" t="s">
        <v>14</v>
      </c>
      <c r="D156" s="19" t="s">
        <v>15</v>
      </c>
      <c r="E156" s="12" t="str">
        <f>IFERROR(__xludf.DUMMYFUNCTION("FILTER(colegios!$B$2:$B5618,colegios!$A$2:$A5618=L156)"),"60181")</f>
        <v>60181</v>
      </c>
      <c r="F156" s="14" t="s">
        <v>16</v>
      </c>
      <c r="G156" s="19" t="s">
        <v>21</v>
      </c>
      <c r="H156" s="14" t="s">
        <v>32</v>
      </c>
      <c r="I156" s="15">
        <v>2024.0</v>
      </c>
      <c r="J156" s="16" t="str">
        <f>IFERROR(__xludf.DUMMYFUNCTION("FILTER('CLASFICACIÓN'!$F$3:$F5618,'CLASFICACIÓN'!$G$3:$G5618=M156)"),"SOLO 2024")</f>
        <v>SOLO 2024</v>
      </c>
      <c r="K156" s="16"/>
      <c r="L156" s="12" t="s">
        <v>40</v>
      </c>
      <c r="M156" s="16" t="str">
        <f t="shared" si="1"/>
        <v>601812 Primaria</v>
      </c>
      <c r="N156" s="17"/>
      <c r="O156" s="17"/>
      <c r="P156" s="17"/>
      <c r="Q156" s="17"/>
      <c r="R156" s="17"/>
      <c r="S156" s="17"/>
      <c r="T156" s="17"/>
    </row>
    <row r="157" ht="15.75" customHeight="1">
      <c r="A157" s="18">
        <v>156.0</v>
      </c>
      <c r="B157" s="12" t="s">
        <v>13</v>
      </c>
      <c r="C157" s="12" t="s">
        <v>14</v>
      </c>
      <c r="D157" s="19" t="s">
        <v>15</v>
      </c>
      <c r="E157" s="12" t="str">
        <f>IFERROR(__xludf.DUMMYFUNCTION("FILTER(colegios!$B$2:$B5618,colegios!$A$2:$A5618=L157)"),"6010231")</f>
        <v>6010231</v>
      </c>
      <c r="F157" s="14" t="s">
        <v>16</v>
      </c>
      <c r="G157" s="20" t="s">
        <v>21</v>
      </c>
      <c r="H157" s="12" t="s">
        <v>24</v>
      </c>
      <c r="I157" s="15">
        <v>2024.0</v>
      </c>
      <c r="J157" s="16" t="str">
        <f>IFERROR(__xludf.DUMMYFUNCTION("FILTER('CLASFICACIÓN'!$F$3:$F5618,'CLASFICACIÓN'!$G$3:$G5618=M157)"),"SOLO 2024")</f>
        <v>SOLO 2024</v>
      </c>
      <c r="K157" s="16"/>
      <c r="L157" s="12" t="s">
        <v>41</v>
      </c>
      <c r="M157" s="16" t="str">
        <f t="shared" si="1"/>
        <v>60102312 Primaria</v>
      </c>
      <c r="N157" s="17"/>
      <c r="O157" s="17"/>
      <c r="P157" s="17"/>
      <c r="Q157" s="17"/>
      <c r="R157" s="17"/>
      <c r="S157" s="17"/>
      <c r="T157" s="17"/>
    </row>
    <row r="158" ht="15.75" customHeight="1">
      <c r="A158" s="18">
        <v>157.0</v>
      </c>
      <c r="B158" s="12" t="s">
        <v>13</v>
      </c>
      <c r="C158" s="12" t="s">
        <v>14</v>
      </c>
      <c r="D158" s="19" t="s">
        <v>15</v>
      </c>
      <c r="E158" s="12" t="str">
        <f>IFERROR(__xludf.DUMMYFUNCTION("FILTER(colegios!$B$2:$B5618,colegios!$A$2:$A5618=L158)"),"6010231")</f>
        <v>6010231</v>
      </c>
      <c r="F158" s="14" t="s">
        <v>16</v>
      </c>
      <c r="G158" s="20" t="s">
        <v>17</v>
      </c>
      <c r="H158" s="12" t="s">
        <v>24</v>
      </c>
      <c r="I158" s="15">
        <v>2024.0</v>
      </c>
      <c r="J158" s="16" t="str">
        <f>IFERROR(__xludf.DUMMYFUNCTION("FILTER('CLASFICACIÓN'!$F$3:$F5618,'CLASFICACIÓN'!$G$3:$G5618=M158)"),"SOLO 2024")</f>
        <v>SOLO 2024</v>
      </c>
      <c r="K158" s="16"/>
      <c r="L158" s="12" t="s">
        <v>41</v>
      </c>
      <c r="M158" s="16" t="str">
        <f t="shared" si="1"/>
        <v>60102312 Primaria</v>
      </c>
      <c r="N158" s="17"/>
      <c r="O158" s="17"/>
      <c r="P158" s="17"/>
      <c r="Q158" s="17"/>
      <c r="R158" s="17"/>
      <c r="S158" s="17"/>
      <c r="T158" s="17"/>
    </row>
    <row r="159" ht="15.75" customHeight="1">
      <c r="A159" s="18">
        <v>158.0</v>
      </c>
      <c r="B159" s="12" t="s">
        <v>13</v>
      </c>
      <c r="C159" s="12" t="s">
        <v>14</v>
      </c>
      <c r="D159" s="19" t="s">
        <v>15</v>
      </c>
      <c r="E159" s="12" t="str">
        <f>IFERROR(__xludf.DUMMYFUNCTION("FILTER(colegios!$B$2:$B5618,colegios!$A$2:$A5618=L159)"),"6010231")</f>
        <v>6010231</v>
      </c>
      <c r="F159" s="14" t="s">
        <v>16</v>
      </c>
      <c r="G159" s="20" t="s">
        <v>17</v>
      </c>
      <c r="H159" s="12" t="s">
        <v>18</v>
      </c>
      <c r="I159" s="15">
        <v>2024.0</v>
      </c>
      <c r="J159" s="16" t="str">
        <f>IFERROR(__xludf.DUMMYFUNCTION("FILTER('CLASFICACIÓN'!$F$3:$F5618,'CLASFICACIÓN'!$G$3:$G5618=M159)"),"SOLO 2024")</f>
        <v>SOLO 2024</v>
      </c>
      <c r="K159" s="16"/>
      <c r="L159" s="12" t="s">
        <v>41</v>
      </c>
      <c r="M159" s="16" t="str">
        <f t="shared" si="1"/>
        <v>60102312 Primaria</v>
      </c>
      <c r="N159" s="17"/>
      <c r="O159" s="17"/>
      <c r="P159" s="17"/>
      <c r="Q159" s="17"/>
      <c r="R159" s="17"/>
      <c r="S159" s="17"/>
      <c r="T159" s="17"/>
    </row>
    <row r="160" ht="15.75" customHeight="1">
      <c r="A160" s="18">
        <v>159.0</v>
      </c>
      <c r="B160" s="12" t="s">
        <v>13</v>
      </c>
      <c r="C160" s="12" t="s">
        <v>14</v>
      </c>
      <c r="D160" s="19" t="s">
        <v>15</v>
      </c>
      <c r="E160" s="12" t="str">
        <f>IFERROR(__xludf.DUMMYFUNCTION("FILTER(colegios!$B$2:$B5618,colegios!$A$2:$A5618=L160)"),"6010231")</f>
        <v>6010231</v>
      </c>
      <c r="F160" s="14" t="s">
        <v>16</v>
      </c>
      <c r="G160" s="20" t="s">
        <v>21</v>
      </c>
      <c r="H160" s="12" t="s">
        <v>24</v>
      </c>
      <c r="I160" s="15">
        <v>2024.0</v>
      </c>
      <c r="J160" s="16" t="str">
        <f>IFERROR(__xludf.DUMMYFUNCTION("FILTER('CLASFICACIÓN'!$F$3:$F5618,'CLASFICACIÓN'!$G$3:$G5618=M160)"),"SOLO 2024")</f>
        <v>SOLO 2024</v>
      </c>
      <c r="K160" s="16"/>
      <c r="L160" s="12" t="s">
        <v>41</v>
      </c>
      <c r="M160" s="16" t="str">
        <f t="shared" si="1"/>
        <v>60102312 Primaria</v>
      </c>
      <c r="N160" s="17"/>
      <c r="O160" s="17"/>
      <c r="P160" s="17"/>
      <c r="Q160" s="17"/>
      <c r="R160" s="17"/>
      <c r="S160" s="17"/>
      <c r="T160" s="17"/>
    </row>
    <row r="161" ht="15.75" customHeight="1">
      <c r="A161" s="18">
        <v>160.0</v>
      </c>
      <c r="B161" s="12" t="s">
        <v>13</v>
      </c>
      <c r="C161" s="12" t="s">
        <v>14</v>
      </c>
      <c r="D161" s="19" t="s">
        <v>15</v>
      </c>
      <c r="E161" s="12" t="str">
        <f>IFERROR(__xludf.DUMMYFUNCTION("FILTER(colegios!$B$2:$B5618,colegios!$A$2:$A5618=L161)"),"6010231")</f>
        <v>6010231</v>
      </c>
      <c r="F161" s="14" t="s">
        <v>16</v>
      </c>
      <c r="G161" s="20" t="s">
        <v>21</v>
      </c>
      <c r="H161" s="12" t="s">
        <v>24</v>
      </c>
      <c r="I161" s="15">
        <v>2024.0</v>
      </c>
      <c r="J161" s="16" t="str">
        <f>IFERROR(__xludf.DUMMYFUNCTION("FILTER('CLASFICACIÓN'!$F$3:$F5618,'CLASFICACIÓN'!$G$3:$G5618=M161)"),"SOLO 2024")</f>
        <v>SOLO 2024</v>
      </c>
      <c r="K161" s="16"/>
      <c r="L161" s="12" t="s">
        <v>41</v>
      </c>
      <c r="M161" s="16" t="str">
        <f t="shared" si="1"/>
        <v>60102312 Primaria</v>
      </c>
      <c r="N161" s="17"/>
      <c r="O161" s="17"/>
      <c r="P161" s="17"/>
      <c r="Q161" s="17"/>
      <c r="R161" s="17"/>
      <c r="S161" s="17"/>
      <c r="T161" s="17"/>
    </row>
    <row r="162" ht="15.75" customHeight="1">
      <c r="A162" s="18">
        <v>161.0</v>
      </c>
      <c r="B162" s="12" t="s">
        <v>13</v>
      </c>
      <c r="C162" s="12" t="s">
        <v>14</v>
      </c>
      <c r="D162" s="19" t="s">
        <v>15</v>
      </c>
      <c r="E162" s="12" t="str">
        <f>IFERROR(__xludf.DUMMYFUNCTION("FILTER(colegios!$B$2:$B5618,colegios!$A$2:$A5618=L162)"),"6010231")</f>
        <v>6010231</v>
      </c>
      <c r="F162" s="14" t="s">
        <v>16</v>
      </c>
      <c r="G162" s="20" t="s">
        <v>17</v>
      </c>
      <c r="H162" s="12" t="s">
        <v>18</v>
      </c>
      <c r="I162" s="15">
        <v>2024.0</v>
      </c>
      <c r="J162" s="16" t="str">
        <f>IFERROR(__xludf.DUMMYFUNCTION("FILTER('CLASFICACIÓN'!$F$3:$F5618,'CLASFICACIÓN'!$G$3:$G5618=M162)"),"SOLO 2024")</f>
        <v>SOLO 2024</v>
      </c>
      <c r="K162" s="16"/>
      <c r="L162" s="12" t="s">
        <v>41</v>
      </c>
      <c r="M162" s="16" t="str">
        <f t="shared" si="1"/>
        <v>60102312 Primaria</v>
      </c>
      <c r="N162" s="17"/>
      <c r="O162" s="17"/>
      <c r="P162" s="17"/>
      <c r="Q162" s="17"/>
      <c r="R162" s="17"/>
      <c r="S162" s="17"/>
      <c r="T162" s="17"/>
    </row>
    <row r="163" ht="15.75" customHeight="1">
      <c r="A163" s="18">
        <v>162.0</v>
      </c>
      <c r="B163" s="12" t="s">
        <v>13</v>
      </c>
      <c r="C163" s="12" t="s">
        <v>14</v>
      </c>
      <c r="D163" s="19" t="s">
        <v>15</v>
      </c>
      <c r="E163" s="12" t="str">
        <f>IFERROR(__xludf.DUMMYFUNCTION("FILTER(colegios!$B$2:$B5618,colegios!$A$2:$A5618=L163)"),"6010231")</f>
        <v>6010231</v>
      </c>
      <c r="F163" s="14" t="s">
        <v>16</v>
      </c>
      <c r="G163" s="20" t="s">
        <v>21</v>
      </c>
      <c r="H163" s="12" t="s">
        <v>18</v>
      </c>
      <c r="I163" s="15">
        <v>2024.0</v>
      </c>
      <c r="J163" s="16" t="str">
        <f>IFERROR(__xludf.DUMMYFUNCTION("FILTER('CLASFICACIÓN'!$F$3:$F5618,'CLASFICACIÓN'!$G$3:$G5618=M163)"),"SOLO 2024")</f>
        <v>SOLO 2024</v>
      </c>
      <c r="K163" s="16"/>
      <c r="L163" s="12" t="s">
        <v>41</v>
      </c>
      <c r="M163" s="16" t="str">
        <f t="shared" si="1"/>
        <v>60102312 Primaria</v>
      </c>
      <c r="N163" s="17"/>
      <c r="O163" s="17"/>
      <c r="P163" s="17"/>
      <c r="Q163" s="17"/>
      <c r="R163" s="17"/>
      <c r="S163" s="17"/>
      <c r="T163" s="17"/>
    </row>
    <row r="164" ht="15.75" customHeight="1">
      <c r="A164" s="18">
        <v>163.0</v>
      </c>
      <c r="B164" s="12" t="s">
        <v>13</v>
      </c>
      <c r="C164" s="12" t="s">
        <v>14</v>
      </c>
      <c r="D164" s="19" t="s">
        <v>15</v>
      </c>
      <c r="E164" s="12" t="str">
        <f>IFERROR(__xludf.DUMMYFUNCTION("FILTER(colegios!$B$2:$B5618,colegios!$A$2:$A5618=L164)"),"6010231")</f>
        <v>6010231</v>
      </c>
      <c r="F164" s="14" t="s">
        <v>16</v>
      </c>
      <c r="G164" s="19" t="s">
        <v>17</v>
      </c>
      <c r="H164" s="12" t="s">
        <v>24</v>
      </c>
      <c r="I164" s="15">
        <v>2024.0</v>
      </c>
      <c r="J164" s="16" t="str">
        <f>IFERROR(__xludf.DUMMYFUNCTION("FILTER('CLASFICACIÓN'!$F$3:$F5618,'CLASFICACIÓN'!$G$3:$G5618=M164)"),"SOLO 2024")</f>
        <v>SOLO 2024</v>
      </c>
      <c r="K164" s="16"/>
      <c r="L164" s="12" t="s">
        <v>41</v>
      </c>
      <c r="M164" s="16" t="str">
        <f t="shared" si="1"/>
        <v>60102312 Primaria</v>
      </c>
      <c r="N164" s="17"/>
      <c r="O164" s="17"/>
      <c r="P164" s="17"/>
      <c r="Q164" s="17"/>
      <c r="R164" s="17"/>
      <c r="S164" s="17"/>
      <c r="T164" s="17"/>
    </row>
    <row r="165" ht="15.75" customHeight="1">
      <c r="A165" s="18">
        <v>164.0</v>
      </c>
      <c r="B165" s="12" t="s">
        <v>13</v>
      </c>
      <c r="C165" s="12" t="s">
        <v>14</v>
      </c>
      <c r="D165" s="19" t="s">
        <v>15</v>
      </c>
      <c r="E165" s="12" t="str">
        <f>IFERROR(__xludf.DUMMYFUNCTION("FILTER(colegios!$B$2:$B5618,colegios!$A$2:$A5618=L165)"),"6010231")</f>
        <v>6010231</v>
      </c>
      <c r="F165" s="14" t="s">
        <v>16</v>
      </c>
      <c r="G165" s="19" t="s">
        <v>17</v>
      </c>
      <c r="H165" s="12" t="s">
        <v>24</v>
      </c>
      <c r="I165" s="15">
        <v>2024.0</v>
      </c>
      <c r="J165" s="16" t="str">
        <f>IFERROR(__xludf.DUMMYFUNCTION("FILTER('CLASFICACIÓN'!$F$3:$F5618,'CLASFICACIÓN'!$G$3:$G5618=M165)"),"SOLO 2024")</f>
        <v>SOLO 2024</v>
      </c>
      <c r="K165" s="16"/>
      <c r="L165" s="12" t="s">
        <v>41</v>
      </c>
      <c r="M165" s="16" t="str">
        <f t="shared" si="1"/>
        <v>60102312 Primaria</v>
      </c>
      <c r="N165" s="17"/>
      <c r="O165" s="17"/>
      <c r="P165" s="17"/>
      <c r="Q165" s="17"/>
      <c r="R165" s="17"/>
      <c r="S165" s="17"/>
      <c r="T165" s="17"/>
    </row>
    <row r="166" ht="15.75" customHeight="1">
      <c r="A166" s="18">
        <v>165.0</v>
      </c>
      <c r="B166" s="12" t="s">
        <v>13</v>
      </c>
      <c r="C166" s="12" t="s">
        <v>14</v>
      </c>
      <c r="D166" s="19" t="s">
        <v>15</v>
      </c>
      <c r="E166" s="12" t="str">
        <f>IFERROR(__xludf.DUMMYFUNCTION("FILTER(colegios!$B$2:$B5618,colegios!$A$2:$A5618=L166)"),"6010231")</f>
        <v>6010231</v>
      </c>
      <c r="F166" s="14" t="s">
        <v>16</v>
      </c>
      <c r="G166" s="19" t="s">
        <v>17</v>
      </c>
      <c r="H166" s="14" t="s">
        <v>32</v>
      </c>
      <c r="I166" s="15">
        <v>2024.0</v>
      </c>
      <c r="J166" s="16" t="str">
        <f>IFERROR(__xludf.DUMMYFUNCTION("FILTER('CLASFICACIÓN'!$F$3:$F5618,'CLASFICACIÓN'!$G$3:$G5618=M166)"),"SOLO 2024")</f>
        <v>SOLO 2024</v>
      </c>
      <c r="K166" s="16"/>
      <c r="L166" s="12" t="s">
        <v>41</v>
      </c>
      <c r="M166" s="16" t="str">
        <f t="shared" si="1"/>
        <v>60102312 Primaria</v>
      </c>
      <c r="N166" s="17"/>
      <c r="O166" s="17"/>
      <c r="P166" s="17"/>
      <c r="Q166" s="17"/>
      <c r="R166" s="17"/>
      <c r="S166" s="17"/>
      <c r="T166" s="17"/>
    </row>
    <row r="167" ht="15.75" customHeight="1">
      <c r="A167" s="18">
        <v>166.0</v>
      </c>
      <c r="B167" s="12" t="s">
        <v>13</v>
      </c>
      <c r="C167" s="12" t="s">
        <v>14</v>
      </c>
      <c r="D167" s="19" t="s">
        <v>20</v>
      </c>
      <c r="E167" s="12" t="str">
        <f>IFERROR(__xludf.DUMMYFUNCTION("FILTER(colegios!$B$2:$B5618,colegios!$A$2:$A5618=L167)"),"6010231")</f>
        <v>6010231</v>
      </c>
      <c r="F167" s="14" t="s">
        <v>16</v>
      </c>
      <c r="G167" s="19" t="s">
        <v>21</v>
      </c>
      <c r="H167" s="12" t="s">
        <v>18</v>
      </c>
      <c r="I167" s="15">
        <v>2024.0</v>
      </c>
      <c r="J167" s="16" t="str">
        <f>IFERROR(__xludf.DUMMYFUNCTION("FILTER('CLASFICACIÓN'!$F$3:$F5618,'CLASFICACIÓN'!$G$3:$G5618=M167)"),"SOLO 2024")</f>
        <v>SOLO 2024</v>
      </c>
      <c r="K167" s="16"/>
      <c r="L167" s="12" t="s">
        <v>41</v>
      </c>
      <c r="M167" s="16" t="str">
        <f t="shared" si="1"/>
        <v>60102314 Primaria</v>
      </c>
      <c r="N167" s="17"/>
      <c r="O167" s="17"/>
      <c r="P167" s="17"/>
      <c r="Q167" s="17"/>
      <c r="R167" s="17"/>
      <c r="S167" s="17"/>
      <c r="T167" s="17"/>
    </row>
    <row r="168" ht="15.75" customHeight="1">
      <c r="A168" s="18">
        <v>167.0</v>
      </c>
      <c r="B168" s="12" t="s">
        <v>13</v>
      </c>
      <c r="C168" s="12" t="s">
        <v>14</v>
      </c>
      <c r="D168" s="19" t="s">
        <v>20</v>
      </c>
      <c r="E168" s="12" t="str">
        <f>IFERROR(__xludf.DUMMYFUNCTION("FILTER(colegios!$B$2:$B5618,colegios!$A$2:$A5618=L168)"),"6010231")</f>
        <v>6010231</v>
      </c>
      <c r="F168" s="14" t="s">
        <v>16</v>
      </c>
      <c r="G168" s="19" t="s">
        <v>21</v>
      </c>
      <c r="H168" s="12" t="s">
        <v>24</v>
      </c>
      <c r="I168" s="15">
        <v>2024.0</v>
      </c>
      <c r="J168" s="16" t="str">
        <f>IFERROR(__xludf.DUMMYFUNCTION("FILTER('CLASFICACIÓN'!$F$3:$F5618,'CLASFICACIÓN'!$G$3:$G5618=M168)"),"SOLO 2024")</f>
        <v>SOLO 2024</v>
      </c>
      <c r="K168" s="16"/>
      <c r="L168" s="12" t="s">
        <v>41</v>
      </c>
      <c r="M168" s="16" t="str">
        <f t="shared" si="1"/>
        <v>60102314 Primaria</v>
      </c>
      <c r="N168" s="17"/>
      <c r="O168" s="17"/>
      <c r="P168" s="17"/>
      <c r="Q168" s="17"/>
      <c r="R168" s="17"/>
      <c r="S168" s="17"/>
      <c r="T168" s="17"/>
    </row>
    <row r="169" ht="15.75" customHeight="1">
      <c r="A169" s="18">
        <v>168.0</v>
      </c>
      <c r="B169" s="12" t="s">
        <v>13</v>
      </c>
      <c r="C169" s="12" t="s">
        <v>14</v>
      </c>
      <c r="D169" s="19" t="s">
        <v>20</v>
      </c>
      <c r="E169" s="12" t="str">
        <f>IFERROR(__xludf.DUMMYFUNCTION("FILTER(colegios!$B$2:$B5618,colegios!$A$2:$A5618=L169)"),"6010231")</f>
        <v>6010231</v>
      </c>
      <c r="F169" s="14" t="s">
        <v>16</v>
      </c>
      <c r="G169" s="20" t="s">
        <v>17</v>
      </c>
      <c r="H169" s="12" t="s">
        <v>24</v>
      </c>
      <c r="I169" s="15">
        <v>2024.0</v>
      </c>
      <c r="J169" s="16" t="str">
        <f>IFERROR(__xludf.DUMMYFUNCTION("FILTER('CLASFICACIÓN'!$F$3:$F5618,'CLASFICACIÓN'!$G$3:$G5618=M169)"),"SOLO 2024")</f>
        <v>SOLO 2024</v>
      </c>
      <c r="K169" s="16"/>
      <c r="L169" s="12" t="s">
        <v>41</v>
      </c>
      <c r="M169" s="16" t="str">
        <f t="shared" si="1"/>
        <v>60102314 Primaria</v>
      </c>
      <c r="N169" s="17"/>
      <c r="O169" s="17"/>
      <c r="P169" s="17"/>
      <c r="Q169" s="17"/>
      <c r="R169" s="17"/>
      <c r="S169" s="17"/>
      <c r="T169" s="17"/>
    </row>
    <row r="170" ht="15.75" customHeight="1">
      <c r="A170" s="18">
        <v>169.0</v>
      </c>
      <c r="B170" s="12" t="s">
        <v>13</v>
      </c>
      <c r="C170" s="12" t="s">
        <v>14</v>
      </c>
      <c r="D170" s="19" t="s">
        <v>20</v>
      </c>
      <c r="E170" s="12" t="str">
        <f>IFERROR(__xludf.DUMMYFUNCTION("FILTER(colegios!$B$2:$B5618,colegios!$A$2:$A5618=L170)"),"6010231")</f>
        <v>6010231</v>
      </c>
      <c r="F170" s="14" t="s">
        <v>16</v>
      </c>
      <c r="G170" s="20" t="s">
        <v>21</v>
      </c>
      <c r="H170" s="12" t="s">
        <v>24</v>
      </c>
      <c r="I170" s="15">
        <v>2024.0</v>
      </c>
      <c r="J170" s="16" t="str">
        <f>IFERROR(__xludf.DUMMYFUNCTION("FILTER('CLASFICACIÓN'!$F$3:$F5618,'CLASFICACIÓN'!$G$3:$G5618=M170)"),"SOLO 2024")</f>
        <v>SOLO 2024</v>
      </c>
      <c r="K170" s="16"/>
      <c r="L170" s="12" t="s">
        <v>41</v>
      </c>
      <c r="M170" s="16" t="str">
        <f t="shared" si="1"/>
        <v>60102314 Primaria</v>
      </c>
      <c r="N170" s="17"/>
      <c r="O170" s="17"/>
      <c r="P170" s="17"/>
      <c r="Q170" s="17"/>
      <c r="R170" s="17"/>
      <c r="S170" s="17"/>
      <c r="T170" s="17"/>
    </row>
    <row r="171" ht="15.75" customHeight="1">
      <c r="A171" s="18">
        <v>170.0</v>
      </c>
      <c r="B171" s="12" t="s">
        <v>13</v>
      </c>
      <c r="C171" s="12" t="s">
        <v>14</v>
      </c>
      <c r="D171" s="19" t="s">
        <v>20</v>
      </c>
      <c r="E171" s="12" t="str">
        <f>IFERROR(__xludf.DUMMYFUNCTION("FILTER(colegios!$B$2:$B5618,colegios!$A$2:$A5618=L171)"),"6010231")</f>
        <v>6010231</v>
      </c>
      <c r="F171" s="14" t="s">
        <v>16</v>
      </c>
      <c r="G171" s="20" t="s">
        <v>17</v>
      </c>
      <c r="H171" s="12" t="s">
        <v>24</v>
      </c>
      <c r="I171" s="15">
        <v>2024.0</v>
      </c>
      <c r="J171" s="16" t="str">
        <f>IFERROR(__xludf.DUMMYFUNCTION("FILTER('CLASFICACIÓN'!$F$3:$F5618,'CLASFICACIÓN'!$G$3:$G5618=M171)"),"SOLO 2024")</f>
        <v>SOLO 2024</v>
      </c>
      <c r="K171" s="16"/>
      <c r="L171" s="12" t="s">
        <v>41</v>
      </c>
      <c r="M171" s="16" t="str">
        <f t="shared" si="1"/>
        <v>60102314 Primaria</v>
      </c>
      <c r="N171" s="17"/>
      <c r="O171" s="17"/>
      <c r="P171" s="17"/>
      <c r="Q171" s="17"/>
      <c r="R171" s="17"/>
      <c r="S171" s="17"/>
      <c r="T171" s="17"/>
    </row>
    <row r="172" ht="15.75" customHeight="1">
      <c r="A172" s="18">
        <v>171.0</v>
      </c>
      <c r="B172" s="12" t="s">
        <v>13</v>
      </c>
      <c r="C172" s="12" t="s">
        <v>14</v>
      </c>
      <c r="D172" s="19" t="s">
        <v>20</v>
      </c>
      <c r="E172" s="12" t="str">
        <f>IFERROR(__xludf.DUMMYFUNCTION("FILTER(colegios!$B$2:$B5618,colegios!$A$2:$A5618=L172)"),"6010231")</f>
        <v>6010231</v>
      </c>
      <c r="F172" s="14" t="s">
        <v>16</v>
      </c>
      <c r="G172" s="20" t="s">
        <v>17</v>
      </c>
      <c r="H172" s="12" t="s">
        <v>24</v>
      </c>
      <c r="I172" s="15">
        <v>2024.0</v>
      </c>
      <c r="J172" s="16" t="str">
        <f>IFERROR(__xludf.DUMMYFUNCTION("FILTER('CLASFICACIÓN'!$F$3:$F5618,'CLASFICACIÓN'!$G$3:$G5618=M172)"),"SOLO 2024")</f>
        <v>SOLO 2024</v>
      </c>
      <c r="K172" s="16"/>
      <c r="L172" s="12" t="s">
        <v>41</v>
      </c>
      <c r="M172" s="16" t="str">
        <f t="shared" si="1"/>
        <v>60102314 Primaria</v>
      </c>
      <c r="N172" s="17"/>
      <c r="O172" s="17"/>
      <c r="P172" s="17"/>
      <c r="Q172" s="17"/>
      <c r="R172" s="17"/>
      <c r="S172" s="17"/>
      <c r="T172" s="17"/>
    </row>
    <row r="173" ht="15.75" customHeight="1">
      <c r="A173" s="18">
        <v>172.0</v>
      </c>
      <c r="B173" s="12" t="s">
        <v>13</v>
      </c>
      <c r="C173" s="12" t="s">
        <v>14</v>
      </c>
      <c r="D173" s="19" t="s">
        <v>20</v>
      </c>
      <c r="E173" s="12" t="str">
        <f>IFERROR(__xludf.DUMMYFUNCTION("FILTER(colegios!$B$2:$B5618,colegios!$A$2:$A5618=L173)"),"6010231")</f>
        <v>6010231</v>
      </c>
      <c r="F173" s="14" t="s">
        <v>16</v>
      </c>
      <c r="G173" s="20" t="s">
        <v>17</v>
      </c>
      <c r="H173" s="12" t="s">
        <v>24</v>
      </c>
      <c r="I173" s="15">
        <v>2024.0</v>
      </c>
      <c r="J173" s="16" t="str">
        <f>IFERROR(__xludf.DUMMYFUNCTION("FILTER('CLASFICACIÓN'!$F$3:$F5618,'CLASFICACIÓN'!$G$3:$G5618=M173)"),"SOLO 2024")</f>
        <v>SOLO 2024</v>
      </c>
      <c r="K173" s="16"/>
      <c r="L173" s="12" t="s">
        <v>41</v>
      </c>
      <c r="M173" s="16" t="str">
        <f t="shared" si="1"/>
        <v>60102314 Primaria</v>
      </c>
      <c r="N173" s="17"/>
      <c r="O173" s="17"/>
      <c r="P173" s="17"/>
      <c r="Q173" s="17"/>
      <c r="R173" s="17"/>
      <c r="S173" s="17"/>
      <c r="T173" s="17"/>
    </row>
    <row r="174" ht="15.75" customHeight="1">
      <c r="A174" s="18">
        <v>173.0</v>
      </c>
      <c r="B174" s="12" t="s">
        <v>13</v>
      </c>
      <c r="C174" s="12" t="s">
        <v>14</v>
      </c>
      <c r="D174" s="19" t="s">
        <v>20</v>
      </c>
      <c r="E174" s="12" t="str">
        <f>IFERROR(__xludf.DUMMYFUNCTION("FILTER(colegios!$B$2:$B5618,colegios!$A$2:$A5618=L174)"),"6010231")</f>
        <v>6010231</v>
      </c>
      <c r="F174" s="14" t="s">
        <v>16</v>
      </c>
      <c r="G174" s="20" t="s">
        <v>21</v>
      </c>
      <c r="H174" s="12" t="s">
        <v>24</v>
      </c>
      <c r="I174" s="15">
        <v>2024.0</v>
      </c>
      <c r="J174" s="16" t="str">
        <f>IFERROR(__xludf.DUMMYFUNCTION("FILTER('CLASFICACIÓN'!$F$3:$F5618,'CLASFICACIÓN'!$G$3:$G5618=M174)"),"SOLO 2024")</f>
        <v>SOLO 2024</v>
      </c>
      <c r="K174" s="16"/>
      <c r="L174" s="12" t="s">
        <v>41</v>
      </c>
      <c r="M174" s="16" t="str">
        <f t="shared" si="1"/>
        <v>60102314 Primaria</v>
      </c>
      <c r="N174" s="17"/>
      <c r="O174" s="17"/>
      <c r="P174" s="17"/>
      <c r="Q174" s="17"/>
      <c r="R174" s="17"/>
      <c r="S174" s="17"/>
      <c r="T174" s="17"/>
    </row>
    <row r="175" ht="15.75" customHeight="1">
      <c r="A175" s="18">
        <v>174.0</v>
      </c>
      <c r="B175" s="12" t="s">
        <v>13</v>
      </c>
      <c r="C175" s="12" t="s">
        <v>14</v>
      </c>
      <c r="D175" s="19" t="s">
        <v>20</v>
      </c>
      <c r="E175" s="12" t="str">
        <f>IFERROR(__xludf.DUMMYFUNCTION("FILTER(colegios!$B$2:$B5618,colegios!$A$2:$A5618=L175)"),"6010231")</f>
        <v>6010231</v>
      </c>
      <c r="F175" s="14" t="s">
        <v>16</v>
      </c>
      <c r="G175" s="20" t="s">
        <v>17</v>
      </c>
      <c r="H175" s="12" t="s">
        <v>24</v>
      </c>
      <c r="I175" s="15">
        <v>2024.0</v>
      </c>
      <c r="J175" s="16" t="str">
        <f>IFERROR(__xludf.DUMMYFUNCTION("FILTER('CLASFICACIÓN'!$F$3:$F5618,'CLASFICACIÓN'!$G$3:$G5618=M175)"),"SOLO 2024")</f>
        <v>SOLO 2024</v>
      </c>
      <c r="K175" s="16"/>
      <c r="L175" s="12" t="s">
        <v>41</v>
      </c>
      <c r="M175" s="16" t="str">
        <f t="shared" si="1"/>
        <v>60102314 Primaria</v>
      </c>
      <c r="N175" s="17"/>
      <c r="O175" s="17"/>
      <c r="P175" s="17"/>
      <c r="Q175" s="17"/>
      <c r="R175" s="17"/>
      <c r="S175" s="17"/>
      <c r="T175" s="17"/>
    </row>
    <row r="176" ht="15.75" customHeight="1">
      <c r="A176" s="18">
        <v>175.0</v>
      </c>
      <c r="B176" s="12" t="s">
        <v>13</v>
      </c>
      <c r="C176" s="12" t="s">
        <v>14</v>
      </c>
      <c r="D176" s="19" t="s">
        <v>20</v>
      </c>
      <c r="E176" s="12" t="str">
        <f>IFERROR(__xludf.DUMMYFUNCTION("FILTER(colegios!$B$2:$B5618,colegios!$A$2:$A5618=L176)"),"6010231")</f>
        <v>6010231</v>
      </c>
      <c r="F176" s="14" t="s">
        <v>16</v>
      </c>
      <c r="G176" s="20" t="s">
        <v>17</v>
      </c>
      <c r="H176" s="12" t="s">
        <v>24</v>
      </c>
      <c r="I176" s="15">
        <v>2024.0</v>
      </c>
      <c r="J176" s="16" t="str">
        <f>IFERROR(__xludf.DUMMYFUNCTION("FILTER('CLASFICACIÓN'!$F$3:$F5618,'CLASFICACIÓN'!$G$3:$G5618=M176)"),"SOLO 2024")</f>
        <v>SOLO 2024</v>
      </c>
      <c r="K176" s="16"/>
      <c r="L176" s="12" t="s">
        <v>41</v>
      </c>
      <c r="M176" s="16" t="str">
        <f t="shared" si="1"/>
        <v>60102314 Primaria</v>
      </c>
      <c r="N176" s="17"/>
      <c r="O176" s="17"/>
      <c r="P176" s="17"/>
      <c r="Q176" s="17"/>
      <c r="R176" s="17"/>
      <c r="S176" s="17"/>
      <c r="T176" s="17"/>
    </row>
    <row r="177" ht="15.75" customHeight="1">
      <c r="A177" s="18">
        <v>176.0</v>
      </c>
      <c r="B177" s="12" t="s">
        <v>13</v>
      </c>
      <c r="C177" s="12" t="s">
        <v>14</v>
      </c>
      <c r="D177" s="19" t="s">
        <v>20</v>
      </c>
      <c r="E177" s="12" t="str">
        <f>IFERROR(__xludf.DUMMYFUNCTION("FILTER(colegios!$B$2:$B5618,colegios!$A$2:$A5618=L177)"),"6010231")</f>
        <v>6010231</v>
      </c>
      <c r="F177" s="14" t="s">
        <v>16</v>
      </c>
      <c r="G177" s="20" t="s">
        <v>17</v>
      </c>
      <c r="H177" s="12" t="s">
        <v>24</v>
      </c>
      <c r="I177" s="15">
        <v>2024.0</v>
      </c>
      <c r="J177" s="16" t="str">
        <f>IFERROR(__xludf.DUMMYFUNCTION("FILTER('CLASFICACIÓN'!$F$3:$F5618,'CLASFICACIÓN'!$G$3:$G5618=M177)"),"SOLO 2024")</f>
        <v>SOLO 2024</v>
      </c>
      <c r="K177" s="16"/>
      <c r="L177" s="12" t="s">
        <v>41</v>
      </c>
      <c r="M177" s="16" t="str">
        <f t="shared" si="1"/>
        <v>60102314 Primaria</v>
      </c>
      <c r="N177" s="17"/>
      <c r="O177" s="17"/>
      <c r="P177" s="17"/>
      <c r="Q177" s="17"/>
      <c r="R177" s="17"/>
      <c r="S177" s="17"/>
      <c r="T177" s="17"/>
    </row>
    <row r="178" ht="15.75" customHeight="1">
      <c r="A178" s="18">
        <v>177.0</v>
      </c>
      <c r="B178" s="12" t="s">
        <v>13</v>
      </c>
      <c r="C178" s="12" t="s">
        <v>14</v>
      </c>
      <c r="D178" s="19" t="s">
        <v>20</v>
      </c>
      <c r="E178" s="12" t="str">
        <f>IFERROR(__xludf.DUMMYFUNCTION("FILTER(colegios!$B$2:$B5618,colegios!$A$2:$A5618=L178)"),"6010231")</f>
        <v>6010231</v>
      </c>
      <c r="F178" s="14" t="s">
        <v>16</v>
      </c>
      <c r="G178" s="20" t="s">
        <v>21</v>
      </c>
      <c r="H178" s="12" t="s">
        <v>18</v>
      </c>
      <c r="I178" s="15">
        <v>2024.0</v>
      </c>
      <c r="J178" s="16" t="str">
        <f>IFERROR(__xludf.DUMMYFUNCTION("FILTER('CLASFICACIÓN'!$F$3:$F5618,'CLASFICACIÓN'!$G$3:$G5618=M178)"),"SOLO 2024")</f>
        <v>SOLO 2024</v>
      </c>
      <c r="K178" s="16"/>
      <c r="L178" s="12" t="s">
        <v>41</v>
      </c>
      <c r="M178" s="16" t="str">
        <f t="shared" si="1"/>
        <v>60102314 Primaria</v>
      </c>
      <c r="N178" s="17"/>
      <c r="O178" s="17"/>
      <c r="P178" s="17"/>
      <c r="Q178" s="17"/>
      <c r="R178" s="17"/>
      <c r="S178" s="17"/>
      <c r="T178" s="17"/>
    </row>
    <row r="179" ht="15.75" customHeight="1">
      <c r="A179" s="18">
        <v>178.0</v>
      </c>
      <c r="B179" s="12" t="s">
        <v>13</v>
      </c>
      <c r="C179" s="12" t="s">
        <v>14</v>
      </c>
      <c r="D179" s="19" t="s">
        <v>20</v>
      </c>
      <c r="E179" s="12" t="str">
        <f>IFERROR(__xludf.DUMMYFUNCTION("FILTER(colegios!$B$2:$B5618,colegios!$A$2:$A5618=L179)"),"6010231")</f>
        <v>6010231</v>
      </c>
      <c r="F179" s="14" t="s">
        <v>16</v>
      </c>
      <c r="G179" s="20" t="s">
        <v>17</v>
      </c>
      <c r="H179" s="12" t="s">
        <v>24</v>
      </c>
      <c r="I179" s="15">
        <v>2024.0</v>
      </c>
      <c r="J179" s="16" t="str">
        <f>IFERROR(__xludf.DUMMYFUNCTION("FILTER('CLASFICACIÓN'!$F$3:$F5618,'CLASFICACIÓN'!$G$3:$G5618=M179)"),"SOLO 2024")</f>
        <v>SOLO 2024</v>
      </c>
      <c r="K179" s="16"/>
      <c r="L179" s="12" t="s">
        <v>41</v>
      </c>
      <c r="M179" s="16" t="str">
        <f t="shared" si="1"/>
        <v>60102314 Primaria</v>
      </c>
      <c r="N179" s="17"/>
      <c r="O179" s="17"/>
      <c r="P179" s="17"/>
      <c r="Q179" s="17"/>
      <c r="R179" s="17"/>
      <c r="S179" s="17"/>
      <c r="T179" s="17"/>
    </row>
    <row r="180" ht="15.75" customHeight="1">
      <c r="A180" s="18">
        <v>179.0</v>
      </c>
      <c r="B180" s="12" t="s">
        <v>13</v>
      </c>
      <c r="C180" s="12" t="s">
        <v>14</v>
      </c>
      <c r="D180" s="19" t="s">
        <v>20</v>
      </c>
      <c r="E180" s="12" t="str">
        <f>IFERROR(__xludf.DUMMYFUNCTION("FILTER(colegios!$B$2:$B5618,colegios!$A$2:$A5618=L180)"),"6010231")</f>
        <v>6010231</v>
      </c>
      <c r="F180" s="14" t="s">
        <v>16</v>
      </c>
      <c r="G180" s="20" t="s">
        <v>21</v>
      </c>
      <c r="H180" s="12" t="s">
        <v>24</v>
      </c>
      <c r="I180" s="15">
        <v>2024.0</v>
      </c>
      <c r="J180" s="16" t="str">
        <f>IFERROR(__xludf.DUMMYFUNCTION("FILTER('CLASFICACIÓN'!$F$3:$F5618,'CLASFICACIÓN'!$G$3:$G5618=M180)"),"SOLO 2024")</f>
        <v>SOLO 2024</v>
      </c>
      <c r="K180" s="16"/>
      <c r="L180" s="12" t="s">
        <v>41</v>
      </c>
      <c r="M180" s="16" t="str">
        <f t="shared" si="1"/>
        <v>60102314 Primaria</v>
      </c>
      <c r="N180" s="17"/>
      <c r="O180" s="17"/>
      <c r="P180" s="17"/>
      <c r="Q180" s="17"/>
      <c r="R180" s="17"/>
      <c r="S180" s="17"/>
      <c r="T180" s="17"/>
    </row>
    <row r="181" ht="15.75" customHeight="1">
      <c r="A181" s="18">
        <v>180.0</v>
      </c>
      <c r="B181" s="12" t="s">
        <v>13</v>
      </c>
      <c r="C181" s="12" t="s">
        <v>14</v>
      </c>
      <c r="D181" s="19" t="s">
        <v>20</v>
      </c>
      <c r="E181" s="12" t="str">
        <f>IFERROR(__xludf.DUMMYFUNCTION("FILTER(colegios!$B$2:$B5618,colegios!$A$2:$A5618=L181)"),"6010231")</f>
        <v>6010231</v>
      </c>
      <c r="F181" s="14" t="s">
        <v>16</v>
      </c>
      <c r="G181" s="20" t="s">
        <v>21</v>
      </c>
      <c r="H181" s="12" t="s">
        <v>24</v>
      </c>
      <c r="I181" s="15">
        <v>2024.0</v>
      </c>
      <c r="J181" s="16" t="str">
        <f>IFERROR(__xludf.DUMMYFUNCTION("FILTER('CLASFICACIÓN'!$F$3:$F5618,'CLASFICACIÓN'!$G$3:$G5618=M181)"),"SOLO 2024")</f>
        <v>SOLO 2024</v>
      </c>
      <c r="K181" s="16"/>
      <c r="L181" s="12" t="s">
        <v>41</v>
      </c>
      <c r="M181" s="16" t="str">
        <f t="shared" si="1"/>
        <v>60102314 Primaria</v>
      </c>
      <c r="N181" s="17"/>
      <c r="O181" s="17"/>
      <c r="P181" s="17"/>
      <c r="Q181" s="17"/>
      <c r="R181" s="17"/>
      <c r="S181" s="17"/>
      <c r="T181" s="17"/>
    </row>
    <row r="182" ht="15.75" customHeight="1">
      <c r="A182" s="18">
        <v>181.0</v>
      </c>
      <c r="B182" s="12" t="s">
        <v>13</v>
      </c>
      <c r="C182" s="12" t="s">
        <v>14</v>
      </c>
      <c r="D182" s="19" t="s">
        <v>22</v>
      </c>
      <c r="E182" s="12" t="str">
        <f>IFERROR(__xludf.DUMMYFUNCTION("FILTER(colegios!$B$2:$B5618,colegios!$A$2:$A5618=L182)"),"6010231")</f>
        <v>6010231</v>
      </c>
      <c r="F182" s="14" t="s">
        <v>16</v>
      </c>
      <c r="G182" s="20" t="s">
        <v>17</v>
      </c>
      <c r="H182" s="12" t="s">
        <v>24</v>
      </c>
      <c r="I182" s="15">
        <v>2024.0</v>
      </c>
      <c r="J182" s="16" t="str">
        <f>IFERROR(__xludf.DUMMYFUNCTION("FILTER('CLASFICACIÓN'!$F$3:$F5618,'CLASFICACIÓN'!$G$3:$G5618=M182)"),"SOLO 2024")</f>
        <v>SOLO 2024</v>
      </c>
      <c r="K182" s="16"/>
      <c r="L182" s="12" t="s">
        <v>41</v>
      </c>
      <c r="M182" s="16" t="str">
        <f t="shared" si="1"/>
        <v>60102316 Primaria</v>
      </c>
      <c r="N182" s="17"/>
      <c r="O182" s="17"/>
      <c r="P182" s="17"/>
      <c r="Q182" s="17"/>
      <c r="R182" s="17"/>
      <c r="S182" s="17"/>
      <c r="T182" s="17"/>
    </row>
    <row r="183" ht="15.75" customHeight="1">
      <c r="A183" s="18">
        <v>182.0</v>
      </c>
      <c r="B183" s="12" t="s">
        <v>13</v>
      </c>
      <c r="C183" s="12" t="s">
        <v>14</v>
      </c>
      <c r="D183" s="19" t="s">
        <v>22</v>
      </c>
      <c r="E183" s="12" t="str">
        <f>IFERROR(__xludf.DUMMYFUNCTION("FILTER(colegios!$B$2:$B5618,colegios!$A$2:$A5618=L183)"),"6010231")</f>
        <v>6010231</v>
      </c>
      <c r="F183" s="14" t="s">
        <v>16</v>
      </c>
      <c r="G183" s="20" t="s">
        <v>17</v>
      </c>
      <c r="H183" s="12" t="s">
        <v>18</v>
      </c>
      <c r="I183" s="15">
        <v>2024.0</v>
      </c>
      <c r="J183" s="16" t="str">
        <f>IFERROR(__xludf.DUMMYFUNCTION("FILTER('CLASFICACIÓN'!$F$3:$F5618,'CLASFICACIÓN'!$G$3:$G5618=M183)"),"SOLO 2024")</f>
        <v>SOLO 2024</v>
      </c>
      <c r="K183" s="16"/>
      <c r="L183" s="12" t="s">
        <v>41</v>
      </c>
      <c r="M183" s="16" t="str">
        <f t="shared" si="1"/>
        <v>60102316 Primaria</v>
      </c>
      <c r="N183" s="17"/>
      <c r="O183" s="17"/>
      <c r="P183" s="17"/>
      <c r="Q183" s="17"/>
      <c r="R183" s="17"/>
      <c r="S183" s="17"/>
      <c r="T183" s="17"/>
    </row>
    <row r="184" ht="15.75" customHeight="1">
      <c r="A184" s="18">
        <v>183.0</v>
      </c>
      <c r="B184" s="12" t="s">
        <v>13</v>
      </c>
      <c r="C184" s="12" t="s">
        <v>14</v>
      </c>
      <c r="D184" s="19" t="s">
        <v>22</v>
      </c>
      <c r="E184" s="12" t="str">
        <f>IFERROR(__xludf.DUMMYFUNCTION("FILTER(colegios!$B$2:$B5618,colegios!$A$2:$A5618=L184)"),"6010231")</f>
        <v>6010231</v>
      </c>
      <c r="F184" s="14" t="s">
        <v>16</v>
      </c>
      <c r="G184" s="20" t="s">
        <v>21</v>
      </c>
      <c r="H184" s="12" t="s">
        <v>24</v>
      </c>
      <c r="I184" s="15">
        <v>2024.0</v>
      </c>
      <c r="J184" s="16" t="str">
        <f>IFERROR(__xludf.DUMMYFUNCTION("FILTER('CLASFICACIÓN'!$F$3:$F5618,'CLASFICACIÓN'!$G$3:$G5618=M184)"),"SOLO 2024")</f>
        <v>SOLO 2024</v>
      </c>
      <c r="K184" s="16"/>
      <c r="L184" s="12" t="s">
        <v>41</v>
      </c>
      <c r="M184" s="16" t="str">
        <f t="shared" si="1"/>
        <v>60102316 Primaria</v>
      </c>
      <c r="N184" s="17"/>
      <c r="O184" s="17"/>
      <c r="P184" s="17"/>
      <c r="Q184" s="17"/>
      <c r="R184" s="17"/>
      <c r="S184" s="17"/>
      <c r="T184" s="17"/>
    </row>
    <row r="185" ht="15.75" customHeight="1">
      <c r="A185" s="18">
        <v>184.0</v>
      </c>
      <c r="B185" s="12" t="s">
        <v>13</v>
      </c>
      <c r="C185" s="12" t="s">
        <v>14</v>
      </c>
      <c r="D185" s="19" t="s">
        <v>22</v>
      </c>
      <c r="E185" s="12" t="str">
        <f>IFERROR(__xludf.DUMMYFUNCTION("FILTER(colegios!$B$2:$B5618,colegios!$A$2:$A5618=L185)"),"6010231")</f>
        <v>6010231</v>
      </c>
      <c r="F185" s="14" t="s">
        <v>16</v>
      </c>
      <c r="G185" s="20" t="s">
        <v>21</v>
      </c>
      <c r="H185" s="12" t="s">
        <v>18</v>
      </c>
      <c r="I185" s="15">
        <v>2024.0</v>
      </c>
      <c r="J185" s="16" t="str">
        <f>IFERROR(__xludf.DUMMYFUNCTION("FILTER('CLASFICACIÓN'!$F$3:$F5618,'CLASFICACIÓN'!$G$3:$G5618=M185)"),"SOLO 2024")</f>
        <v>SOLO 2024</v>
      </c>
      <c r="K185" s="16"/>
      <c r="L185" s="12" t="s">
        <v>41</v>
      </c>
      <c r="M185" s="16" t="str">
        <f t="shared" si="1"/>
        <v>60102316 Primaria</v>
      </c>
      <c r="N185" s="17"/>
      <c r="O185" s="17"/>
      <c r="P185" s="17"/>
      <c r="Q185" s="17"/>
      <c r="R185" s="17"/>
      <c r="S185" s="17"/>
      <c r="T185" s="17"/>
    </row>
    <row r="186" ht="15.75" customHeight="1">
      <c r="A186" s="18">
        <v>185.0</v>
      </c>
      <c r="B186" s="12" t="s">
        <v>13</v>
      </c>
      <c r="C186" s="12" t="s">
        <v>14</v>
      </c>
      <c r="D186" s="19" t="s">
        <v>22</v>
      </c>
      <c r="E186" s="12" t="str">
        <f>IFERROR(__xludf.DUMMYFUNCTION("FILTER(colegios!$B$2:$B5618,colegios!$A$2:$A5618=L186)"),"6010231")</f>
        <v>6010231</v>
      </c>
      <c r="F186" s="14" t="s">
        <v>16</v>
      </c>
      <c r="G186" s="20" t="s">
        <v>17</v>
      </c>
      <c r="H186" s="12" t="s">
        <v>24</v>
      </c>
      <c r="I186" s="15">
        <v>2024.0</v>
      </c>
      <c r="J186" s="16" t="str">
        <f>IFERROR(__xludf.DUMMYFUNCTION("FILTER('CLASFICACIÓN'!$F$3:$F5618,'CLASFICACIÓN'!$G$3:$G5618=M186)"),"SOLO 2024")</f>
        <v>SOLO 2024</v>
      </c>
      <c r="K186" s="16"/>
      <c r="L186" s="12" t="s">
        <v>41</v>
      </c>
      <c r="M186" s="16" t="str">
        <f t="shared" si="1"/>
        <v>60102316 Primaria</v>
      </c>
      <c r="N186" s="17"/>
      <c r="O186" s="17"/>
      <c r="P186" s="17"/>
      <c r="Q186" s="17"/>
      <c r="R186" s="17"/>
      <c r="S186" s="17"/>
      <c r="T186" s="17"/>
    </row>
    <row r="187" ht="15.75" customHeight="1">
      <c r="A187" s="18">
        <v>186.0</v>
      </c>
      <c r="B187" s="12" t="s">
        <v>13</v>
      </c>
      <c r="C187" s="12" t="s">
        <v>14</v>
      </c>
      <c r="D187" s="19" t="s">
        <v>22</v>
      </c>
      <c r="E187" s="12" t="str">
        <f>IFERROR(__xludf.DUMMYFUNCTION("FILTER(colegios!$B$2:$B5618,colegios!$A$2:$A5618=L187)"),"6010231")</f>
        <v>6010231</v>
      </c>
      <c r="F187" s="14" t="s">
        <v>16</v>
      </c>
      <c r="G187" s="20" t="s">
        <v>17</v>
      </c>
      <c r="H187" s="12" t="s">
        <v>18</v>
      </c>
      <c r="I187" s="15">
        <v>2024.0</v>
      </c>
      <c r="J187" s="16" t="str">
        <f>IFERROR(__xludf.DUMMYFUNCTION("FILTER('CLASFICACIÓN'!$F$3:$F5618,'CLASFICACIÓN'!$G$3:$G5618=M187)"),"SOLO 2024")</f>
        <v>SOLO 2024</v>
      </c>
      <c r="K187" s="16"/>
      <c r="L187" s="12" t="s">
        <v>41</v>
      </c>
      <c r="M187" s="16" t="str">
        <f t="shared" si="1"/>
        <v>60102316 Primaria</v>
      </c>
      <c r="N187" s="17"/>
      <c r="O187" s="17"/>
      <c r="P187" s="17"/>
      <c r="Q187" s="17"/>
      <c r="R187" s="17"/>
      <c r="S187" s="17"/>
      <c r="T187" s="17"/>
    </row>
    <row r="188" ht="15.75" customHeight="1">
      <c r="A188" s="18">
        <v>187.0</v>
      </c>
      <c r="B188" s="12" t="s">
        <v>13</v>
      </c>
      <c r="C188" s="12" t="s">
        <v>14</v>
      </c>
      <c r="D188" s="19" t="s">
        <v>22</v>
      </c>
      <c r="E188" s="12" t="str">
        <f>IFERROR(__xludf.DUMMYFUNCTION("FILTER(colegios!$B$2:$B5618,colegios!$A$2:$A5618=L188)"),"6010231")</f>
        <v>6010231</v>
      </c>
      <c r="F188" s="14" t="s">
        <v>16</v>
      </c>
      <c r="G188" s="20" t="s">
        <v>21</v>
      </c>
      <c r="H188" s="12" t="s">
        <v>24</v>
      </c>
      <c r="I188" s="15">
        <v>2024.0</v>
      </c>
      <c r="J188" s="16" t="str">
        <f>IFERROR(__xludf.DUMMYFUNCTION("FILTER('CLASFICACIÓN'!$F$3:$F5618,'CLASFICACIÓN'!$G$3:$G5618=M188)"),"SOLO 2024")</f>
        <v>SOLO 2024</v>
      </c>
      <c r="K188" s="16"/>
      <c r="L188" s="12" t="s">
        <v>41</v>
      </c>
      <c r="M188" s="16" t="str">
        <f t="shared" si="1"/>
        <v>60102316 Primaria</v>
      </c>
      <c r="N188" s="17"/>
      <c r="O188" s="17"/>
      <c r="P188" s="17"/>
      <c r="Q188" s="17"/>
      <c r="R188" s="17"/>
      <c r="S188" s="17"/>
      <c r="T188" s="17"/>
    </row>
    <row r="189" ht="15.75" customHeight="1">
      <c r="A189" s="18">
        <v>188.0</v>
      </c>
      <c r="B189" s="12" t="s">
        <v>13</v>
      </c>
      <c r="C189" s="12" t="s">
        <v>14</v>
      </c>
      <c r="D189" s="19" t="s">
        <v>22</v>
      </c>
      <c r="E189" s="12" t="str">
        <f>IFERROR(__xludf.DUMMYFUNCTION("FILTER(colegios!$B$2:$B5618,colegios!$A$2:$A5618=L189)"),"6010231")</f>
        <v>6010231</v>
      </c>
      <c r="F189" s="14" t="s">
        <v>16</v>
      </c>
      <c r="G189" s="19" t="s">
        <v>17</v>
      </c>
      <c r="H189" s="14" t="s">
        <v>32</v>
      </c>
      <c r="I189" s="15">
        <v>2024.0</v>
      </c>
      <c r="J189" s="16" t="str">
        <f>IFERROR(__xludf.DUMMYFUNCTION("FILTER('CLASFICACIÓN'!$F$3:$F5618,'CLASFICACIÓN'!$G$3:$G5618=M189)"),"SOLO 2024")</f>
        <v>SOLO 2024</v>
      </c>
      <c r="K189" s="16"/>
      <c r="L189" s="12" t="s">
        <v>41</v>
      </c>
      <c r="M189" s="16" t="str">
        <f t="shared" si="1"/>
        <v>60102316 Primaria</v>
      </c>
      <c r="N189" s="17"/>
      <c r="O189" s="17"/>
      <c r="P189" s="17"/>
      <c r="Q189" s="17"/>
      <c r="R189" s="17"/>
      <c r="S189" s="17"/>
      <c r="T189" s="17"/>
    </row>
    <row r="190" ht="15.75" customHeight="1">
      <c r="A190" s="18">
        <v>189.0</v>
      </c>
      <c r="B190" s="12" t="s">
        <v>13</v>
      </c>
      <c r="C190" s="12" t="s">
        <v>14</v>
      </c>
      <c r="D190" s="19" t="s">
        <v>22</v>
      </c>
      <c r="E190" s="12" t="str">
        <f>IFERROR(__xludf.DUMMYFUNCTION("FILTER(colegios!$B$2:$B5618,colegios!$A$2:$A5618=L190)"),"6010231")</f>
        <v>6010231</v>
      </c>
      <c r="F190" s="14" t="s">
        <v>16</v>
      </c>
      <c r="G190" s="19" t="s">
        <v>21</v>
      </c>
      <c r="H190" s="12" t="s">
        <v>18</v>
      </c>
      <c r="I190" s="15">
        <v>2024.0</v>
      </c>
      <c r="J190" s="16" t="str">
        <f>IFERROR(__xludf.DUMMYFUNCTION("FILTER('CLASFICACIÓN'!$F$3:$F5618,'CLASFICACIÓN'!$G$3:$G5618=M190)"),"SOLO 2024")</f>
        <v>SOLO 2024</v>
      </c>
      <c r="K190" s="16"/>
      <c r="L190" s="12" t="s">
        <v>41</v>
      </c>
      <c r="M190" s="16" t="str">
        <f t="shared" si="1"/>
        <v>60102316 Primaria</v>
      </c>
      <c r="N190" s="17"/>
      <c r="O190" s="17"/>
      <c r="P190" s="17"/>
      <c r="Q190" s="17"/>
      <c r="R190" s="17"/>
      <c r="S190" s="17"/>
      <c r="T190" s="17"/>
    </row>
    <row r="191" ht="15.75" customHeight="1">
      <c r="A191" s="18">
        <v>190.0</v>
      </c>
      <c r="B191" s="12" t="s">
        <v>13</v>
      </c>
      <c r="C191" s="12" t="s">
        <v>14</v>
      </c>
      <c r="D191" s="19" t="s">
        <v>22</v>
      </c>
      <c r="E191" s="12" t="str">
        <f>IFERROR(__xludf.DUMMYFUNCTION("FILTER(colegios!$B$2:$B5618,colegios!$A$2:$A5618=L191)"),"6010231")</f>
        <v>6010231</v>
      </c>
      <c r="F191" s="14" t="s">
        <v>16</v>
      </c>
      <c r="G191" s="19" t="s">
        <v>21</v>
      </c>
      <c r="H191" s="12" t="s">
        <v>24</v>
      </c>
      <c r="I191" s="15">
        <v>2024.0</v>
      </c>
      <c r="J191" s="16" t="str">
        <f>IFERROR(__xludf.DUMMYFUNCTION("FILTER('CLASFICACIÓN'!$F$3:$F5618,'CLASFICACIÓN'!$G$3:$G5618=M191)"),"SOLO 2024")</f>
        <v>SOLO 2024</v>
      </c>
      <c r="K191" s="16"/>
      <c r="L191" s="12" t="s">
        <v>41</v>
      </c>
      <c r="M191" s="16" t="str">
        <f t="shared" si="1"/>
        <v>60102316 Primaria</v>
      </c>
      <c r="N191" s="17"/>
      <c r="O191" s="17"/>
      <c r="P191" s="17"/>
      <c r="Q191" s="17"/>
      <c r="R191" s="17"/>
      <c r="S191" s="17"/>
      <c r="T191" s="17"/>
    </row>
    <row r="192" ht="15.75" customHeight="1">
      <c r="A192" s="18">
        <v>191.0</v>
      </c>
      <c r="B192" s="12" t="s">
        <v>13</v>
      </c>
      <c r="C192" s="12" t="s">
        <v>14</v>
      </c>
      <c r="D192" s="19" t="s">
        <v>22</v>
      </c>
      <c r="E192" s="12" t="str">
        <f>IFERROR(__xludf.DUMMYFUNCTION("FILTER(colegios!$B$2:$B5618,colegios!$A$2:$A5618=L192)"),"6010231")</f>
        <v>6010231</v>
      </c>
      <c r="F192" s="14" t="s">
        <v>16</v>
      </c>
      <c r="G192" s="19" t="s">
        <v>17</v>
      </c>
      <c r="H192" s="12" t="s">
        <v>24</v>
      </c>
      <c r="I192" s="15">
        <v>2024.0</v>
      </c>
      <c r="J192" s="16" t="str">
        <f>IFERROR(__xludf.DUMMYFUNCTION("FILTER('CLASFICACIÓN'!$F$3:$F5618,'CLASFICACIÓN'!$G$3:$G5618=M192)"),"SOLO 2024")</f>
        <v>SOLO 2024</v>
      </c>
      <c r="K192" s="16"/>
      <c r="L192" s="12" t="s">
        <v>41</v>
      </c>
      <c r="M192" s="16" t="str">
        <f t="shared" si="1"/>
        <v>60102316 Primaria</v>
      </c>
      <c r="N192" s="17"/>
      <c r="O192" s="17"/>
      <c r="P192" s="17"/>
      <c r="Q192" s="17"/>
      <c r="R192" s="17"/>
      <c r="S192" s="17"/>
      <c r="T192" s="17"/>
    </row>
    <row r="193" ht="15.75" customHeight="1">
      <c r="A193" s="18">
        <v>192.0</v>
      </c>
      <c r="B193" s="12" t="s">
        <v>13</v>
      </c>
      <c r="C193" s="12" t="s">
        <v>14</v>
      </c>
      <c r="D193" s="19" t="s">
        <v>22</v>
      </c>
      <c r="E193" s="12" t="str">
        <f>IFERROR(__xludf.DUMMYFUNCTION("FILTER(colegios!$B$2:$B5618,colegios!$A$2:$A5618=L193)"),"6010231")</f>
        <v>6010231</v>
      </c>
      <c r="F193" s="14" t="s">
        <v>16</v>
      </c>
      <c r="G193" s="19" t="s">
        <v>17</v>
      </c>
      <c r="H193" s="14" t="s">
        <v>32</v>
      </c>
      <c r="I193" s="15">
        <v>2024.0</v>
      </c>
      <c r="J193" s="16" t="str">
        <f>IFERROR(__xludf.DUMMYFUNCTION("FILTER('CLASFICACIÓN'!$F$3:$F5618,'CLASFICACIÓN'!$G$3:$G5618=M193)"),"SOLO 2024")</f>
        <v>SOLO 2024</v>
      </c>
      <c r="K193" s="16"/>
      <c r="L193" s="12" t="s">
        <v>41</v>
      </c>
      <c r="M193" s="16" t="str">
        <f t="shared" si="1"/>
        <v>60102316 Primaria</v>
      </c>
      <c r="N193" s="17"/>
      <c r="O193" s="17"/>
      <c r="P193" s="17"/>
      <c r="Q193" s="17"/>
      <c r="R193" s="17"/>
      <c r="S193" s="17"/>
      <c r="T193" s="17"/>
    </row>
    <row r="194" ht="15.75" customHeight="1">
      <c r="A194" s="18">
        <v>193.0</v>
      </c>
      <c r="B194" s="12" t="s">
        <v>13</v>
      </c>
      <c r="C194" s="12" t="s">
        <v>14</v>
      </c>
      <c r="D194" s="19" t="s">
        <v>22</v>
      </c>
      <c r="E194" s="12" t="str">
        <f>IFERROR(__xludf.DUMMYFUNCTION("FILTER(colegios!$B$2:$B5618,colegios!$A$2:$A5618=L194)"),"6010231")</f>
        <v>6010231</v>
      </c>
      <c r="F194" s="14" t="s">
        <v>16</v>
      </c>
      <c r="G194" s="19" t="s">
        <v>17</v>
      </c>
      <c r="H194" s="14" t="s">
        <v>32</v>
      </c>
      <c r="I194" s="15">
        <v>2024.0</v>
      </c>
      <c r="J194" s="16" t="str">
        <f>IFERROR(__xludf.DUMMYFUNCTION("FILTER('CLASFICACIÓN'!$F$3:$F5618,'CLASFICACIÓN'!$G$3:$G5618=M194)"),"SOLO 2024")</f>
        <v>SOLO 2024</v>
      </c>
      <c r="K194" s="16"/>
      <c r="L194" s="12" t="s">
        <v>41</v>
      </c>
      <c r="M194" s="16" t="str">
        <f t="shared" si="1"/>
        <v>60102316 Primaria</v>
      </c>
      <c r="N194" s="17"/>
      <c r="O194" s="17"/>
      <c r="P194" s="17"/>
      <c r="Q194" s="17"/>
      <c r="R194" s="17"/>
      <c r="S194" s="17"/>
      <c r="T194" s="17"/>
    </row>
    <row r="195" ht="15.75" customHeight="1">
      <c r="A195" s="18">
        <v>194.0</v>
      </c>
      <c r="B195" s="12" t="s">
        <v>13</v>
      </c>
      <c r="C195" s="12" t="s">
        <v>27</v>
      </c>
      <c r="D195" s="19" t="s">
        <v>28</v>
      </c>
      <c r="E195" s="12" t="str">
        <f>IFERROR(__xludf.DUMMYFUNCTION("FILTER(colegios!$B$2:$B5618,colegios!$A$2:$A5618=L195)"),"6010231")</f>
        <v>6010231</v>
      </c>
      <c r="F195" s="14" t="s">
        <v>16</v>
      </c>
      <c r="G195" s="19" t="s">
        <v>17</v>
      </c>
      <c r="H195" s="12" t="s">
        <v>24</v>
      </c>
      <c r="I195" s="15">
        <v>2024.0</v>
      </c>
      <c r="J195" s="16" t="str">
        <f>IFERROR(__xludf.DUMMYFUNCTION("FILTER('CLASFICACIÓN'!$F$3:$F5618,'CLASFICACIÓN'!$G$3:$G5618=M195)"),"SOLO 2024")</f>
        <v>SOLO 2024</v>
      </c>
      <c r="K195" s="16"/>
      <c r="L195" s="12" t="s">
        <v>41</v>
      </c>
      <c r="M195" s="16" t="str">
        <f t="shared" si="1"/>
        <v>60102312 Secundaria</v>
      </c>
      <c r="N195" s="17"/>
      <c r="O195" s="17"/>
      <c r="P195" s="17"/>
      <c r="Q195" s="17"/>
      <c r="R195" s="17"/>
      <c r="S195" s="17"/>
      <c r="T195" s="17"/>
    </row>
    <row r="196" ht="15.75" customHeight="1">
      <c r="A196" s="18">
        <v>195.0</v>
      </c>
      <c r="B196" s="12" t="s">
        <v>13</v>
      </c>
      <c r="C196" s="12" t="s">
        <v>27</v>
      </c>
      <c r="D196" s="19" t="s">
        <v>28</v>
      </c>
      <c r="E196" s="12" t="str">
        <f>IFERROR(__xludf.DUMMYFUNCTION("FILTER(colegios!$B$2:$B5618,colegios!$A$2:$A5618=L196)"),"6010231")</f>
        <v>6010231</v>
      </c>
      <c r="F196" s="14" t="s">
        <v>16</v>
      </c>
      <c r="G196" s="19" t="s">
        <v>21</v>
      </c>
      <c r="H196" s="12" t="s">
        <v>18</v>
      </c>
      <c r="I196" s="15">
        <v>2024.0</v>
      </c>
      <c r="J196" s="16" t="str">
        <f>IFERROR(__xludf.DUMMYFUNCTION("FILTER('CLASFICACIÓN'!$F$3:$F5618,'CLASFICACIÓN'!$G$3:$G5618=M196)"),"SOLO 2024")</f>
        <v>SOLO 2024</v>
      </c>
      <c r="K196" s="16"/>
      <c r="L196" s="12" t="s">
        <v>41</v>
      </c>
      <c r="M196" s="16" t="str">
        <f t="shared" si="1"/>
        <v>60102312 Secundaria</v>
      </c>
      <c r="N196" s="17"/>
      <c r="O196" s="17"/>
      <c r="P196" s="17"/>
      <c r="Q196" s="17"/>
      <c r="R196" s="17"/>
      <c r="S196" s="17"/>
      <c r="T196" s="17"/>
    </row>
    <row r="197" ht="15.75" customHeight="1">
      <c r="A197" s="18">
        <v>196.0</v>
      </c>
      <c r="B197" s="12" t="s">
        <v>13</v>
      </c>
      <c r="C197" s="12" t="s">
        <v>27</v>
      </c>
      <c r="D197" s="19" t="s">
        <v>28</v>
      </c>
      <c r="E197" s="12" t="str">
        <f>IFERROR(__xludf.DUMMYFUNCTION("FILTER(colegios!$B$2:$B5618,colegios!$A$2:$A5618=L197)"),"6010231")</f>
        <v>6010231</v>
      </c>
      <c r="F197" s="14" t="s">
        <v>16</v>
      </c>
      <c r="G197" s="19" t="s">
        <v>21</v>
      </c>
      <c r="H197" s="12" t="s">
        <v>24</v>
      </c>
      <c r="I197" s="15">
        <v>2024.0</v>
      </c>
      <c r="J197" s="16" t="str">
        <f>IFERROR(__xludf.DUMMYFUNCTION("FILTER('CLASFICACIÓN'!$F$3:$F5618,'CLASFICACIÓN'!$G$3:$G5618=M197)"),"SOLO 2024")</f>
        <v>SOLO 2024</v>
      </c>
      <c r="K197" s="16"/>
      <c r="L197" s="12" t="s">
        <v>41</v>
      </c>
      <c r="M197" s="16" t="str">
        <f t="shared" si="1"/>
        <v>60102312 Secundaria</v>
      </c>
      <c r="N197" s="17"/>
      <c r="O197" s="17"/>
      <c r="P197" s="17"/>
      <c r="Q197" s="17"/>
      <c r="R197" s="17"/>
      <c r="S197" s="17"/>
      <c r="T197" s="17"/>
    </row>
    <row r="198" ht="15.75" customHeight="1">
      <c r="A198" s="18">
        <v>197.0</v>
      </c>
      <c r="B198" s="12" t="s">
        <v>13</v>
      </c>
      <c r="C198" s="12" t="s">
        <v>27</v>
      </c>
      <c r="D198" s="19" t="s">
        <v>28</v>
      </c>
      <c r="E198" s="12" t="str">
        <f>IFERROR(__xludf.DUMMYFUNCTION("FILTER(colegios!$B$2:$B5618,colegios!$A$2:$A5618=L198)"),"6010231")</f>
        <v>6010231</v>
      </c>
      <c r="F198" s="14" t="s">
        <v>16</v>
      </c>
      <c r="G198" s="19" t="s">
        <v>21</v>
      </c>
      <c r="H198" s="12" t="s">
        <v>24</v>
      </c>
      <c r="I198" s="15">
        <v>2024.0</v>
      </c>
      <c r="J198" s="16" t="str">
        <f>IFERROR(__xludf.DUMMYFUNCTION("FILTER('CLASFICACIÓN'!$F$3:$F5618,'CLASFICACIÓN'!$G$3:$G5618=M198)"),"SOLO 2024")</f>
        <v>SOLO 2024</v>
      </c>
      <c r="K198" s="16"/>
      <c r="L198" s="12" t="s">
        <v>41</v>
      </c>
      <c r="M198" s="16" t="str">
        <f t="shared" si="1"/>
        <v>60102312 Secundaria</v>
      </c>
      <c r="N198" s="17"/>
      <c r="O198" s="17"/>
      <c r="P198" s="17"/>
      <c r="Q198" s="17"/>
      <c r="R198" s="17"/>
      <c r="S198" s="17"/>
      <c r="T198" s="17"/>
    </row>
    <row r="199" ht="15.75" customHeight="1">
      <c r="A199" s="18">
        <v>198.0</v>
      </c>
      <c r="B199" s="12" t="s">
        <v>13</v>
      </c>
      <c r="C199" s="12" t="s">
        <v>27</v>
      </c>
      <c r="D199" s="19" t="s">
        <v>28</v>
      </c>
      <c r="E199" s="12" t="str">
        <f>IFERROR(__xludf.DUMMYFUNCTION("FILTER(colegios!$B$2:$B5618,colegios!$A$2:$A5618=L199)"),"6010231")</f>
        <v>6010231</v>
      </c>
      <c r="F199" s="14" t="s">
        <v>16</v>
      </c>
      <c r="G199" s="19" t="s">
        <v>17</v>
      </c>
      <c r="H199" s="12" t="s">
        <v>18</v>
      </c>
      <c r="I199" s="15">
        <v>2024.0</v>
      </c>
      <c r="J199" s="16" t="str">
        <f>IFERROR(__xludf.DUMMYFUNCTION("FILTER('CLASFICACIÓN'!$F$3:$F5618,'CLASFICACIÓN'!$G$3:$G5618=M199)"),"SOLO 2024")</f>
        <v>SOLO 2024</v>
      </c>
      <c r="K199" s="16"/>
      <c r="L199" s="12" t="s">
        <v>41</v>
      </c>
      <c r="M199" s="16" t="str">
        <f t="shared" si="1"/>
        <v>60102312 Secundaria</v>
      </c>
      <c r="N199" s="17"/>
      <c r="O199" s="17"/>
      <c r="P199" s="17"/>
      <c r="Q199" s="17"/>
      <c r="R199" s="17"/>
      <c r="S199" s="17"/>
      <c r="T199" s="17"/>
    </row>
    <row r="200" ht="15.75" customHeight="1">
      <c r="A200" s="18">
        <v>199.0</v>
      </c>
      <c r="B200" s="12" t="s">
        <v>13</v>
      </c>
      <c r="C200" s="12" t="s">
        <v>27</v>
      </c>
      <c r="D200" s="19" t="s">
        <v>28</v>
      </c>
      <c r="E200" s="12" t="str">
        <f>IFERROR(__xludf.DUMMYFUNCTION("FILTER(colegios!$B$2:$B5618,colegios!$A$2:$A5618=L200)"),"6010231")</f>
        <v>6010231</v>
      </c>
      <c r="F200" s="14" t="s">
        <v>16</v>
      </c>
      <c r="G200" s="19" t="s">
        <v>17</v>
      </c>
      <c r="H200" s="12" t="s">
        <v>18</v>
      </c>
      <c r="I200" s="15">
        <v>2024.0</v>
      </c>
      <c r="J200" s="16" t="str">
        <f>IFERROR(__xludf.DUMMYFUNCTION("FILTER('CLASFICACIÓN'!$F$3:$F5618,'CLASFICACIÓN'!$G$3:$G5618=M200)"),"SOLO 2024")</f>
        <v>SOLO 2024</v>
      </c>
      <c r="K200" s="16"/>
      <c r="L200" s="12" t="s">
        <v>41</v>
      </c>
      <c r="M200" s="16" t="str">
        <f t="shared" si="1"/>
        <v>60102312 Secundaria</v>
      </c>
      <c r="N200" s="17"/>
      <c r="O200" s="17"/>
      <c r="P200" s="17"/>
      <c r="Q200" s="17"/>
      <c r="R200" s="17"/>
      <c r="S200" s="17"/>
      <c r="T200" s="17"/>
    </row>
    <row r="201" ht="15.75" customHeight="1">
      <c r="A201" s="18">
        <v>200.0</v>
      </c>
      <c r="B201" s="12" t="s">
        <v>13</v>
      </c>
      <c r="C201" s="12" t="s">
        <v>27</v>
      </c>
      <c r="D201" s="19" t="s">
        <v>28</v>
      </c>
      <c r="E201" s="12" t="str">
        <f>IFERROR(__xludf.DUMMYFUNCTION("FILTER(colegios!$B$2:$B5618,colegios!$A$2:$A5618=L201)"),"6010231")</f>
        <v>6010231</v>
      </c>
      <c r="F201" s="14" t="s">
        <v>16</v>
      </c>
      <c r="G201" s="19" t="s">
        <v>21</v>
      </c>
      <c r="H201" s="12" t="s">
        <v>24</v>
      </c>
      <c r="I201" s="15">
        <v>2024.0</v>
      </c>
      <c r="J201" s="16" t="str">
        <f>IFERROR(__xludf.DUMMYFUNCTION("FILTER('CLASFICACIÓN'!$F$3:$F5618,'CLASFICACIÓN'!$G$3:$G5618=M201)"),"SOLO 2024")</f>
        <v>SOLO 2024</v>
      </c>
      <c r="K201" s="16"/>
      <c r="L201" s="12" t="s">
        <v>41</v>
      </c>
      <c r="M201" s="16" t="str">
        <f t="shared" si="1"/>
        <v>60102312 Secundaria</v>
      </c>
      <c r="N201" s="17"/>
      <c r="O201" s="17"/>
      <c r="P201" s="17"/>
      <c r="Q201" s="17"/>
      <c r="R201" s="17"/>
      <c r="S201" s="17"/>
      <c r="T201" s="17"/>
    </row>
    <row r="202" ht="15.75" customHeight="1">
      <c r="A202" s="18">
        <v>201.0</v>
      </c>
      <c r="B202" s="12" t="s">
        <v>13</v>
      </c>
      <c r="C202" s="12" t="s">
        <v>27</v>
      </c>
      <c r="D202" s="19" t="s">
        <v>28</v>
      </c>
      <c r="E202" s="12" t="str">
        <f>IFERROR(__xludf.DUMMYFUNCTION("FILTER(colegios!$B$2:$B5618,colegios!$A$2:$A5618=L202)"),"6010231")</f>
        <v>6010231</v>
      </c>
      <c r="F202" s="14" t="s">
        <v>16</v>
      </c>
      <c r="G202" s="19" t="s">
        <v>21</v>
      </c>
      <c r="H202" s="12" t="s">
        <v>24</v>
      </c>
      <c r="I202" s="15">
        <v>2024.0</v>
      </c>
      <c r="J202" s="16" t="str">
        <f>IFERROR(__xludf.DUMMYFUNCTION("FILTER('CLASFICACIÓN'!$F$3:$F5618,'CLASFICACIÓN'!$G$3:$G5618=M202)"),"SOLO 2024")</f>
        <v>SOLO 2024</v>
      </c>
      <c r="K202" s="16"/>
      <c r="L202" s="12" t="s">
        <v>41</v>
      </c>
      <c r="M202" s="16" t="str">
        <f t="shared" si="1"/>
        <v>60102312 Secundaria</v>
      </c>
      <c r="N202" s="17"/>
      <c r="O202" s="17"/>
      <c r="P202" s="17"/>
      <c r="Q202" s="17"/>
      <c r="R202" s="17"/>
      <c r="S202" s="17"/>
      <c r="T202" s="17"/>
    </row>
    <row r="203" ht="15.75" customHeight="1">
      <c r="A203" s="18">
        <v>202.0</v>
      </c>
      <c r="B203" s="12" t="s">
        <v>13</v>
      </c>
      <c r="C203" s="12" t="s">
        <v>27</v>
      </c>
      <c r="D203" s="19" t="s">
        <v>28</v>
      </c>
      <c r="E203" s="12" t="str">
        <f>IFERROR(__xludf.DUMMYFUNCTION("FILTER(colegios!$B$2:$B5618,colegios!$A$2:$A5618=L203)"),"6010231")</f>
        <v>6010231</v>
      </c>
      <c r="F203" s="14" t="s">
        <v>16</v>
      </c>
      <c r="G203" s="19" t="s">
        <v>21</v>
      </c>
      <c r="H203" s="12" t="s">
        <v>24</v>
      </c>
      <c r="I203" s="15">
        <v>2024.0</v>
      </c>
      <c r="J203" s="16" t="str">
        <f>IFERROR(__xludf.DUMMYFUNCTION("FILTER('CLASFICACIÓN'!$F$3:$F5618,'CLASFICACIÓN'!$G$3:$G5618=M203)"),"SOLO 2024")</f>
        <v>SOLO 2024</v>
      </c>
      <c r="K203" s="16"/>
      <c r="L203" s="12" t="s">
        <v>41</v>
      </c>
      <c r="M203" s="16" t="str">
        <f t="shared" si="1"/>
        <v>60102312 Secundaria</v>
      </c>
      <c r="N203" s="17"/>
      <c r="O203" s="17"/>
      <c r="P203" s="17"/>
      <c r="Q203" s="17"/>
      <c r="R203" s="17"/>
      <c r="S203" s="17"/>
      <c r="T203" s="17"/>
    </row>
    <row r="204" ht="15.75" customHeight="1">
      <c r="A204" s="18">
        <v>203.0</v>
      </c>
      <c r="B204" s="12" t="s">
        <v>13</v>
      </c>
      <c r="C204" s="12" t="s">
        <v>27</v>
      </c>
      <c r="D204" s="19" t="s">
        <v>28</v>
      </c>
      <c r="E204" s="12" t="str">
        <f>IFERROR(__xludf.DUMMYFUNCTION("FILTER(colegios!$B$2:$B5618,colegios!$A$2:$A5618=L204)"),"6010231")</f>
        <v>6010231</v>
      </c>
      <c r="F204" s="14" t="s">
        <v>16</v>
      </c>
      <c r="G204" s="19" t="s">
        <v>21</v>
      </c>
      <c r="H204" s="12" t="s">
        <v>24</v>
      </c>
      <c r="I204" s="15">
        <v>2024.0</v>
      </c>
      <c r="J204" s="16" t="str">
        <f>IFERROR(__xludf.DUMMYFUNCTION("FILTER('CLASFICACIÓN'!$F$3:$F5618,'CLASFICACIÓN'!$G$3:$G5618=M204)"),"SOLO 2024")</f>
        <v>SOLO 2024</v>
      </c>
      <c r="K204" s="16"/>
      <c r="L204" s="12" t="s">
        <v>41</v>
      </c>
      <c r="M204" s="16" t="str">
        <f t="shared" si="1"/>
        <v>60102312 Secundaria</v>
      </c>
      <c r="N204" s="17"/>
      <c r="O204" s="17"/>
      <c r="P204" s="17"/>
      <c r="Q204" s="17"/>
      <c r="R204" s="17"/>
      <c r="S204" s="17"/>
      <c r="T204" s="17"/>
    </row>
    <row r="205" ht="15.75" customHeight="1">
      <c r="A205" s="18">
        <v>204.0</v>
      </c>
      <c r="B205" s="12" t="s">
        <v>13</v>
      </c>
      <c r="C205" s="12" t="s">
        <v>27</v>
      </c>
      <c r="D205" s="19" t="s">
        <v>28</v>
      </c>
      <c r="E205" s="12" t="str">
        <f>IFERROR(__xludf.DUMMYFUNCTION("FILTER(colegios!$B$2:$B5618,colegios!$A$2:$A5618=L205)"),"6010231")</f>
        <v>6010231</v>
      </c>
      <c r="F205" s="14" t="s">
        <v>16</v>
      </c>
      <c r="G205" s="19" t="s">
        <v>17</v>
      </c>
      <c r="H205" s="12" t="s">
        <v>24</v>
      </c>
      <c r="I205" s="15">
        <v>2024.0</v>
      </c>
      <c r="J205" s="16" t="str">
        <f>IFERROR(__xludf.DUMMYFUNCTION("FILTER('CLASFICACIÓN'!$F$3:$F5618,'CLASFICACIÓN'!$G$3:$G5618=M205)"),"SOLO 2024")</f>
        <v>SOLO 2024</v>
      </c>
      <c r="K205" s="16"/>
      <c r="L205" s="12" t="s">
        <v>41</v>
      </c>
      <c r="M205" s="16" t="str">
        <f t="shared" si="1"/>
        <v>60102312 Secundaria</v>
      </c>
      <c r="N205" s="17"/>
      <c r="O205" s="17"/>
      <c r="P205" s="17"/>
      <c r="Q205" s="17"/>
      <c r="R205" s="17"/>
      <c r="S205" s="17"/>
      <c r="T205" s="17"/>
    </row>
    <row r="206" ht="15.75" customHeight="1">
      <c r="A206" s="18">
        <v>205.0</v>
      </c>
      <c r="B206" s="12" t="s">
        <v>13</v>
      </c>
      <c r="C206" s="12" t="s">
        <v>27</v>
      </c>
      <c r="D206" s="19" t="s">
        <v>28</v>
      </c>
      <c r="E206" s="12" t="str">
        <f>IFERROR(__xludf.DUMMYFUNCTION("FILTER(colegios!$B$2:$B5618,colegios!$A$2:$A5618=L206)"),"6010231")</f>
        <v>6010231</v>
      </c>
      <c r="F206" s="14" t="s">
        <v>16</v>
      </c>
      <c r="G206" s="20" t="s">
        <v>17</v>
      </c>
      <c r="H206" s="12" t="s">
        <v>18</v>
      </c>
      <c r="I206" s="15">
        <v>2024.0</v>
      </c>
      <c r="J206" s="16" t="str">
        <f>IFERROR(__xludf.DUMMYFUNCTION("FILTER('CLASFICACIÓN'!$F$3:$F5618,'CLASFICACIÓN'!$G$3:$G5618=M206)"),"SOLO 2024")</f>
        <v>SOLO 2024</v>
      </c>
      <c r="K206" s="16"/>
      <c r="L206" s="12" t="s">
        <v>41</v>
      </c>
      <c r="M206" s="16" t="str">
        <f t="shared" si="1"/>
        <v>60102312 Secundaria</v>
      </c>
      <c r="N206" s="17"/>
      <c r="O206" s="17"/>
      <c r="P206" s="17"/>
      <c r="Q206" s="17"/>
      <c r="R206" s="17"/>
      <c r="S206" s="17"/>
      <c r="T206" s="17"/>
    </row>
    <row r="207" ht="15.75" customHeight="1">
      <c r="A207" s="18">
        <v>206.0</v>
      </c>
      <c r="B207" s="12" t="s">
        <v>13</v>
      </c>
      <c r="C207" s="12" t="s">
        <v>27</v>
      </c>
      <c r="D207" s="19" t="s">
        <v>28</v>
      </c>
      <c r="E207" s="12" t="str">
        <f>IFERROR(__xludf.DUMMYFUNCTION("FILTER(colegios!$B$2:$B5618,colegios!$A$2:$A5618=L207)"),"6010231")</f>
        <v>6010231</v>
      </c>
      <c r="F207" s="14" t="s">
        <v>16</v>
      </c>
      <c r="G207" s="20" t="s">
        <v>17</v>
      </c>
      <c r="H207" s="12" t="s">
        <v>18</v>
      </c>
      <c r="I207" s="15">
        <v>2024.0</v>
      </c>
      <c r="J207" s="16" t="str">
        <f>IFERROR(__xludf.DUMMYFUNCTION("FILTER('CLASFICACIÓN'!$F$3:$F5618,'CLASFICACIÓN'!$G$3:$G5618=M207)"),"SOLO 2024")</f>
        <v>SOLO 2024</v>
      </c>
      <c r="K207" s="16"/>
      <c r="L207" s="12" t="s">
        <v>41</v>
      </c>
      <c r="M207" s="16" t="str">
        <f t="shared" si="1"/>
        <v>60102312 Secundaria</v>
      </c>
      <c r="N207" s="17"/>
      <c r="O207" s="17"/>
      <c r="P207" s="17"/>
      <c r="Q207" s="17"/>
      <c r="R207" s="17"/>
      <c r="S207" s="17"/>
      <c r="T207" s="17"/>
    </row>
    <row r="208" ht="15.75" customHeight="1">
      <c r="A208" s="18">
        <v>207.0</v>
      </c>
      <c r="B208" s="12" t="s">
        <v>13</v>
      </c>
      <c r="C208" s="12" t="s">
        <v>27</v>
      </c>
      <c r="D208" s="19" t="s">
        <v>28</v>
      </c>
      <c r="E208" s="12" t="str">
        <f>IFERROR(__xludf.DUMMYFUNCTION("FILTER(colegios!$B$2:$B5618,colegios!$A$2:$A5618=L208)"),"6010231")</f>
        <v>6010231</v>
      </c>
      <c r="F208" s="14" t="s">
        <v>16</v>
      </c>
      <c r="G208" s="20" t="s">
        <v>21</v>
      </c>
      <c r="H208" s="12" t="s">
        <v>24</v>
      </c>
      <c r="I208" s="15">
        <v>2024.0</v>
      </c>
      <c r="J208" s="16" t="str">
        <f>IFERROR(__xludf.DUMMYFUNCTION("FILTER('CLASFICACIÓN'!$F$3:$F5618,'CLASFICACIÓN'!$G$3:$G5618=M208)"),"SOLO 2024")</f>
        <v>SOLO 2024</v>
      </c>
      <c r="K208" s="16"/>
      <c r="L208" s="12" t="s">
        <v>41</v>
      </c>
      <c r="M208" s="16" t="str">
        <f t="shared" si="1"/>
        <v>60102312 Secundaria</v>
      </c>
      <c r="N208" s="17"/>
      <c r="O208" s="17"/>
      <c r="P208" s="17"/>
      <c r="Q208" s="17"/>
      <c r="R208" s="17"/>
      <c r="S208" s="17"/>
      <c r="T208" s="17"/>
    </row>
    <row r="209" ht="15.75" customHeight="1">
      <c r="A209" s="18">
        <v>208.0</v>
      </c>
      <c r="B209" s="12" t="s">
        <v>13</v>
      </c>
      <c r="C209" s="12" t="s">
        <v>27</v>
      </c>
      <c r="D209" s="19" t="s">
        <v>28</v>
      </c>
      <c r="E209" s="12" t="str">
        <f>IFERROR(__xludf.DUMMYFUNCTION("FILTER(colegios!$B$2:$B5618,colegios!$A$2:$A5618=L209)"),"6010231")</f>
        <v>6010231</v>
      </c>
      <c r="F209" s="14" t="s">
        <v>16</v>
      </c>
      <c r="G209" s="20" t="s">
        <v>21</v>
      </c>
      <c r="H209" s="12" t="s">
        <v>24</v>
      </c>
      <c r="I209" s="15">
        <v>2024.0</v>
      </c>
      <c r="J209" s="16" t="str">
        <f>IFERROR(__xludf.DUMMYFUNCTION("FILTER('CLASFICACIÓN'!$F$3:$F5618,'CLASFICACIÓN'!$G$3:$G5618=M209)"),"SOLO 2024")</f>
        <v>SOLO 2024</v>
      </c>
      <c r="K209" s="16"/>
      <c r="L209" s="12" t="s">
        <v>41</v>
      </c>
      <c r="M209" s="16" t="str">
        <f t="shared" si="1"/>
        <v>60102312 Secundaria</v>
      </c>
      <c r="N209" s="17"/>
      <c r="O209" s="17"/>
      <c r="P209" s="17"/>
      <c r="Q209" s="17"/>
      <c r="R209" s="17"/>
      <c r="S209" s="17"/>
      <c r="T209" s="17"/>
    </row>
    <row r="210" ht="15.75" customHeight="1">
      <c r="A210" s="18">
        <v>209.0</v>
      </c>
      <c r="B210" s="12" t="s">
        <v>13</v>
      </c>
      <c r="C210" s="12" t="s">
        <v>27</v>
      </c>
      <c r="D210" s="19" t="s">
        <v>28</v>
      </c>
      <c r="E210" s="12" t="str">
        <f>IFERROR(__xludf.DUMMYFUNCTION("FILTER(colegios!$B$2:$B5618,colegios!$A$2:$A5618=L210)"),"6010231")</f>
        <v>6010231</v>
      </c>
      <c r="F210" s="14" t="s">
        <v>16</v>
      </c>
      <c r="G210" s="20" t="s">
        <v>17</v>
      </c>
      <c r="H210" s="12" t="s">
        <v>24</v>
      </c>
      <c r="I210" s="15">
        <v>2024.0</v>
      </c>
      <c r="J210" s="16" t="str">
        <f>IFERROR(__xludf.DUMMYFUNCTION("FILTER('CLASFICACIÓN'!$F$3:$F5618,'CLASFICACIÓN'!$G$3:$G5618=M210)"),"SOLO 2024")</f>
        <v>SOLO 2024</v>
      </c>
      <c r="K210" s="16"/>
      <c r="L210" s="12" t="s">
        <v>41</v>
      </c>
      <c r="M210" s="16" t="str">
        <f t="shared" si="1"/>
        <v>60102312 Secundaria</v>
      </c>
      <c r="N210" s="17"/>
      <c r="O210" s="17"/>
      <c r="P210" s="17"/>
      <c r="Q210" s="17"/>
      <c r="R210" s="17"/>
      <c r="S210" s="17"/>
      <c r="T210" s="17"/>
    </row>
    <row r="211" ht="15.75" customHeight="1">
      <c r="A211" s="18">
        <v>210.0</v>
      </c>
      <c r="B211" s="12" t="s">
        <v>13</v>
      </c>
      <c r="C211" s="12" t="s">
        <v>27</v>
      </c>
      <c r="D211" s="19" t="s">
        <v>28</v>
      </c>
      <c r="E211" s="12" t="str">
        <f>IFERROR(__xludf.DUMMYFUNCTION("FILTER(colegios!$B$2:$B5618,colegios!$A$2:$A5618=L211)"),"6010231")</f>
        <v>6010231</v>
      </c>
      <c r="F211" s="14" t="s">
        <v>16</v>
      </c>
      <c r="G211" s="20" t="s">
        <v>17</v>
      </c>
      <c r="H211" s="12" t="s">
        <v>24</v>
      </c>
      <c r="I211" s="15">
        <v>2024.0</v>
      </c>
      <c r="J211" s="16" t="str">
        <f>IFERROR(__xludf.DUMMYFUNCTION("FILTER('CLASFICACIÓN'!$F$3:$F5618,'CLASFICACIÓN'!$G$3:$G5618=M211)"),"SOLO 2024")</f>
        <v>SOLO 2024</v>
      </c>
      <c r="K211" s="16"/>
      <c r="L211" s="12" t="s">
        <v>41</v>
      </c>
      <c r="M211" s="16" t="str">
        <f t="shared" si="1"/>
        <v>60102312 Secundaria</v>
      </c>
      <c r="N211" s="17"/>
      <c r="O211" s="17"/>
      <c r="P211" s="17"/>
      <c r="Q211" s="17"/>
      <c r="R211" s="17"/>
      <c r="S211" s="17"/>
      <c r="T211" s="17"/>
    </row>
    <row r="212" ht="15.75" customHeight="1">
      <c r="A212" s="18">
        <v>211.0</v>
      </c>
      <c r="B212" s="12" t="s">
        <v>13</v>
      </c>
      <c r="C212" s="12" t="s">
        <v>27</v>
      </c>
      <c r="D212" s="19" t="s">
        <v>28</v>
      </c>
      <c r="E212" s="12" t="str">
        <f>IFERROR(__xludf.DUMMYFUNCTION("FILTER(colegios!$B$2:$B5618,colegios!$A$2:$A5618=L212)"),"6010231")</f>
        <v>6010231</v>
      </c>
      <c r="F212" s="14" t="s">
        <v>16</v>
      </c>
      <c r="G212" s="20" t="s">
        <v>17</v>
      </c>
      <c r="H212" s="12" t="s">
        <v>24</v>
      </c>
      <c r="I212" s="15">
        <v>2024.0</v>
      </c>
      <c r="J212" s="16" t="str">
        <f>IFERROR(__xludf.DUMMYFUNCTION("FILTER('CLASFICACIÓN'!$F$3:$F5618,'CLASFICACIÓN'!$G$3:$G5618=M212)"),"SOLO 2024")</f>
        <v>SOLO 2024</v>
      </c>
      <c r="K212" s="16"/>
      <c r="L212" s="12" t="s">
        <v>41</v>
      </c>
      <c r="M212" s="16" t="str">
        <f t="shared" si="1"/>
        <v>60102312 Secundaria</v>
      </c>
      <c r="N212" s="17"/>
      <c r="O212" s="17"/>
      <c r="P212" s="17"/>
      <c r="Q212" s="17"/>
      <c r="R212" s="17"/>
      <c r="S212" s="17"/>
      <c r="T212" s="17"/>
    </row>
    <row r="213" ht="15.75" customHeight="1">
      <c r="A213" s="18">
        <v>212.0</v>
      </c>
      <c r="B213" s="12" t="s">
        <v>13</v>
      </c>
      <c r="C213" s="12" t="s">
        <v>27</v>
      </c>
      <c r="D213" s="19" t="s">
        <v>28</v>
      </c>
      <c r="E213" s="12" t="str">
        <f>IFERROR(__xludf.DUMMYFUNCTION("FILTER(colegios!$B$2:$B5618,colegios!$A$2:$A5618=L213)"),"6010231")</f>
        <v>6010231</v>
      </c>
      <c r="F213" s="14" t="s">
        <v>16</v>
      </c>
      <c r="G213" s="20" t="s">
        <v>17</v>
      </c>
      <c r="H213" s="12" t="s">
        <v>18</v>
      </c>
      <c r="I213" s="15">
        <v>2024.0</v>
      </c>
      <c r="J213" s="16" t="str">
        <f>IFERROR(__xludf.DUMMYFUNCTION("FILTER('CLASFICACIÓN'!$F$3:$F5618,'CLASFICACIÓN'!$G$3:$G5618=M213)"),"SOLO 2024")</f>
        <v>SOLO 2024</v>
      </c>
      <c r="K213" s="16"/>
      <c r="L213" s="12" t="s">
        <v>41</v>
      </c>
      <c r="M213" s="16" t="str">
        <f t="shared" si="1"/>
        <v>60102312 Secundaria</v>
      </c>
      <c r="N213" s="17"/>
      <c r="O213" s="17"/>
      <c r="P213" s="17"/>
      <c r="Q213" s="17"/>
      <c r="R213" s="17"/>
      <c r="S213" s="17"/>
      <c r="T213" s="17"/>
    </row>
    <row r="214" ht="15.75" customHeight="1">
      <c r="A214" s="18">
        <v>213.0</v>
      </c>
      <c r="B214" s="12" t="s">
        <v>13</v>
      </c>
      <c r="C214" s="12" t="s">
        <v>27</v>
      </c>
      <c r="D214" s="19" t="s">
        <v>28</v>
      </c>
      <c r="E214" s="12" t="str">
        <f>IFERROR(__xludf.DUMMYFUNCTION("FILTER(colegios!$B$2:$B5618,colegios!$A$2:$A5618=L214)"),"6010231")</f>
        <v>6010231</v>
      </c>
      <c r="F214" s="14" t="s">
        <v>16</v>
      </c>
      <c r="G214" s="20" t="s">
        <v>17</v>
      </c>
      <c r="H214" s="12" t="s">
        <v>18</v>
      </c>
      <c r="I214" s="15">
        <v>2024.0</v>
      </c>
      <c r="J214" s="16" t="str">
        <f>IFERROR(__xludf.DUMMYFUNCTION("FILTER('CLASFICACIÓN'!$F$3:$F5618,'CLASFICACIÓN'!$G$3:$G5618=M214)"),"SOLO 2024")</f>
        <v>SOLO 2024</v>
      </c>
      <c r="K214" s="16"/>
      <c r="L214" s="12" t="s">
        <v>41</v>
      </c>
      <c r="M214" s="16" t="str">
        <f t="shared" si="1"/>
        <v>60102312 Secundaria</v>
      </c>
      <c r="N214" s="17"/>
      <c r="O214" s="17"/>
      <c r="P214" s="17"/>
      <c r="Q214" s="17"/>
      <c r="R214" s="17"/>
      <c r="S214" s="17"/>
      <c r="T214" s="17"/>
    </row>
    <row r="215" ht="15.75" customHeight="1">
      <c r="A215" s="18">
        <v>214.0</v>
      </c>
      <c r="B215" s="12" t="s">
        <v>13</v>
      </c>
      <c r="C215" s="12" t="s">
        <v>27</v>
      </c>
      <c r="D215" s="19" t="s">
        <v>28</v>
      </c>
      <c r="E215" s="12" t="str">
        <f>IFERROR(__xludf.DUMMYFUNCTION("FILTER(colegios!$B$2:$B5618,colegios!$A$2:$A5618=L215)"),"6010231")</f>
        <v>6010231</v>
      </c>
      <c r="F215" s="14" t="s">
        <v>16</v>
      </c>
      <c r="G215" s="20" t="s">
        <v>17</v>
      </c>
      <c r="H215" s="12" t="s">
        <v>18</v>
      </c>
      <c r="I215" s="15">
        <v>2024.0</v>
      </c>
      <c r="J215" s="16" t="str">
        <f>IFERROR(__xludf.DUMMYFUNCTION("FILTER('CLASFICACIÓN'!$F$3:$F5618,'CLASFICACIÓN'!$G$3:$G5618=M215)"),"SOLO 2024")</f>
        <v>SOLO 2024</v>
      </c>
      <c r="K215" s="16"/>
      <c r="L215" s="12" t="s">
        <v>41</v>
      </c>
      <c r="M215" s="16" t="str">
        <f t="shared" si="1"/>
        <v>60102312 Secundaria</v>
      </c>
      <c r="N215" s="17"/>
      <c r="O215" s="17"/>
      <c r="P215" s="17"/>
      <c r="Q215" s="17"/>
      <c r="R215" s="17"/>
      <c r="S215" s="17"/>
      <c r="T215" s="17"/>
    </row>
    <row r="216" ht="15.75" customHeight="1">
      <c r="A216" s="18">
        <v>215.0</v>
      </c>
      <c r="B216" s="12" t="s">
        <v>13</v>
      </c>
      <c r="C216" s="12" t="s">
        <v>27</v>
      </c>
      <c r="D216" s="19" t="s">
        <v>28</v>
      </c>
      <c r="E216" s="12" t="str">
        <f>IFERROR(__xludf.DUMMYFUNCTION("FILTER(colegios!$B$2:$B5618,colegios!$A$2:$A5618=L216)"),"6010231")</f>
        <v>6010231</v>
      </c>
      <c r="F216" s="14" t="s">
        <v>16</v>
      </c>
      <c r="G216" s="20" t="s">
        <v>21</v>
      </c>
      <c r="H216" s="12" t="s">
        <v>18</v>
      </c>
      <c r="I216" s="15">
        <v>2024.0</v>
      </c>
      <c r="J216" s="16" t="str">
        <f>IFERROR(__xludf.DUMMYFUNCTION("FILTER('CLASFICACIÓN'!$F$3:$F5618,'CLASFICACIÓN'!$G$3:$G5618=M216)"),"SOLO 2024")</f>
        <v>SOLO 2024</v>
      </c>
      <c r="K216" s="16"/>
      <c r="L216" s="12" t="s">
        <v>41</v>
      </c>
      <c r="M216" s="16" t="str">
        <f t="shared" si="1"/>
        <v>60102312 Secundaria</v>
      </c>
      <c r="N216" s="17"/>
      <c r="O216" s="17"/>
      <c r="P216" s="17"/>
      <c r="Q216" s="17"/>
      <c r="R216" s="17"/>
      <c r="S216" s="17"/>
      <c r="T216" s="17"/>
    </row>
    <row r="217" ht="15.75" customHeight="1">
      <c r="A217" s="18">
        <v>216.0</v>
      </c>
      <c r="B217" s="12" t="s">
        <v>13</v>
      </c>
      <c r="C217" s="12" t="s">
        <v>27</v>
      </c>
      <c r="D217" s="19" t="s">
        <v>28</v>
      </c>
      <c r="E217" s="12" t="str">
        <f>IFERROR(__xludf.DUMMYFUNCTION("FILTER(colegios!$B$2:$B5618,colegios!$A$2:$A5618=L217)"),"6010231")</f>
        <v>6010231</v>
      </c>
      <c r="F217" s="14" t="s">
        <v>16</v>
      </c>
      <c r="G217" s="20" t="s">
        <v>21</v>
      </c>
      <c r="H217" s="12" t="s">
        <v>18</v>
      </c>
      <c r="I217" s="15">
        <v>2024.0</v>
      </c>
      <c r="J217" s="16" t="str">
        <f>IFERROR(__xludf.DUMMYFUNCTION("FILTER('CLASFICACIÓN'!$F$3:$F5618,'CLASFICACIÓN'!$G$3:$G5618=M217)"),"SOLO 2024")</f>
        <v>SOLO 2024</v>
      </c>
      <c r="K217" s="16"/>
      <c r="L217" s="12" t="s">
        <v>41</v>
      </c>
      <c r="M217" s="16" t="str">
        <f t="shared" si="1"/>
        <v>60102312 Secundaria</v>
      </c>
      <c r="N217" s="17"/>
      <c r="O217" s="17"/>
      <c r="P217" s="17"/>
      <c r="Q217" s="17"/>
      <c r="R217" s="17"/>
      <c r="S217" s="17"/>
      <c r="T217" s="17"/>
    </row>
    <row r="218" ht="15.75" customHeight="1">
      <c r="A218" s="18">
        <v>217.0</v>
      </c>
      <c r="B218" s="12" t="s">
        <v>13</v>
      </c>
      <c r="C218" s="12" t="s">
        <v>27</v>
      </c>
      <c r="D218" s="19" t="s">
        <v>30</v>
      </c>
      <c r="E218" s="12" t="str">
        <f>IFERROR(__xludf.DUMMYFUNCTION("FILTER(colegios!$B$2:$B5618,colegios!$A$2:$A5618=L218)"),"6010231")</f>
        <v>6010231</v>
      </c>
      <c r="F218" s="14" t="s">
        <v>16</v>
      </c>
      <c r="G218" s="20" t="s">
        <v>17</v>
      </c>
      <c r="H218" s="12" t="s">
        <v>18</v>
      </c>
      <c r="I218" s="15">
        <v>2024.0</v>
      </c>
      <c r="J218" s="16" t="str">
        <f>IFERROR(__xludf.DUMMYFUNCTION("FILTER('CLASFICACIÓN'!$F$3:$F5618,'CLASFICACIÓN'!$G$3:$G5618=M218)"),"SOLO 2024")</f>
        <v>SOLO 2024</v>
      </c>
      <c r="K218" s="16"/>
      <c r="L218" s="12" t="s">
        <v>41</v>
      </c>
      <c r="M218" s="16" t="str">
        <f t="shared" si="1"/>
        <v>60102314 Secundaria</v>
      </c>
      <c r="N218" s="17"/>
      <c r="O218" s="17"/>
      <c r="P218" s="17"/>
      <c r="Q218" s="17"/>
      <c r="R218" s="17"/>
      <c r="S218" s="17"/>
      <c r="T218" s="17"/>
    </row>
    <row r="219" ht="15.75" customHeight="1">
      <c r="A219" s="18">
        <v>218.0</v>
      </c>
      <c r="B219" s="12" t="s">
        <v>13</v>
      </c>
      <c r="C219" s="12" t="s">
        <v>27</v>
      </c>
      <c r="D219" s="19" t="s">
        <v>30</v>
      </c>
      <c r="E219" s="12" t="str">
        <f>IFERROR(__xludf.DUMMYFUNCTION("FILTER(colegios!$B$2:$B5618,colegios!$A$2:$A5618=L219)"),"6010231")</f>
        <v>6010231</v>
      </c>
      <c r="F219" s="14" t="s">
        <v>16</v>
      </c>
      <c r="G219" s="20" t="s">
        <v>17</v>
      </c>
      <c r="H219" s="12" t="s">
        <v>18</v>
      </c>
      <c r="I219" s="15">
        <v>2024.0</v>
      </c>
      <c r="J219" s="16" t="str">
        <f>IFERROR(__xludf.DUMMYFUNCTION("FILTER('CLASFICACIÓN'!$F$3:$F5618,'CLASFICACIÓN'!$G$3:$G5618=M219)"),"SOLO 2024")</f>
        <v>SOLO 2024</v>
      </c>
      <c r="K219" s="16"/>
      <c r="L219" s="12" t="s">
        <v>41</v>
      </c>
      <c r="M219" s="16" t="str">
        <f t="shared" si="1"/>
        <v>60102314 Secundaria</v>
      </c>
      <c r="N219" s="17"/>
      <c r="O219" s="17"/>
      <c r="P219" s="17"/>
      <c r="Q219" s="17"/>
      <c r="R219" s="17"/>
      <c r="S219" s="17"/>
      <c r="T219" s="17"/>
    </row>
    <row r="220" ht="15.75" customHeight="1">
      <c r="A220" s="18">
        <v>219.0</v>
      </c>
      <c r="B220" s="12" t="s">
        <v>13</v>
      </c>
      <c r="C220" s="12" t="s">
        <v>27</v>
      </c>
      <c r="D220" s="19" t="s">
        <v>30</v>
      </c>
      <c r="E220" s="12" t="str">
        <f>IFERROR(__xludf.DUMMYFUNCTION("FILTER(colegios!$B$2:$B5618,colegios!$A$2:$A5618=L220)"),"6010231")</f>
        <v>6010231</v>
      </c>
      <c r="F220" s="14" t="s">
        <v>16</v>
      </c>
      <c r="G220" s="20" t="s">
        <v>17</v>
      </c>
      <c r="H220" s="12" t="s">
        <v>18</v>
      </c>
      <c r="I220" s="15">
        <v>2024.0</v>
      </c>
      <c r="J220" s="16" t="str">
        <f>IFERROR(__xludf.DUMMYFUNCTION("FILTER('CLASFICACIÓN'!$F$3:$F5618,'CLASFICACIÓN'!$G$3:$G5618=M220)"),"SOLO 2024")</f>
        <v>SOLO 2024</v>
      </c>
      <c r="K220" s="16"/>
      <c r="L220" s="12" t="s">
        <v>41</v>
      </c>
      <c r="M220" s="16" t="str">
        <f t="shared" si="1"/>
        <v>60102314 Secundaria</v>
      </c>
      <c r="N220" s="17"/>
      <c r="O220" s="17"/>
      <c r="P220" s="17"/>
      <c r="Q220" s="17"/>
      <c r="R220" s="17"/>
      <c r="S220" s="17"/>
      <c r="T220" s="17"/>
    </row>
    <row r="221" ht="15.75" customHeight="1">
      <c r="A221" s="18">
        <v>220.0</v>
      </c>
      <c r="B221" s="12" t="s">
        <v>13</v>
      </c>
      <c r="C221" s="12" t="s">
        <v>27</v>
      </c>
      <c r="D221" s="19" t="s">
        <v>30</v>
      </c>
      <c r="E221" s="12" t="str">
        <f>IFERROR(__xludf.DUMMYFUNCTION("FILTER(colegios!$B$2:$B5618,colegios!$A$2:$A5618=L221)"),"6010231")</f>
        <v>6010231</v>
      </c>
      <c r="F221" s="14" t="s">
        <v>16</v>
      </c>
      <c r="G221" s="19" t="s">
        <v>17</v>
      </c>
      <c r="H221" s="12" t="s">
        <v>18</v>
      </c>
      <c r="I221" s="15">
        <v>2024.0</v>
      </c>
      <c r="J221" s="16" t="str">
        <f>IFERROR(__xludf.DUMMYFUNCTION("FILTER('CLASFICACIÓN'!$F$3:$F5618,'CLASFICACIÓN'!$G$3:$G5618=M221)"),"SOLO 2024")</f>
        <v>SOLO 2024</v>
      </c>
      <c r="K221" s="16"/>
      <c r="L221" s="12" t="s">
        <v>41</v>
      </c>
      <c r="M221" s="16" t="str">
        <f t="shared" si="1"/>
        <v>60102314 Secundaria</v>
      </c>
      <c r="N221" s="17"/>
      <c r="O221" s="17"/>
      <c r="P221" s="17"/>
      <c r="Q221" s="17"/>
      <c r="R221" s="17"/>
      <c r="S221" s="17"/>
      <c r="T221" s="17"/>
    </row>
    <row r="222" ht="15.75" customHeight="1">
      <c r="A222" s="18">
        <v>221.0</v>
      </c>
      <c r="B222" s="12" t="s">
        <v>13</v>
      </c>
      <c r="C222" s="12" t="s">
        <v>27</v>
      </c>
      <c r="D222" s="19" t="s">
        <v>30</v>
      </c>
      <c r="E222" s="12" t="str">
        <f>IFERROR(__xludf.DUMMYFUNCTION("FILTER(colegios!$B$2:$B5618,colegios!$A$2:$A5618=L222)"),"6010231")</f>
        <v>6010231</v>
      </c>
      <c r="F222" s="14" t="s">
        <v>16</v>
      </c>
      <c r="G222" s="19" t="s">
        <v>17</v>
      </c>
      <c r="H222" s="12" t="s">
        <v>18</v>
      </c>
      <c r="I222" s="15">
        <v>2024.0</v>
      </c>
      <c r="J222" s="16" t="str">
        <f>IFERROR(__xludf.DUMMYFUNCTION("FILTER('CLASFICACIÓN'!$F$3:$F5618,'CLASFICACIÓN'!$G$3:$G5618=M222)"),"SOLO 2024")</f>
        <v>SOLO 2024</v>
      </c>
      <c r="K222" s="16"/>
      <c r="L222" s="12" t="s">
        <v>41</v>
      </c>
      <c r="M222" s="16" t="str">
        <f t="shared" si="1"/>
        <v>60102314 Secundaria</v>
      </c>
      <c r="N222" s="17"/>
      <c r="O222" s="17"/>
      <c r="P222" s="17"/>
      <c r="Q222" s="17"/>
      <c r="R222" s="17"/>
      <c r="S222" s="17"/>
      <c r="T222" s="17"/>
    </row>
    <row r="223" ht="15.75" customHeight="1">
      <c r="A223" s="18">
        <v>222.0</v>
      </c>
      <c r="B223" s="12" t="s">
        <v>13</v>
      </c>
      <c r="C223" s="12" t="s">
        <v>27</v>
      </c>
      <c r="D223" s="19" t="s">
        <v>30</v>
      </c>
      <c r="E223" s="12" t="str">
        <f>IFERROR(__xludf.DUMMYFUNCTION("FILTER(colegios!$B$2:$B5618,colegios!$A$2:$A5618=L223)"),"6010231")</f>
        <v>6010231</v>
      </c>
      <c r="F223" s="14" t="s">
        <v>16</v>
      </c>
      <c r="G223" s="19" t="s">
        <v>21</v>
      </c>
      <c r="H223" s="12" t="s">
        <v>18</v>
      </c>
      <c r="I223" s="15">
        <v>2024.0</v>
      </c>
      <c r="J223" s="16" t="str">
        <f>IFERROR(__xludf.DUMMYFUNCTION("FILTER('CLASFICACIÓN'!$F$3:$F5618,'CLASFICACIÓN'!$G$3:$G5618=M223)"),"SOLO 2024")</f>
        <v>SOLO 2024</v>
      </c>
      <c r="K223" s="16"/>
      <c r="L223" s="12" t="s">
        <v>41</v>
      </c>
      <c r="M223" s="16" t="str">
        <f t="shared" si="1"/>
        <v>60102314 Secundaria</v>
      </c>
      <c r="N223" s="17"/>
      <c r="O223" s="17"/>
      <c r="P223" s="17"/>
      <c r="Q223" s="17"/>
      <c r="R223" s="17"/>
      <c r="S223" s="17"/>
      <c r="T223" s="17"/>
    </row>
    <row r="224" ht="15.75" customHeight="1">
      <c r="A224" s="18">
        <v>223.0</v>
      </c>
      <c r="B224" s="12" t="s">
        <v>13</v>
      </c>
      <c r="C224" s="12" t="s">
        <v>27</v>
      </c>
      <c r="D224" s="19" t="s">
        <v>30</v>
      </c>
      <c r="E224" s="12" t="str">
        <f>IFERROR(__xludf.DUMMYFUNCTION("FILTER(colegios!$B$2:$B5618,colegios!$A$2:$A5618=L224)"),"6010231")</f>
        <v>6010231</v>
      </c>
      <c r="F224" s="14" t="s">
        <v>16</v>
      </c>
      <c r="G224" s="19" t="s">
        <v>21</v>
      </c>
      <c r="H224" s="12" t="s">
        <v>18</v>
      </c>
      <c r="I224" s="15">
        <v>2024.0</v>
      </c>
      <c r="J224" s="16" t="str">
        <f>IFERROR(__xludf.DUMMYFUNCTION("FILTER('CLASFICACIÓN'!$F$3:$F5618,'CLASFICACIÓN'!$G$3:$G5618=M224)"),"SOLO 2024")</f>
        <v>SOLO 2024</v>
      </c>
      <c r="K224" s="16"/>
      <c r="L224" s="12" t="s">
        <v>41</v>
      </c>
      <c r="M224" s="16" t="str">
        <f t="shared" si="1"/>
        <v>60102314 Secundaria</v>
      </c>
      <c r="N224" s="17"/>
      <c r="O224" s="17"/>
      <c r="P224" s="17"/>
      <c r="Q224" s="17"/>
      <c r="R224" s="17"/>
      <c r="S224" s="17"/>
      <c r="T224" s="17"/>
    </row>
    <row r="225" ht="15.75" customHeight="1">
      <c r="A225" s="18">
        <v>224.0</v>
      </c>
      <c r="B225" s="12" t="s">
        <v>13</v>
      </c>
      <c r="C225" s="12" t="s">
        <v>27</v>
      </c>
      <c r="D225" s="19" t="s">
        <v>30</v>
      </c>
      <c r="E225" s="12" t="str">
        <f>IFERROR(__xludf.DUMMYFUNCTION("FILTER(colegios!$B$2:$B5618,colegios!$A$2:$A5618=L225)"),"6010231")</f>
        <v>6010231</v>
      </c>
      <c r="F225" s="14" t="s">
        <v>16</v>
      </c>
      <c r="G225" s="19" t="s">
        <v>17</v>
      </c>
      <c r="H225" s="12" t="s">
        <v>18</v>
      </c>
      <c r="I225" s="15">
        <v>2024.0</v>
      </c>
      <c r="J225" s="16" t="str">
        <f>IFERROR(__xludf.DUMMYFUNCTION("FILTER('CLASFICACIÓN'!$F$3:$F5618,'CLASFICACIÓN'!$G$3:$G5618=M225)"),"SOLO 2024")</f>
        <v>SOLO 2024</v>
      </c>
      <c r="K225" s="16"/>
      <c r="L225" s="12" t="s">
        <v>41</v>
      </c>
      <c r="M225" s="16" t="str">
        <f t="shared" si="1"/>
        <v>60102314 Secundaria</v>
      </c>
      <c r="N225" s="17"/>
      <c r="O225" s="17"/>
      <c r="P225" s="17"/>
      <c r="Q225" s="17"/>
      <c r="R225" s="17"/>
      <c r="S225" s="17"/>
      <c r="T225" s="17"/>
    </row>
    <row r="226" ht="15.75" customHeight="1">
      <c r="A226" s="18">
        <v>225.0</v>
      </c>
      <c r="B226" s="12" t="s">
        <v>13</v>
      </c>
      <c r="C226" s="12" t="s">
        <v>27</v>
      </c>
      <c r="D226" s="19" t="s">
        <v>30</v>
      </c>
      <c r="E226" s="12" t="str">
        <f>IFERROR(__xludf.DUMMYFUNCTION("FILTER(colegios!$B$2:$B5618,colegios!$A$2:$A5618=L226)"),"6010231")</f>
        <v>6010231</v>
      </c>
      <c r="F226" s="14" t="s">
        <v>16</v>
      </c>
      <c r="G226" s="19" t="s">
        <v>21</v>
      </c>
      <c r="H226" s="12" t="s">
        <v>18</v>
      </c>
      <c r="I226" s="15">
        <v>2024.0</v>
      </c>
      <c r="J226" s="16" t="str">
        <f>IFERROR(__xludf.DUMMYFUNCTION("FILTER('CLASFICACIÓN'!$F$3:$F5618,'CLASFICACIÓN'!$G$3:$G5618=M226)"),"SOLO 2024")</f>
        <v>SOLO 2024</v>
      </c>
      <c r="K226" s="16"/>
      <c r="L226" s="12" t="s">
        <v>41</v>
      </c>
      <c r="M226" s="16" t="str">
        <f t="shared" si="1"/>
        <v>60102314 Secundaria</v>
      </c>
      <c r="N226" s="17"/>
      <c r="O226" s="17"/>
      <c r="P226" s="17"/>
      <c r="Q226" s="17"/>
      <c r="R226" s="17"/>
      <c r="S226" s="17"/>
      <c r="T226" s="17"/>
    </row>
    <row r="227" ht="15.75" customHeight="1">
      <c r="A227" s="18">
        <v>226.0</v>
      </c>
      <c r="B227" s="12" t="s">
        <v>13</v>
      </c>
      <c r="C227" s="12" t="s">
        <v>27</v>
      </c>
      <c r="D227" s="19" t="s">
        <v>30</v>
      </c>
      <c r="E227" s="12" t="str">
        <f>IFERROR(__xludf.DUMMYFUNCTION("FILTER(colegios!$B$2:$B5618,colegios!$A$2:$A5618=L227)"),"6010231")</f>
        <v>6010231</v>
      </c>
      <c r="F227" s="14" t="s">
        <v>16</v>
      </c>
      <c r="G227" s="19" t="s">
        <v>21</v>
      </c>
      <c r="H227" s="12" t="s">
        <v>18</v>
      </c>
      <c r="I227" s="15">
        <v>2024.0</v>
      </c>
      <c r="J227" s="16" t="str">
        <f>IFERROR(__xludf.DUMMYFUNCTION("FILTER('CLASFICACIÓN'!$F$3:$F5618,'CLASFICACIÓN'!$G$3:$G5618=M227)"),"SOLO 2024")</f>
        <v>SOLO 2024</v>
      </c>
      <c r="K227" s="16"/>
      <c r="L227" s="12" t="s">
        <v>41</v>
      </c>
      <c r="M227" s="16" t="str">
        <f t="shared" si="1"/>
        <v>60102314 Secundaria</v>
      </c>
      <c r="N227" s="17"/>
      <c r="O227" s="17"/>
      <c r="P227" s="17"/>
      <c r="Q227" s="17"/>
      <c r="R227" s="17"/>
      <c r="S227" s="17"/>
      <c r="T227" s="17"/>
    </row>
    <row r="228" ht="15.75" customHeight="1">
      <c r="A228" s="18">
        <v>227.0</v>
      </c>
      <c r="B228" s="12" t="s">
        <v>13</v>
      </c>
      <c r="C228" s="12" t="s">
        <v>27</v>
      </c>
      <c r="D228" s="19" t="s">
        <v>30</v>
      </c>
      <c r="E228" s="12" t="str">
        <f>IFERROR(__xludf.DUMMYFUNCTION("FILTER(colegios!$B$2:$B5618,colegios!$A$2:$A5618=L228)"),"6010231")</f>
        <v>6010231</v>
      </c>
      <c r="F228" s="14" t="s">
        <v>16</v>
      </c>
      <c r="G228" s="19" t="s">
        <v>17</v>
      </c>
      <c r="H228" s="12" t="s">
        <v>18</v>
      </c>
      <c r="I228" s="15">
        <v>2024.0</v>
      </c>
      <c r="J228" s="16" t="str">
        <f>IFERROR(__xludf.DUMMYFUNCTION("FILTER('CLASFICACIÓN'!$F$3:$F5618,'CLASFICACIÓN'!$G$3:$G5618=M228)"),"SOLO 2024")</f>
        <v>SOLO 2024</v>
      </c>
      <c r="K228" s="16"/>
      <c r="L228" s="12" t="s">
        <v>41</v>
      </c>
      <c r="M228" s="16" t="str">
        <f t="shared" si="1"/>
        <v>60102314 Secundaria</v>
      </c>
      <c r="N228" s="17"/>
      <c r="O228" s="17"/>
      <c r="P228" s="17"/>
      <c r="Q228" s="17"/>
      <c r="R228" s="17"/>
      <c r="S228" s="17"/>
      <c r="T228" s="17"/>
    </row>
    <row r="229" ht="15.75" customHeight="1">
      <c r="A229" s="18">
        <v>228.0</v>
      </c>
      <c r="B229" s="12" t="s">
        <v>13</v>
      </c>
      <c r="C229" s="12" t="s">
        <v>27</v>
      </c>
      <c r="D229" s="19" t="s">
        <v>30</v>
      </c>
      <c r="E229" s="12" t="str">
        <f>IFERROR(__xludf.DUMMYFUNCTION("FILTER(colegios!$B$2:$B5618,colegios!$A$2:$A5618=L229)"),"6010231")</f>
        <v>6010231</v>
      </c>
      <c r="F229" s="14" t="s">
        <v>16</v>
      </c>
      <c r="G229" s="19" t="s">
        <v>21</v>
      </c>
      <c r="H229" s="12" t="s">
        <v>18</v>
      </c>
      <c r="I229" s="15">
        <v>2024.0</v>
      </c>
      <c r="J229" s="16" t="str">
        <f>IFERROR(__xludf.DUMMYFUNCTION("FILTER('CLASFICACIÓN'!$F$3:$F5618,'CLASFICACIÓN'!$G$3:$G5618=M229)"),"SOLO 2024")</f>
        <v>SOLO 2024</v>
      </c>
      <c r="K229" s="16"/>
      <c r="L229" s="12" t="s">
        <v>41</v>
      </c>
      <c r="M229" s="16" t="str">
        <f t="shared" si="1"/>
        <v>60102314 Secundaria</v>
      </c>
      <c r="N229" s="17"/>
      <c r="O229" s="17"/>
      <c r="P229" s="17"/>
      <c r="Q229" s="17"/>
      <c r="R229" s="17"/>
      <c r="S229" s="17"/>
      <c r="T229" s="17"/>
    </row>
    <row r="230" ht="15.75" customHeight="1">
      <c r="A230" s="18">
        <v>229.0</v>
      </c>
      <c r="B230" s="12" t="s">
        <v>13</v>
      </c>
      <c r="C230" s="12" t="s">
        <v>14</v>
      </c>
      <c r="D230" s="19" t="s">
        <v>20</v>
      </c>
      <c r="E230" s="12" t="str">
        <f>IFERROR(__xludf.DUMMYFUNCTION("FILTER(colegios!$B$2:$B5618,colegios!$A$2:$A5618=L230)"),"601511")</f>
        <v>601511</v>
      </c>
      <c r="F230" s="14" t="s">
        <v>16</v>
      </c>
      <c r="G230" s="19" t="s">
        <v>17</v>
      </c>
      <c r="H230" s="12" t="s">
        <v>18</v>
      </c>
      <c r="I230" s="15">
        <v>2024.0</v>
      </c>
      <c r="J230" s="16" t="str">
        <f>IFERROR(__xludf.DUMMYFUNCTION("FILTER('CLASFICACIÓN'!$F$3:$F5618,'CLASFICACIÓN'!$G$3:$G5618=M230)"),"SOLO 2024")</f>
        <v>SOLO 2024</v>
      </c>
      <c r="K230" s="16"/>
      <c r="L230" s="12" t="s">
        <v>42</v>
      </c>
      <c r="M230" s="16" t="str">
        <f t="shared" si="1"/>
        <v>6015114 Primaria</v>
      </c>
      <c r="N230" s="17"/>
      <c r="O230" s="17"/>
      <c r="P230" s="17"/>
      <c r="Q230" s="17"/>
      <c r="R230" s="17"/>
      <c r="S230" s="17"/>
      <c r="T230" s="17"/>
    </row>
    <row r="231" ht="15.75" customHeight="1">
      <c r="A231" s="18">
        <v>230.0</v>
      </c>
      <c r="B231" s="12" t="s">
        <v>13</v>
      </c>
      <c r="C231" s="12" t="s">
        <v>14</v>
      </c>
      <c r="D231" s="19" t="s">
        <v>22</v>
      </c>
      <c r="E231" s="12" t="str">
        <f>IFERROR(__xludf.DUMMYFUNCTION("FILTER(colegios!$B$2:$B5618,colegios!$A$2:$A5618=L231)"),"601511")</f>
        <v>601511</v>
      </c>
      <c r="F231" s="14" t="s">
        <v>16</v>
      </c>
      <c r="G231" s="19" t="s">
        <v>21</v>
      </c>
      <c r="H231" s="12" t="s">
        <v>18</v>
      </c>
      <c r="I231" s="15">
        <v>2024.0</v>
      </c>
      <c r="J231" s="16" t="str">
        <f>IFERROR(__xludf.DUMMYFUNCTION("FILTER('CLASFICACIÓN'!$F$3:$F5618,'CLASFICACIÓN'!$G$3:$G5618=M231)"),"SOLO 2024")</f>
        <v>SOLO 2024</v>
      </c>
      <c r="K231" s="16"/>
      <c r="L231" s="12" t="s">
        <v>42</v>
      </c>
      <c r="M231" s="16" t="str">
        <f t="shared" si="1"/>
        <v>6015116 Primaria</v>
      </c>
      <c r="N231" s="17"/>
      <c r="O231" s="17"/>
      <c r="P231" s="17"/>
      <c r="Q231" s="17"/>
      <c r="R231" s="17"/>
      <c r="S231" s="17"/>
      <c r="T231" s="17"/>
    </row>
    <row r="232" ht="15.75" customHeight="1">
      <c r="A232" s="18">
        <v>231.0</v>
      </c>
      <c r="B232" s="12" t="s">
        <v>13</v>
      </c>
      <c r="C232" s="12" t="s">
        <v>14</v>
      </c>
      <c r="D232" s="19" t="s">
        <v>22</v>
      </c>
      <c r="E232" s="12" t="str">
        <f>IFERROR(__xludf.DUMMYFUNCTION("FILTER(colegios!$B$2:$B5618,colegios!$A$2:$A5618=L232)"),"601511")</f>
        <v>601511</v>
      </c>
      <c r="F232" s="14" t="s">
        <v>16</v>
      </c>
      <c r="G232" s="19" t="s">
        <v>21</v>
      </c>
      <c r="H232" s="12" t="s">
        <v>18</v>
      </c>
      <c r="I232" s="15">
        <v>2024.0</v>
      </c>
      <c r="J232" s="16" t="str">
        <f>IFERROR(__xludf.DUMMYFUNCTION("FILTER('CLASFICACIÓN'!$F$3:$F5618,'CLASFICACIÓN'!$G$3:$G5618=M232)"),"SOLO 2024")</f>
        <v>SOLO 2024</v>
      </c>
      <c r="K232" s="16"/>
      <c r="L232" s="12" t="s">
        <v>42</v>
      </c>
      <c r="M232" s="16" t="str">
        <f t="shared" si="1"/>
        <v>6015116 Primaria</v>
      </c>
      <c r="N232" s="17"/>
      <c r="O232" s="17"/>
      <c r="P232" s="17"/>
      <c r="Q232" s="17"/>
      <c r="R232" s="17"/>
      <c r="S232" s="17"/>
      <c r="T232" s="17"/>
    </row>
    <row r="233" ht="15.75" customHeight="1">
      <c r="A233" s="18">
        <v>232.0</v>
      </c>
      <c r="B233" s="12" t="s">
        <v>13</v>
      </c>
      <c r="C233" s="12" t="s">
        <v>14</v>
      </c>
      <c r="D233" s="19" t="s">
        <v>22</v>
      </c>
      <c r="E233" s="12" t="str">
        <f>IFERROR(__xludf.DUMMYFUNCTION("FILTER(colegios!$B$2:$B5618,colegios!$A$2:$A5618=L233)"),"601580")</f>
        <v>601580</v>
      </c>
      <c r="F233" s="14" t="s">
        <v>16</v>
      </c>
      <c r="G233" s="19" t="s">
        <v>21</v>
      </c>
      <c r="H233" s="12" t="s">
        <v>18</v>
      </c>
      <c r="I233" s="15">
        <v>2024.0</v>
      </c>
      <c r="J233" s="16" t="str">
        <f>IFERROR(__xludf.DUMMYFUNCTION("FILTER('CLASFICACIÓN'!$F$3:$F5618,'CLASFICACIÓN'!$G$3:$G5618=M233)"),"SOLO 2024")</f>
        <v>SOLO 2024</v>
      </c>
      <c r="K233" s="16"/>
      <c r="L233" s="12" t="s">
        <v>43</v>
      </c>
      <c r="M233" s="16" t="str">
        <f t="shared" si="1"/>
        <v>6015806 Primaria</v>
      </c>
      <c r="N233" s="17"/>
      <c r="O233" s="17"/>
      <c r="P233" s="17"/>
      <c r="Q233" s="17"/>
      <c r="R233" s="17"/>
      <c r="S233" s="17"/>
      <c r="T233" s="17"/>
    </row>
    <row r="234" ht="15.75" customHeight="1">
      <c r="A234" s="18">
        <v>233.0</v>
      </c>
      <c r="B234" s="12" t="s">
        <v>13</v>
      </c>
      <c r="C234" s="12" t="s">
        <v>14</v>
      </c>
      <c r="D234" s="19" t="s">
        <v>22</v>
      </c>
      <c r="E234" s="12" t="str">
        <f>IFERROR(__xludf.DUMMYFUNCTION("FILTER(colegios!$B$2:$B5618,colegios!$A$2:$A5618=L234)"),"601580")</f>
        <v>601580</v>
      </c>
      <c r="F234" s="14" t="s">
        <v>16</v>
      </c>
      <c r="G234" s="19" t="s">
        <v>17</v>
      </c>
      <c r="H234" s="12" t="s">
        <v>18</v>
      </c>
      <c r="I234" s="15">
        <v>2024.0</v>
      </c>
      <c r="J234" s="16" t="str">
        <f>IFERROR(__xludf.DUMMYFUNCTION("FILTER('CLASFICACIÓN'!$F$3:$F5618,'CLASFICACIÓN'!$G$3:$G5618=M234)"),"SOLO 2024")</f>
        <v>SOLO 2024</v>
      </c>
      <c r="K234" s="16"/>
      <c r="L234" s="12" t="s">
        <v>43</v>
      </c>
      <c r="M234" s="16" t="str">
        <f t="shared" si="1"/>
        <v>6015806 Primaria</v>
      </c>
      <c r="N234" s="17"/>
      <c r="O234" s="17"/>
      <c r="P234" s="17"/>
      <c r="Q234" s="17"/>
      <c r="R234" s="17"/>
      <c r="S234" s="17"/>
      <c r="T234" s="17"/>
    </row>
    <row r="235" ht="15.75" customHeight="1">
      <c r="A235" s="18">
        <v>234.0</v>
      </c>
      <c r="B235" s="12" t="s">
        <v>13</v>
      </c>
      <c r="C235" s="12" t="s">
        <v>14</v>
      </c>
      <c r="D235" s="19" t="s">
        <v>15</v>
      </c>
      <c r="E235" s="12" t="str">
        <f>IFERROR(__xludf.DUMMYFUNCTION("FILTER(colegios!$B$2:$B5618,colegios!$A$2:$A5618=L235)"),"601444")</f>
        <v>601444</v>
      </c>
      <c r="F235" s="14" t="s">
        <v>16</v>
      </c>
      <c r="G235" s="20" t="s">
        <v>17</v>
      </c>
      <c r="H235" s="12" t="s">
        <v>18</v>
      </c>
      <c r="I235" s="15">
        <v>2024.0</v>
      </c>
      <c r="J235" s="16" t="str">
        <f>IFERROR(__xludf.DUMMYFUNCTION("FILTER('CLASFICACIÓN'!$F$3:$F5618,'CLASFICACIÓN'!$G$3:$G5618=M235)"),"SOLO 2024")</f>
        <v>SOLO 2024</v>
      </c>
      <c r="K235" s="16"/>
      <c r="L235" s="12" t="s">
        <v>44</v>
      </c>
      <c r="M235" s="16" t="str">
        <f t="shared" si="1"/>
        <v>6014442 Primaria</v>
      </c>
      <c r="N235" s="17"/>
      <c r="O235" s="17"/>
      <c r="P235" s="17"/>
      <c r="Q235" s="17"/>
      <c r="R235" s="17"/>
      <c r="S235" s="17"/>
      <c r="T235" s="17"/>
    </row>
    <row r="236" ht="15.75" customHeight="1">
      <c r="A236" s="18">
        <v>235.0</v>
      </c>
      <c r="B236" s="12" t="s">
        <v>13</v>
      </c>
      <c r="C236" s="12" t="s">
        <v>14</v>
      </c>
      <c r="D236" s="19" t="s">
        <v>15</v>
      </c>
      <c r="E236" s="12" t="str">
        <f>IFERROR(__xludf.DUMMYFUNCTION("FILTER(colegios!$B$2:$B5618,colegios!$A$2:$A5618=L236)"),"601444")</f>
        <v>601444</v>
      </c>
      <c r="F236" s="14" t="s">
        <v>16</v>
      </c>
      <c r="G236" s="19" t="s">
        <v>21</v>
      </c>
      <c r="H236" s="12" t="s">
        <v>24</v>
      </c>
      <c r="I236" s="15">
        <v>2024.0</v>
      </c>
      <c r="J236" s="16" t="str">
        <f>IFERROR(__xludf.DUMMYFUNCTION("FILTER('CLASFICACIÓN'!$F$3:$F5618,'CLASFICACIÓN'!$G$3:$G5618=M236)"),"SOLO 2024")</f>
        <v>SOLO 2024</v>
      </c>
      <c r="K236" s="16"/>
      <c r="L236" s="12" t="s">
        <v>44</v>
      </c>
      <c r="M236" s="16" t="str">
        <f t="shared" si="1"/>
        <v>6014442 Primaria</v>
      </c>
      <c r="N236" s="17"/>
      <c r="O236" s="17"/>
      <c r="P236" s="17"/>
      <c r="Q236" s="17"/>
      <c r="R236" s="17"/>
      <c r="S236" s="17"/>
      <c r="T236" s="17"/>
    </row>
    <row r="237" ht="15.75" customHeight="1">
      <c r="A237" s="18">
        <v>236.0</v>
      </c>
      <c r="B237" s="12" t="s">
        <v>13</v>
      </c>
      <c r="C237" s="12" t="s">
        <v>14</v>
      </c>
      <c r="D237" s="19" t="s">
        <v>20</v>
      </c>
      <c r="E237" s="12" t="str">
        <f>IFERROR(__xludf.DUMMYFUNCTION("FILTER(colegios!$B$2:$B5618,colegios!$A$2:$A5618=L237)"),"601444")</f>
        <v>601444</v>
      </c>
      <c r="F237" s="14" t="s">
        <v>16</v>
      </c>
      <c r="G237" s="20" t="s">
        <v>21</v>
      </c>
      <c r="H237" s="12" t="s">
        <v>18</v>
      </c>
      <c r="I237" s="15">
        <v>2024.0</v>
      </c>
      <c r="J237" s="16" t="str">
        <f>IFERROR(__xludf.DUMMYFUNCTION("FILTER('CLASFICACIÓN'!$F$3:$F5618,'CLASFICACIÓN'!$G$3:$G5618=M237)"),"SOLO 2024")</f>
        <v>SOLO 2024</v>
      </c>
      <c r="K237" s="16"/>
      <c r="L237" s="12" t="s">
        <v>44</v>
      </c>
      <c r="M237" s="16" t="str">
        <f t="shared" si="1"/>
        <v>6014444 Primaria</v>
      </c>
      <c r="N237" s="17"/>
      <c r="O237" s="17"/>
      <c r="P237" s="17"/>
      <c r="Q237" s="17"/>
      <c r="R237" s="17"/>
      <c r="S237" s="17"/>
      <c r="T237" s="17"/>
    </row>
    <row r="238" ht="15.75" customHeight="1">
      <c r="A238" s="18">
        <v>237.0</v>
      </c>
      <c r="B238" s="12" t="s">
        <v>13</v>
      </c>
      <c r="C238" s="12" t="s">
        <v>14</v>
      </c>
      <c r="D238" s="19" t="s">
        <v>20</v>
      </c>
      <c r="E238" s="12" t="str">
        <f>IFERROR(__xludf.DUMMYFUNCTION("FILTER(colegios!$B$2:$B5618,colegios!$A$2:$A5618=L238)"),"601444")</f>
        <v>601444</v>
      </c>
      <c r="F238" s="14" t="s">
        <v>16</v>
      </c>
      <c r="G238" s="19" t="s">
        <v>21</v>
      </c>
      <c r="H238" s="12" t="s">
        <v>24</v>
      </c>
      <c r="I238" s="15">
        <v>2024.0</v>
      </c>
      <c r="J238" s="16" t="str">
        <f>IFERROR(__xludf.DUMMYFUNCTION("FILTER('CLASFICACIÓN'!$F$3:$F5618,'CLASFICACIÓN'!$G$3:$G5618=M238)"),"SOLO 2024")</f>
        <v>SOLO 2024</v>
      </c>
      <c r="K238" s="16"/>
      <c r="L238" s="12" t="s">
        <v>44</v>
      </c>
      <c r="M238" s="16" t="str">
        <f t="shared" si="1"/>
        <v>6014444 Primaria</v>
      </c>
      <c r="N238" s="17"/>
      <c r="O238" s="17"/>
      <c r="P238" s="17"/>
      <c r="Q238" s="17"/>
      <c r="R238" s="17"/>
      <c r="S238" s="17"/>
      <c r="T238" s="17"/>
    </row>
    <row r="239" ht="15.75" customHeight="1">
      <c r="A239" s="18">
        <v>238.0</v>
      </c>
      <c r="B239" s="12" t="s">
        <v>13</v>
      </c>
      <c r="C239" s="12" t="s">
        <v>14</v>
      </c>
      <c r="D239" s="19" t="s">
        <v>22</v>
      </c>
      <c r="E239" s="12" t="str">
        <f>IFERROR(__xludf.DUMMYFUNCTION("FILTER(colegios!$B$2:$B5618,colegios!$A$2:$A5618=L239)"),"601444")</f>
        <v>601444</v>
      </c>
      <c r="F239" s="14" t="s">
        <v>16</v>
      </c>
      <c r="G239" s="20" t="s">
        <v>21</v>
      </c>
      <c r="H239" s="12" t="s">
        <v>18</v>
      </c>
      <c r="I239" s="15">
        <v>2024.0</v>
      </c>
      <c r="J239" s="16" t="str">
        <f>IFERROR(__xludf.DUMMYFUNCTION("FILTER('CLASFICACIÓN'!$F$3:$F5618,'CLASFICACIÓN'!$G$3:$G5618=M239)"),"SOLO 2024")</f>
        <v>SOLO 2024</v>
      </c>
      <c r="K239" s="16"/>
      <c r="L239" s="12" t="s">
        <v>44</v>
      </c>
      <c r="M239" s="16" t="str">
        <f t="shared" si="1"/>
        <v>6014446 Primaria</v>
      </c>
      <c r="N239" s="17"/>
      <c r="O239" s="17"/>
      <c r="P239" s="17"/>
      <c r="Q239" s="17"/>
      <c r="R239" s="17"/>
      <c r="S239" s="17"/>
      <c r="T239" s="17"/>
    </row>
    <row r="240" ht="15.75" customHeight="1">
      <c r="A240" s="18">
        <v>239.0</v>
      </c>
      <c r="B240" s="12" t="s">
        <v>13</v>
      </c>
      <c r="C240" s="12" t="s">
        <v>14</v>
      </c>
      <c r="D240" s="19" t="s">
        <v>15</v>
      </c>
      <c r="E240" s="12" t="str">
        <f>IFERROR(__xludf.DUMMYFUNCTION("FILTER(colegios!$B$2:$B5618,colegios!$A$2:$A5618=L240)"),"601571")</f>
        <v>601571</v>
      </c>
      <c r="F240" s="14" t="s">
        <v>16</v>
      </c>
      <c r="G240" s="19" t="s">
        <v>17</v>
      </c>
      <c r="H240" s="12" t="s">
        <v>18</v>
      </c>
      <c r="I240" s="15">
        <v>2024.0</v>
      </c>
      <c r="J240" s="16" t="str">
        <f>IFERROR(__xludf.DUMMYFUNCTION("FILTER('CLASFICACIÓN'!$F$3:$F5618,'CLASFICACIÓN'!$G$3:$G5618=M240)"),"SOLO 2024")</f>
        <v>SOLO 2024</v>
      </c>
      <c r="K240" s="16"/>
      <c r="L240" s="12" t="s">
        <v>45</v>
      </c>
      <c r="M240" s="16" t="str">
        <f t="shared" si="1"/>
        <v>6015712 Primaria</v>
      </c>
      <c r="N240" s="17"/>
      <c r="O240" s="17"/>
      <c r="P240" s="17"/>
      <c r="Q240" s="17"/>
      <c r="R240" s="17"/>
      <c r="S240" s="17"/>
      <c r="T240" s="17"/>
    </row>
    <row r="241" ht="15.75" customHeight="1">
      <c r="A241" s="18">
        <v>240.0</v>
      </c>
      <c r="B241" s="12" t="s">
        <v>13</v>
      </c>
      <c r="C241" s="12" t="s">
        <v>14</v>
      </c>
      <c r="D241" s="19" t="s">
        <v>15</v>
      </c>
      <c r="E241" s="12" t="str">
        <f>IFERROR(__xludf.DUMMYFUNCTION("FILTER(colegios!$B$2:$B5618,colegios!$A$2:$A5618=L241)"),"601571")</f>
        <v>601571</v>
      </c>
      <c r="F241" s="14" t="s">
        <v>16</v>
      </c>
      <c r="G241" s="19" t="s">
        <v>21</v>
      </c>
      <c r="H241" s="12" t="s">
        <v>24</v>
      </c>
      <c r="I241" s="15">
        <v>2024.0</v>
      </c>
      <c r="J241" s="16" t="str">
        <f>IFERROR(__xludf.DUMMYFUNCTION("FILTER('CLASFICACIÓN'!$F$3:$F5618,'CLASFICACIÓN'!$G$3:$G5618=M241)"),"SOLO 2024")</f>
        <v>SOLO 2024</v>
      </c>
      <c r="K241" s="16"/>
      <c r="L241" s="12" t="s">
        <v>45</v>
      </c>
      <c r="M241" s="16" t="str">
        <f t="shared" si="1"/>
        <v>6015712 Primaria</v>
      </c>
      <c r="N241" s="17"/>
      <c r="O241" s="17"/>
      <c r="P241" s="17"/>
      <c r="Q241" s="17"/>
      <c r="R241" s="17"/>
      <c r="S241" s="17"/>
      <c r="T241" s="17"/>
    </row>
    <row r="242" ht="15.75" customHeight="1">
      <c r="A242" s="18">
        <v>241.0</v>
      </c>
      <c r="B242" s="12" t="s">
        <v>13</v>
      </c>
      <c r="C242" s="12" t="s">
        <v>14</v>
      </c>
      <c r="D242" s="19" t="s">
        <v>20</v>
      </c>
      <c r="E242" s="12" t="str">
        <f>IFERROR(__xludf.DUMMYFUNCTION("FILTER(colegios!$B$2:$B5618,colegios!$A$2:$A5618=L242)"),"601571")</f>
        <v>601571</v>
      </c>
      <c r="F242" s="14" t="s">
        <v>16</v>
      </c>
      <c r="G242" s="20" t="s">
        <v>21</v>
      </c>
      <c r="H242" s="12" t="s">
        <v>18</v>
      </c>
      <c r="I242" s="15">
        <v>2024.0</v>
      </c>
      <c r="J242" s="16" t="str">
        <f>IFERROR(__xludf.DUMMYFUNCTION("FILTER('CLASFICACIÓN'!$F$3:$F5618,'CLASFICACIÓN'!$G$3:$G5618=M242)"),"SOLO 2024")</f>
        <v>SOLO 2024</v>
      </c>
      <c r="K242" s="16"/>
      <c r="L242" s="12" t="s">
        <v>45</v>
      </c>
      <c r="M242" s="16" t="str">
        <f t="shared" si="1"/>
        <v>6015714 Primaria</v>
      </c>
      <c r="N242" s="17"/>
      <c r="O242" s="17"/>
      <c r="P242" s="17"/>
      <c r="Q242" s="17"/>
      <c r="R242" s="17"/>
      <c r="S242" s="17"/>
      <c r="T242" s="17"/>
    </row>
    <row r="243" ht="15.75" customHeight="1">
      <c r="A243" s="18">
        <v>242.0</v>
      </c>
      <c r="B243" s="12" t="s">
        <v>13</v>
      </c>
      <c r="C243" s="12" t="s">
        <v>14</v>
      </c>
      <c r="D243" s="19" t="s">
        <v>22</v>
      </c>
      <c r="E243" s="12" t="str">
        <f>IFERROR(__xludf.DUMMYFUNCTION("FILTER(colegios!$B$2:$B5618,colegios!$A$2:$A5618=L243)"),"601571")</f>
        <v>601571</v>
      </c>
      <c r="F243" s="14" t="s">
        <v>16</v>
      </c>
      <c r="G243" s="20" t="s">
        <v>17</v>
      </c>
      <c r="H243" s="12" t="s">
        <v>24</v>
      </c>
      <c r="I243" s="15">
        <v>2024.0</v>
      </c>
      <c r="J243" s="16" t="str">
        <f>IFERROR(__xludf.DUMMYFUNCTION("FILTER('CLASFICACIÓN'!$F$3:$F5618,'CLASFICACIÓN'!$G$3:$G5618=M243)"),"SOLO 2024")</f>
        <v>SOLO 2024</v>
      </c>
      <c r="K243" s="16"/>
      <c r="L243" s="12" t="s">
        <v>45</v>
      </c>
      <c r="M243" s="16" t="str">
        <f t="shared" si="1"/>
        <v>6015716 Primaria</v>
      </c>
      <c r="N243" s="17"/>
      <c r="O243" s="17"/>
      <c r="P243" s="17"/>
      <c r="Q243" s="17"/>
      <c r="R243" s="17"/>
      <c r="S243" s="17"/>
      <c r="T243" s="17"/>
    </row>
    <row r="244" ht="15.75" customHeight="1">
      <c r="A244" s="18">
        <v>243.0</v>
      </c>
      <c r="B244" s="12" t="s">
        <v>13</v>
      </c>
      <c r="C244" s="12" t="s">
        <v>14</v>
      </c>
      <c r="D244" s="19" t="s">
        <v>15</v>
      </c>
      <c r="E244" s="12" t="str">
        <f>IFERROR(__xludf.DUMMYFUNCTION("FILTER(colegios!$B$2:$B5618,colegios!$A$2:$A5618=L244)"),"601563")</f>
        <v>601563</v>
      </c>
      <c r="F244" s="14" t="s">
        <v>16</v>
      </c>
      <c r="G244" s="19" t="s">
        <v>17</v>
      </c>
      <c r="H244" s="12" t="s">
        <v>24</v>
      </c>
      <c r="I244" s="15">
        <v>2024.0</v>
      </c>
      <c r="J244" s="16" t="str">
        <f>IFERROR(__xludf.DUMMYFUNCTION("FILTER('CLASFICACIÓN'!$F$3:$F5618,'CLASFICACIÓN'!$G$3:$G5618=M244)"),"SOLO 2024")</f>
        <v>SOLO 2024</v>
      </c>
      <c r="K244" s="16"/>
      <c r="L244" s="12" t="s">
        <v>46</v>
      </c>
      <c r="M244" s="16" t="str">
        <f t="shared" si="1"/>
        <v>6015632 Primaria</v>
      </c>
      <c r="N244" s="17"/>
      <c r="O244" s="17"/>
      <c r="P244" s="17"/>
      <c r="Q244" s="17"/>
      <c r="R244" s="17"/>
      <c r="S244" s="17"/>
      <c r="T244" s="17"/>
    </row>
    <row r="245" ht="15.75" customHeight="1">
      <c r="A245" s="18">
        <v>244.0</v>
      </c>
      <c r="B245" s="12" t="s">
        <v>13</v>
      </c>
      <c r="C245" s="12" t="s">
        <v>14</v>
      </c>
      <c r="D245" s="19" t="s">
        <v>20</v>
      </c>
      <c r="E245" s="12" t="str">
        <f>IFERROR(__xludf.DUMMYFUNCTION("FILTER(colegios!$B$2:$B5618,colegios!$A$2:$A5618=L245)"),"601563")</f>
        <v>601563</v>
      </c>
      <c r="F245" s="14" t="s">
        <v>16</v>
      </c>
      <c r="G245" s="20" t="s">
        <v>21</v>
      </c>
      <c r="H245" s="12" t="s">
        <v>18</v>
      </c>
      <c r="I245" s="15">
        <v>2024.0</v>
      </c>
      <c r="J245" s="16" t="str">
        <f>IFERROR(__xludf.DUMMYFUNCTION("FILTER('CLASFICACIÓN'!$F$3:$F5618,'CLASFICACIÓN'!$G$3:$G5618=M245)"),"SOLO 2024")</f>
        <v>SOLO 2024</v>
      </c>
      <c r="K245" s="16"/>
      <c r="L245" s="12" t="s">
        <v>46</v>
      </c>
      <c r="M245" s="16" t="str">
        <f t="shared" si="1"/>
        <v>6015634 Primaria</v>
      </c>
      <c r="N245" s="17"/>
      <c r="O245" s="17"/>
      <c r="P245" s="17"/>
      <c r="Q245" s="17"/>
      <c r="R245" s="17"/>
      <c r="S245" s="17"/>
      <c r="T245" s="17"/>
    </row>
    <row r="246" ht="15.75" customHeight="1">
      <c r="A246" s="18">
        <v>245.0</v>
      </c>
      <c r="B246" s="12" t="s">
        <v>13</v>
      </c>
      <c r="C246" s="12" t="s">
        <v>14</v>
      </c>
      <c r="D246" s="19" t="s">
        <v>22</v>
      </c>
      <c r="E246" s="12" t="str">
        <f>IFERROR(__xludf.DUMMYFUNCTION("FILTER(colegios!$B$2:$B5618,colegios!$A$2:$A5618=L246)"),"601563")</f>
        <v>601563</v>
      </c>
      <c r="F246" s="14" t="s">
        <v>16</v>
      </c>
      <c r="G246" s="20" t="s">
        <v>17</v>
      </c>
      <c r="H246" s="12" t="s">
        <v>18</v>
      </c>
      <c r="I246" s="15">
        <v>2024.0</v>
      </c>
      <c r="J246" s="16" t="str">
        <f>IFERROR(__xludf.DUMMYFUNCTION("FILTER('CLASFICACIÓN'!$F$3:$F5618,'CLASFICACIÓN'!$G$3:$G5618=M246)"),"SOLO 2024")</f>
        <v>SOLO 2024</v>
      </c>
      <c r="K246" s="16"/>
      <c r="L246" s="12" t="s">
        <v>46</v>
      </c>
      <c r="M246" s="16" t="str">
        <f t="shared" si="1"/>
        <v>6015636 Primaria</v>
      </c>
      <c r="N246" s="17"/>
      <c r="O246" s="17"/>
      <c r="P246" s="17"/>
      <c r="Q246" s="17"/>
      <c r="R246" s="17"/>
      <c r="S246" s="17"/>
      <c r="T246" s="17"/>
    </row>
    <row r="247" ht="15.75" customHeight="1">
      <c r="A247" s="18">
        <v>246.0</v>
      </c>
      <c r="B247" s="12" t="s">
        <v>13</v>
      </c>
      <c r="C247" s="12" t="s">
        <v>14</v>
      </c>
      <c r="D247" s="19" t="s">
        <v>15</v>
      </c>
      <c r="E247" s="12" t="str">
        <f>IFERROR(__xludf.DUMMYFUNCTION("FILTER(colegios!$B$2:$B5618,colegios!$A$2:$A5618=L247)"),"60133")</f>
        <v>60133</v>
      </c>
      <c r="F247" s="14" t="s">
        <v>16</v>
      </c>
      <c r="G247" s="20" t="s">
        <v>17</v>
      </c>
      <c r="H247" s="12" t="s">
        <v>18</v>
      </c>
      <c r="I247" s="15">
        <v>2024.0</v>
      </c>
      <c r="J247" s="16" t="str">
        <f>IFERROR(__xludf.DUMMYFUNCTION("FILTER('CLASFICACIÓN'!$F$3:$F5618,'CLASFICACIÓN'!$G$3:$G5618=M247)"),"LOS 3 AÑOS")</f>
        <v>LOS 3 AÑOS</v>
      </c>
      <c r="K247" s="16"/>
      <c r="L247" s="12" t="s">
        <v>47</v>
      </c>
      <c r="M247" s="16" t="str">
        <f t="shared" si="1"/>
        <v>601332 Primaria</v>
      </c>
      <c r="N247" s="17"/>
      <c r="O247" s="17"/>
      <c r="P247" s="17"/>
      <c r="Q247" s="17"/>
      <c r="R247" s="17"/>
      <c r="S247" s="17"/>
      <c r="T247" s="17"/>
    </row>
    <row r="248" ht="15.75" customHeight="1">
      <c r="A248" s="18">
        <v>247.0</v>
      </c>
      <c r="B248" s="12" t="s">
        <v>13</v>
      </c>
      <c r="C248" s="12" t="s">
        <v>14</v>
      </c>
      <c r="D248" s="19" t="s">
        <v>15</v>
      </c>
      <c r="E248" s="12" t="str">
        <f>IFERROR(__xludf.DUMMYFUNCTION("FILTER(colegios!$B$2:$B5618,colegios!$A$2:$A5618=L248)"),"60133")</f>
        <v>60133</v>
      </c>
      <c r="F248" s="14" t="s">
        <v>16</v>
      </c>
      <c r="G248" s="19" t="s">
        <v>17</v>
      </c>
      <c r="H248" s="12" t="s">
        <v>18</v>
      </c>
      <c r="I248" s="15">
        <v>2024.0</v>
      </c>
      <c r="J248" s="16" t="str">
        <f>IFERROR(__xludf.DUMMYFUNCTION("FILTER('CLASFICACIÓN'!$F$3:$F5618,'CLASFICACIÓN'!$G$3:$G5618=M248)"),"LOS 3 AÑOS")</f>
        <v>LOS 3 AÑOS</v>
      </c>
      <c r="K248" s="16"/>
      <c r="L248" s="12" t="s">
        <v>47</v>
      </c>
      <c r="M248" s="16" t="str">
        <f t="shared" si="1"/>
        <v>601332 Primaria</v>
      </c>
      <c r="N248" s="17"/>
      <c r="O248" s="17"/>
      <c r="P248" s="17"/>
      <c r="Q248" s="17"/>
      <c r="R248" s="17"/>
      <c r="S248" s="17"/>
      <c r="T248" s="17"/>
    </row>
    <row r="249" ht="15.75" customHeight="1">
      <c r="A249" s="18">
        <v>248.0</v>
      </c>
      <c r="B249" s="12" t="s">
        <v>13</v>
      </c>
      <c r="C249" s="12" t="s">
        <v>14</v>
      </c>
      <c r="D249" s="19" t="s">
        <v>15</v>
      </c>
      <c r="E249" s="12" t="str">
        <f>IFERROR(__xludf.DUMMYFUNCTION("FILTER(colegios!$B$2:$B5618,colegios!$A$2:$A5618=L249)"),"60133")</f>
        <v>60133</v>
      </c>
      <c r="F249" s="14" t="s">
        <v>16</v>
      </c>
      <c r="G249" s="20" t="s">
        <v>17</v>
      </c>
      <c r="H249" s="12" t="s">
        <v>18</v>
      </c>
      <c r="I249" s="15">
        <v>2024.0</v>
      </c>
      <c r="J249" s="16" t="str">
        <f>IFERROR(__xludf.DUMMYFUNCTION("FILTER('CLASFICACIÓN'!$F$3:$F5618,'CLASFICACIÓN'!$G$3:$G5618=M249)"),"LOS 3 AÑOS")</f>
        <v>LOS 3 AÑOS</v>
      </c>
      <c r="K249" s="16"/>
      <c r="L249" s="12" t="s">
        <v>47</v>
      </c>
      <c r="M249" s="16" t="str">
        <f t="shared" si="1"/>
        <v>601332 Primaria</v>
      </c>
      <c r="N249" s="17"/>
      <c r="O249" s="17"/>
      <c r="P249" s="17"/>
      <c r="Q249" s="17"/>
      <c r="R249" s="17"/>
      <c r="S249" s="17"/>
      <c r="T249" s="17"/>
    </row>
    <row r="250" ht="15.75" customHeight="1">
      <c r="A250" s="18">
        <v>249.0</v>
      </c>
      <c r="B250" s="12" t="s">
        <v>13</v>
      </c>
      <c r="C250" s="12" t="s">
        <v>14</v>
      </c>
      <c r="D250" s="19" t="s">
        <v>15</v>
      </c>
      <c r="E250" s="12" t="str">
        <f>IFERROR(__xludf.DUMMYFUNCTION("FILTER(colegios!$B$2:$B5618,colegios!$A$2:$A5618=L250)"),"60133")</f>
        <v>60133</v>
      </c>
      <c r="F250" s="14" t="s">
        <v>16</v>
      </c>
      <c r="G250" s="20" t="s">
        <v>21</v>
      </c>
      <c r="H250" s="12" t="s">
        <v>18</v>
      </c>
      <c r="I250" s="15">
        <v>2024.0</v>
      </c>
      <c r="J250" s="16" t="str">
        <f>IFERROR(__xludf.DUMMYFUNCTION("FILTER('CLASFICACIÓN'!$F$3:$F5618,'CLASFICACIÓN'!$G$3:$G5618=M250)"),"LOS 3 AÑOS")</f>
        <v>LOS 3 AÑOS</v>
      </c>
      <c r="K250" s="16"/>
      <c r="L250" s="12" t="s">
        <v>47</v>
      </c>
      <c r="M250" s="16" t="str">
        <f t="shared" si="1"/>
        <v>601332 Primaria</v>
      </c>
      <c r="N250" s="17"/>
      <c r="O250" s="17"/>
      <c r="P250" s="17"/>
      <c r="Q250" s="17"/>
      <c r="R250" s="17"/>
      <c r="S250" s="17"/>
      <c r="T250" s="17"/>
    </row>
    <row r="251" ht="15.75" customHeight="1">
      <c r="A251" s="18">
        <v>250.0</v>
      </c>
      <c r="B251" s="12" t="s">
        <v>13</v>
      </c>
      <c r="C251" s="12" t="s">
        <v>14</v>
      </c>
      <c r="D251" s="19" t="s">
        <v>15</v>
      </c>
      <c r="E251" s="12" t="str">
        <f>IFERROR(__xludf.DUMMYFUNCTION("FILTER(colegios!$B$2:$B5618,colegios!$A$2:$A5618=L251)"),"60133")</f>
        <v>60133</v>
      </c>
      <c r="F251" s="14" t="s">
        <v>16</v>
      </c>
      <c r="G251" s="20" t="s">
        <v>21</v>
      </c>
      <c r="H251" s="12" t="s">
        <v>24</v>
      </c>
      <c r="I251" s="15">
        <v>2024.0</v>
      </c>
      <c r="J251" s="16" t="str">
        <f>IFERROR(__xludf.DUMMYFUNCTION("FILTER('CLASFICACIÓN'!$F$3:$F5618,'CLASFICACIÓN'!$G$3:$G5618=M251)"),"LOS 3 AÑOS")</f>
        <v>LOS 3 AÑOS</v>
      </c>
      <c r="K251" s="16"/>
      <c r="L251" s="12" t="s">
        <v>47</v>
      </c>
      <c r="M251" s="16" t="str">
        <f t="shared" si="1"/>
        <v>601332 Primaria</v>
      </c>
      <c r="N251" s="17"/>
      <c r="O251" s="17"/>
      <c r="P251" s="17"/>
      <c r="Q251" s="17"/>
      <c r="R251" s="17"/>
      <c r="S251" s="17"/>
      <c r="T251" s="17"/>
    </row>
    <row r="252" ht="15.75" customHeight="1">
      <c r="A252" s="18">
        <v>251.0</v>
      </c>
      <c r="B252" s="12" t="s">
        <v>13</v>
      </c>
      <c r="C252" s="12" t="s">
        <v>14</v>
      </c>
      <c r="D252" s="19" t="s">
        <v>15</v>
      </c>
      <c r="E252" s="12" t="str">
        <f>IFERROR(__xludf.DUMMYFUNCTION("FILTER(colegios!$B$2:$B5618,colegios!$A$2:$A5618=L252)"),"60133")</f>
        <v>60133</v>
      </c>
      <c r="F252" s="14" t="s">
        <v>16</v>
      </c>
      <c r="G252" s="20" t="s">
        <v>17</v>
      </c>
      <c r="H252" s="12" t="s">
        <v>18</v>
      </c>
      <c r="I252" s="15">
        <v>2024.0</v>
      </c>
      <c r="J252" s="16" t="str">
        <f>IFERROR(__xludf.DUMMYFUNCTION("FILTER('CLASFICACIÓN'!$F$3:$F5618,'CLASFICACIÓN'!$G$3:$G5618=M252)"),"LOS 3 AÑOS")</f>
        <v>LOS 3 AÑOS</v>
      </c>
      <c r="K252" s="16"/>
      <c r="L252" s="12" t="s">
        <v>47</v>
      </c>
      <c r="M252" s="16" t="str">
        <f t="shared" si="1"/>
        <v>601332 Primaria</v>
      </c>
      <c r="N252" s="17"/>
      <c r="O252" s="17"/>
      <c r="P252" s="17"/>
      <c r="Q252" s="17"/>
      <c r="R252" s="17"/>
      <c r="S252" s="17"/>
      <c r="T252" s="17"/>
    </row>
    <row r="253" ht="15.75" customHeight="1">
      <c r="A253" s="18">
        <v>252.0</v>
      </c>
      <c r="B253" s="12" t="s">
        <v>13</v>
      </c>
      <c r="C253" s="12" t="s">
        <v>14</v>
      </c>
      <c r="D253" s="19" t="s">
        <v>15</v>
      </c>
      <c r="E253" s="12" t="str">
        <f>IFERROR(__xludf.DUMMYFUNCTION("FILTER(colegios!$B$2:$B5618,colegios!$A$2:$A5618=L253)"),"60133")</f>
        <v>60133</v>
      </c>
      <c r="F253" s="14" t="s">
        <v>16</v>
      </c>
      <c r="G253" s="20" t="s">
        <v>17</v>
      </c>
      <c r="H253" s="12" t="s">
        <v>24</v>
      </c>
      <c r="I253" s="15">
        <v>2024.0</v>
      </c>
      <c r="J253" s="16" t="str">
        <f>IFERROR(__xludf.DUMMYFUNCTION("FILTER('CLASFICACIÓN'!$F$3:$F5618,'CLASFICACIÓN'!$G$3:$G5618=M253)"),"LOS 3 AÑOS")</f>
        <v>LOS 3 AÑOS</v>
      </c>
      <c r="K253" s="16"/>
      <c r="L253" s="12" t="s">
        <v>47</v>
      </c>
      <c r="M253" s="16" t="str">
        <f t="shared" si="1"/>
        <v>601332 Primaria</v>
      </c>
      <c r="N253" s="17"/>
      <c r="O253" s="17"/>
      <c r="P253" s="17"/>
      <c r="Q253" s="17"/>
      <c r="R253" s="17"/>
      <c r="S253" s="17"/>
      <c r="T253" s="17"/>
    </row>
    <row r="254" ht="15.75" customHeight="1">
      <c r="A254" s="18">
        <v>253.0</v>
      </c>
      <c r="B254" s="12" t="s">
        <v>13</v>
      </c>
      <c r="C254" s="12" t="s">
        <v>14</v>
      </c>
      <c r="D254" s="19" t="s">
        <v>15</v>
      </c>
      <c r="E254" s="12" t="str">
        <f>IFERROR(__xludf.DUMMYFUNCTION("FILTER(colegios!$B$2:$B5618,colegios!$A$2:$A5618=L254)"),"60133")</f>
        <v>60133</v>
      </c>
      <c r="F254" s="14" t="s">
        <v>16</v>
      </c>
      <c r="G254" s="19" t="s">
        <v>21</v>
      </c>
      <c r="H254" s="12" t="s">
        <v>24</v>
      </c>
      <c r="I254" s="15">
        <v>2024.0</v>
      </c>
      <c r="J254" s="16" t="str">
        <f>IFERROR(__xludf.DUMMYFUNCTION("FILTER('CLASFICACIÓN'!$F$3:$F5618,'CLASFICACIÓN'!$G$3:$G5618=M254)"),"LOS 3 AÑOS")</f>
        <v>LOS 3 AÑOS</v>
      </c>
      <c r="K254" s="16"/>
      <c r="L254" s="12" t="s">
        <v>47</v>
      </c>
      <c r="M254" s="16" t="str">
        <f t="shared" si="1"/>
        <v>601332 Primaria</v>
      </c>
      <c r="N254" s="17"/>
      <c r="O254" s="17"/>
      <c r="P254" s="17"/>
      <c r="Q254" s="17"/>
      <c r="R254" s="17"/>
      <c r="S254" s="17"/>
      <c r="T254" s="17"/>
    </row>
    <row r="255" ht="15.75" customHeight="1">
      <c r="A255" s="18">
        <v>254.0</v>
      </c>
      <c r="B255" s="12" t="s">
        <v>13</v>
      </c>
      <c r="C255" s="12" t="s">
        <v>14</v>
      </c>
      <c r="D255" s="19" t="s">
        <v>15</v>
      </c>
      <c r="E255" s="12" t="str">
        <f>IFERROR(__xludf.DUMMYFUNCTION("FILTER(colegios!$B$2:$B5618,colegios!$A$2:$A5618=L255)"),"60133")</f>
        <v>60133</v>
      </c>
      <c r="F255" s="14" t="s">
        <v>16</v>
      </c>
      <c r="G255" s="19" t="s">
        <v>21</v>
      </c>
      <c r="H255" s="12" t="s">
        <v>24</v>
      </c>
      <c r="I255" s="15">
        <v>2024.0</v>
      </c>
      <c r="J255" s="16" t="str">
        <f>IFERROR(__xludf.DUMMYFUNCTION("FILTER('CLASFICACIÓN'!$F$3:$F5618,'CLASFICACIÓN'!$G$3:$G5618=M255)"),"LOS 3 AÑOS")</f>
        <v>LOS 3 AÑOS</v>
      </c>
      <c r="K255" s="16"/>
      <c r="L255" s="12" t="s">
        <v>47</v>
      </c>
      <c r="M255" s="16" t="str">
        <f t="shared" si="1"/>
        <v>601332 Primaria</v>
      </c>
      <c r="N255" s="17"/>
      <c r="O255" s="17"/>
      <c r="P255" s="17"/>
      <c r="Q255" s="17"/>
      <c r="R255" s="17"/>
      <c r="S255" s="17"/>
      <c r="T255" s="17"/>
    </row>
    <row r="256" ht="15.75" customHeight="1">
      <c r="A256" s="18">
        <v>255.0</v>
      </c>
      <c r="B256" s="12" t="s">
        <v>13</v>
      </c>
      <c r="C256" s="12" t="s">
        <v>14</v>
      </c>
      <c r="D256" s="19" t="s">
        <v>15</v>
      </c>
      <c r="E256" s="12" t="str">
        <f>IFERROR(__xludf.DUMMYFUNCTION("FILTER(colegios!$B$2:$B5618,colegios!$A$2:$A5618=L256)"),"60133")</f>
        <v>60133</v>
      </c>
      <c r="F256" s="14" t="s">
        <v>16</v>
      </c>
      <c r="G256" s="19" t="s">
        <v>21</v>
      </c>
      <c r="H256" s="12" t="s">
        <v>18</v>
      </c>
      <c r="I256" s="15">
        <v>2024.0</v>
      </c>
      <c r="J256" s="16" t="str">
        <f>IFERROR(__xludf.DUMMYFUNCTION("FILTER('CLASFICACIÓN'!$F$3:$F5618,'CLASFICACIÓN'!$G$3:$G5618=M256)"),"LOS 3 AÑOS")</f>
        <v>LOS 3 AÑOS</v>
      </c>
      <c r="K256" s="16"/>
      <c r="L256" s="12" t="s">
        <v>47</v>
      </c>
      <c r="M256" s="16" t="str">
        <f t="shared" si="1"/>
        <v>601332 Primaria</v>
      </c>
      <c r="N256" s="17"/>
      <c r="O256" s="17"/>
      <c r="P256" s="17"/>
      <c r="Q256" s="17"/>
      <c r="R256" s="17"/>
      <c r="S256" s="17"/>
      <c r="T256" s="17"/>
    </row>
    <row r="257" ht="15.75" customHeight="1">
      <c r="A257" s="18">
        <v>256.0</v>
      </c>
      <c r="B257" s="12" t="s">
        <v>13</v>
      </c>
      <c r="C257" s="12" t="s">
        <v>14</v>
      </c>
      <c r="D257" s="19" t="s">
        <v>15</v>
      </c>
      <c r="E257" s="12" t="str">
        <f>IFERROR(__xludf.DUMMYFUNCTION("FILTER(colegios!$B$2:$B5618,colegios!$A$2:$A5618=L257)"),"60133")</f>
        <v>60133</v>
      </c>
      <c r="F257" s="14" t="s">
        <v>16</v>
      </c>
      <c r="G257" s="20" t="s">
        <v>21</v>
      </c>
      <c r="H257" s="12" t="s">
        <v>24</v>
      </c>
      <c r="I257" s="15">
        <v>2024.0</v>
      </c>
      <c r="J257" s="16" t="str">
        <f>IFERROR(__xludf.DUMMYFUNCTION("FILTER('CLASFICACIÓN'!$F$3:$F5618,'CLASFICACIÓN'!$G$3:$G5618=M257)"),"LOS 3 AÑOS")</f>
        <v>LOS 3 AÑOS</v>
      </c>
      <c r="K257" s="16"/>
      <c r="L257" s="12" t="s">
        <v>47</v>
      </c>
      <c r="M257" s="16" t="str">
        <f t="shared" si="1"/>
        <v>601332 Primaria</v>
      </c>
      <c r="N257" s="17"/>
      <c r="O257" s="17"/>
      <c r="P257" s="17"/>
      <c r="Q257" s="17"/>
      <c r="R257" s="17"/>
      <c r="S257" s="17"/>
      <c r="T257" s="17"/>
    </row>
    <row r="258" ht="15.75" customHeight="1">
      <c r="A258" s="18">
        <v>257.0</v>
      </c>
      <c r="B258" s="12" t="s">
        <v>13</v>
      </c>
      <c r="C258" s="12" t="s">
        <v>14</v>
      </c>
      <c r="D258" s="19" t="s">
        <v>15</v>
      </c>
      <c r="E258" s="12" t="str">
        <f>IFERROR(__xludf.DUMMYFUNCTION("FILTER(colegios!$B$2:$B5618,colegios!$A$2:$A5618=L258)"),"60133")</f>
        <v>60133</v>
      </c>
      <c r="F258" s="14" t="s">
        <v>16</v>
      </c>
      <c r="G258" s="20" t="s">
        <v>17</v>
      </c>
      <c r="H258" s="12" t="s">
        <v>24</v>
      </c>
      <c r="I258" s="15">
        <v>2024.0</v>
      </c>
      <c r="J258" s="16" t="str">
        <f>IFERROR(__xludf.DUMMYFUNCTION("FILTER('CLASFICACIÓN'!$F$3:$F5618,'CLASFICACIÓN'!$G$3:$G5618=M258)"),"LOS 3 AÑOS")</f>
        <v>LOS 3 AÑOS</v>
      </c>
      <c r="K258" s="16"/>
      <c r="L258" s="12" t="s">
        <v>47</v>
      </c>
      <c r="M258" s="16" t="str">
        <f t="shared" si="1"/>
        <v>601332 Primaria</v>
      </c>
      <c r="N258" s="17"/>
      <c r="O258" s="17"/>
      <c r="P258" s="17"/>
      <c r="Q258" s="17"/>
      <c r="R258" s="17"/>
      <c r="S258" s="17"/>
      <c r="T258" s="17"/>
    </row>
    <row r="259" ht="15.75" customHeight="1">
      <c r="A259" s="18">
        <v>258.0</v>
      </c>
      <c r="B259" s="12" t="s">
        <v>13</v>
      </c>
      <c r="C259" s="12" t="s">
        <v>14</v>
      </c>
      <c r="D259" s="19" t="s">
        <v>20</v>
      </c>
      <c r="E259" s="12" t="str">
        <f>IFERROR(__xludf.DUMMYFUNCTION("FILTER(colegios!$B$2:$B5618,colegios!$A$2:$A5618=L259)"),"60133")</f>
        <v>60133</v>
      </c>
      <c r="F259" s="14" t="s">
        <v>16</v>
      </c>
      <c r="G259" s="20" t="s">
        <v>21</v>
      </c>
      <c r="H259" s="12" t="s">
        <v>24</v>
      </c>
      <c r="I259" s="15">
        <v>2024.0</v>
      </c>
      <c r="J259" s="16" t="str">
        <f>IFERROR(__xludf.DUMMYFUNCTION("FILTER('CLASFICACIÓN'!$F$3:$F5618,'CLASFICACIÓN'!$G$3:$G5618=M259)"),"LOS 3 AÑOS")</f>
        <v>LOS 3 AÑOS</v>
      </c>
      <c r="K259" s="16"/>
      <c r="L259" s="12" t="s">
        <v>47</v>
      </c>
      <c r="M259" s="16" t="str">
        <f t="shared" si="1"/>
        <v>601334 Primaria</v>
      </c>
      <c r="N259" s="17"/>
      <c r="O259" s="17"/>
      <c r="P259" s="17"/>
      <c r="Q259" s="17"/>
      <c r="R259" s="17"/>
      <c r="S259" s="17"/>
      <c r="T259" s="17"/>
    </row>
    <row r="260" ht="15.75" customHeight="1">
      <c r="A260" s="18">
        <v>259.0</v>
      </c>
      <c r="B260" s="12" t="s">
        <v>13</v>
      </c>
      <c r="C260" s="12" t="s">
        <v>14</v>
      </c>
      <c r="D260" s="19" t="s">
        <v>20</v>
      </c>
      <c r="E260" s="12" t="str">
        <f>IFERROR(__xludf.DUMMYFUNCTION("FILTER(colegios!$B$2:$B5618,colegios!$A$2:$A5618=L260)"),"60133")</f>
        <v>60133</v>
      </c>
      <c r="F260" s="14" t="s">
        <v>16</v>
      </c>
      <c r="G260" s="20" t="s">
        <v>17</v>
      </c>
      <c r="H260" s="12" t="s">
        <v>24</v>
      </c>
      <c r="I260" s="15">
        <v>2024.0</v>
      </c>
      <c r="J260" s="16" t="str">
        <f>IFERROR(__xludf.DUMMYFUNCTION("FILTER('CLASFICACIÓN'!$F$3:$F5618,'CLASFICACIÓN'!$G$3:$G5618=M260)"),"LOS 3 AÑOS")</f>
        <v>LOS 3 AÑOS</v>
      </c>
      <c r="K260" s="16"/>
      <c r="L260" s="12" t="s">
        <v>47</v>
      </c>
      <c r="M260" s="16" t="str">
        <f t="shared" si="1"/>
        <v>601334 Primaria</v>
      </c>
      <c r="N260" s="17"/>
      <c r="O260" s="17"/>
      <c r="P260" s="17"/>
      <c r="Q260" s="17"/>
      <c r="R260" s="17"/>
      <c r="S260" s="17"/>
      <c r="T260" s="17"/>
    </row>
    <row r="261" ht="15.75" customHeight="1">
      <c r="A261" s="18">
        <v>260.0</v>
      </c>
      <c r="B261" s="12" t="s">
        <v>13</v>
      </c>
      <c r="C261" s="12" t="s">
        <v>14</v>
      </c>
      <c r="D261" s="19" t="s">
        <v>20</v>
      </c>
      <c r="E261" s="12" t="str">
        <f>IFERROR(__xludf.DUMMYFUNCTION("FILTER(colegios!$B$2:$B5618,colegios!$A$2:$A5618=L261)"),"60133")</f>
        <v>60133</v>
      </c>
      <c r="F261" s="14" t="s">
        <v>16</v>
      </c>
      <c r="G261" s="19" t="s">
        <v>21</v>
      </c>
      <c r="H261" s="12" t="s">
        <v>18</v>
      </c>
      <c r="I261" s="15">
        <v>2024.0</v>
      </c>
      <c r="J261" s="16" t="str">
        <f>IFERROR(__xludf.DUMMYFUNCTION("FILTER('CLASFICACIÓN'!$F$3:$F5618,'CLASFICACIÓN'!$G$3:$G5618=M261)"),"LOS 3 AÑOS")</f>
        <v>LOS 3 AÑOS</v>
      </c>
      <c r="K261" s="16"/>
      <c r="L261" s="12" t="s">
        <v>47</v>
      </c>
      <c r="M261" s="16" t="str">
        <f t="shared" si="1"/>
        <v>601334 Primaria</v>
      </c>
      <c r="N261" s="17"/>
      <c r="O261" s="17"/>
      <c r="P261" s="17"/>
      <c r="Q261" s="17"/>
      <c r="R261" s="17"/>
      <c r="S261" s="17"/>
      <c r="T261" s="17"/>
    </row>
    <row r="262" ht="15.75" customHeight="1">
      <c r="A262" s="18">
        <v>261.0</v>
      </c>
      <c r="B262" s="12" t="s">
        <v>13</v>
      </c>
      <c r="C262" s="12" t="s">
        <v>14</v>
      </c>
      <c r="D262" s="19" t="s">
        <v>20</v>
      </c>
      <c r="E262" s="12" t="str">
        <f>IFERROR(__xludf.DUMMYFUNCTION("FILTER(colegios!$B$2:$B5618,colegios!$A$2:$A5618=L262)"),"60133")</f>
        <v>60133</v>
      </c>
      <c r="F262" s="14" t="s">
        <v>16</v>
      </c>
      <c r="G262" s="19" t="s">
        <v>21</v>
      </c>
      <c r="H262" s="12" t="s">
        <v>18</v>
      </c>
      <c r="I262" s="15">
        <v>2024.0</v>
      </c>
      <c r="J262" s="16" t="str">
        <f>IFERROR(__xludf.DUMMYFUNCTION("FILTER('CLASFICACIÓN'!$F$3:$F5618,'CLASFICACIÓN'!$G$3:$G5618=M262)"),"LOS 3 AÑOS")</f>
        <v>LOS 3 AÑOS</v>
      </c>
      <c r="K262" s="16"/>
      <c r="L262" s="12" t="s">
        <v>47</v>
      </c>
      <c r="M262" s="16" t="str">
        <f t="shared" si="1"/>
        <v>601334 Primaria</v>
      </c>
      <c r="N262" s="17"/>
      <c r="O262" s="17"/>
      <c r="P262" s="17"/>
      <c r="Q262" s="17"/>
      <c r="R262" s="17"/>
      <c r="S262" s="17"/>
      <c r="T262" s="17"/>
    </row>
    <row r="263" ht="15.75" customHeight="1">
      <c r="A263" s="18">
        <v>262.0</v>
      </c>
      <c r="B263" s="12" t="s">
        <v>13</v>
      </c>
      <c r="C263" s="12" t="s">
        <v>14</v>
      </c>
      <c r="D263" s="19" t="s">
        <v>20</v>
      </c>
      <c r="E263" s="12" t="str">
        <f>IFERROR(__xludf.DUMMYFUNCTION("FILTER(colegios!$B$2:$B5618,colegios!$A$2:$A5618=L263)"),"60133")</f>
        <v>60133</v>
      </c>
      <c r="F263" s="14" t="s">
        <v>16</v>
      </c>
      <c r="G263" s="19" t="s">
        <v>21</v>
      </c>
      <c r="H263" s="12" t="s">
        <v>18</v>
      </c>
      <c r="I263" s="15">
        <v>2024.0</v>
      </c>
      <c r="J263" s="16" t="str">
        <f>IFERROR(__xludf.DUMMYFUNCTION("FILTER('CLASFICACIÓN'!$F$3:$F5618,'CLASFICACIÓN'!$G$3:$G5618=M263)"),"LOS 3 AÑOS")</f>
        <v>LOS 3 AÑOS</v>
      </c>
      <c r="K263" s="16"/>
      <c r="L263" s="12" t="s">
        <v>47</v>
      </c>
      <c r="M263" s="16" t="str">
        <f t="shared" si="1"/>
        <v>601334 Primaria</v>
      </c>
      <c r="N263" s="17"/>
      <c r="O263" s="17"/>
      <c r="P263" s="17"/>
      <c r="Q263" s="17"/>
      <c r="R263" s="17"/>
      <c r="S263" s="17"/>
      <c r="T263" s="17"/>
    </row>
    <row r="264" ht="15.75" customHeight="1">
      <c r="A264" s="18">
        <v>263.0</v>
      </c>
      <c r="B264" s="12" t="s">
        <v>13</v>
      </c>
      <c r="C264" s="12" t="s">
        <v>14</v>
      </c>
      <c r="D264" s="19" t="s">
        <v>20</v>
      </c>
      <c r="E264" s="12" t="str">
        <f>IFERROR(__xludf.DUMMYFUNCTION("FILTER(colegios!$B$2:$B5618,colegios!$A$2:$A5618=L264)"),"60133")</f>
        <v>60133</v>
      </c>
      <c r="F264" s="14" t="s">
        <v>16</v>
      </c>
      <c r="G264" s="19" t="s">
        <v>21</v>
      </c>
      <c r="H264" s="12" t="s">
        <v>24</v>
      </c>
      <c r="I264" s="15">
        <v>2024.0</v>
      </c>
      <c r="J264" s="16" t="str">
        <f>IFERROR(__xludf.DUMMYFUNCTION("FILTER('CLASFICACIÓN'!$F$3:$F5618,'CLASFICACIÓN'!$G$3:$G5618=M264)"),"LOS 3 AÑOS")</f>
        <v>LOS 3 AÑOS</v>
      </c>
      <c r="K264" s="16"/>
      <c r="L264" s="12" t="s">
        <v>47</v>
      </c>
      <c r="M264" s="16" t="str">
        <f t="shared" si="1"/>
        <v>601334 Primaria</v>
      </c>
      <c r="N264" s="17"/>
      <c r="O264" s="17"/>
      <c r="P264" s="17"/>
      <c r="Q264" s="17"/>
      <c r="R264" s="17"/>
      <c r="S264" s="17"/>
      <c r="T264" s="17"/>
    </row>
    <row r="265" ht="15.75" customHeight="1">
      <c r="A265" s="18">
        <v>264.0</v>
      </c>
      <c r="B265" s="12" t="s">
        <v>13</v>
      </c>
      <c r="C265" s="12" t="s">
        <v>14</v>
      </c>
      <c r="D265" s="19" t="s">
        <v>20</v>
      </c>
      <c r="E265" s="12" t="str">
        <f>IFERROR(__xludf.DUMMYFUNCTION("FILTER(colegios!$B$2:$B5618,colegios!$A$2:$A5618=L265)"),"60133")</f>
        <v>60133</v>
      </c>
      <c r="F265" s="14" t="s">
        <v>16</v>
      </c>
      <c r="G265" s="19" t="s">
        <v>17</v>
      </c>
      <c r="H265" s="12" t="s">
        <v>24</v>
      </c>
      <c r="I265" s="15">
        <v>2024.0</v>
      </c>
      <c r="J265" s="16" t="str">
        <f>IFERROR(__xludf.DUMMYFUNCTION("FILTER('CLASFICACIÓN'!$F$3:$F5618,'CLASFICACIÓN'!$G$3:$G5618=M265)"),"LOS 3 AÑOS")</f>
        <v>LOS 3 AÑOS</v>
      </c>
      <c r="K265" s="16"/>
      <c r="L265" s="12" t="s">
        <v>47</v>
      </c>
      <c r="M265" s="16" t="str">
        <f t="shared" si="1"/>
        <v>601334 Primaria</v>
      </c>
      <c r="N265" s="17"/>
      <c r="O265" s="17"/>
      <c r="P265" s="17"/>
      <c r="Q265" s="17"/>
      <c r="R265" s="17"/>
      <c r="S265" s="17"/>
      <c r="T265" s="17"/>
    </row>
    <row r="266" ht="15.75" customHeight="1">
      <c r="A266" s="18">
        <v>265.0</v>
      </c>
      <c r="B266" s="12" t="s">
        <v>13</v>
      </c>
      <c r="C266" s="12" t="s">
        <v>14</v>
      </c>
      <c r="D266" s="19" t="s">
        <v>20</v>
      </c>
      <c r="E266" s="12" t="str">
        <f>IFERROR(__xludf.DUMMYFUNCTION("FILTER(colegios!$B$2:$B5618,colegios!$A$2:$A5618=L266)"),"60133")</f>
        <v>60133</v>
      </c>
      <c r="F266" s="14" t="s">
        <v>16</v>
      </c>
      <c r="G266" s="20" t="s">
        <v>21</v>
      </c>
      <c r="H266" s="12" t="s">
        <v>24</v>
      </c>
      <c r="I266" s="15">
        <v>2024.0</v>
      </c>
      <c r="J266" s="16" t="str">
        <f>IFERROR(__xludf.DUMMYFUNCTION("FILTER('CLASFICACIÓN'!$F$3:$F5618,'CLASFICACIÓN'!$G$3:$G5618=M266)"),"LOS 3 AÑOS")</f>
        <v>LOS 3 AÑOS</v>
      </c>
      <c r="K266" s="16"/>
      <c r="L266" s="12" t="s">
        <v>47</v>
      </c>
      <c r="M266" s="16" t="str">
        <f t="shared" si="1"/>
        <v>601334 Primaria</v>
      </c>
      <c r="N266" s="17"/>
      <c r="O266" s="17"/>
      <c r="P266" s="17"/>
      <c r="Q266" s="17"/>
      <c r="R266" s="17"/>
      <c r="S266" s="17"/>
      <c r="T266" s="17"/>
    </row>
    <row r="267" ht="15.75" customHeight="1">
      <c r="A267" s="18">
        <v>266.0</v>
      </c>
      <c r="B267" s="12" t="s">
        <v>13</v>
      </c>
      <c r="C267" s="12" t="s">
        <v>14</v>
      </c>
      <c r="D267" s="19" t="s">
        <v>20</v>
      </c>
      <c r="E267" s="12" t="str">
        <f>IFERROR(__xludf.DUMMYFUNCTION("FILTER(colegios!$B$2:$B5618,colegios!$A$2:$A5618=L267)"),"60133")</f>
        <v>60133</v>
      </c>
      <c r="F267" s="14" t="s">
        <v>16</v>
      </c>
      <c r="G267" s="20" t="s">
        <v>17</v>
      </c>
      <c r="H267" s="12" t="s">
        <v>18</v>
      </c>
      <c r="I267" s="15">
        <v>2024.0</v>
      </c>
      <c r="J267" s="16" t="str">
        <f>IFERROR(__xludf.DUMMYFUNCTION("FILTER('CLASFICACIÓN'!$F$3:$F5618,'CLASFICACIÓN'!$G$3:$G5618=M267)"),"LOS 3 AÑOS")</f>
        <v>LOS 3 AÑOS</v>
      </c>
      <c r="K267" s="16"/>
      <c r="L267" s="12" t="s">
        <v>47</v>
      </c>
      <c r="M267" s="16" t="str">
        <f t="shared" si="1"/>
        <v>601334 Primaria</v>
      </c>
      <c r="N267" s="17"/>
      <c r="O267" s="17"/>
      <c r="P267" s="17"/>
      <c r="Q267" s="17"/>
      <c r="R267" s="17"/>
      <c r="S267" s="17"/>
      <c r="T267" s="17"/>
    </row>
    <row r="268" ht="15.75" customHeight="1">
      <c r="A268" s="18">
        <v>267.0</v>
      </c>
      <c r="B268" s="12" t="s">
        <v>13</v>
      </c>
      <c r="C268" s="12" t="s">
        <v>14</v>
      </c>
      <c r="D268" s="19" t="s">
        <v>20</v>
      </c>
      <c r="E268" s="12" t="str">
        <f>IFERROR(__xludf.DUMMYFUNCTION("FILTER(colegios!$B$2:$B5618,colegios!$A$2:$A5618=L268)"),"60133")</f>
        <v>60133</v>
      </c>
      <c r="F268" s="14" t="s">
        <v>16</v>
      </c>
      <c r="G268" s="20" t="s">
        <v>21</v>
      </c>
      <c r="H268" s="12" t="s">
        <v>18</v>
      </c>
      <c r="I268" s="15">
        <v>2024.0</v>
      </c>
      <c r="J268" s="16" t="str">
        <f>IFERROR(__xludf.DUMMYFUNCTION("FILTER('CLASFICACIÓN'!$F$3:$F5618,'CLASFICACIÓN'!$G$3:$G5618=M268)"),"LOS 3 AÑOS")</f>
        <v>LOS 3 AÑOS</v>
      </c>
      <c r="K268" s="16"/>
      <c r="L268" s="12" t="s">
        <v>47</v>
      </c>
      <c r="M268" s="16" t="str">
        <f t="shared" si="1"/>
        <v>601334 Primaria</v>
      </c>
      <c r="N268" s="17"/>
      <c r="O268" s="17"/>
      <c r="P268" s="17"/>
      <c r="Q268" s="17"/>
      <c r="R268" s="17"/>
      <c r="S268" s="17"/>
      <c r="T268" s="17"/>
    </row>
    <row r="269" ht="15.75" customHeight="1">
      <c r="A269" s="18">
        <v>268.0</v>
      </c>
      <c r="B269" s="12" t="s">
        <v>13</v>
      </c>
      <c r="C269" s="12" t="s">
        <v>14</v>
      </c>
      <c r="D269" s="19" t="s">
        <v>20</v>
      </c>
      <c r="E269" s="12" t="str">
        <f>IFERROR(__xludf.DUMMYFUNCTION("FILTER(colegios!$B$2:$B5618,colegios!$A$2:$A5618=L269)"),"60133")</f>
        <v>60133</v>
      </c>
      <c r="F269" s="14" t="s">
        <v>16</v>
      </c>
      <c r="G269" s="20" t="s">
        <v>17</v>
      </c>
      <c r="H269" s="12" t="s">
        <v>24</v>
      </c>
      <c r="I269" s="15">
        <v>2024.0</v>
      </c>
      <c r="J269" s="16" t="str">
        <f>IFERROR(__xludf.DUMMYFUNCTION("FILTER('CLASFICACIÓN'!$F$3:$F5618,'CLASFICACIÓN'!$G$3:$G5618=M269)"),"LOS 3 AÑOS")</f>
        <v>LOS 3 AÑOS</v>
      </c>
      <c r="K269" s="16"/>
      <c r="L269" s="12" t="s">
        <v>47</v>
      </c>
      <c r="M269" s="16" t="str">
        <f t="shared" si="1"/>
        <v>601334 Primaria</v>
      </c>
      <c r="N269" s="17"/>
      <c r="O269" s="17"/>
      <c r="P269" s="17"/>
      <c r="Q269" s="17"/>
      <c r="R269" s="17"/>
      <c r="S269" s="17"/>
      <c r="T269" s="17"/>
    </row>
    <row r="270" ht="15.75" customHeight="1">
      <c r="A270" s="18">
        <v>269.0</v>
      </c>
      <c r="B270" s="12" t="s">
        <v>13</v>
      </c>
      <c r="C270" s="12" t="s">
        <v>14</v>
      </c>
      <c r="D270" s="19" t="s">
        <v>20</v>
      </c>
      <c r="E270" s="12" t="str">
        <f>IFERROR(__xludf.DUMMYFUNCTION("FILTER(colegios!$B$2:$B5618,colegios!$A$2:$A5618=L270)"),"60133")</f>
        <v>60133</v>
      </c>
      <c r="F270" s="14" t="s">
        <v>16</v>
      </c>
      <c r="G270" s="19" t="s">
        <v>17</v>
      </c>
      <c r="H270" s="12" t="s">
        <v>24</v>
      </c>
      <c r="I270" s="15">
        <v>2024.0</v>
      </c>
      <c r="J270" s="16" t="str">
        <f>IFERROR(__xludf.DUMMYFUNCTION("FILTER('CLASFICACIÓN'!$F$3:$F5618,'CLASFICACIÓN'!$G$3:$G5618=M270)"),"LOS 3 AÑOS")</f>
        <v>LOS 3 AÑOS</v>
      </c>
      <c r="K270" s="16"/>
      <c r="L270" s="12" t="s">
        <v>47</v>
      </c>
      <c r="M270" s="16" t="str">
        <f t="shared" si="1"/>
        <v>601334 Primaria</v>
      </c>
      <c r="N270" s="17"/>
      <c r="O270" s="17"/>
      <c r="P270" s="17"/>
      <c r="Q270" s="17"/>
      <c r="R270" s="17"/>
      <c r="S270" s="17"/>
      <c r="T270" s="17"/>
    </row>
    <row r="271" ht="15.75" customHeight="1">
      <c r="A271" s="18">
        <v>270.0</v>
      </c>
      <c r="B271" s="12" t="s">
        <v>13</v>
      </c>
      <c r="C271" s="12" t="s">
        <v>14</v>
      </c>
      <c r="D271" s="19" t="s">
        <v>22</v>
      </c>
      <c r="E271" s="12" t="str">
        <f>IFERROR(__xludf.DUMMYFUNCTION("FILTER(colegios!$B$2:$B5618,colegios!$A$2:$A5618=L271)"),"60133")</f>
        <v>60133</v>
      </c>
      <c r="F271" s="14" t="s">
        <v>16</v>
      </c>
      <c r="G271" s="19" t="s">
        <v>17</v>
      </c>
      <c r="H271" s="12" t="s">
        <v>18</v>
      </c>
      <c r="I271" s="15">
        <v>2024.0</v>
      </c>
      <c r="J271" s="16" t="str">
        <f>IFERROR(__xludf.DUMMYFUNCTION("FILTER('CLASFICACIÓN'!$F$3:$F5618,'CLASFICACIÓN'!$G$3:$G5618=M271)"),"LOS 3 AÑOS")</f>
        <v>LOS 3 AÑOS</v>
      </c>
      <c r="K271" s="16"/>
      <c r="L271" s="12" t="s">
        <v>47</v>
      </c>
      <c r="M271" s="16" t="str">
        <f t="shared" si="1"/>
        <v>601336 Primaria</v>
      </c>
      <c r="N271" s="17"/>
      <c r="O271" s="17"/>
      <c r="P271" s="17"/>
      <c r="Q271" s="17"/>
      <c r="R271" s="17"/>
      <c r="S271" s="17"/>
      <c r="T271" s="17"/>
    </row>
    <row r="272" ht="15.75" customHeight="1">
      <c r="A272" s="18">
        <v>271.0</v>
      </c>
      <c r="B272" s="12" t="s">
        <v>13</v>
      </c>
      <c r="C272" s="12" t="s">
        <v>14</v>
      </c>
      <c r="D272" s="19" t="s">
        <v>22</v>
      </c>
      <c r="E272" s="12" t="str">
        <f>IFERROR(__xludf.DUMMYFUNCTION("FILTER(colegios!$B$2:$B5618,colegios!$A$2:$A5618=L272)"),"60133")</f>
        <v>60133</v>
      </c>
      <c r="F272" s="14" t="s">
        <v>16</v>
      </c>
      <c r="G272" s="19" t="s">
        <v>17</v>
      </c>
      <c r="H272" s="12" t="s">
        <v>18</v>
      </c>
      <c r="I272" s="15">
        <v>2024.0</v>
      </c>
      <c r="J272" s="16" t="str">
        <f>IFERROR(__xludf.DUMMYFUNCTION("FILTER('CLASFICACIÓN'!$F$3:$F5618,'CLASFICACIÓN'!$G$3:$G5618=M272)"),"LOS 3 AÑOS")</f>
        <v>LOS 3 AÑOS</v>
      </c>
      <c r="K272" s="16"/>
      <c r="L272" s="12" t="s">
        <v>47</v>
      </c>
      <c r="M272" s="16" t="str">
        <f t="shared" si="1"/>
        <v>601336 Primaria</v>
      </c>
      <c r="N272" s="17"/>
      <c r="O272" s="17"/>
      <c r="P272" s="17"/>
      <c r="Q272" s="17"/>
      <c r="R272" s="17"/>
      <c r="S272" s="17"/>
      <c r="T272" s="17"/>
    </row>
    <row r="273" ht="15.75" customHeight="1">
      <c r="A273" s="18">
        <v>272.0</v>
      </c>
      <c r="B273" s="12" t="s">
        <v>13</v>
      </c>
      <c r="C273" s="12" t="s">
        <v>14</v>
      </c>
      <c r="D273" s="19" t="s">
        <v>22</v>
      </c>
      <c r="E273" s="12" t="str">
        <f>IFERROR(__xludf.DUMMYFUNCTION("FILTER(colegios!$B$2:$B5618,colegios!$A$2:$A5618=L273)"),"60133")</f>
        <v>60133</v>
      </c>
      <c r="F273" s="14" t="s">
        <v>16</v>
      </c>
      <c r="G273" s="19" t="s">
        <v>17</v>
      </c>
      <c r="H273" s="12" t="s">
        <v>18</v>
      </c>
      <c r="I273" s="15">
        <v>2024.0</v>
      </c>
      <c r="J273" s="16" t="str">
        <f>IFERROR(__xludf.DUMMYFUNCTION("FILTER('CLASFICACIÓN'!$F$3:$F5618,'CLASFICACIÓN'!$G$3:$G5618=M273)"),"LOS 3 AÑOS")</f>
        <v>LOS 3 AÑOS</v>
      </c>
      <c r="K273" s="16"/>
      <c r="L273" s="12" t="s">
        <v>47</v>
      </c>
      <c r="M273" s="16" t="str">
        <f t="shared" si="1"/>
        <v>601336 Primaria</v>
      </c>
      <c r="N273" s="17"/>
      <c r="O273" s="17"/>
      <c r="P273" s="17"/>
      <c r="Q273" s="17"/>
      <c r="R273" s="17"/>
      <c r="S273" s="17"/>
      <c r="T273" s="17"/>
    </row>
    <row r="274" ht="15.75" customHeight="1">
      <c r="A274" s="18">
        <v>273.0</v>
      </c>
      <c r="B274" s="12" t="s">
        <v>13</v>
      </c>
      <c r="C274" s="12" t="s">
        <v>14</v>
      </c>
      <c r="D274" s="19" t="s">
        <v>22</v>
      </c>
      <c r="E274" s="12" t="str">
        <f>IFERROR(__xludf.DUMMYFUNCTION("FILTER(colegios!$B$2:$B5618,colegios!$A$2:$A5618=L274)"),"60133")</f>
        <v>60133</v>
      </c>
      <c r="F274" s="14" t="s">
        <v>16</v>
      </c>
      <c r="G274" s="20" t="s">
        <v>17</v>
      </c>
      <c r="H274" s="12" t="s">
        <v>18</v>
      </c>
      <c r="I274" s="15">
        <v>2024.0</v>
      </c>
      <c r="J274" s="16" t="str">
        <f>IFERROR(__xludf.DUMMYFUNCTION("FILTER('CLASFICACIÓN'!$F$3:$F5618,'CLASFICACIÓN'!$G$3:$G5618=M274)"),"LOS 3 AÑOS")</f>
        <v>LOS 3 AÑOS</v>
      </c>
      <c r="K274" s="16"/>
      <c r="L274" s="12" t="s">
        <v>47</v>
      </c>
      <c r="M274" s="16" t="str">
        <f t="shared" si="1"/>
        <v>601336 Primaria</v>
      </c>
      <c r="N274" s="17"/>
      <c r="O274" s="17"/>
      <c r="P274" s="17"/>
      <c r="Q274" s="17"/>
      <c r="R274" s="17"/>
      <c r="S274" s="17"/>
      <c r="T274" s="17"/>
    </row>
    <row r="275" ht="15.75" customHeight="1">
      <c r="A275" s="18">
        <v>274.0</v>
      </c>
      <c r="B275" s="12" t="s">
        <v>13</v>
      </c>
      <c r="C275" s="12" t="s">
        <v>14</v>
      </c>
      <c r="D275" s="19" t="s">
        <v>22</v>
      </c>
      <c r="E275" s="12" t="str">
        <f>IFERROR(__xludf.DUMMYFUNCTION("FILTER(colegios!$B$2:$B5618,colegios!$A$2:$A5618=L275)"),"60133")</f>
        <v>60133</v>
      </c>
      <c r="F275" s="14" t="s">
        <v>16</v>
      </c>
      <c r="G275" s="20" t="s">
        <v>21</v>
      </c>
      <c r="H275" s="12" t="s">
        <v>18</v>
      </c>
      <c r="I275" s="15">
        <v>2024.0</v>
      </c>
      <c r="J275" s="16" t="str">
        <f>IFERROR(__xludf.DUMMYFUNCTION("FILTER('CLASFICACIÓN'!$F$3:$F5618,'CLASFICACIÓN'!$G$3:$G5618=M275)"),"LOS 3 AÑOS")</f>
        <v>LOS 3 AÑOS</v>
      </c>
      <c r="K275" s="16"/>
      <c r="L275" s="12" t="s">
        <v>47</v>
      </c>
      <c r="M275" s="16" t="str">
        <f t="shared" si="1"/>
        <v>601336 Primaria</v>
      </c>
      <c r="N275" s="17"/>
      <c r="O275" s="17"/>
      <c r="P275" s="17"/>
      <c r="Q275" s="17"/>
      <c r="R275" s="17"/>
      <c r="S275" s="17"/>
      <c r="T275" s="17"/>
    </row>
    <row r="276" ht="15.75" customHeight="1">
      <c r="A276" s="18">
        <v>275.0</v>
      </c>
      <c r="B276" s="12" t="s">
        <v>13</v>
      </c>
      <c r="C276" s="12" t="s">
        <v>14</v>
      </c>
      <c r="D276" s="19" t="s">
        <v>22</v>
      </c>
      <c r="E276" s="12" t="str">
        <f>IFERROR(__xludf.DUMMYFUNCTION("FILTER(colegios!$B$2:$B5618,colegios!$A$2:$A5618=L276)"),"60133")</f>
        <v>60133</v>
      </c>
      <c r="F276" s="14" t="s">
        <v>16</v>
      </c>
      <c r="G276" s="20" t="s">
        <v>17</v>
      </c>
      <c r="H276" s="12" t="s">
        <v>18</v>
      </c>
      <c r="I276" s="15">
        <v>2024.0</v>
      </c>
      <c r="J276" s="16" t="str">
        <f>IFERROR(__xludf.DUMMYFUNCTION("FILTER('CLASFICACIÓN'!$F$3:$F5618,'CLASFICACIÓN'!$G$3:$G5618=M276)"),"LOS 3 AÑOS")</f>
        <v>LOS 3 AÑOS</v>
      </c>
      <c r="K276" s="16"/>
      <c r="L276" s="12" t="s">
        <v>47</v>
      </c>
      <c r="M276" s="16" t="str">
        <f t="shared" si="1"/>
        <v>601336 Primaria</v>
      </c>
      <c r="N276" s="17"/>
      <c r="O276" s="17"/>
      <c r="P276" s="17"/>
      <c r="Q276" s="17"/>
      <c r="R276" s="17"/>
      <c r="S276" s="17"/>
      <c r="T276" s="17"/>
    </row>
    <row r="277" ht="15.75" customHeight="1">
      <c r="A277" s="18">
        <v>276.0</v>
      </c>
      <c r="B277" s="12" t="s">
        <v>13</v>
      </c>
      <c r="C277" s="12" t="s">
        <v>14</v>
      </c>
      <c r="D277" s="19" t="s">
        <v>22</v>
      </c>
      <c r="E277" s="12" t="str">
        <f>IFERROR(__xludf.DUMMYFUNCTION("FILTER(colegios!$B$2:$B5618,colegios!$A$2:$A5618=L277)"),"60133")</f>
        <v>60133</v>
      </c>
      <c r="F277" s="14" t="s">
        <v>16</v>
      </c>
      <c r="G277" s="20" t="s">
        <v>21</v>
      </c>
      <c r="H277" s="12" t="s">
        <v>18</v>
      </c>
      <c r="I277" s="15">
        <v>2024.0</v>
      </c>
      <c r="J277" s="16" t="str">
        <f>IFERROR(__xludf.DUMMYFUNCTION("FILTER('CLASFICACIÓN'!$F$3:$F5618,'CLASFICACIÓN'!$G$3:$G5618=M277)"),"LOS 3 AÑOS")</f>
        <v>LOS 3 AÑOS</v>
      </c>
      <c r="K277" s="16"/>
      <c r="L277" s="12" t="s">
        <v>47</v>
      </c>
      <c r="M277" s="16" t="str">
        <f t="shared" si="1"/>
        <v>601336 Primaria</v>
      </c>
      <c r="N277" s="17"/>
      <c r="O277" s="17"/>
      <c r="P277" s="17"/>
      <c r="Q277" s="17"/>
      <c r="R277" s="17"/>
      <c r="S277" s="17"/>
      <c r="T277" s="17"/>
    </row>
    <row r="278" ht="15.75" customHeight="1">
      <c r="A278" s="18">
        <v>277.0</v>
      </c>
      <c r="B278" s="12" t="s">
        <v>13</v>
      </c>
      <c r="C278" s="12" t="s">
        <v>14</v>
      </c>
      <c r="D278" s="19" t="s">
        <v>22</v>
      </c>
      <c r="E278" s="12" t="str">
        <f>IFERROR(__xludf.DUMMYFUNCTION("FILTER(colegios!$B$2:$B5618,colegios!$A$2:$A5618=L278)"),"60133")</f>
        <v>60133</v>
      </c>
      <c r="F278" s="14" t="s">
        <v>16</v>
      </c>
      <c r="G278" s="19" t="s">
        <v>21</v>
      </c>
      <c r="H278" s="12" t="s">
        <v>18</v>
      </c>
      <c r="I278" s="15">
        <v>2024.0</v>
      </c>
      <c r="J278" s="16" t="str">
        <f>IFERROR(__xludf.DUMMYFUNCTION("FILTER('CLASFICACIÓN'!$F$3:$F5618,'CLASFICACIÓN'!$G$3:$G5618=M278)"),"LOS 3 AÑOS")</f>
        <v>LOS 3 AÑOS</v>
      </c>
      <c r="K278" s="16"/>
      <c r="L278" s="12" t="s">
        <v>47</v>
      </c>
      <c r="M278" s="16" t="str">
        <f t="shared" si="1"/>
        <v>601336 Primaria</v>
      </c>
      <c r="N278" s="17"/>
      <c r="O278" s="17"/>
      <c r="P278" s="17"/>
      <c r="Q278" s="17"/>
      <c r="R278" s="17"/>
      <c r="S278" s="17"/>
      <c r="T278" s="17"/>
    </row>
    <row r="279" ht="15.75" customHeight="1">
      <c r="A279" s="18">
        <v>278.0</v>
      </c>
      <c r="B279" s="12" t="s">
        <v>13</v>
      </c>
      <c r="C279" s="12" t="s">
        <v>14</v>
      </c>
      <c r="D279" s="19" t="s">
        <v>22</v>
      </c>
      <c r="E279" s="12" t="str">
        <f>IFERROR(__xludf.DUMMYFUNCTION("FILTER(colegios!$B$2:$B5618,colegios!$A$2:$A5618=L279)"),"60133")</f>
        <v>60133</v>
      </c>
      <c r="F279" s="14" t="s">
        <v>16</v>
      </c>
      <c r="G279" s="19" t="s">
        <v>17</v>
      </c>
      <c r="H279" s="12" t="s">
        <v>18</v>
      </c>
      <c r="I279" s="15">
        <v>2024.0</v>
      </c>
      <c r="J279" s="16" t="str">
        <f>IFERROR(__xludf.DUMMYFUNCTION("FILTER('CLASFICACIÓN'!$F$3:$F5618,'CLASFICACIÓN'!$G$3:$G5618=M279)"),"LOS 3 AÑOS")</f>
        <v>LOS 3 AÑOS</v>
      </c>
      <c r="K279" s="16"/>
      <c r="L279" s="12" t="s">
        <v>47</v>
      </c>
      <c r="M279" s="16" t="str">
        <f t="shared" si="1"/>
        <v>601336 Primaria</v>
      </c>
      <c r="N279" s="17"/>
      <c r="O279" s="17"/>
      <c r="P279" s="17"/>
      <c r="Q279" s="17"/>
      <c r="R279" s="17"/>
      <c r="S279" s="17"/>
      <c r="T279" s="17"/>
    </row>
    <row r="280" ht="15.75" customHeight="1">
      <c r="A280" s="18">
        <v>279.0</v>
      </c>
      <c r="B280" s="12" t="s">
        <v>13</v>
      </c>
      <c r="C280" s="12" t="s">
        <v>14</v>
      </c>
      <c r="D280" s="19" t="s">
        <v>22</v>
      </c>
      <c r="E280" s="12" t="str">
        <f>IFERROR(__xludf.DUMMYFUNCTION("FILTER(colegios!$B$2:$B5618,colegios!$A$2:$A5618=L280)"),"60133")</f>
        <v>60133</v>
      </c>
      <c r="F280" s="14" t="s">
        <v>16</v>
      </c>
      <c r="G280" s="19" t="s">
        <v>17</v>
      </c>
      <c r="H280" s="12" t="s">
        <v>18</v>
      </c>
      <c r="I280" s="15">
        <v>2024.0</v>
      </c>
      <c r="J280" s="16" t="str">
        <f>IFERROR(__xludf.DUMMYFUNCTION("FILTER('CLASFICACIÓN'!$F$3:$F5618,'CLASFICACIÓN'!$G$3:$G5618=M280)"),"LOS 3 AÑOS")</f>
        <v>LOS 3 AÑOS</v>
      </c>
      <c r="K280" s="16"/>
      <c r="L280" s="12" t="s">
        <v>47</v>
      </c>
      <c r="M280" s="16" t="str">
        <f t="shared" si="1"/>
        <v>601336 Primaria</v>
      </c>
      <c r="N280" s="17"/>
      <c r="O280" s="17"/>
      <c r="P280" s="17"/>
      <c r="Q280" s="17"/>
      <c r="R280" s="17"/>
      <c r="S280" s="17"/>
      <c r="T280" s="17"/>
    </row>
    <row r="281" ht="15.75" customHeight="1">
      <c r="A281" s="18">
        <v>280.0</v>
      </c>
      <c r="B281" s="12" t="s">
        <v>13</v>
      </c>
      <c r="C281" s="12" t="s">
        <v>14</v>
      </c>
      <c r="D281" s="19" t="s">
        <v>22</v>
      </c>
      <c r="E281" s="12" t="str">
        <f>IFERROR(__xludf.DUMMYFUNCTION("FILTER(colegios!$B$2:$B5618,colegios!$A$2:$A5618=L281)"),"60133")</f>
        <v>60133</v>
      </c>
      <c r="F281" s="14" t="s">
        <v>16</v>
      </c>
      <c r="G281" s="20" t="s">
        <v>21</v>
      </c>
      <c r="H281" s="12" t="s">
        <v>18</v>
      </c>
      <c r="I281" s="15">
        <v>2024.0</v>
      </c>
      <c r="J281" s="16" t="str">
        <f>IFERROR(__xludf.DUMMYFUNCTION("FILTER('CLASFICACIÓN'!$F$3:$F5618,'CLASFICACIÓN'!$G$3:$G5618=M281)"),"LOS 3 AÑOS")</f>
        <v>LOS 3 AÑOS</v>
      </c>
      <c r="K281" s="16"/>
      <c r="L281" s="12" t="s">
        <v>47</v>
      </c>
      <c r="M281" s="16" t="str">
        <f t="shared" si="1"/>
        <v>601336 Primaria</v>
      </c>
      <c r="N281" s="17"/>
      <c r="O281" s="17"/>
      <c r="P281" s="17"/>
      <c r="Q281" s="17"/>
      <c r="R281" s="17"/>
      <c r="S281" s="17"/>
      <c r="T281" s="17"/>
    </row>
    <row r="282" ht="15.75" customHeight="1">
      <c r="A282" s="18">
        <v>281.0</v>
      </c>
      <c r="B282" s="12" t="s">
        <v>13</v>
      </c>
      <c r="C282" s="12" t="s">
        <v>14</v>
      </c>
      <c r="D282" s="19" t="s">
        <v>22</v>
      </c>
      <c r="E282" s="12" t="str">
        <f>IFERROR(__xludf.DUMMYFUNCTION("FILTER(colegios!$B$2:$B5618,colegios!$A$2:$A5618=L282)"),"60133")</f>
        <v>60133</v>
      </c>
      <c r="F282" s="14" t="s">
        <v>16</v>
      </c>
      <c r="G282" s="20" t="s">
        <v>17</v>
      </c>
      <c r="H282" s="12" t="s">
        <v>18</v>
      </c>
      <c r="I282" s="15">
        <v>2024.0</v>
      </c>
      <c r="J282" s="16" t="str">
        <f>IFERROR(__xludf.DUMMYFUNCTION("FILTER('CLASFICACIÓN'!$F$3:$F5618,'CLASFICACIÓN'!$G$3:$G5618=M282)"),"LOS 3 AÑOS")</f>
        <v>LOS 3 AÑOS</v>
      </c>
      <c r="K282" s="16"/>
      <c r="L282" s="12" t="s">
        <v>47</v>
      </c>
      <c r="M282" s="16" t="str">
        <f t="shared" si="1"/>
        <v>601336 Primaria</v>
      </c>
      <c r="N282" s="17"/>
      <c r="O282" s="17"/>
      <c r="P282" s="17"/>
      <c r="Q282" s="17"/>
      <c r="R282" s="17"/>
      <c r="S282" s="17"/>
      <c r="T282" s="17"/>
    </row>
    <row r="283" ht="15.75" customHeight="1">
      <c r="A283" s="18">
        <v>282.0</v>
      </c>
      <c r="B283" s="12" t="s">
        <v>13</v>
      </c>
      <c r="C283" s="12" t="s">
        <v>14</v>
      </c>
      <c r="D283" s="19" t="s">
        <v>22</v>
      </c>
      <c r="E283" s="12" t="str">
        <f>IFERROR(__xludf.DUMMYFUNCTION("FILTER(colegios!$B$2:$B5618,colegios!$A$2:$A5618=L283)"),"60133")</f>
        <v>60133</v>
      </c>
      <c r="F283" s="14" t="s">
        <v>16</v>
      </c>
      <c r="G283" s="19" t="s">
        <v>21</v>
      </c>
      <c r="H283" s="12" t="s">
        <v>18</v>
      </c>
      <c r="I283" s="15">
        <v>2024.0</v>
      </c>
      <c r="J283" s="16" t="str">
        <f>IFERROR(__xludf.DUMMYFUNCTION("FILTER('CLASFICACIÓN'!$F$3:$F5618,'CLASFICACIÓN'!$G$3:$G5618=M283)"),"LOS 3 AÑOS")</f>
        <v>LOS 3 AÑOS</v>
      </c>
      <c r="K283" s="16"/>
      <c r="L283" s="12" t="s">
        <v>47</v>
      </c>
      <c r="M283" s="16" t="str">
        <f t="shared" si="1"/>
        <v>601336 Primaria</v>
      </c>
      <c r="N283" s="17"/>
      <c r="O283" s="17"/>
      <c r="P283" s="17"/>
      <c r="Q283" s="17"/>
      <c r="R283" s="17"/>
      <c r="S283" s="17"/>
      <c r="T283" s="17"/>
    </row>
    <row r="284" ht="15.75" customHeight="1">
      <c r="A284" s="18">
        <v>283.0</v>
      </c>
      <c r="B284" s="12" t="s">
        <v>13</v>
      </c>
      <c r="C284" s="12" t="s">
        <v>14</v>
      </c>
      <c r="D284" s="19" t="s">
        <v>22</v>
      </c>
      <c r="E284" s="12" t="str">
        <f>IFERROR(__xludf.DUMMYFUNCTION("FILTER(colegios!$B$2:$B5618,colegios!$A$2:$A5618=L284)"),"60133")</f>
        <v>60133</v>
      </c>
      <c r="F284" s="14" t="s">
        <v>16</v>
      </c>
      <c r="G284" s="19" t="s">
        <v>17</v>
      </c>
      <c r="H284" s="12" t="s">
        <v>18</v>
      </c>
      <c r="I284" s="15">
        <v>2024.0</v>
      </c>
      <c r="J284" s="16" t="str">
        <f>IFERROR(__xludf.DUMMYFUNCTION("FILTER('CLASFICACIÓN'!$F$3:$F5618,'CLASFICACIÓN'!$G$3:$G5618=M284)"),"LOS 3 AÑOS")</f>
        <v>LOS 3 AÑOS</v>
      </c>
      <c r="K284" s="16"/>
      <c r="L284" s="12" t="s">
        <v>47</v>
      </c>
      <c r="M284" s="16" t="str">
        <f t="shared" si="1"/>
        <v>601336 Primaria</v>
      </c>
      <c r="N284" s="17"/>
      <c r="O284" s="17"/>
      <c r="P284" s="17"/>
      <c r="Q284" s="17"/>
      <c r="R284" s="17"/>
      <c r="S284" s="17"/>
      <c r="T284" s="17"/>
    </row>
    <row r="285" ht="15.75" customHeight="1">
      <c r="A285" s="18">
        <v>284.0</v>
      </c>
      <c r="B285" s="12" t="s">
        <v>13</v>
      </c>
      <c r="C285" s="12" t="s">
        <v>27</v>
      </c>
      <c r="D285" s="19" t="s">
        <v>28</v>
      </c>
      <c r="E285" s="12" t="str">
        <f>IFERROR(__xludf.DUMMYFUNCTION("FILTER(colegios!$B$2:$B5618,colegios!$A$2:$A5618=L285)"),"60133")</f>
        <v>60133</v>
      </c>
      <c r="F285" s="14" t="s">
        <v>16</v>
      </c>
      <c r="G285" s="20" t="s">
        <v>17</v>
      </c>
      <c r="H285" s="12" t="s">
        <v>18</v>
      </c>
      <c r="I285" s="15">
        <v>2024.0</v>
      </c>
      <c r="J285" s="16" t="str">
        <f>IFERROR(__xludf.DUMMYFUNCTION("FILTER('CLASFICACIÓN'!$F$3:$F5618,'CLASFICACIÓN'!$G$3:$G5618=M285)"),"LOS 3 AÑOS")</f>
        <v>LOS 3 AÑOS</v>
      </c>
      <c r="K285" s="16"/>
      <c r="L285" s="12" t="s">
        <v>47</v>
      </c>
      <c r="M285" s="16" t="str">
        <f t="shared" si="1"/>
        <v>601332 Secundaria</v>
      </c>
      <c r="N285" s="17"/>
      <c r="O285" s="17"/>
      <c r="P285" s="17"/>
      <c r="Q285" s="17"/>
      <c r="R285" s="17"/>
      <c r="S285" s="17"/>
      <c r="T285" s="17"/>
    </row>
    <row r="286" ht="15.75" customHeight="1">
      <c r="A286" s="18">
        <v>285.0</v>
      </c>
      <c r="B286" s="12" t="s">
        <v>13</v>
      </c>
      <c r="C286" s="12" t="s">
        <v>27</v>
      </c>
      <c r="D286" s="19" t="s">
        <v>28</v>
      </c>
      <c r="E286" s="12" t="str">
        <f>IFERROR(__xludf.DUMMYFUNCTION("FILTER(colegios!$B$2:$B5618,colegios!$A$2:$A5618=L286)"),"60133")</f>
        <v>60133</v>
      </c>
      <c r="F286" s="14" t="s">
        <v>16</v>
      </c>
      <c r="G286" s="20" t="s">
        <v>17</v>
      </c>
      <c r="H286" s="12" t="s">
        <v>18</v>
      </c>
      <c r="I286" s="15">
        <v>2024.0</v>
      </c>
      <c r="J286" s="16" t="str">
        <f>IFERROR(__xludf.DUMMYFUNCTION("FILTER('CLASFICACIÓN'!$F$3:$F5618,'CLASFICACIÓN'!$G$3:$G5618=M286)"),"LOS 3 AÑOS")</f>
        <v>LOS 3 AÑOS</v>
      </c>
      <c r="K286" s="16"/>
      <c r="L286" s="12" t="s">
        <v>47</v>
      </c>
      <c r="M286" s="16" t="str">
        <f t="shared" si="1"/>
        <v>601332 Secundaria</v>
      </c>
      <c r="N286" s="17"/>
      <c r="O286" s="17"/>
      <c r="P286" s="17"/>
      <c r="Q286" s="17"/>
      <c r="R286" s="17"/>
      <c r="S286" s="17"/>
      <c r="T286" s="17"/>
    </row>
    <row r="287" ht="15.75" customHeight="1">
      <c r="A287" s="18">
        <v>286.0</v>
      </c>
      <c r="B287" s="12" t="s">
        <v>13</v>
      </c>
      <c r="C287" s="12" t="s">
        <v>27</v>
      </c>
      <c r="D287" s="19" t="s">
        <v>28</v>
      </c>
      <c r="E287" s="12" t="str">
        <f>IFERROR(__xludf.DUMMYFUNCTION("FILTER(colegios!$B$2:$B5618,colegios!$A$2:$A5618=L287)"),"60133")</f>
        <v>60133</v>
      </c>
      <c r="F287" s="14" t="s">
        <v>16</v>
      </c>
      <c r="G287" s="19" t="s">
        <v>21</v>
      </c>
      <c r="H287" s="12" t="s">
        <v>18</v>
      </c>
      <c r="I287" s="15">
        <v>2024.0</v>
      </c>
      <c r="J287" s="16" t="str">
        <f>IFERROR(__xludf.DUMMYFUNCTION("FILTER('CLASFICACIÓN'!$F$3:$F5618,'CLASFICACIÓN'!$G$3:$G5618=M287)"),"LOS 3 AÑOS")</f>
        <v>LOS 3 AÑOS</v>
      </c>
      <c r="K287" s="16"/>
      <c r="L287" s="12" t="s">
        <v>47</v>
      </c>
      <c r="M287" s="16" t="str">
        <f t="shared" si="1"/>
        <v>601332 Secundaria</v>
      </c>
      <c r="N287" s="17"/>
      <c r="O287" s="17"/>
      <c r="P287" s="17"/>
      <c r="Q287" s="17"/>
      <c r="R287" s="17"/>
      <c r="S287" s="17"/>
      <c r="T287" s="17"/>
    </row>
    <row r="288" ht="15.75" customHeight="1">
      <c r="A288" s="18">
        <v>287.0</v>
      </c>
      <c r="B288" s="12" t="s">
        <v>13</v>
      </c>
      <c r="C288" s="12" t="s">
        <v>27</v>
      </c>
      <c r="D288" s="19" t="s">
        <v>28</v>
      </c>
      <c r="E288" s="12" t="str">
        <f>IFERROR(__xludf.DUMMYFUNCTION("FILTER(colegios!$B$2:$B5618,colegios!$A$2:$A5618=L288)"),"60133")</f>
        <v>60133</v>
      </c>
      <c r="F288" s="14" t="s">
        <v>16</v>
      </c>
      <c r="G288" s="19" t="s">
        <v>21</v>
      </c>
      <c r="H288" s="12" t="s">
        <v>18</v>
      </c>
      <c r="I288" s="15">
        <v>2024.0</v>
      </c>
      <c r="J288" s="16" t="str">
        <f>IFERROR(__xludf.DUMMYFUNCTION("FILTER('CLASFICACIÓN'!$F$3:$F5618,'CLASFICACIÓN'!$G$3:$G5618=M288)"),"LOS 3 AÑOS")</f>
        <v>LOS 3 AÑOS</v>
      </c>
      <c r="K288" s="16"/>
      <c r="L288" s="12" t="s">
        <v>47</v>
      </c>
      <c r="M288" s="16" t="str">
        <f t="shared" si="1"/>
        <v>601332 Secundaria</v>
      </c>
      <c r="N288" s="17"/>
      <c r="O288" s="17"/>
      <c r="P288" s="17"/>
      <c r="Q288" s="17"/>
      <c r="R288" s="17"/>
      <c r="S288" s="17"/>
      <c r="T288" s="17"/>
    </row>
    <row r="289" ht="15.75" customHeight="1">
      <c r="A289" s="18">
        <v>288.0</v>
      </c>
      <c r="B289" s="12" t="s">
        <v>13</v>
      </c>
      <c r="C289" s="12" t="s">
        <v>27</v>
      </c>
      <c r="D289" s="19" t="s">
        <v>28</v>
      </c>
      <c r="E289" s="12" t="str">
        <f>IFERROR(__xludf.DUMMYFUNCTION("FILTER(colegios!$B$2:$B5618,colegios!$A$2:$A5618=L289)"),"60133")</f>
        <v>60133</v>
      </c>
      <c r="F289" s="14" t="s">
        <v>16</v>
      </c>
      <c r="G289" s="20" t="s">
        <v>21</v>
      </c>
      <c r="H289" s="12" t="s">
        <v>24</v>
      </c>
      <c r="I289" s="15">
        <v>2024.0</v>
      </c>
      <c r="J289" s="16" t="str">
        <f>IFERROR(__xludf.DUMMYFUNCTION("FILTER('CLASFICACIÓN'!$F$3:$F5618,'CLASFICACIÓN'!$G$3:$G5618=M289)"),"LOS 3 AÑOS")</f>
        <v>LOS 3 AÑOS</v>
      </c>
      <c r="K289" s="16"/>
      <c r="L289" s="12" t="s">
        <v>47</v>
      </c>
      <c r="M289" s="16" t="str">
        <f t="shared" si="1"/>
        <v>601332 Secundaria</v>
      </c>
      <c r="N289" s="17"/>
      <c r="O289" s="17"/>
      <c r="P289" s="17"/>
      <c r="Q289" s="17"/>
      <c r="R289" s="17"/>
      <c r="S289" s="17"/>
      <c r="T289" s="17"/>
    </row>
    <row r="290" ht="15.75" customHeight="1">
      <c r="A290" s="18">
        <v>289.0</v>
      </c>
      <c r="B290" s="12" t="s">
        <v>13</v>
      </c>
      <c r="C290" s="12" t="s">
        <v>27</v>
      </c>
      <c r="D290" s="19" t="s">
        <v>28</v>
      </c>
      <c r="E290" s="12" t="str">
        <f>IFERROR(__xludf.DUMMYFUNCTION("FILTER(colegios!$B$2:$B5618,colegios!$A$2:$A5618=L290)"),"60133")</f>
        <v>60133</v>
      </c>
      <c r="F290" s="14" t="s">
        <v>16</v>
      </c>
      <c r="G290" s="20" t="s">
        <v>17</v>
      </c>
      <c r="H290" s="12" t="s">
        <v>18</v>
      </c>
      <c r="I290" s="15">
        <v>2024.0</v>
      </c>
      <c r="J290" s="16" t="str">
        <f>IFERROR(__xludf.DUMMYFUNCTION("FILTER('CLASFICACIÓN'!$F$3:$F5618,'CLASFICACIÓN'!$G$3:$G5618=M290)"),"LOS 3 AÑOS")</f>
        <v>LOS 3 AÑOS</v>
      </c>
      <c r="K290" s="16"/>
      <c r="L290" s="12" t="s">
        <v>47</v>
      </c>
      <c r="M290" s="16" t="str">
        <f t="shared" si="1"/>
        <v>601332 Secundaria</v>
      </c>
      <c r="N290" s="17"/>
      <c r="O290" s="17"/>
      <c r="P290" s="17"/>
      <c r="Q290" s="17"/>
      <c r="R290" s="17"/>
      <c r="S290" s="17"/>
      <c r="T290" s="17"/>
    </row>
    <row r="291" ht="15.75" customHeight="1">
      <c r="A291" s="18">
        <v>290.0</v>
      </c>
      <c r="B291" s="12" t="s">
        <v>13</v>
      </c>
      <c r="C291" s="12" t="s">
        <v>27</v>
      </c>
      <c r="D291" s="19" t="s">
        <v>28</v>
      </c>
      <c r="E291" s="12" t="str">
        <f>IFERROR(__xludf.DUMMYFUNCTION("FILTER(colegios!$B$2:$B5618,colegios!$A$2:$A5618=L291)"),"60133")</f>
        <v>60133</v>
      </c>
      <c r="F291" s="14" t="s">
        <v>16</v>
      </c>
      <c r="G291" s="19" t="s">
        <v>21</v>
      </c>
      <c r="H291" s="12" t="s">
        <v>18</v>
      </c>
      <c r="I291" s="15">
        <v>2024.0</v>
      </c>
      <c r="J291" s="16" t="str">
        <f>IFERROR(__xludf.DUMMYFUNCTION("FILTER('CLASFICACIÓN'!$F$3:$F5618,'CLASFICACIÓN'!$G$3:$G5618=M291)"),"LOS 3 AÑOS")</f>
        <v>LOS 3 AÑOS</v>
      </c>
      <c r="K291" s="16"/>
      <c r="L291" s="12" t="s">
        <v>47</v>
      </c>
      <c r="M291" s="16" t="str">
        <f t="shared" si="1"/>
        <v>601332 Secundaria</v>
      </c>
      <c r="N291" s="17"/>
      <c r="O291" s="17"/>
      <c r="P291" s="17"/>
      <c r="Q291" s="17"/>
      <c r="R291" s="17"/>
      <c r="S291" s="17"/>
      <c r="T291" s="17"/>
    </row>
    <row r="292" ht="15.75" customHeight="1">
      <c r="A292" s="18">
        <v>291.0</v>
      </c>
      <c r="B292" s="12" t="s">
        <v>13</v>
      </c>
      <c r="C292" s="12" t="s">
        <v>27</v>
      </c>
      <c r="D292" s="19" t="s">
        <v>28</v>
      </c>
      <c r="E292" s="12" t="str">
        <f>IFERROR(__xludf.DUMMYFUNCTION("FILTER(colegios!$B$2:$B5618,colegios!$A$2:$A5618=L292)"),"60133")</f>
        <v>60133</v>
      </c>
      <c r="F292" s="14" t="s">
        <v>16</v>
      </c>
      <c r="G292" s="19" t="s">
        <v>21</v>
      </c>
      <c r="H292" s="12" t="s">
        <v>18</v>
      </c>
      <c r="I292" s="15">
        <v>2024.0</v>
      </c>
      <c r="J292" s="16" t="str">
        <f>IFERROR(__xludf.DUMMYFUNCTION("FILTER('CLASFICACIÓN'!$F$3:$F5618,'CLASFICACIÓN'!$G$3:$G5618=M292)"),"LOS 3 AÑOS")</f>
        <v>LOS 3 AÑOS</v>
      </c>
      <c r="K292" s="16"/>
      <c r="L292" s="12" t="s">
        <v>47</v>
      </c>
      <c r="M292" s="16" t="str">
        <f t="shared" si="1"/>
        <v>601332 Secundaria</v>
      </c>
      <c r="N292" s="17"/>
      <c r="O292" s="17"/>
      <c r="P292" s="17"/>
      <c r="Q292" s="17"/>
      <c r="R292" s="17"/>
      <c r="S292" s="17"/>
      <c r="T292" s="17"/>
    </row>
    <row r="293" ht="15.75" customHeight="1">
      <c r="A293" s="18">
        <v>292.0</v>
      </c>
      <c r="B293" s="12" t="s">
        <v>13</v>
      </c>
      <c r="C293" s="12" t="s">
        <v>27</v>
      </c>
      <c r="D293" s="19" t="s">
        <v>28</v>
      </c>
      <c r="E293" s="12" t="str">
        <f>IFERROR(__xludf.DUMMYFUNCTION("FILTER(colegios!$B$2:$B5618,colegios!$A$2:$A5618=L293)"),"60133")</f>
        <v>60133</v>
      </c>
      <c r="F293" s="14" t="s">
        <v>16</v>
      </c>
      <c r="G293" s="20" t="s">
        <v>17</v>
      </c>
      <c r="H293" s="12" t="s">
        <v>18</v>
      </c>
      <c r="I293" s="15">
        <v>2024.0</v>
      </c>
      <c r="J293" s="16" t="str">
        <f>IFERROR(__xludf.DUMMYFUNCTION("FILTER('CLASFICACIÓN'!$F$3:$F5618,'CLASFICACIÓN'!$G$3:$G5618=M293)"),"LOS 3 AÑOS")</f>
        <v>LOS 3 AÑOS</v>
      </c>
      <c r="K293" s="16"/>
      <c r="L293" s="12" t="s">
        <v>47</v>
      </c>
      <c r="M293" s="16" t="str">
        <f t="shared" si="1"/>
        <v>601332 Secundaria</v>
      </c>
      <c r="N293" s="17"/>
      <c r="O293" s="17"/>
      <c r="P293" s="17"/>
      <c r="Q293" s="17"/>
      <c r="R293" s="17"/>
      <c r="S293" s="17"/>
      <c r="T293" s="17"/>
    </row>
    <row r="294" ht="15.75" customHeight="1">
      <c r="A294" s="18">
        <v>293.0</v>
      </c>
      <c r="B294" s="12" t="s">
        <v>13</v>
      </c>
      <c r="C294" s="12" t="s">
        <v>27</v>
      </c>
      <c r="D294" s="19" t="s">
        <v>28</v>
      </c>
      <c r="E294" s="12" t="str">
        <f>IFERROR(__xludf.DUMMYFUNCTION("FILTER(colegios!$B$2:$B5618,colegios!$A$2:$A5618=L294)"),"60133")</f>
        <v>60133</v>
      </c>
      <c r="F294" s="14" t="s">
        <v>16</v>
      </c>
      <c r="G294" s="19" t="s">
        <v>17</v>
      </c>
      <c r="H294" s="12" t="s">
        <v>18</v>
      </c>
      <c r="I294" s="15">
        <v>2024.0</v>
      </c>
      <c r="J294" s="16" t="str">
        <f>IFERROR(__xludf.DUMMYFUNCTION("FILTER('CLASFICACIÓN'!$F$3:$F5618,'CLASFICACIÓN'!$G$3:$G5618=M294)"),"LOS 3 AÑOS")</f>
        <v>LOS 3 AÑOS</v>
      </c>
      <c r="K294" s="16"/>
      <c r="L294" s="12" t="s">
        <v>47</v>
      </c>
      <c r="M294" s="16" t="str">
        <f t="shared" si="1"/>
        <v>601332 Secundaria</v>
      </c>
      <c r="N294" s="17"/>
      <c r="O294" s="17"/>
      <c r="P294" s="17"/>
      <c r="Q294" s="17"/>
      <c r="R294" s="17"/>
      <c r="S294" s="17"/>
      <c r="T294" s="17"/>
    </row>
    <row r="295" ht="15.75" customHeight="1">
      <c r="A295" s="18">
        <v>294.0</v>
      </c>
      <c r="B295" s="12" t="s">
        <v>13</v>
      </c>
      <c r="C295" s="12" t="s">
        <v>27</v>
      </c>
      <c r="D295" s="19" t="s">
        <v>28</v>
      </c>
      <c r="E295" s="12" t="str">
        <f>IFERROR(__xludf.DUMMYFUNCTION("FILTER(colegios!$B$2:$B5618,colegios!$A$2:$A5618=L295)"),"60133")</f>
        <v>60133</v>
      </c>
      <c r="F295" s="14" t="s">
        <v>16</v>
      </c>
      <c r="G295" s="20" t="s">
        <v>17</v>
      </c>
      <c r="H295" s="12" t="s">
        <v>18</v>
      </c>
      <c r="I295" s="15">
        <v>2024.0</v>
      </c>
      <c r="J295" s="16" t="str">
        <f>IFERROR(__xludf.DUMMYFUNCTION("FILTER('CLASFICACIÓN'!$F$3:$F5618,'CLASFICACIÓN'!$G$3:$G5618=M295)"),"LOS 3 AÑOS")</f>
        <v>LOS 3 AÑOS</v>
      </c>
      <c r="K295" s="16"/>
      <c r="L295" s="12" t="s">
        <v>47</v>
      </c>
      <c r="M295" s="16" t="str">
        <f t="shared" si="1"/>
        <v>601332 Secundaria</v>
      </c>
      <c r="N295" s="17"/>
      <c r="O295" s="17"/>
      <c r="P295" s="17"/>
      <c r="Q295" s="17"/>
      <c r="R295" s="17"/>
      <c r="S295" s="17"/>
      <c r="T295" s="17"/>
    </row>
    <row r="296" ht="15.75" customHeight="1">
      <c r="A296" s="18">
        <v>295.0</v>
      </c>
      <c r="B296" s="12" t="s">
        <v>13</v>
      </c>
      <c r="C296" s="12" t="s">
        <v>27</v>
      </c>
      <c r="D296" s="19" t="s">
        <v>28</v>
      </c>
      <c r="E296" s="12" t="str">
        <f>IFERROR(__xludf.DUMMYFUNCTION("FILTER(colegios!$B$2:$B5618,colegios!$A$2:$A5618=L296)"),"60133")</f>
        <v>60133</v>
      </c>
      <c r="F296" s="14" t="s">
        <v>16</v>
      </c>
      <c r="G296" s="20" t="s">
        <v>21</v>
      </c>
      <c r="H296" s="12" t="s">
        <v>18</v>
      </c>
      <c r="I296" s="15">
        <v>2024.0</v>
      </c>
      <c r="J296" s="16" t="str">
        <f>IFERROR(__xludf.DUMMYFUNCTION("FILTER('CLASFICACIÓN'!$F$3:$F5618,'CLASFICACIÓN'!$G$3:$G5618=M296)"),"LOS 3 AÑOS")</f>
        <v>LOS 3 AÑOS</v>
      </c>
      <c r="K296" s="16"/>
      <c r="L296" s="12" t="s">
        <v>47</v>
      </c>
      <c r="M296" s="16" t="str">
        <f t="shared" si="1"/>
        <v>601332 Secundaria</v>
      </c>
      <c r="N296" s="17"/>
      <c r="O296" s="17"/>
      <c r="P296" s="17"/>
      <c r="Q296" s="17"/>
      <c r="R296" s="17"/>
      <c r="S296" s="17"/>
      <c r="T296" s="17"/>
    </row>
    <row r="297" ht="15.75" customHeight="1">
      <c r="A297" s="18">
        <v>296.0</v>
      </c>
      <c r="B297" s="12" t="s">
        <v>13</v>
      </c>
      <c r="C297" s="12" t="s">
        <v>27</v>
      </c>
      <c r="D297" s="19" t="s">
        <v>28</v>
      </c>
      <c r="E297" s="12" t="str">
        <f>IFERROR(__xludf.DUMMYFUNCTION("FILTER(colegios!$B$2:$B5618,colegios!$A$2:$A5618=L297)"),"60133")</f>
        <v>60133</v>
      </c>
      <c r="F297" s="14" t="s">
        <v>16</v>
      </c>
      <c r="G297" s="20" t="s">
        <v>21</v>
      </c>
      <c r="H297" s="12" t="s">
        <v>18</v>
      </c>
      <c r="I297" s="15">
        <v>2024.0</v>
      </c>
      <c r="J297" s="16" t="str">
        <f>IFERROR(__xludf.DUMMYFUNCTION("FILTER('CLASFICACIÓN'!$F$3:$F5618,'CLASFICACIÓN'!$G$3:$G5618=M297)"),"LOS 3 AÑOS")</f>
        <v>LOS 3 AÑOS</v>
      </c>
      <c r="K297" s="16"/>
      <c r="L297" s="12" t="s">
        <v>47</v>
      </c>
      <c r="M297" s="16" t="str">
        <f t="shared" si="1"/>
        <v>601332 Secundaria</v>
      </c>
      <c r="N297" s="17"/>
      <c r="O297" s="17"/>
      <c r="P297" s="17"/>
      <c r="Q297" s="17"/>
      <c r="R297" s="17"/>
      <c r="S297" s="17"/>
      <c r="T297" s="17"/>
    </row>
    <row r="298" ht="15.75" customHeight="1">
      <c r="A298" s="18">
        <v>297.0</v>
      </c>
      <c r="B298" s="12" t="s">
        <v>13</v>
      </c>
      <c r="C298" s="12" t="s">
        <v>27</v>
      </c>
      <c r="D298" s="19" t="s">
        <v>28</v>
      </c>
      <c r="E298" s="12" t="str">
        <f>IFERROR(__xludf.DUMMYFUNCTION("FILTER(colegios!$B$2:$B5618,colegios!$A$2:$A5618=L298)"),"60133")</f>
        <v>60133</v>
      </c>
      <c r="F298" s="14" t="s">
        <v>16</v>
      </c>
      <c r="G298" s="20" t="s">
        <v>17</v>
      </c>
      <c r="H298" s="12" t="s">
        <v>18</v>
      </c>
      <c r="I298" s="15">
        <v>2024.0</v>
      </c>
      <c r="J298" s="16" t="str">
        <f>IFERROR(__xludf.DUMMYFUNCTION("FILTER('CLASFICACIÓN'!$F$3:$F5618,'CLASFICACIÓN'!$G$3:$G5618=M298)"),"LOS 3 AÑOS")</f>
        <v>LOS 3 AÑOS</v>
      </c>
      <c r="K298" s="16"/>
      <c r="L298" s="12" t="s">
        <v>47</v>
      </c>
      <c r="M298" s="16" t="str">
        <f t="shared" si="1"/>
        <v>601332 Secundaria</v>
      </c>
      <c r="N298" s="17"/>
      <c r="O298" s="17"/>
      <c r="P298" s="17"/>
      <c r="Q298" s="17"/>
      <c r="R298" s="17"/>
      <c r="S298" s="17"/>
      <c r="T298" s="17"/>
    </row>
    <row r="299" ht="15.75" customHeight="1">
      <c r="A299" s="18">
        <v>298.0</v>
      </c>
      <c r="B299" s="12" t="s">
        <v>13</v>
      </c>
      <c r="C299" s="12" t="s">
        <v>27</v>
      </c>
      <c r="D299" s="19" t="s">
        <v>28</v>
      </c>
      <c r="E299" s="12" t="str">
        <f>IFERROR(__xludf.DUMMYFUNCTION("FILTER(colegios!$B$2:$B5618,colegios!$A$2:$A5618=L299)"),"60133")</f>
        <v>60133</v>
      </c>
      <c r="F299" s="14" t="s">
        <v>16</v>
      </c>
      <c r="G299" s="20" t="s">
        <v>17</v>
      </c>
      <c r="H299" s="12" t="s">
        <v>18</v>
      </c>
      <c r="I299" s="15">
        <v>2024.0</v>
      </c>
      <c r="J299" s="16" t="str">
        <f>IFERROR(__xludf.DUMMYFUNCTION("FILTER('CLASFICACIÓN'!$F$3:$F5618,'CLASFICACIÓN'!$G$3:$G5618=M299)"),"LOS 3 AÑOS")</f>
        <v>LOS 3 AÑOS</v>
      </c>
      <c r="K299" s="16"/>
      <c r="L299" s="12" t="s">
        <v>47</v>
      </c>
      <c r="M299" s="16" t="str">
        <f t="shared" si="1"/>
        <v>601332 Secundaria</v>
      </c>
      <c r="N299" s="17"/>
      <c r="O299" s="17"/>
      <c r="P299" s="17"/>
      <c r="Q299" s="17"/>
      <c r="R299" s="17"/>
      <c r="S299" s="17"/>
      <c r="T299" s="17"/>
    </row>
    <row r="300" ht="15.75" customHeight="1">
      <c r="A300" s="18">
        <v>299.0</v>
      </c>
      <c r="B300" s="12" t="s">
        <v>13</v>
      </c>
      <c r="C300" s="12" t="s">
        <v>27</v>
      </c>
      <c r="D300" s="19" t="s">
        <v>28</v>
      </c>
      <c r="E300" s="12" t="str">
        <f>IFERROR(__xludf.DUMMYFUNCTION("FILTER(colegios!$B$2:$B5618,colegios!$A$2:$A5618=L300)"),"60133")</f>
        <v>60133</v>
      </c>
      <c r="F300" s="14" t="s">
        <v>16</v>
      </c>
      <c r="G300" s="20" t="s">
        <v>21</v>
      </c>
      <c r="H300" s="12" t="s">
        <v>24</v>
      </c>
      <c r="I300" s="15">
        <v>2024.0</v>
      </c>
      <c r="J300" s="16" t="str">
        <f>IFERROR(__xludf.DUMMYFUNCTION("FILTER('CLASFICACIÓN'!$F$3:$F5618,'CLASFICACIÓN'!$G$3:$G5618=M300)"),"LOS 3 AÑOS")</f>
        <v>LOS 3 AÑOS</v>
      </c>
      <c r="K300" s="16"/>
      <c r="L300" s="12" t="s">
        <v>47</v>
      </c>
      <c r="M300" s="16" t="str">
        <f t="shared" si="1"/>
        <v>601332 Secundaria</v>
      </c>
      <c r="N300" s="17"/>
      <c r="O300" s="17"/>
      <c r="P300" s="17"/>
      <c r="Q300" s="17"/>
      <c r="R300" s="17"/>
      <c r="S300" s="17"/>
      <c r="T300" s="17"/>
    </row>
    <row r="301" ht="15.75" customHeight="1">
      <c r="A301" s="18">
        <v>300.0</v>
      </c>
      <c r="B301" s="12" t="s">
        <v>13</v>
      </c>
      <c r="C301" s="12" t="s">
        <v>27</v>
      </c>
      <c r="D301" s="19" t="s">
        <v>28</v>
      </c>
      <c r="E301" s="12" t="str">
        <f>IFERROR(__xludf.DUMMYFUNCTION("FILTER(colegios!$B$2:$B5618,colegios!$A$2:$A5618=L301)"),"60133")</f>
        <v>60133</v>
      </c>
      <c r="F301" s="14" t="s">
        <v>16</v>
      </c>
      <c r="G301" s="20" t="s">
        <v>21</v>
      </c>
      <c r="H301" s="12" t="s">
        <v>18</v>
      </c>
      <c r="I301" s="15">
        <v>2024.0</v>
      </c>
      <c r="J301" s="16" t="str">
        <f>IFERROR(__xludf.DUMMYFUNCTION("FILTER('CLASFICACIÓN'!$F$3:$F5618,'CLASFICACIÓN'!$G$3:$G5618=M301)"),"LOS 3 AÑOS")</f>
        <v>LOS 3 AÑOS</v>
      </c>
      <c r="K301" s="16"/>
      <c r="L301" s="12" t="s">
        <v>47</v>
      </c>
      <c r="M301" s="16" t="str">
        <f t="shared" si="1"/>
        <v>601332 Secundaria</v>
      </c>
      <c r="N301" s="17"/>
      <c r="O301" s="17"/>
      <c r="P301" s="17"/>
      <c r="Q301" s="17"/>
      <c r="R301" s="17"/>
      <c r="S301" s="17"/>
      <c r="T301" s="17"/>
    </row>
    <row r="302" ht="15.75" customHeight="1">
      <c r="A302" s="18">
        <v>301.0</v>
      </c>
      <c r="B302" s="12" t="s">
        <v>13</v>
      </c>
      <c r="C302" s="12" t="s">
        <v>27</v>
      </c>
      <c r="D302" s="19" t="s">
        <v>28</v>
      </c>
      <c r="E302" s="12" t="str">
        <f>IFERROR(__xludf.DUMMYFUNCTION("FILTER(colegios!$B$2:$B5618,colegios!$A$2:$A5618=L302)"),"60133")</f>
        <v>60133</v>
      </c>
      <c r="F302" s="14" t="s">
        <v>16</v>
      </c>
      <c r="G302" s="19" t="s">
        <v>17</v>
      </c>
      <c r="H302" s="12" t="s">
        <v>18</v>
      </c>
      <c r="I302" s="15">
        <v>2024.0</v>
      </c>
      <c r="J302" s="16" t="str">
        <f>IFERROR(__xludf.DUMMYFUNCTION("FILTER('CLASFICACIÓN'!$F$3:$F5618,'CLASFICACIÓN'!$G$3:$G5618=M302)"),"LOS 3 AÑOS")</f>
        <v>LOS 3 AÑOS</v>
      </c>
      <c r="K302" s="16"/>
      <c r="L302" s="12" t="s">
        <v>47</v>
      </c>
      <c r="M302" s="16" t="str">
        <f t="shared" si="1"/>
        <v>601332 Secundaria</v>
      </c>
      <c r="N302" s="17"/>
      <c r="O302" s="17"/>
      <c r="P302" s="17"/>
      <c r="Q302" s="17"/>
      <c r="R302" s="17"/>
      <c r="S302" s="17"/>
      <c r="T302" s="17"/>
    </row>
    <row r="303" ht="15.75" customHeight="1">
      <c r="A303" s="18">
        <v>302.0</v>
      </c>
      <c r="B303" s="12" t="s">
        <v>13</v>
      </c>
      <c r="C303" s="12" t="s">
        <v>27</v>
      </c>
      <c r="D303" s="19" t="s">
        <v>28</v>
      </c>
      <c r="E303" s="12" t="str">
        <f>IFERROR(__xludf.DUMMYFUNCTION("FILTER(colegios!$B$2:$B5618,colegios!$A$2:$A5618=L303)"),"60133")</f>
        <v>60133</v>
      </c>
      <c r="F303" s="14" t="s">
        <v>16</v>
      </c>
      <c r="G303" s="19" t="s">
        <v>21</v>
      </c>
      <c r="H303" s="12" t="s">
        <v>18</v>
      </c>
      <c r="I303" s="15">
        <v>2024.0</v>
      </c>
      <c r="J303" s="16" t="str">
        <f>IFERROR(__xludf.DUMMYFUNCTION("FILTER('CLASFICACIÓN'!$F$3:$F5618,'CLASFICACIÓN'!$G$3:$G5618=M303)"),"LOS 3 AÑOS")</f>
        <v>LOS 3 AÑOS</v>
      </c>
      <c r="K303" s="16"/>
      <c r="L303" s="12" t="s">
        <v>47</v>
      </c>
      <c r="M303" s="16" t="str">
        <f t="shared" si="1"/>
        <v>601332 Secundaria</v>
      </c>
      <c r="N303" s="17"/>
      <c r="O303" s="17"/>
      <c r="P303" s="17"/>
      <c r="Q303" s="17"/>
      <c r="R303" s="17"/>
      <c r="S303" s="17"/>
      <c r="T303" s="17"/>
    </row>
    <row r="304" ht="15.75" customHeight="1">
      <c r="A304" s="18">
        <v>303.0</v>
      </c>
      <c r="B304" s="12" t="s">
        <v>13</v>
      </c>
      <c r="C304" s="12" t="s">
        <v>27</v>
      </c>
      <c r="D304" s="19" t="s">
        <v>28</v>
      </c>
      <c r="E304" s="12" t="str">
        <f>IFERROR(__xludf.DUMMYFUNCTION("FILTER(colegios!$B$2:$B5618,colegios!$A$2:$A5618=L304)"),"60133")</f>
        <v>60133</v>
      </c>
      <c r="F304" s="14" t="s">
        <v>16</v>
      </c>
      <c r="G304" s="19" t="s">
        <v>21</v>
      </c>
      <c r="H304" s="12" t="s">
        <v>18</v>
      </c>
      <c r="I304" s="15">
        <v>2024.0</v>
      </c>
      <c r="J304" s="16" t="str">
        <f>IFERROR(__xludf.DUMMYFUNCTION("FILTER('CLASFICACIÓN'!$F$3:$F5618,'CLASFICACIÓN'!$G$3:$G5618=M304)"),"LOS 3 AÑOS")</f>
        <v>LOS 3 AÑOS</v>
      </c>
      <c r="K304" s="16"/>
      <c r="L304" s="12" t="s">
        <v>47</v>
      </c>
      <c r="M304" s="16" t="str">
        <f t="shared" si="1"/>
        <v>601332 Secundaria</v>
      </c>
      <c r="N304" s="17"/>
      <c r="O304" s="17"/>
      <c r="P304" s="17"/>
      <c r="Q304" s="17"/>
      <c r="R304" s="17"/>
      <c r="S304" s="17"/>
      <c r="T304" s="17"/>
    </row>
    <row r="305" ht="15.75" customHeight="1">
      <c r="A305" s="18">
        <v>304.0</v>
      </c>
      <c r="B305" s="12" t="s">
        <v>13</v>
      </c>
      <c r="C305" s="12" t="s">
        <v>27</v>
      </c>
      <c r="D305" s="19" t="s">
        <v>28</v>
      </c>
      <c r="E305" s="12" t="str">
        <f>IFERROR(__xludf.DUMMYFUNCTION("FILTER(colegios!$B$2:$B5618,colegios!$A$2:$A5618=L305)"),"60133")</f>
        <v>60133</v>
      </c>
      <c r="F305" s="14" t="s">
        <v>16</v>
      </c>
      <c r="G305" s="19" t="s">
        <v>17</v>
      </c>
      <c r="H305" s="12" t="s">
        <v>24</v>
      </c>
      <c r="I305" s="15">
        <v>2024.0</v>
      </c>
      <c r="J305" s="16" t="str">
        <f>IFERROR(__xludf.DUMMYFUNCTION("FILTER('CLASFICACIÓN'!$F$3:$F5618,'CLASFICACIÓN'!$G$3:$G5618=M305)"),"LOS 3 AÑOS")</f>
        <v>LOS 3 AÑOS</v>
      </c>
      <c r="K305" s="16"/>
      <c r="L305" s="12" t="s">
        <v>47</v>
      </c>
      <c r="M305" s="16" t="str">
        <f t="shared" si="1"/>
        <v>601332 Secundaria</v>
      </c>
      <c r="N305" s="17"/>
      <c r="O305" s="17"/>
      <c r="P305" s="17"/>
      <c r="Q305" s="17"/>
      <c r="R305" s="17"/>
      <c r="S305" s="17"/>
      <c r="T305" s="17"/>
    </row>
    <row r="306" ht="15.75" customHeight="1">
      <c r="A306" s="18">
        <v>305.0</v>
      </c>
      <c r="B306" s="12" t="s">
        <v>13</v>
      </c>
      <c r="C306" s="12" t="s">
        <v>27</v>
      </c>
      <c r="D306" s="19" t="s">
        <v>28</v>
      </c>
      <c r="E306" s="12" t="str">
        <f>IFERROR(__xludf.DUMMYFUNCTION("FILTER(colegios!$B$2:$B5618,colegios!$A$2:$A5618=L306)"),"60133")</f>
        <v>60133</v>
      </c>
      <c r="F306" s="14" t="s">
        <v>16</v>
      </c>
      <c r="G306" s="20" t="s">
        <v>17</v>
      </c>
      <c r="H306" s="12" t="s">
        <v>18</v>
      </c>
      <c r="I306" s="15">
        <v>2024.0</v>
      </c>
      <c r="J306" s="16" t="str">
        <f>IFERROR(__xludf.DUMMYFUNCTION("FILTER('CLASFICACIÓN'!$F$3:$F5618,'CLASFICACIÓN'!$G$3:$G5618=M306)"),"LOS 3 AÑOS")</f>
        <v>LOS 3 AÑOS</v>
      </c>
      <c r="K306" s="16"/>
      <c r="L306" s="12" t="s">
        <v>47</v>
      </c>
      <c r="M306" s="16" t="str">
        <f t="shared" si="1"/>
        <v>601332 Secundaria</v>
      </c>
      <c r="N306" s="17"/>
      <c r="O306" s="17"/>
      <c r="P306" s="17"/>
      <c r="Q306" s="17"/>
      <c r="R306" s="17"/>
      <c r="S306" s="17"/>
      <c r="T306" s="17"/>
    </row>
    <row r="307" ht="15.75" customHeight="1">
      <c r="A307" s="18">
        <v>306.0</v>
      </c>
      <c r="B307" s="12" t="s">
        <v>13</v>
      </c>
      <c r="C307" s="12" t="s">
        <v>27</v>
      </c>
      <c r="D307" s="19" t="s">
        <v>28</v>
      </c>
      <c r="E307" s="12" t="str">
        <f>IFERROR(__xludf.DUMMYFUNCTION("FILTER(colegios!$B$2:$B5618,colegios!$A$2:$A5618=L307)"),"60133")</f>
        <v>60133</v>
      </c>
      <c r="F307" s="14" t="s">
        <v>16</v>
      </c>
      <c r="G307" s="20" t="s">
        <v>17</v>
      </c>
      <c r="H307" s="12" t="s">
        <v>18</v>
      </c>
      <c r="I307" s="15">
        <v>2024.0</v>
      </c>
      <c r="J307" s="16" t="str">
        <f>IFERROR(__xludf.DUMMYFUNCTION("FILTER('CLASFICACIÓN'!$F$3:$F5618,'CLASFICACIÓN'!$G$3:$G5618=M307)"),"LOS 3 AÑOS")</f>
        <v>LOS 3 AÑOS</v>
      </c>
      <c r="K307" s="16"/>
      <c r="L307" s="12" t="s">
        <v>47</v>
      </c>
      <c r="M307" s="16" t="str">
        <f t="shared" si="1"/>
        <v>601332 Secundaria</v>
      </c>
      <c r="N307" s="17"/>
      <c r="O307" s="17"/>
      <c r="P307" s="17"/>
      <c r="Q307" s="17"/>
      <c r="R307" s="17"/>
      <c r="S307" s="17"/>
      <c r="T307" s="17"/>
    </row>
    <row r="308" ht="15.75" customHeight="1">
      <c r="A308" s="18">
        <v>307.0</v>
      </c>
      <c r="B308" s="12" t="s">
        <v>13</v>
      </c>
      <c r="C308" s="12" t="s">
        <v>27</v>
      </c>
      <c r="D308" s="19" t="s">
        <v>28</v>
      </c>
      <c r="E308" s="12" t="str">
        <f>IFERROR(__xludf.DUMMYFUNCTION("FILTER(colegios!$B$2:$B5618,colegios!$A$2:$A5618=L308)"),"60133")</f>
        <v>60133</v>
      </c>
      <c r="F308" s="14" t="s">
        <v>16</v>
      </c>
      <c r="G308" s="20" t="s">
        <v>21</v>
      </c>
      <c r="H308" s="12" t="s">
        <v>18</v>
      </c>
      <c r="I308" s="15">
        <v>2024.0</v>
      </c>
      <c r="J308" s="16" t="str">
        <f>IFERROR(__xludf.DUMMYFUNCTION("FILTER('CLASFICACIÓN'!$F$3:$F5618,'CLASFICACIÓN'!$G$3:$G5618=M308)"),"LOS 3 AÑOS")</f>
        <v>LOS 3 AÑOS</v>
      </c>
      <c r="K308" s="16"/>
      <c r="L308" s="12" t="s">
        <v>47</v>
      </c>
      <c r="M308" s="16" t="str">
        <f t="shared" si="1"/>
        <v>601332 Secundaria</v>
      </c>
      <c r="N308" s="17"/>
      <c r="O308" s="17"/>
      <c r="P308" s="17"/>
      <c r="Q308" s="17"/>
      <c r="R308" s="17"/>
      <c r="S308" s="17"/>
      <c r="T308" s="17"/>
    </row>
    <row r="309" ht="15.75" customHeight="1">
      <c r="A309" s="18">
        <v>308.0</v>
      </c>
      <c r="B309" s="12" t="s">
        <v>13</v>
      </c>
      <c r="C309" s="12" t="s">
        <v>27</v>
      </c>
      <c r="D309" s="19" t="s">
        <v>28</v>
      </c>
      <c r="E309" s="12" t="str">
        <f>IFERROR(__xludf.DUMMYFUNCTION("FILTER(colegios!$B$2:$B5618,colegios!$A$2:$A5618=L309)"),"60133")</f>
        <v>60133</v>
      </c>
      <c r="F309" s="14" t="s">
        <v>16</v>
      </c>
      <c r="G309" s="20" t="s">
        <v>21</v>
      </c>
      <c r="H309" s="12" t="s">
        <v>18</v>
      </c>
      <c r="I309" s="15">
        <v>2024.0</v>
      </c>
      <c r="J309" s="16" t="str">
        <f>IFERROR(__xludf.DUMMYFUNCTION("FILTER('CLASFICACIÓN'!$F$3:$F5618,'CLASFICACIÓN'!$G$3:$G5618=M309)"),"LOS 3 AÑOS")</f>
        <v>LOS 3 AÑOS</v>
      </c>
      <c r="K309" s="16"/>
      <c r="L309" s="12" t="s">
        <v>47</v>
      </c>
      <c r="M309" s="16" t="str">
        <f t="shared" si="1"/>
        <v>601332 Secundaria</v>
      </c>
      <c r="N309" s="17"/>
      <c r="O309" s="17"/>
      <c r="P309" s="17"/>
      <c r="Q309" s="17"/>
      <c r="R309" s="17"/>
      <c r="S309" s="17"/>
      <c r="T309" s="17"/>
    </row>
    <row r="310" ht="15.75" customHeight="1">
      <c r="A310" s="18">
        <v>309.0</v>
      </c>
      <c r="B310" s="12" t="s">
        <v>13</v>
      </c>
      <c r="C310" s="12" t="s">
        <v>27</v>
      </c>
      <c r="D310" s="19" t="s">
        <v>28</v>
      </c>
      <c r="E310" s="12" t="str">
        <f>IFERROR(__xludf.DUMMYFUNCTION("FILTER(colegios!$B$2:$B5618,colegios!$A$2:$A5618=L310)"),"60133")</f>
        <v>60133</v>
      </c>
      <c r="F310" s="14" t="s">
        <v>16</v>
      </c>
      <c r="G310" s="20" t="s">
        <v>21</v>
      </c>
      <c r="H310" s="12" t="s">
        <v>18</v>
      </c>
      <c r="I310" s="15">
        <v>2024.0</v>
      </c>
      <c r="J310" s="16" t="str">
        <f>IFERROR(__xludf.DUMMYFUNCTION("FILTER('CLASFICACIÓN'!$F$3:$F5618,'CLASFICACIÓN'!$G$3:$G5618=M310)"),"LOS 3 AÑOS")</f>
        <v>LOS 3 AÑOS</v>
      </c>
      <c r="K310" s="16"/>
      <c r="L310" s="12" t="s">
        <v>47</v>
      </c>
      <c r="M310" s="16" t="str">
        <f t="shared" si="1"/>
        <v>601332 Secundaria</v>
      </c>
      <c r="N310" s="17"/>
      <c r="O310" s="17"/>
      <c r="P310" s="17"/>
      <c r="Q310" s="17"/>
      <c r="R310" s="17"/>
      <c r="S310" s="17"/>
      <c r="T310" s="17"/>
    </row>
    <row r="311" ht="15.75" customHeight="1">
      <c r="A311" s="18">
        <v>310.0</v>
      </c>
      <c r="B311" s="12" t="s">
        <v>13</v>
      </c>
      <c r="C311" s="12" t="s">
        <v>27</v>
      </c>
      <c r="D311" s="19" t="s">
        <v>28</v>
      </c>
      <c r="E311" s="12" t="str">
        <f>IFERROR(__xludf.DUMMYFUNCTION("FILTER(colegios!$B$2:$B5618,colegios!$A$2:$A5618=L311)"),"60133")</f>
        <v>60133</v>
      </c>
      <c r="F311" s="14" t="s">
        <v>16</v>
      </c>
      <c r="G311" s="20" t="s">
        <v>21</v>
      </c>
      <c r="H311" s="12" t="s">
        <v>18</v>
      </c>
      <c r="I311" s="15">
        <v>2024.0</v>
      </c>
      <c r="J311" s="16" t="str">
        <f>IFERROR(__xludf.DUMMYFUNCTION("FILTER('CLASFICACIÓN'!$F$3:$F5618,'CLASFICACIÓN'!$G$3:$G5618=M311)"),"LOS 3 AÑOS")</f>
        <v>LOS 3 AÑOS</v>
      </c>
      <c r="K311" s="16"/>
      <c r="L311" s="12" t="s">
        <v>47</v>
      </c>
      <c r="M311" s="16" t="str">
        <f t="shared" si="1"/>
        <v>601332 Secundaria</v>
      </c>
      <c r="N311" s="17"/>
      <c r="O311" s="17"/>
      <c r="P311" s="17"/>
      <c r="Q311" s="17"/>
      <c r="R311" s="17"/>
      <c r="S311" s="17"/>
      <c r="T311" s="17"/>
    </row>
    <row r="312" ht="15.75" customHeight="1">
      <c r="A312" s="18">
        <v>311.0</v>
      </c>
      <c r="B312" s="12" t="s">
        <v>13</v>
      </c>
      <c r="C312" s="12" t="s">
        <v>27</v>
      </c>
      <c r="D312" s="19" t="s">
        <v>28</v>
      </c>
      <c r="E312" s="12" t="str">
        <f>IFERROR(__xludf.DUMMYFUNCTION("FILTER(colegios!$B$2:$B5618,colegios!$A$2:$A5618=L312)"),"60133")</f>
        <v>60133</v>
      </c>
      <c r="F312" s="14" t="s">
        <v>16</v>
      </c>
      <c r="G312" s="19" t="s">
        <v>17</v>
      </c>
      <c r="H312" s="12" t="s">
        <v>18</v>
      </c>
      <c r="I312" s="15">
        <v>2024.0</v>
      </c>
      <c r="J312" s="16" t="str">
        <f>IFERROR(__xludf.DUMMYFUNCTION("FILTER('CLASFICACIÓN'!$F$3:$F5618,'CLASFICACIÓN'!$G$3:$G5618=M312)"),"LOS 3 AÑOS")</f>
        <v>LOS 3 AÑOS</v>
      </c>
      <c r="K312" s="16"/>
      <c r="L312" s="12" t="s">
        <v>47</v>
      </c>
      <c r="M312" s="16" t="str">
        <f t="shared" si="1"/>
        <v>601332 Secundaria</v>
      </c>
      <c r="N312" s="17"/>
      <c r="O312" s="17"/>
      <c r="P312" s="17"/>
      <c r="Q312" s="17"/>
      <c r="R312" s="17"/>
      <c r="S312" s="17"/>
      <c r="T312" s="17"/>
    </row>
    <row r="313" ht="15.75" customHeight="1">
      <c r="A313" s="18">
        <v>312.0</v>
      </c>
      <c r="B313" s="12" t="s">
        <v>13</v>
      </c>
      <c r="C313" s="12" t="s">
        <v>27</v>
      </c>
      <c r="D313" s="19" t="s">
        <v>28</v>
      </c>
      <c r="E313" s="12" t="str">
        <f>IFERROR(__xludf.DUMMYFUNCTION("FILTER(colegios!$B$2:$B5618,colegios!$A$2:$A5618=L313)"),"60133")</f>
        <v>60133</v>
      </c>
      <c r="F313" s="14" t="s">
        <v>16</v>
      </c>
      <c r="G313" s="19" t="s">
        <v>17</v>
      </c>
      <c r="H313" s="12" t="s">
        <v>18</v>
      </c>
      <c r="I313" s="15">
        <v>2024.0</v>
      </c>
      <c r="J313" s="16" t="str">
        <f>IFERROR(__xludf.DUMMYFUNCTION("FILTER('CLASFICACIÓN'!$F$3:$F5618,'CLASFICACIÓN'!$G$3:$G5618=M313)"),"LOS 3 AÑOS")</f>
        <v>LOS 3 AÑOS</v>
      </c>
      <c r="K313" s="16"/>
      <c r="L313" s="12" t="s">
        <v>47</v>
      </c>
      <c r="M313" s="16" t="str">
        <f t="shared" si="1"/>
        <v>601332 Secundaria</v>
      </c>
      <c r="N313" s="17"/>
      <c r="O313" s="17"/>
      <c r="P313" s="17"/>
      <c r="Q313" s="17"/>
      <c r="R313" s="17"/>
      <c r="S313" s="17"/>
      <c r="T313" s="17"/>
    </row>
    <row r="314" ht="15.75" customHeight="1">
      <c r="A314" s="18">
        <v>313.0</v>
      </c>
      <c r="B314" s="12" t="s">
        <v>13</v>
      </c>
      <c r="C314" s="12" t="s">
        <v>27</v>
      </c>
      <c r="D314" s="19" t="s">
        <v>30</v>
      </c>
      <c r="E314" s="12" t="str">
        <f>IFERROR(__xludf.DUMMYFUNCTION("FILTER(colegios!$B$2:$B5618,colegios!$A$2:$A5618=L314)"),"60133")</f>
        <v>60133</v>
      </c>
      <c r="F314" s="14" t="s">
        <v>16</v>
      </c>
      <c r="G314" s="19" t="s">
        <v>17</v>
      </c>
      <c r="H314" s="12" t="s">
        <v>18</v>
      </c>
      <c r="I314" s="15">
        <v>2024.0</v>
      </c>
      <c r="J314" s="16" t="str">
        <f>IFERROR(__xludf.DUMMYFUNCTION("FILTER('CLASFICACIÓN'!$F$3:$F5618,'CLASFICACIÓN'!$G$3:$G5618=M314)"),"LOS 3 AÑOS")</f>
        <v>LOS 3 AÑOS</v>
      </c>
      <c r="K314" s="16"/>
      <c r="L314" s="12" t="s">
        <v>47</v>
      </c>
      <c r="M314" s="16" t="str">
        <f t="shared" si="1"/>
        <v>601334 Secundaria</v>
      </c>
      <c r="N314" s="17"/>
      <c r="O314" s="17"/>
      <c r="P314" s="17"/>
      <c r="Q314" s="17"/>
      <c r="R314" s="17"/>
      <c r="S314" s="17"/>
      <c r="T314" s="17"/>
    </row>
    <row r="315" ht="15.75" customHeight="1">
      <c r="A315" s="18">
        <v>314.0</v>
      </c>
      <c r="B315" s="12" t="s">
        <v>13</v>
      </c>
      <c r="C315" s="12" t="s">
        <v>27</v>
      </c>
      <c r="D315" s="19" t="s">
        <v>30</v>
      </c>
      <c r="E315" s="12" t="str">
        <f>IFERROR(__xludf.DUMMYFUNCTION("FILTER(colegios!$B$2:$B5618,colegios!$A$2:$A5618=L315)"),"60133")</f>
        <v>60133</v>
      </c>
      <c r="F315" s="14" t="s">
        <v>16</v>
      </c>
      <c r="G315" s="19" t="s">
        <v>17</v>
      </c>
      <c r="H315" s="12" t="s">
        <v>18</v>
      </c>
      <c r="I315" s="15">
        <v>2024.0</v>
      </c>
      <c r="J315" s="16" t="str">
        <f>IFERROR(__xludf.DUMMYFUNCTION("FILTER('CLASFICACIÓN'!$F$3:$F5618,'CLASFICACIÓN'!$G$3:$G5618=M315)"),"LOS 3 AÑOS")</f>
        <v>LOS 3 AÑOS</v>
      </c>
      <c r="K315" s="16"/>
      <c r="L315" s="12" t="s">
        <v>47</v>
      </c>
      <c r="M315" s="16" t="str">
        <f t="shared" si="1"/>
        <v>601334 Secundaria</v>
      </c>
      <c r="N315" s="17"/>
      <c r="O315" s="17"/>
      <c r="P315" s="17"/>
      <c r="Q315" s="17"/>
      <c r="R315" s="17"/>
      <c r="S315" s="17"/>
      <c r="T315" s="17"/>
    </row>
    <row r="316" ht="15.75" customHeight="1">
      <c r="A316" s="18">
        <v>315.0</v>
      </c>
      <c r="B316" s="12" t="s">
        <v>13</v>
      </c>
      <c r="C316" s="12" t="s">
        <v>27</v>
      </c>
      <c r="D316" s="19" t="s">
        <v>30</v>
      </c>
      <c r="E316" s="12" t="str">
        <f>IFERROR(__xludf.DUMMYFUNCTION("FILTER(colegios!$B$2:$B5618,colegios!$A$2:$A5618=L316)"),"60133")</f>
        <v>60133</v>
      </c>
      <c r="F316" s="14" t="s">
        <v>16</v>
      </c>
      <c r="G316" s="20" t="s">
        <v>17</v>
      </c>
      <c r="H316" s="12" t="s">
        <v>18</v>
      </c>
      <c r="I316" s="15">
        <v>2024.0</v>
      </c>
      <c r="J316" s="16" t="str">
        <f>IFERROR(__xludf.DUMMYFUNCTION("FILTER('CLASFICACIÓN'!$F$3:$F5618,'CLASFICACIÓN'!$G$3:$G5618=M316)"),"LOS 3 AÑOS")</f>
        <v>LOS 3 AÑOS</v>
      </c>
      <c r="K316" s="16"/>
      <c r="L316" s="12" t="s">
        <v>47</v>
      </c>
      <c r="M316" s="16" t="str">
        <f t="shared" si="1"/>
        <v>601334 Secundaria</v>
      </c>
      <c r="N316" s="17"/>
      <c r="O316" s="17"/>
      <c r="P316" s="17"/>
      <c r="Q316" s="17"/>
      <c r="R316" s="17"/>
      <c r="S316" s="17"/>
      <c r="T316" s="17"/>
    </row>
    <row r="317" ht="15.75" customHeight="1">
      <c r="A317" s="18">
        <v>316.0</v>
      </c>
      <c r="B317" s="12" t="s">
        <v>13</v>
      </c>
      <c r="C317" s="12" t="s">
        <v>27</v>
      </c>
      <c r="D317" s="19" t="s">
        <v>30</v>
      </c>
      <c r="E317" s="12" t="str">
        <f>IFERROR(__xludf.DUMMYFUNCTION("FILTER(colegios!$B$2:$B5618,colegios!$A$2:$A5618=L317)"),"60133")</f>
        <v>60133</v>
      </c>
      <c r="F317" s="14" t="s">
        <v>16</v>
      </c>
      <c r="G317" s="20" t="s">
        <v>21</v>
      </c>
      <c r="H317" s="12" t="s">
        <v>18</v>
      </c>
      <c r="I317" s="15">
        <v>2024.0</v>
      </c>
      <c r="J317" s="16" t="str">
        <f>IFERROR(__xludf.DUMMYFUNCTION("FILTER('CLASFICACIÓN'!$F$3:$F5618,'CLASFICACIÓN'!$G$3:$G5618=M317)"),"LOS 3 AÑOS")</f>
        <v>LOS 3 AÑOS</v>
      </c>
      <c r="K317" s="16"/>
      <c r="L317" s="12" t="s">
        <v>47</v>
      </c>
      <c r="M317" s="16" t="str">
        <f t="shared" si="1"/>
        <v>601334 Secundaria</v>
      </c>
      <c r="N317" s="17"/>
      <c r="O317" s="17"/>
      <c r="P317" s="17"/>
      <c r="Q317" s="17"/>
      <c r="R317" s="17"/>
      <c r="S317" s="17"/>
      <c r="T317" s="17"/>
    </row>
    <row r="318" ht="15.75" customHeight="1">
      <c r="A318" s="18">
        <v>317.0</v>
      </c>
      <c r="B318" s="12" t="s">
        <v>13</v>
      </c>
      <c r="C318" s="12" t="s">
        <v>27</v>
      </c>
      <c r="D318" s="19" t="s">
        <v>30</v>
      </c>
      <c r="E318" s="12" t="str">
        <f>IFERROR(__xludf.DUMMYFUNCTION("FILTER(colegios!$B$2:$B5618,colegios!$A$2:$A5618=L318)"),"60133")</f>
        <v>60133</v>
      </c>
      <c r="F318" s="14" t="s">
        <v>16</v>
      </c>
      <c r="G318" s="20" t="s">
        <v>21</v>
      </c>
      <c r="H318" s="12" t="s">
        <v>18</v>
      </c>
      <c r="I318" s="15">
        <v>2024.0</v>
      </c>
      <c r="J318" s="16" t="str">
        <f>IFERROR(__xludf.DUMMYFUNCTION("FILTER('CLASFICACIÓN'!$F$3:$F5618,'CLASFICACIÓN'!$G$3:$G5618=M318)"),"LOS 3 AÑOS")</f>
        <v>LOS 3 AÑOS</v>
      </c>
      <c r="K318" s="16"/>
      <c r="L318" s="12" t="s">
        <v>47</v>
      </c>
      <c r="M318" s="16" t="str">
        <f t="shared" si="1"/>
        <v>601334 Secundaria</v>
      </c>
      <c r="N318" s="17"/>
      <c r="O318" s="17"/>
      <c r="P318" s="17"/>
      <c r="Q318" s="17"/>
      <c r="R318" s="17"/>
      <c r="S318" s="17"/>
      <c r="T318" s="17"/>
    </row>
    <row r="319" ht="15.75" customHeight="1">
      <c r="A319" s="18">
        <v>318.0</v>
      </c>
      <c r="B319" s="12" t="s">
        <v>13</v>
      </c>
      <c r="C319" s="12" t="s">
        <v>27</v>
      </c>
      <c r="D319" s="19" t="s">
        <v>30</v>
      </c>
      <c r="E319" s="12" t="str">
        <f>IFERROR(__xludf.DUMMYFUNCTION("FILTER(colegios!$B$2:$B5618,colegios!$A$2:$A5618=L319)"),"60133")</f>
        <v>60133</v>
      </c>
      <c r="F319" s="14" t="s">
        <v>16</v>
      </c>
      <c r="G319" s="20" t="s">
        <v>17</v>
      </c>
      <c r="H319" s="12" t="s">
        <v>18</v>
      </c>
      <c r="I319" s="15">
        <v>2024.0</v>
      </c>
      <c r="J319" s="16" t="str">
        <f>IFERROR(__xludf.DUMMYFUNCTION("FILTER('CLASFICACIÓN'!$F$3:$F5618,'CLASFICACIÓN'!$G$3:$G5618=M319)"),"LOS 3 AÑOS")</f>
        <v>LOS 3 AÑOS</v>
      </c>
      <c r="K319" s="16"/>
      <c r="L319" s="12" t="s">
        <v>47</v>
      </c>
      <c r="M319" s="16" t="str">
        <f t="shared" si="1"/>
        <v>601334 Secundaria</v>
      </c>
      <c r="N319" s="17"/>
      <c r="O319" s="17"/>
      <c r="P319" s="17"/>
      <c r="Q319" s="17"/>
      <c r="R319" s="17"/>
      <c r="S319" s="17"/>
      <c r="T319" s="17"/>
    </row>
    <row r="320" ht="15.75" customHeight="1">
      <c r="A320" s="18">
        <v>319.0</v>
      </c>
      <c r="B320" s="12" t="s">
        <v>13</v>
      </c>
      <c r="C320" s="12" t="s">
        <v>27</v>
      </c>
      <c r="D320" s="19" t="s">
        <v>30</v>
      </c>
      <c r="E320" s="12" t="str">
        <f>IFERROR(__xludf.DUMMYFUNCTION("FILTER(colegios!$B$2:$B5618,colegios!$A$2:$A5618=L320)"),"60133")</f>
        <v>60133</v>
      </c>
      <c r="F320" s="14" t="s">
        <v>16</v>
      </c>
      <c r="G320" s="19" t="s">
        <v>17</v>
      </c>
      <c r="H320" s="12" t="s">
        <v>18</v>
      </c>
      <c r="I320" s="15">
        <v>2024.0</v>
      </c>
      <c r="J320" s="16" t="str">
        <f>IFERROR(__xludf.DUMMYFUNCTION("FILTER('CLASFICACIÓN'!$F$3:$F5618,'CLASFICACIÓN'!$G$3:$G5618=M320)"),"LOS 3 AÑOS")</f>
        <v>LOS 3 AÑOS</v>
      </c>
      <c r="K320" s="16"/>
      <c r="L320" s="12" t="s">
        <v>47</v>
      </c>
      <c r="M320" s="16" t="str">
        <f t="shared" si="1"/>
        <v>601334 Secundaria</v>
      </c>
      <c r="N320" s="17"/>
      <c r="O320" s="17"/>
      <c r="P320" s="17"/>
      <c r="Q320" s="17"/>
      <c r="R320" s="17"/>
      <c r="S320" s="17"/>
      <c r="T320" s="17"/>
    </row>
    <row r="321" ht="15.75" customHeight="1">
      <c r="A321" s="18">
        <v>320.0</v>
      </c>
      <c r="B321" s="12" t="s">
        <v>13</v>
      </c>
      <c r="C321" s="12" t="s">
        <v>27</v>
      </c>
      <c r="D321" s="19" t="s">
        <v>30</v>
      </c>
      <c r="E321" s="12" t="str">
        <f>IFERROR(__xludf.DUMMYFUNCTION("FILTER(colegios!$B$2:$B5618,colegios!$A$2:$A5618=L321)"),"60133")</f>
        <v>60133</v>
      </c>
      <c r="F321" s="14" t="s">
        <v>16</v>
      </c>
      <c r="G321" s="19" t="s">
        <v>17</v>
      </c>
      <c r="H321" s="12" t="s">
        <v>18</v>
      </c>
      <c r="I321" s="15">
        <v>2024.0</v>
      </c>
      <c r="J321" s="16" t="str">
        <f>IFERROR(__xludf.DUMMYFUNCTION("FILTER('CLASFICACIÓN'!$F$3:$F5618,'CLASFICACIÓN'!$G$3:$G5618=M321)"),"LOS 3 AÑOS")</f>
        <v>LOS 3 AÑOS</v>
      </c>
      <c r="K321" s="16"/>
      <c r="L321" s="12" t="s">
        <v>47</v>
      </c>
      <c r="M321" s="16" t="str">
        <f t="shared" si="1"/>
        <v>601334 Secundaria</v>
      </c>
      <c r="N321" s="17"/>
      <c r="O321" s="17"/>
      <c r="P321" s="17"/>
      <c r="Q321" s="17"/>
      <c r="R321" s="17"/>
      <c r="S321" s="17"/>
      <c r="T321" s="17"/>
    </row>
    <row r="322" ht="15.75" customHeight="1">
      <c r="A322" s="18">
        <v>321.0</v>
      </c>
      <c r="B322" s="12" t="s">
        <v>13</v>
      </c>
      <c r="C322" s="12" t="s">
        <v>27</v>
      </c>
      <c r="D322" s="19" t="s">
        <v>30</v>
      </c>
      <c r="E322" s="12" t="str">
        <f>IFERROR(__xludf.DUMMYFUNCTION("FILTER(colegios!$B$2:$B5618,colegios!$A$2:$A5618=L322)"),"60133")</f>
        <v>60133</v>
      </c>
      <c r="F322" s="14" t="s">
        <v>16</v>
      </c>
      <c r="G322" s="19" t="s">
        <v>21</v>
      </c>
      <c r="H322" s="12" t="s">
        <v>18</v>
      </c>
      <c r="I322" s="15">
        <v>2024.0</v>
      </c>
      <c r="J322" s="16" t="str">
        <f>IFERROR(__xludf.DUMMYFUNCTION("FILTER('CLASFICACIÓN'!$F$3:$F5618,'CLASFICACIÓN'!$G$3:$G5618=M322)"),"LOS 3 AÑOS")</f>
        <v>LOS 3 AÑOS</v>
      </c>
      <c r="K322" s="16"/>
      <c r="L322" s="12" t="s">
        <v>47</v>
      </c>
      <c r="M322" s="16" t="str">
        <f t="shared" si="1"/>
        <v>601334 Secundaria</v>
      </c>
      <c r="N322" s="17"/>
      <c r="O322" s="17"/>
      <c r="P322" s="17"/>
      <c r="Q322" s="17"/>
      <c r="R322" s="17"/>
      <c r="S322" s="17"/>
      <c r="T322" s="17"/>
    </row>
    <row r="323" ht="15.75" customHeight="1">
      <c r="A323" s="18">
        <v>322.0</v>
      </c>
      <c r="B323" s="12" t="s">
        <v>13</v>
      </c>
      <c r="C323" s="12" t="s">
        <v>27</v>
      </c>
      <c r="D323" s="19" t="s">
        <v>30</v>
      </c>
      <c r="E323" s="12" t="str">
        <f>IFERROR(__xludf.DUMMYFUNCTION("FILTER(colegios!$B$2:$B5618,colegios!$A$2:$A5618=L323)"),"60133")</f>
        <v>60133</v>
      </c>
      <c r="F323" s="14" t="s">
        <v>16</v>
      </c>
      <c r="G323" s="19" t="s">
        <v>21</v>
      </c>
      <c r="H323" s="12" t="s">
        <v>18</v>
      </c>
      <c r="I323" s="15">
        <v>2024.0</v>
      </c>
      <c r="J323" s="16" t="str">
        <f>IFERROR(__xludf.DUMMYFUNCTION("FILTER('CLASFICACIÓN'!$F$3:$F5618,'CLASFICACIÓN'!$G$3:$G5618=M323)"),"LOS 3 AÑOS")</f>
        <v>LOS 3 AÑOS</v>
      </c>
      <c r="K323" s="16"/>
      <c r="L323" s="12" t="s">
        <v>47</v>
      </c>
      <c r="M323" s="16" t="str">
        <f t="shared" si="1"/>
        <v>601334 Secundaria</v>
      </c>
      <c r="N323" s="17"/>
      <c r="O323" s="17"/>
      <c r="P323" s="17"/>
      <c r="Q323" s="17"/>
      <c r="R323" s="17"/>
      <c r="S323" s="17"/>
      <c r="T323" s="17"/>
    </row>
    <row r="324" ht="15.75" customHeight="1">
      <c r="A324" s="18">
        <v>323.0</v>
      </c>
      <c r="B324" s="12" t="s">
        <v>13</v>
      </c>
      <c r="C324" s="12" t="s">
        <v>27</v>
      </c>
      <c r="D324" s="19" t="s">
        <v>30</v>
      </c>
      <c r="E324" s="12" t="str">
        <f>IFERROR(__xludf.DUMMYFUNCTION("FILTER(colegios!$B$2:$B5618,colegios!$A$2:$A5618=L324)"),"60133")</f>
        <v>60133</v>
      </c>
      <c r="F324" s="14" t="s">
        <v>16</v>
      </c>
      <c r="G324" s="19" t="s">
        <v>17</v>
      </c>
      <c r="H324" s="12" t="s">
        <v>18</v>
      </c>
      <c r="I324" s="15">
        <v>2024.0</v>
      </c>
      <c r="J324" s="16" t="str">
        <f>IFERROR(__xludf.DUMMYFUNCTION("FILTER('CLASFICACIÓN'!$F$3:$F5618,'CLASFICACIÓN'!$G$3:$G5618=M324)"),"LOS 3 AÑOS")</f>
        <v>LOS 3 AÑOS</v>
      </c>
      <c r="K324" s="16"/>
      <c r="L324" s="12" t="s">
        <v>47</v>
      </c>
      <c r="M324" s="16" t="str">
        <f t="shared" si="1"/>
        <v>601334 Secundaria</v>
      </c>
      <c r="N324" s="17"/>
      <c r="O324" s="17"/>
      <c r="P324" s="17"/>
      <c r="Q324" s="17"/>
      <c r="R324" s="17"/>
      <c r="S324" s="17"/>
      <c r="T324" s="17"/>
    </row>
    <row r="325" ht="15.75" customHeight="1">
      <c r="A325" s="18">
        <v>324.0</v>
      </c>
      <c r="B325" s="12" t="s">
        <v>13</v>
      </c>
      <c r="C325" s="12" t="s">
        <v>27</v>
      </c>
      <c r="D325" s="19" t="s">
        <v>30</v>
      </c>
      <c r="E325" s="12" t="str">
        <f>IFERROR(__xludf.DUMMYFUNCTION("FILTER(colegios!$B$2:$B5618,colegios!$A$2:$A5618=L325)"),"60133")</f>
        <v>60133</v>
      </c>
      <c r="F325" s="14" t="s">
        <v>16</v>
      </c>
      <c r="G325" s="19" t="s">
        <v>21</v>
      </c>
      <c r="H325" s="12" t="s">
        <v>18</v>
      </c>
      <c r="I325" s="15">
        <v>2024.0</v>
      </c>
      <c r="J325" s="16" t="str">
        <f>IFERROR(__xludf.DUMMYFUNCTION("FILTER('CLASFICACIÓN'!$F$3:$F5618,'CLASFICACIÓN'!$G$3:$G5618=M325)"),"LOS 3 AÑOS")</f>
        <v>LOS 3 AÑOS</v>
      </c>
      <c r="K325" s="16"/>
      <c r="L325" s="12" t="s">
        <v>47</v>
      </c>
      <c r="M325" s="16" t="str">
        <f t="shared" si="1"/>
        <v>601334 Secundaria</v>
      </c>
      <c r="N325" s="17"/>
      <c r="O325" s="17"/>
      <c r="P325" s="17"/>
      <c r="Q325" s="17"/>
      <c r="R325" s="17"/>
      <c r="S325" s="17"/>
      <c r="T325" s="17"/>
    </row>
    <row r="326" ht="15.75" customHeight="1">
      <c r="A326" s="18">
        <v>325.0</v>
      </c>
      <c r="B326" s="12" t="s">
        <v>13</v>
      </c>
      <c r="C326" s="12" t="s">
        <v>27</v>
      </c>
      <c r="D326" s="19" t="s">
        <v>30</v>
      </c>
      <c r="E326" s="12" t="str">
        <f>IFERROR(__xludf.DUMMYFUNCTION("FILTER(colegios!$B$2:$B5618,colegios!$A$2:$A5618=L326)"),"60133")</f>
        <v>60133</v>
      </c>
      <c r="F326" s="14" t="s">
        <v>16</v>
      </c>
      <c r="G326" s="20" t="s">
        <v>21</v>
      </c>
      <c r="H326" s="12" t="s">
        <v>18</v>
      </c>
      <c r="I326" s="15">
        <v>2024.0</v>
      </c>
      <c r="J326" s="16" t="str">
        <f>IFERROR(__xludf.DUMMYFUNCTION("FILTER('CLASFICACIÓN'!$F$3:$F5618,'CLASFICACIÓN'!$G$3:$G5618=M326)"),"LOS 3 AÑOS")</f>
        <v>LOS 3 AÑOS</v>
      </c>
      <c r="K326" s="16"/>
      <c r="L326" s="12" t="s">
        <v>47</v>
      </c>
      <c r="M326" s="16" t="str">
        <f t="shared" si="1"/>
        <v>601334 Secundaria</v>
      </c>
      <c r="N326" s="17"/>
      <c r="O326" s="17"/>
      <c r="P326" s="17"/>
      <c r="Q326" s="17"/>
      <c r="R326" s="17"/>
      <c r="S326" s="17"/>
      <c r="T326" s="17"/>
    </row>
    <row r="327" ht="15.75" customHeight="1">
      <c r="A327" s="18">
        <v>326.0</v>
      </c>
      <c r="B327" s="12" t="s">
        <v>13</v>
      </c>
      <c r="C327" s="12" t="s">
        <v>27</v>
      </c>
      <c r="D327" s="19" t="s">
        <v>30</v>
      </c>
      <c r="E327" s="12" t="str">
        <f>IFERROR(__xludf.DUMMYFUNCTION("FILTER(colegios!$B$2:$B5618,colegios!$A$2:$A5618=L327)"),"60133")</f>
        <v>60133</v>
      </c>
      <c r="F327" s="14" t="s">
        <v>16</v>
      </c>
      <c r="G327" s="19" t="s">
        <v>21</v>
      </c>
      <c r="H327" s="12" t="s">
        <v>18</v>
      </c>
      <c r="I327" s="15">
        <v>2024.0</v>
      </c>
      <c r="J327" s="16" t="str">
        <f>IFERROR(__xludf.DUMMYFUNCTION("FILTER('CLASFICACIÓN'!$F$3:$F5618,'CLASFICACIÓN'!$G$3:$G5618=M327)"),"LOS 3 AÑOS")</f>
        <v>LOS 3 AÑOS</v>
      </c>
      <c r="K327" s="16"/>
      <c r="L327" s="12" t="s">
        <v>47</v>
      </c>
      <c r="M327" s="16" t="str">
        <f t="shared" si="1"/>
        <v>601334 Secundaria</v>
      </c>
      <c r="N327" s="17"/>
      <c r="O327" s="17"/>
      <c r="P327" s="17"/>
      <c r="Q327" s="17"/>
      <c r="R327" s="17"/>
      <c r="S327" s="17"/>
      <c r="T327" s="17"/>
    </row>
    <row r="328" ht="15.75" customHeight="1">
      <c r="A328" s="18">
        <v>327.0</v>
      </c>
      <c r="B328" s="12" t="s">
        <v>13</v>
      </c>
      <c r="C328" s="12" t="s">
        <v>27</v>
      </c>
      <c r="D328" s="19" t="s">
        <v>30</v>
      </c>
      <c r="E328" s="12" t="str">
        <f>IFERROR(__xludf.DUMMYFUNCTION("FILTER(colegios!$B$2:$B5618,colegios!$A$2:$A5618=L328)"),"60133")</f>
        <v>60133</v>
      </c>
      <c r="F328" s="14" t="s">
        <v>16</v>
      </c>
      <c r="G328" s="19" t="s">
        <v>21</v>
      </c>
      <c r="H328" s="12" t="s">
        <v>18</v>
      </c>
      <c r="I328" s="15">
        <v>2024.0</v>
      </c>
      <c r="J328" s="16" t="str">
        <f>IFERROR(__xludf.DUMMYFUNCTION("FILTER('CLASFICACIÓN'!$F$3:$F5618,'CLASFICACIÓN'!$G$3:$G5618=M328)"),"LOS 3 AÑOS")</f>
        <v>LOS 3 AÑOS</v>
      </c>
      <c r="K328" s="16"/>
      <c r="L328" s="12" t="s">
        <v>47</v>
      </c>
      <c r="M328" s="16" t="str">
        <f t="shared" si="1"/>
        <v>601334 Secundaria</v>
      </c>
      <c r="N328" s="17"/>
      <c r="O328" s="17"/>
      <c r="P328" s="17"/>
      <c r="Q328" s="17"/>
      <c r="R328" s="17"/>
      <c r="S328" s="17"/>
      <c r="T328" s="17"/>
    </row>
    <row r="329" ht="15.75" customHeight="1">
      <c r="A329" s="18">
        <v>328.0</v>
      </c>
      <c r="B329" s="12" t="s">
        <v>13</v>
      </c>
      <c r="C329" s="12" t="s">
        <v>27</v>
      </c>
      <c r="D329" s="19" t="s">
        <v>30</v>
      </c>
      <c r="E329" s="12" t="str">
        <f>IFERROR(__xludf.DUMMYFUNCTION("FILTER(colegios!$B$2:$B5618,colegios!$A$2:$A5618=L329)"),"60133")</f>
        <v>60133</v>
      </c>
      <c r="F329" s="14" t="s">
        <v>16</v>
      </c>
      <c r="G329" s="20" t="s">
        <v>21</v>
      </c>
      <c r="H329" s="12" t="s">
        <v>18</v>
      </c>
      <c r="I329" s="15">
        <v>2024.0</v>
      </c>
      <c r="J329" s="16" t="str">
        <f>IFERROR(__xludf.DUMMYFUNCTION("FILTER('CLASFICACIÓN'!$F$3:$F5618,'CLASFICACIÓN'!$G$3:$G5618=M329)"),"LOS 3 AÑOS")</f>
        <v>LOS 3 AÑOS</v>
      </c>
      <c r="K329" s="16"/>
      <c r="L329" s="12" t="s">
        <v>47</v>
      </c>
      <c r="M329" s="16" t="str">
        <f t="shared" si="1"/>
        <v>601334 Secundaria</v>
      </c>
      <c r="N329" s="17"/>
      <c r="O329" s="17"/>
      <c r="P329" s="17"/>
      <c r="Q329" s="17"/>
      <c r="R329" s="17"/>
      <c r="S329" s="17"/>
      <c r="T329" s="17"/>
    </row>
    <row r="330" ht="15.75" customHeight="1">
      <c r="A330" s="18">
        <v>329.0</v>
      </c>
      <c r="B330" s="12" t="s">
        <v>13</v>
      </c>
      <c r="C330" s="12" t="s">
        <v>27</v>
      </c>
      <c r="D330" s="19" t="s">
        <v>30</v>
      </c>
      <c r="E330" s="12" t="str">
        <f>IFERROR(__xludf.DUMMYFUNCTION("FILTER(colegios!$B$2:$B5618,colegios!$A$2:$A5618=L330)"),"60133")</f>
        <v>60133</v>
      </c>
      <c r="F330" s="14" t="s">
        <v>16</v>
      </c>
      <c r="G330" s="20" t="s">
        <v>17</v>
      </c>
      <c r="H330" s="12" t="s">
        <v>18</v>
      </c>
      <c r="I330" s="15">
        <v>2024.0</v>
      </c>
      <c r="J330" s="16" t="str">
        <f>IFERROR(__xludf.DUMMYFUNCTION("FILTER('CLASFICACIÓN'!$F$3:$F5618,'CLASFICACIÓN'!$G$3:$G5618=M330)"),"LOS 3 AÑOS")</f>
        <v>LOS 3 AÑOS</v>
      </c>
      <c r="K330" s="16"/>
      <c r="L330" s="12" t="s">
        <v>47</v>
      </c>
      <c r="M330" s="16" t="str">
        <f t="shared" si="1"/>
        <v>601334 Secundaria</v>
      </c>
      <c r="N330" s="17"/>
      <c r="O330" s="17"/>
      <c r="P330" s="17"/>
      <c r="Q330" s="17"/>
      <c r="R330" s="17"/>
      <c r="S330" s="17"/>
      <c r="T330" s="17"/>
    </row>
    <row r="331" ht="15.75" customHeight="1">
      <c r="A331" s="18">
        <v>330.0</v>
      </c>
      <c r="B331" s="12" t="s">
        <v>13</v>
      </c>
      <c r="C331" s="12" t="s">
        <v>27</v>
      </c>
      <c r="D331" s="19" t="s">
        <v>30</v>
      </c>
      <c r="E331" s="12" t="str">
        <f>IFERROR(__xludf.DUMMYFUNCTION("FILTER(colegios!$B$2:$B5618,colegios!$A$2:$A5618=L331)"),"60133")</f>
        <v>60133</v>
      </c>
      <c r="F331" s="14" t="s">
        <v>16</v>
      </c>
      <c r="G331" s="19" t="s">
        <v>21</v>
      </c>
      <c r="H331" s="12" t="s">
        <v>18</v>
      </c>
      <c r="I331" s="15">
        <v>2024.0</v>
      </c>
      <c r="J331" s="16" t="str">
        <f>IFERROR(__xludf.DUMMYFUNCTION("FILTER('CLASFICACIÓN'!$F$3:$F5618,'CLASFICACIÓN'!$G$3:$G5618=M331)"),"LOS 3 AÑOS")</f>
        <v>LOS 3 AÑOS</v>
      </c>
      <c r="K331" s="16"/>
      <c r="L331" s="12" t="s">
        <v>47</v>
      </c>
      <c r="M331" s="16" t="str">
        <f t="shared" si="1"/>
        <v>601334 Secundaria</v>
      </c>
      <c r="N331" s="17"/>
      <c r="O331" s="17"/>
      <c r="P331" s="17"/>
      <c r="Q331" s="17"/>
      <c r="R331" s="17"/>
      <c r="S331" s="17"/>
      <c r="T331" s="17"/>
    </row>
    <row r="332" ht="15.75" customHeight="1">
      <c r="A332" s="18">
        <v>331.0</v>
      </c>
      <c r="B332" s="12" t="s">
        <v>13</v>
      </c>
      <c r="C332" s="12" t="s">
        <v>27</v>
      </c>
      <c r="D332" s="19" t="s">
        <v>30</v>
      </c>
      <c r="E332" s="12" t="str">
        <f>IFERROR(__xludf.DUMMYFUNCTION("FILTER(colegios!$B$2:$B5618,colegios!$A$2:$A5618=L332)"),"60133")</f>
        <v>60133</v>
      </c>
      <c r="F332" s="14" t="s">
        <v>16</v>
      </c>
      <c r="G332" s="19" t="s">
        <v>17</v>
      </c>
      <c r="H332" s="12" t="s">
        <v>18</v>
      </c>
      <c r="I332" s="15">
        <v>2024.0</v>
      </c>
      <c r="J332" s="16" t="str">
        <f>IFERROR(__xludf.DUMMYFUNCTION("FILTER('CLASFICACIÓN'!$F$3:$F5618,'CLASFICACIÓN'!$G$3:$G5618=M332)"),"LOS 3 AÑOS")</f>
        <v>LOS 3 AÑOS</v>
      </c>
      <c r="K332" s="16"/>
      <c r="L332" s="12" t="s">
        <v>47</v>
      </c>
      <c r="M332" s="16" t="str">
        <f t="shared" si="1"/>
        <v>601334 Secundaria</v>
      </c>
      <c r="N332" s="17"/>
      <c r="O332" s="17"/>
      <c r="P332" s="17"/>
      <c r="Q332" s="17"/>
      <c r="R332" s="17"/>
      <c r="S332" s="17"/>
      <c r="T332" s="17"/>
    </row>
    <row r="333" ht="15.75" customHeight="1">
      <c r="A333" s="18">
        <v>332.0</v>
      </c>
      <c r="B333" s="12" t="s">
        <v>13</v>
      </c>
      <c r="C333" s="12" t="s">
        <v>27</v>
      </c>
      <c r="D333" s="19" t="s">
        <v>30</v>
      </c>
      <c r="E333" s="12" t="str">
        <f>IFERROR(__xludf.DUMMYFUNCTION("FILTER(colegios!$B$2:$B5618,colegios!$A$2:$A5618=L333)"),"60133")</f>
        <v>60133</v>
      </c>
      <c r="F333" s="14" t="s">
        <v>16</v>
      </c>
      <c r="G333" s="20" t="s">
        <v>21</v>
      </c>
      <c r="H333" s="12" t="s">
        <v>18</v>
      </c>
      <c r="I333" s="15">
        <v>2024.0</v>
      </c>
      <c r="J333" s="16" t="str">
        <f>IFERROR(__xludf.DUMMYFUNCTION("FILTER('CLASFICACIÓN'!$F$3:$F5618,'CLASFICACIÓN'!$G$3:$G5618=M333)"),"LOS 3 AÑOS")</f>
        <v>LOS 3 AÑOS</v>
      </c>
      <c r="K333" s="16"/>
      <c r="L333" s="12" t="s">
        <v>47</v>
      </c>
      <c r="M333" s="16" t="str">
        <f t="shared" si="1"/>
        <v>601334 Secundaria</v>
      </c>
      <c r="N333" s="17"/>
      <c r="O333" s="17"/>
      <c r="P333" s="17"/>
      <c r="Q333" s="17"/>
      <c r="R333" s="17"/>
      <c r="S333" s="17"/>
      <c r="T333" s="17"/>
    </row>
    <row r="334" ht="15.75" customHeight="1">
      <c r="A334" s="18">
        <v>333.0</v>
      </c>
      <c r="B334" s="12" t="s">
        <v>13</v>
      </c>
      <c r="C334" s="12" t="s">
        <v>27</v>
      </c>
      <c r="D334" s="19" t="s">
        <v>30</v>
      </c>
      <c r="E334" s="12" t="str">
        <f>IFERROR(__xludf.DUMMYFUNCTION("FILTER(colegios!$B$2:$B5618,colegios!$A$2:$A5618=L334)"),"60133")</f>
        <v>60133</v>
      </c>
      <c r="F334" s="14" t="s">
        <v>16</v>
      </c>
      <c r="G334" s="20" t="s">
        <v>21</v>
      </c>
      <c r="H334" s="12" t="s">
        <v>18</v>
      </c>
      <c r="I334" s="15">
        <v>2024.0</v>
      </c>
      <c r="J334" s="16" t="str">
        <f>IFERROR(__xludf.DUMMYFUNCTION("FILTER('CLASFICACIÓN'!$F$3:$F5618,'CLASFICACIÓN'!$G$3:$G5618=M334)"),"LOS 3 AÑOS")</f>
        <v>LOS 3 AÑOS</v>
      </c>
      <c r="K334" s="16"/>
      <c r="L334" s="12" t="s">
        <v>47</v>
      </c>
      <c r="M334" s="16" t="str">
        <f t="shared" si="1"/>
        <v>601334 Secundaria</v>
      </c>
      <c r="N334" s="17"/>
      <c r="O334" s="17"/>
      <c r="P334" s="17"/>
      <c r="Q334" s="17"/>
      <c r="R334" s="17"/>
      <c r="S334" s="17"/>
      <c r="T334" s="17"/>
    </row>
    <row r="335" ht="15.75" customHeight="1">
      <c r="A335" s="18">
        <v>334.0</v>
      </c>
      <c r="B335" s="12" t="s">
        <v>13</v>
      </c>
      <c r="C335" s="12" t="s">
        <v>27</v>
      </c>
      <c r="D335" s="19" t="s">
        <v>30</v>
      </c>
      <c r="E335" s="12" t="str">
        <f>IFERROR(__xludf.DUMMYFUNCTION("FILTER(colegios!$B$2:$B5618,colegios!$A$2:$A5618=L335)"),"60133")</f>
        <v>60133</v>
      </c>
      <c r="F335" s="14" t="s">
        <v>16</v>
      </c>
      <c r="G335" s="19" t="s">
        <v>21</v>
      </c>
      <c r="H335" s="12" t="s">
        <v>18</v>
      </c>
      <c r="I335" s="15">
        <v>2024.0</v>
      </c>
      <c r="J335" s="16" t="str">
        <f>IFERROR(__xludf.DUMMYFUNCTION("FILTER('CLASFICACIÓN'!$F$3:$F5618,'CLASFICACIÓN'!$G$3:$G5618=M335)"),"LOS 3 AÑOS")</f>
        <v>LOS 3 AÑOS</v>
      </c>
      <c r="K335" s="16"/>
      <c r="L335" s="12" t="s">
        <v>47</v>
      </c>
      <c r="M335" s="16" t="str">
        <f t="shared" si="1"/>
        <v>601334 Secundaria</v>
      </c>
      <c r="N335" s="17"/>
      <c r="O335" s="17"/>
      <c r="P335" s="17"/>
      <c r="Q335" s="17"/>
      <c r="R335" s="17"/>
      <c r="S335" s="17"/>
      <c r="T335" s="17"/>
    </row>
    <row r="336" ht="15.75" customHeight="1">
      <c r="A336" s="18">
        <v>335.0</v>
      </c>
      <c r="B336" s="12" t="s">
        <v>13</v>
      </c>
      <c r="C336" s="12" t="s">
        <v>27</v>
      </c>
      <c r="D336" s="19" t="s">
        <v>30</v>
      </c>
      <c r="E336" s="12" t="str">
        <f>IFERROR(__xludf.DUMMYFUNCTION("FILTER(colegios!$B$2:$B5618,colegios!$A$2:$A5618=L336)"),"60133")</f>
        <v>60133</v>
      </c>
      <c r="F336" s="14" t="s">
        <v>16</v>
      </c>
      <c r="G336" s="19" t="s">
        <v>17</v>
      </c>
      <c r="H336" s="12" t="s">
        <v>18</v>
      </c>
      <c r="I336" s="15">
        <v>2024.0</v>
      </c>
      <c r="J336" s="16" t="str">
        <f>IFERROR(__xludf.DUMMYFUNCTION("FILTER('CLASFICACIÓN'!$F$3:$F5618,'CLASFICACIÓN'!$G$3:$G5618=M336)"),"LOS 3 AÑOS")</f>
        <v>LOS 3 AÑOS</v>
      </c>
      <c r="K336" s="16"/>
      <c r="L336" s="12" t="s">
        <v>47</v>
      </c>
      <c r="M336" s="16" t="str">
        <f t="shared" si="1"/>
        <v>601334 Secundaria</v>
      </c>
      <c r="N336" s="17"/>
      <c r="O336" s="17"/>
      <c r="P336" s="17"/>
      <c r="Q336" s="17"/>
      <c r="R336" s="17"/>
      <c r="S336" s="17"/>
      <c r="T336" s="17"/>
    </row>
    <row r="337" ht="15.75" customHeight="1">
      <c r="A337" s="18">
        <v>336.0</v>
      </c>
      <c r="B337" s="12" t="s">
        <v>13</v>
      </c>
      <c r="C337" s="12" t="s">
        <v>27</v>
      </c>
      <c r="D337" s="19" t="s">
        <v>30</v>
      </c>
      <c r="E337" s="12" t="str">
        <f>IFERROR(__xludf.DUMMYFUNCTION("FILTER(colegios!$B$2:$B5618,colegios!$A$2:$A5618=L337)"),"60133")</f>
        <v>60133</v>
      </c>
      <c r="F337" s="14" t="s">
        <v>16</v>
      </c>
      <c r="G337" s="19" t="s">
        <v>17</v>
      </c>
      <c r="H337" s="12" t="s">
        <v>18</v>
      </c>
      <c r="I337" s="15">
        <v>2024.0</v>
      </c>
      <c r="J337" s="16" t="str">
        <f>IFERROR(__xludf.DUMMYFUNCTION("FILTER('CLASFICACIÓN'!$F$3:$F5618,'CLASFICACIÓN'!$G$3:$G5618=M337)"),"LOS 3 AÑOS")</f>
        <v>LOS 3 AÑOS</v>
      </c>
      <c r="K337" s="16"/>
      <c r="L337" s="12" t="s">
        <v>47</v>
      </c>
      <c r="M337" s="16" t="str">
        <f t="shared" si="1"/>
        <v>601334 Secundaria</v>
      </c>
      <c r="N337" s="17"/>
      <c r="O337" s="17"/>
      <c r="P337" s="17"/>
      <c r="Q337" s="17"/>
      <c r="R337" s="17"/>
      <c r="S337" s="17"/>
      <c r="T337" s="17"/>
    </row>
    <row r="338" ht="15.75" customHeight="1">
      <c r="A338" s="18">
        <v>1.0</v>
      </c>
      <c r="B338" s="12" t="s">
        <v>48</v>
      </c>
      <c r="C338" s="12" t="s">
        <v>14</v>
      </c>
      <c r="D338" s="19" t="s">
        <v>22</v>
      </c>
      <c r="E338" s="12" t="str">
        <f>IFERROR(__xludf.DUMMYFUNCTION("FILTER(colegios!$B$2:$B5618,colegios!$A$2:$A5618=L338)"),"14924 DANIEL ALCIDES CARRION")</f>
        <v>14924 DANIEL ALCIDES CARRION</v>
      </c>
      <c r="F338" s="14" t="s">
        <v>16</v>
      </c>
      <c r="G338" s="20" t="s">
        <v>21</v>
      </c>
      <c r="H338" s="12" t="s">
        <v>24</v>
      </c>
      <c r="I338" s="15">
        <v>2024.0</v>
      </c>
      <c r="J338" s="16" t="str">
        <f>IFERROR(__xludf.DUMMYFUNCTION("FILTER('CLASFICACIÓN'!$F$3:$F5618,'CLASFICACIÓN'!$G$3:$G5618=M338)"),"SOLO 2024")</f>
        <v>SOLO 2024</v>
      </c>
      <c r="K338" s="16"/>
      <c r="L338" s="12" t="s">
        <v>49</v>
      </c>
      <c r="M338" s="16" t="str">
        <f t="shared" si="1"/>
        <v>14924 DANIEL ALCIDES CARRION6 Primaria</v>
      </c>
      <c r="N338" s="17"/>
      <c r="O338" s="17"/>
      <c r="P338" s="17"/>
      <c r="Q338" s="17"/>
      <c r="R338" s="17"/>
      <c r="S338" s="17"/>
      <c r="T338" s="17"/>
    </row>
    <row r="339" ht="15.75" customHeight="1">
      <c r="A339" s="18">
        <v>2.0</v>
      </c>
      <c r="B339" s="12" t="s">
        <v>48</v>
      </c>
      <c r="C339" s="12" t="s">
        <v>14</v>
      </c>
      <c r="D339" s="19" t="s">
        <v>22</v>
      </c>
      <c r="E339" s="12" t="str">
        <f>IFERROR(__xludf.DUMMYFUNCTION("FILTER(colegios!$B$2:$B5618,colegios!$A$2:$A5618=L339)"),"14924 DANIEL ALCIDES CARRION")</f>
        <v>14924 DANIEL ALCIDES CARRION</v>
      </c>
      <c r="F339" s="14" t="s">
        <v>16</v>
      </c>
      <c r="G339" s="19" t="s">
        <v>21</v>
      </c>
      <c r="H339" s="12" t="s">
        <v>18</v>
      </c>
      <c r="I339" s="15">
        <v>2024.0</v>
      </c>
      <c r="J339" s="16" t="str">
        <f>IFERROR(__xludf.DUMMYFUNCTION("FILTER('CLASFICACIÓN'!$F$3:$F5618,'CLASFICACIÓN'!$G$3:$G5618=M339)"),"SOLO 2024")</f>
        <v>SOLO 2024</v>
      </c>
      <c r="K339" s="16"/>
      <c r="L339" s="12" t="s">
        <v>49</v>
      </c>
      <c r="M339" s="16" t="str">
        <f t="shared" si="1"/>
        <v>14924 DANIEL ALCIDES CARRION6 Primaria</v>
      </c>
      <c r="N339" s="17"/>
      <c r="O339" s="17"/>
      <c r="P339" s="17"/>
      <c r="Q339" s="17"/>
      <c r="R339" s="17"/>
      <c r="S339" s="17"/>
      <c r="T339" s="17"/>
    </row>
    <row r="340" ht="15.75" customHeight="1">
      <c r="A340" s="18">
        <v>3.0</v>
      </c>
      <c r="B340" s="12" t="s">
        <v>48</v>
      </c>
      <c r="C340" s="12" t="s">
        <v>14</v>
      </c>
      <c r="D340" s="19" t="s">
        <v>22</v>
      </c>
      <c r="E340" s="12" t="str">
        <f>IFERROR(__xludf.DUMMYFUNCTION("FILTER(colegios!$B$2:$B5618,colegios!$A$2:$A5618=L340)"),"14924 DANIEL ALCIDES CARRION")</f>
        <v>14924 DANIEL ALCIDES CARRION</v>
      </c>
      <c r="F340" s="14" t="s">
        <v>16</v>
      </c>
      <c r="G340" s="20" t="s">
        <v>21</v>
      </c>
      <c r="H340" s="12" t="s">
        <v>24</v>
      </c>
      <c r="I340" s="15">
        <v>2024.0</v>
      </c>
      <c r="J340" s="16" t="str">
        <f>IFERROR(__xludf.DUMMYFUNCTION("FILTER('CLASFICACIÓN'!$F$3:$F5618,'CLASFICACIÓN'!$G$3:$G5618=M340)"),"SOLO 2024")</f>
        <v>SOLO 2024</v>
      </c>
      <c r="K340" s="16"/>
      <c r="L340" s="12" t="s">
        <v>49</v>
      </c>
      <c r="M340" s="16" t="str">
        <f t="shared" si="1"/>
        <v>14924 DANIEL ALCIDES CARRION6 Primaria</v>
      </c>
      <c r="N340" s="17"/>
      <c r="O340" s="17"/>
      <c r="P340" s="17"/>
      <c r="Q340" s="17"/>
      <c r="R340" s="17"/>
      <c r="S340" s="17"/>
      <c r="T340" s="17"/>
    </row>
    <row r="341" ht="15.75" customHeight="1">
      <c r="A341" s="18">
        <v>4.0</v>
      </c>
      <c r="B341" s="12" t="s">
        <v>48</v>
      </c>
      <c r="C341" s="12" t="s">
        <v>14</v>
      </c>
      <c r="D341" s="19" t="s">
        <v>22</v>
      </c>
      <c r="E341" s="12" t="str">
        <f>IFERROR(__xludf.DUMMYFUNCTION("FILTER(colegios!$B$2:$B5618,colegios!$A$2:$A5618=L341)"),"14924 DANIEL ALCIDES CARRION")</f>
        <v>14924 DANIEL ALCIDES CARRION</v>
      </c>
      <c r="F341" s="14" t="s">
        <v>16</v>
      </c>
      <c r="G341" s="19" t="s">
        <v>21</v>
      </c>
      <c r="H341" s="12" t="s">
        <v>24</v>
      </c>
      <c r="I341" s="15">
        <v>2024.0</v>
      </c>
      <c r="J341" s="16" t="str">
        <f>IFERROR(__xludf.DUMMYFUNCTION("FILTER('CLASFICACIÓN'!$F$3:$F5618,'CLASFICACIÓN'!$G$3:$G5618=M341)"),"SOLO 2024")</f>
        <v>SOLO 2024</v>
      </c>
      <c r="K341" s="16"/>
      <c r="L341" s="12" t="s">
        <v>49</v>
      </c>
      <c r="M341" s="16" t="str">
        <f t="shared" si="1"/>
        <v>14924 DANIEL ALCIDES CARRION6 Primaria</v>
      </c>
      <c r="N341" s="17"/>
      <c r="O341" s="17"/>
      <c r="P341" s="17"/>
      <c r="Q341" s="17"/>
      <c r="R341" s="17"/>
      <c r="S341" s="17"/>
      <c r="T341" s="17"/>
    </row>
    <row r="342" ht="15.75" customHeight="1">
      <c r="A342" s="18">
        <v>5.0</v>
      </c>
      <c r="B342" s="12" t="s">
        <v>48</v>
      </c>
      <c r="C342" s="12" t="s">
        <v>14</v>
      </c>
      <c r="D342" s="19" t="s">
        <v>22</v>
      </c>
      <c r="E342" s="12" t="str">
        <f>IFERROR(__xludf.DUMMYFUNCTION("FILTER(colegios!$B$2:$B5618,colegios!$A$2:$A5618=L342)"),"14924 DANIEL ALCIDES CARRION")</f>
        <v>14924 DANIEL ALCIDES CARRION</v>
      </c>
      <c r="F342" s="14" t="s">
        <v>16</v>
      </c>
      <c r="G342" s="20" t="s">
        <v>17</v>
      </c>
      <c r="H342" s="12" t="s">
        <v>24</v>
      </c>
      <c r="I342" s="15">
        <v>2024.0</v>
      </c>
      <c r="J342" s="16" t="str">
        <f>IFERROR(__xludf.DUMMYFUNCTION("FILTER('CLASFICACIÓN'!$F$3:$F5618,'CLASFICACIÓN'!$G$3:$G5618=M342)"),"SOLO 2024")</f>
        <v>SOLO 2024</v>
      </c>
      <c r="K342" s="16"/>
      <c r="L342" s="12" t="s">
        <v>49</v>
      </c>
      <c r="M342" s="16" t="str">
        <f t="shared" si="1"/>
        <v>14924 DANIEL ALCIDES CARRION6 Primaria</v>
      </c>
      <c r="N342" s="17"/>
      <c r="O342" s="17"/>
      <c r="P342" s="17"/>
      <c r="Q342" s="17"/>
      <c r="R342" s="17"/>
      <c r="S342" s="17"/>
      <c r="T342" s="17"/>
    </row>
    <row r="343" ht="15.75" customHeight="1">
      <c r="A343" s="18">
        <v>6.0</v>
      </c>
      <c r="B343" s="12" t="s">
        <v>48</v>
      </c>
      <c r="C343" s="12" t="s">
        <v>14</v>
      </c>
      <c r="D343" s="19" t="s">
        <v>22</v>
      </c>
      <c r="E343" s="12" t="str">
        <f>IFERROR(__xludf.DUMMYFUNCTION("FILTER(colegios!$B$2:$B5618,colegios!$A$2:$A5618=L343)"),"14924 DANIEL ALCIDES CARRION")</f>
        <v>14924 DANIEL ALCIDES CARRION</v>
      </c>
      <c r="F343" s="14" t="s">
        <v>16</v>
      </c>
      <c r="G343" s="19" t="s">
        <v>17</v>
      </c>
      <c r="H343" s="12" t="s">
        <v>24</v>
      </c>
      <c r="I343" s="15">
        <v>2024.0</v>
      </c>
      <c r="J343" s="16" t="str">
        <f>IFERROR(__xludf.DUMMYFUNCTION("FILTER('CLASFICACIÓN'!$F$3:$F5618,'CLASFICACIÓN'!$G$3:$G5618=M343)"),"SOLO 2024")</f>
        <v>SOLO 2024</v>
      </c>
      <c r="K343" s="16"/>
      <c r="L343" s="12" t="s">
        <v>49</v>
      </c>
      <c r="M343" s="16" t="str">
        <f t="shared" si="1"/>
        <v>14924 DANIEL ALCIDES CARRION6 Primaria</v>
      </c>
      <c r="N343" s="17"/>
      <c r="O343" s="17"/>
      <c r="P343" s="17"/>
      <c r="Q343" s="17"/>
      <c r="R343" s="17"/>
      <c r="S343" s="17"/>
      <c r="T343" s="17"/>
    </row>
    <row r="344" ht="15.75" customHeight="1">
      <c r="A344" s="18">
        <v>7.0</v>
      </c>
      <c r="B344" s="12" t="s">
        <v>48</v>
      </c>
      <c r="C344" s="12" t="s">
        <v>14</v>
      </c>
      <c r="D344" s="19" t="s">
        <v>22</v>
      </c>
      <c r="E344" s="12" t="str">
        <f>IFERROR(__xludf.DUMMYFUNCTION("FILTER(colegios!$B$2:$B5618,colegios!$A$2:$A5618=L344)"),"14924 DANIEL ALCIDES CARRION")</f>
        <v>14924 DANIEL ALCIDES CARRION</v>
      </c>
      <c r="F344" s="14" t="s">
        <v>16</v>
      </c>
      <c r="G344" s="19" t="s">
        <v>21</v>
      </c>
      <c r="H344" s="12" t="s">
        <v>24</v>
      </c>
      <c r="I344" s="15">
        <v>2024.0</v>
      </c>
      <c r="J344" s="16" t="str">
        <f>IFERROR(__xludf.DUMMYFUNCTION("FILTER('CLASFICACIÓN'!$F$3:$F5618,'CLASFICACIÓN'!$G$3:$G5618=M344)"),"SOLO 2024")</f>
        <v>SOLO 2024</v>
      </c>
      <c r="K344" s="16"/>
      <c r="L344" s="12" t="s">
        <v>49</v>
      </c>
      <c r="M344" s="16" t="str">
        <f t="shared" si="1"/>
        <v>14924 DANIEL ALCIDES CARRION6 Primaria</v>
      </c>
      <c r="N344" s="17"/>
      <c r="O344" s="17"/>
      <c r="P344" s="17"/>
      <c r="Q344" s="17"/>
      <c r="R344" s="17"/>
      <c r="S344" s="17"/>
      <c r="T344" s="17"/>
    </row>
    <row r="345" ht="15.75" customHeight="1">
      <c r="A345" s="18">
        <v>8.0</v>
      </c>
      <c r="B345" s="12" t="s">
        <v>48</v>
      </c>
      <c r="C345" s="12" t="s">
        <v>14</v>
      </c>
      <c r="D345" s="19" t="s">
        <v>22</v>
      </c>
      <c r="E345" s="12" t="str">
        <f>IFERROR(__xludf.DUMMYFUNCTION("FILTER(colegios!$B$2:$B5618,colegios!$A$2:$A5618=L345)"),"14924 DANIEL ALCIDES CARRION")</f>
        <v>14924 DANIEL ALCIDES CARRION</v>
      </c>
      <c r="F345" s="14" t="s">
        <v>16</v>
      </c>
      <c r="G345" s="20" t="s">
        <v>17</v>
      </c>
      <c r="H345" s="12" t="s">
        <v>24</v>
      </c>
      <c r="I345" s="15">
        <v>2024.0</v>
      </c>
      <c r="J345" s="16" t="str">
        <f>IFERROR(__xludf.DUMMYFUNCTION("FILTER('CLASFICACIÓN'!$F$3:$F5618,'CLASFICACIÓN'!$G$3:$G5618=M345)"),"SOLO 2024")</f>
        <v>SOLO 2024</v>
      </c>
      <c r="K345" s="16"/>
      <c r="L345" s="12" t="s">
        <v>49</v>
      </c>
      <c r="M345" s="16" t="str">
        <f t="shared" si="1"/>
        <v>14924 DANIEL ALCIDES CARRION6 Primaria</v>
      </c>
      <c r="N345" s="17"/>
      <c r="O345" s="17"/>
      <c r="P345" s="17"/>
      <c r="Q345" s="17"/>
      <c r="R345" s="17"/>
      <c r="S345" s="17"/>
      <c r="T345" s="17"/>
    </row>
    <row r="346" ht="15.75" customHeight="1">
      <c r="A346" s="18">
        <v>9.0</v>
      </c>
      <c r="B346" s="12" t="s">
        <v>48</v>
      </c>
      <c r="C346" s="12" t="s">
        <v>14</v>
      </c>
      <c r="D346" s="19" t="s">
        <v>22</v>
      </c>
      <c r="E346" s="12" t="str">
        <f>IFERROR(__xludf.DUMMYFUNCTION("FILTER(colegios!$B$2:$B5618,colegios!$A$2:$A5618=L346)"),"14924 DANIEL ALCIDES CARRION")</f>
        <v>14924 DANIEL ALCIDES CARRION</v>
      </c>
      <c r="F346" s="14" t="s">
        <v>16</v>
      </c>
      <c r="G346" s="19" t="s">
        <v>21</v>
      </c>
      <c r="H346" s="12" t="s">
        <v>24</v>
      </c>
      <c r="I346" s="15">
        <v>2024.0</v>
      </c>
      <c r="J346" s="16" t="str">
        <f>IFERROR(__xludf.DUMMYFUNCTION("FILTER('CLASFICACIÓN'!$F$3:$F5618,'CLASFICACIÓN'!$G$3:$G5618=M346)"),"SOLO 2024")</f>
        <v>SOLO 2024</v>
      </c>
      <c r="K346" s="16"/>
      <c r="L346" s="12" t="s">
        <v>49</v>
      </c>
      <c r="M346" s="16" t="str">
        <f t="shared" si="1"/>
        <v>14924 DANIEL ALCIDES CARRION6 Primaria</v>
      </c>
      <c r="N346" s="17"/>
      <c r="O346" s="17"/>
      <c r="P346" s="17"/>
      <c r="Q346" s="17"/>
      <c r="R346" s="17"/>
      <c r="S346" s="17"/>
      <c r="T346" s="17"/>
    </row>
    <row r="347" ht="15.75" customHeight="1">
      <c r="A347" s="18">
        <v>10.0</v>
      </c>
      <c r="B347" s="12" t="s">
        <v>48</v>
      </c>
      <c r="C347" s="12" t="s">
        <v>14</v>
      </c>
      <c r="D347" s="19" t="s">
        <v>22</v>
      </c>
      <c r="E347" s="12" t="str">
        <f>IFERROR(__xludf.DUMMYFUNCTION("FILTER(colegios!$B$2:$B5618,colegios!$A$2:$A5618=L347)"),"14924 DANIEL ALCIDES CARRION")</f>
        <v>14924 DANIEL ALCIDES CARRION</v>
      </c>
      <c r="F347" s="14" t="s">
        <v>16</v>
      </c>
      <c r="G347" s="20" t="s">
        <v>21</v>
      </c>
      <c r="H347" s="12" t="s">
        <v>24</v>
      </c>
      <c r="I347" s="15">
        <v>2024.0</v>
      </c>
      <c r="J347" s="16" t="str">
        <f>IFERROR(__xludf.DUMMYFUNCTION("FILTER('CLASFICACIÓN'!$F$3:$F5618,'CLASFICACIÓN'!$G$3:$G5618=M347)"),"SOLO 2024")</f>
        <v>SOLO 2024</v>
      </c>
      <c r="K347" s="16"/>
      <c r="L347" s="12" t="s">
        <v>49</v>
      </c>
      <c r="M347" s="16" t="str">
        <f t="shared" si="1"/>
        <v>14924 DANIEL ALCIDES CARRION6 Primaria</v>
      </c>
      <c r="N347" s="17"/>
      <c r="O347" s="17"/>
      <c r="P347" s="17"/>
      <c r="Q347" s="17"/>
      <c r="R347" s="17"/>
      <c r="S347" s="17"/>
      <c r="T347" s="17"/>
    </row>
    <row r="348" ht="15.75" customHeight="1">
      <c r="A348" s="18">
        <v>11.0</v>
      </c>
      <c r="B348" s="12" t="s">
        <v>48</v>
      </c>
      <c r="C348" s="12" t="s">
        <v>14</v>
      </c>
      <c r="D348" s="19" t="s">
        <v>22</v>
      </c>
      <c r="E348" s="12" t="str">
        <f>IFERROR(__xludf.DUMMYFUNCTION("FILTER(colegios!$B$2:$B5618,colegios!$A$2:$A5618=L348)"),"14924 DANIEL ALCIDES CARRION")</f>
        <v>14924 DANIEL ALCIDES CARRION</v>
      </c>
      <c r="F348" s="14" t="s">
        <v>16</v>
      </c>
      <c r="G348" s="20" t="s">
        <v>17</v>
      </c>
      <c r="H348" s="12" t="s">
        <v>24</v>
      </c>
      <c r="I348" s="15">
        <v>2024.0</v>
      </c>
      <c r="J348" s="16" t="str">
        <f>IFERROR(__xludf.DUMMYFUNCTION("FILTER('CLASFICACIÓN'!$F$3:$F5618,'CLASFICACIÓN'!$G$3:$G5618=M348)"),"SOLO 2024")</f>
        <v>SOLO 2024</v>
      </c>
      <c r="K348" s="16"/>
      <c r="L348" s="12" t="s">
        <v>49</v>
      </c>
      <c r="M348" s="16" t="str">
        <f t="shared" si="1"/>
        <v>14924 DANIEL ALCIDES CARRION6 Primaria</v>
      </c>
      <c r="N348" s="17"/>
      <c r="O348" s="17"/>
      <c r="P348" s="17"/>
      <c r="Q348" s="17"/>
      <c r="R348" s="17"/>
      <c r="S348" s="17"/>
      <c r="T348" s="17"/>
    </row>
    <row r="349" ht="15.75" customHeight="1">
      <c r="A349" s="18">
        <v>12.0</v>
      </c>
      <c r="B349" s="12" t="s">
        <v>48</v>
      </c>
      <c r="C349" s="12" t="s">
        <v>14</v>
      </c>
      <c r="D349" s="19" t="s">
        <v>22</v>
      </c>
      <c r="E349" s="12" t="str">
        <f>IFERROR(__xludf.DUMMYFUNCTION("FILTER(colegios!$B$2:$B5618,colegios!$A$2:$A5618=L349)"),"14924 DANIEL ALCIDES CARRION")</f>
        <v>14924 DANIEL ALCIDES CARRION</v>
      </c>
      <c r="F349" s="14" t="s">
        <v>16</v>
      </c>
      <c r="G349" s="19" t="s">
        <v>17</v>
      </c>
      <c r="H349" s="12" t="s">
        <v>18</v>
      </c>
      <c r="I349" s="15">
        <v>2024.0</v>
      </c>
      <c r="J349" s="16" t="str">
        <f>IFERROR(__xludf.DUMMYFUNCTION("FILTER('CLASFICACIÓN'!$F$3:$F5618,'CLASFICACIÓN'!$G$3:$G5618=M349)"),"SOLO 2024")</f>
        <v>SOLO 2024</v>
      </c>
      <c r="K349" s="16"/>
      <c r="L349" s="12" t="s">
        <v>49</v>
      </c>
      <c r="M349" s="16" t="str">
        <f t="shared" si="1"/>
        <v>14924 DANIEL ALCIDES CARRION6 Primaria</v>
      </c>
      <c r="N349" s="17"/>
      <c r="O349" s="17"/>
      <c r="P349" s="17"/>
      <c r="Q349" s="17"/>
      <c r="R349" s="17"/>
      <c r="S349" s="17"/>
      <c r="T349" s="17"/>
    </row>
    <row r="350" ht="15.75" customHeight="1">
      <c r="A350" s="18">
        <v>13.0</v>
      </c>
      <c r="B350" s="12" t="s">
        <v>48</v>
      </c>
      <c r="C350" s="12" t="s">
        <v>14</v>
      </c>
      <c r="D350" s="19" t="s">
        <v>22</v>
      </c>
      <c r="E350" s="12" t="str">
        <f>IFERROR(__xludf.DUMMYFUNCTION("FILTER(colegios!$B$2:$B5618,colegios!$A$2:$A5618=L350)"),"14924 DANIEL ALCIDES CARRION")</f>
        <v>14924 DANIEL ALCIDES CARRION</v>
      </c>
      <c r="F350" s="14" t="s">
        <v>16</v>
      </c>
      <c r="G350" s="20" t="s">
        <v>17</v>
      </c>
      <c r="H350" s="12" t="s">
        <v>24</v>
      </c>
      <c r="I350" s="15">
        <v>2024.0</v>
      </c>
      <c r="J350" s="16" t="str">
        <f>IFERROR(__xludf.DUMMYFUNCTION("FILTER('CLASFICACIÓN'!$F$3:$F5618,'CLASFICACIÓN'!$G$3:$G5618=M350)"),"SOLO 2024")</f>
        <v>SOLO 2024</v>
      </c>
      <c r="K350" s="16"/>
      <c r="L350" s="12" t="s">
        <v>49</v>
      </c>
      <c r="M350" s="16" t="str">
        <f t="shared" si="1"/>
        <v>14924 DANIEL ALCIDES CARRION6 Primaria</v>
      </c>
      <c r="N350" s="17"/>
      <c r="O350" s="17"/>
      <c r="P350" s="17"/>
      <c r="Q350" s="17"/>
      <c r="R350" s="17"/>
      <c r="S350" s="17"/>
      <c r="T350" s="17"/>
    </row>
    <row r="351" ht="15.75" customHeight="1">
      <c r="A351" s="18">
        <v>14.0</v>
      </c>
      <c r="B351" s="12" t="s">
        <v>48</v>
      </c>
      <c r="C351" s="12" t="s">
        <v>14</v>
      </c>
      <c r="D351" s="19" t="s">
        <v>22</v>
      </c>
      <c r="E351" s="12" t="str">
        <f>IFERROR(__xludf.DUMMYFUNCTION("FILTER(colegios!$B$2:$B5618,colegios!$A$2:$A5618=L351)"),"14924 DANIEL ALCIDES CARRION")</f>
        <v>14924 DANIEL ALCIDES CARRION</v>
      </c>
      <c r="F351" s="14" t="s">
        <v>16</v>
      </c>
      <c r="G351" s="20" t="s">
        <v>21</v>
      </c>
      <c r="H351" s="12" t="s">
        <v>18</v>
      </c>
      <c r="I351" s="15">
        <v>2024.0</v>
      </c>
      <c r="J351" s="16" t="str">
        <f>IFERROR(__xludf.DUMMYFUNCTION("FILTER('CLASFICACIÓN'!$F$3:$F5618,'CLASFICACIÓN'!$G$3:$G5618=M351)"),"SOLO 2024")</f>
        <v>SOLO 2024</v>
      </c>
      <c r="K351" s="16"/>
      <c r="L351" s="12" t="s">
        <v>49</v>
      </c>
      <c r="M351" s="16" t="str">
        <f t="shared" si="1"/>
        <v>14924 DANIEL ALCIDES CARRION6 Primaria</v>
      </c>
      <c r="N351" s="17"/>
      <c r="O351" s="17"/>
      <c r="P351" s="17"/>
      <c r="Q351" s="17"/>
      <c r="R351" s="17"/>
      <c r="S351" s="17"/>
      <c r="T351" s="17"/>
    </row>
    <row r="352" ht="15.75" customHeight="1">
      <c r="A352" s="18">
        <v>15.0</v>
      </c>
      <c r="B352" s="12" t="s">
        <v>48</v>
      </c>
      <c r="C352" s="12" t="s">
        <v>14</v>
      </c>
      <c r="D352" s="19" t="s">
        <v>22</v>
      </c>
      <c r="E352" s="12" t="str">
        <f>IFERROR(__xludf.DUMMYFUNCTION("FILTER(colegios!$B$2:$B5618,colegios!$A$2:$A5618=L352)"),"14924 DANIEL ALCIDES CARRION")</f>
        <v>14924 DANIEL ALCIDES CARRION</v>
      </c>
      <c r="F352" s="14" t="s">
        <v>16</v>
      </c>
      <c r="G352" s="20" t="s">
        <v>17</v>
      </c>
      <c r="H352" s="12" t="s">
        <v>24</v>
      </c>
      <c r="I352" s="15">
        <v>2024.0</v>
      </c>
      <c r="J352" s="16" t="str">
        <f>IFERROR(__xludf.DUMMYFUNCTION("FILTER('CLASFICACIÓN'!$F$3:$F5618,'CLASFICACIÓN'!$G$3:$G5618=M352)"),"SOLO 2024")</f>
        <v>SOLO 2024</v>
      </c>
      <c r="K352" s="16"/>
      <c r="L352" s="12" t="s">
        <v>49</v>
      </c>
      <c r="M352" s="16" t="str">
        <f t="shared" si="1"/>
        <v>14924 DANIEL ALCIDES CARRION6 Primaria</v>
      </c>
      <c r="N352" s="17"/>
      <c r="O352" s="17"/>
      <c r="P352" s="17"/>
      <c r="Q352" s="17"/>
      <c r="R352" s="17"/>
      <c r="S352" s="17"/>
      <c r="T352" s="17"/>
    </row>
    <row r="353" ht="15.75" customHeight="1">
      <c r="A353" s="18">
        <v>16.0</v>
      </c>
      <c r="B353" s="12" t="s">
        <v>48</v>
      </c>
      <c r="C353" s="12" t="s">
        <v>14</v>
      </c>
      <c r="D353" s="19" t="s">
        <v>22</v>
      </c>
      <c r="E353" s="12" t="str">
        <f>IFERROR(__xludf.DUMMYFUNCTION("FILTER(colegios!$B$2:$B5618,colegios!$A$2:$A5618=L353)"),"14924 DANIEL ALCIDES CARRION")</f>
        <v>14924 DANIEL ALCIDES CARRION</v>
      </c>
      <c r="F353" s="14" t="s">
        <v>16</v>
      </c>
      <c r="G353" s="19" t="s">
        <v>17</v>
      </c>
      <c r="H353" s="12" t="s">
        <v>24</v>
      </c>
      <c r="I353" s="15">
        <v>2024.0</v>
      </c>
      <c r="J353" s="16" t="str">
        <f>IFERROR(__xludf.DUMMYFUNCTION("FILTER('CLASFICACIÓN'!$F$3:$F5618,'CLASFICACIÓN'!$G$3:$G5618=M353)"),"SOLO 2024")</f>
        <v>SOLO 2024</v>
      </c>
      <c r="K353" s="16"/>
      <c r="L353" s="12" t="s">
        <v>49</v>
      </c>
      <c r="M353" s="16" t="str">
        <f t="shared" si="1"/>
        <v>14924 DANIEL ALCIDES CARRION6 Primaria</v>
      </c>
      <c r="N353" s="17"/>
      <c r="O353" s="17"/>
      <c r="P353" s="17"/>
      <c r="Q353" s="17"/>
      <c r="R353" s="17"/>
      <c r="S353" s="17"/>
      <c r="T353" s="17"/>
    </row>
    <row r="354" ht="15.75" customHeight="1">
      <c r="A354" s="18">
        <v>17.0</v>
      </c>
      <c r="B354" s="12" t="s">
        <v>48</v>
      </c>
      <c r="C354" s="12" t="s">
        <v>14</v>
      </c>
      <c r="D354" s="19" t="s">
        <v>22</v>
      </c>
      <c r="E354" s="12" t="str">
        <f>IFERROR(__xludf.DUMMYFUNCTION("FILTER(colegios!$B$2:$B5618,colegios!$A$2:$A5618=L354)"),"14924 DANIEL ALCIDES CARRION")</f>
        <v>14924 DANIEL ALCIDES CARRION</v>
      </c>
      <c r="F354" s="14" t="s">
        <v>16</v>
      </c>
      <c r="G354" s="20" t="s">
        <v>21</v>
      </c>
      <c r="H354" s="12" t="s">
        <v>24</v>
      </c>
      <c r="I354" s="15">
        <v>2024.0</v>
      </c>
      <c r="J354" s="16" t="str">
        <f>IFERROR(__xludf.DUMMYFUNCTION("FILTER('CLASFICACIÓN'!$F$3:$F5618,'CLASFICACIÓN'!$G$3:$G5618=M354)"),"SOLO 2024")</f>
        <v>SOLO 2024</v>
      </c>
      <c r="K354" s="16"/>
      <c r="L354" s="12" t="s">
        <v>49</v>
      </c>
      <c r="M354" s="16" t="str">
        <f t="shared" si="1"/>
        <v>14924 DANIEL ALCIDES CARRION6 Primaria</v>
      </c>
      <c r="N354" s="17"/>
      <c r="O354" s="17"/>
      <c r="P354" s="17"/>
      <c r="Q354" s="17"/>
      <c r="R354" s="17"/>
      <c r="S354" s="17"/>
      <c r="T354" s="17"/>
    </row>
    <row r="355" ht="15.75" customHeight="1">
      <c r="A355" s="18">
        <v>18.0</v>
      </c>
      <c r="B355" s="12" t="s">
        <v>48</v>
      </c>
      <c r="C355" s="12" t="s">
        <v>14</v>
      </c>
      <c r="D355" s="19" t="s">
        <v>22</v>
      </c>
      <c r="E355" s="12" t="str">
        <f>IFERROR(__xludf.DUMMYFUNCTION("FILTER(colegios!$B$2:$B5618,colegios!$A$2:$A5618=L355)"),"14924 DANIEL ALCIDES CARRION")</f>
        <v>14924 DANIEL ALCIDES CARRION</v>
      </c>
      <c r="F355" s="14" t="s">
        <v>16</v>
      </c>
      <c r="G355" s="20" t="s">
        <v>21</v>
      </c>
      <c r="H355" s="12" t="s">
        <v>24</v>
      </c>
      <c r="I355" s="15">
        <v>2024.0</v>
      </c>
      <c r="J355" s="16" t="str">
        <f>IFERROR(__xludf.DUMMYFUNCTION("FILTER('CLASFICACIÓN'!$F$3:$F5618,'CLASFICACIÓN'!$G$3:$G5618=M355)"),"SOLO 2024")</f>
        <v>SOLO 2024</v>
      </c>
      <c r="K355" s="16"/>
      <c r="L355" s="12" t="s">
        <v>49</v>
      </c>
      <c r="M355" s="16" t="str">
        <f t="shared" si="1"/>
        <v>14924 DANIEL ALCIDES CARRION6 Primaria</v>
      </c>
      <c r="N355" s="17"/>
      <c r="O355" s="17"/>
      <c r="P355" s="17"/>
      <c r="Q355" s="17"/>
      <c r="R355" s="17"/>
      <c r="S355" s="17"/>
      <c r="T355" s="17"/>
    </row>
    <row r="356" ht="15.75" customHeight="1">
      <c r="A356" s="18">
        <v>19.0</v>
      </c>
      <c r="B356" s="12" t="s">
        <v>48</v>
      </c>
      <c r="C356" s="12" t="s">
        <v>14</v>
      </c>
      <c r="D356" s="19" t="s">
        <v>22</v>
      </c>
      <c r="E356" s="12" t="str">
        <f>IFERROR(__xludf.DUMMYFUNCTION("FILTER(colegios!$B$2:$B5618,colegios!$A$2:$A5618=L356)"),"14924 DANIEL ALCIDES CARRION")</f>
        <v>14924 DANIEL ALCIDES CARRION</v>
      </c>
      <c r="F356" s="14" t="s">
        <v>16</v>
      </c>
      <c r="G356" s="19" t="s">
        <v>17</v>
      </c>
      <c r="H356" s="12" t="s">
        <v>24</v>
      </c>
      <c r="I356" s="15">
        <v>2024.0</v>
      </c>
      <c r="J356" s="16" t="str">
        <f>IFERROR(__xludf.DUMMYFUNCTION("FILTER('CLASFICACIÓN'!$F$3:$F5618,'CLASFICACIÓN'!$G$3:$G5618=M356)"),"SOLO 2024")</f>
        <v>SOLO 2024</v>
      </c>
      <c r="K356" s="16"/>
      <c r="L356" s="12" t="s">
        <v>49</v>
      </c>
      <c r="M356" s="16" t="str">
        <f t="shared" si="1"/>
        <v>14924 DANIEL ALCIDES CARRION6 Primaria</v>
      </c>
      <c r="N356" s="17"/>
      <c r="O356" s="17"/>
      <c r="P356" s="17"/>
      <c r="Q356" s="17"/>
      <c r="R356" s="17"/>
      <c r="S356" s="17"/>
      <c r="T356" s="17"/>
    </row>
    <row r="357" ht="15.75" customHeight="1">
      <c r="A357" s="18">
        <v>20.0</v>
      </c>
      <c r="B357" s="12" t="s">
        <v>48</v>
      </c>
      <c r="C357" s="12" t="s">
        <v>14</v>
      </c>
      <c r="D357" s="19" t="s">
        <v>22</v>
      </c>
      <c r="E357" s="12" t="str">
        <f>IFERROR(__xludf.DUMMYFUNCTION("FILTER(colegios!$B$2:$B5618,colegios!$A$2:$A5618=L357)"),"14924 DANIEL ALCIDES CARRION")</f>
        <v>14924 DANIEL ALCIDES CARRION</v>
      </c>
      <c r="F357" s="14" t="s">
        <v>16</v>
      </c>
      <c r="G357" s="20" t="s">
        <v>17</v>
      </c>
      <c r="H357" s="12" t="s">
        <v>24</v>
      </c>
      <c r="I357" s="15">
        <v>2024.0</v>
      </c>
      <c r="J357" s="16" t="str">
        <f>IFERROR(__xludf.DUMMYFUNCTION("FILTER('CLASFICACIÓN'!$F$3:$F5618,'CLASFICACIÓN'!$G$3:$G5618=M357)"),"SOLO 2024")</f>
        <v>SOLO 2024</v>
      </c>
      <c r="K357" s="16"/>
      <c r="L357" s="12" t="s">
        <v>49</v>
      </c>
      <c r="M357" s="16" t="str">
        <f t="shared" si="1"/>
        <v>14924 DANIEL ALCIDES CARRION6 Primaria</v>
      </c>
      <c r="N357" s="17"/>
      <c r="O357" s="17"/>
      <c r="P357" s="17"/>
      <c r="Q357" s="17"/>
      <c r="R357" s="17"/>
      <c r="S357" s="17"/>
      <c r="T357" s="17"/>
    </row>
    <row r="358" ht="15.75" customHeight="1">
      <c r="A358" s="18">
        <v>21.0</v>
      </c>
      <c r="B358" s="12" t="s">
        <v>48</v>
      </c>
      <c r="C358" s="12" t="s">
        <v>14</v>
      </c>
      <c r="D358" s="19" t="s">
        <v>22</v>
      </c>
      <c r="E358" s="12" t="str">
        <f>IFERROR(__xludf.DUMMYFUNCTION("FILTER(colegios!$B$2:$B5618,colegios!$A$2:$A5618=L358)"),"14924 DANIEL ALCIDES CARRION")</f>
        <v>14924 DANIEL ALCIDES CARRION</v>
      </c>
      <c r="F358" s="14" t="s">
        <v>16</v>
      </c>
      <c r="G358" s="19" t="s">
        <v>17</v>
      </c>
      <c r="H358" s="12" t="s">
        <v>24</v>
      </c>
      <c r="I358" s="15">
        <v>2024.0</v>
      </c>
      <c r="J358" s="16" t="str">
        <f>IFERROR(__xludf.DUMMYFUNCTION("FILTER('CLASFICACIÓN'!$F$3:$F5618,'CLASFICACIÓN'!$G$3:$G5618=M358)"),"SOLO 2024")</f>
        <v>SOLO 2024</v>
      </c>
      <c r="K358" s="16"/>
      <c r="L358" s="12" t="s">
        <v>49</v>
      </c>
      <c r="M358" s="16" t="str">
        <f t="shared" si="1"/>
        <v>14924 DANIEL ALCIDES CARRION6 Primaria</v>
      </c>
      <c r="N358" s="17"/>
      <c r="O358" s="17"/>
      <c r="P358" s="17"/>
      <c r="Q358" s="17"/>
      <c r="R358" s="17"/>
      <c r="S358" s="17"/>
      <c r="T358" s="17"/>
    </row>
    <row r="359" ht="15.75" customHeight="1">
      <c r="A359" s="18">
        <v>22.0</v>
      </c>
      <c r="B359" s="12" t="s">
        <v>48</v>
      </c>
      <c r="C359" s="12" t="s">
        <v>14</v>
      </c>
      <c r="D359" s="19" t="s">
        <v>22</v>
      </c>
      <c r="E359" s="12" t="str">
        <f>IFERROR(__xludf.DUMMYFUNCTION("FILTER(colegios!$B$2:$B5618,colegios!$A$2:$A5618=L359)"),"14924 DANIEL ALCIDES CARRION")</f>
        <v>14924 DANIEL ALCIDES CARRION</v>
      </c>
      <c r="F359" s="14" t="s">
        <v>16</v>
      </c>
      <c r="G359" s="19" t="s">
        <v>21</v>
      </c>
      <c r="H359" s="12" t="s">
        <v>24</v>
      </c>
      <c r="I359" s="15">
        <v>2024.0</v>
      </c>
      <c r="J359" s="16" t="str">
        <f>IFERROR(__xludf.DUMMYFUNCTION("FILTER('CLASFICACIÓN'!$F$3:$F5618,'CLASFICACIÓN'!$G$3:$G5618=M359)"),"SOLO 2024")</f>
        <v>SOLO 2024</v>
      </c>
      <c r="K359" s="16"/>
      <c r="L359" s="12" t="s">
        <v>49</v>
      </c>
      <c r="M359" s="16" t="str">
        <f t="shared" si="1"/>
        <v>14924 DANIEL ALCIDES CARRION6 Primaria</v>
      </c>
      <c r="N359" s="17"/>
      <c r="O359" s="17"/>
      <c r="P359" s="17"/>
      <c r="Q359" s="17"/>
      <c r="R359" s="17"/>
      <c r="S359" s="17"/>
      <c r="T359" s="17"/>
    </row>
    <row r="360" ht="15.75" customHeight="1">
      <c r="A360" s="18">
        <v>23.0</v>
      </c>
      <c r="B360" s="12" t="s">
        <v>48</v>
      </c>
      <c r="C360" s="12" t="s">
        <v>14</v>
      </c>
      <c r="D360" s="19" t="s">
        <v>22</v>
      </c>
      <c r="E360" s="12" t="str">
        <f>IFERROR(__xludf.DUMMYFUNCTION("FILTER(colegios!$B$2:$B5618,colegios!$A$2:$A5618=L360)"),"14924 DANIEL ALCIDES CARRION")</f>
        <v>14924 DANIEL ALCIDES CARRION</v>
      </c>
      <c r="F360" s="14" t="s">
        <v>16</v>
      </c>
      <c r="G360" s="19" t="s">
        <v>17</v>
      </c>
      <c r="H360" s="12" t="s">
        <v>24</v>
      </c>
      <c r="I360" s="15">
        <v>2024.0</v>
      </c>
      <c r="J360" s="16" t="str">
        <f>IFERROR(__xludf.DUMMYFUNCTION("FILTER('CLASFICACIÓN'!$F$3:$F5618,'CLASFICACIÓN'!$G$3:$G5618=M360)"),"SOLO 2024")</f>
        <v>SOLO 2024</v>
      </c>
      <c r="K360" s="16"/>
      <c r="L360" s="12" t="s">
        <v>49</v>
      </c>
      <c r="M360" s="16" t="str">
        <f t="shared" si="1"/>
        <v>14924 DANIEL ALCIDES CARRION6 Primaria</v>
      </c>
      <c r="N360" s="17"/>
      <c r="O360" s="17"/>
      <c r="P360" s="17"/>
      <c r="Q360" s="17"/>
      <c r="R360" s="17"/>
      <c r="S360" s="17"/>
      <c r="T360" s="17"/>
    </row>
    <row r="361" ht="15.75" customHeight="1">
      <c r="A361" s="18">
        <v>24.0</v>
      </c>
      <c r="B361" s="12" t="s">
        <v>48</v>
      </c>
      <c r="C361" s="12" t="s">
        <v>14</v>
      </c>
      <c r="D361" s="19" t="s">
        <v>22</v>
      </c>
      <c r="E361" s="12" t="str">
        <f>IFERROR(__xludf.DUMMYFUNCTION("FILTER(colegios!$B$2:$B5618,colegios!$A$2:$A5618=L361)"),"14924 DANIEL ALCIDES CARRION")</f>
        <v>14924 DANIEL ALCIDES CARRION</v>
      </c>
      <c r="F361" s="14" t="s">
        <v>16</v>
      </c>
      <c r="G361" s="19" t="s">
        <v>17</v>
      </c>
      <c r="H361" s="12" t="s">
        <v>24</v>
      </c>
      <c r="I361" s="15">
        <v>2024.0</v>
      </c>
      <c r="J361" s="16" t="str">
        <f>IFERROR(__xludf.DUMMYFUNCTION("FILTER('CLASFICACIÓN'!$F$3:$F5618,'CLASFICACIÓN'!$G$3:$G5618=M361)"),"SOLO 2024")</f>
        <v>SOLO 2024</v>
      </c>
      <c r="K361" s="16"/>
      <c r="L361" s="12" t="s">
        <v>49</v>
      </c>
      <c r="M361" s="16" t="str">
        <f t="shared" si="1"/>
        <v>14924 DANIEL ALCIDES CARRION6 Primaria</v>
      </c>
      <c r="N361" s="17"/>
      <c r="O361" s="17"/>
      <c r="P361" s="17"/>
      <c r="Q361" s="17"/>
      <c r="R361" s="17"/>
      <c r="S361" s="17"/>
      <c r="T361" s="17"/>
    </row>
    <row r="362" ht="15.75" customHeight="1">
      <c r="A362" s="18">
        <v>25.0</v>
      </c>
      <c r="B362" s="12" t="s">
        <v>48</v>
      </c>
      <c r="C362" s="12" t="s">
        <v>14</v>
      </c>
      <c r="D362" s="19" t="s">
        <v>22</v>
      </c>
      <c r="E362" s="12" t="str">
        <f>IFERROR(__xludf.DUMMYFUNCTION("FILTER(colegios!$B$2:$B5618,colegios!$A$2:$A5618=L362)"),"20104")</f>
        <v>20104</v>
      </c>
      <c r="F362" s="14" t="s">
        <v>16</v>
      </c>
      <c r="G362" s="19" t="s">
        <v>17</v>
      </c>
      <c r="H362" s="12" t="s">
        <v>18</v>
      </c>
      <c r="I362" s="15">
        <v>2024.0</v>
      </c>
      <c r="J362" s="16" t="str">
        <f>IFERROR(__xludf.DUMMYFUNCTION("FILTER('CLASFICACIÓN'!$F$3:$F5618,'CLASFICACIÓN'!$G$3:$G5618=M362)"),"2023 Y 2024")</f>
        <v>2023 Y 2024</v>
      </c>
      <c r="K362" s="16"/>
      <c r="L362" s="12" t="s">
        <v>50</v>
      </c>
      <c r="M362" s="16" t="str">
        <f t="shared" si="1"/>
        <v>201046 Primaria</v>
      </c>
      <c r="N362" s="17"/>
      <c r="O362" s="17"/>
      <c r="P362" s="17"/>
      <c r="Q362" s="17"/>
      <c r="R362" s="17"/>
      <c r="S362" s="17"/>
      <c r="T362" s="17"/>
    </row>
    <row r="363" ht="15.75" customHeight="1">
      <c r="A363" s="18">
        <v>26.0</v>
      </c>
      <c r="B363" s="12" t="s">
        <v>48</v>
      </c>
      <c r="C363" s="12" t="s">
        <v>14</v>
      </c>
      <c r="D363" s="19" t="s">
        <v>22</v>
      </c>
      <c r="E363" s="12" t="str">
        <f>IFERROR(__xludf.DUMMYFUNCTION("FILTER(colegios!$B$2:$B5618,colegios!$A$2:$A5618=L363)"),"20104")</f>
        <v>20104</v>
      </c>
      <c r="F363" s="14" t="s">
        <v>16</v>
      </c>
      <c r="G363" s="19" t="s">
        <v>21</v>
      </c>
      <c r="H363" s="12" t="s">
        <v>24</v>
      </c>
      <c r="I363" s="15">
        <v>2024.0</v>
      </c>
      <c r="J363" s="16" t="str">
        <f>IFERROR(__xludf.DUMMYFUNCTION("FILTER('CLASFICACIÓN'!$F$3:$F5618,'CLASFICACIÓN'!$G$3:$G5618=M363)"),"2023 Y 2024")</f>
        <v>2023 Y 2024</v>
      </c>
      <c r="K363" s="16"/>
      <c r="L363" s="12" t="s">
        <v>50</v>
      </c>
      <c r="M363" s="16" t="str">
        <f t="shared" si="1"/>
        <v>201046 Primaria</v>
      </c>
      <c r="N363" s="17"/>
      <c r="O363" s="17"/>
      <c r="P363" s="17"/>
      <c r="Q363" s="17"/>
      <c r="R363" s="17"/>
      <c r="S363" s="17"/>
      <c r="T363" s="17"/>
    </row>
    <row r="364" ht="15.75" customHeight="1">
      <c r="A364" s="18">
        <v>27.0</v>
      </c>
      <c r="B364" s="12" t="s">
        <v>48</v>
      </c>
      <c r="C364" s="12" t="s">
        <v>14</v>
      </c>
      <c r="D364" s="19" t="s">
        <v>22</v>
      </c>
      <c r="E364" s="12" t="str">
        <f>IFERROR(__xludf.DUMMYFUNCTION("FILTER(colegios!$B$2:$B5618,colegios!$A$2:$A5618=L364)"),"20104")</f>
        <v>20104</v>
      </c>
      <c r="F364" s="14" t="s">
        <v>16</v>
      </c>
      <c r="G364" s="19" t="s">
        <v>21</v>
      </c>
      <c r="H364" s="12" t="s">
        <v>18</v>
      </c>
      <c r="I364" s="15">
        <v>2024.0</v>
      </c>
      <c r="J364" s="16" t="str">
        <f>IFERROR(__xludf.DUMMYFUNCTION("FILTER('CLASFICACIÓN'!$F$3:$F5618,'CLASFICACIÓN'!$G$3:$G5618=M364)"),"2023 Y 2024")</f>
        <v>2023 Y 2024</v>
      </c>
      <c r="K364" s="16"/>
      <c r="L364" s="12" t="s">
        <v>50</v>
      </c>
      <c r="M364" s="16" t="str">
        <f t="shared" si="1"/>
        <v>201046 Primaria</v>
      </c>
      <c r="N364" s="17"/>
      <c r="O364" s="17"/>
      <c r="P364" s="17"/>
      <c r="Q364" s="17"/>
      <c r="R364" s="17"/>
      <c r="S364" s="17"/>
      <c r="T364" s="17"/>
    </row>
    <row r="365" ht="15.75" customHeight="1">
      <c r="A365" s="18">
        <v>28.0</v>
      </c>
      <c r="B365" s="12" t="s">
        <v>48</v>
      </c>
      <c r="C365" s="12" t="s">
        <v>14</v>
      </c>
      <c r="D365" s="19" t="s">
        <v>22</v>
      </c>
      <c r="E365" s="12" t="str">
        <f>IFERROR(__xludf.DUMMYFUNCTION("FILTER(colegios!$B$2:$B5618,colegios!$A$2:$A5618=L365)"),"20104")</f>
        <v>20104</v>
      </c>
      <c r="F365" s="14" t="s">
        <v>16</v>
      </c>
      <c r="G365" s="19" t="s">
        <v>21</v>
      </c>
      <c r="H365" s="12" t="s">
        <v>24</v>
      </c>
      <c r="I365" s="15">
        <v>2024.0</v>
      </c>
      <c r="J365" s="16" t="str">
        <f>IFERROR(__xludf.DUMMYFUNCTION("FILTER('CLASFICACIÓN'!$F$3:$F5618,'CLASFICACIÓN'!$G$3:$G5618=M365)"),"2023 Y 2024")</f>
        <v>2023 Y 2024</v>
      </c>
      <c r="K365" s="16"/>
      <c r="L365" s="12" t="s">
        <v>50</v>
      </c>
      <c r="M365" s="16" t="str">
        <f t="shared" si="1"/>
        <v>201046 Primaria</v>
      </c>
      <c r="N365" s="17"/>
      <c r="O365" s="17"/>
      <c r="P365" s="17"/>
      <c r="Q365" s="17"/>
      <c r="R365" s="17"/>
      <c r="S365" s="17"/>
      <c r="T365" s="17"/>
    </row>
    <row r="366" ht="15.75" customHeight="1">
      <c r="A366" s="18">
        <v>29.0</v>
      </c>
      <c r="B366" s="12" t="s">
        <v>48</v>
      </c>
      <c r="C366" s="12" t="s">
        <v>14</v>
      </c>
      <c r="D366" s="19" t="s">
        <v>22</v>
      </c>
      <c r="E366" s="12" t="str">
        <f>IFERROR(__xludf.DUMMYFUNCTION("FILTER(colegios!$B$2:$B5618,colegios!$A$2:$A5618=L366)"),"14975")</f>
        <v>14975</v>
      </c>
      <c r="F366" s="14" t="s">
        <v>16</v>
      </c>
      <c r="G366" s="20" t="s">
        <v>17</v>
      </c>
      <c r="H366" s="12" t="s">
        <v>18</v>
      </c>
      <c r="I366" s="15">
        <v>2024.0</v>
      </c>
      <c r="J366" s="16" t="str">
        <f>IFERROR(__xludf.DUMMYFUNCTION("FILTER('CLASFICACIÓN'!$F$3:$F5618,'CLASFICACIÓN'!$G$3:$G5618=M366)"),"2023 Y 2024")</f>
        <v>2023 Y 2024</v>
      </c>
      <c r="K366" s="16"/>
      <c r="L366" s="12" t="s">
        <v>51</v>
      </c>
      <c r="M366" s="16" t="str">
        <f t="shared" si="1"/>
        <v>149756 Primaria</v>
      </c>
      <c r="N366" s="17"/>
      <c r="O366" s="17"/>
      <c r="P366" s="17"/>
      <c r="Q366" s="17"/>
      <c r="R366" s="17"/>
      <c r="S366" s="17"/>
      <c r="T366" s="17"/>
    </row>
    <row r="367" ht="15.75" customHeight="1">
      <c r="A367" s="18">
        <v>30.0</v>
      </c>
      <c r="B367" s="12" t="s">
        <v>48</v>
      </c>
      <c r="C367" s="12" t="s">
        <v>14</v>
      </c>
      <c r="D367" s="19" t="s">
        <v>22</v>
      </c>
      <c r="E367" s="12" t="str">
        <f>IFERROR(__xludf.DUMMYFUNCTION("FILTER(colegios!$B$2:$B5618,colegios!$A$2:$A5618=L367)"),"14975")</f>
        <v>14975</v>
      </c>
      <c r="F367" s="14" t="s">
        <v>16</v>
      </c>
      <c r="G367" s="19" t="s">
        <v>21</v>
      </c>
      <c r="H367" s="12" t="s">
        <v>18</v>
      </c>
      <c r="I367" s="15">
        <v>2024.0</v>
      </c>
      <c r="J367" s="16" t="str">
        <f>IFERROR(__xludf.DUMMYFUNCTION("FILTER('CLASFICACIÓN'!$F$3:$F5618,'CLASFICACIÓN'!$G$3:$G5618=M367)"),"2023 Y 2024")</f>
        <v>2023 Y 2024</v>
      </c>
      <c r="K367" s="16"/>
      <c r="L367" s="12" t="s">
        <v>51</v>
      </c>
      <c r="M367" s="16" t="str">
        <f t="shared" si="1"/>
        <v>149756 Primaria</v>
      </c>
      <c r="N367" s="17"/>
      <c r="O367" s="17"/>
      <c r="P367" s="17"/>
      <c r="Q367" s="17"/>
      <c r="R367" s="17"/>
      <c r="S367" s="17"/>
      <c r="T367" s="17"/>
    </row>
    <row r="368" ht="15.75" customHeight="1">
      <c r="A368" s="18">
        <v>31.0</v>
      </c>
      <c r="B368" s="12" t="s">
        <v>48</v>
      </c>
      <c r="C368" s="12" t="s">
        <v>14</v>
      </c>
      <c r="D368" s="19" t="s">
        <v>22</v>
      </c>
      <c r="E368" s="12" t="str">
        <f>IFERROR(__xludf.DUMMYFUNCTION("FILTER(colegios!$B$2:$B5618,colegios!$A$2:$A5618=L368)"),"14975")</f>
        <v>14975</v>
      </c>
      <c r="F368" s="14" t="s">
        <v>16</v>
      </c>
      <c r="G368" s="19" t="s">
        <v>21</v>
      </c>
      <c r="H368" s="12" t="s">
        <v>18</v>
      </c>
      <c r="I368" s="15">
        <v>2024.0</v>
      </c>
      <c r="J368" s="16" t="str">
        <f>IFERROR(__xludf.DUMMYFUNCTION("FILTER('CLASFICACIÓN'!$F$3:$F5618,'CLASFICACIÓN'!$G$3:$G5618=M368)"),"2023 Y 2024")</f>
        <v>2023 Y 2024</v>
      </c>
      <c r="K368" s="16"/>
      <c r="L368" s="12" t="s">
        <v>51</v>
      </c>
      <c r="M368" s="16" t="str">
        <f t="shared" si="1"/>
        <v>149756 Primaria</v>
      </c>
      <c r="N368" s="17"/>
      <c r="O368" s="17"/>
      <c r="P368" s="17"/>
      <c r="Q368" s="17"/>
      <c r="R368" s="17"/>
      <c r="S368" s="17"/>
      <c r="T368" s="17"/>
    </row>
    <row r="369" ht="15.75" customHeight="1">
      <c r="A369" s="18">
        <v>32.0</v>
      </c>
      <c r="B369" s="12" t="s">
        <v>48</v>
      </c>
      <c r="C369" s="12" t="s">
        <v>14</v>
      </c>
      <c r="D369" s="19" t="s">
        <v>22</v>
      </c>
      <c r="E369" s="12" t="str">
        <f>IFERROR(__xludf.DUMMYFUNCTION("FILTER(colegios!$B$2:$B5618,colegios!$A$2:$A5618=L369)"),"14975")</f>
        <v>14975</v>
      </c>
      <c r="F369" s="14" t="s">
        <v>16</v>
      </c>
      <c r="G369" s="19" t="s">
        <v>17</v>
      </c>
      <c r="H369" s="12" t="s">
        <v>24</v>
      </c>
      <c r="I369" s="15">
        <v>2024.0</v>
      </c>
      <c r="J369" s="16" t="str">
        <f>IFERROR(__xludf.DUMMYFUNCTION("FILTER('CLASFICACIÓN'!$F$3:$F5618,'CLASFICACIÓN'!$G$3:$G5618=M369)"),"2023 Y 2024")</f>
        <v>2023 Y 2024</v>
      </c>
      <c r="K369" s="16"/>
      <c r="L369" s="12" t="s">
        <v>51</v>
      </c>
      <c r="M369" s="16" t="str">
        <f t="shared" si="1"/>
        <v>149756 Primaria</v>
      </c>
      <c r="N369" s="17"/>
      <c r="O369" s="17"/>
      <c r="P369" s="17"/>
      <c r="Q369" s="17"/>
      <c r="R369" s="17"/>
      <c r="S369" s="17"/>
      <c r="T369" s="17"/>
    </row>
    <row r="370" ht="15.75" customHeight="1">
      <c r="A370" s="18">
        <v>33.0</v>
      </c>
      <c r="B370" s="12" t="s">
        <v>48</v>
      </c>
      <c r="C370" s="12" t="s">
        <v>14</v>
      </c>
      <c r="D370" s="19" t="s">
        <v>22</v>
      </c>
      <c r="E370" s="12" t="str">
        <f>IFERROR(__xludf.DUMMYFUNCTION("FILTER(colegios!$B$2:$B5618,colegios!$A$2:$A5618=L370)"),"14975")</f>
        <v>14975</v>
      </c>
      <c r="F370" s="14" t="s">
        <v>16</v>
      </c>
      <c r="G370" s="19" t="s">
        <v>17</v>
      </c>
      <c r="H370" s="12" t="s">
        <v>18</v>
      </c>
      <c r="I370" s="15">
        <v>2024.0</v>
      </c>
      <c r="J370" s="16" t="str">
        <f>IFERROR(__xludf.DUMMYFUNCTION("FILTER('CLASFICACIÓN'!$F$3:$F5618,'CLASFICACIÓN'!$G$3:$G5618=M370)"),"2023 Y 2024")</f>
        <v>2023 Y 2024</v>
      </c>
      <c r="K370" s="16"/>
      <c r="L370" s="12" t="s">
        <v>51</v>
      </c>
      <c r="M370" s="16" t="str">
        <f t="shared" si="1"/>
        <v>149756 Primaria</v>
      </c>
      <c r="N370" s="17"/>
      <c r="O370" s="17"/>
      <c r="P370" s="17"/>
      <c r="Q370" s="17"/>
      <c r="R370" s="17"/>
      <c r="S370" s="17"/>
      <c r="T370" s="17"/>
    </row>
    <row r="371" ht="15.75" customHeight="1">
      <c r="A371" s="18">
        <v>34.0</v>
      </c>
      <c r="B371" s="12" t="s">
        <v>48</v>
      </c>
      <c r="C371" s="12" t="s">
        <v>14</v>
      </c>
      <c r="D371" s="19" t="s">
        <v>22</v>
      </c>
      <c r="E371" s="12" t="str">
        <f>IFERROR(__xludf.DUMMYFUNCTION("FILTER(colegios!$B$2:$B5618,colegios!$A$2:$A5618=L371)"),"15304")</f>
        <v>15304</v>
      </c>
      <c r="F371" s="14" t="s">
        <v>16</v>
      </c>
      <c r="G371" s="19" t="s">
        <v>17</v>
      </c>
      <c r="H371" s="12" t="s">
        <v>24</v>
      </c>
      <c r="I371" s="15">
        <v>2024.0</v>
      </c>
      <c r="J371" s="16" t="str">
        <f>IFERROR(__xludf.DUMMYFUNCTION("FILTER('CLASFICACIÓN'!$F$3:$F5618,'CLASFICACIÓN'!$G$3:$G5618=M371)"),"2023 Y 2024")</f>
        <v>2023 Y 2024</v>
      </c>
      <c r="K371" s="16"/>
      <c r="L371" s="12" t="s">
        <v>52</v>
      </c>
      <c r="M371" s="16" t="str">
        <f t="shared" si="1"/>
        <v>153046 Primaria</v>
      </c>
      <c r="N371" s="17"/>
      <c r="O371" s="17"/>
      <c r="P371" s="17"/>
      <c r="Q371" s="17"/>
      <c r="R371" s="17"/>
      <c r="S371" s="17"/>
      <c r="T371" s="17"/>
    </row>
    <row r="372" ht="15.75" customHeight="1">
      <c r="A372" s="18">
        <v>35.0</v>
      </c>
      <c r="B372" s="12" t="s">
        <v>48</v>
      </c>
      <c r="C372" s="12" t="s">
        <v>14</v>
      </c>
      <c r="D372" s="19" t="s">
        <v>22</v>
      </c>
      <c r="E372" s="12" t="str">
        <f>IFERROR(__xludf.DUMMYFUNCTION("FILTER(colegios!$B$2:$B5618,colegios!$A$2:$A5618=L372)"),"15304")</f>
        <v>15304</v>
      </c>
      <c r="F372" s="14" t="s">
        <v>16</v>
      </c>
      <c r="G372" s="19" t="s">
        <v>17</v>
      </c>
      <c r="H372" s="12" t="s">
        <v>18</v>
      </c>
      <c r="I372" s="15">
        <v>2024.0</v>
      </c>
      <c r="J372" s="16" t="str">
        <f>IFERROR(__xludf.DUMMYFUNCTION("FILTER('CLASFICACIÓN'!$F$3:$F5618,'CLASFICACIÓN'!$G$3:$G5618=M372)"),"2023 Y 2024")</f>
        <v>2023 Y 2024</v>
      </c>
      <c r="K372" s="16"/>
      <c r="L372" s="12" t="s">
        <v>52</v>
      </c>
      <c r="M372" s="16" t="str">
        <f t="shared" si="1"/>
        <v>153046 Primaria</v>
      </c>
      <c r="N372" s="17"/>
      <c r="O372" s="17"/>
      <c r="P372" s="17"/>
      <c r="Q372" s="17"/>
      <c r="R372" s="17"/>
      <c r="S372" s="17"/>
      <c r="T372" s="17"/>
    </row>
    <row r="373" ht="15.75" customHeight="1">
      <c r="A373" s="18">
        <v>36.0</v>
      </c>
      <c r="B373" s="12" t="s">
        <v>48</v>
      </c>
      <c r="C373" s="12" t="s">
        <v>14</v>
      </c>
      <c r="D373" s="19" t="s">
        <v>22</v>
      </c>
      <c r="E373" s="12" t="str">
        <f>IFERROR(__xludf.DUMMYFUNCTION("FILTER(colegios!$B$2:$B5618,colegios!$A$2:$A5618=L373)"),"15304")</f>
        <v>15304</v>
      </c>
      <c r="F373" s="14" t="s">
        <v>16</v>
      </c>
      <c r="G373" s="19" t="s">
        <v>21</v>
      </c>
      <c r="H373" s="12" t="s">
        <v>24</v>
      </c>
      <c r="I373" s="15">
        <v>2024.0</v>
      </c>
      <c r="J373" s="16" t="str">
        <f>IFERROR(__xludf.DUMMYFUNCTION("FILTER('CLASFICACIÓN'!$F$3:$F5618,'CLASFICACIÓN'!$G$3:$G5618=M373)"),"2023 Y 2024")</f>
        <v>2023 Y 2024</v>
      </c>
      <c r="K373" s="16"/>
      <c r="L373" s="12" t="s">
        <v>52</v>
      </c>
      <c r="M373" s="16" t="str">
        <f t="shared" si="1"/>
        <v>153046 Primaria</v>
      </c>
      <c r="N373" s="17"/>
      <c r="O373" s="17"/>
      <c r="P373" s="17"/>
      <c r="Q373" s="17"/>
      <c r="R373" s="17"/>
      <c r="S373" s="17"/>
      <c r="T373" s="17"/>
    </row>
    <row r="374" ht="15.75" customHeight="1">
      <c r="A374" s="18">
        <v>37.0</v>
      </c>
      <c r="B374" s="12" t="s">
        <v>48</v>
      </c>
      <c r="C374" s="12" t="s">
        <v>14</v>
      </c>
      <c r="D374" s="19" t="s">
        <v>22</v>
      </c>
      <c r="E374" s="12" t="str">
        <f>IFERROR(__xludf.DUMMYFUNCTION("FILTER(colegios!$B$2:$B5618,colegios!$A$2:$A5618=L374)"),"SAGRADO CORAZON DE JESUS")</f>
        <v>SAGRADO CORAZON DE JESUS</v>
      </c>
      <c r="F374" s="14" t="s">
        <v>16</v>
      </c>
      <c r="G374" s="19" t="s">
        <v>21</v>
      </c>
      <c r="H374" s="12" t="s">
        <v>24</v>
      </c>
      <c r="I374" s="15">
        <v>2024.0</v>
      </c>
      <c r="J374" s="16" t="str">
        <f>IFERROR(__xludf.DUMMYFUNCTION("FILTER('CLASFICACIÓN'!$F$3:$F5618,'CLASFICACIÓN'!$G$3:$G5618=M374)"),"LOS 3 AÑOS")</f>
        <v>LOS 3 AÑOS</v>
      </c>
      <c r="K374" s="16"/>
      <c r="L374" s="12" t="s">
        <v>53</v>
      </c>
      <c r="M374" s="16" t="str">
        <f t="shared" si="1"/>
        <v>SAGRADO CORAZON DE JESUS6 Primaria</v>
      </c>
      <c r="N374" s="17"/>
      <c r="O374" s="17"/>
      <c r="P374" s="17"/>
      <c r="Q374" s="17"/>
      <c r="R374" s="17"/>
      <c r="S374" s="17"/>
      <c r="T374" s="17"/>
    </row>
    <row r="375" ht="15.75" customHeight="1">
      <c r="A375" s="18">
        <v>38.0</v>
      </c>
      <c r="B375" s="12" t="s">
        <v>48</v>
      </c>
      <c r="C375" s="12" t="s">
        <v>14</v>
      </c>
      <c r="D375" s="19" t="s">
        <v>22</v>
      </c>
      <c r="E375" s="12" t="str">
        <f>IFERROR(__xludf.DUMMYFUNCTION("FILTER(colegios!$B$2:$B5618,colegios!$A$2:$A5618=L375)"),"SAGRADO CORAZON DE JESUS")</f>
        <v>SAGRADO CORAZON DE JESUS</v>
      </c>
      <c r="F375" s="14" t="s">
        <v>16</v>
      </c>
      <c r="G375" s="19" t="s">
        <v>17</v>
      </c>
      <c r="H375" s="12" t="s">
        <v>18</v>
      </c>
      <c r="I375" s="15">
        <v>2024.0</v>
      </c>
      <c r="J375" s="16" t="str">
        <f>IFERROR(__xludf.DUMMYFUNCTION("FILTER('CLASFICACIÓN'!$F$3:$F5618,'CLASFICACIÓN'!$G$3:$G5618=M375)"),"LOS 3 AÑOS")</f>
        <v>LOS 3 AÑOS</v>
      </c>
      <c r="K375" s="16"/>
      <c r="L375" s="12" t="s">
        <v>53</v>
      </c>
      <c r="M375" s="16" t="str">
        <f t="shared" si="1"/>
        <v>SAGRADO CORAZON DE JESUS6 Primaria</v>
      </c>
      <c r="N375" s="17"/>
      <c r="O375" s="17"/>
      <c r="P375" s="17"/>
      <c r="Q375" s="17"/>
      <c r="R375" s="17"/>
      <c r="S375" s="17"/>
      <c r="T375" s="17"/>
    </row>
    <row r="376" ht="15.75" customHeight="1">
      <c r="A376" s="18">
        <v>39.0</v>
      </c>
      <c r="B376" s="12" t="s">
        <v>48</v>
      </c>
      <c r="C376" s="12" t="s">
        <v>14</v>
      </c>
      <c r="D376" s="19" t="s">
        <v>22</v>
      </c>
      <c r="E376" s="12" t="str">
        <f>IFERROR(__xludf.DUMMYFUNCTION("FILTER(colegios!$B$2:$B5618,colegios!$A$2:$A5618=L376)"),"SAGRADO CORAZON DE JESUS")</f>
        <v>SAGRADO CORAZON DE JESUS</v>
      </c>
      <c r="F376" s="14" t="s">
        <v>16</v>
      </c>
      <c r="G376" s="19" t="s">
        <v>17</v>
      </c>
      <c r="H376" s="12" t="s">
        <v>18</v>
      </c>
      <c r="I376" s="15">
        <v>2024.0</v>
      </c>
      <c r="J376" s="16" t="str">
        <f>IFERROR(__xludf.DUMMYFUNCTION("FILTER('CLASFICACIÓN'!$F$3:$F5618,'CLASFICACIÓN'!$G$3:$G5618=M376)"),"LOS 3 AÑOS")</f>
        <v>LOS 3 AÑOS</v>
      </c>
      <c r="K376" s="16"/>
      <c r="L376" s="12" t="s">
        <v>53</v>
      </c>
      <c r="M376" s="16" t="str">
        <f t="shared" si="1"/>
        <v>SAGRADO CORAZON DE JESUS6 Primaria</v>
      </c>
      <c r="N376" s="17"/>
      <c r="O376" s="17"/>
      <c r="P376" s="17"/>
      <c r="Q376" s="17"/>
      <c r="R376" s="17"/>
      <c r="S376" s="17"/>
      <c r="T376" s="17"/>
    </row>
    <row r="377" ht="15.75" customHeight="1">
      <c r="A377" s="18">
        <v>40.0</v>
      </c>
      <c r="B377" s="12" t="s">
        <v>48</v>
      </c>
      <c r="C377" s="12" t="s">
        <v>14</v>
      </c>
      <c r="D377" s="19" t="s">
        <v>22</v>
      </c>
      <c r="E377" s="12" t="str">
        <f>IFERROR(__xludf.DUMMYFUNCTION("FILTER(colegios!$B$2:$B5618,colegios!$A$2:$A5618=L377)"),"SAGRADO CORAZON DE JESUS")</f>
        <v>SAGRADO CORAZON DE JESUS</v>
      </c>
      <c r="F377" s="14" t="s">
        <v>16</v>
      </c>
      <c r="G377" s="19" t="s">
        <v>17</v>
      </c>
      <c r="H377" s="12" t="s">
        <v>24</v>
      </c>
      <c r="I377" s="15">
        <v>2024.0</v>
      </c>
      <c r="J377" s="16" t="str">
        <f>IFERROR(__xludf.DUMMYFUNCTION("FILTER('CLASFICACIÓN'!$F$3:$F5618,'CLASFICACIÓN'!$G$3:$G5618=M377)"),"LOS 3 AÑOS")</f>
        <v>LOS 3 AÑOS</v>
      </c>
      <c r="K377" s="16"/>
      <c r="L377" s="12" t="s">
        <v>53</v>
      </c>
      <c r="M377" s="16" t="str">
        <f t="shared" si="1"/>
        <v>SAGRADO CORAZON DE JESUS6 Primaria</v>
      </c>
      <c r="N377" s="17"/>
      <c r="O377" s="17"/>
      <c r="P377" s="17"/>
      <c r="Q377" s="17"/>
      <c r="R377" s="17"/>
      <c r="S377" s="17"/>
      <c r="T377" s="17"/>
    </row>
    <row r="378" ht="15.75" customHeight="1">
      <c r="A378" s="18">
        <v>41.0</v>
      </c>
      <c r="B378" s="12" t="s">
        <v>48</v>
      </c>
      <c r="C378" s="12" t="s">
        <v>14</v>
      </c>
      <c r="D378" s="19" t="s">
        <v>22</v>
      </c>
      <c r="E378" s="12" t="str">
        <f>IFERROR(__xludf.DUMMYFUNCTION("FILTER(colegios!$B$2:$B5618,colegios!$A$2:$A5618=L378)"),"SAGRADO CORAZON DE JESUS")</f>
        <v>SAGRADO CORAZON DE JESUS</v>
      </c>
      <c r="F378" s="14" t="s">
        <v>16</v>
      </c>
      <c r="G378" s="19" t="s">
        <v>21</v>
      </c>
      <c r="H378" s="12" t="s">
        <v>18</v>
      </c>
      <c r="I378" s="15">
        <v>2024.0</v>
      </c>
      <c r="J378" s="16" t="str">
        <f>IFERROR(__xludf.DUMMYFUNCTION("FILTER('CLASFICACIÓN'!$F$3:$F5618,'CLASFICACIÓN'!$G$3:$G5618=M378)"),"LOS 3 AÑOS")</f>
        <v>LOS 3 AÑOS</v>
      </c>
      <c r="K378" s="16"/>
      <c r="L378" s="12" t="s">
        <v>53</v>
      </c>
      <c r="M378" s="16" t="str">
        <f t="shared" si="1"/>
        <v>SAGRADO CORAZON DE JESUS6 Primaria</v>
      </c>
      <c r="N378" s="17"/>
      <c r="O378" s="17"/>
      <c r="P378" s="17"/>
      <c r="Q378" s="17"/>
      <c r="R378" s="17"/>
      <c r="S378" s="17"/>
      <c r="T378" s="17"/>
    </row>
    <row r="379" ht="15.75" customHeight="1">
      <c r="A379" s="18">
        <v>42.0</v>
      </c>
      <c r="B379" s="12" t="s">
        <v>48</v>
      </c>
      <c r="C379" s="12" t="s">
        <v>14</v>
      </c>
      <c r="D379" s="19" t="s">
        <v>22</v>
      </c>
      <c r="E379" s="12" t="str">
        <f>IFERROR(__xludf.DUMMYFUNCTION("FILTER(colegios!$B$2:$B5618,colegios!$A$2:$A5618=L379)"),"SAGRADO CORAZON DE JESUS")</f>
        <v>SAGRADO CORAZON DE JESUS</v>
      </c>
      <c r="F379" s="14" t="s">
        <v>16</v>
      </c>
      <c r="G379" s="19" t="s">
        <v>21</v>
      </c>
      <c r="H379" s="12" t="s">
        <v>24</v>
      </c>
      <c r="I379" s="15">
        <v>2024.0</v>
      </c>
      <c r="J379" s="16" t="str">
        <f>IFERROR(__xludf.DUMMYFUNCTION("FILTER('CLASFICACIÓN'!$F$3:$F5618,'CLASFICACIÓN'!$G$3:$G5618=M379)"),"LOS 3 AÑOS")</f>
        <v>LOS 3 AÑOS</v>
      </c>
      <c r="K379" s="16"/>
      <c r="L379" s="12" t="s">
        <v>53</v>
      </c>
      <c r="M379" s="16" t="str">
        <f t="shared" si="1"/>
        <v>SAGRADO CORAZON DE JESUS6 Primaria</v>
      </c>
      <c r="N379" s="17"/>
      <c r="O379" s="17"/>
      <c r="P379" s="17"/>
      <c r="Q379" s="17"/>
      <c r="R379" s="17"/>
      <c r="S379" s="17"/>
      <c r="T379" s="17"/>
    </row>
    <row r="380" ht="15.75" customHeight="1">
      <c r="A380" s="18">
        <v>43.0</v>
      </c>
      <c r="B380" s="12" t="s">
        <v>48</v>
      </c>
      <c r="C380" s="12" t="s">
        <v>14</v>
      </c>
      <c r="D380" s="19" t="s">
        <v>22</v>
      </c>
      <c r="E380" s="12" t="str">
        <f>IFERROR(__xludf.DUMMYFUNCTION("FILTER(colegios!$B$2:$B5618,colegios!$A$2:$A5618=L380)"),"SAGRADO CORAZON DE JESUS")</f>
        <v>SAGRADO CORAZON DE JESUS</v>
      </c>
      <c r="F380" s="14" t="s">
        <v>16</v>
      </c>
      <c r="G380" s="19" t="s">
        <v>21</v>
      </c>
      <c r="H380" s="12" t="s">
        <v>18</v>
      </c>
      <c r="I380" s="15">
        <v>2024.0</v>
      </c>
      <c r="J380" s="16" t="str">
        <f>IFERROR(__xludf.DUMMYFUNCTION("FILTER('CLASFICACIÓN'!$F$3:$F5618,'CLASFICACIÓN'!$G$3:$G5618=M380)"),"LOS 3 AÑOS")</f>
        <v>LOS 3 AÑOS</v>
      </c>
      <c r="K380" s="16"/>
      <c r="L380" s="12" t="s">
        <v>53</v>
      </c>
      <c r="M380" s="16" t="str">
        <f t="shared" si="1"/>
        <v>SAGRADO CORAZON DE JESUS6 Primaria</v>
      </c>
      <c r="N380" s="17"/>
      <c r="O380" s="17"/>
      <c r="P380" s="17"/>
      <c r="Q380" s="17"/>
      <c r="R380" s="17"/>
      <c r="S380" s="17"/>
      <c r="T380" s="17"/>
    </row>
    <row r="381" ht="15.75" customHeight="1">
      <c r="A381" s="18">
        <v>44.0</v>
      </c>
      <c r="B381" s="12" t="s">
        <v>48</v>
      </c>
      <c r="C381" s="12" t="s">
        <v>14</v>
      </c>
      <c r="D381" s="19" t="s">
        <v>22</v>
      </c>
      <c r="E381" s="12" t="str">
        <f>IFERROR(__xludf.DUMMYFUNCTION("FILTER(colegios!$B$2:$B5618,colegios!$A$2:$A5618=L381)"),"SAGRADO CORAZON DE JESUS")</f>
        <v>SAGRADO CORAZON DE JESUS</v>
      </c>
      <c r="F381" s="14" t="s">
        <v>16</v>
      </c>
      <c r="G381" s="19" t="s">
        <v>17</v>
      </c>
      <c r="H381" s="12" t="s">
        <v>24</v>
      </c>
      <c r="I381" s="15">
        <v>2024.0</v>
      </c>
      <c r="J381" s="16" t="str">
        <f>IFERROR(__xludf.DUMMYFUNCTION("FILTER('CLASFICACIÓN'!$F$3:$F5618,'CLASFICACIÓN'!$G$3:$G5618=M381)"),"LOS 3 AÑOS")</f>
        <v>LOS 3 AÑOS</v>
      </c>
      <c r="K381" s="16"/>
      <c r="L381" s="12" t="s">
        <v>53</v>
      </c>
      <c r="M381" s="16" t="str">
        <f t="shared" si="1"/>
        <v>SAGRADO CORAZON DE JESUS6 Primaria</v>
      </c>
      <c r="N381" s="17"/>
      <c r="O381" s="17"/>
      <c r="P381" s="17"/>
      <c r="Q381" s="17"/>
      <c r="R381" s="17"/>
      <c r="S381" s="17"/>
      <c r="T381" s="17"/>
    </row>
    <row r="382" ht="15.75" customHeight="1">
      <c r="A382" s="18">
        <v>45.0</v>
      </c>
      <c r="B382" s="12" t="s">
        <v>48</v>
      </c>
      <c r="C382" s="12" t="s">
        <v>14</v>
      </c>
      <c r="D382" s="19" t="s">
        <v>22</v>
      </c>
      <c r="E382" s="12" t="str">
        <f>IFERROR(__xludf.DUMMYFUNCTION("FILTER(colegios!$B$2:$B5618,colegios!$A$2:$A5618=L382)"),"SAGRADO CORAZON DE JESUS")</f>
        <v>SAGRADO CORAZON DE JESUS</v>
      </c>
      <c r="F382" s="14" t="s">
        <v>16</v>
      </c>
      <c r="G382" s="20" t="s">
        <v>17</v>
      </c>
      <c r="H382" s="12" t="s">
        <v>18</v>
      </c>
      <c r="I382" s="15">
        <v>2024.0</v>
      </c>
      <c r="J382" s="16" t="str">
        <f>IFERROR(__xludf.DUMMYFUNCTION("FILTER('CLASFICACIÓN'!$F$3:$F5618,'CLASFICACIÓN'!$G$3:$G5618=M382)"),"LOS 3 AÑOS")</f>
        <v>LOS 3 AÑOS</v>
      </c>
      <c r="K382" s="16"/>
      <c r="L382" s="12" t="s">
        <v>53</v>
      </c>
      <c r="M382" s="16" t="str">
        <f t="shared" si="1"/>
        <v>SAGRADO CORAZON DE JESUS6 Primaria</v>
      </c>
      <c r="N382" s="17"/>
      <c r="O382" s="17"/>
      <c r="P382" s="17"/>
      <c r="Q382" s="17"/>
      <c r="R382" s="17"/>
      <c r="S382" s="17"/>
      <c r="T382" s="17"/>
    </row>
    <row r="383" ht="15.75" customHeight="1">
      <c r="A383" s="18">
        <v>46.0</v>
      </c>
      <c r="B383" s="12" t="s">
        <v>48</v>
      </c>
      <c r="C383" s="12" t="s">
        <v>14</v>
      </c>
      <c r="D383" s="19" t="s">
        <v>22</v>
      </c>
      <c r="E383" s="12" t="str">
        <f>IFERROR(__xludf.DUMMYFUNCTION("FILTER(colegios!$B$2:$B5618,colegios!$A$2:$A5618=L383)"),"20123")</f>
        <v>20123</v>
      </c>
      <c r="F383" s="14" t="s">
        <v>16</v>
      </c>
      <c r="G383" s="20" t="s">
        <v>17</v>
      </c>
      <c r="H383" s="12" t="s">
        <v>18</v>
      </c>
      <c r="I383" s="15">
        <v>2024.0</v>
      </c>
      <c r="J383" s="16" t="str">
        <f>IFERROR(__xludf.DUMMYFUNCTION("FILTER('CLASFICACIÓN'!$F$3:$F5618,'CLASFICACIÓN'!$G$3:$G5618=M383)"),"SOLO 2024")</f>
        <v>SOLO 2024</v>
      </c>
      <c r="K383" s="16"/>
      <c r="L383" s="12" t="s">
        <v>54</v>
      </c>
      <c r="M383" s="16" t="str">
        <f t="shared" si="1"/>
        <v>201236 Primaria</v>
      </c>
      <c r="N383" s="17"/>
      <c r="O383" s="17"/>
      <c r="P383" s="17"/>
      <c r="Q383" s="17"/>
      <c r="R383" s="17"/>
      <c r="S383" s="17"/>
      <c r="T383" s="17"/>
    </row>
    <row r="384" ht="15.75" customHeight="1">
      <c r="A384" s="18">
        <v>47.0</v>
      </c>
      <c r="B384" s="12" t="s">
        <v>48</v>
      </c>
      <c r="C384" s="12" t="s">
        <v>14</v>
      </c>
      <c r="D384" s="19" t="s">
        <v>22</v>
      </c>
      <c r="E384" s="12" t="str">
        <f>IFERROR(__xludf.DUMMYFUNCTION("FILTER(colegios!$B$2:$B5618,colegios!$A$2:$A5618=L384)"),"20123")</f>
        <v>20123</v>
      </c>
      <c r="F384" s="14" t="s">
        <v>16</v>
      </c>
      <c r="G384" s="20" t="s">
        <v>21</v>
      </c>
      <c r="H384" s="12" t="s">
        <v>18</v>
      </c>
      <c r="I384" s="15">
        <v>2024.0</v>
      </c>
      <c r="J384" s="16" t="str">
        <f>IFERROR(__xludf.DUMMYFUNCTION("FILTER('CLASFICACIÓN'!$F$3:$F5618,'CLASFICACIÓN'!$G$3:$G5618=M384)"),"SOLO 2024")</f>
        <v>SOLO 2024</v>
      </c>
      <c r="K384" s="16"/>
      <c r="L384" s="12" t="s">
        <v>54</v>
      </c>
      <c r="M384" s="16" t="str">
        <f t="shared" si="1"/>
        <v>201236 Primaria</v>
      </c>
      <c r="N384" s="17"/>
      <c r="O384" s="17"/>
      <c r="P384" s="17"/>
      <c r="Q384" s="17"/>
      <c r="R384" s="17"/>
      <c r="S384" s="17"/>
      <c r="T384" s="17"/>
    </row>
    <row r="385" ht="15.75" customHeight="1">
      <c r="A385" s="18">
        <v>48.0</v>
      </c>
      <c r="B385" s="12" t="s">
        <v>48</v>
      </c>
      <c r="C385" s="12" t="s">
        <v>14</v>
      </c>
      <c r="D385" s="19" t="s">
        <v>22</v>
      </c>
      <c r="E385" s="12" t="str">
        <f>IFERROR(__xludf.DUMMYFUNCTION("FILTER(colegios!$B$2:$B5618,colegios!$A$2:$A5618=L385)"),"14144 SANTA ROSA")</f>
        <v>14144 SANTA ROSA</v>
      </c>
      <c r="F385" s="14" t="s">
        <v>16</v>
      </c>
      <c r="G385" s="20" t="s">
        <v>17</v>
      </c>
      <c r="H385" s="12" t="s">
        <v>18</v>
      </c>
      <c r="I385" s="15">
        <v>2024.0</v>
      </c>
      <c r="J385" s="16" t="str">
        <f>IFERROR(__xludf.DUMMYFUNCTION("FILTER('CLASFICACIÓN'!$F$3:$F5618,'CLASFICACIÓN'!$G$3:$G5618=M385)"),"LOS 3 AÑOS")</f>
        <v>LOS 3 AÑOS</v>
      </c>
      <c r="K385" s="16"/>
      <c r="L385" s="12" t="s">
        <v>55</v>
      </c>
      <c r="M385" s="16" t="str">
        <f t="shared" si="1"/>
        <v>14144 SANTA ROSA6 Primaria</v>
      </c>
      <c r="N385" s="17"/>
      <c r="O385" s="17"/>
      <c r="P385" s="17"/>
      <c r="Q385" s="17"/>
      <c r="R385" s="17"/>
      <c r="S385" s="17"/>
      <c r="T385" s="17"/>
    </row>
    <row r="386" ht="15.75" customHeight="1">
      <c r="A386" s="18">
        <v>49.0</v>
      </c>
      <c r="B386" s="12" t="s">
        <v>48</v>
      </c>
      <c r="C386" s="12" t="s">
        <v>14</v>
      </c>
      <c r="D386" s="19" t="s">
        <v>22</v>
      </c>
      <c r="E386" s="12" t="str">
        <f>IFERROR(__xludf.DUMMYFUNCTION("FILTER(colegios!$B$2:$B5618,colegios!$A$2:$A5618=L386)"),"14144 SANTA ROSA")</f>
        <v>14144 SANTA ROSA</v>
      </c>
      <c r="F386" s="14" t="s">
        <v>16</v>
      </c>
      <c r="G386" s="20" t="s">
        <v>17</v>
      </c>
      <c r="H386" s="12" t="s">
        <v>18</v>
      </c>
      <c r="I386" s="15">
        <v>2024.0</v>
      </c>
      <c r="J386" s="16" t="str">
        <f>IFERROR(__xludf.DUMMYFUNCTION("FILTER('CLASFICACIÓN'!$F$3:$F5618,'CLASFICACIÓN'!$G$3:$G5618=M386)"),"LOS 3 AÑOS")</f>
        <v>LOS 3 AÑOS</v>
      </c>
      <c r="K386" s="16"/>
      <c r="L386" s="12" t="s">
        <v>55</v>
      </c>
      <c r="M386" s="16" t="str">
        <f t="shared" si="1"/>
        <v>14144 SANTA ROSA6 Primaria</v>
      </c>
      <c r="N386" s="17"/>
      <c r="O386" s="17"/>
      <c r="P386" s="17"/>
      <c r="Q386" s="17"/>
      <c r="R386" s="17"/>
      <c r="S386" s="17"/>
      <c r="T386" s="17"/>
    </row>
    <row r="387" ht="15.75" customHeight="1">
      <c r="A387" s="18">
        <v>50.0</v>
      </c>
      <c r="B387" s="12" t="s">
        <v>48</v>
      </c>
      <c r="C387" s="12" t="s">
        <v>14</v>
      </c>
      <c r="D387" s="19" t="s">
        <v>22</v>
      </c>
      <c r="E387" s="12" t="str">
        <f>IFERROR(__xludf.DUMMYFUNCTION("FILTER(colegios!$B$2:$B5618,colegios!$A$2:$A5618=L387)"),"14144 SANTA ROSA")</f>
        <v>14144 SANTA ROSA</v>
      </c>
      <c r="F387" s="14" t="s">
        <v>16</v>
      </c>
      <c r="G387" s="19" t="s">
        <v>17</v>
      </c>
      <c r="H387" s="12" t="s">
        <v>24</v>
      </c>
      <c r="I387" s="15">
        <v>2024.0</v>
      </c>
      <c r="J387" s="16" t="str">
        <f>IFERROR(__xludf.DUMMYFUNCTION("FILTER('CLASFICACIÓN'!$F$3:$F5618,'CLASFICACIÓN'!$G$3:$G5618=M387)"),"LOS 3 AÑOS")</f>
        <v>LOS 3 AÑOS</v>
      </c>
      <c r="K387" s="16"/>
      <c r="L387" s="12" t="s">
        <v>55</v>
      </c>
      <c r="M387" s="16" t="str">
        <f t="shared" si="1"/>
        <v>14144 SANTA ROSA6 Primaria</v>
      </c>
      <c r="N387" s="17"/>
      <c r="O387" s="17"/>
      <c r="P387" s="17"/>
      <c r="Q387" s="17"/>
      <c r="R387" s="17"/>
      <c r="S387" s="17"/>
      <c r="T387" s="17"/>
    </row>
    <row r="388" ht="15.75" customHeight="1">
      <c r="A388" s="18">
        <v>51.0</v>
      </c>
      <c r="B388" s="12" t="s">
        <v>48</v>
      </c>
      <c r="C388" s="12" t="s">
        <v>14</v>
      </c>
      <c r="D388" s="19" t="s">
        <v>22</v>
      </c>
      <c r="E388" s="12" t="str">
        <f>IFERROR(__xludf.DUMMYFUNCTION("FILTER(colegios!$B$2:$B5618,colegios!$A$2:$A5618=L388)"),"14144 SANTA ROSA")</f>
        <v>14144 SANTA ROSA</v>
      </c>
      <c r="F388" s="14" t="s">
        <v>16</v>
      </c>
      <c r="G388" s="19" t="s">
        <v>17</v>
      </c>
      <c r="H388" s="12" t="s">
        <v>18</v>
      </c>
      <c r="I388" s="15">
        <v>2024.0</v>
      </c>
      <c r="J388" s="16" t="str">
        <f>IFERROR(__xludf.DUMMYFUNCTION("FILTER('CLASFICACIÓN'!$F$3:$F5618,'CLASFICACIÓN'!$G$3:$G5618=M388)"),"LOS 3 AÑOS")</f>
        <v>LOS 3 AÑOS</v>
      </c>
      <c r="K388" s="16"/>
      <c r="L388" s="12" t="s">
        <v>55</v>
      </c>
      <c r="M388" s="16" t="str">
        <f t="shared" si="1"/>
        <v>14144 SANTA ROSA6 Primaria</v>
      </c>
      <c r="N388" s="17"/>
      <c r="O388" s="17"/>
      <c r="P388" s="17"/>
      <c r="Q388" s="17"/>
      <c r="R388" s="17"/>
      <c r="S388" s="17"/>
      <c r="T388" s="17"/>
    </row>
    <row r="389" ht="15.75" customHeight="1">
      <c r="A389" s="18">
        <v>52.0</v>
      </c>
      <c r="B389" s="12" t="s">
        <v>48</v>
      </c>
      <c r="C389" s="12" t="s">
        <v>14</v>
      </c>
      <c r="D389" s="19" t="s">
        <v>22</v>
      </c>
      <c r="E389" s="12" t="str">
        <f>IFERROR(__xludf.DUMMYFUNCTION("FILTER(colegios!$B$2:$B5618,colegios!$A$2:$A5618=L389)"),"14144 SANTA ROSA")</f>
        <v>14144 SANTA ROSA</v>
      </c>
      <c r="F389" s="14" t="s">
        <v>16</v>
      </c>
      <c r="G389" s="20" t="s">
        <v>21</v>
      </c>
      <c r="H389" s="12" t="s">
        <v>18</v>
      </c>
      <c r="I389" s="15">
        <v>2024.0</v>
      </c>
      <c r="J389" s="16" t="str">
        <f>IFERROR(__xludf.DUMMYFUNCTION("FILTER('CLASFICACIÓN'!$F$3:$F5618,'CLASFICACIÓN'!$G$3:$G5618=M389)"),"LOS 3 AÑOS")</f>
        <v>LOS 3 AÑOS</v>
      </c>
      <c r="K389" s="16"/>
      <c r="L389" s="12" t="s">
        <v>55</v>
      </c>
      <c r="M389" s="16" t="str">
        <f t="shared" si="1"/>
        <v>14144 SANTA ROSA6 Primaria</v>
      </c>
      <c r="N389" s="17"/>
      <c r="O389" s="17"/>
      <c r="P389" s="17"/>
      <c r="Q389" s="17"/>
      <c r="R389" s="17"/>
      <c r="S389" s="17"/>
      <c r="T389" s="17"/>
    </row>
    <row r="390" ht="15.75" customHeight="1">
      <c r="A390" s="18">
        <v>53.0</v>
      </c>
      <c r="B390" s="12" t="s">
        <v>48</v>
      </c>
      <c r="C390" s="12" t="s">
        <v>14</v>
      </c>
      <c r="D390" s="19" t="s">
        <v>22</v>
      </c>
      <c r="E390" s="12" t="str">
        <f>IFERROR(__xludf.DUMMYFUNCTION("FILTER(colegios!$B$2:$B5618,colegios!$A$2:$A5618=L390)"),"14144 SANTA ROSA")</f>
        <v>14144 SANTA ROSA</v>
      </c>
      <c r="F390" s="14" t="s">
        <v>16</v>
      </c>
      <c r="G390" s="19" t="s">
        <v>17</v>
      </c>
      <c r="H390" s="12" t="s">
        <v>24</v>
      </c>
      <c r="I390" s="15">
        <v>2024.0</v>
      </c>
      <c r="J390" s="16" t="str">
        <f>IFERROR(__xludf.DUMMYFUNCTION("FILTER('CLASFICACIÓN'!$F$3:$F5618,'CLASFICACIÓN'!$G$3:$G5618=M390)"),"LOS 3 AÑOS")</f>
        <v>LOS 3 AÑOS</v>
      </c>
      <c r="K390" s="16"/>
      <c r="L390" s="12" t="s">
        <v>55</v>
      </c>
      <c r="M390" s="16" t="str">
        <f t="shared" si="1"/>
        <v>14144 SANTA ROSA6 Primaria</v>
      </c>
      <c r="N390" s="17"/>
      <c r="O390" s="17"/>
      <c r="P390" s="17"/>
      <c r="Q390" s="17"/>
      <c r="R390" s="17"/>
      <c r="S390" s="17"/>
      <c r="T390" s="17"/>
    </row>
    <row r="391" ht="15.75" customHeight="1">
      <c r="A391" s="18">
        <v>54.0</v>
      </c>
      <c r="B391" s="12" t="s">
        <v>48</v>
      </c>
      <c r="C391" s="12" t="s">
        <v>14</v>
      </c>
      <c r="D391" s="19" t="s">
        <v>22</v>
      </c>
      <c r="E391" s="12" t="str">
        <f>IFERROR(__xludf.DUMMYFUNCTION("FILTER(colegios!$B$2:$B5618,colegios!$A$2:$A5618=L391)"),"14144 SANTA ROSA")</f>
        <v>14144 SANTA ROSA</v>
      </c>
      <c r="F391" s="14" t="s">
        <v>16</v>
      </c>
      <c r="G391" s="19" t="s">
        <v>21</v>
      </c>
      <c r="H391" s="12" t="s">
        <v>18</v>
      </c>
      <c r="I391" s="15">
        <v>2024.0</v>
      </c>
      <c r="J391" s="16" t="str">
        <f>IFERROR(__xludf.DUMMYFUNCTION("FILTER('CLASFICACIÓN'!$F$3:$F5618,'CLASFICACIÓN'!$G$3:$G5618=M391)"),"LOS 3 AÑOS")</f>
        <v>LOS 3 AÑOS</v>
      </c>
      <c r="K391" s="16"/>
      <c r="L391" s="12" t="s">
        <v>55</v>
      </c>
      <c r="M391" s="16" t="str">
        <f t="shared" si="1"/>
        <v>14144 SANTA ROSA6 Primaria</v>
      </c>
      <c r="N391" s="17"/>
      <c r="O391" s="17"/>
      <c r="P391" s="17"/>
      <c r="Q391" s="17"/>
      <c r="R391" s="17"/>
      <c r="S391" s="17"/>
      <c r="T391" s="17"/>
    </row>
    <row r="392" ht="15.75" customHeight="1">
      <c r="A392" s="18">
        <v>55.0</v>
      </c>
      <c r="B392" s="12" t="s">
        <v>48</v>
      </c>
      <c r="C392" s="12" t="s">
        <v>14</v>
      </c>
      <c r="D392" s="19" t="s">
        <v>22</v>
      </c>
      <c r="E392" s="12" t="str">
        <f>IFERROR(__xludf.DUMMYFUNCTION("FILTER(colegios!$B$2:$B5618,colegios!$A$2:$A5618=L392)"),"14144 SANTA ROSA")</f>
        <v>14144 SANTA ROSA</v>
      </c>
      <c r="F392" s="14" t="s">
        <v>16</v>
      </c>
      <c r="G392" s="19" t="s">
        <v>17</v>
      </c>
      <c r="H392" s="12" t="s">
        <v>24</v>
      </c>
      <c r="I392" s="15">
        <v>2024.0</v>
      </c>
      <c r="J392" s="16" t="str">
        <f>IFERROR(__xludf.DUMMYFUNCTION("FILTER('CLASFICACIÓN'!$F$3:$F5618,'CLASFICACIÓN'!$G$3:$G5618=M392)"),"LOS 3 AÑOS")</f>
        <v>LOS 3 AÑOS</v>
      </c>
      <c r="K392" s="16"/>
      <c r="L392" s="12" t="s">
        <v>55</v>
      </c>
      <c r="M392" s="16" t="str">
        <f t="shared" si="1"/>
        <v>14144 SANTA ROSA6 Primaria</v>
      </c>
      <c r="N392" s="17"/>
      <c r="O392" s="17"/>
      <c r="P392" s="17"/>
      <c r="Q392" s="17"/>
      <c r="R392" s="17"/>
      <c r="S392" s="17"/>
      <c r="T392" s="17"/>
    </row>
    <row r="393" ht="15.75" customHeight="1">
      <c r="A393" s="18">
        <v>56.0</v>
      </c>
      <c r="B393" s="12" t="s">
        <v>48</v>
      </c>
      <c r="C393" s="12" t="s">
        <v>14</v>
      </c>
      <c r="D393" s="19" t="s">
        <v>22</v>
      </c>
      <c r="E393" s="12" t="str">
        <f>IFERROR(__xludf.DUMMYFUNCTION("FILTER(colegios!$B$2:$B5618,colegios!$A$2:$A5618=L393)"),"14144 SANTA ROSA")</f>
        <v>14144 SANTA ROSA</v>
      </c>
      <c r="F393" s="14" t="s">
        <v>16</v>
      </c>
      <c r="G393" s="19" t="s">
        <v>17</v>
      </c>
      <c r="H393" s="12" t="s">
        <v>24</v>
      </c>
      <c r="I393" s="15">
        <v>2024.0</v>
      </c>
      <c r="J393" s="16" t="str">
        <f>IFERROR(__xludf.DUMMYFUNCTION("FILTER('CLASFICACIÓN'!$F$3:$F5618,'CLASFICACIÓN'!$G$3:$G5618=M393)"),"LOS 3 AÑOS")</f>
        <v>LOS 3 AÑOS</v>
      </c>
      <c r="K393" s="16"/>
      <c r="L393" s="12" t="s">
        <v>55</v>
      </c>
      <c r="M393" s="16" t="str">
        <f t="shared" si="1"/>
        <v>14144 SANTA ROSA6 Primaria</v>
      </c>
      <c r="N393" s="17"/>
      <c r="O393" s="17"/>
      <c r="P393" s="17"/>
      <c r="Q393" s="17"/>
      <c r="R393" s="17"/>
      <c r="S393" s="17"/>
      <c r="T393" s="17"/>
    </row>
    <row r="394" ht="15.75" customHeight="1">
      <c r="A394" s="18">
        <v>57.0</v>
      </c>
      <c r="B394" s="12" t="s">
        <v>48</v>
      </c>
      <c r="C394" s="12" t="s">
        <v>14</v>
      </c>
      <c r="D394" s="19" t="s">
        <v>22</v>
      </c>
      <c r="E394" s="12" t="str">
        <f>IFERROR(__xludf.DUMMYFUNCTION("FILTER(colegios!$B$2:$B5618,colegios!$A$2:$A5618=L394)"),"14144 SANTA ROSA")</f>
        <v>14144 SANTA ROSA</v>
      </c>
      <c r="F394" s="14" t="s">
        <v>16</v>
      </c>
      <c r="G394" s="19" t="s">
        <v>21</v>
      </c>
      <c r="H394" s="12" t="s">
        <v>24</v>
      </c>
      <c r="I394" s="15">
        <v>2024.0</v>
      </c>
      <c r="J394" s="16" t="str">
        <f>IFERROR(__xludf.DUMMYFUNCTION("FILTER('CLASFICACIÓN'!$F$3:$F5618,'CLASFICACIÓN'!$G$3:$G5618=M394)"),"LOS 3 AÑOS")</f>
        <v>LOS 3 AÑOS</v>
      </c>
      <c r="K394" s="16"/>
      <c r="L394" s="12" t="s">
        <v>55</v>
      </c>
      <c r="M394" s="16" t="str">
        <f t="shared" si="1"/>
        <v>14144 SANTA ROSA6 Primaria</v>
      </c>
      <c r="N394" s="17"/>
      <c r="O394" s="17"/>
      <c r="P394" s="17"/>
      <c r="Q394" s="17"/>
      <c r="R394" s="17"/>
      <c r="S394" s="17"/>
      <c r="T394" s="17"/>
    </row>
    <row r="395" ht="15.75" customHeight="1">
      <c r="A395" s="18">
        <v>58.0</v>
      </c>
      <c r="B395" s="12" t="s">
        <v>48</v>
      </c>
      <c r="C395" s="12" t="s">
        <v>14</v>
      </c>
      <c r="D395" s="19" t="s">
        <v>22</v>
      </c>
      <c r="E395" s="12" t="str">
        <f>IFERROR(__xludf.DUMMYFUNCTION("FILTER(colegios!$B$2:$B5618,colegios!$A$2:$A5618=L395)"),"14144 SANTA ROSA")</f>
        <v>14144 SANTA ROSA</v>
      </c>
      <c r="F395" s="14" t="s">
        <v>16</v>
      </c>
      <c r="G395" s="19" t="s">
        <v>17</v>
      </c>
      <c r="H395" s="12" t="s">
        <v>18</v>
      </c>
      <c r="I395" s="15">
        <v>2024.0</v>
      </c>
      <c r="J395" s="16" t="str">
        <f>IFERROR(__xludf.DUMMYFUNCTION("FILTER('CLASFICACIÓN'!$F$3:$F5618,'CLASFICACIÓN'!$G$3:$G5618=M395)"),"LOS 3 AÑOS")</f>
        <v>LOS 3 AÑOS</v>
      </c>
      <c r="K395" s="16"/>
      <c r="L395" s="12" t="s">
        <v>55</v>
      </c>
      <c r="M395" s="16" t="str">
        <f t="shared" si="1"/>
        <v>14144 SANTA ROSA6 Primaria</v>
      </c>
      <c r="N395" s="17"/>
      <c r="O395" s="17"/>
      <c r="P395" s="17"/>
      <c r="Q395" s="17"/>
      <c r="R395" s="17"/>
      <c r="S395" s="17"/>
      <c r="T395" s="17"/>
    </row>
    <row r="396" ht="15.75" customHeight="1">
      <c r="A396" s="18">
        <v>59.0</v>
      </c>
      <c r="B396" s="12" t="s">
        <v>48</v>
      </c>
      <c r="C396" s="12" t="s">
        <v>14</v>
      </c>
      <c r="D396" s="19" t="s">
        <v>22</v>
      </c>
      <c r="E396" s="12" t="str">
        <f>IFERROR(__xludf.DUMMYFUNCTION("FILTER(colegios!$B$2:$B5618,colegios!$A$2:$A5618=L396)"),"14144 SANTA ROSA")</f>
        <v>14144 SANTA ROSA</v>
      </c>
      <c r="F396" s="14" t="s">
        <v>16</v>
      </c>
      <c r="G396" s="19" t="s">
        <v>21</v>
      </c>
      <c r="H396" s="12" t="s">
        <v>18</v>
      </c>
      <c r="I396" s="15">
        <v>2024.0</v>
      </c>
      <c r="J396" s="16" t="str">
        <f>IFERROR(__xludf.DUMMYFUNCTION("FILTER('CLASFICACIÓN'!$F$3:$F5618,'CLASFICACIÓN'!$G$3:$G5618=M396)"),"LOS 3 AÑOS")</f>
        <v>LOS 3 AÑOS</v>
      </c>
      <c r="K396" s="16"/>
      <c r="L396" s="12" t="s">
        <v>55</v>
      </c>
      <c r="M396" s="16" t="str">
        <f t="shared" si="1"/>
        <v>14144 SANTA ROSA6 Primaria</v>
      </c>
      <c r="N396" s="17"/>
      <c r="O396" s="17"/>
      <c r="P396" s="17"/>
      <c r="Q396" s="17"/>
      <c r="R396" s="17"/>
      <c r="S396" s="17"/>
      <c r="T396" s="17"/>
    </row>
    <row r="397" ht="15.75" customHeight="1">
      <c r="A397" s="18">
        <v>60.0</v>
      </c>
      <c r="B397" s="12" t="s">
        <v>48</v>
      </c>
      <c r="C397" s="12" t="s">
        <v>14</v>
      </c>
      <c r="D397" s="19" t="s">
        <v>22</v>
      </c>
      <c r="E397" s="12" t="str">
        <f>IFERROR(__xludf.DUMMYFUNCTION("FILTER(colegios!$B$2:$B5618,colegios!$A$2:$A5618=L397)"),"14144 SANTA ROSA")</f>
        <v>14144 SANTA ROSA</v>
      </c>
      <c r="F397" s="14" t="s">
        <v>16</v>
      </c>
      <c r="G397" s="20" t="s">
        <v>21</v>
      </c>
      <c r="H397" s="12" t="s">
        <v>18</v>
      </c>
      <c r="I397" s="15">
        <v>2024.0</v>
      </c>
      <c r="J397" s="16" t="str">
        <f>IFERROR(__xludf.DUMMYFUNCTION("FILTER('CLASFICACIÓN'!$F$3:$F5618,'CLASFICACIÓN'!$G$3:$G5618=M397)"),"LOS 3 AÑOS")</f>
        <v>LOS 3 AÑOS</v>
      </c>
      <c r="K397" s="16"/>
      <c r="L397" s="12" t="s">
        <v>55</v>
      </c>
      <c r="M397" s="16" t="str">
        <f t="shared" si="1"/>
        <v>14144 SANTA ROSA6 Primaria</v>
      </c>
      <c r="N397" s="17"/>
      <c r="O397" s="17"/>
      <c r="P397" s="17"/>
      <c r="Q397" s="17"/>
      <c r="R397" s="17"/>
      <c r="S397" s="17"/>
      <c r="T397" s="17"/>
    </row>
    <row r="398" ht="15.75" customHeight="1">
      <c r="A398" s="18">
        <v>61.0</v>
      </c>
      <c r="B398" s="12" t="s">
        <v>48</v>
      </c>
      <c r="C398" s="12" t="s">
        <v>14</v>
      </c>
      <c r="D398" s="19" t="s">
        <v>22</v>
      </c>
      <c r="E398" s="12" t="str">
        <f>IFERROR(__xludf.DUMMYFUNCTION("FILTER(colegios!$B$2:$B5618,colegios!$A$2:$A5618=L398)"),"14144 SANTA ROSA")</f>
        <v>14144 SANTA ROSA</v>
      </c>
      <c r="F398" s="14" t="s">
        <v>16</v>
      </c>
      <c r="G398" s="19" t="s">
        <v>21</v>
      </c>
      <c r="H398" s="12" t="s">
        <v>18</v>
      </c>
      <c r="I398" s="15">
        <v>2024.0</v>
      </c>
      <c r="J398" s="16" t="str">
        <f>IFERROR(__xludf.DUMMYFUNCTION("FILTER('CLASFICACIÓN'!$F$3:$F5618,'CLASFICACIÓN'!$G$3:$G5618=M398)"),"LOS 3 AÑOS")</f>
        <v>LOS 3 AÑOS</v>
      </c>
      <c r="K398" s="16"/>
      <c r="L398" s="12" t="s">
        <v>55</v>
      </c>
      <c r="M398" s="16" t="str">
        <f t="shared" si="1"/>
        <v>14144 SANTA ROSA6 Primaria</v>
      </c>
      <c r="N398" s="17"/>
      <c r="O398" s="17"/>
      <c r="P398" s="17"/>
      <c r="Q398" s="17"/>
      <c r="R398" s="17"/>
      <c r="S398" s="17"/>
      <c r="T398" s="17"/>
    </row>
    <row r="399" ht="15.75" customHeight="1">
      <c r="A399" s="18">
        <v>62.0</v>
      </c>
      <c r="B399" s="12" t="s">
        <v>48</v>
      </c>
      <c r="C399" s="12" t="s">
        <v>14</v>
      </c>
      <c r="D399" s="19" t="s">
        <v>22</v>
      </c>
      <c r="E399" s="12" t="str">
        <f>IFERROR(__xludf.DUMMYFUNCTION("FILTER(colegios!$B$2:$B5618,colegios!$A$2:$A5618=L399)"),"14144 SANTA ROSA")</f>
        <v>14144 SANTA ROSA</v>
      </c>
      <c r="F399" s="14" t="s">
        <v>16</v>
      </c>
      <c r="G399" s="19" t="s">
        <v>21</v>
      </c>
      <c r="H399" s="12" t="s">
        <v>18</v>
      </c>
      <c r="I399" s="15">
        <v>2024.0</v>
      </c>
      <c r="J399" s="16" t="str">
        <f>IFERROR(__xludf.DUMMYFUNCTION("FILTER('CLASFICACIÓN'!$F$3:$F5618,'CLASFICACIÓN'!$G$3:$G5618=M399)"),"LOS 3 AÑOS")</f>
        <v>LOS 3 AÑOS</v>
      </c>
      <c r="K399" s="16"/>
      <c r="L399" s="12" t="s">
        <v>55</v>
      </c>
      <c r="M399" s="16" t="str">
        <f t="shared" si="1"/>
        <v>14144 SANTA ROSA6 Primaria</v>
      </c>
      <c r="N399" s="17"/>
      <c r="O399" s="17"/>
      <c r="P399" s="17"/>
      <c r="Q399" s="17"/>
      <c r="R399" s="17"/>
      <c r="S399" s="17"/>
      <c r="T399" s="17"/>
    </row>
    <row r="400" ht="15.75" customHeight="1">
      <c r="A400" s="18">
        <v>63.0</v>
      </c>
      <c r="B400" s="12" t="s">
        <v>48</v>
      </c>
      <c r="C400" s="12" t="s">
        <v>14</v>
      </c>
      <c r="D400" s="19" t="s">
        <v>22</v>
      </c>
      <c r="E400" s="12" t="str">
        <f>IFERROR(__xludf.DUMMYFUNCTION("FILTER(colegios!$B$2:$B5618,colegios!$A$2:$A5618=L400)"),"14144 SANTA ROSA")</f>
        <v>14144 SANTA ROSA</v>
      </c>
      <c r="F400" s="14" t="s">
        <v>16</v>
      </c>
      <c r="G400" s="20" t="s">
        <v>21</v>
      </c>
      <c r="H400" s="12" t="s">
        <v>24</v>
      </c>
      <c r="I400" s="15">
        <v>2024.0</v>
      </c>
      <c r="J400" s="16" t="str">
        <f>IFERROR(__xludf.DUMMYFUNCTION("FILTER('CLASFICACIÓN'!$F$3:$F5618,'CLASFICACIÓN'!$G$3:$G5618=M400)"),"LOS 3 AÑOS")</f>
        <v>LOS 3 AÑOS</v>
      </c>
      <c r="K400" s="16"/>
      <c r="L400" s="12" t="s">
        <v>55</v>
      </c>
      <c r="M400" s="16" t="str">
        <f t="shared" si="1"/>
        <v>14144 SANTA ROSA6 Primaria</v>
      </c>
      <c r="N400" s="17"/>
      <c r="O400" s="17"/>
      <c r="P400" s="17"/>
      <c r="Q400" s="17"/>
      <c r="R400" s="17"/>
      <c r="S400" s="17"/>
      <c r="T400" s="17"/>
    </row>
    <row r="401" ht="15.75" customHeight="1">
      <c r="A401" s="18">
        <v>64.0</v>
      </c>
      <c r="B401" s="12" t="s">
        <v>48</v>
      </c>
      <c r="C401" s="12" t="s">
        <v>14</v>
      </c>
      <c r="D401" s="19" t="s">
        <v>22</v>
      </c>
      <c r="E401" s="12" t="str">
        <f>IFERROR(__xludf.DUMMYFUNCTION("FILTER(colegios!$B$2:$B5618,colegios!$A$2:$A5618=L401)"),"14144 SANTA ROSA")</f>
        <v>14144 SANTA ROSA</v>
      </c>
      <c r="F401" s="14" t="s">
        <v>16</v>
      </c>
      <c r="G401" s="19" t="s">
        <v>21</v>
      </c>
      <c r="H401" s="12" t="s">
        <v>18</v>
      </c>
      <c r="I401" s="15">
        <v>2024.0</v>
      </c>
      <c r="J401" s="16" t="str">
        <f>IFERROR(__xludf.DUMMYFUNCTION("FILTER('CLASFICACIÓN'!$F$3:$F5618,'CLASFICACIÓN'!$G$3:$G5618=M401)"),"LOS 3 AÑOS")</f>
        <v>LOS 3 AÑOS</v>
      </c>
      <c r="K401" s="16"/>
      <c r="L401" s="12" t="s">
        <v>55</v>
      </c>
      <c r="M401" s="16" t="str">
        <f t="shared" si="1"/>
        <v>14144 SANTA ROSA6 Primaria</v>
      </c>
      <c r="N401" s="17"/>
      <c r="O401" s="17"/>
      <c r="P401" s="17"/>
      <c r="Q401" s="17"/>
      <c r="R401" s="17"/>
      <c r="S401" s="17"/>
      <c r="T401" s="17"/>
    </row>
    <row r="402" ht="15.75" customHeight="1">
      <c r="A402" s="18">
        <v>65.0</v>
      </c>
      <c r="B402" s="12" t="s">
        <v>48</v>
      </c>
      <c r="C402" s="12" t="s">
        <v>14</v>
      </c>
      <c r="D402" s="19" t="s">
        <v>22</v>
      </c>
      <c r="E402" s="12" t="str">
        <f>IFERROR(__xludf.DUMMYFUNCTION("FILTER(colegios!$B$2:$B5618,colegios!$A$2:$A5618=L402)"),"14144 SANTA ROSA")</f>
        <v>14144 SANTA ROSA</v>
      </c>
      <c r="F402" s="14" t="s">
        <v>16</v>
      </c>
      <c r="G402" s="20" t="s">
        <v>21</v>
      </c>
      <c r="H402" s="12" t="s">
        <v>24</v>
      </c>
      <c r="I402" s="15">
        <v>2024.0</v>
      </c>
      <c r="J402" s="16" t="str">
        <f>IFERROR(__xludf.DUMMYFUNCTION("FILTER('CLASFICACIÓN'!$F$3:$F5618,'CLASFICACIÓN'!$G$3:$G5618=M402)"),"LOS 3 AÑOS")</f>
        <v>LOS 3 AÑOS</v>
      </c>
      <c r="K402" s="16"/>
      <c r="L402" s="12" t="s">
        <v>55</v>
      </c>
      <c r="M402" s="16" t="str">
        <f t="shared" si="1"/>
        <v>14144 SANTA ROSA6 Primaria</v>
      </c>
      <c r="N402" s="17"/>
      <c r="O402" s="17"/>
      <c r="P402" s="17"/>
      <c r="Q402" s="17"/>
      <c r="R402" s="17"/>
      <c r="S402" s="17"/>
      <c r="T402" s="17"/>
    </row>
    <row r="403" ht="15.75" customHeight="1">
      <c r="A403" s="18">
        <v>66.0</v>
      </c>
      <c r="B403" s="12" t="s">
        <v>48</v>
      </c>
      <c r="C403" s="12" t="s">
        <v>14</v>
      </c>
      <c r="D403" s="19" t="s">
        <v>22</v>
      </c>
      <c r="E403" s="12" t="str">
        <f>IFERROR(__xludf.DUMMYFUNCTION("FILTER(colegios!$B$2:$B5618,colegios!$A$2:$A5618=L403)"),"14144 SANTA ROSA")</f>
        <v>14144 SANTA ROSA</v>
      </c>
      <c r="F403" s="14" t="s">
        <v>16</v>
      </c>
      <c r="G403" s="19" t="s">
        <v>17</v>
      </c>
      <c r="H403" s="12" t="s">
        <v>18</v>
      </c>
      <c r="I403" s="15">
        <v>2024.0</v>
      </c>
      <c r="J403" s="16" t="str">
        <f>IFERROR(__xludf.DUMMYFUNCTION("FILTER('CLASFICACIÓN'!$F$3:$F5618,'CLASFICACIÓN'!$G$3:$G5618=M403)"),"LOS 3 AÑOS")</f>
        <v>LOS 3 AÑOS</v>
      </c>
      <c r="K403" s="16"/>
      <c r="L403" s="12" t="s">
        <v>55</v>
      </c>
      <c r="M403" s="16" t="str">
        <f t="shared" si="1"/>
        <v>14144 SANTA ROSA6 Primaria</v>
      </c>
      <c r="N403" s="17"/>
      <c r="O403" s="17"/>
      <c r="P403" s="17"/>
      <c r="Q403" s="17"/>
      <c r="R403" s="17"/>
      <c r="S403" s="17"/>
      <c r="T403" s="17"/>
    </row>
    <row r="404" ht="15.75" customHeight="1">
      <c r="A404" s="18">
        <v>67.0</v>
      </c>
      <c r="B404" s="12" t="s">
        <v>48</v>
      </c>
      <c r="C404" s="12" t="s">
        <v>14</v>
      </c>
      <c r="D404" s="19" t="s">
        <v>22</v>
      </c>
      <c r="E404" s="12" t="str">
        <f>IFERROR(__xludf.DUMMYFUNCTION("FILTER(colegios!$B$2:$B5618,colegios!$A$2:$A5618=L404)"),"14144 SANTA ROSA")</f>
        <v>14144 SANTA ROSA</v>
      </c>
      <c r="F404" s="14" t="s">
        <v>16</v>
      </c>
      <c r="G404" s="19" t="s">
        <v>17</v>
      </c>
      <c r="H404" s="12" t="s">
        <v>24</v>
      </c>
      <c r="I404" s="15">
        <v>2024.0</v>
      </c>
      <c r="J404" s="16" t="str">
        <f>IFERROR(__xludf.DUMMYFUNCTION("FILTER('CLASFICACIÓN'!$F$3:$F5618,'CLASFICACIÓN'!$G$3:$G5618=M404)"),"LOS 3 AÑOS")</f>
        <v>LOS 3 AÑOS</v>
      </c>
      <c r="K404" s="16"/>
      <c r="L404" s="12" t="s">
        <v>55</v>
      </c>
      <c r="M404" s="16" t="str">
        <f t="shared" si="1"/>
        <v>14144 SANTA ROSA6 Primaria</v>
      </c>
      <c r="N404" s="17"/>
      <c r="O404" s="17"/>
      <c r="P404" s="17"/>
      <c r="Q404" s="17"/>
      <c r="R404" s="17"/>
      <c r="S404" s="17"/>
      <c r="T404" s="17"/>
    </row>
    <row r="405" ht="15.75" customHeight="1">
      <c r="A405" s="18">
        <v>68.0</v>
      </c>
      <c r="B405" s="12" t="s">
        <v>48</v>
      </c>
      <c r="C405" s="12" t="s">
        <v>14</v>
      </c>
      <c r="D405" s="19" t="s">
        <v>22</v>
      </c>
      <c r="E405" s="12" t="str">
        <f>IFERROR(__xludf.DUMMYFUNCTION("FILTER(colegios!$B$2:$B5618,colegios!$A$2:$A5618=L405)"),"14144 SANTA ROSA")</f>
        <v>14144 SANTA ROSA</v>
      </c>
      <c r="F405" s="14" t="s">
        <v>16</v>
      </c>
      <c r="G405" s="20" t="s">
        <v>21</v>
      </c>
      <c r="H405" s="12" t="s">
        <v>18</v>
      </c>
      <c r="I405" s="15">
        <v>2024.0</v>
      </c>
      <c r="J405" s="16" t="str">
        <f>IFERROR(__xludf.DUMMYFUNCTION("FILTER('CLASFICACIÓN'!$F$3:$F5618,'CLASFICACIÓN'!$G$3:$G5618=M405)"),"LOS 3 AÑOS")</f>
        <v>LOS 3 AÑOS</v>
      </c>
      <c r="K405" s="16"/>
      <c r="L405" s="12" t="s">
        <v>55</v>
      </c>
      <c r="M405" s="16" t="str">
        <f t="shared" si="1"/>
        <v>14144 SANTA ROSA6 Primaria</v>
      </c>
      <c r="N405" s="17"/>
      <c r="O405" s="17"/>
      <c r="P405" s="17"/>
      <c r="Q405" s="17"/>
      <c r="R405" s="17"/>
      <c r="S405" s="17"/>
      <c r="T405" s="17"/>
    </row>
    <row r="406" ht="15.75" customHeight="1">
      <c r="A406" s="18">
        <v>69.0</v>
      </c>
      <c r="B406" s="12" t="s">
        <v>48</v>
      </c>
      <c r="C406" s="12" t="s">
        <v>14</v>
      </c>
      <c r="D406" s="19" t="s">
        <v>22</v>
      </c>
      <c r="E406" s="12" t="str">
        <f>IFERROR(__xludf.DUMMYFUNCTION("FILTER(colegios!$B$2:$B5618,colegios!$A$2:$A5618=L406)"),"14144 SANTA ROSA")</f>
        <v>14144 SANTA ROSA</v>
      </c>
      <c r="F406" s="14" t="s">
        <v>16</v>
      </c>
      <c r="G406" s="19" t="s">
        <v>17</v>
      </c>
      <c r="H406" s="12" t="s">
        <v>18</v>
      </c>
      <c r="I406" s="15">
        <v>2024.0</v>
      </c>
      <c r="J406" s="16" t="str">
        <f>IFERROR(__xludf.DUMMYFUNCTION("FILTER('CLASFICACIÓN'!$F$3:$F5618,'CLASFICACIÓN'!$G$3:$G5618=M406)"),"LOS 3 AÑOS")</f>
        <v>LOS 3 AÑOS</v>
      </c>
      <c r="K406" s="16"/>
      <c r="L406" s="12" t="s">
        <v>55</v>
      </c>
      <c r="M406" s="16" t="str">
        <f t="shared" si="1"/>
        <v>14144 SANTA ROSA6 Primaria</v>
      </c>
      <c r="N406" s="17"/>
      <c r="O406" s="17"/>
      <c r="P406" s="17"/>
      <c r="Q406" s="17"/>
      <c r="R406" s="17"/>
      <c r="S406" s="17"/>
      <c r="T406" s="17"/>
    </row>
    <row r="407" ht="15.75" customHeight="1">
      <c r="A407" s="18">
        <v>70.0</v>
      </c>
      <c r="B407" s="12" t="s">
        <v>48</v>
      </c>
      <c r="C407" s="12" t="s">
        <v>14</v>
      </c>
      <c r="D407" s="19" t="s">
        <v>22</v>
      </c>
      <c r="E407" s="12" t="str">
        <f>IFERROR(__xludf.DUMMYFUNCTION("FILTER(colegios!$B$2:$B5618,colegios!$A$2:$A5618=L407)"),"14144 SANTA ROSA")</f>
        <v>14144 SANTA ROSA</v>
      </c>
      <c r="F407" s="14" t="s">
        <v>16</v>
      </c>
      <c r="G407" s="20" t="s">
        <v>21</v>
      </c>
      <c r="H407" s="12" t="s">
        <v>18</v>
      </c>
      <c r="I407" s="15">
        <v>2024.0</v>
      </c>
      <c r="J407" s="16" t="str">
        <f>IFERROR(__xludf.DUMMYFUNCTION("FILTER('CLASFICACIÓN'!$F$3:$F5618,'CLASFICACIÓN'!$G$3:$G5618=M407)"),"LOS 3 AÑOS")</f>
        <v>LOS 3 AÑOS</v>
      </c>
      <c r="K407" s="16"/>
      <c r="L407" s="12" t="s">
        <v>55</v>
      </c>
      <c r="M407" s="16" t="str">
        <f t="shared" si="1"/>
        <v>14144 SANTA ROSA6 Primaria</v>
      </c>
      <c r="N407" s="17"/>
      <c r="O407" s="17"/>
      <c r="P407" s="17"/>
      <c r="Q407" s="17"/>
      <c r="R407" s="17"/>
      <c r="S407" s="17"/>
      <c r="T407" s="17"/>
    </row>
    <row r="408" ht="15.75" customHeight="1">
      <c r="A408" s="18">
        <v>71.0</v>
      </c>
      <c r="B408" s="12" t="s">
        <v>48</v>
      </c>
      <c r="C408" s="12" t="s">
        <v>14</v>
      </c>
      <c r="D408" s="19" t="s">
        <v>22</v>
      </c>
      <c r="E408" s="12" t="str">
        <f>IFERROR(__xludf.DUMMYFUNCTION("FILTER(colegios!$B$2:$B5618,colegios!$A$2:$A5618=L408)"),"14144 SANTA ROSA")</f>
        <v>14144 SANTA ROSA</v>
      </c>
      <c r="F408" s="14" t="s">
        <v>16</v>
      </c>
      <c r="G408" s="19" t="s">
        <v>21</v>
      </c>
      <c r="H408" s="12" t="s">
        <v>18</v>
      </c>
      <c r="I408" s="15">
        <v>2024.0</v>
      </c>
      <c r="J408" s="16" t="str">
        <f>IFERROR(__xludf.DUMMYFUNCTION("FILTER('CLASFICACIÓN'!$F$3:$F5618,'CLASFICACIÓN'!$G$3:$G5618=M408)"),"LOS 3 AÑOS")</f>
        <v>LOS 3 AÑOS</v>
      </c>
      <c r="K408" s="16"/>
      <c r="L408" s="12" t="s">
        <v>55</v>
      </c>
      <c r="M408" s="16" t="str">
        <f t="shared" si="1"/>
        <v>14144 SANTA ROSA6 Primaria</v>
      </c>
      <c r="N408" s="17"/>
      <c r="O408" s="17"/>
      <c r="P408" s="17"/>
      <c r="Q408" s="17"/>
      <c r="R408" s="17"/>
      <c r="S408" s="17"/>
      <c r="T408" s="17"/>
    </row>
    <row r="409" ht="15.75" customHeight="1">
      <c r="A409" s="18">
        <v>72.0</v>
      </c>
      <c r="B409" s="12" t="s">
        <v>48</v>
      </c>
      <c r="C409" s="12" t="s">
        <v>14</v>
      </c>
      <c r="D409" s="20" t="s">
        <v>22</v>
      </c>
      <c r="E409" s="12" t="str">
        <f>IFERROR(__xludf.DUMMYFUNCTION("FILTER(colegios!$B$2:$B5618,colegios!$A$2:$A5618=L409)"),"15219")</f>
        <v>15219</v>
      </c>
      <c r="F409" s="14" t="s">
        <v>16</v>
      </c>
      <c r="G409" s="19" t="s">
        <v>17</v>
      </c>
      <c r="H409" s="12" t="s">
        <v>24</v>
      </c>
      <c r="I409" s="15">
        <v>2024.0</v>
      </c>
      <c r="J409" s="16" t="str">
        <f>IFERROR(__xludf.DUMMYFUNCTION("FILTER('CLASFICACIÓN'!$F$3:$F5618,'CLASFICACIÓN'!$G$3:$G5618=M409)"),"2023 Y 2024")</f>
        <v>2023 Y 2024</v>
      </c>
      <c r="K409" s="16"/>
      <c r="L409" s="12" t="s">
        <v>56</v>
      </c>
      <c r="M409" s="16" t="str">
        <f t="shared" si="1"/>
        <v>152196 Primaria</v>
      </c>
      <c r="N409" s="17"/>
      <c r="O409" s="17"/>
      <c r="P409" s="17"/>
      <c r="Q409" s="17"/>
      <c r="R409" s="17"/>
      <c r="S409" s="17"/>
      <c r="T409" s="17"/>
    </row>
    <row r="410" ht="15.75" customHeight="1">
      <c r="A410" s="18">
        <v>73.0</v>
      </c>
      <c r="B410" s="12" t="s">
        <v>48</v>
      </c>
      <c r="C410" s="12" t="s">
        <v>14</v>
      </c>
      <c r="D410" s="19" t="s">
        <v>22</v>
      </c>
      <c r="E410" s="12" t="str">
        <f>IFERROR(__xludf.DUMMYFUNCTION("FILTER(colegios!$B$2:$B5618,colegios!$A$2:$A5618=L410)"),"14141")</f>
        <v>14141</v>
      </c>
      <c r="F410" s="14" t="s">
        <v>16</v>
      </c>
      <c r="G410" s="19" t="s">
        <v>21</v>
      </c>
      <c r="H410" s="12" t="s">
        <v>18</v>
      </c>
      <c r="I410" s="15">
        <v>2024.0</v>
      </c>
      <c r="J410" s="16" t="str">
        <f>IFERROR(__xludf.DUMMYFUNCTION("FILTER('CLASFICACIÓN'!$F$3:$F5618,'CLASFICACIÓN'!$G$3:$G5618=M410)"),"2023 Y 2024")</f>
        <v>2023 Y 2024</v>
      </c>
      <c r="K410" s="16"/>
      <c r="L410" s="12" t="s">
        <v>57</v>
      </c>
      <c r="M410" s="16" t="str">
        <f t="shared" si="1"/>
        <v>141416 Primaria</v>
      </c>
      <c r="N410" s="17"/>
      <c r="O410" s="17"/>
      <c r="P410" s="17"/>
      <c r="Q410" s="17"/>
      <c r="R410" s="17"/>
      <c r="S410" s="17"/>
      <c r="T410" s="17"/>
    </row>
    <row r="411" ht="15.75" customHeight="1">
      <c r="A411" s="18">
        <v>74.0</v>
      </c>
      <c r="B411" s="12" t="s">
        <v>48</v>
      </c>
      <c r="C411" s="12" t="s">
        <v>14</v>
      </c>
      <c r="D411" s="19" t="s">
        <v>22</v>
      </c>
      <c r="E411" s="12" t="str">
        <f>IFERROR(__xludf.DUMMYFUNCTION("FILTER(colegios!$B$2:$B5618,colegios!$A$2:$A5618=L411)"),"15478")</f>
        <v>15478</v>
      </c>
      <c r="F411" s="14" t="s">
        <v>16</v>
      </c>
      <c r="G411" s="20" t="s">
        <v>17</v>
      </c>
      <c r="H411" s="12" t="s">
        <v>24</v>
      </c>
      <c r="I411" s="15">
        <v>2024.0</v>
      </c>
      <c r="J411" s="16" t="str">
        <f>IFERROR(__xludf.DUMMYFUNCTION("FILTER('CLASFICACIÓN'!$F$3:$F5618,'CLASFICACIÓN'!$G$3:$G5618=M411)"),"2023 Y 2024")</f>
        <v>2023 Y 2024</v>
      </c>
      <c r="K411" s="16"/>
      <c r="L411" s="12" t="s">
        <v>58</v>
      </c>
      <c r="M411" s="16" t="str">
        <f t="shared" si="1"/>
        <v>154786 Primaria</v>
      </c>
      <c r="N411" s="17"/>
      <c r="O411" s="17"/>
      <c r="P411" s="17"/>
      <c r="Q411" s="17"/>
      <c r="R411" s="17"/>
      <c r="S411" s="17"/>
      <c r="T411" s="17"/>
    </row>
    <row r="412" ht="15.75" customHeight="1">
      <c r="A412" s="18">
        <v>75.0</v>
      </c>
      <c r="B412" s="12" t="s">
        <v>48</v>
      </c>
      <c r="C412" s="12" t="s">
        <v>14</v>
      </c>
      <c r="D412" s="19" t="s">
        <v>22</v>
      </c>
      <c r="E412" s="12" t="str">
        <f>IFERROR(__xludf.DUMMYFUNCTION("FILTER(colegios!$B$2:$B5618,colegios!$A$2:$A5618=L412)"),"15478")</f>
        <v>15478</v>
      </c>
      <c r="F412" s="14" t="s">
        <v>16</v>
      </c>
      <c r="G412" s="19" t="s">
        <v>17</v>
      </c>
      <c r="H412" s="12" t="s">
        <v>18</v>
      </c>
      <c r="I412" s="15">
        <v>2024.0</v>
      </c>
      <c r="J412" s="16" t="str">
        <f>IFERROR(__xludf.DUMMYFUNCTION("FILTER('CLASFICACIÓN'!$F$3:$F5618,'CLASFICACIÓN'!$G$3:$G5618=M412)"),"2023 Y 2024")</f>
        <v>2023 Y 2024</v>
      </c>
      <c r="K412" s="16"/>
      <c r="L412" s="12" t="s">
        <v>58</v>
      </c>
      <c r="M412" s="16" t="str">
        <f t="shared" si="1"/>
        <v>154786 Primaria</v>
      </c>
      <c r="N412" s="17"/>
      <c r="O412" s="17"/>
      <c r="P412" s="17"/>
      <c r="Q412" s="17"/>
      <c r="R412" s="17"/>
      <c r="S412" s="17"/>
      <c r="T412" s="17"/>
    </row>
    <row r="413" ht="15.75" customHeight="1">
      <c r="A413" s="18">
        <v>76.0</v>
      </c>
      <c r="B413" s="12" t="s">
        <v>48</v>
      </c>
      <c r="C413" s="12" t="s">
        <v>14</v>
      </c>
      <c r="D413" s="19" t="s">
        <v>22</v>
      </c>
      <c r="E413" s="12" t="str">
        <f>IFERROR(__xludf.DUMMYFUNCTION("FILTER(colegios!$B$2:$B5618,colegios!$A$2:$A5618=L413)"),"15220")</f>
        <v>15220</v>
      </c>
      <c r="F413" s="14" t="s">
        <v>16</v>
      </c>
      <c r="G413" s="20" t="s">
        <v>21</v>
      </c>
      <c r="H413" s="12" t="s">
        <v>24</v>
      </c>
      <c r="I413" s="15">
        <v>2024.0</v>
      </c>
      <c r="J413" s="16" t="str">
        <f>IFERROR(__xludf.DUMMYFUNCTION("FILTER('CLASFICACIÓN'!$F$3:$F5618,'CLASFICACIÓN'!$G$3:$G5618=M413)"),"2023 Y 2024")</f>
        <v>2023 Y 2024</v>
      </c>
      <c r="K413" s="16"/>
      <c r="L413" s="12" t="s">
        <v>59</v>
      </c>
      <c r="M413" s="16" t="str">
        <f t="shared" si="1"/>
        <v>152206 Primaria</v>
      </c>
      <c r="N413" s="17"/>
      <c r="O413" s="17"/>
      <c r="P413" s="17"/>
      <c r="Q413" s="17"/>
      <c r="R413" s="17"/>
      <c r="S413" s="17"/>
      <c r="T413" s="17"/>
    </row>
    <row r="414" ht="15.75" customHeight="1">
      <c r="A414" s="18">
        <v>77.0</v>
      </c>
      <c r="B414" s="12" t="s">
        <v>48</v>
      </c>
      <c r="C414" s="12" t="s">
        <v>14</v>
      </c>
      <c r="D414" s="19" t="s">
        <v>22</v>
      </c>
      <c r="E414" s="12" t="str">
        <f>IFERROR(__xludf.DUMMYFUNCTION("FILTER(colegios!$B$2:$B5618,colegios!$A$2:$A5618=L414)"),"14045")</f>
        <v>14045</v>
      </c>
      <c r="F414" s="14" t="s">
        <v>16</v>
      </c>
      <c r="G414" s="20" t="s">
        <v>21</v>
      </c>
      <c r="H414" s="12" t="s">
        <v>24</v>
      </c>
      <c r="I414" s="15">
        <v>2024.0</v>
      </c>
      <c r="J414" s="16" t="str">
        <f>IFERROR(__xludf.DUMMYFUNCTION("FILTER('CLASFICACIÓN'!$F$3:$F5618,'CLASFICACIÓN'!$G$3:$G5618=M414)"),"2023 Y 2024")</f>
        <v>2023 Y 2024</v>
      </c>
      <c r="K414" s="16"/>
      <c r="L414" s="12" t="s">
        <v>60</v>
      </c>
      <c r="M414" s="16" t="str">
        <f t="shared" si="1"/>
        <v>140456 Primaria</v>
      </c>
      <c r="N414" s="17"/>
      <c r="O414" s="17"/>
      <c r="P414" s="17"/>
      <c r="Q414" s="17"/>
      <c r="R414" s="17"/>
      <c r="S414" s="17"/>
      <c r="T414" s="17"/>
    </row>
    <row r="415" ht="15.75" customHeight="1">
      <c r="A415" s="18">
        <v>78.0</v>
      </c>
      <c r="B415" s="12" t="s">
        <v>48</v>
      </c>
      <c r="C415" s="12" t="s">
        <v>14</v>
      </c>
      <c r="D415" s="19" t="s">
        <v>22</v>
      </c>
      <c r="E415" s="12" t="str">
        <f>IFERROR(__xludf.DUMMYFUNCTION("FILTER(colegios!$B$2:$B5618,colegios!$A$2:$A5618=L415)"),"14145 SANTA JULIA BILLIART")</f>
        <v>14145 SANTA JULIA BILLIART</v>
      </c>
      <c r="F415" s="14" t="s">
        <v>16</v>
      </c>
      <c r="G415" s="19" t="s">
        <v>21</v>
      </c>
      <c r="H415" s="12" t="s">
        <v>18</v>
      </c>
      <c r="I415" s="15">
        <v>2024.0</v>
      </c>
      <c r="J415" s="16" t="str">
        <f>IFERROR(__xludf.DUMMYFUNCTION("FILTER('CLASFICACIÓN'!$F$3:$F5618,'CLASFICACIÓN'!$G$3:$G5618=M415)"),"LOS 3 AÑOS")</f>
        <v>LOS 3 AÑOS</v>
      </c>
      <c r="K415" s="16"/>
      <c r="L415" s="12" t="s">
        <v>61</v>
      </c>
      <c r="M415" s="16" t="str">
        <f t="shared" si="1"/>
        <v>14145 SANTA JULIA BILLIART6 Primaria</v>
      </c>
      <c r="N415" s="17"/>
      <c r="O415" s="17"/>
      <c r="P415" s="17"/>
      <c r="Q415" s="17"/>
      <c r="R415" s="17"/>
      <c r="S415" s="17"/>
      <c r="T415" s="17"/>
    </row>
    <row r="416" ht="15.75" customHeight="1">
      <c r="A416" s="18">
        <v>79.0</v>
      </c>
      <c r="B416" s="12" t="s">
        <v>48</v>
      </c>
      <c r="C416" s="12" t="s">
        <v>14</v>
      </c>
      <c r="D416" s="19" t="s">
        <v>22</v>
      </c>
      <c r="E416" s="12" t="str">
        <f>IFERROR(__xludf.DUMMYFUNCTION("FILTER(colegios!$B$2:$B5618,colegios!$A$2:$A5618=L416)"),"14145 SANTA JULIA BILLIART")</f>
        <v>14145 SANTA JULIA BILLIART</v>
      </c>
      <c r="F416" s="14" t="s">
        <v>16</v>
      </c>
      <c r="G416" s="20" t="s">
        <v>21</v>
      </c>
      <c r="H416" s="12" t="s">
        <v>24</v>
      </c>
      <c r="I416" s="15">
        <v>2024.0</v>
      </c>
      <c r="J416" s="16" t="str">
        <f>IFERROR(__xludf.DUMMYFUNCTION("FILTER('CLASFICACIÓN'!$F$3:$F5618,'CLASFICACIÓN'!$G$3:$G5618=M416)"),"LOS 3 AÑOS")</f>
        <v>LOS 3 AÑOS</v>
      </c>
      <c r="K416" s="16"/>
      <c r="L416" s="12" t="s">
        <v>61</v>
      </c>
      <c r="M416" s="16" t="str">
        <f t="shared" si="1"/>
        <v>14145 SANTA JULIA BILLIART6 Primaria</v>
      </c>
      <c r="N416" s="17"/>
      <c r="O416" s="17"/>
      <c r="P416" s="17"/>
      <c r="Q416" s="17"/>
      <c r="R416" s="17"/>
      <c r="S416" s="17"/>
      <c r="T416" s="17"/>
    </row>
    <row r="417" ht="15.75" customHeight="1">
      <c r="A417" s="18">
        <v>80.0</v>
      </c>
      <c r="B417" s="12" t="s">
        <v>48</v>
      </c>
      <c r="C417" s="12" t="s">
        <v>14</v>
      </c>
      <c r="D417" s="19" t="s">
        <v>22</v>
      </c>
      <c r="E417" s="12" t="str">
        <f>IFERROR(__xludf.DUMMYFUNCTION("FILTER(colegios!$B$2:$B5618,colegios!$A$2:$A5618=L417)"),"14145 SANTA JULIA BILLIART")</f>
        <v>14145 SANTA JULIA BILLIART</v>
      </c>
      <c r="F417" s="14" t="s">
        <v>16</v>
      </c>
      <c r="G417" s="20" t="s">
        <v>21</v>
      </c>
      <c r="H417" s="12" t="s">
        <v>24</v>
      </c>
      <c r="I417" s="15">
        <v>2024.0</v>
      </c>
      <c r="J417" s="16" t="str">
        <f>IFERROR(__xludf.DUMMYFUNCTION("FILTER('CLASFICACIÓN'!$F$3:$F5618,'CLASFICACIÓN'!$G$3:$G5618=M417)"),"LOS 3 AÑOS")</f>
        <v>LOS 3 AÑOS</v>
      </c>
      <c r="K417" s="16"/>
      <c r="L417" s="12" t="s">
        <v>61</v>
      </c>
      <c r="M417" s="16" t="str">
        <f t="shared" si="1"/>
        <v>14145 SANTA JULIA BILLIART6 Primaria</v>
      </c>
      <c r="N417" s="17"/>
      <c r="O417" s="17"/>
      <c r="P417" s="17"/>
      <c r="Q417" s="17"/>
      <c r="R417" s="17"/>
      <c r="S417" s="17"/>
      <c r="T417" s="17"/>
    </row>
    <row r="418" ht="15.75" customHeight="1">
      <c r="A418" s="18">
        <v>81.0</v>
      </c>
      <c r="B418" s="12" t="s">
        <v>48</v>
      </c>
      <c r="C418" s="12" t="s">
        <v>14</v>
      </c>
      <c r="D418" s="19" t="s">
        <v>22</v>
      </c>
      <c r="E418" s="12" t="str">
        <f>IFERROR(__xludf.DUMMYFUNCTION("FILTER(colegios!$B$2:$B5618,colegios!$A$2:$A5618=L418)"),"14145 SANTA JULIA BILLIART")</f>
        <v>14145 SANTA JULIA BILLIART</v>
      </c>
      <c r="F418" s="14" t="s">
        <v>16</v>
      </c>
      <c r="G418" s="19" t="s">
        <v>21</v>
      </c>
      <c r="H418" s="12" t="s">
        <v>24</v>
      </c>
      <c r="I418" s="15">
        <v>2024.0</v>
      </c>
      <c r="J418" s="16" t="str">
        <f>IFERROR(__xludf.DUMMYFUNCTION("FILTER('CLASFICACIÓN'!$F$3:$F5618,'CLASFICACIÓN'!$G$3:$G5618=M418)"),"LOS 3 AÑOS")</f>
        <v>LOS 3 AÑOS</v>
      </c>
      <c r="K418" s="16"/>
      <c r="L418" s="12" t="s">
        <v>61</v>
      </c>
      <c r="M418" s="16" t="str">
        <f t="shared" si="1"/>
        <v>14145 SANTA JULIA BILLIART6 Primaria</v>
      </c>
      <c r="N418" s="17"/>
      <c r="O418" s="17"/>
      <c r="P418" s="17"/>
      <c r="Q418" s="17"/>
      <c r="R418" s="17"/>
      <c r="S418" s="17"/>
      <c r="T418" s="17"/>
    </row>
    <row r="419" ht="15.75" customHeight="1">
      <c r="A419" s="18">
        <v>82.0</v>
      </c>
      <c r="B419" s="12" t="s">
        <v>48</v>
      </c>
      <c r="C419" s="12" t="s">
        <v>14</v>
      </c>
      <c r="D419" s="19" t="s">
        <v>22</v>
      </c>
      <c r="E419" s="12" t="str">
        <f>IFERROR(__xludf.DUMMYFUNCTION("FILTER(colegios!$B$2:$B5618,colegios!$A$2:$A5618=L419)"),"14145 SANTA JULIA BILLIART")</f>
        <v>14145 SANTA JULIA BILLIART</v>
      </c>
      <c r="F419" s="14" t="s">
        <v>16</v>
      </c>
      <c r="G419" s="20" t="s">
        <v>21</v>
      </c>
      <c r="H419" s="12" t="s">
        <v>24</v>
      </c>
      <c r="I419" s="15">
        <v>2024.0</v>
      </c>
      <c r="J419" s="16" t="str">
        <f>IFERROR(__xludf.DUMMYFUNCTION("FILTER('CLASFICACIÓN'!$F$3:$F5618,'CLASFICACIÓN'!$G$3:$G5618=M419)"),"LOS 3 AÑOS")</f>
        <v>LOS 3 AÑOS</v>
      </c>
      <c r="K419" s="16"/>
      <c r="L419" s="12" t="s">
        <v>61</v>
      </c>
      <c r="M419" s="16" t="str">
        <f t="shared" si="1"/>
        <v>14145 SANTA JULIA BILLIART6 Primaria</v>
      </c>
      <c r="N419" s="17"/>
      <c r="O419" s="17"/>
      <c r="P419" s="17"/>
      <c r="Q419" s="17"/>
      <c r="R419" s="17"/>
      <c r="S419" s="17"/>
      <c r="T419" s="17"/>
    </row>
    <row r="420" ht="15.75" customHeight="1">
      <c r="A420" s="18">
        <v>83.0</v>
      </c>
      <c r="B420" s="12" t="s">
        <v>48</v>
      </c>
      <c r="C420" s="12" t="s">
        <v>14</v>
      </c>
      <c r="D420" s="19" t="s">
        <v>22</v>
      </c>
      <c r="E420" s="12" t="str">
        <f>IFERROR(__xludf.DUMMYFUNCTION("FILTER(colegios!$B$2:$B5618,colegios!$A$2:$A5618=L420)"),"14145 SANTA JULIA BILLIART")</f>
        <v>14145 SANTA JULIA BILLIART</v>
      </c>
      <c r="F420" s="14" t="s">
        <v>16</v>
      </c>
      <c r="G420" s="20" t="s">
        <v>17</v>
      </c>
      <c r="H420" s="12" t="s">
        <v>24</v>
      </c>
      <c r="I420" s="15">
        <v>2024.0</v>
      </c>
      <c r="J420" s="16" t="str">
        <f>IFERROR(__xludf.DUMMYFUNCTION("FILTER('CLASFICACIÓN'!$F$3:$F5618,'CLASFICACIÓN'!$G$3:$G5618=M420)"),"LOS 3 AÑOS")</f>
        <v>LOS 3 AÑOS</v>
      </c>
      <c r="K420" s="16"/>
      <c r="L420" s="12" t="s">
        <v>61</v>
      </c>
      <c r="M420" s="16" t="str">
        <f t="shared" si="1"/>
        <v>14145 SANTA JULIA BILLIART6 Primaria</v>
      </c>
      <c r="N420" s="17"/>
      <c r="O420" s="17"/>
      <c r="P420" s="17"/>
      <c r="Q420" s="17"/>
      <c r="R420" s="17"/>
      <c r="S420" s="17"/>
      <c r="T420" s="17"/>
    </row>
    <row r="421" ht="15.75" customHeight="1">
      <c r="A421" s="18">
        <v>84.0</v>
      </c>
      <c r="B421" s="12" t="s">
        <v>48</v>
      </c>
      <c r="C421" s="12" t="s">
        <v>14</v>
      </c>
      <c r="D421" s="19" t="s">
        <v>22</v>
      </c>
      <c r="E421" s="12" t="str">
        <f>IFERROR(__xludf.DUMMYFUNCTION("FILTER(colegios!$B$2:$B5618,colegios!$A$2:$A5618=L421)"),"14145 SANTA JULIA BILLIART")</f>
        <v>14145 SANTA JULIA BILLIART</v>
      </c>
      <c r="F421" s="14" t="s">
        <v>16</v>
      </c>
      <c r="G421" s="20" t="s">
        <v>17</v>
      </c>
      <c r="H421" s="12" t="s">
        <v>24</v>
      </c>
      <c r="I421" s="15">
        <v>2024.0</v>
      </c>
      <c r="J421" s="16" t="str">
        <f>IFERROR(__xludf.DUMMYFUNCTION("FILTER('CLASFICACIÓN'!$F$3:$F5618,'CLASFICACIÓN'!$G$3:$G5618=M421)"),"LOS 3 AÑOS")</f>
        <v>LOS 3 AÑOS</v>
      </c>
      <c r="K421" s="16"/>
      <c r="L421" s="12" t="s">
        <v>61</v>
      </c>
      <c r="M421" s="16" t="str">
        <f t="shared" si="1"/>
        <v>14145 SANTA JULIA BILLIART6 Primaria</v>
      </c>
      <c r="N421" s="17"/>
      <c r="O421" s="17"/>
      <c r="P421" s="17"/>
      <c r="Q421" s="17"/>
      <c r="R421" s="17"/>
      <c r="S421" s="17"/>
      <c r="T421" s="17"/>
    </row>
    <row r="422" ht="15.75" customHeight="1">
      <c r="A422" s="18">
        <v>85.0</v>
      </c>
      <c r="B422" s="12" t="s">
        <v>48</v>
      </c>
      <c r="C422" s="12" t="s">
        <v>14</v>
      </c>
      <c r="D422" s="19" t="s">
        <v>22</v>
      </c>
      <c r="E422" s="12" t="str">
        <f>IFERROR(__xludf.DUMMYFUNCTION("FILTER(colegios!$B$2:$B5618,colegios!$A$2:$A5618=L422)"),"14145 SANTA JULIA BILLIART")</f>
        <v>14145 SANTA JULIA BILLIART</v>
      </c>
      <c r="F422" s="14" t="s">
        <v>16</v>
      </c>
      <c r="G422" s="20" t="s">
        <v>17</v>
      </c>
      <c r="H422" s="12" t="s">
        <v>18</v>
      </c>
      <c r="I422" s="15">
        <v>2024.0</v>
      </c>
      <c r="J422" s="16" t="str">
        <f>IFERROR(__xludf.DUMMYFUNCTION("FILTER('CLASFICACIÓN'!$F$3:$F5618,'CLASFICACIÓN'!$G$3:$G5618=M422)"),"LOS 3 AÑOS")</f>
        <v>LOS 3 AÑOS</v>
      </c>
      <c r="K422" s="16"/>
      <c r="L422" s="12" t="s">
        <v>61</v>
      </c>
      <c r="M422" s="16" t="str">
        <f t="shared" si="1"/>
        <v>14145 SANTA JULIA BILLIART6 Primaria</v>
      </c>
      <c r="N422" s="17"/>
      <c r="O422" s="17"/>
      <c r="P422" s="17"/>
      <c r="Q422" s="17"/>
      <c r="R422" s="17"/>
      <c r="S422" s="17"/>
      <c r="T422" s="17"/>
    </row>
    <row r="423" ht="15.75" customHeight="1">
      <c r="A423" s="18">
        <v>86.0</v>
      </c>
      <c r="B423" s="12" t="s">
        <v>48</v>
      </c>
      <c r="C423" s="12" t="s">
        <v>14</v>
      </c>
      <c r="D423" s="19" t="s">
        <v>22</v>
      </c>
      <c r="E423" s="12" t="str">
        <f>IFERROR(__xludf.DUMMYFUNCTION("FILTER(colegios!$B$2:$B5618,colegios!$A$2:$A5618=L423)"),"14145 SANTA JULIA BILLIART")</f>
        <v>14145 SANTA JULIA BILLIART</v>
      </c>
      <c r="F423" s="14" t="s">
        <v>16</v>
      </c>
      <c r="G423" s="20" t="s">
        <v>17</v>
      </c>
      <c r="H423" s="12" t="s">
        <v>24</v>
      </c>
      <c r="I423" s="15">
        <v>2024.0</v>
      </c>
      <c r="J423" s="16" t="str">
        <f>IFERROR(__xludf.DUMMYFUNCTION("FILTER('CLASFICACIÓN'!$F$3:$F5618,'CLASFICACIÓN'!$G$3:$G5618=M423)"),"LOS 3 AÑOS")</f>
        <v>LOS 3 AÑOS</v>
      </c>
      <c r="K423" s="16"/>
      <c r="L423" s="12" t="s">
        <v>61</v>
      </c>
      <c r="M423" s="16" t="str">
        <f t="shared" si="1"/>
        <v>14145 SANTA JULIA BILLIART6 Primaria</v>
      </c>
      <c r="N423" s="17"/>
      <c r="O423" s="17"/>
      <c r="P423" s="17"/>
      <c r="Q423" s="17"/>
      <c r="R423" s="17"/>
      <c r="S423" s="17"/>
      <c r="T423" s="17"/>
    </row>
    <row r="424" ht="15.75" customHeight="1">
      <c r="A424" s="18">
        <v>87.0</v>
      </c>
      <c r="B424" s="12" t="s">
        <v>48</v>
      </c>
      <c r="C424" s="12" t="s">
        <v>14</v>
      </c>
      <c r="D424" s="19" t="s">
        <v>22</v>
      </c>
      <c r="E424" s="12" t="str">
        <f>IFERROR(__xludf.DUMMYFUNCTION("FILTER(colegios!$B$2:$B5618,colegios!$A$2:$A5618=L424)"),"14145 SANTA JULIA BILLIART")</f>
        <v>14145 SANTA JULIA BILLIART</v>
      </c>
      <c r="F424" s="14" t="s">
        <v>16</v>
      </c>
      <c r="G424" s="19" t="s">
        <v>17</v>
      </c>
      <c r="H424" s="12" t="s">
        <v>24</v>
      </c>
      <c r="I424" s="15">
        <v>2024.0</v>
      </c>
      <c r="J424" s="16" t="str">
        <f>IFERROR(__xludf.DUMMYFUNCTION("FILTER('CLASFICACIÓN'!$F$3:$F5618,'CLASFICACIÓN'!$G$3:$G5618=M424)"),"LOS 3 AÑOS")</f>
        <v>LOS 3 AÑOS</v>
      </c>
      <c r="K424" s="16"/>
      <c r="L424" s="12" t="s">
        <v>61</v>
      </c>
      <c r="M424" s="16" t="str">
        <f t="shared" si="1"/>
        <v>14145 SANTA JULIA BILLIART6 Primaria</v>
      </c>
      <c r="N424" s="17"/>
      <c r="O424" s="17"/>
      <c r="P424" s="17"/>
      <c r="Q424" s="17"/>
      <c r="R424" s="17"/>
      <c r="S424" s="17"/>
      <c r="T424" s="17"/>
    </row>
    <row r="425" ht="15.75" customHeight="1">
      <c r="A425" s="18">
        <v>1.0</v>
      </c>
      <c r="B425" s="12" t="s">
        <v>48</v>
      </c>
      <c r="C425" s="12" t="s">
        <v>14</v>
      </c>
      <c r="D425" s="19" t="s">
        <v>20</v>
      </c>
      <c r="E425" s="12" t="str">
        <f>IFERROR(__xludf.DUMMYFUNCTION("FILTER(colegios!$B$2:$B5618,colegios!$A$2:$A5618=L425)"),"14924 DANIEL ALCIDES CARRION")</f>
        <v>14924 DANIEL ALCIDES CARRION</v>
      </c>
      <c r="F425" s="14" t="s">
        <v>16</v>
      </c>
      <c r="G425" s="20" t="s">
        <v>17</v>
      </c>
      <c r="H425" s="12" t="s">
        <v>24</v>
      </c>
      <c r="I425" s="15">
        <v>2024.0</v>
      </c>
      <c r="J425" s="16" t="str">
        <f>IFERROR(__xludf.DUMMYFUNCTION("FILTER('CLASFICACIÓN'!$F$3:$F5618,'CLASFICACIÓN'!$G$3:$G5618=M425)"),"SOLO 2024")</f>
        <v>SOLO 2024</v>
      </c>
      <c r="K425" s="16"/>
      <c r="L425" s="12" t="s">
        <v>49</v>
      </c>
      <c r="M425" s="16" t="str">
        <f t="shared" si="1"/>
        <v>14924 DANIEL ALCIDES CARRION4 Primaria</v>
      </c>
      <c r="N425" s="17"/>
      <c r="O425" s="17"/>
      <c r="P425" s="17"/>
      <c r="Q425" s="17"/>
      <c r="R425" s="17"/>
      <c r="S425" s="17"/>
      <c r="T425" s="17"/>
    </row>
    <row r="426" ht="15.75" customHeight="1">
      <c r="A426" s="18">
        <v>2.0</v>
      </c>
      <c r="B426" s="12" t="s">
        <v>48</v>
      </c>
      <c r="C426" s="12" t="s">
        <v>14</v>
      </c>
      <c r="D426" s="19" t="s">
        <v>20</v>
      </c>
      <c r="E426" s="12" t="str">
        <f>IFERROR(__xludf.DUMMYFUNCTION("FILTER(colegios!$B$2:$B5618,colegios!$A$2:$A5618=L426)"),"14924 DANIEL ALCIDES CARRION")</f>
        <v>14924 DANIEL ALCIDES CARRION</v>
      </c>
      <c r="F426" s="14" t="s">
        <v>16</v>
      </c>
      <c r="G426" s="19" t="s">
        <v>17</v>
      </c>
      <c r="H426" s="12" t="s">
        <v>18</v>
      </c>
      <c r="I426" s="15">
        <v>2024.0</v>
      </c>
      <c r="J426" s="16" t="str">
        <f>IFERROR(__xludf.DUMMYFUNCTION("FILTER('CLASFICACIÓN'!$F$3:$F5618,'CLASFICACIÓN'!$G$3:$G5618=M426)"),"SOLO 2024")</f>
        <v>SOLO 2024</v>
      </c>
      <c r="K426" s="16"/>
      <c r="L426" s="12" t="s">
        <v>49</v>
      </c>
      <c r="M426" s="16" t="str">
        <f t="shared" si="1"/>
        <v>14924 DANIEL ALCIDES CARRION4 Primaria</v>
      </c>
      <c r="N426" s="17"/>
      <c r="O426" s="17"/>
      <c r="P426" s="17"/>
      <c r="Q426" s="17"/>
      <c r="R426" s="17"/>
      <c r="S426" s="17"/>
      <c r="T426" s="17"/>
    </row>
    <row r="427" ht="15.75" customHeight="1">
      <c r="A427" s="18">
        <v>3.0</v>
      </c>
      <c r="B427" s="12" t="s">
        <v>48</v>
      </c>
      <c r="C427" s="12" t="s">
        <v>14</v>
      </c>
      <c r="D427" s="19" t="s">
        <v>20</v>
      </c>
      <c r="E427" s="12" t="str">
        <f>IFERROR(__xludf.DUMMYFUNCTION("FILTER(colegios!$B$2:$B5618,colegios!$A$2:$A5618=L427)"),"14924 DANIEL ALCIDES CARRION")</f>
        <v>14924 DANIEL ALCIDES CARRION</v>
      </c>
      <c r="F427" s="14" t="s">
        <v>16</v>
      </c>
      <c r="G427" s="19" t="s">
        <v>17</v>
      </c>
      <c r="H427" s="12" t="s">
        <v>24</v>
      </c>
      <c r="I427" s="15">
        <v>2024.0</v>
      </c>
      <c r="J427" s="16" t="str">
        <f>IFERROR(__xludf.DUMMYFUNCTION("FILTER('CLASFICACIÓN'!$F$3:$F5618,'CLASFICACIÓN'!$G$3:$G5618=M427)"),"SOLO 2024")</f>
        <v>SOLO 2024</v>
      </c>
      <c r="K427" s="16"/>
      <c r="L427" s="12" t="s">
        <v>49</v>
      </c>
      <c r="M427" s="16" t="str">
        <f t="shared" si="1"/>
        <v>14924 DANIEL ALCIDES CARRION4 Primaria</v>
      </c>
      <c r="N427" s="17"/>
      <c r="O427" s="17"/>
      <c r="P427" s="17"/>
      <c r="Q427" s="17"/>
      <c r="R427" s="17"/>
      <c r="S427" s="17"/>
      <c r="T427" s="17"/>
    </row>
    <row r="428" ht="15.75" customHeight="1">
      <c r="A428" s="18">
        <v>4.0</v>
      </c>
      <c r="B428" s="12" t="s">
        <v>48</v>
      </c>
      <c r="C428" s="12" t="s">
        <v>14</v>
      </c>
      <c r="D428" s="19" t="s">
        <v>20</v>
      </c>
      <c r="E428" s="12" t="str">
        <f>IFERROR(__xludf.DUMMYFUNCTION("FILTER(colegios!$B$2:$B5618,colegios!$A$2:$A5618=L428)"),"14924 DANIEL ALCIDES CARRION")</f>
        <v>14924 DANIEL ALCIDES CARRION</v>
      </c>
      <c r="F428" s="14" t="s">
        <v>16</v>
      </c>
      <c r="G428" s="19" t="s">
        <v>21</v>
      </c>
      <c r="H428" s="12" t="s">
        <v>24</v>
      </c>
      <c r="I428" s="15">
        <v>2024.0</v>
      </c>
      <c r="J428" s="16" t="str">
        <f>IFERROR(__xludf.DUMMYFUNCTION("FILTER('CLASFICACIÓN'!$F$3:$F5618,'CLASFICACIÓN'!$G$3:$G5618=M428)"),"SOLO 2024")</f>
        <v>SOLO 2024</v>
      </c>
      <c r="K428" s="16"/>
      <c r="L428" s="12" t="s">
        <v>49</v>
      </c>
      <c r="M428" s="16" t="str">
        <f t="shared" si="1"/>
        <v>14924 DANIEL ALCIDES CARRION4 Primaria</v>
      </c>
      <c r="N428" s="17"/>
      <c r="O428" s="17"/>
      <c r="P428" s="17"/>
      <c r="Q428" s="17"/>
      <c r="R428" s="17"/>
      <c r="S428" s="17"/>
      <c r="T428" s="17"/>
    </row>
    <row r="429" ht="15.75" customHeight="1">
      <c r="A429" s="18">
        <v>5.0</v>
      </c>
      <c r="B429" s="12" t="s">
        <v>48</v>
      </c>
      <c r="C429" s="12" t="s">
        <v>14</v>
      </c>
      <c r="D429" s="19" t="s">
        <v>20</v>
      </c>
      <c r="E429" s="12" t="str">
        <f>IFERROR(__xludf.DUMMYFUNCTION("FILTER(colegios!$B$2:$B5618,colegios!$A$2:$A5618=L429)"),"14924 DANIEL ALCIDES CARRION")</f>
        <v>14924 DANIEL ALCIDES CARRION</v>
      </c>
      <c r="F429" s="14" t="s">
        <v>16</v>
      </c>
      <c r="G429" s="20" t="s">
        <v>17</v>
      </c>
      <c r="H429" s="12" t="s">
        <v>24</v>
      </c>
      <c r="I429" s="15">
        <v>2024.0</v>
      </c>
      <c r="J429" s="16" t="str">
        <f>IFERROR(__xludf.DUMMYFUNCTION("FILTER('CLASFICACIÓN'!$F$3:$F5618,'CLASFICACIÓN'!$G$3:$G5618=M429)"),"SOLO 2024")</f>
        <v>SOLO 2024</v>
      </c>
      <c r="K429" s="16"/>
      <c r="L429" s="12" t="s">
        <v>49</v>
      </c>
      <c r="M429" s="16" t="str">
        <f t="shared" si="1"/>
        <v>14924 DANIEL ALCIDES CARRION4 Primaria</v>
      </c>
      <c r="N429" s="17"/>
      <c r="O429" s="17"/>
      <c r="P429" s="17"/>
      <c r="Q429" s="17"/>
      <c r="R429" s="17"/>
      <c r="S429" s="17"/>
      <c r="T429" s="17"/>
    </row>
    <row r="430" ht="15.75" customHeight="1">
      <c r="A430" s="18">
        <v>6.0</v>
      </c>
      <c r="B430" s="12" t="s">
        <v>48</v>
      </c>
      <c r="C430" s="12" t="s">
        <v>14</v>
      </c>
      <c r="D430" s="19" t="s">
        <v>20</v>
      </c>
      <c r="E430" s="12" t="str">
        <f>IFERROR(__xludf.DUMMYFUNCTION("FILTER(colegios!$B$2:$B5618,colegios!$A$2:$A5618=L430)"),"14924 DANIEL ALCIDES CARRION")</f>
        <v>14924 DANIEL ALCIDES CARRION</v>
      </c>
      <c r="F430" s="14" t="s">
        <v>16</v>
      </c>
      <c r="G430" s="19" t="s">
        <v>21</v>
      </c>
      <c r="H430" s="12" t="s">
        <v>24</v>
      </c>
      <c r="I430" s="15">
        <v>2024.0</v>
      </c>
      <c r="J430" s="16" t="str">
        <f>IFERROR(__xludf.DUMMYFUNCTION("FILTER('CLASFICACIÓN'!$F$3:$F5618,'CLASFICACIÓN'!$G$3:$G5618=M430)"),"SOLO 2024")</f>
        <v>SOLO 2024</v>
      </c>
      <c r="K430" s="16"/>
      <c r="L430" s="12" t="s">
        <v>49</v>
      </c>
      <c r="M430" s="16" t="str">
        <f t="shared" si="1"/>
        <v>14924 DANIEL ALCIDES CARRION4 Primaria</v>
      </c>
      <c r="N430" s="17"/>
      <c r="O430" s="17"/>
      <c r="P430" s="17"/>
      <c r="Q430" s="17"/>
      <c r="R430" s="17"/>
      <c r="S430" s="17"/>
      <c r="T430" s="17"/>
    </row>
    <row r="431" ht="15.75" customHeight="1">
      <c r="A431" s="18">
        <v>7.0</v>
      </c>
      <c r="B431" s="12" t="s">
        <v>48</v>
      </c>
      <c r="C431" s="12" t="s">
        <v>14</v>
      </c>
      <c r="D431" s="19" t="s">
        <v>20</v>
      </c>
      <c r="E431" s="12" t="str">
        <f>IFERROR(__xludf.DUMMYFUNCTION("FILTER(colegios!$B$2:$B5618,colegios!$A$2:$A5618=L431)"),"14924 DANIEL ALCIDES CARRION")</f>
        <v>14924 DANIEL ALCIDES CARRION</v>
      </c>
      <c r="F431" s="14" t="s">
        <v>16</v>
      </c>
      <c r="G431" s="20" t="s">
        <v>17</v>
      </c>
      <c r="H431" s="12" t="s">
        <v>24</v>
      </c>
      <c r="I431" s="15">
        <v>2024.0</v>
      </c>
      <c r="J431" s="16" t="str">
        <f>IFERROR(__xludf.DUMMYFUNCTION("FILTER('CLASFICACIÓN'!$F$3:$F5618,'CLASFICACIÓN'!$G$3:$G5618=M431)"),"SOLO 2024")</f>
        <v>SOLO 2024</v>
      </c>
      <c r="K431" s="16"/>
      <c r="L431" s="12" t="s">
        <v>49</v>
      </c>
      <c r="M431" s="16" t="str">
        <f t="shared" si="1"/>
        <v>14924 DANIEL ALCIDES CARRION4 Primaria</v>
      </c>
      <c r="N431" s="17"/>
      <c r="O431" s="17"/>
      <c r="P431" s="17"/>
      <c r="Q431" s="17"/>
      <c r="R431" s="17"/>
      <c r="S431" s="17"/>
      <c r="T431" s="17"/>
    </row>
    <row r="432" ht="15.75" customHeight="1">
      <c r="A432" s="18">
        <v>8.0</v>
      </c>
      <c r="B432" s="12" t="s">
        <v>48</v>
      </c>
      <c r="C432" s="12" t="s">
        <v>14</v>
      </c>
      <c r="D432" s="19" t="s">
        <v>20</v>
      </c>
      <c r="E432" s="12" t="str">
        <f>IFERROR(__xludf.DUMMYFUNCTION("FILTER(colegios!$B$2:$B5618,colegios!$A$2:$A5618=L432)"),"14924 DANIEL ALCIDES CARRION")</f>
        <v>14924 DANIEL ALCIDES CARRION</v>
      </c>
      <c r="F432" s="14" t="s">
        <v>16</v>
      </c>
      <c r="G432" s="19" t="s">
        <v>21</v>
      </c>
      <c r="H432" s="12" t="s">
        <v>24</v>
      </c>
      <c r="I432" s="15">
        <v>2024.0</v>
      </c>
      <c r="J432" s="16" t="str">
        <f>IFERROR(__xludf.DUMMYFUNCTION("FILTER('CLASFICACIÓN'!$F$3:$F5618,'CLASFICACIÓN'!$G$3:$G5618=M432)"),"SOLO 2024")</f>
        <v>SOLO 2024</v>
      </c>
      <c r="K432" s="16"/>
      <c r="L432" s="12" t="s">
        <v>49</v>
      </c>
      <c r="M432" s="16" t="str">
        <f t="shared" si="1"/>
        <v>14924 DANIEL ALCIDES CARRION4 Primaria</v>
      </c>
      <c r="N432" s="17"/>
      <c r="O432" s="17"/>
      <c r="P432" s="17"/>
      <c r="Q432" s="17"/>
      <c r="R432" s="17"/>
      <c r="S432" s="17"/>
      <c r="T432" s="17"/>
    </row>
    <row r="433" ht="15.75" customHeight="1">
      <c r="A433" s="18">
        <v>9.0</v>
      </c>
      <c r="B433" s="12" t="s">
        <v>48</v>
      </c>
      <c r="C433" s="12" t="s">
        <v>14</v>
      </c>
      <c r="D433" s="19" t="s">
        <v>20</v>
      </c>
      <c r="E433" s="12" t="str">
        <f>IFERROR(__xludf.DUMMYFUNCTION("FILTER(colegios!$B$2:$B5618,colegios!$A$2:$A5618=L433)"),"14924 DANIEL ALCIDES CARRION")</f>
        <v>14924 DANIEL ALCIDES CARRION</v>
      </c>
      <c r="F433" s="14" t="s">
        <v>16</v>
      </c>
      <c r="G433" s="19" t="s">
        <v>21</v>
      </c>
      <c r="H433" s="12" t="s">
        <v>24</v>
      </c>
      <c r="I433" s="15">
        <v>2024.0</v>
      </c>
      <c r="J433" s="16" t="str">
        <f>IFERROR(__xludf.DUMMYFUNCTION("FILTER('CLASFICACIÓN'!$F$3:$F5618,'CLASFICACIÓN'!$G$3:$G5618=M433)"),"SOLO 2024")</f>
        <v>SOLO 2024</v>
      </c>
      <c r="K433" s="16"/>
      <c r="L433" s="12" t="s">
        <v>49</v>
      </c>
      <c r="M433" s="16" t="str">
        <f t="shared" si="1"/>
        <v>14924 DANIEL ALCIDES CARRION4 Primaria</v>
      </c>
      <c r="N433" s="17"/>
      <c r="O433" s="17"/>
      <c r="P433" s="17"/>
      <c r="Q433" s="17"/>
      <c r="R433" s="17"/>
      <c r="S433" s="17"/>
      <c r="T433" s="17"/>
    </row>
    <row r="434" ht="15.75" customHeight="1">
      <c r="A434" s="18">
        <v>10.0</v>
      </c>
      <c r="B434" s="12" t="s">
        <v>48</v>
      </c>
      <c r="C434" s="12" t="s">
        <v>14</v>
      </c>
      <c r="D434" s="19" t="s">
        <v>20</v>
      </c>
      <c r="E434" s="12" t="str">
        <f>IFERROR(__xludf.DUMMYFUNCTION("FILTER(colegios!$B$2:$B5618,colegios!$A$2:$A5618=L434)"),"14924 DANIEL ALCIDES CARRION")</f>
        <v>14924 DANIEL ALCIDES CARRION</v>
      </c>
      <c r="F434" s="14" t="s">
        <v>16</v>
      </c>
      <c r="G434" s="20" t="s">
        <v>21</v>
      </c>
      <c r="H434" s="12" t="s">
        <v>24</v>
      </c>
      <c r="I434" s="15">
        <v>2024.0</v>
      </c>
      <c r="J434" s="16" t="str">
        <f>IFERROR(__xludf.DUMMYFUNCTION("FILTER('CLASFICACIÓN'!$F$3:$F5618,'CLASFICACIÓN'!$G$3:$G5618=M434)"),"SOLO 2024")</f>
        <v>SOLO 2024</v>
      </c>
      <c r="K434" s="16"/>
      <c r="L434" s="12" t="s">
        <v>49</v>
      </c>
      <c r="M434" s="16" t="str">
        <f t="shared" si="1"/>
        <v>14924 DANIEL ALCIDES CARRION4 Primaria</v>
      </c>
      <c r="N434" s="17"/>
      <c r="O434" s="17"/>
      <c r="P434" s="17"/>
      <c r="Q434" s="17"/>
      <c r="R434" s="17"/>
      <c r="S434" s="17"/>
      <c r="T434" s="17"/>
    </row>
    <row r="435" ht="15.75" customHeight="1">
      <c r="A435" s="18">
        <v>11.0</v>
      </c>
      <c r="B435" s="12" t="s">
        <v>48</v>
      </c>
      <c r="C435" s="12" t="s">
        <v>14</v>
      </c>
      <c r="D435" s="19" t="s">
        <v>20</v>
      </c>
      <c r="E435" s="12" t="str">
        <f>IFERROR(__xludf.DUMMYFUNCTION("FILTER(colegios!$B$2:$B5618,colegios!$A$2:$A5618=L435)"),"14924 DANIEL ALCIDES CARRION")</f>
        <v>14924 DANIEL ALCIDES CARRION</v>
      </c>
      <c r="F435" s="14" t="s">
        <v>16</v>
      </c>
      <c r="G435" s="19" t="s">
        <v>17</v>
      </c>
      <c r="H435" s="12" t="s">
        <v>24</v>
      </c>
      <c r="I435" s="15">
        <v>2024.0</v>
      </c>
      <c r="J435" s="16" t="str">
        <f>IFERROR(__xludf.DUMMYFUNCTION("FILTER('CLASFICACIÓN'!$F$3:$F5618,'CLASFICACIÓN'!$G$3:$G5618=M435)"),"SOLO 2024")</f>
        <v>SOLO 2024</v>
      </c>
      <c r="K435" s="16"/>
      <c r="L435" s="12" t="s">
        <v>49</v>
      </c>
      <c r="M435" s="16" t="str">
        <f t="shared" si="1"/>
        <v>14924 DANIEL ALCIDES CARRION4 Primaria</v>
      </c>
      <c r="N435" s="17"/>
      <c r="O435" s="17"/>
      <c r="P435" s="17"/>
      <c r="Q435" s="17"/>
      <c r="R435" s="17"/>
      <c r="S435" s="17"/>
      <c r="T435" s="17"/>
    </row>
    <row r="436" ht="15.75" customHeight="1">
      <c r="A436" s="18">
        <v>12.0</v>
      </c>
      <c r="B436" s="12" t="s">
        <v>48</v>
      </c>
      <c r="C436" s="12" t="s">
        <v>14</v>
      </c>
      <c r="D436" s="19" t="s">
        <v>20</v>
      </c>
      <c r="E436" s="12" t="str">
        <f>IFERROR(__xludf.DUMMYFUNCTION("FILTER(colegios!$B$2:$B5618,colegios!$A$2:$A5618=L436)"),"14924 DANIEL ALCIDES CARRION")</f>
        <v>14924 DANIEL ALCIDES CARRION</v>
      </c>
      <c r="F436" s="14" t="s">
        <v>16</v>
      </c>
      <c r="G436" s="19" t="s">
        <v>21</v>
      </c>
      <c r="H436" s="12" t="s">
        <v>24</v>
      </c>
      <c r="I436" s="15">
        <v>2024.0</v>
      </c>
      <c r="J436" s="16" t="str">
        <f>IFERROR(__xludf.DUMMYFUNCTION("FILTER('CLASFICACIÓN'!$F$3:$F5618,'CLASFICACIÓN'!$G$3:$G5618=M436)"),"SOLO 2024")</f>
        <v>SOLO 2024</v>
      </c>
      <c r="K436" s="16"/>
      <c r="L436" s="12" t="s">
        <v>49</v>
      </c>
      <c r="M436" s="16" t="str">
        <f t="shared" si="1"/>
        <v>14924 DANIEL ALCIDES CARRION4 Primaria</v>
      </c>
      <c r="N436" s="17"/>
      <c r="O436" s="17"/>
      <c r="P436" s="17"/>
      <c r="Q436" s="17"/>
      <c r="R436" s="17"/>
      <c r="S436" s="17"/>
      <c r="T436" s="17"/>
    </row>
    <row r="437" ht="15.75" customHeight="1">
      <c r="A437" s="18">
        <v>13.0</v>
      </c>
      <c r="B437" s="12" t="s">
        <v>48</v>
      </c>
      <c r="C437" s="12" t="s">
        <v>14</v>
      </c>
      <c r="D437" s="19" t="s">
        <v>20</v>
      </c>
      <c r="E437" s="12" t="str">
        <f>IFERROR(__xludf.DUMMYFUNCTION("FILTER(colegios!$B$2:$B5618,colegios!$A$2:$A5618=L437)"),"14924 DANIEL ALCIDES CARRION")</f>
        <v>14924 DANIEL ALCIDES CARRION</v>
      </c>
      <c r="F437" s="14" t="s">
        <v>16</v>
      </c>
      <c r="G437" s="19" t="s">
        <v>21</v>
      </c>
      <c r="H437" s="12" t="s">
        <v>24</v>
      </c>
      <c r="I437" s="15">
        <v>2024.0</v>
      </c>
      <c r="J437" s="16" t="str">
        <f>IFERROR(__xludf.DUMMYFUNCTION("FILTER('CLASFICACIÓN'!$F$3:$F5618,'CLASFICACIÓN'!$G$3:$G5618=M437)"),"SOLO 2024")</f>
        <v>SOLO 2024</v>
      </c>
      <c r="K437" s="16"/>
      <c r="L437" s="12" t="s">
        <v>49</v>
      </c>
      <c r="M437" s="16" t="str">
        <f t="shared" si="1"/>
        <v>14924 DANIEL ALCIDES CARRION4 Primaria</v>
      </c>
      <c r="N437" s="17"/>
      <c r="O437" s="17"/>
      <c r="P437" s="17"/>
      <c r="Q437" s="17"/>
      <c r="R437" s="17"/>
      <c r="S437" s="17"/>
      <c r="T437" s="17"/>
    </row>
    <row r="438" ht="15.75" customHeight="1">
      <c r="A438" s="18">
        <v>14.0</v>
      </c>
      <c r="B438" s="12" t="s">
        <v>48</v>
      </c>
      <c r="C438" s="12" t="s">
        <v>14</v>
      </c>
      <c r="D438" s="19" t="s">
        <v>20</v>
      </c>
      <c r="E438" s="12" t="str">
        <f>IFERROR(__xludf.DUMMYFUNCTION("FILTER(colegios!$B$2:$B5618,colegios!$A$2:$A5618=L438)"),"14924 DANIEL ALCIDES CARRION")</f>
        <v>14924 DANIEL ALCIDES CARRION</v>
      </c>
      <c r="F438" s="14" t="s">
        <v>16</v>
      </c>
      <c r="G438" s="19" t="s">
        <v>21</v>
      </c>
      <c r="H438" s="12" t="s">
        <v>18</v>
      </c>
      <c r="I438" s="15">
        <v>2024.0</v>
      </c>
      <c r="J438" s="16" t="str">
        <f>IFERROR(__xludf.DUMMYFUNCTION("FILTER('CLASFICACIÓN'!$F$3:$F5618,'CLASFICACIÓN'!$G$3:$G5618=M438)"),"SOLO 2024")</f>
        <v>SOLO 2024</v>
      </c>
      <c r="K438" s="16"/>
      <c r="L438" s="12" t="s">
        <v>49</v>
      </c>
      <c r="M438" s="16" t="str">
        <f t="shared" si="1"/>
        <v>14924 DANIEL ALCIDES CARRION4 Primaria</v>
      </c>
      <c r="N438" s="17"/>
      <c r="O438" s="17"/>
      <c r="P438" s="17"/>
      <c r="Q438" s="17"/>
      <c r="R438" s="17"/>
      <c r="S438" s="17"/>
      <c r="T438" s="17"/>
    </row>
    <row r="439" ht="15.75" customHeight="1">
      <c r="A439" s="18">
        <v>15.0</v>
      </c>
      <c r="B439" s="12" t="s">
        <v>48</v>
      </c>
      <c r="C439" s="12" t="s">
        <v>14</v>
      </c>
      <c r="D439" s="19" t="s">
        <v>20</v>
      </c>
      <c r="E439" s="12" t="str">
        <f>IFERROR(__xludf.DUMMYFUNCTION("FILTER(colegios!$B$2:$B5618,colegios!$A$2:$A5618=L439)"),"14924 DANIEL ALCIDES CARRION")</f>
        <v>14924 DANIEL ALCIDES CARRION</v>
      </c>
      <c r="F439" s="14" t="s">
        <v>16</v>
      </c>
      <c r="G439" s="19" t="s">
        <v>17</v>
      </c>
      <c r="H439" s="12" t="s">
        <v>24</v>
      </c>
      <c r="I439" s="15">
        <v>2024.0</v>
      </c>
      <c r="J439" s="16" t="str">
        <f>IFERROR(__xludf.DUMMYFUNCTION("FILTER('CLASFICACIÓN'!$F$3:$F5618,'CLASFICACIÓN'!$G$3:$G5618=M439)"),"SOLO 2024")</f>
        <v>SOLO 2024</v>
      </c>
      <c r="K439" s="16"/>
      <c r="L439" s="12" t="s">
        <v>49</v>
      </c>
      <c r="M439" s="16" t="str">
        <f t="shared" si="1"/>
        <v>14924 DANIEL ALCIDES CARRION4 Primaria</v>
      </c>
      <c r="N439" s="17"/>
      <c r="O439" s="17"/>
      <c r="P439" s="17"/>
      <c r="Q439" s="17"/>
      <c r="R439" s="17"/>
      <c r="S439" s="17"/>
      <c r="T439" s="17"/>
    </row>
    <row r="440" ht="15.75" customHeight="1">
      <c r="A440" s="18">
        <v>16.0</v>
      </c>
      <c r="B440" s="12" t="s">
        <v>48</v>
      </c>
      <c r="C440" s="12" t="s">
        <v>14</v>
      </c>
      <c r="D440" s="19" t="s">
        <v>20</v>
      </c>
      <c r="E440" s="12" t="str">
        <f>IFERROR(__xludf.DUMMYFUNCTION("FILTER(colegios!$B$2:$B5618,colegios!$A$2:$A5618=L440)"),"14924 DANIEL ALCIDES CARRION")</f>
        <v>14924 DANIEL ALCIDES CARRION</v>
      </c>
      <c r="F440" s="14" t="s">
        <v>16</v>
      </c>
      <c r="G440" s="19" t="s">
        <v>17</v>
      </c>
      <c r="H440" s="12" t="s">
        <v>18</v>
      </c>
      <c r="I440" s="15">
        <v>2024.0</v>
      </c>
      <c r="J440" s="16" t="str">
        <f>IFERROR(__xludf.DUMMYFUNCTION("FILTER('CLASFICACIÓN'!$F$3:$F5618,'CLASFICACIÓN'!$G$3:$G5618=M440)"),"SOLO 2024")</f>
        <v>SOLO 2024</v>
      </c>
      <c r="K440" s="16"/>
      <c r="L440" s="12" t="s">
        <v>49</v>
      </c>
      <c r="M440" s="16" t="str">
        <f t="shared" si="1"/>
        <v>14924 DANIEL ALCIDES CARRION4 Primaria</v>
      </c>
      <c r="N440" s="17"/>
      <c r="O440" s="17"/>
      <c r="P440" s="17"/>
      <c r="Q440" s="17"/>
      <c r="R440" s="17"/>
      <c r="S440" s="17"/>
      <c r="T440" s="17"/>
    </row>
    <row r="441" ht="15.75" customHeight="1">
      <c r="A441" s="18">
        <v>17.0</v>
      </c>
      <c r="B441" s="12" t="s">
        <v>48</v>
      </c>
      <c r="C441" s="12" t="s">
        <v>14</v>
      </c>
      <c r="D441" s="19" t="s">
        <v>20</v>
      </c>
      <c r="E441" s="12" t="str">
        <f>IFERROR(__xludf.DUMMYFUNCTION("FILTER(colegios!$B$2:$B5618,colegios!$A$2:$A5618=L441)"),"14924 DANIEL ALCIDES CARRION")</f>
        <v>14924 DANIEL ALCIDES CARRION</v>
      </c>
      <c r="F441" s="14" t="s">
        <v>16</v>
      </c>
      <c r="G441" s="19" t="s">
        <v>17</v>
      </c>
      <c r="H441" s="12" t="s">
        <v>24</v>
      </c>
      <c r="I441" s="15">
        <v>2024.0</v>
      </c>
      <c r="J441" s="16" t="str">
        <f>IFERROR(__xludf.DUMMYFUNCTION("FILTER('CLASFICACIÓN'!$F$3:$F5618,'CLASFICACIÓN'!$G$3:$G5618=M441)"),"SOLO 2024")</f>
        <v>SOLO 2024</v>
      </c>
      <c r="K441" s="16"/>
      <c r="L441" s="12" t="s">
        <v>49</v>
      </c>
      <c r="M441" s="16" t="str">
        <f t="shared" si="1"/>
        <v>14924 DANIEL ALCIDES CARRION4 Primaria</v>
      </c>
      <c r="N441" s="17"/>
      <c r="O441" s="17"/>
      <c r="P441" s="17"/>
      <c r="Q441" s="17"/>
      <c r="R441" s="17"/>
      <c r="S441" s="17"/>
      <c r="T441" s="17"/>
    </row>
    <row r="442" ht="15.75" customHeight="1">
      <c r="A442" s="18">
        <v>18.0</v>
      </c>
      <c r="B442" s="12" t="s">
        <v>48</v>
      </c>
      <c r="C442" s="12" t="s">
        <v>14</v>
      </c>
      <c r="D442" s="19" t="s">
        <v>20</v>
      </c>
      <c r="E442" s="12" t="str">
        <f>IFERROR(__xludf.DUMMYFUNCTION("FILTER(colegios!$B$2:$B5618,colegios!$A$2:$A5618=L442)"),"14924 DANIEL ALCIDES CARRION")</f>
        <v>14924 DANIEL ALCIDES CARRION</v>
      </c>
      <c r="F442" s="14" t="s">
        <v>16</v>
      </c>
      <c r="G442" s="19" t="s">
        <v>17</v>
      </c>
      <c r="H442" s="12" t="s">
        <v>18</v>
      </c>
      <c r="I442" s="15">
        <v>2024.0</v>
      </c>
      <c r="J442" s="16" t="str">
        <f>IFERROR(__xludf.DUMMYFUNCTION("FILTER('CLASFICACIÓN'!$F$3:$F5618,'CLASFICACIÓN'!$G$3:$G5618=M442)"),"SOLO 2024")</f>
        <v>SOLO 2024</v>
      </c>
      <c r="K442" s="16"/>
      <c r="L442" s="12" t="s">
        <v>49</v>
      </c>
      <c r="M442" s="16" t="str">
        <f t="shared" si="1"/>
        <v>14924 DANIEL ALCIDES CARRION4 Primaria</v>
      </c>
      <c r="N442" s="17"/>
      <c r="O442" s="17"/>
      <c r="P442" s="17"/>
      <c r="Q442" s="17"/>
      <c r="R442" s="17"/>
      <c r="S442" s="17"/>
      <c r="T442" s="17"/>
    </row>
    <row r="443" ht="15.75" customHeight="1">
      <c r="A443" s="18">
        <v>19.0</v>
      </c>
      <c r="B443" s="12" t="s">
        <v>48</v>
      </c>
      <c r="C443" s="12" t="s">
        <v>14</v>
      </c>
      <c r="D443" s="19" t="s">
        <v>20</v>
      </c>
      <c r="E443" s="12" t="str">
        <f>IFERROR(__xludf.DUMMYFUNCTION("FILTER(colegios!$B$2:$B5618,colegios!$A$2:$A5618=L443)"),"14924 DANIEL ALCIDES CARRION")</f>
        <v>14924 DANIEL ALCIDES CARRION</v>
      </c>
      <c r="F443" s="14" t="s">
        <v>16</v>
      </c>
      <c r="G443" s="19" t="s">
        <v>21</v>
      </c>
      <c r="H443" s="12" t="s">
        <v>18</v>
      </c>
      <c r="I443" s="15">
        <v>2024.0</v>
      </c>
      <c r="J443" s="16" t="str">
        <f>IFERROR(__xludf.DUMMYFUNCTION("FILTER('CLASFICACIÓN'!$F$3:$F5618,'CLASFICACIÓN'!$G$3:$G5618=M443)"),"SOLO 2024")</f>
        <v>SOLO 2024</v>
      </c>
      <c r="K443" s="16"/>
      <c r="L443" s="12" t="s">
        <v>49</v>
      </c>
      <c r="M443" s="16" t="str">
        <f t="shared" si="1"/>
        <v>14924 DANIEL ALCIDES CARRION4 Primaria</v>
      </c>
      <c r="N443" s="17"/>
      <c r="O443" s="17"/>
      <c r="P443" s="17"/>
      <c r="Q443" s="17"/>
      <c r="R443" s="17"/>
      <c r="S443" s="17"/>
      <c r="T443" s="17"/>
    </row>
    <row r="444" ht="15.75" customHeight="1">
      <c r="A444" s="18">
        <v>20.0</v>
      </c>
      <c r="B444" s="12" t="s">
        <v>48</v>
      </c>
      <c r="C444" s="12" t="s">
        <v>14</v>
      </c>
      <c r="D444" s="19" t="s">
        <v>20</v>
      </c>
      <c r="E444" s="12" t="str">
        <f>IFERROR(__xludf.DUMMYFUNCTION("FILTER(colegios!$B$2:$B5618,colegios!$A$2:$A5618=L444)"),"14924 DANIEL ALCIDES CARRION")</f>
        <v>14924 DANIEL ALCIDES CARRION</v>
      </c>
      <c r="F444" s="14" t="s">
        <v>16</v>
      </c>
      <c r="G444" s="19" t="s">
        <v>21</v>
      </c>
      <c r="H444" s="12" t="s">
        <v>24</v>
      </c>
      <c r="I444" s="15">
        <v>2024.0</v>
      </c>
      <c r="J444" s="16" t="str">
        <f>IFERROR(__xludf.DUMMYFUNCTION("FILTER('CLASFICACIÓN'!$F$3:$F5618,'CLASFICACIÓN'!$G$3:$G5618=M444)"),"SOLO 2024")</f>
        <v>SOLO 2024</v>
      </c>
      <c r="K444" s="16"/>
      <c r="L444" s="12" t="s">
        <v>49</v>
      </c>
      <c r="M444" s="16" t="str">
        <f t="shared" si="1"/>
        <v>14924 DANIEL ALCIDES CARRION4 Primaria</v>
      </c>
      <c r="N444" s="17"/>
      <c r="O444" s="17"/>
      <c r="P444" s="17"/>
      <c r="Q444" s="17"/>
      <c r="R444" s="17"/>
      <c r="S444" s="17"/>
      <c r="T444" s="17"/>
    </row>
    <row r="445" ht="15.75" customHeight="1">
      <c r="A445" s="18">
        <v>21.0</v>
      </c>
      <c r="B445" s="12" t="s">
        <v>48</v>
      </c>
      <c r="C445" s="12" t="s">
        <v>14</v>
      </c>
      <c r="D445" s="19" t="s">
        <v>20</v>
      </c>
      <c r="E445" s="12" t="str">
        <f>IFERROR(__xludf.DUMMYFUNCTION("FILTER(colegios!$B$2:$B5618,colegios!$A$2:$A5618=L445)"),"14924 DANIEL ALCIDES CARRION")</f>
        <v>14924 DANIEL ALCIDES CARRION</v>
      </c>
      <c r="F445" s="14" t="s">
        <v>16</v>
      </c>
      <c r="G445" s="20" t="s">
        <v>17</v>
      </c>
      <c r="H445" s="12" t="s">
        <v>24</v>
      </c>
      <c r="I445" s="15">
        <v>2024.0</v>
      </c>
      <c r="J445" s="16" t="str">
        <f>IFERROR(__xludf.DUMMYFUNCTION("FILTER('CLASFICACIÓN'!$F$3:$F5618,'CLASFICACIÓN'!$G$3:$G5618=M445)"),"SOLO 2024")</f>
        <v>SOLO 2024</v>
      </c>
      <c r="K445" s="16"/>
      <c r="L445" s="12" t="s">
        <v>49</v>
      </c>
      <c r="M445" s="16" t="str">
        <f t="shared" si="1"/>
        <v>14924 DANIEL ALCIDES CARRION4 Primaria</v>
      </c>
      <c r="N445" s="17"/>
      <c r="O445" s="17"/>
      <c r="P445" s="17"/>
      <c r="Q445" s="17"/>
      <c r="R445" s="17"/>
      <c r="S445" s="17"/>
      <c r="T445" s="17"/>
    </row>
    <row r="446" ht="15.75" customHeight="1">
      <c r="A446" s="18">
        <v>22.0</v>
      </c>
      <c r="B446" s="12" t="s">
        <v>48</v>
      </c>
      <c r="C446" s="12" t="s">
        <v>14</v>
      </c>
      <c r="D446" s="19" t="s">
        <v>20</v>
      </c>
      <c r="E446" s="12" t="str">
        <f>IFERROR(__xludf.DUMMYFUNCTION("FILTER(colegios!$B$2:$B5618,colegios!$A$2:$A5618=L446)"),"14924 DANIEL ALCIDES CARRION")</f>
        <v>14924 DANIEL ALCIDES CARRION</v>
      </c>
      <c r="F446" s="14" t="s">
        <v>16</v>
      </c>
      <c r="G446" s="19" t="s">
        <v>21</v>
      </c>
      <c r="H446" s="12" t="s">
        <v>18</v>
      </c>
      <c r="I446" s="15">
        <v>2024.0</v>
      </c>
      <c r="J446" s="16" t="str">
        <f>IFERROR(__xludf.DUMMYFUNCTION("FILTER('CLASFICACIÓN'!$F$3:$F5618,'CLASFICACIÓN'!$G$3:$G5618=M446)"),"SOLO 2024")</f>
        <v>SOLO 2024</v>
      </c>
      <c r="K446" s="16"/>
      <c r="L446" s="12" t="s">
        <v>49</v>
      </c>
      <c r="M446" s="16" t="str">
        <f t="shared" si="1"/>
        <v>14924 DANIEL ALCIDES CARRION4 Primaria</v>
      </c>
      <c r="N446" s="17"/>
      <c r="O446" s="17"/>
      <c r="P446" s="17"/>
      <c r="Q446" s="17"/>
      <c r="R446" s="17"/>
      <c r="S446" s="17"/>
      <c r="T446" s="17"/>
    </row>
    <row r="447" ht="15.75" customHeight="1">
      <c r="A447" s="18">
        <v>23.0</v>
      </c>
      <c r="B447" s="12" t="s">
        <v>48</v>
      </c>
      <c r="C447" s="12" t="s">
        <v>14</v>
      </c>
      <c r="D447" s="19" t="s">
        <v>20</v>
      </c>
      <c r="E447" s="12" t="str">
        <f>IFERROR(__xludf.DUMMYFUNCTION("FILTER(colegios!$B$2:$B5618,colegios!$A$2:$A5618=L447)"),"20104")</f>
        <v>20104</v>
      </c>
      <c r="F447" s="14" t="s">
        <v>16</v>
      </c>
      <c r="G447" s="19" t="s">
        <v>21</v>
      </c>
      <c r="H447" s="12" t="s">
        <v>24</v>
      </c>
      <c r="I447" s="15">
        <v>2024.0</v>
      </c>
      <c r="J447" s="16" t="str">
        <f>IFERROR(__xludf.DUMMYFUNCTION("FILTER('CLASFICACIÓN'!$F$3:$F5618,'CLASFICACIÓN'!$G$3:$G5618=M447)"),"2023 Y 2024")</f>
        <v>2023 Y 2024</v>
      </c>
      <c r="K447" s="16"/>
      <c r="L447" s="12" t="s">
        <v>50</v>
      </c>
      <c r="M447" s="16" t="str">
        <f t="shared" si="1"/>
        <v>201044 Primaria</v>
      </c>
      <c r="N447" s="17"/>
      <c r="O447" s="17"/>
      <c r="P447" s="17"/>
      <c r="Q447" s="17"/>
      <c r="R447" s="17"/>
      <c r="S447" s="17"/>
      <c r="T447" s="17"/>
    </row>
    <row r="448" ht="15.75" customHeight="1">
      <c r="A448" s="18">
        <v>24.0</v>
      </c>
      <c r="B448" s="12" t="s">
        <v>48</v>
      </c>
      <c r="C448" s="12" t="s">
        <v>14</v>
      </c>
      <c r="D448" s="19" t="s">
        <v>20</v>
      </c>
      <c r="E448" s="12" t="str">
        <f>IFERROR(__xludf.DUMMYFUNCTION("FILTER(colegios!$B$2:$B5618,colegios!$A$2:$A5618=L448)"),"20104")</f>
        <v>20104</v>
      </c>
      <c r="F448" s="14" t="s">
        <v>16</v>
      </c>
      <c r="G448" s="20" t="s">
        <v>21</v>
      </c>
      <c r="H448" s="12" t="s">
        <v>18</v>
      </c>
      <c r="I448" s="15">
        <v>2024.0</v>
      </c>
      <c r="J448" s="16" t="str">
        <f>IFERROR(__xludf.DUMMYFUNCTION("FILTER('CLASFICACIÓN'!$F$3:$F5618,'CLASFICACIÓN'!$G$3:$G5618=M448)"),"2023 Y 2024")</f>
        <v>2023 Y 2024</v>
      </c>
      <c r="K448" s="16"/>
      <c r="L448" s="12" t="s">
        <v>50</v>
      </c>
      <c r="M448" s="16" t="str">
        <f t="shared" si="1"/>
        <v>201044 Primaria</v>
      </c>
      <c r="N448" s="17"/>
      <c r="O448" s="17"/>
      <c r="P448" s="17"/>
      <c r="Q448" s="17"/>
      <c r="R448" s="17"/>
      <c r="S448" s="17"/>
      <c r="T448" s="17"/>
    </row>
    <row r="449" ht="15.75" customHeight="1">
      <c r="A449" s="18">
        <v>25.0</v>
      </c>
      <c r="B449" s="12" t="s">
        <v>48</v>
      </c>
      <c r="C449" s="12" t="s">
        <v>14</v>
      </c>
      <c r="D449" s="19" t="s">
        <v>20</v>
      </c>
      <c r="E449" s="12" t="str">
        <f>IFERROR(__xludf.DUMMYFUNCTION("FILTER(colegios!$B$2:$B5618,colegios!$A$2:$A5618=L449)"),"20104")</f>
        <v>20104</v>
      </c>
      <c r="F449" s="14" t="s">
        <v>16</v>
      </c>
      <c r="G449" s="20" t="s">
        <v>17</v>
      </c>
      <c r="H449" s="12" t="s">
        <v>18</v>
      </c>
      <c r="I449" s="15">
        <v>2024.0</v>
      </c>
      <c r="J449" s="16" t="str">
        <f>IFERROR(__xludf.DUMMYFUNCTION("FILTER('CLASFICACIÓN'!$F$3:$F5618,'CLASFICACIÓN'!$G$3:$G5618=M449)"),"2023 Y 2024")</f>
        <v>2023 Y 2024</v>
      </c>
      <c r="K449" s="16"/>
      <c r="L449" s="12" t="s">
        <v>50</v>
      </c>
      <c r="M449" s="16" t="str">
        <f t="shared" si="1"/>
        <v>201044 Primaria</v>
      </c>
      <c r="N449" s="17"/>
      <c r="O449" s="17"/>
      <c r="P449" s="17"/>
      <c r="Q449" s="17"/>
      <c r="R449" s="17"/>
      <c r="S449" s="17"/>
      <c r="T449" s="17"/>
    </row>
    <row r="450" ht="15.75" customHeight="1">
      <c r="A450" s="18">
        <v>26.0</v>
      </c>
      <c r="B450" s="12" t="s">
        <v>48</v>
      </c>
      <c r="C450" s="12" t="s">
        <v>14</v>
      </c>
      <c r="D450" s="19" t="s">
        <v>20</v>
      </c>
      <c r="E450" s="12" t="str">
        <f>IFERROR(__xludf.DUMMYFUNCTION("FILTER(colegios!$B$2:$B5618,colegios!$A$2:$A5618=L450)"),"20104")</f>
        <v>20104</v>
      </c>
      <c r="F450" s="14" t="s">
        <v>16</v>
      </c>
      <c r="G450" s="20" t="s">
        <v>17</v>
      </c>
      <c r="H450" s="12" t="s">
        <v>24</v>
      </c>
      <c r="I450" s="15">
        <v>2024.0</v>
      </c>
      <c r="J450" s="16" t="str">
        <f>IFERROR(__xludf.DUMMYFUNCTION("FILTER('CLASFICACIÓN'!$F$3:$F5618,'CLASFICACIÓN'!$G$3:$G5618=M450)"),"2023 Y 2024")</f>
        <v>2023 Y 2024</v>
      </c>
      <c r="K450" s="16"/>
      <c r="L450" s="12" t="s">
        <v>50</v>
      </c>
      <c r="M450" s="16" t="str">
        <f t="shared" si="1"/>
        <v>201044 Primaria</v>
      </c>
      <c r="N450" s="17"/>
      <c r="O450" s="17"/>
      <c r="P450" s="17"/>
      <c r="Q450" s="17"/>
      <c r="R450" s="17"/>
      <c r="S450" s="17"/>
      <c r="T450" s="17"/>
    </row>
    <row r="451" ht="15.75" customHeight="1">
      <c r="A451" s="18">
        <v>27.0</v>
      </c>
      <c r="B451" s="12" t="s">
        <v>48</v>
      </c>
      <c r="C451" s="12" t="s">
        <v>14</v>
      </c>
      <c r="D451" s="19" t="s">
        <v>20</v>
      </c>
      <c r="E451" s="12" t="str">
        <f>IFERROR(__xludf.DUMMYFUNCTION("FILTER(colegios!$B$2:$B5618,colegios!$A$2:$A5618=L451)"),"20104")</f>
        <v>20104</v>
      </c>
      <c r="F451" s="14" t="s">
        <v>16</v>
      </c>
      <c r="G451" s="20" t="s">
        <v>17</v>
      </c>
      <c r="H451" s="12" t="s">
        <v>18</v>
      </c>
      <c r="I451" s="15">
        <v>2024.0</v>
      </c>
      <c r="J451" s="16" t="str">
        <f>IFERROR(__xludf.DUMMYFUNCTION("FILTER('CLASFICACIÓN'!$F$3:$F5618,'CLASFICACIÓN'!$G$3:$G5618=M451)"),"2023 Y 2024")</f>
        <v>2023 Y 2024</v>
      </c>
      <c r="K451" s="16"/>
      <c r="L451" s="12" t="s">
        <v>50</v>
      </c>
      <c r="M451" s="16" t="str">
        <f t="shared" si="1"/>
        <v>201044 Primaria</v>
      </c>
      <c r="N451" s="17"/>
      <c r="O451" s="17"/>
      <c r="P451" s="17"/>
      <c r="Q451" s="17"/>
      <c r="R451" s="17"/>
      <c r="S451" s="17"/>
      <c r="T451" s="17"/>
    </row>
    <row r="452" ht="15.75" customHeight="1">
      <c r="A452" s="18">
        <v>28.0</v>
      </c>
      <c r="B452" s="12" t="s">
        <v>48</v>
      </c>
      <c r="C452" s="12" t="s">
        <v>14</v>
      </c>
      <c r="D452" s="19" t="s">
        <v>20</v>
      </c>
      <c r="E452" s="12" t="str">
        <f>IFERROR(__xludf.DUMMYFUNCTION("FILTER(colegios!$B$2:$B5618,colegios!$A$2:$A5618=L452)"),"20104")</f>
        <v>20104</v>
      </c>
      <c r="F452" s="14" t="s">
        <v>16</v>
      </c>
      <c r="G452" s="19" t="s">
        <v>21</v>
      </c>
      <c r="H452" s="12" t="s">
        <v>18</v>
      </c>
      <c r="I452" s="15">
        <v>2024.0</v>
      </c>
      <c r="J452" s="16" t="str">
        <f>IFERROR(__xludf.DUMMYFUNCTION("FILTER('CLASFICACIÓN'!$F$3:$F5618,'CLASFICACIÓN'!$G$3:$G5618=M452)"),"2023 Y 2024")</f>
        <v>2023 Y 2024</v>
      </c>
      <c r="K452" s="16"/>
      <c r="L452" s="12" t="s">
        <v>50</v>
      </c>
      <c r="M452" s="16" t="str">
        <f t="shared" si="1"/>
        <v>201044 Primaria</v>
      </c>
      <c r="N452" s="17"/>
      <c r="O452" s="17"/>
      <c r="P452" s="17"/>
      <c r="Q452" s="17"/>
      <c r="R452" s="17"/>
      <c r="S452" s="17"/>
      <c r="T452" s="17"/>
    </row>
    <row r="453" ht="15.75" customHeight="1">
      <c r="A453" s="18">
        <v>29.0</v>
      </c>
      <c r="B453" s="12" t="s">
        <v>48</v>
      </c>
      <c r="C453" s="12" t="s">
        <v>14</v>
      </c>
      <c r="D453" s="19" t="s">
        <v>20</v>
      </c>
      <c r="E453" s="12" t="str">
        <f>IFERROR(__xludf.DUMMYFUNCTION("FILTER(colegios!$B$2:$B5618,colegios!$A$2:$A5618=L453)"),"20104")</f>
        <v>20104</v>
      </c>
      <c r="F453" s="14" t="s">
        <v>16</v>
      </c>
      <c r="G453" s="20" t="s">
        <v>21</v>
      </c>
      <c r="H453" s="12" t="s">
        <v>24</v>
      </c>
      <c r="I453" s="15">
        <v>2024.0</v>
      </c>
      <c r="J453" s="16" t="str">
        <f>IFERROR(__xludf.DUMMYFUNCTION("FILTER('CLASFICACIÓN'!$F$3:$F5618,'CLASFICACIÓN'!$G$3:$G5618=M453)"),"2023 Y 2024")</f>
        <v>2023 Y 2024</v>
      </c>
      <c r="K453" s="16"/>
      <c r="L453" s="12" t="s">
        <v>50</v>
      </c>
      <c r="M453" s="16" t="str">
        <f t="shared" si="1"/>
        <v>201044 Primaria</v>
      </c>
      <c r="N453" s="17"/>
      <c r="O453" s="17"/>
      <c r="P453" s="17"/>
      <c r="Q453" s="17"/>
      <c r="R453" s="17"/>
      <c r="S453" s="17"/>
      <c r="T453" s="17"/>
    </row>
    <row r="454" ht="15.75" customHeight="1">
      <c r="A454" s="18">
        <v>30.0</v>
      </c>
      <c r="B454" s="12" t="s">
        <v>48</v>
      </c>
      <c r="C454" s="12" t="s">
        <v>14</v>
      </c>
      <c r="D454" s="19" t="s">
        <v>20</v>
      </c>
      <c r="E454" s="12" t="str">
        <f>IFERROR(__xludf.DUMMYFUNCTION("FILTER(colegios!$B$2:$B5618,colegios!$A$2:$A5618=L454)"),"14975")</f>
        <v>14975</v>
      </c>
      <c r="F454" s="14" t="s">
        <v>16</v>
      </c>
      <c r="G454" s="19" t="s">
        <v>21</v>
      </c>
      <c r="H454" s="12" t="s">
        <v>24</v>
      </c>
      <c r="I454" s="15">
        <v>2024.0</v>
      </c>
      <c r="J454" s="16" t="str">
        <f>IFERROR(__xludf.DUMMYFUNCTION("FILTER('CLASFICACIÓN'!$F$3:$F5618,'CLASFICACIÓN'!$G$3:$G5618=M454)"),"SOLO 2024")</f>
        <v>SOLO 2024</v>
      </c>
      <c r="K454" s="16"/>
      <c r="L454" s="12" t="s">
        <v>51</v>
      </c>
      <c r="M454" s="16" t="str">
        <f t="shared" si="1"/>
        <v>149754 Primaria</v>
      </c>
      <c r="N454" s="17"/>
      <c r="O454" s="17"/>
      <c r="P454" s="17"/>
      <c r="Q454" s="17"/>
      <c r="R454" s="17"/>
      <c r="S454" s="17"/>
      <c r="T454" s="17"/>
    </row>
    <row r="455" ht="15.75" customHeight="1">
      <c r="A455" s="18">
        <v>31.0</v>
      </c>
      <c r="B455" s="12" t="s">
        <v>48</v>
      </c>
      <c r="C455" s="12" t="s">
        <v>14</v>
      </c>
      <c r="D455" s="19" t="s">
        <v>20</v>
      </c>
      <c r="E455" s="12" t="str">
        <f>IFERROR(__xludf.DUMMYFUNCTION("FILTER(colegios!$B$2:$B5618,colegios!$A$2:$A5618=L455)"),"14975")</f>
        <v>14975</v>
      </c>
      <c r="F455" s="14" t="s">
        <v>16</v>
      </c>
      <c r="G455" s="20" t="s">
        <v>17</v>
      </c>
      <c r="H455" s="12" t="s">
        <v>24</v>
      </c>
      <c r="I455" s="15">
        <v>2024.0</v>
      </c>
      <c r="J455" s="16" t="str">
        <f>IFERROR(__xludf.DUMMYFUNCTION("FILTER('CLASFICACIÓN'!$F$3:$F5618,'CLASFICACIÓN'!$G$3:$G5618=M455)"),"SOLO 2024")</f>
        <v>SOLO 2024</v>
      </c>
      <c r="K455" s="16"/>
      <c r="L455" s="12" t="s">
        <v>51</v>
      </c>
      <c r="M455" s="16" t="str">
        <f t="shared" si="1"/>
        <v>149754 Primaria</v>
      </c>
      <c r="N455" s="17"/>
      <c r="O455" s="17"/>
      <c r="P455" s="17"/>
      <c r="Q455" s="17"/>
      <c r="R455" s="17"/>
      <c r="S455" s="17"/>
      <c r="T455" s="17"/>
    </row>
    <row r="456" ht="15.75" customHeight="1">
      <c r="A456" s="18">
        <v>32.0</v>
      </c>
      <c r="B456" s="12" t="s">
        <v>48</v>
      </c>
      <c r="C456" s="12" t="s">
        <v>14</v>
      </c>
      <c r="D456" s="19" t="s">
        <v>20</v>
      </c>
      <c r="E456" s="12" t="str">
        <f>IFERROR(__xludf.DUMMYFUNCTION("FILTER(colegios!$B$2:$B5618,colegios!$A$2:$A5618=L456)"),"14975")</f>
        <v>14975</v>
      </c>
      <c r="F456" s="14" t="s">
        <v>16</v>
      </c>
      <c r="G456" s="20" t="s">
        <v>17</v>
      </c>
      <c r="H456" s="12" t="s">
        <v>24</v>
      </c>
      <c r="I456" s="15">
        <v>2024.0</v>
      </c>
      <c r="J456" s="16" t="str">
        <f>IFERROR(__xludf.DUMMYFUNCTION("FILTER('CLASFICACIÓN'!$F$3:$F5618,'CLASFICACIÓN'!$G$3:$G5618=M456)"),"SOLO 2024")</f>
        <v>SOLO 2024</v>
      </c>
      <c r="K456" s="16"/>
      <c r="L456" s="12" t="s">
        <v>51</v>
      </c>
      <c r="M456" s="16" t="str">
        <f t="shared" si="1"/>
        <v>149754 Primaria</v>
      </c>
      <c r="N456" s="17"/>
      <c r="O456" s="17"/>
      <c r="P456" s="17"/>
      <c r="Q456" s="17"/>
      <c r="R456" s="17"/>
      <c r="S456" s="17"/>
      <c r="T456" s="17"/>
    </row>
    <row r="457" ht="15.75" customHeight="1">
      <c r="A457" s="18">
        <v>33.0</v>
      </c>
      <c r="B457" s="12" t="s">
        <v>48</v>
      </c>
      <c r="C457" s="12" t="s">
        <v>14</v>
      </c>
      <c r="D457" s="19" t="s">
        <v>20</v>
      </c>
      <c r="E457" s="12" t="str">
        <f>IFERROR(__xludf.DUMMYFUNCTION("FILTER(colegios!$B$2:$B5618,colegios!$A$2:$A5618=L457)"),"14975")</f>
        <v>14975</v>
      </c>
      <c r="F457" s="14" t="s">
        <v>16</v>
      </c>
      <c r="G457" s="19" t="s">
        <v>17</v>
      </c>
      <c r="H457" s="12" t="s">
        <v>24</v>
      </c>
      <c r="I457" s="15">
        <v>2024.0</v>
      </c>
      <c r="J457" s="16" t="str">
        <f>IFERROR(__xludf.DUMMYFUNCTION("FILTER('CLASFICACIÓN'!$F$3:$F5618,'CLASFICACIÓN'!$G$3:$G5618=M457)"),"SOLO 2024")</f>
        <v>SOLO 2024</v>
      </c>
      <c r="K457" s="16"/>
      <c r="L457" s="12" t="s">
        <v>51</v>
      </c>
      <c r="M457" s="16" t="str">
        <f t="shared" si="1"/>
        <v>149754 Primaria</v>
      </c>
      <c r="N457" s="17"/>
      <c r="O457" s="17"/>
      <c r="P457" s="17"/>
      <c r="Q457" s="17"/>
      <c r="R457" s="17"/>
      <c r="S457" s="17"/>
      <c r="T457" s="17"/>
    </row>
    <row r="458" ht="15.75" customHeight="1">
      <c r="A458" s="18">
        <v>34.0</v>
      </c>
      <c r="B458" s="12" t="s">
        <v>48</v>
      </c>
      <c r="C458" s="12" t="s">
        <v>14</v>
      </c>
      <c r="D458" s="19" t="s">
        <v>20</v>
      </c>
      <c r="E458" s="12" t="str">
        <f>IFERROR(__xludf.DUMMYFUNCTION("FILTER(colegios!$B$2:$B5618,colegios!$A$2:$A5618=L458)"),"14975")</f>
        <v>14975</v>
      </c>
      <c r="F458" s="14" t="s">
        <v>16</v>
      </c>
      <c r="G458" s="20" t="s">
        <v>21</v>
      </c>
      <c r="H458" s="12" t="s">
        <v>24</v>
      </c>
      <c r="I458" s="15">
        <v>2024.0</v>
      </c>
      <c r="J458" s="16" t="str">
        <f>IFERROR(__xludf.DUMMYFUNCTION("FILTER('CLASFICACIÓN'!$F$3:$F5618,'CLASFICACIÓN'!$G$3:$G5618=M458)"),"SOLO 2024")</f>
        <v>SOLO 2024</v>
      </c>
      <c r="K458" s="16"/>
      <c r="L458" s="12" t="s">
        <v>51</v>
      </c>
      <c r="M458" s="16" t="str">
        <f t="shared" si="1"/>
        <v>149754 Primaria</v>
      </c>
      <c r="N458" s="17"/>
      <c r="O458" s="17"/>
      <c r="P458" s="17"/>
      <c r="Q458" s="17"/>
      <c r="R458" s="17"/>
      <c r="S458" s="17"/>
      <c r="T458" s="17"/>
    </row>
    <row r="459" ht="15.75" customHeight="1">
      <c r="A459" s="18">
        <v>35.0</v>
      </c>
      <c r="B459" s="12" t="s">
        <v>48</v>
      </c>
      <c r="C459" s="12" t="s">
        <v>14</v>
      </c>
      <c r="D459" s="19" t="s">
        <v>20</v>
      </c>
      <c r="E459" s="12" t="str">
        <f>IFERROR(__xludf.DUMMYFUNCTION("FILTER(colegios!$B$2:$B5618,colegios!$A$2:$A5618=L459)"),"14975")</f>
        <v>14975</v>
      </c>
      <c r="F459" s="14" t="s">
        <v>16</v>
      </c>
      <c r="G459" s="19" t="s">
        <v>21</v>
      </c>
      <c r="H459" s="12" t="s">
        <v>24</v>
      </c>
      <c r="I459" s="15">
        <v>2024.0</v>
      </c>
      <c r="J459" s="16" t="str">
        <f>IFERROR(__xludf.DUMMYFUNCTION("FILTER('CLASFICACIÓN'!$F$3:$F5618,'CLASFICACIÓN'!$G$3:$G5618=M459)"),"SOLO 2024")</f>
        <v>SOLO 2024</v>
      </c>
      <c r="K459" s="16"/>
      <c r="L459" s="12" t="s">
        <v>51</v>
      </c>
      <c r="M459" s="16" t="str">
        <f t="shared" si="1"/>
        <v>149754 Primaria</v>
      </c>
      <c r="N459" s="17"/>
      <c r="O459" s="17"/>
      <c r="P459" s="17"/>
      <c r="Q459" s="17"/>
      <c r="R459" s="17"/>
      <c r="S459" s="17"/>
      <c r="T459" s="17"/>
    </row>
    <row r="460" ht="15.75" customHeight="1">
      <c r="A460" s="18">
        <v>36.0</v>
      </c>
      <c r="B460" s="12" t="s">
        <v>48</v>
      </c>
      <c r="C460" s="12" t="s">
        <v>14</v>
      </c>
      <c r="D460" s="19" t="s">
        <v>20</v>
      </c>
      <c r="E460" s="12" t="str">
        <f>IFERROR(__xludf.DUMMYFUNCTION("FILTER(colegios!$B$2:$B5618,colegios!$A$2:$A5618=L460)"),"15304")</f>
        <v>15304</v>
      </c>
      <c r="F460" s="14" t="s">
        <v>16</v>
      </c>
      <c r="G460" s="19" t="s">
        <v>21</v>
      </c>
      <c r="H460" s="12" t="s">
        <v>24</v>
      </c>
      <c r="I460" s="15">
        <v>2024.0</v>
      </c>
      <c r="J460" s="16" t="str">
        <f>IFERROR(__xludf.DUMMYFUNCTION("FILTER('CLASFICACIÓN'!$F$3:$F5618,'CLASFICACIÓN'!$G$3:$G5618=M460)"),"2023 Y 2024")</f>
        <v>2023 Y 2024</v>
      </c>
      <c r="K460" s="16"/>
      <c r="L460" s="12" t="s">
        <v>52</v>
      </c>
      <c r="M460" s="16" t="str">
        <f t="shared" si="1"/>
        <v>153044 Primaria</v>
      </c>
      <c r="N460" s="17"/>
      <c r="O460" s="17"/>
      <c r="P460" s="17"/>
      <c r="Q460" s="17"/>
      <c r="R460" s="17"/>
      <c r="S460" s="17"/>
      <c r="T460" s="17"/>
    </row>
    <row r="461" ht="15.75" customHeight="1">
      <c r="A461" s="18">
        <v>37.0</v>
      </c>
      <c r="B461" s="12" t="s">
        <v>48</v>
      </c>
      <c r="C461" s="12" t="s">
        <v>14</v>
      </c>
      <c r="D461" s="19" t="s">
        <v>20</v>
      </c>
      <c r="E461" s="12" t="str">
        <f>IFERROR(__xludf.DUMMYFUNCTION("FILTER(colegios!$B$2:$B5618,colegios!$A$2:$A5618=L461)"),"15304")</f>
        <v>15304</v>
      </c>
      <c r="F461" s="14" t="s">
        <v>16</v>
      </c>
      <c r="G461" s="20" t="s">
        <v>21</v>
      </c>
      <c r="H461" s="12" t="s">
        <v>24</v>
      </c>
      <c r="I461" s="15">
        <v>2024.0</v>
      </c>
      <c r="J461" s="16" t="str">
        <f>IFERROR(__xludf.DUMMYFUNCTION("FILTER('CLASFICACIÓN'!$F$3:$F5618,'CLASFICACIÓN'!$G$3:$G5618=M461)"),"2023 Y 2024")</f>
        <v>2023 Y 2024</v>
      </c>
      <c r="K461" s="16"/>
      <c r="L461" s="12" t="s">
        <v>52</v>
      </c>
      <c r="M461" s="16" t="str">
        <f t="shared" si="1"/>
        <v>153044 Primaria</v>
      </c>
      <c r="N461" s="17"/>
      <c r="O461" s="17"/>
      <c r="P461" s="17"/>
      <c r="Q461" s="17"/>
      <c r="R461" s="17"/>
      <c r="S461" s="17"/>
      <c r="T461" s="17"/>
    </row>
    <row r="462" ht="15.75" customHeight="1">
      <c r="A462" s="18">
        <v>38.0</v>
      </c>
      <c r="B462" s="12" t="s">
        <v>48</v>
      </c>
      <c r="C462" s="12" t="s">
        <v>14</v>
      </c>
      <c r="D462" s="19" t="s">
        <v>20</v>
      </c>
      <c r="E462" s="12" t="str">
        <f>IFERROR(__xludf.DUMMYFUNCTION("FILTER(colegios!$B$2:$B5618,colegios!$A$2:$A5618=L462)"),"SAGRADO CORAZON DE JESUS")</f>
        <v>SAGRADO CORAZON DE JESUS</v>
      </c>
      <c r="F462" s="14" t="s">
        <v>16</v>
      </c>
      <c r="G462" s="19" t="s">
        <v>21</v>
      </c>
      <c r="H462" s="12" t="s">
        <v>24</v>
      </c>
      <c r="I462" s="15">
        <v>2024.0</v>
      </c>
      <c r="J462" s="16" t="str">
        <f>IFERROR(__xludf.DUMMYFUNCTION("FILTER('CLASFICACIÓN'!$F$3:$F5618,'CLASFICACIÓN'!$G$3:$G5618=M462)"),"LOS 3 AÑOS")</f>
        <v>LOS 3 AÑOS</v>
      </c>
      <c r="K462" s="16"/>
      <c r="L462" s="12" t="s">
        <v>53</v>
      </c>
      <c r="M462" s="16" t="str">
        <f t="shared" si="1"/>
        <v>SAGRADO CORAZON DE JESUS4 Primaria</v>
      </c>
      <c r="N462" s="17"/>
      <c r="O462" s="17"/>
      <c r="P462" s="17"/>
      <c r="Q462" s="17"/>
      <c r="R462" s="17"/>
      <c r="S462" s="17"/>
      <c r="T462" s="17"/>
    </row>
    <row r="463" ht="15.75" customHeight="1">
      <c r="A463" s="18">
        <v>39.0</v>
      </c>
      <c r="B463" s="12" t="s">
        <v>48</v>
      </c>
      <c r="C463" s="12" t="s">
        <v>14</v>
      </c>
      <c r="D463" s="19" t="s">
        <v>20</v>
      </c>
      <c r="E463" s="12" t="str">
        <f>IFERROR(__xludf.DUMMYFUNCTION("FILTER(colegios!$B$2:$B5618,colegios!$A$2:$A5618=L463)"),"SAGRADO CORAZON DE JESUS")</f>
        <v>SAGRADO CORAZON DE JESUS</v>
      </c>
      <c r="F463" s="14" t="s">
        <v>16</v>
      </c>
      <c r="G463" s="20" t="s">
        <v>21</v>
      </c>
      <c r="H463" s="12" t="s">
        <v>24</v>
      </c>
      <c r="I463" s="15">
        <v>2024.0</v>
      </c>
      <c r="J463" s="16" t="str">
        <f>IFERROR(__xludf.DUMMYFUNCTION("FILTER('CLASFICACIÓN'!$F$3:$F5618,'CLASFICACIÓN'!$G$3:$G5618=M463)"),"LOS 3 AÑOS")</f>
        <v>LOS 3 AÑOS</v>
      </c>
      <c r="K463" s="16"/>
      <c r="L463" s="12" t="s">
        <v>53</v>
      </c>
      <c r="M463" s="16" t="str">
        <f t="shared" si="1"/>
        <v>SAGRADO CORAZON DE JESUS4 Primaria</v>
      </c>
      <c r="N463" s="17"/>
      <c r="O463" s="17"/>
      <c r="P463" s="17"/>
      <c r="Q463" s="17"/>
      <c r="R463" s="17"/>
      <c r="S463" s="17"/>
      <c r="T463" s="17"/>
    </row>
    <row r="464" ht="15.75" customHeight="1">
      <c r="A464" s="18">
        <v>40.0</v>
      </c>
      <c r="B464" s="12" t="s">
        <v>48</v>
      </c>
      <c r="C464" s="12" t="s">
        <v>14</v>
      </c>
      <c r="D464" s="19" t="s">
        <v>20</v>
      </c>
      <c r="E464" s="12" t="str">
        <f>IFERROR(__xludf.DUMMYFUNCTION("FILTER(colegios!$B$2:$B5618,colegios!$A$2:$A5618=L464)"),"SAGRADO CORAZON DE JESUS")</f>
        <v>SAGRADO CORAZON DE JESUS</v>
      </c>
      <c r="F464" s="14" t="s">
        <v>16</v>
      </c>
      <c r="G464" s="19" t="s">
        <v>17</v>
      </c>
      <c r="H464" s="12" t="s">
        <v>24</v>
      </c>
      <c r="I464" s="15">
        <v>2024.0</v>
      </c>
      <c r="J464" s="16" t="str">
        <f>IFERROR(__xludf.DUMMYFUNCTION("FILTER('CLASFICACIÓN'!$F$3:$F5618,'CLASFICACIÓN'!$G$3:$G5618=M464)"),"LOS 3 AÑOS")</f>
        <v>LOS 3 AÑOS</v>
      </c>
      <c r="K464" s="16"/>
      <c r="L464" s="12" t="s">
        <v>53</v>
      </c>
      <c r="M464" s="16" t="str">
        <f t="shared" si="1"/>
        <v>SAGRADO CORAZON DE JESUS4 Primaria</v>
      </c>
      <c r="N464" s="17"/>
      <c r="O464" s="17"/>
      <c r="P464" s="17"/>
      <c r="Q464" s="17"/>
      <c r="R464" s="17"/>
      <c r="S464" s="17"/>
      <c r="T464" s="17"/>
    </row>
    <row r="465" ht="15.75" customHeight="1">
      <c r="A465" s="18">
        <v>41.0</v>
      </c>
      <c r="B465" s="12" t="s">
        <v>48</v>
      </c>
      <c r="C465" s="12" t="s">
        <v>14</v>
      </c>
      <c r="D465" s="19" t="s">
        <v>20</v>
      </c>
      <c r="E465" s="12" t="str">
        <f>IFERROR(__xludf.DUMMYFUNCTION("FILTER(colegios!$B$2:$B5618,colegios!$A$2:$A5618=L465)"),"SAGRADO CORAZON DE JESUS")</f>
        <v>SAGRADO CORAZON DE JESUS</v>
      </c>
      <c r="F465" s="14" t="s">
        <v>16</v>
      </c>
      <c r="G465" s="20" t="s">
        <v>21</v>
      </c>
      <c r="H465" s="12" t="s">
        <v>24</v>
      </c>
      <c r="I465" s="15">
        <v>2024.0</v>
      </c>
      <c r="J465" s="16" t="str">
        <f>IFERROR(__xludf.DUMMYFUNCTION("FILTER('CLASFICACIÓN'!$F$3:$F5618,'CLASFICACIÓN'!$G$3:$G5618=M465)"),"LOS 3 AÑOS")</f>
        <v>LOS 3 AÑOS</v>
      </c>
      <c r="K465" s="16"/>
      <c r="L465" s="12" t="s">
        <v>53</v>
      </c>
      <c r="M465" s="16" t="str">
        <f t="shared" si="1"/>
        <v>SAGRADO CORAZON DE JESUS4 Primaria</v>
      </c>
      <c r="N465" s="17"/>
      <c r="O465" s="17"/>
      <c r="P465" s="17"/>
      <c r="Q465" s="17"/>
      <c r="R465" s="17"/>
      <c r="S465" s="17"/>
      <c r="T465" s="17"/>
    </row>
    <row r="466" ht="15.75" customHeight="1">
      <c r="A466" s="18">
        <v>42.0</v>
      </c>
      <c r="B466" s="12" t="s">
        <v>48</v>
      </c>
      <c r="C466" s="12" t="s">
        <v>14</v>
      </c>
      <c r="D466" s="19" t="s">
        <v>20</v>
      </c>
      <c r="E466" s="12" t="str">
        <f>IFERROR(__xludf.DUMMYFUNCTION("FILTER(colegios!$B$2:$B5618,colegios!$A$2:$A5618=L466)"),"SAGRADO CORAZON DE JESUS")</f>
        <v>SAGRADO CORAZON DE JESUS</v>
      </c>
      <c r="F466" s="14" t="s">
        <v>16</v>
      </c>
      <c r="G466" s="20" t="s">
        <v>17</v>
      </c>
      <c r="H466" s="12" t="s">
        <v>24</v>
      </c>
      <c r="I466" s="15">
        <v>2024.0</v>
      </c>
      <c r="J466" s="16" t="str">
        <f>IFERROR(__xludf.DUMMYFUNCTION("FILTER('CLASFICACIÓN'!$F$3:$F5618,'CLASFICACIÓN'!$G$3:$G5618=M466)"),"LOS 3 AÑOS")</f>
        <v>LOS 3 AÑOS</v>
      </c>
      <c r="K466" s="16"/>
      <c r="L466" s="12" t="s">
        <v>53</v>
      </c>
      <c r="M466" s="16" t="str">
        <f t="shared" si="1"/>
        <v>SAGRADO CORAZON DE JESUS4 Primaria</v>
      </c>
      <c r="N466" s="17"/>
      <c r="O466" s="17"/>
      <c r="P466" s="17"/>
      <c r="Q466" s="17"/>
      <c r="R466" s="17"/>
      <c r="S466" s="17"/>
      <c r="T466" s="17"/>
    </row>
    <row r="467" ht="15.75" customHeight="1">
      <c r="A467" s="18">
        <v>43.0</v>
      </c>
      <c r="B467" s="12" t="s">
        <v>48</v>
      </c>
      <c r="C467" s="12" t="s">
        <v>14</v>
      </c>
      <c r="D467" s="19" t="s">
        <v>20</v>
      </c>
      <c r="E467" s="12" t="str">
        <f>IFERROR(__xludf.DUMMYFUNCTION("FILTER(colegios!$B$2:$B5618,colegios!$A$2:$A5618=L467)"),"SAGRADO CORAZON DE JESUS")</f>
        <v>SAGRADO CORAZON DE JESUS</v>
      </c>
      <c r="F467" s="14" t="s">
        <v>16</v>
      </c>
      <c r="G467" s="20" t="s">
        <v>21</v>
      </c>
      <c r="H467" s="12" t="s">
        <v>24</v>
      </c>
      <c r="I467" s="15">
        <v>2024.0</v>
      </c>
      <c r="J467" s="16" t="str">
        <f>IFERROR(__xludf.DUMMYFUNCTION("FILTER('CLASFICACIÓN'!$F$3:$F5618,'CLASFICACIÓN'!$G$3:$G5618=M467)"),"LOS 3 AÑOS")</f>
        <v>LOS 3 AÑOS</v>
      </c>
      <c r="K467" s="16"/>
      <c r="L467" s="12" t="s">
        <v>53</v>
      </c>
      <c r="M467" s="16" t="str">
        <f t="shared" si="1"/>
        <v>SAGRADO CORAZON DE JESUS4 Primaria</v>
      </c>
      <c r="N467" s="17"/>
      <c r="O467" s="17"/>
      <c r="P467" s="17"/>
      <c r="Q467" s="17"/>
      <c r="R467" s="17"/>
      <c r="S467" s="17"/>
      <c r="T467" s="17"/>
    </row>
    <row r="468" ht="15.75" customHeight="1">
      <c r="A468" s="18">
        <v>44.0</v>
      </c>
      <c r="B468" s="12" t="s">
        <v>48</v>
      </c>
      <c r="C468" s="12" t="s">
        <v>14</v>
      </c>
      <c r="D468" s="19" t="s">
        <v>20</v>
      </c>
      <c r="E468" s="12" t="str">
        <f>IFERROR(__xludf.DUMMYFUNCTION("FILTER(colegios!$B$2:$B5618,colegios!$A$2:$A5618=L468)"),"SAGRADO CORAZON DE JESUS")</f>
        <v>SAGRADO CORAZON DE JESUS</v>
      </c>
      <c r="F468" s="14" t="s">
        <v>16</v>
      </c>
      <c r="G468" s="19" t="s">
        <v>17</v>
      </c>
      <c r="H468" s="12" t="s">
        <v>24</v>
      </c>
      <c r="I468" s="15">
        <v>2024.0</v>
      </c>
      <c r="J468" s="16" t="str">
        <f>IFERROR(__xludf.DUMMYFUNCTION("FILTER('CLASFICACIÓN'!$F$3:$F5618,'CLASFICACIÓN'!$G$3:$G5618=M468)"),"LOS 3 AÑOS")</f>
        <v>LOS 3 AÑOS</v>
      </c>
      <c r="K468" s="16"/>
      <c r="L468" s="12" t="s">
        <v>53</v>
      </c>
      <c r="M468" s="16" t="str">
        <f t="shared" si="1"/>
        <v>SAGRADO CORAZON DE JESUS4 Primaria</v>
      </c>
      <c r="N468" s="17"/>
      <c r="O468" s="17"/>
      <c r="P468" s="17"/>
      <c r="Q468" s="17"/>
      <c r="R468" s="17"/>
      <c r="S468" s="17"/>
      <c r="T468" s="17"/>
    </row>
    <row r="469" ht="15.75" customHeight="1">
      <c r="A469" s="18">
        <v>45.0</v>
      </c>
      <c r="B469" s="12" t="s">
        <v>48</v>
      </c>
      <c r="C469" s="12" t="s">
        <v>14</v>
      </c>
      <c r="D469" s="19" t="s">
        <v>20</v>
      </c>
      <c r="E469" s="12" t="str">
        <f>IFERROR(__xludf.DUMMYFUNCTION("FILTER(colegios!$B$2:$B5618,colegios!$A$2:$A5618=L469)"),"14144 SANTA ROSA")</f>
        <v>14144 SANTA ROSA</v>
      </c>
      <c r="F469" s="14" t="s">
        <v>16</v>
      </c>
      <c r="G469" s="20" t="s">
        <v>17</v>
      </c>
      <c r="H469" s="12" t="s">
        <v>24</v>
      </c>
      <c r="I469" s="15">
        <v>2024.0</v>
      </c>
      <c r="J469" s="16" t="str">
        <f>IFERROR(__xludf.DUMMYFUNCTION("FILTER('CLASFICACIÓN'!$F$3:$F5618,'CLASFICACIÓN'!$G$3:$G5618=M469)"),"LOS 3 AÑOS")</f>
        <v>LOS 3 AÑOS</v>
      </c>
      <c r="K469" s="16"/>
      <c r="L469" s="12" t="s">
        <v>55</v>
      </c>
      <c r="M469" s="16" t="str">
        <f t="shared" si="1"/>
        <v>14144 SANTA ROSA4 Primaria</v>
      </c>
      <c r="N469" s="17"/>
      <c r="O469" s="17"/>
      <c r="P469" s="17"/>
      <c r="Q469" s="17"/>
      <c r="R469" s="17"/>
      <c r="S469" s="17"/>
      <c r="T469" s="17"/>
    </row>
    <row r="470" ht="15.75" customHeight="1">
      <c r="A470" s="18">
        <v>46.0</v>
      </c>
      <c r="B470" s="12" t="s">
        <v>48</v>
      </c>
      <c r="C470" s="12" t="s">
        <v>14</v>
      </c>
      <c r="D470" s="19" t="s">
        <v>20</v>
      </c>
      <c r="E470" s="12" t="str">
        <f>IFERROR(__xludf.DUMMYFUNCTION("FILTER(colegios!$B$2:$B5618,colegios!$A$2:$A5618=L470)"),"14144 SANTA ROSA")</f>
        <v>14144 SANTA ROSA</v>
      </c>
      <c r="F470" s="14" t="s">
        <v>16</v>
      </c>
      <c r="G470" s="19" t="s">
        <v>17</v>
      </c>
      <c r="H470" s="12" t="s">
        <v>24</v>
      </c>
      <c r="I470" s="15">
        <v>2024.0</v>
      </c>
      <c r="J470" s="16" t="str">
        <f>IFERROR(__xludf.DUMMYFUNCTION("FILTER('CLASFICACIÓN'!$F$3:$F5618,'CLASFICACIÓN'!$G$3:$G5618=M470)"),"LOS 3 AÑOS")</f>
        <v>LOS 3 AÑOS</v>
      </c>
      <c r="K470" s="16"/>
      <c r="L470" s="12" t="s">
        <v>55</v>
      </c>
      <c r="M470" s="16" t="str">
        <f t="shared" si="1"/>
        <v>14144 SANTA ROSA4 Primaria</v>
      </c>
      <c r="N470" s="17"/>
      <c r="O470" s="17"/>
      <c r="P470" s="17"/>
      <c r="Q470" s="17"/>
      <c r="R470" s="17"/>
      <c r="S470" s="17"/>
      <c r="T470" s="17"/>
    </row>
    <row r="471" ht="15.75" customHeight="1">
      <c r="A471" s="18">
        <v>47.0</v>
      </c>
      <c r="B471" s="12" t="s">
        <v>48</v>
      </c>
      <c r="C471" s="12" t="s">
        <v>14</v>
      </c>
      <c r="D471" s="19" t="s">
        <v>20</v>
      </c>
      <c r="E471" s="12" t="str">
        <f>IFERROR(__xludf.DUMMYFUNCTION("FILTER(colegios!$B$2:$B5618,colegios!$A$2:$A5618=L471)"),"14144 SANTA ROSA")</f>
        <v>14144 SANTA ROSA</v>
      </c>
      <c r="F471" s="14" t="s">
        <v>16</v>
      </c>
      <c r="G471" s="19" t="s">
        <v>21</v>
      </c>
      <c r="H471" s="12" t="s">
        <v>24</v>
      </c>
      <c r="I471" s="15">
        <v>2024.0</v>
      </c>
      <c r="J471" s="16" t="str">
        <f>IFERROR(__xludf.DUMMYFUNCTION("FILTER('CLASFICACIÓN'!$F$3:$F5618,'CLASFICACIÓN'!$G$3:$G5618=M471)"),"LOS 3 AÑOS")</f>
        <v>LOS 3 AÑOS</v>
      </c>
      <c r="K471" s="16"/>
      <c r="L471" s="12" t="s">
        <v>55</v>
      </c>
      <c r="M471" s="16" t="str">
        <f t="shared" si="1"/>
        <v>14144 SANTA ROSA4 Primaria</v>
      </c>
      <c r="N471" s="17"/>
      <c r="O471" s="17"/>
      <c r="P471" s="17"/>
      <c r="Q471" s="17"/>
      <c r="R471" s="17"/>
      <c r="S471" s="17"/>
      <c r="T471" s="17"/>
    </row>
    <row r="472" ht="15.75" customHeight="1">
      <c r="A472" s="18">
        <v>48.0</v>
      </c>
      <c r="B472" s="12" t="s">
        <v>48</v>
      </c>
      <c r="C472" s="12" t="s">
        <v>14</v>
      </c>
      <c r="D472" s="19" t="s">
        <v>20</v>
      </c>
      <c r="E472" s="12" t="str">
        <f>IFERROR(__xludf.DUMMYFUNCTION("FILTER(colegios!$B$2:$B5618,colegios!$A$2:$A5618=L472)"),"14144 SANTA ROSA")</f>
        <v>14144 SANTA ROSA</v>
      </c>
      <c r="F472" s="14" t="s">
        <v>16</v>
      </c>
      <c r="G472" s="19" t="s">
        <v>21</v>
      </c>
      <c r="H472" s="12" t="s">
        <v>24</v>
      </c>
      <c r="I472" s="15">
        <v>2024.0</v>
      </c>
      <c r="J472" s="16" t="str">
        <f>IFERROR(__xludf.DUMMYFUNCTION("FILTER('CLASFICACIÓN'!$F$3:$F5618,'CLASFICACIÓN'!$G$3:$G5618=M472)"),"LOS 3 AÑOS")</f>
        <v>LOS 3 AÑOS</v>
      </c>
      <c r="K472" s="16"/>
      <c r="L472" s="12" t="s">
        <v>55</v>
      </c>
      <c r="M472" s="16" t="str">
        <f t="shared" si="1"/>
        <v>14144 SANTA ROSA4 Primaria</v>
      </c>
      <c r="N472" s="17"/>
      <c r="O472" s="17"/>
      <c r="P472" s="17"/>
      <c r="Q472" s="17"/>
      <c r="R472" s="17"/>
      <c r="S472" s="17"/>
      <c r="T472" s="17"/>
    </row>
    <row r="473" ht="15.75" customHeight="1">
      <c r="A473" s="18">
        <v>49.0</v>
      </c>
      <c r="B473" s="12" t="s">
        <v>48</v>
      </c>
      <c r="C473" s="12" t="s">
        <v>14</v>
      </c>
      <c r="D473" s="19" t="s">
        <v>20</v>
      </c>
      <c r="E473" s="12" t="str">
        <f>IFERROR(__xludf.DUMMYFUNCTION("FILTER(colegios!$B$2:$B5618,colegios!$A$2:$A5618=L473)"),"14144 SANTA ROSA")</f>
        <v>14144 SANTA ROSA</v>
      </c>
      <c r="F473" s="14" t="s">
        <v>16</v>
      </c>
      <c r="G473" s="19" t="s">
        <v>21</v>
      </c>
      <c r="H473" s="12" t="s">
        <v>24</v>
      </c>
      <c r="I473" s="15">
        <v>2024.0</v>
      </c>
      <c r="J473" s="16" t="str">
        <f>IFERROR(__xludf.DUMMYFUNCTION("FILTER('CLASFICACIÓN'!$F$3:$F5618,'CLASFICACIÓN'!$G$3:$G5618=M473)"),"LOS 3 AÑOS")</f>
        <v>LOS 3 AÑOS</v>
      </c>
      <c r="K473" s="16"/>
      <c r="L473" s="12" t="s">
        <v>55</v>
      </c>
      <c r="M473" s="16" t="str">
        <f t="shared" si="1"/>
        <v>14144 SANTA ROSA4 Primaria</v>
      </c>
      <c r="N473" s="17"/>
      <c r="O473" s="17"/>
      <c r="P473" s="17"/>
      <c r="Q473" s="17"/>
      <c r="R473" s="17"/>
      <c r="S473" s="17"/>
      <c r="T473" s="17"/>
    </row>
    <row r="474" ht="15.75" customHeight="1">
      <c r="A474" s="18">
        <v>50.0</v>
      </c>
      <c r="B474" s="12" t="s">
        <v>48</v>
      </c>
      <c r="C474" s="12" t="s">
        <v>14</v>
      </c>
      <c r="D474" s="19" t="s">
        <v>20</v>
      </c>
      <c r="E474" s="12" t="str">
        <f>IFERROR(__xludf.DUMMYFUNCTION("FILTER(colegios!$B$2:$B5618,colegios!$A$2:$A5618=L474)"),"14144 SANTA ROSA")</f>
        <v>14144 SANTA ROSA</v>
      </c>
      <c r="F474" s="14" t="s">
        <v>16</v>
      </c>
      <c r="G474" s="20" t="s">
        <v>21</v>
      </c>
      <c r="H474" s="12" t="s">
        <v>24</v>
      </c>
      <c r="I474" s="15">
        <v>2024.0</v>
      </c>
      <c r="J474" s="16" t="str">
        <f>IFERROR(__xludf.DUMMYFUNCTION("FILTER('CLASFICACIÓN'!$F$3:$F5618,'CLASFICACIÓN'!$G$3:$G5618=M474)"),"LOS 3 AÑOS")</f>
        <v>LOS 3 AÑOS</v>
      </c>
      <c r="K474" s="16"/>
      <c r="L474" s="12" t="s">
        <v>55</v>
      </c>
      <c r="M474" s="16" t="str">
        <f t="shared" si="1"/>
        <v>14144 SANTA ROSA4 Primaria</v>
      </c>
      <c r="N474" s="17"/>
      <c r="O474" s="17"/>
      <c r="P474" s="17"/>
      <c r="Q474" s="17"/>
      <c r="R474" s="17"/>
      <c r="S474" s="17"/>
      <c r="T474" s="17"/>
    </row>
    <row r="475" ht="15.75" customHeight="1">
      <c r="A475" s="18">
        <v>51.0</v>
      </c>
      <c r="B475" s="12" t="s">
        <v>48</v>
      </c>
      <c r="C475" s="12" t="s">
        <v>14</v>
      </c>
      <c r="D475" s="19" t="s">
        <v>20</v>
      </c>
      <c r="E475" s="12" t="str">
        <f>IFERROR(__xludf.DUMMYFUNCTION("FILTER(colegios!$B$2:$B5618,colegios!$A$2:$A5618=L475)"),"14144 SANTA ROSA")</f>
        <v>14144 SANTA ROSA</v>
      </c>
      <c r="F475" s="14" t="s">
        <v>16</v>
      </c>
      <c r="G475" s="19" t="s">
        <v>17</v>
      </c>
      <c r="H475" s="12" t="s">
        <v>24</v>
      </c>
      <c r="I475" s="15">
        <v>2024.0</v>
      </c>
      <c r="J475" s="16" t="str">
        <f>IFERROR(__xludf.DUMMYFUNCTION("FILTER('CLASFICACIÓN'!$F$3:$F5618,'CLASFICACIÓN'!$G$3:$G5618=M475)"),"LOS 3 AÑOS")</f>
        <v>LOS 3 AÑOS</v>
      </c>
      <c r="K475" s="16"/>
      <c r="L475" s="12" t="s">
        <v>55</v>
      </c>
      <c r="M475" s="16" t="str">
        <f t="shared" si="1"/>
        <v>14144 SANTA ROSA4 Primaria</v>
      </c>
      <c r="N475" s="17"/>
      <c r="O475" s="17"/>
      <c r="P475" s="17"/>
      <c r="Q475" s="17"/>
      <c r="R475" s="17"/>
      <c r="S475" s="17"/>
      <c r="T475" s="17"/>
    </row>
    <row r="476" ht="15.75" customHeight="1">
      <c r="A476" s="18">
        <v>52.0</v>
      </c>
      <c r="B476" s="12" t="s">
        <v>48</v>
      </c>
      <c r="C476" s="12" t="s">
        <v>14</v>
      </c>
      <c r="D476" s="19" t="s">
        <v>20</v>
      </c>
      <c r="E476" s="12" t="str">
        <f>IFERROR(__xludf.DUMMYFUNCTION("FILTER(colegios!$B$2:$B5618,colegios!$A$2:$A5618=L476)"),"14144 SANTA ROSA")</f>
        <v>14144 SANTA ROSA</v>
      </c>
      <c r="F476" s="14" t="s">
        <v>16</v>
      </c>
      <c r="G476" s="19" t="s">
        <v>21</v>
      </c>
      <c r="H476" s="12" t="s">
        <v>24</v>
      </c>
      <c r="I476" s="15">
        <v>2024.0</v>
      </c>
      <c r="J476" s="16" t="str">
        <f>IFERROR(__xludf.DUMMYFUNCTION("FILTER('CLASFICACIÓN'!$F$3:$F5618,'CLASFICACIÓN'!$G$3:$G5618=M476)"),"LOS 3 AÑOS")</f>
        <v>LOS 3 AÑOS</v>
      </c>
      <c r="K476" s="16"/>
      <c r="L476" s="12" t="s">
        <v>55</v>
      </c>
      <c r="M476" s="16" t="str">
        <f t="shared" si="1"/>
        <v>14144 SANTA ROSA4 Primaria</v>
      </c>
      <c r="N476" s="17"/>
      <c r="O476" s="17"/>
      <c r="P476" s="17"/>
      <c r="Q476" s="17"/>
      <c r="R476" s="17"/>
      <c r="S476" s="17"/>
      <c r="T476" s="17"/>
    </row>
    <row r="477" ht="15.75" customHeight="1">
      <c r="A477" s="18">
        <v>53.0</v>
      </c>
      <c r="B477" s="12" t="s">
        <v>48</v>
      </c>
      <c r="C477" s="12" t="s">
        <v>14</v>
      </c>
      <c r="D477" s="19" t="s">
        <v>20</v>
      </c>
      <c r="E477" s="12" t="str">
        <f>IFERROR(__xludf.DUMMYFUNCTION("FILTER(colegios!$B$2:$B5618,colegios!$A$2:$A5618=L477)"),"14144 SANTA ROSA")</f>
        <v>14144 SANTA ROSA</v>
      </c>
      <c r="F477" s="14" t="s">
        <v>16</v>
      </c>
      <c r="G477" s="19" t="s">
        <v>17</v>
      </c>
      <c r="H477" s="12" t="s">
        <v>18</v>
      </c>
      <c r="I477" s="15">
        <v>2024.0</v>
      </c>
      <c r="J477" s="16" t="str">
        <f>IFERROR(__xludf.DUMMYFUNCTION("FILTER('CLASFICACIÓN'!$F$3:$F5618,'CLASFICACIÓN'!$G$3:$G5618=M477)"),"LOS 3 AÑOS")</f>
        <v>LOS 3 AÑOS</v>
      </c>
      <c r="K477" s="16"/>
      <c r="L477" s="12" t="s">
        <v>55</v>
      </c>
      <c r="M477" s="16" t="str">
        <f t="shared" si="1"/>
        <v>14144 SANTA ROSA4 Primaria</v>
      </c>
      <c r="N477" s="17"/>
      <c r="O477" s="17"/>
      <c r="P477" s="17"/>
      <c r="Q477" s="17"/>
      <c r="R477" s="17"/>
      <c r="S477" s="17"/>
      <c r="T477" s="17"/>
    </row>
    <row r="478" ht="15.75" customHeight="1">
      <c r="A478" s="18">
        <v>54.0</v>
      </c>
      <c r="B478" s="12" t="s">
        <v>48</v>
      </c>
      <c r="C478" s="12" t="s">
        <v>14</v>
      </c>
      <c r="D478" s="19" t="s">
        <v>20</v>
      </c>
      <c r="E478" s="12" t="str">
        <f>IFERROR(__xludf.DUMMYFUNCTION("FILTER(colegios!$B$2:$B5618,colegios!$A$2:$A5618=L478)"),"14144 SANTA ROSA")</f>
        <v>14144 SANTA ROSA</v>
      </c>
      <c r="F478" s="14" t="s">
        <v>16</v>
      </c>
      <c r="G478" s="19" t="s">
        <v>21</v>
      </c>
      <c r="H478" s="12" t="s">
        <v>24</v>
      </c>
      <c r="I478" s="15">
        <v>2024.0</v>
      </c>
      <c r="J478" s="16" t="str">
        <f>IFERROR(__xludf.DUMMYFUNCTION("FILTER('CLASFICACIÓN'!$F$3:$F5618,'CLASFICACIÓN'!$G$3:$G5618=M478)"),"LOS 3 AÑOS")</f>
        <v>LOS 3 AÑOS</v>
      </c>
      <c r="K478" s="16"/>
      <c r="L478" s="12" t="s">
        <v>55</v>
      </c>
      <c r="M478" s="16" t="str">
        <f t="shared" si="1"/>
        <v>14144 SANTA ROSA4 Primaria</v>
      </c>
      <c r="N478" s="17"/>
      <c r="O478" s="17"/>
      <c r="P478" s="17"/>
      <c r="Q478" s="17"/>
      <c r="R478" s="17"/>
      <c r="S478" s="17"/>
      <c r="T478" s="17"/>
    </row>
    <row r="479" ht="15.75" customHeight="1">
      <c r="A479" s="18">
        <v>55.0</v>
      </c>
      <c r="B479" s="12" t="s">
        <v>48</v>
      </c>
      <c r="C479" s="12" t="s">
        <v>14</v>
      </c>
      <c r="D479" s="19" t="s">
        <v>20</v>
      </c>
      <c r="E479" s="12" t="str">
        <f>IFERROR(__xludf.DUMMYFUNCTION("FILTER(colegios!$B$2:$B5618,colegios!$A$2:$A5618=L479)"),"14144 SANTA ROSA")</f>
        <v>14144 SANTA ROSA</v>
      </c>
      <c r="F479" s="14" t="s">
        <v>16</v>
      </c>
      <c r="G479" s="19" t="s">
        <v>17</v>
      </c>
      <c r="H479" s="12" t="s">
        <v>24</v>
      </c>
      <c r="I479" s="15">
        <v>2024.0</v>
      </c>
      <c r="J479" s="16" t="str">
        <f>IFERROR(__xludf.DUMMYFUNCTION("FILTER('CLASFICACIÓN'!$F$3:$F5618,'CLASFICACIÓN'!$G$3:$G5618=M479)"),"LOS 3 AÑOS")</f>
        <v>LOS 3 AÑOS</v>
      </c>
      <c r="K479" s="16"/>
      <c r="L479" s="12" t="s">
        <v>55</v>
      </c>
      <c r="M479" s="16" t="str">
        <f t="shared" si="1"/>
        <v>14144 SANTA ROSA4 Primaria</v>
      </c>
      <c r="N479" s="17"/>
      <c r="O479" s="17"/>
      <c r="P479" s="17"/>
      <c r="Q479" s="17"/>
      <c r="R479" s="17"/>
      <c r="S479" s="17"/>
      <c r="T479" s="17"/>
    </row>
    <row r="480" ht="15.75" customHeight="1">
      <c r="A480" s="18">
        <v>56.0</v>
      </c>
      <c r="B480" s="12" t="s">
        <v>48</v>
      </c>
      <c r="C480" s="12" t="s">
        <v>14</v>
      </c>
      <c r="D480" s="19" t="s">
        <v>20</v>
      </c>
      <c r="E480" s="12" t="str">
        <f>IFERROR(__xludf.DUMMYFUNCTION("FILTER(colegios!$B$2:$B5618,colegios!$A$2:$A5618=L480)"),"14144 SANTA ROSA")</f>
        <v>14144 SANTA ROSA</v>
      </c>
      <c r="F480" s="14" t="s">
        <v>16</v>
      </c>
      <c r="G480" s="19" t="s">
        <v>17</v>
      </c>
      <c r="H480" s="12" t="s">
        <v>18</v>
      </c>
      <c r="I480" s="15">
        <v>2024.0</v>
      </c>
      <c r="J480" s="16" t="str">
        <f>IFERROR(__xludf.DUMMYFUNCTION("FILTER('CLASFICACIÓN'!$F$3:$F5618,'CLASFICACIÓN'!$G$3:$G5618=M480)"),"LOS 3 AÑOS")</f>
        <v>LOS 3 AÑOS</v>
      </c>
      <c r="K480" s="16"/>
      <c r="L480" s="12" t="s">
        <v>55</v>
      </c>
      <c r="M480" s="16" t="str">
        <f t="shared" si="1"/>
        <v>14144 SANTA ROSA4 Primaria</v>
      </c>
      <c r="N480" s="17"/>
      <c r="O480" s="17"/>
      <c r="P480" s="17"/>
      <c r="Q480" s="17"/>
      <c r="R480" s="17"/>
      <c r="S480" s="17"/>
      <c r="T480" s="17"/>
    </row>
    <row r="481" ht="15.75" customHeight="1">
      <c r="A481" s="18">
        <v>57.0</v>
      </c>
      <c r="B481" s="12" t="s">
        <v>48</v>
      </c>
      <c r="C481" s="12" t="s">
        <v>14</v>
      </c>
      <c r="D481" s="19" t="s">
        <v>20</v>
      </c>
      <c r="E481" s="12" t="str">
        <f>IFERROR(__xludf.DUMMYFUNCTION("FILTER(colegios!$B$2:$B5618,colegios!$A$2:$A5618=L481)"),"14144 SANTA ROSA")</f>
        <v>14144 SANTA ROSA</v>
      </c>
      <c r="F481" s="14" t="s">
        <v>16</v>
      </c>
      <c r="G481" s="19" t="s">
        <v>21</v>
      </c>
      <c r="H481" s="12" t="s">
        <v>24</v>
      </c>
      <c r="I481" s="15">
        <v>2024.0</v>
      </c>
      <c r="J481" s="16" t="str">
        <f>IFERROR(__xludf.DUMMYFUNCTION("FILTER('CLASFICACIÓN'!$F$3:$F5618,'CLASFICACIÓN'!$G$3:$G5618=M481)"),"LOS 3 AÑOS")</f>
        <v>LOS 3 AÑOS</v>
      </c>
      <c r="K481" s="16"/>
      <c r="L481" s="12" t="s">
        <v>55</v>
      </c>
      <c r="M481" s="16" t="str">
        <f t="shared" si="1"/>
        <v>14144 SANTA ROSA4 Primaria</v>
      </c>
      <c r="N481" s="17"/>
      <c r="O481" s="17"/>
      <c r="P481" s="17"/>
      <c r="Q481" s="17"/>
      <c r="R481" s="17"/>
      <c r="S481" s="17"/>
      <c r="T481" s="17"/>
    </row>
    <row r="482" ht="15.75" customHeight="1">
      <c r="A482" s="18">
        <v>58.0</v>
      </c>
      <c r="B482" s="12" t="s">
        <v>48</v>
      </c>
      <c r="C482" s="12" t="s">
        <v>14</v>
      </c>
      <c r="D482" s="19" t="s">
        <v>20</v>
      </c>
      <c r="E482" s="12" t="str">
        <f>IFERROR(__xludf.DUMMYFUNCTION("FILTER(colegios!$B$2:$B5618,colegios!$A$2:$A5618=L482)"),"14144 SANTA ROSA")</f>
        <v>14144 SANTA ROSA</v>
      </c>
      <c r="F482" s="14" t="s">
        <v>16</v>
      </c>
      <c r="G482" s="19" t="s">
        <v>17</v>
      </c>
      <c r="H482" s="12" t="s">
        <v>24</v>
      </c>
      <c r="I482" s="15">
        <v>2024.0</v>
      </c>
      <c r="J482" s="16" t="str">
        <f>IFERROR(__xludf.DUMMYFUNCTION("FILTER('CLASFICACIÓN'!$F$3:$F5618,'CLASFICACIÓN'!$G$3:$G5618=M482)"),"LOS 3 AÑOS")</f>
        <v>LOS 3 AÑOS</v>
      </c>
      <c r="K482" s="16"/>
      <c r="L482" s="12" t="s">
        <v>55</v>
      </c>
      <c r="M482" s="16" t="str">
        <f t="shared" si="1"/>
        <v>14144 SANTA ROSA4 Primaria</v>
      </c>
      <c r="N482" s="17"/>
      <c r="O482" s="17"/>
      <c r="P482" s="17"/>
      <c r="Q482" s="17"/>
      <c r="R482" s="17"/>
      <c r="S482" s="17"/>
      <c r="T482" s="17"/>
    </row>
    <row r="483" ht="15.75" customHeight="1">
      <c r="A483" s="18">
        <v>59.0</v>
      </c>
      <c r="B483" s="12" t="s">
        <v>48</v>
      </c>
      <c r="C483" s="12" t="s">
        <v>14</v>
      </c>
      <c r="D483" s="19" t="s">
        <v>20</v>
      </c>
      <c r="E483" s="12" t="str">
        <f>IFERROR(__xludf.DUMMYFUNCTION("FILTER(colegios!$B$2:$B5618,colegios!$A$2:$A5618=L483)"),"14144 SANTA ROSA")</f>
        <v>14144 SANTA ROSA</v>
      </c>
      <c r="F483" s="14" t="s">
        <v>16</v>
      </c>
      <c r="G483" s="19" t="s">
        <v>17</v>
      </c>
      <c r="H483" s="12" t="s">
        <v>18</v>
      </c>
      <c r="I483" s="15">
        <v>2024.0</v>
      </c>
      <c r="J483" s="16" t="str">
        <f>IFERROR(__xludf.DUMMYFUNCTION("FILTER('CLASFICACIÓN'!$F$3:$F5618,'CLASFICACIÓN'!$G$3:$G5618=M483)"),"LOS 3 AÑOS")</f>
        <v>LOS 3 AÑOS</v>
      </c>
      <c r="K483" s="16"/>
      <c r="L483" s="12" t="s">
        <v>55</v>
      </c>
      <c r="M483" s="16" t="str">
        <f t="shared" si="1"/>
        <v>14144 SANTA ROSA4 Primaria</v>
      </c>
      <c r="N483" s="17"/>
      <c r="O483" s="17"/>
      <c r="P483" s="17"/>
      <c r="Q483" s="17"/>
      <c r="R483" s="17"/>
      <c r="S483" s="17"/>
      <c r="T483" s="17"/>
    </row>
    <row r="484" ht="15.75" customHeight="1">
      <c r="A484" s="18">
        <v>60.0</v>
      </c>
      <c r="B484" s="12" t="s">
        <v>48</v>
      </c>
      <c r="C484" s="12" t="s">
        <v>14</v>
      </c>
      <c r="D484" s="19" t="s">
        <v>20</v>
      </c>
      <c r="E484" s="12" t="str">
        <f>IFERROR(__xludf.DUMMYFUNCTION("FILTER(colegios!$B$2:$B5618,colegios!$A$2:$A5618=L484)"),"14144 SANTA ROSA")</f>
        <v>14144 SANTA ROSA</v>
      </c>
      <c r="F484" s="14" t="s">
        <v>16</v>
      </c>
      <c r="G484" s="19" t="s">
        <v>17</v>
      </c>
      <c r="H484" s="12" t="s">
        <v>24</v>
      </c>
      <c r="I484" s="15">
        <v>2024.0</v>
      </c>
      <c r="J484" s="16" t="str">
        <f>IFERROR(__xludf.DUMMYFUNCTION("FILTER('CLASFICACIÓN'!$F$3:$F5618,'CLASFICACIÓN'!$G$3:$G5618=M484)"),"LOS 3 AÑOS")</f>
        <v>LOS 3 AÑOS</v>
      </c>
      <c r="K484" s="16"/>
      <c r="L484" s="12" t="s">
        <v>55</v>
      </c>
      <c r="M484" s="16" t="str">
        <f t="shared" si="1"/>
        <v>14144 SANTA ROSA4 Primaria</v>
      </c>
      <c r="N484" s="17"/>
      <c r="O484" s="17"/>
      <c r="P484" s="17"/>
      <c r="Q484" s="17"/>
      <c r="R484" s="17"/>
      <c r="S484" s="17"/>
      <c r="T484" s="17"/>
    </row>
    <row r="485" ht="15.75" customHeight="1">
      <c r="A485" s="18">
        <v>61.0</v>
      </c>
      <c r="B485" s="12" t="s">
        <v>48</v>
      </c>
      <c r="C485" s="12" t="s">
        <v>14</v>
      </c>
      <c r="D485" s="19" t="s">
        <v>20</v>
      </c>
      <c r="E485" s="12" t="str">
        <f>IFERROR(__xludf.DUMMYFUNCTION("FILTER(colegios!$B$2:$B5618,colegios!$A$2:$A5618=L485)"),"14144 SANTA ROSA")</f>
        <v>14144 SANTA ROSA</v>
      </c>
      <c r="F485" s="14" t="s">
        <v>16</v>
      </c>
      <c r="G485" s="19" t="s">
        <v>21</v>
      </c>
      <c r="H485" s="12" t="s">
        <v>24</v>
      </c>
      <c r="I485" s="15">
        <v>2024.0</v>
      </c>
      <c r="J485" s="16" t="str">
        <f>IFERROR(__xludf.DUMMYFUNCTION("FILTER('CLASFICACIÓN'!$F$3:$F5618,'CLASFICACIÓN'!$G$3:$G5618=M485)"),"LOS 3 AÑOS")</f>
        <v>LOS 3 AÑOS</v>
      </c>
      <c r="K485" s="16"/>
      <c r="L485" s="12" t="s">
        <v>55</v>
      </c>
      <c r="M485" s="16" t="str">
        <f t="shared" si="1"/>
        <v>14144 SANTA ROSA4 Primaria</v>
      </c>
      <c r="N485" s="17"/>
      <c r="O485" s="17"/>
      <c r="P485" s="17"/>
      <c r="Q485" s="17"/>
      <c r="R485" s="17"/>
      <c r="S485" s="17"/>
      <c r="T485" s="17"/>
    </row>
    <row r="486" ht="15.75" customHeight="1">
      <c r="A486" s="18">
        <v>62.0</v>
      </c>
      <c r="B486" s="12" t="s">
        <v>48</v>
      </c>
      <c r="C486" s="12" t="s">
        <v>14</v>
      </c>
      <c r="D486" s="19" t="s">
        <v>20</v>
      </c>
      <c r="E486" s="12" t="str">
        <f>IFERROR(__xludf.DUMMYFUNCTION("FILTER(colegios!$B$2:$B5618,colegios!$A$2:$A5618=L486)"),"14144 SANTA ROSA")</f>
        <v>14144 SANTA ROSA</v>
      </c>
      <c r="F486" s="14" t="s">
        <v>16</v>
      </c>
      <c r="G486" s="19" t="s">
        <v>21</v>
      </c>
      <c r="H486" s="12" t="s">
        <v>18</v>
      </c>
      <c r="I486" s="15">
        <v>2024.0</v>
      </c>
      <c r="J486" s="16" t="str">
        <f>IFERROR(__xludf.DUMMYFUNCTION("FILTER('CLASFICACIÓN'!$F$3:$F5618,'CLASFICACIÓN'!$G$3:$G5618=M486)"),"LOS 3 AÑOS")</f>
        <v>LOS 3 AÑOS</v>
      </c>
      <c r="K486" s="16"/>
      <c r="L486" s="12" t="s">
        <v>55</v>
      </c>
      <c r="M486" s="16" t="str">
        <f t="shared" si="1"/>
        <v>14144 SANTA ROSA4 Primaria</v>
      </c>
      <c r="N486" s="17"/>
      <c r="O486" s="17"/>
      <c r="P486" s="17"/>
      <c r="Q486" s="17"/>
      <c r="R486" s="17"/>
      <c r="S486" s="17"/>
      <c r="T486" s="17"/>
    </row>
    <row r="487" ht="15.75" customHeight="1">
      <c r="A487" s="18">
        <v>63.0</v>
      </c>
      <c r="B487" s="12" t="s">
        <v>48</v>
      </c>
      <c r="C487" s="12" t="s">
        <v>14</v>
      </c>
      <c r="D487" s="19" t="s">
        <v>20</v>
      </c>
      <c r="E487" s="12" t="str">
        <f>IFERROR(__xludf.DUMMYFUNCTION("FILTER(colegios!$B$2:$B5618,colegios!$A$2:$A5618=L487)"),"14144 SANTA ROSA")</f>
        <v>14144 SANTA ROSA</v>
      </c>
      <c r="F487" s="14" t="s">
        <v>16</v>
      </c>
      <c r="G487" s="19" t="s">
        <v>21</v>
      </c>
      <c r="H487" s="12" t="s">
        <v>24</v>
      </c>
      <c r="I487" s="15">
        <v>2024.0</v>
      </c>
      <c r="J487" s="16" t="str">
        <f>IFERROR(__xludf.DUMMYFUNCTION("FILTER('CLASFICACIÓN'!$F$3:$F5618,'CLASFICACIÓN'!$G$3:$G5618=M487)"),"LOS 3 AÑOS")</f>
        <v>LOS 3 AÑOS</v>
      </c>
      <c r="K487" s="16"/>
      <c r="L487" s="12" t="s">
        <v>55</v>
      </c>
      <c r="M487" s="16" t="str">
        <f t="shared" si="1"/>
        <v>14144 SANTA ROSA4 Primaria</v>
      </c>
      <c r="N487" s="17"/>
      <c r="O487" s="17"/>
      <c r="P487" s="17"/>
      <c r="Q487" s="17"/>
      <c r="R487" s="17"/>
      <c r="S487" s="17"/>
      <c r="T487" s="17"/>
    </row>
    <row r="488" ht="15.75" customHeight="1">
      <c r="A488" s="18">
        <v>64.0</v>
      </c>
      <c r="B488" s="12" t="s">
        <v>48</v>
      </c>
      <c r="C488" s="12" t="s">
        <v>14</v>
      </c>
      <c r="D488" s="19" t="s">
        <v>20</v>
      </c>
      <c r="E488" s="12" t="str">
        <f>IFERROR(__xludf.DUMMYFUNCTION("FILTER(colegios!$B$2:$B5618,colegios!$A$2:$A5618=L488)"),"14144 SANTA ROSA")</f>
        <v>14144 SANTA ROSA</v>
      </c>
      <c r="F488" s="14" t="s">
        <v>16</v>
      </c>
      <c r="G488" s="19" t="s">
        <v>21</v>
      </c>
      <c r="H488" s="12" t="s">
        <v>18</v>
      </c>
      <c r="I488" s="15">
        <v>2024.0</v>
      </c>
      <c r="J488" s="16" t="str">
        <f>IFERROR(__xludf.DUMMYFUNCTION("FILTER('CLASFICACIÓN'!$F$3:$F5618,'CLASFICACIÓN'!$G$3:$G5618=M488)"),"LOS 3 AÑOS")</f>
        <v>LOS 3 AÑOS</v>
      </c>
      <c r="K488" s="16"/>
      <c r="L488" s="12" t="s">
        <v>55</v>
      </c>
      <c r="M488" s="16" t="str">
        <f t="shared" si="1"/>
        <v>14144 SANTA ROSA4 Primaria</v>
      </c>
      <c r="N488" s="17"/>
      <c r="O488" s="17"/>
      <c r="P488" s="17"/>
      <c r="Q488" s="17"/>
      <c r="R488" s="17"/>
      <c r="S488" s="17"/>
      <c r="T488" s="17"/>
    </row>
    <row r="489" ht="15.75" customHeight="1">
      <c r="A489" s="18">
        <v>65.0</v>
      </c>
      <c r="B489" s="12" t="s">
        <v>48</v>
      </c>
      <c r="C489" s="12" t="s">
        <v>14</v>
      </c>
      <c r="D489" s="19" t="s">
        <v>20</v>
      </c>
      <c r="E489" s="12" t="str">
        <f>IFERROR(__xludf.DUMMYFUNCTION("FILTER(colegios!$B$2:$B5618,colegios!$A$2:$A5618=L489)"),"14894")</f>
        <v>14894</v>
      </c>
      <c r="F489" s="14" t="s">
        <v>16</v>
      </c>
      <c r="G489" s="19" t="s">
        <v>17</v>
      </c>
      <c r="H489" s="12" t="s">
        <v>24</v>
      </c>
      <c r="I489" s="15">
        <v>2024.0</v>
      </c>
      <c r="J489" s="16" t="str">
        <f>IFERROR(__xludf.DUMMYFUNCTION("FILTER('CLASFICACIÓN'!$F$3:$F5618,'CLASFICACIÓN'!$G$3:$G5618=M489)"),"SOLO 2022 Y 2024")</f>
        <v>SOLO 2022 Y 2024</v>
      </c>
      <c r="K489" s="16"/>
      <c r="L489" s="12" t="s">
        <v>62</v>
      </c>
      <c r="M489" s="16" t="str">
        <f t="shared" si="1"/>
        <v>148944 Primaria</v>
      </c>
      <c r="N489" s="17"/>
      <c r="O489" s="17"/>
      <c r="P489" s="17"/>
      <c r="Q489" s="17"/>
      <c r="R489" s="17"/>
      <c r="S489" s="17"/>
      <c r="T489" s="17"/>
    </row>
    <row r="490" ht="15.75" customHeight="1">
      <c r="A490" s="18">
        <v>66.0</v>
      </c>
      <c r="B490" s="12" t="s">
        <v>48</v>
      </c>
      <c r="C490" s="12" t="s">
        <v>14</v>
      </c>
      <c r="D490" s="19" t="s">
        <v>20</v>
      </c>
      <c r="E490" s="12" t="str">
        <f>IFERROR(__xludf.DUMMYFUNCTION("FILTER(colegios!$B$2:$B5618,colegios!$A$2:$A5618=L490)"),"15383")</f>
        <v>15383</v>
      </c>
      <c r="F490" s="14" t="s">
        <v>16</v>
      </c>
      <c r="G490" s="19" t="s">
        <v>21</v>
      </c>
      <c r="H490" s="12" t="s">
        <v>24</v>
      </c>
      <c r="I490" s="15">
        <v>2024.0</v>
      </c>
      <c r="J490" s="16" t="str">
        <f>IFERROR(__xludf.DUMMYFUNCTION("FILTER('CLASFICACIÓN'!$F$3:$F5618,'CLASFICACIÓN'!$G$3:$G5618=M490)"),"2023 Y 2024")</f>
        <v>2023 Y 2024</v>
      </c>
      <c r="K490" s="16"/>
      <c r="L490" s="12" t="s">
        <v>63</v>
      </c>
      <c r="M490" s="16" t="str">
        <f t="shared" si="1"/>
        <v>153834 Primaria</v>
      </c>
      <c r="N490" s="17"/>
      <c r="O490" s="17"/>
      <c r="P490" s="17"/>
      <c r="Q490" s="17"/>
      <c r="R490" s="17"/>
      <c r="S490" s="17"/>
      <c r="T490" s="17"/>
    </row>
    <row r="491" ht="15.75" customHeight="1">
      <c r="A491" s="18">
        <v>67.0</v>
      </c>
      <c r="B491" s="12" t="s">
        <v>48</v>
      </c>
      <c r="C491" s="12" t="s">
        <v>14</v>
      </c>
      <c r="D491" s="19" t="s">
        <v>20</v>
      </c>
      <c r="E491" s="12" t="str">
        <f>IFERROR(__xludf.DUMMYFUNCTION("FILTER(colegios!$B$2:$B5618,colegios!$A$2:$A5618=L491)"),"14141")</f>
        <v>14141</v>
      </c>
      <c r="F491" s="14" t="s">
        <v>16</v>
      </c>
      <c r="G491" s="19" t="s">
        <v>21</v>
      </c>
      <c r="H491" s="12" t="s">
        <v>24</v>
      </c>
      <c r="I491" s="15">
        <v>2024.0</v>
      </c>
      <c r="J491" s="16" t="str">
        <f>IFERROR(__xludf.DUMMYFUNCTION("FILTER('CLASFICACIÓN'!$F$3:$F5618,'CLASFICACIÓN'!$G$3:$G5618=M491)"),"2023 Y 2024")</f>
        <v>2023 Y 2024</v>
      </c>
      <c r="K491" s="16"/>
      <c r="L491" s="12" t="s">
        <v>57</v>
      </c>
      <c r="M491" s="16" t="str">
        <f t="shared" si="1"/>
        <v>141414 Primaria</v>
      </c>
      <c r="N491" s="17"/>
      <c r="O491" s="17"/>
      <c r="P491" s="17"/>
      <c r="Q491" s="17"/>
      <c r="R491" s="17"/>
      <c r="S491" s="17"/>
      <c r="T491" s="17"/>
    </row>
    <row r="492" ht="15.75" customHeight="1">
      <c r="A492" s="18">
        <v>68.0</v>
      </c>
      <c r="B492" s="12" t="s">
        <v>48</v>
      </c>
      <c r="C492" s="12" t="s">
        <v>14</v>
      </c>
      <c r="D492" s="19" t="s">
        <v>20</v>
      </c>
      <c r="E492" s="12" t="str">
        <f>IFERROR(__xludf.DUMMYFUNCTION("FILTER(colegios!$B$2:$B5618,colegios!$A$2:$A5618=L492)"),"15478")</f>
        <v>15478</v>
      </c>
      <c r="F492" s="14" t="s">
        <v>16</v>
      </c>
      <c r="G492" s="19" t="s">
        <v>21</v>
      </c>
      <c r="H492" s="12" t="s">
        <v>24</v>
      </c>
      <c r="I492" s="15">
        <v>2024.0</v>
      </c>
      <c r="J492" s="16" t="str">
        <f>IFERROR(__xludf.DUMMYFUNCTION("FILTER('CLASFICACIÓN'!$F$3:$F5618,'CLASFICACIÓN'!$G$3:$G5618=M492)"),"2023 Y 2024")</f>
        <v>2023 Y 2024</v>
      </c>
      <c r="K492" s="16"/>
      <c r="L492" s="12" t="s">
        <v>58</v>
      </c>
      <c r="M492" s="16" t="str">
        <f t="shared" si="1"/>
        <v>154784 Primaria</v>
      </c>
      <c r="N492" s="17"/>
      <c r="O492" s="17"/>
      <c r="P492" s="17"/>
      <c r="Q492" s="17"/>
      <c r="R492" s="17"/>
      <c r="S492" s="17"/>
      <c r="T492" s="17"/>
    </row>
    <row r="493" ht="15.75" customHeight="1">
      <c r="A493" s="18">
        <v>69.0</v>
      </c>
      <c r="B493" s="12" t="s">
        <v>48</v>
      </c>
      <c r="C493" s="12" t="s">
        <v>14</v>
      </c>
      <c r="D493" s="19" t="s">
        <v>20</v>
      </c>
      <c r="E493" s="12" t="str">
        <f>IFERROR(__xludf.DUMMYFUNCTION("FILTER(colegios!$B$2:$B5618,colegios!$A$2:$A5618=L493)"),"14045")</f>
        <v>14045</v>
      </c>
      <c r="F493" s="14" t="s">
        <v>16</v>
      </c>
      <c r="G493" s="19" t="s">
        <v>17</v>
      </c>
      <c r="H493" s="12" t="s">
        <v>24</v>
      </c>
      <c r="I493" s="15">
        <v>2024.0</v>
      </c>
      <c r="J493" s="16" t="str">
        <f>IFERROR(__xludf.DUMMYFUNCTION("FILTER('CLASFICACIÓN'!$F$3:$F5618,'CLASFICACIÓN'!$G$3:$G5618=M493)"),"2023 Y 2024")</f>
        <v>2023 Y 2024</v>
      </c>
      <c r="K493" s="16"/>
      <c r="L493" s="12" t="s">
        <v>60</v>
      </c>
      <c r="M493" s="16" t="str">
        <f t="shared" si="1"/>
        <v>140454 Primaria</v>
      </c>
      <c r="N493" s="17"/>
      <c r="O493" s="17"/>
      <c r="P493" s="17"/>
      <c r="Q493" s="17"/>
      <c r="R493" s="17"/>
      <c r="S493" s="17"/>
      <c r="T493" s="17"/>
    </row>
    <row r="494" ht="15.75" customHeight="1">
      <c r="A494" s="18">
        <v>70.0</v>
      </c>
      <c r="B494" s="12" t="s">
        <v>48</v>
      </c>
      <c r="C494" s="12" t="s">
        <v>14</v>
      </c>
      <c r="D494" s="19" t="s">
        <v>20</v>
      </c>
      <c r="E494" s="12" t="str">
        <f>IFERROR(__xludf.DUMMYFUNCTION("FILTER(colegios!$B$2:$B5618,colegios!$A$2:$A5618=L494)"),"14045")</f>
        <v>14045</v>
      </c>
      <c r="F494" s="14" t="s">
        <v>16</v>
      </c>
      <c r="G494" s="19" t="s">
        <v>21</v>
      </c>
      <c r="H494" s="12" t="s">
        <v>24</v>
      </c>
      <c r="I494" s="15">
        <v>2024.0</v>
      </c>
      <c r="J494" s="16" t="str">
        <f>IFERROR(__xludf.DUMMYFUNCTION("FILTER('CLASFICACIÓN'!$F$3:$F5618,'CLASFICACIÓN'!$G$3:$G5618=M494)"),"2023 Y 2024")</f>
        <v>2023 Y 2024</v>
      </c>
      <c r="K494" s="16"/>
      <c r="L494" s="12" t="s">
        <v>60</v>
      </c>
      <c r="M494" s="16" t="str">
        <f t="shared" si="1"/>
        <v>140454 Primaria</v>
      </c>
      <c r="N494" s="17"/>
      <c r="O494" s="17"/>
      <c r="P494" s="17"/>
      <c r="Q494" s="17"/>
      <c r="R494" s="17"/>
      <c r="S494" s="17"/>
      <c r="T494" s="17"/>
    </row>
    <row r="495" ht="15.75" customHeight="1">
      <c r="A495" s="18">
        <v>71.0</v>
      </c>
      <c r="B495" s="12" t="s">
        <v>48</v>
      </c>
      <c r="C495" s="12" t="s">
        <v>14</v>
      </c>
      <c r="D495" s="19" t="s">
        <v>20</v>
      </c>
      <c r="E495" s="12" t="str">
        <f>IFERROR(__xludf.DUMMYFUNCTION("FILTER(colegios!$B$2:$B5618,colegios!$A$2:$A5618=L495)"),"14145 SANTA JULIA BILLIART")</f>
        <v>14145 SANTA JULIA BILLIART</v>
      </c>
      <c r="F495" s="14" t="s">
        <v>16</v>
      </c>
      <c r="G495" s="19" t="s">
        <v>17</v>
      </c>
      <c r="H495" s="12" t="s">
        <v>24</v>
      </c>
      <c r="I495" s="15">
        <v>2024.0</v>
      </c>
      <c r="J495" s="16" t="str">
        <f>IFERROR(__xludf.DUMMYFUNCTION("FILTER('CLASFICACIÓN'!$F$3:$F5618,'CLASFICACIÓN'!$G$3:$G5618=M495)"),"LOS 3 AÑOS")</f>
        <v>LOS 3 AÑOS</v>
      </c>
      <c r="K495" s="16"/>
      <c r="L495" s="12" t="s">
        <v>61</v>
      </c>
      <c r="M495" s="16" t="str">
        <f t="shared" si="1"/>
        <v>14145 SANTA JULIA BILLIART4 Primaria</v>
      </c>
      <c r="N495" s="17"/>
      <c r="O495" s="17"/>
      <c r="P495" s="17"/>
      <c r="Q495" s="17"/>
      <c r="R495" s="17"/>
      <c r="S495" s="17"/>
      <c r="T495" s="17"/>
    </row>
    <row r="496" ht="15.75" customHeight="1">
      <c r="A496" s="18">
        <v>72.0</v>
      </c>
      <c r="B496" s="12" t="s">
        <v>48</v>
      </c>
      <c r="C496" s="12" t="s">
        <v>14</v>
      </c>
      <c r="D496" s="19" t="s">
        <v>20</v>
      </c>
      <c r="E496" s="12" t="str">
        <f>IFERROR(__xludf.DUMMYFUNCTION("FILTER(colegios!$B$2:$B5618,colegios!$A$2:$A5618=L496)"),"14145 SANTA JULIA BILLIART")</f>
        <v>14145 SANTA JULIA BILLIART</v>
      </c>
      <c r="F496" s="14" t="s">
        <v>16</v>
      </c>
      <c r="G496" s="19" t="s">
        <v>17</v>
      </c>
      <c r="H496" s="12" t="s">
        <v>24</v>
      </c>
      <c r="I496" s="15">
        <v>2024.0</v>
      </c>
      <c r="J496" s="16" t="str">
        <f>IFERROR(__xludf.DUMMYFUNCTION("FILTER('CLASFICACIÓN'!$F$3:$F5618,'CLASFICACIÓN'!$G$3:$G5618=M496)"),"LOS 3 AÑOS")</f>
        <v>LOS 3 AÑOS</v>
      </c>
      <c r="K496" s="16"/>
      <c r="L496" s="12" t="s">
        <v>61</v>
      </c>
      <c r="M496" s="16" t="str">
        <f t="shared" si="1"/>
        <v>14145 SANTA JULIA BILLIART4 Primaria</v>
      </c>
      <c r="N496" s="17"/>
      <c r="O496" s="17"/>
      <c r="P496" s="17"/>
      <c r="Q496" s="17"/>
      <c r="R496" s="17"/>
      <c r="S496" s="17"/>
      <c r="T496" s="17"/>
    </row>
    <row r="497" ht="15.75" customHeight="1">
      <c r="A497" s="18">
        <v>73.0</v>
      </c>
      <c r="B497" s="12" t="s">
        <v>48</v>
      </c>
      <c r="C497" s="12" t="s">
        <v>14</v>
      </c>
      <c r="D497" s="19" t="s">
        <v>20</v>
      </c>
      <c r="E497" s="12" t="str">
        <f>IFERROR(__xludf.DUMMYFUNCTION("FILTER(colegios!$B$2:$B5618,colegios!$A$2:$A5618=L497)"),"14145 SANTA JULIA BILLIART")</f>
        <v>14145 SANTA JULIA BILLIART</v>
      </c>
      <c r="F497" s="14" t="s">
        <v>16</v>
      </c>
      <c r="G497" s="19" t="s">
        <v>17</v>
      </c>
      <c r="H497" s="12" t="s">
        <v>24</v>
      </c>
      <c r="I497" s="15">
        <v>2024.0</v>
      </c>
      <c r="J497" s="16" t="str">
        <f>IFERROR(__xludf.DUMMYFUNCTION("FILTER('CLASFICACIÓN'!$F$3:$F5618,'CLASFICACIÓN'!$G$3:$G5618=M497)"),"LOS 3 AÑOS")</f>
        <v>LOS 3 AÑOS</v>
      </c>
      <c r="K497" s="16"/>
      <c r="L497" s="12" t="s">
        <v>61</v>
      </c>
      <c r="M497" s="16" t="str">
        <f t="shared" si="1"/>
        <v>14145 SANTA JULIA BILLIART4 Primaria</v>
      </c>
      <c r="N497" s="17"/>
      <c r="O497" s="17"/>
      <c r="P497" s="17"/>
      <c r="Q497" s="17"/>
      <c r="R497" s="17"/>
      <c r="S497" s="17"/>
      <c r="T497" s="17"/>
    </row>
    <row r="498" ht="15.75" customHeight="1">
      <c r="A498" s="18">
        <v>74.0</v>
      </c>
      <c r="B498" s="12" t="s">
        <v>48</v>
      </c>
      <c r="C498" s="12" t="s">
        <v>14</v>
      </c>
      <c r="D498" s="19" t="s">
        <v>20</v>
      </c>
      <c r="E498" s="12" t="str">
        <f>IFERROR(__xludf.DUMMYFUNCTION("FILTER(colegios!$B$2:$B5618,colegios!$A$2:$A5618=L498)"),"14145 SANTA JULIA BILLIART")</f>
        <v>14145 SANTA JULIA BILLIART</v>
      </c>
      <c r="F498" s="14" t="s">
        <v>16</v>
      </c>
      <c r="G498" s="19" t="s">
        <v>17</v>
      </c>
      <c r="H498" s="12" t="s">
        <v>24</v>
      </c>
      <c r="I498" s="15">
        <v>2024.0</v>
      </c>
      <c r="J498" s="16" t="str">
        <f>IFERROR(__xludf.DUMMYFUNCTION("FILTER('CLASFICACIÓN'!$F$3:$F5618,'CLASFICACIÓN'!$G$3:$G5618=M498)"),"LOS 3 AÑOS")</f>
        <v>LOS 3 AÑOS</v>
      </c>
      <c r="K498" s="16"/>
      <c r="L498" s="12" t="s">
        <v>61</v>
      </c>
      <c r="M498" s="16" t="str">
        <f t="shared" si="1"/>
        <v>14145 SANTA JULIA BILLIART4 Primaria</v>
      </c>
      <c r="N498" s="17"/>
      <c r="O498" s="17"/>
      <c r="P498" s="17"/>
      <c r="Q498" s="17"/>
      <c r="R498" s="17"/>
      <c r="S498" s="17"/>
      <c r="T498" s="17"/>
    </row>
    <row r="499" ht="15.75" customHeight="1">
      <c r="A499" s="18">
        <v>75.0</v>
      </c>
      <c r="B499" s="12" t="s">
        <v>48</v>
      </c>
      <c r="C499" s="12" t="s">
        <v>14</v>
      </c>
      <c r="D499" s="19" t="s">
        <v>20</v>
      </c>
      <c r="E499" s="12" t="str">
        <f>IFERROR(__xludf.DUMMYFUNCTION("FILTER(colegios!$B$2:$B5618,colegios!$A$2:$A5618=L499)"),"14145 SANTA JULIA BILLIART")</f>
        <v>14145 SANTA JULIA BILLIART</v>
      </c>
      <c r="F499" s="14" t="s">
        <v>16</v>
      </c>
      <c r="G499" s="19" t="s">
        <v>21</v>
      </c>
      <c r="H499" s="12" t="s">
        <v>24</v>
      </c>
      <c r="I499" s="15">
        <v>2024.0</v>
      </c>
      <c r="J499" s="16" t="str">
        <f>IFERROR(__xludf.DUMMYFUNCTION("FILTER('CLASFICACIÓN'!$F$3:$F5618,'CLASFICACIÓN'!$G$3:$G5618=M499)"),"LOS 3 AÑOS")</f>
        <v>LOS 3 AÑOS</v>
      </c>
      <c r="K499" s="16"/>
      <c r="L499" s="12" t="s">
        <v>61</v>
      </c>
      <c r="M499" s="16" t="str">
        <f t="shared" si="1"/>
        <v>14145 SANTA JULIA BILLIART4 Primaria</v>
      </c>
      <c r="N499" s="17"/>
      <c r="O499" s="17"/>
      <c r="P499" s="17"/>
      <c r="Q499" s="17"/>
      <c r="R499" s="17"/>
      <c r="S499" s="17"/>
      <c r="T499" s="17"/>
    </row>
    <row r="500" ht="15.75" customHeight="1">
      <c r="A500" s="18">
        <v>76.0</v>
      </c>
      <c r="B500" s="12" t="s">
        <v>48</v>
      </c>
      <c r="C500" s="12" t="s">
        <v>14</v>
      </c>
      <c r="D500" s="19" t="s">
        <v>20</v>
      </c>
      <c r="E500" s="12" t="str">
        <f>IFERROR(__xludf.DUMMYFUNCTION("FILTER(colegios!$B$2:$B5618,colegios!$A$2:$A5618=L500)"),"14145 SANTA JULIA BILLIART")</f>
        <v>14145 SANTA JULIA BILLIART</v>
      </c>
      <c r="F500" s="14" t="s">
        <v>16</v>
      </c>
      <c r="G500" s="19" t="s">
        <v>21</v>
      </c>
      <c r="H500" s="12" t="s">
        <v>24</v>
      </c>
      <c r="I500" s="15">
        <v>2024.0</v>
      </c>
      <c r="J500" s="16" t="str">
        <f>IFERROR(__xludf.DUMMYFUNCTION("FILTER('CLASFICACIÓN'!$F$3:$F5618,'CLASFICACIÓN'!$G$3:$G5618=M500)"),"LOS 3 AÑOS")</f>
        <v>LOS 3 AÑOS</v>
      </c>
      <c r="K500" s="16"/>
      <c r="L500" s="12" t="s">
        <v>61</v>
      </c>
      <c r="M500" s="16" t="str">
        <f t="shared" si="1"/>
        <v>14145 SANTA JULIA BILLIART4 Primaria</v>
      </c>
      <c r="N500" s="17"/>
      <c r="O500" s="17"/>
      <c r="P500" s="17"/>
      <c r="Q500" s="17"/>
      <c r="R500" s="17"/>
      <c r="S500" s="17"/>
      <c r="T500" s="17"/>
    </row>
    <row r="501" ht="15.75" customHeight="1">
      <c r="A501" s="18">
        <v>77.0</v>
      </c>
      <c r="B501" s="12" t="s">
        <v>48</v>
      </c>
      <c r="C501" s="12" t="s">
        <v>14</v>
      </c>
      <c r="D501" s="19" t="s">
        <v>20</v>
      </c>
      <c r="E501" s="12" t="str">
        <f>IFERROR(__xludf.DUMMYFUNCTION("FILTER(colegios!$B$2:$B5618,colegios!$A$2:$A5618=L501)"),"14145 SANTA JULIA BILLIART")</f>
        <v>14145 SANTA JULIA BILLIART</v>
      </c>
      <c r="F501" s="14" t="s">
        <v>16</v>
      </c>
      <c r="G501" s="19" t="s">
        <v>21</v>
      </c>
      <c r="H501" s="12" t="s">
        <v>24</v>
      </c>
      <c r="I501" s="15">
        <v>2024.0</v>
      </c>
      <c r="J501" s="16" t="str">
        <f>IFERROR(__xludf.DUMMYFUNCTION("FILTER('CLASFICACIÓN'!$F$3:$F5618,'CLASFICACIÓN'!$G$3:$G5618=M501)"),"LOS 3 AÑOS")</f>
        <v>LOS 3 AÑOS</v>
      </c>
      <c r="K501" s="16"/>
      <c r="L501" s="12" t="s">
        <v>61</v>
      </c>
      <c r="M501" s="16" t="str">
        <f t="shared" si="1"/>
        <v>14145 SANTA JULIA BILLIART4 Primaria</v>
      </c>
      <c r="N501" s="17"/>
      <c r="O501" s="17"/>
      <c r="P501" s="17"/>
      <c r="Q501" s="17"/>
      <c r="R501" s="17"/>
      <c r="S501" s="17"/>
      <c r="T501" s="17"/>
    </row>
    <row r="502" ht="15.75" customHeight="1">
      <c r="A502" s="18">
        <v>78.0</v>
      </c>
      <c r="B502" s="12" t="s">
        <v>48</v>
      </c>
      <c r="C502" s="12" t="s">
        <v>14</v>
      </c>
      <c r="D502" s="19" t="s">
        <v>20</v>
      </c>
      <c r="E502" s="12" t="str">
        <f>IFERROR(__xludf.DUMMYFUNCTION("FILTER(colegios!$B$2:$B5618,colegios!$A$2:$A5618=L502)"),"14145 SANTA JULIA BILLIART")</f>
        <v>14145 SANTA JULIA BILLIART</v>
      </c>
      <c r="F502" s="14" t="s">
        <v>16</v>
      </c>
      <c r="G502" s="19" t="s">
        <v>21</v>
      </c>
      <c r="H502" s="12" t="s">
        <v>24</v>
      </c>
      <c r="I502" s="15">
        <v>2024.0</v>
      </c>
      <c r="J502" s="16" t="str">
        <f>IFERROR(__xludf.DUMMYFUNCTION("FILTER('CLASFICACIÓN'!$F$3:$F5618,'CLASFICACIÓN'!$G$3:$G5618=M502)"),"LOS 3 AÑOS")</f>
        <v>LOS 3 AÑOS</v>
      </c>
      <c r="K502" s="16"/>
      <c r="L502" s="12" t="s">
        <v>61</v>
      </c>
      <c r="M502" s="16" t="str">
        <f t="shared" si="1"/>
        <v>14145 SANTA JULIA BILLIART4 Primaria</v>
      </c>
      <c r="N502" s="17"/>
      <c r="O502" s="17"/>
      <c r="P502" s="17"/>
      <c r="Q502" s="17"/>
      <c r="R502" s="17"/>
      <c r="S502" s="17"/>
      <c r="T502" s="17"/>
    </row>
    <row r="503" ht="15.75" customHeight="1">
      <c r="A503" s="18">
        <v>79.0</v>
      </c>
      <c r="B503" s="12" t="s">
        <v>48</v>
      </c>
      <c r="C503" s="12" t="s">
        <v>14</v>
      </c>
      <c r="D503" s="19" t="s">
        <v>20</v>
      </c>
      <c r="E503" s="12" t="str">
        <f>IFERROR(__xludf.DUMMYFUNCTION("FILTER(colegios!$B$2:$B5618,colegios!$A$2:$A5618=L503)"),"14145 SANTA JULIA BILLIART")</f>
        <v>14145 SANTA JULIA BILLIART</v>
      </c>
      <c r="F503" s="14" t="s">
        <v>16</v>
      </c>
      <c r="G503" s="19" t="s">
        <v>21</v>
      </c>
      <c r="H503" s="12" t="s">
        <v>24</v>
      </c>
      <c r="I503" s="15">
        <v>2024.0</v>
      </c>
      <c r="J503" s="16" t="str">
        <f>IFERROR(__xludf.DUMMYFUNCTION("FILTER('CLASFICACIÓN'!$F$3:$F5618,'CLASFICACIÓN'!$G$3:$G5618=M503)"),"LOS 3 AÑOS")</f>
        <v>LOS 3 AÑOS</v>
      </c>
      <c r="K503" s="16"/>
      <c r="L503" s="12" t="s">
        <v>61</v>
      </c>
      <c r="M503" s="16" t="str">
        <f t="shared" si="1"/>
        <v>14145 SANTA JULIA BILLIART4 Primaria</v>
      </c>
      <c r="N503" s="17"/>
      <c r="O503" s="17"/>
      <c r="P503" s="17"/>
      <c r="Q503" s="17"/>
      <c r="R503" s="17"/>
      <c r="S503" s="17"/>
      <c r="T503" s="17"/>
    </row>
    <row r="504" ht="15.75" customHeight="1">
      <c r="A504" s="18">
        <v>80.0</v>
      </c>
      <c r="B504" s="12" t="s">
        <v>48</v>
      </c>
      <c r="C504" s="12" t="s">
        <v>14</v>
      </c>
      <c r="D504" s="19" t="s">
        <v>20</v>
      </c>
      <c r="E504" s="12" t="str">
        <f>IFERROR(__xludf.DUMMYFUNCTION("FILTER(colegios!$B$2:$B5618,colegios!$A$2:$A5618=L504)"),"14145 SANTA JULIA BILLIART")</f>
        <v>14145 SANTA JULIA BILLIART</v>
      </c>
      <c r="F504" s="14" t="s">
        <v>16</v>
      </c>
      <c r="G504" s="19" t="s">
        <v>21</v>
      </c>
      <c r="H504" s="12" t="s">
        <v>24</v>
      </c>
      <c r="I504" s="15">
        <v>2024.0</v>
      </c>
      <c r="J504" s="16" t="str">
        <f>IFERROR(__xludf.DUMMYFUNCTION("FILTER('CLASFICACIÓN'!$F$3:$F5618,'CLASFICACIÓN'!$G$3:$G5618=M504)"),"LOS 3 AÑOS")</f>
        <v>LOS 3 AÑOS</v>
      </c>
      <c r="K504" s="16"/>
      <c r="L504" s="12" t="s">
        <v>61</v>
      </c>
      <c r="M504" s="16" t="str">
        <f t="shared" si="1"/>
        <v>14145 SANTA JULIA BILLIART4 Primaria</v>
      </c>
      <c r="N504" s="17"/>
      <c r="O504" s="17"/>
      <c r="P504" s="17"/>
      <c r="Q504" s="17"/>
      <c r="R504" s="17"/>
      <c r="S504" s="17"/>
      <c r="T504" s="17"/>
    </row>
    <row r="505" ht="15.75" customHeight="1">
      <c r="A505" s="18">
        <v>1.0</v>
      </c>
      <c r="B505" s="12" t="s">
        <v>64</v>
      </c>
      <c r="C505" s="12" t="s">
        <v>14</v>
      </c>
      <c r="D505" s="19" t="s">
        <v>15</v>
      </c>
      <c r="E505" s="12" t="str">
        <f>IFERROR(__xludf.DUMMYFUNCTION("FILTER(colegios!$B$2:$B5618,colegios!$A$2:$A5618=L505)"),"86809")</f>
        <v>86809</v>
      </c>
      <c r="F505" s="14" t="s">
        <v>16</v>
      </c>
      <c r="G505" s="19" t="s">
        <v>21</v>
      </c>
      <c r="H505" s="12" t="s">
        <v>24</v>
      </c>
      <c r="I505" s="15">
        <v>2024.0</v>
      </c>
      <c r="J505" s="16" t="str">
        <f>IFERROR(__xludf.DUMMYFUNCTION("FILTER('CLASFICACIÓN'!$F$3:$F5618,'CLASFICACIÓN'!$G$3:$G5618=M505)"),"LOS 3 AÑOS")</f>
        <v>LOS 3 AÑOS</v>
      </c>
      <c r="K505" s="16"/>
      <c r="L505" s="12" t="s">
        <v>65</v>
      </c>
      <c r="M505" s="16" t="str">
        <f t="shared" si="1"/>
        <v>868092 Primaria</v>
      </c>
      <c r="N505" s="17"/>
      <c r="O505" s="17"/>
      <c r="P505" s="17"/>
      <c r="Q505" s="17"/>
      <c r="R505" s="17"/>
      <c r="S505" s="17"/>
      <c r="T505" s="17"/>
    </row>
    <row r="506" ht="15.75" customHeight="1">
      <c r="A506" s="18">
        <v>2.0</v>
      </c>
      <c r="B506" s="12" t="s">
        <v>64</v>
      </c>
      <c r="C506" s="12" t="s">
        <v>14</v>
      </c>
      <c r="D506" s="19" t="s">
        <v>20</v>
      </c>
      <c r="E506" s="12" t="str">
        <f>IFERROR(__xludf.DUMMYFUNCTION("FILTER(colegios!$B$2:$B5618,colegios!$A$2:$A5618=L506)"),"86809")</f>
        <v>86809</v>
      </c>
      <c r="F506" s="14" t="s">
        <v>16</v>
      </c>
      <c r="G506" s="19" t="s">
        <v>21</v>
      </c>
      <c r="H506" s="12" t="s">
        <v>24</v>
      </c>
      <c r="I506" s="15">
        <v>2024.0</v>
      </c>
      <c r="J506" s="16" t="str">
        <f>IFERROR(__xludf.DUMMYFUNCTION("FILTER('CLASFICACIÓN'!$F$3:$F5618,'CLASFICACIÓN'!$G$3:$G5618=M506)"),"LOS 3 AÑOS")</f>
        <v>LOS 3 AÑOS</v>
      </c>
      <c r="K506" s="16"/>
      <c r="L506" s="12" t="s">
        <v>65</v>
      </c>
      <c r="M506" s="16" t="str">
        <f t="shared" si="1"/>
        <v>868094 Primaria</v>
      </c>
      <c r="N506" s="17"/>
      <c r="O506" s="17"/>
      <c r="P506" s="17"/>
      <c r="Q506" s="17"/>
      <c r="R506" s="17"/>
      <c r="S506" s="17"/>
      <c r="T506" s="17"/>
    </row>
    <row r="507" ht="15.75" customHeight="1">
      <c r="A507" s="18">
        <v>3.0</v>
      </c>
      <c r="B507" s="12" t="s">
        <v>64</v>
      </c>
      <c r="C507" s="12" t="s">
        <v>14</v>
      </c>
      <c r="D507" s="19" t="s">
        <v>20</v>
      </c>
      <c r="E507" s="12" t="str">
        <f>IFERROR(__xludf.DUMMYFUNCTION("FILTER(colegios!$B$2:$B5618,colegios!$A$2:$A5618=L507)"),"86809")</f>
        <v>86809</v>
      </c>
      <c r="F507" s="14" t="s">
        <v>16</v>
      </c>
      <c r="G507" s="19" t="s">
        <v>21</v>
      </c>
      <c r="H507" s="12" t="s">
        <v>24</v>
      </c>
      <c r="I507" s="15">
        <v>2024.0</v>
      </c>
      <c r="J507" s="16" t="str">
        <f>IFERROR(__xludf.DUMMYFUNCTION("FILTER('CLASFICACIÓN'!$F$3:$F5618,'CLASFICACIÓN'!$G$3:$G5618=M507)"),"LOS 3 AÑOS")</f>
        <v>LOS 3 AÑOS</v>
      </c>
      <c r="K507" s="16"/>
      <c r="L507" s="12" t="s">
        <v>65</v>
      </c>
      <c r="M507" s="16" t="str">
        <f t="shared" si="1"/>
        <v>868094 Primaria</v>
      </c>
      <c r="N507" s="17"/>
      <c r="O507" s="17"/>
      <c r="P507" s="17"/>
      <c r="Q507" s="17"/>
      <c r="R507" s="17"/>
      <c r="S507" s="17"/>
      <c r="T507" s="17"/>
    </row>
    <row r="508" ht="15.75" customHeight="1">
      <c r="A508" s="18">
        <v>4.0</v>
      </c>
      <c r="B508" s="12" t="s">
        <v>64</v>
      </c>
      <c r="C508" s="12" t="s">
        <v>14</v>
      </c>
      <c r="D508" s="19" t="s">
        <v>20</v>
      </c>
      <c r="E508" s="12" t="str">
        <f>IFERROR(__xludf.DUMMYFUNCTION("FILTER(colegios!$B$2:$B5618,colegios!$A$2:$A5618=L508)"),"86809")</f>
        <v>86809</v>
      </c>
      <c r="F508" s="14" t="s">
        <v>16</v>
      </c>
      <c r="G508" s="19" t="s">
        <v>17</v>
      </c>
      <c r="H508" s="12" t="s">
        <v>24</v>
      </c>
      <c r="I508" s="15">
        <v>2024.0</v>
      </c>
      <c r="J508" s="16" t="str">
        <f>IFERROR(__xludf.DUMMYFUNCTION("FILTER('CLASFICACIÓN'!$F$3:$F5618,'CLASFICACIÓN'!$G$3:$G5618=M508)"),"LOS 3 AÑOS")</f>
        <v>LOS 3 AÑOS</v>
      </c>
      <c r="K508" s="16"/>
      <c r="L508" s="12" t="s">
        <v>65</v>
      </c>
      <c r="M508" s="16" t="str">
        <f t="shared" si="1"/>
        <v>868094 Primaria</v>
      </c>
      <c r="N508" s="17"/>
      <c r="O508" s="17"/>
      <c r="P508" s="17"/>
      <c r="Q508" s="17"/>
      <c r="R508" s="17"/>
      <c r="S508" s="17"/>
      <c r="T508" s="17"/>
    </row>
    <row r="509" ht="15.75" customHeight="1">
      <c r="A509" s="18">
        <v>5.0</v>
      </c>
      <c r="B509" s="12" t="s">
        <v>64</v>
      </c>
      <c r="C509" s="12" t="s">
        <v>14</v>
      </c>
      <c r="D509" s="19" t="s">
        <v>20</v>
      </c>
      <c r="E509" s="12" t="str">
        <f>IFERROR(__xludf.DUMMYFUNCTION("FILTER(colegios!$B$2:$B5618,colegios!$A$2:$A5618=L509)"),"86809")</f>
        <v>86809</v>
      </c>
      <c r="F509" s="14" t="s">
        <v>16</v>
      </c>
      <c r="G509" s="19" t="s">
        <v>17</v>
      </c>
      <c r="H509" s="12" t="s">
        <v>24</v>
      </c>
      <c r="I509" s="15">
        <v>2024.0</v>
      </c>
      <c r="J509" s="16" t="str">
        <f>IFERROR(__xludf.DUMMYFUNCTION("FILTER('CLASFICACIÓN'!$F$3:$F5618,'CLASFICACIÓN'!$G$3:$G5618=M509)"),"LOS 3 AÑOS")</f>
        <v>LOS 3 AÑOS</v>
      </c>
      <c r="K509" s="16"/>
      <c r="L509" s="12" t="s">
        <v>65</v>
      </c>
      <c r="M509" s="16" t="str">
        <f t="shared" si="1"/>
        <v>868094 Primaria</v>
      </c>
      <c r="N509" s="17"/>
      <c r="O509" s="17"/>
      <c r="P509" s="17"/>
      <c r="Q509" s="17"/>
      <c r="R509" s="17"/>
      <c r="S509" s="17"/>
      <c r="T509" s="17"/>
    </row>
    <row r="510" ht="15.75" customHeight="1">
      <c r="A510" s="18">
        <v>6.0</v>
      </c>
      <c r="B510" s="12" t="s">
        <v>64</v>
      </c>
      <c r="C510" s="12" t="s">
        <v>14</v>
      </c>
      <c r="D510" s="19" t="s">
        <v>22</v>
      </c>
      <c r="E510" s="12" t="str">
        <f>IFERROR(__xludf.DUMMYFUNCTION("FILTER(colegios!$B$2:$B5618,colegios!$A$2:$A5618=L510)"),"86809")</f>
        <v>86809</v>
      </c>
      <c r="F510" s="14" t="s">
        <v>16</v>
      </c>
      <c r="G510" s="19" t="s">
        <v>17</v>
      </c>
      <c r="H510" s="12" t="s">
        <v>18</v>
      </c>
      <c r="I510" s="15">
        <v>2024.0</v>
      </c>
      <c r="J510" s="16" t="str">
        <f>IFERROR(__xludf.DUMMYFUNCTION("FILTER('CLASFICACIÓN'!$F$3:$F5618,'CLASFICACIÓN'!$G$3:$G5618=M510)"),"LOS 3 AÑOS")</f>
        <v>LOS 3 AÑOS</v>
      </c>
      <c r="K510" s="16"/>
      <c r="L510" s="12" t="s">
        <v>65</v>
      </c>
      <c r="M510" s="16" t="str">
        <f t="shared" si="1"/>
        <v>868096 Primaria</v>
      </c>
      <c r="N510" s="17"/>
      <c r="O510" s="17"/>
      <c r="P510" s="17"/>
      <c r="Q510" s="17"/>
      <c r="R510" s="17"/>
      <c r="S510" s="17"/>
      <c r="T510" s="17"/>
    </row>
    <row r="511" ht="15.75" customHeight="1">
      <c r="A511" s="18">
        <v>7.0</v>
      </c>
      <c r="B511" s="12" t="s">
        <v>64</v>
      </c>
      <c r="C511" s="12" t="s">
        <v>14</v>
      </c>
      <c r="D511" s="19" t="s">
        <v>22</v>
      </c>
      <c r="E511" s="12" t="str">
        <f>IFERROR(__xludf.DUMMYFUNCTION("FILTER(colegios!$B$2:$B5618,colegios!$A$2:$A5618=L511)"),"86809")</f>
        <v>86809</v>
      </c>
      <c r="F511" s="14" t="s">
        <v>16</v>
      </c>
      <c r="G511" s="19" t="s">
        <v>17</v>
      </c>
      <c r="H511" s="12" t="s">
        <v>24</v>
      </c>
      <c r="I511" s="15">
        <v>2024.0</v>
      </c>
      <c r="J511" s="16" t="str">
        <f>IFERROR(__xludf.DUMMYFUNCTION("FILTER('CLASFICACIÓN'!$F$3:$F5618,'CLASFICACIÓN'!$G$3:$G5618=M511)"),"LOS 3 AÑOS")</f>
        <v>LOS 3 AÑOS</v>
      </c>
      <c r="K511" s="16"/>
      <c r="L511" s="12" t="s">
        <v>65</v>
      </c>
      <c r="M511" s="16" t="str">
        <f t="shared" si="1"/>
        <v>868096 Primaria</v>
      </c>
      <c r="N511" s="17"/>
      <c r="O511" s="17"/>
      <c r="P511" s="17"/>
      <c r="Q511" s="17"/>
      <c r="R511" s="17"/>
      <c r="S511" s="17"/>
      <c r="T511" s="17"/>
    </row>
    <row r="512" ht="15.75" customHeight="1">
      <c r="A512" s="18">
        <v>8.0</v>
      </c>
      <c r="B512" s="12" t="s">
        <v>64</v>
      </c>
      <c r="C512" s="12" t="s">
        <v>14</v>
      </c>
      <c r="D512" s="19" t="s">
        <v>15</v>
      </c>
      <c r="E512" s="12" t="str">
        <f>IFERROR(__xludf.DUMMYFUNCTION("FILTER(colegios!$B$2:$B5618,colegios!$A$2:$A5618=L512)"),"86548 JOSE MARIA VELAZ")</f>
        <v>86548 JOSE MARIA VELAZ</v>
      </c>
      <c r="F512" s="14" t="s">
        <v>16</v>
      </c>
      <c r="G512" s="19" t="s">
        <v>21</v>
      </c>
      <c r="H512" s="12" t="s">
        <v>18</v>
      </c>
      <c r="I512" s="15">
        <v>2024.0</v>
      </c>
      <c r="J512" s="16" t="str">
        <f>IFERROR(__xludf.DUMMYFUNCTION("FILTER('CLASFICACIÓN'!$F$3:$F5618,'CLASFICACIÓN'!$G$3:$G5618=M512)"),"SOLO 2022 Y 2024")</f>
        <v>SOLO 2022 Y 2024</v>
      </c>
      <c r="K512" s="16"/>
      <c r="L512" s="12" t="s">
        <v>66</v>
      </c>
      <c r="M512" s="16" t="str">
        <f t="shared" si="1"/>
        <v>86548 JOSE MARIA VELAZ2 Primaria</v>
      </c>
      <c r="N512" s="17"/>
      <c r="O512" s="17"/>
      <c r="P512" s="17"/>
      <c r="Q512" s="17"/>
      <c r="R512" s="17"/>
      <c r="S512" s="17"/>
      <c r="T512" s="17"/>
    </row>
    <row r="513" ht="15.75" customHeight="1">
      <c r="A513" s="18">
        <v>9.0</v>
      </c>
      <c r="B513" s="12" t="s">
        <v>64</v>
      </c>
      <c r="C513" s="12" t="s">
        <v>14</v>
      </c>
      <c r="D513" s="19" t="s">
        <v>15</v>
      </c>
      <c r="E513" s="12" t="str">
        <f>IFERROR(__xludf.DUMMYFUNCTION("FILTER(colegios!$B$2:$B5618,colegios!$A$2:$A5618=L513)"),"86548 JOSE MARIA VELAZ")</f>
        <v>86548 JOSE MARIA VELAZ</v>
      </c>
      <c r="F513" s="14" t="s">
        <v>16</v>
      </c>
      <c r="G513" s="19" t="s">
        <v>17</v>
      </c>
      <c r="H513" s="12" t="s">
        <v>18</v>
      </c>
      <c r="I513" s="15">
        <v>2024.0</v>
      </c>
      <c r="J513" s="16" t="str">
        <f>IFERROR(__xludf.DUMMYFUNCTION("FILTER('CLASFICACIÓN'!$F$3:$F5618,'CLASFICACIÓN'!$G$3:$G5618=M513)"),"SOLO 2022 Y 2024")</f>
        <v>SOLO 2022 Y 2024</v>
      </c>
      <c r="K513" s="16"/>
      <c r="L513" s="12" t="s">
        <v>66</v>
      </c>
      <c r="M513" s="16" t="str">
        <f t="shared" si="1"/>
        <v>86548 JOSE MARIA VELAZ2 Primaria</v>
      </c>
      <c r="N513" s="17"/>
      <c r="O513" s="17"/>
      <c r="P513" s="17"/>
      <c r="Q513" s="17"/>
      <c r="R513" s="17"/>
      <c r="S513" s="17"/>
      <c r="T513" s="17"/>
    </row>
    <row r="514" ht="15.75" customHeight="1">
      <c r="A514" s="18">
        <v>10.0</v>
      </c>
      <c r="B514" s="12" t="s">
        <v>64</v>
      </c>
      <c r="C514" s="12" t="s">
        <v>14</v>
      </c>
      <c r="D514" s="19" t="s">
        <v>15</v>
      </c>
      <c r="E514" s="12" t="str">
        <f>IFERROR(__xludf.DUMMYFUNCTION("FILTER(colegios!$B$2:$B5618,colegios!$A$2:$A5618=L514)"),"86548 JOSE MARIA VELAZ")</f>
        <v>86548 JOSE MARIA VELAZ</v>
      </c>
      <c r="F514" s="14" t="s">
        <v>16</v>
      </c>
      <c r="G514" s="19" t="s">
        <v>17</v>
      </c>
      <c r="H514" s="12" t="s">
        <v>24</v>
      </c>
      <c r="I514" s="15">
        <v>2024.0</v>
      </c>
      <c r="J514" s="16" t="str">
        <f>IFERROR(__xludf.DUMMYFUNCTION("FILTER('CLASFICACIÓN'!$F$3:$F5618,'CLASFICACIÓN'!$G$3:$G5618=M514)"),"SOLO 2022 Y 2024")</f>
        <v>SOLO 2022 Y 2024</v>
      </c>
      <c r="K514" s="16"/>
      <c r="L514" s="12" t="s">
        <v>66</v>
      </c>
      <c r="M514" s="16" t="str">
        <f t="shared" si="1"/>
        <v>86548 JOSE MARIA VELAZ2 Primaria</v>
      </c>
      <c r="N514" s="17"/>
      <c r="O514" s="17"/>
      <c r="P514" s="17"/>
      <c r="Q514" s="17"/>
      <c r="R514" s="17"/>
      <c r="S514" s="17"/>
      <c r="T514" s="17"/>
    </row>
    <row r="515" ht="15.75" customHeight="1">
      <c r="A515" s="18">
        <v>11.0</v>
      </c>
      <c r="B515" s="12" t="s">
        <v>64</v>
      </c>
      <c r="C515" s="12" t="s">
        <v>14</v>
      </c>
      <c r="D515" s="19" t="s">
        <v>15</v>
      </c>
      <c r="E515" s="12" t="str">
        <f>IFERROR(__xludf.DUMMYFUNCTION("FILTER(colegios!$B$2:$B5618,colegios!$A$2:$A5618=L515)"),"86548 JOSE MARIA VELAZ")</f>
        <v>86548 JOSE MARIA VELAZ</v>
      </c>
      <c r="F515" s="14" t="s">
        <v>16</v>
      </c>
      <c r="G515" s="19" t="s">
        <v>21</v>
      </c>
      <c r="H515" s="12" t="s">
        <v>24</v>
      </c>
      <c r="I515" s="15">
        <v>2024.0</v>
      </c>
      <c r="J515" s="16" t="str">
        <f>IFERROR(__xludf.DUMMYFUNCTION("FILTER('CLASFICACIÓN'!$F$3:$F5618,'CLASFICACIÓN'!$G$3:$G5618=M515)"),"SOLO 2022 Y 2024")</f>
        <v>SOLO 2022 Y 2024</v>
      </c>
      <c r="K515" s="16"/>
      <c r="L515" s="12" t="s">
        <v>66</v>
      </c>
      <c r="M515" s="16" t="str">
        <f t="shared" si="1"/>
        <v>86548 JOSE MARIA VELAZ2 Primaria</v>
      </c>
      <c r="N515" s="17"/>
      <c r="O515" s="17"/>
      <c r="P515" s="17"/>
      <c r="Q515" s="17"/>
      <c r="R515" s="17"/>
      <c r="S515" s="17"/>
      <c r="T515" s="17"/>
    </row>
    <row r="516" ht="15.75" customHeight="1">
      <c r="A516" s="18">
        <v>12.0</v>
      </c>
      <c r="B516" s="12" t="s">
        <v>64</v>
      </c>
      <c r="C516" s="12" t="s">
        <v>14</v>
      </c>
      <c r="D516" s="19" t="s">
        <v>15</v>
      </c>
      <c r="E516" s="12" t="str">
        <f>IFERROR(__xludf.DUMMYFUNCTION("FILTER(colegios!$B$2:$B5618,colegios!$A$2:$A5618=L516)"),"86548 JOSE MARIA VELAZ")</f>
        <v>86548 JOSE MARIA VELAZ</v>
      </c>
      <c r="F516" s="14" t="s">
        <v>16</v>
      </c>
      <c r="G516" s="19" t="s">
        <v>21</v>
      </c>
      <c r="H516" s="12" t="s">
        <v>24</v>
      </c>
      <c r="I516" s="15">
        <v>2024.0</v>
      </c>
      <c r="J516" s="16" t="str">
        <f>IFERROR(__xludf.DUMMYFUNCTION("FILTER('CLASFICACIÓN'!$F$3:$F5618,'CLASFICACIÓN'!$G$3:$G5618=M516)"),"SOLO 2022 Y 2024")</f>
        <v>SOLO 2022 Y 2024</v>
      </c>
      <c r="K516" s="16"/>
      <c r="L516" s="12" t="s">
        <v>66</v>
      </c>
      <c r="M516" s="16" t="str">
        <f t="shared" si="1"/>
        <v>86548 JOSE MARIA VELAZ2 Primaria</v>
      </c>
      <c r="N516" s="17"/>
      <c r="O516" s="17"/>
      <c r="P516" s="17"/>
      <c r="Q516" s="17"/>
      <c r="R516" s="17"/>
      <c r="S516" s="17"/>
      <c r="T516" s="17"/>
    </row>
    <row r="517" ht="15.75" customHeight="1">
      <c r="A517" s="18">
        <v>13.0</v>
      </c>
      <c r="B517" s="12" t="s">
        <v>64</v>
      </c>
      <c r="C517" s="12" t="s">
        <v>14</v>
      </c>
      <c r="D517" s="19" t="s">
        <v>15</v>
      </c>
      <c r="E517" s="12" t="str">
        <f>IFERROR(__xludf.DUMMYFUNCTION("FILTER(colegios!$B$2:$B5618,colegios!$A$2:$A5618=L517)"),"86548 JOSE MARIA VELAZ")</f>
        <v>86548 JOSE MARIA VELAZ</v>
      </c>
      <c r="F517" s="14" t="s">
        <v>16</v>
      </c>
      <c r="G517" s="19" t="s">
        <v>21</v>
      </c>
      <c r="H517" s="12" t="s">
        <v>24</v>
      </c>
      <c r="I517" s="15">
        <v>2024.0</v>
      </c>
      <c r="J517" s="16" t="str">
        <f>IFERROR(__xludf.DUMMYFUNCTION("FILTER('CLASFICACIÓN'!$F$3:$F5618,'CLASFICACIÓN'!$G$3:$G5618=M517)"),"SOLO 2022 Y 2024")</f>
        <v>SOLO 2022 Y 2024</v>
      </c>
      <c r="K517" s="16"/>
      <c r="L517" s="12" t="s">
        <v>66</v>
      </c>
      <c r="M517" s="16" t="str">
        <f t="shared" si="1"/>
        <v>86548 JOSE MARIA VELAZ2 Primaria</v>
      </c>
      <c r="N517" s="17"/>
      <c r="O517" s="17"/>
      <c r="P517" s="17"/>
      <c r="Q517" s="17"/>
      <c r="R517" s="17"/>
      <c r="S517" s="17"/>
      <c r="T517" s="17"/>
    </row>
    <row r="518" ht="15.75" customHeight="1">
      <c r="A518" s="18">
        <v>14.0</v>
      </c>
      <c r="B518" s="12" t="s">
        <v>64</v>
      </c>
      <c r="C518" s="12" t="s">
        <v>14</v>
      </c>
      <c r="D518" s="19" t="s">
        <v>15</v>
      </c>
      <c r="E518" s="12" t="str">
        <f>IFERROR(__xludf.DUMMYFUNCTION("FILTER(colegios!$B$2:$B5618,colegios!$A$2:$A5618=L518)"),"86548 JOSE MARIA VELAZ")</f>
        <v>86548 JOSE MARIA VELAZ</v>
      </c>
      <c r="F518" s="14" t="s">
        <v>16</v>
      </c>
      <c r="G518" s="19" t="s">
        <v>21</v>
      </c>
      <c r="H518" s="12" t="s">
        <v>24</v>
      </c>
      <c r="I518" s="15">
        <v>2024.0</v>
      </c>
      <c r="J518" s="16" t="str">
        <f>IFERROR(__xludf.DUMMYFUNCTION("FILTER('CLASFICACIÓN'!$F$3:$F5618,'CLASFICACIÓN'!$G$3:$G5618=M518)"),"SOLO 2022 Y 2024")</f>
        <v>SOLO 2022 Y 2024</v>
      </c>
      <c r="K518" s="16"/>
      <c r="L518" s="12" t="s">
        <v>66</v>
      </c>
      <c r="M518" s="16" t="str">
        <f t="shared" si="1"/>
        <v>86548 JOSE MARIA VELAZ2 Primaria</v>
      </c>
      <c r="N518" s="17"/>
      <c r="O518" s="17"/>
      <c r="P518" s="17"/>
      <c r="Q518" s="17"/>
      <c r="R518" s="17"/>
      <c r="S518" s="17"/>
      <c r="T518" s="17"/>
    </row>
    <row r="519" ht="15.75" customHeight="1">
      <c r="A519" s="18">
        <v>15.0</v>
      </c>
      <c r="B519" s="12" t="s">
        <v>64</v>
      </c>
      <c r="C519" s="12" t="s">
        <v>14</v>
      </c>
      <c r="D519" s="19" t="s">
        <v>15</v>
      </c>
      <c r="E519" s="12" t="str">
        <f>IFERROR(__xludf.DUMMYFUNCTION("FILTER(colegios!$B$2:$B5618,colegios!$A$2:$A5618=L519)"),"86548 JOSE MARIA VELAZ")</f>
        <v>86548 JOSE MARIA VELAZ</v>
      </c>
      <c r="F519" s="14" t="s">
        <v>16</v>
      </c>
      <c r="G519" s="19" t="s">
        <v>17</v>
      </c>
      <c r="H519" s="12" t="s">
        <v>24</v>
      </c>
      <c r="I519" s="15">
        <v>2024.0</v>
      </c>
      <c r="J519" s="16" t="str">
        <f>IFERROR(__xludf.DUMMYFUNCTION("FILTER('CLASFICACIÓN'!$F$3:$F5618,'CLASFICACIÓN'!$G$3:$G5618=M519)"),"SOLO 2022 Y 2024")</f>
        <v>SOLO 2022 Y 2024</v>
      </c>
      <c r="K519" s="16"/>
      <c r="L519" s="12" t="s">
        <v>66</v>
      </c>
      <c r="M519" s="16" t="str">
        <f t="shared" si="1"/>
        <v>86548 JOSE MARIA VELAZ2 Primaria</v>
      </c>
      <c r="N519" s="17"/>
      <c r="O519" s="17"/>
      <c r="P519" s="17"/>
      <c r="Q519" s="17"/>
      <c r="R519" s="17"/>
      <c r="S519" s="17"/>
      <c r="T519" s="17"/>
    </row>
    <row r="520" ht="15.75" customHeight="1">
      <c r="A520" s="18">
        <v>16.0</v>
      </c>
      <c r="B520" s="12" t="s">
        <v>64</v>
      </c>
      <c r="C520" s="12" t="s">
        <v>14</v>
      </c>
      <c r="D520" s="19" t="s">
        <v>15</v>
      </c>
      <c r="E520" s="12" t="str">
        <f>IFERROR(__xludf.DUMMYFUNCTION("FILTER(colegios!$B$2:$B5618,colegios!$A$2:$A5618=L520)"),"86548 JOSE MARIA VELAZ")</f>
        <v>86548 JOSE MARIA VELAZ</v>
      </c>
      <c r="F520" s="14" t="s">
        <v>16</v>
      </c>
      <c r="G520" s="19" t="s">
        <v>17</v>
      </c>
      <c r="H520" s="12" t="s">
        <v>24</v>
      </c>
      <c r="I520" s="15">
        <v>2024.0</v>
      </c>
      <c r="J520" s="16" t="str">
        <f>IFERROR(__xludf.DUMMYFUNCTION("FILTER('CLASFICACIÓN'!$F$3:$F5618,'CLASFICACIÓN'!$G$3:$G5618=M520)"),"SOLO 2022 Y 2024")</f>
        <v>SOLO 2022 Y 2024</v>
      </c>
      <c r="K520" s="16"/>
      <c r="L520" s="12" t="s">
        <v>66</v>
      </c>
      <c r="M520" s="16" t="str">
        <f t="shared" si="1"/>
        <v>86548 JOSE MARIA VELAZ2 Primaria</v>
      </c>
      <c r="N520" s="17"/>
      <c r="O520" s="17"/>
      <c r="P520" s="17"/>
      <c r="Q520" s="17"/>
      <c r="R520" s="17"/>
      <c r="S520" s="17"/>
      <c r="T520" s="17"/>
    </row>
    <row r="521" ht="15.75" customHeight="1">
      <c r="A521" s="18">
        <v>17.0</v>
      </c>
      <c r="B521" s="12" t="s">
        <v>64</v>
      </c>
      <c r="C521" s="12" t="s">
        <v>14</v>
      </c>
      <c r="D521" s="19" t="s">
        <v>15</v>
      </c>
      <c r="E521" s="12" t="str">
        <f>IFERROR(__xludf.DUMMYFUNCTION("FILTER(colegios!$B$2:$B5618,colegios!$A$2:$A5618=L521)"),"86548 JOSE MARIA VELAZ")</f>
        <v>86548 JOSE MARIA VELAZ</v>
      </c>
      <c r="F521" s="14" t="s">
        <v>16</v>
      </c>
      <c r="G521" s="19" t="s">
        <v>17</v>
      </c>
      <c r="H521" s="12" t="s">
        <v>24</v>
      </c>
      <c r="I521" s="15">
        <v>2024.0</v>
      </c>
      <c r="J521" s="16" t="str">
        <f>IFERROR(__xludf.DUMMYFUNCTION("FILTER('CLASFICACIÓN'!$F$3:$F5618,'CLASFICACIÓN'!$G$3:$G5618=M521)"),"SOLO 2022 Y 2024")</f>
        <v>SOLO 2022 Y 2024</v>
      </c>
      <c r="K521" s="16"/>
      <c r="L521" s="12" t="s">
        <v>66</v>
      </c>
      <c r="M521" s="16" t="str">
        <f t="shared" si="1"/>
        <v>86548 JOSE MARIA VELAZ2 Primaria</v>
      </c>
      <c r="N521" s="17"/>
      <c r="O521" s="17"/>
      <c r="P521" s="17"/>
      <c r="Q521" s="17"/>
      <c r="R521" s="17"/>
      <c r="S521" s="17"/>
      <c r="T521" s="17"/>
    </row>
    <row r="522" ht="15.75" customHeight="1">
      <c r="A522" s="18">
        <v>18.0</v>
      </c>
      <c r="B522" s="12" t="s">
        <v>64</v>
      </c>
      <c r="C522" s="12" t="s">
        <v>14</v>
      </c>
      <c r="D522" s="19" t="s">
        <v>15</v>
      </c>
      <c r="E522" s="12" t="str">
        <f>IFERROR(__xludf.DUMMYFUNCTION("FILTER(colegios!$B$2:$B5618,colegios!$A$2:$A5618=L522)"),"86548 JOSE MARIA VELAZ")</f>
        <v>86548 JOSE MARIA VELAZ</v>
      </c>
      <c r="F522" s="14" t="s">
        <v>16</v>
      </c>
      <c r="G522" s="19" t="s">
        <v>21</v>
      </c>
      <c r="H522" s="12" t="s">
        <v>24</v>
      </c>
      <c r="I522" s="15">
        <v>2024.0</v>
      </c>
      <c r="J522" s="16" t="str">
        <f>IFERROR(__xludf.DUMMYFUNCTION("FILTER('CLASFICACIÓN'!$F$3:$F5618,'CLASFICACIÓN'!$G$3:$G5618=M522)"),"SOLO 2022 Y 2024")</f>
        <v>SOLO 2022 Y 2024</v>
      </c>
      <c r="K522" s="16"/>
      <c r="L522" s="12" t="s">
        <v>66</v>
      </c>
      <c r="M522" s="16" t="str">
        <f t="shared" si="1"/>
        <v>86548 JOSE MARIA VELAZ2 Primaria</v>
      </c>
      <c r="N522" s="17"/>
      <c r="O522" s="17"/>
      <c r="P522" s="17"/>
      <c r="Q522" s="17"/>
      <c r="R522" s="17"/>
      <c r="S522" s="17"/>
      <c r="T522" s="17"/>
    </row>
    <row r="523" ht="15.75" customHeight="1">
      <c r="A523" s="18">
        <v>19.0</v>
      </c>
      <c r="B523" s="12" t="s">
        <v>64</v>
      </c>
      <c r="C523" s="12" t="s">
        <v>14</v>
      </c>
      <c r="D523" s="19" t="s">
        <v>15</v>
      </c>
      <c r="E523" s="12" t="str">
        <f>IFERROR(__xludf.DUMMYFUNCTION("FILTER(colegios!$B$2:$B5618,colegios!$A$2:$A5618=L523)"),"86548 JOSE MARIA VELAZ")</f>
        <v>86548 JOSE MARIA VELAZ</v>
      </c>
      <c r="F523" s="14" t="s">
        <v>16</v>
      </c>
      <c r="G523" s="19" t="s">
        <v>21</v>
      </c>
      <c r="H523" s="12" t="s">
        <v>18</v>
      </c>
      <c r="I523" s="15">
        <v>2024.0</v>
      </c>
      <c r="J523" s="16" t="str">
        <f>IFERROR(__xludf.DUMMYFUNCTION("FILTER('CLASFICACIÓN'!$F$3:$F5618,'CLASFICACIÓN'!$G$3:$G5618=M523)"),"SOLO 2022 Y 2024")</f>
        <v>SOLO 2022 Y 2024</v>
      </c>
      <c r="K523" s="16"/>
      <c r="L523" s="12" t="s">
        <v>66</v>
      </c>
      <c r="M523" s="16" t="str">
        <f t="shared" si="1"/>
        <v>86548 JOSE MARIA VELAZ2 Primaria</v>
      </c>
      <c r="N523" s="17"/>
      <c r="O523" s="17"/>
      <c r="P523" s="17"/>
      <c r="Q523" s="17"/>
      <c r="R523" s="17"/>
      <c r="S523" s="17"/>
      <c r="T523" s="17"/>
    </row>
    <row r="524" ht="15.75" customHeight="1">
      <c r="A524" s="18">
        <v>20.0</v>
      </c>
      <c r="B524" s="12" t="s">
        <v>64</v>
      </c>
      <c r="C524" s="12" t="s">
        <v>14</v>
      </c>
      <c r="D524" s="19" t="s">
        <v>15</v>
      </c>
      <c r="E524" s="12" t="str">
        <f>IFERROR(__xludf.DUMMYFUNCTION("FILTER(colegios!$B$2:$B5618,colegios!$A$2:$A5618=L524)"),"86548 JOSE MARIA VELAZ")</f>
        <v>86548 JOSE MARIA VELAZ</v>
      </c>
      <c r="F524" s="14" t="s">
        <v>16</v>
      </c>
      <c r="G524" s="19" t="s">
        <v>21</v>
      </c>
      <c r="H524" s="12" t="s">
        <v>24</v>
      </c>
      <c r="I524" s="15">
        <v>2024.0</v>
      </c>
      <c r="J524" s="16" t="str">
        <f>IFERROR(__xludf.DUMMYFUNCTION("FILTER('CLASFICACIÓN'!$F$3:$F5618,'CLASFICACIÓN'!$G$3:$G5618=M524)"),"SOLO 2022 Y 2024")</f>
        <v>SOLO 2022 Y 2024</v>
      </c>
      <c r="K524" s="16"/>
      <c r="L524" s="12" t="s">
        <v>66</v>
      </c>
      <c r="M524" s="16" t="str">
        <f t="shared" si="1"/>
        <v>86548 JOSE MARIA VELAZ2 Primaria</v>
      </c>
      <c r="N524" s="17"/>
      <c r="O524" s="17"/>
      <c r="P524" s="17"/>
      <c r="Q524" s="17"/>
      <c r="R524" s="17"/>
      <c r="S524" s="17"/>
      <c r="T524" s="17"/>
    </row>
    <row r="525" ht="15.75" customHeight="1">
      <c r="A525" s="18">
        <v>21.0</v>
      </c>
      <c r="B525" s="12" t="s">
        <v>64</v>
      </c>
      <c r="C525" s="12" t="s">
        <v>14</v>
      </c>
      <c r="D525" s="19" t="s">
        <v>15</v>
      </c>
      <c r="E525" s="12" t="str">
        <f>IFERROR(__xludf.DUMMYFUNCTION("FILTER(colegios!$B$2:$B5618,colegios!$A$2:$A5618=L525)"),"86548 JOSE MARIA VELAZ")</f>
        <v>86548 JOSE MARIA VELAZ</v>
      </c>
      <c r="F525" s="14" t="s">
        <v>16</v>
      </c>
      <c r="G525" s="19" t="s">
        <v>21</v>
      </c>
      <c r="H525" s="12" t="s">
        <v>24</v>
      </c>
      <c r="I525" s="15">
        <v>2024.0</v>
      </c>
      <c r="J525" s="16" t="str">
        <f>IFERROR(__xludf.DUMMYFUNCTION("FILTER('CLASFICACIÓN'!$F$3:$F5618,'CLASFICACIÓN'!$G$3:$G5618=M525)"),"SOLO 2022 Y 2024")</f>
        <v>SOLO 2022 Y 2024</v>
      </c>
      <c r="K525" s="16"/>
      <c r="L525" s="12" t="s">
        <v>66</v>
      </c>
      <c r="M525" s="16" t="str">
        <f t="shared" si="1"/>
        <v>86548 JOSE MARIA VELAZ2 Primaria</v>
      </c>
      <c r="N525" s="17"/>
      <c r="O525" s="17"/>
      <c r="P525" s="17"/>
      <c r="Q525" s="17"/>
      <c r="R525" s="17"/>
      <c r="S525" s="17"/>
      <c r="T525" s="17"/>
    </row>
    <row r="526" ht="15.75" customHeight="1">
      <c r="A526" s="18">
        <v>22.0</v>
      </c>
      <c r="B526" s="12" t="s">
        <v>64</v>
      </c>
      <c r="C526" s="12" t="s">
        <v>14</v>
      </c>
      <c r="D526" s="19" t="s">
        <v>15</v>
      </c>
      <c r="E526" s="12" t="str">
        <f>IFERROR(__xludf.DUMMYFUNCTION("FILTER(colegios!$B$2:$B5618,colegios!$A$2:$A5618=L526)"),"86548 JOSE MARIA VELAZ")</f>
        <v>86548 JOSE MARIA VELAZ</v>
      </c>
      <c r="F526" s="14" t="s">
        <v>16</v>
      </c>
      <c r="G526" s="19" t="s">
        <v>17</v>
      </c>
      <c r="H526" s="12" t="s">
        <v>24</v>
      </c>
      <c r="I526" s="15">
        <v>2024.0</v>
      </c>
      <c r="J526" s="16" t="str">
        <f>IFERROR(__xludf.DUMMYFUNCTION("FILTER('CLASFICACIÓN'!$F$3:$F5618,'CLASFICACIÓN'!$G$3:$G5618=M526)"),"SOLO 2022 Y 2024")</f>
        <v>SOLO 2022 Y 2024</v>
      </c>
      <c r="K526" s="16"/>
      <c r="L526" s="12" t="s">
        <v>66</v>
      </c>
      <c r="M526" s="16" t="str">
        <f t="shared" si="1"/>
        <v>86548 JOSE MARIA VELAZ2 Primaria</v>
      </c>
      <c r="N526" s="17"/>
      <c r="O526" s="17"/>
      <c r="P526" s="17"/>
      <c r="Q526" s="17"/>
      <c r="R526" s="17"/>
      <c r="S526" s="17"/>
      <c r="T526" s="17"/>
    </row>
    <row r="527" ht="15.75" customHeight="1">
      <c r="A527" s="18">
        <v>23.0</v>
      </c>
      <c r="B527" s="12" t="s">
        <v>64</v>
      </c>
      <c r="C527" s="12" t="s">
        <v>14</v>
      </c>
      <c r="D527" s="19" t="s">
        <v>15</v>
      </c>
      <c r="E527" s="12" t="str">
        <f>IFERROR(__xludf.DUMMYFUNCTION("FILTER(colegios!$B$2:$B5618,colegios!$A$2:$A5618=L527)"),"86548 JOSE MARIA VELAZ")</f>
        <v>86548 JOSE MARIA VELAZ</v>
      </c>
      <c r="F527" s="14" t="s">
        <v>16</v>
      </c>
      <c r="G527" s="20" t="s">
        <v>21</v>
      </c>
      <c r="H527" s="12" t="s">
        <v>18</v>
      </c>
      <c r="I527" s="15">
        <v>2024.0</v>
      </c>
      <c r="J527" s="16" t="str">
        <f>IFERROR(__xludf.DUMMYFUNCTION("FILTER('CLASFICACIÓN'!$F$3:$F5618,'CLASFICACIÓN'!$G$3:$G5618=M527)"),"SOLO 2022 Y 2024")</f>
        <v>SOLO 2022 Y 2024</v>
      </c>
      <c r="K527" s="16"/>
      <c r="L527" s="12" t="s">
        <v>66</v>
      </c>
      <c r="M527" s="16" t="str">
        <f t="shared" si="1"/>
        <v>86548 JOSE MARIA VELAZ2 Primaria</v>
      </c>
      <c r="N527" s="17"/>
      <c r="O527" s="17"/>
      <c r="P527" s="17"/>
      <c r="Q527" s="17"/>
      <c r="R527" s="17"/>
      <c r="S527" s="17"/>
      <c r="T527" s="17"/>
    </row>
    <row r="528" ht="15.75" customHeight="1">
      <c r="A528" s="18">
        <v>24.0</v>
      </c>
      <c r="B528" s="12" t="s">
        <v>64</v>
      </c>
      <c r="C528" s="12" t="s">
        <v>14</v>
      </c>
      <c r="D528" s="19" t="s">
        <v>20</v>
      </c>
      <c r="E528" s="12" t="str">
        <f>IFERROR(__xludf.DUMMYFUNCTION("FILTER(colegios!$B$2:$B5618,colegios!$A$2:$A5618=L528)"),"86548 JOSE MARIA VELAZ")</f>
        <v>86548 JOSE MARIA VELAZ</v>
      </c>
      <c r="F528" s="14" t="s">
        <v>16</v>
      </c>
      <c r="G528" s="20" t="s">
        <v>21</v>
      </c>
      <c r="H528" s="12" t="s">
        <v>18</v>
      </c>
      <c r="I528" s="15">
        <v>2024.0</v>
      </c>
      <c r="J528" s="16" t="str">
        <f>IFERROR(__xludf.DUMMYFUNCTION("FILTER('CLASFICACIÓN'!$F$3:$F5618,'CLASFICACIÓN'!$G$3:$G5618=M528)"),"2023 Y 2024")</f>
        <v>2023 Y 2024</v>
      </c>
      <c r="K528" s="16"/>
      <c r="L528" s="12" t="s">
        <v>66</v>
      </c>
      <c r="M528" s="16" t="str">
        <f t="shared" si="1"/>
        <v>86548 JOSE MARIA VELAZ4 Primaria</v>
      </c>
      <c r="N528" s="17"/>
      <c r="O528" s="17"/>
      <c r="P528" s="17"/>
      <c r="Q528" s="17"/>
      <c r="R528" s="17"/>
      <c r="S528" s="17"/>
      <c r="T528" s="17"/>
    </row>
    <row r="529" ht="15.75" customHeight="1">
      <c r="A529" s="18">
        <v>25.0</v>
      </c>
      <c r="B529" s="12" t="s">
        <v>64</v>
      </c>
      <c r="C529" s="12" t="s">
        <v>14</v>
      </c>
      <c r="D529" s="19" t="s">
        <v>20</v>
      </c>
      <c r="E529" s="12" t="str">
        <f>IFERROR(__xludf.DUMMYFUNCTION("FILTER(colegios!$B$2:$B5618,colegios!$A$2:$A5618=L529)"),"86548 JOSE MARIA VELAZ")</f>
        <v>86548 JOSE MARIA VELAZ</v>
      </c>
      <c r="F529" s="14" t="s">
        <v>16</v>
      </c>
      <c r="G529" s="19" t="s">
        <v>17</v>
      </c>
      <c r="H529" s="12" t="s">
        <v>24</v>
      </c>
      <c r="I529" s="15">
        <v>2024.0</v>
      </c>
      <c r="J529" s="16" t="str">
        <f>IFERROR(__xludf.DUMMYFUNCTION("FILTER('CLASFICACIÓN'!$F$3:$F5618,'CLASFICACIÓN'!$G$3:$G5618=M529)"),"2023 Y 2024")</f>
        <v>2023 Y 2024</v>
      </c>
      <c r="K529" s="16"/>
      <c r="L529" s="12" t="s">
        <v>66</v>
      </c>
      <c r="M529" s="16" t="str">
        <f t="shared" si="1"/>
        <v>86548 JOSE MARIA VELAZ4 Primaria</v>
      </c>
      <c r="N529" s="17"/>
      <c r="O529" s="17"/>
      <c r="P529" s="17"/>
      <c r="Q529" s="17"/>
      <c r="R529" s="17"/>
      <c r="S529" s="17"/>
      <c r="T529" s="17"/>
    </row>
    <row r="530" ht="15.75" customHeight="1">
      <c r="A530" s="18">
        <v>26.0</v>
      </c>
      <c r="B530" s="12" t="s">
        <v>64</v>
      </c>
      <c r="C530" s="12" t="s">
        <v>14</v>
      </c>
      <c r="D530" s="19" t="s">
        <v>20</v>
      </c>
      <c r="E530" s="12" t="str">
        <f>IFERROR(__xludf.DUMMYFUNCTION("FILTER(colegios!$B$2:$B5618,colegios!$A$2:$A5618=L530)"),"86548 JOSE MARIA VELAZ")</f>
        <v>86548 JOSE MARIA VELAZ</v>
      </c>
      <c r="F530" s="14" t="s">
        <v>16</v>
      </c>
      <c r="G530" s="19" t="s">
        <v>17</v>
      </c>
      <c r="H530" s="12" t="s">
        <v>18</v>
      </c>
      <c r="I530" s="15">
        <v>2024.0</v>
      </c>
      <c r="J530" s="16" t="str">
        <f>IFERROR(__xludf.DUMMYFUNCTION("FILTER('CLASFICACIÓN'!$F$3:$F5618,'CLASFICACIÓN'!$G$3:$G5618=M530)"),"2023 Y 2024")</f>
        <v>2023 Y 2024</v>
      </c>
      <c r="K530" s="16"/>
      <c r="L530" s="12" t="s">
        <v>66</v>
      </c>
      <c r="M530" s="16" t="str">
        <f t="shared" si="1"/>
        <v>86548 JOSE MARIA VELAZ4 Primaria</v>
      </c>
      <c r="N530" s="17"/>
      <c r="O530" s="17"/>
      <c r="P530" s="17"/>
      <c r="Q530" s="17"/>
      <c r="R530" s="17"/>
      <c r="S530" s="17"/>
      <c r="T530" s="17"/>
    </row>
    <row r="531" ht="15.75" customHeight="1">
      <c r="A531" s="18">
        <v>27.0</v>
      </c>
      <c r="B531" s="12" t="s">
        <v>64</v>
      </c>
      <c r="C531" s="12" t="s">
        <v>14</v>
      </c>
      <c r="D531" s="19" t="s">
        <v>20</v>
      </c>
      <c r="E531" s="12" t="str">
        <f>IFERROR(__xludf.DUMMYFUNCTION("FILTER(colegios!$B$2:$B5618,colegios!$A$2:$A5618=L531)"),"86548 JOSE MARIA VELAZ")</f>
        <v>86548 JOSE MARIA VELAZ</v>
      </c>
      <c r="F531" s="14" t="s">
        <v>16</v>
      </c>
      <c r="G531" s="19" t="s">
        <v>21</v>
      </c>
      <c r="H531" s="12" t="s">
        <v>24</v>
      </c>
      <c r="I531" s="15">
        <v>2024.0</v>
      </c>
      <c r="J531" s="16" t="str">
        <f>IFERROR(__xludf.DUMMYFUNCTION("FILTER('CLASFICACIÓN'!$F$3:$F5618,'CLASFICACIÓN'!$G$3:$G5618=M531)"),"2023 Y 2024")</f>
        <v>2023 Y 2024</v>
      </c>
      <c r="K531" s="16"/>
      <c r="L531" s="12" t="s">
        <v>66</v>
      </c>
      <c r="M531" s="16" t="str">
        <f t="shared" si="1"/>
        <v>86548 JOSE MARIA VELAZ4 Primaria</v>
      </c>
      <c r="N531" s="17"/>
      <c r="O531" s="17"/>
      <c r="P531" s="17"/>
      <c r="Q531" s="17"/>
      <c r="R531" s="17"/>
      <c r="S531" s="17"/>
      <c r="T531" s="17"/>
    </row>
    <row r="532" ht="15.75" customHeight="1">
      <c r="A532" s="18">
        <v>28.0</v>
      </c>
      <c r="B532" s="12" t="s">
        <v>64</v>
      </c>
      <c r="C532" s="12" t="s">
        <v>14</v>
      </c>
      <c r="D532" s="19" t="s">
        <v>20</v>
      </c>
      <c r="E532" s="12" t="str">
        <f>IFERROR(__xludf.DUMMYFUNCTION("FILTER(colegios!$B$2:$B5618,colegios!$A$2:$A5618=L532)"),"86548 JOSE MARIA VELAZ")</f>
        <v>86548 JOSE MARIA VELAZ</v>
      </c>
      <c r="F532" s="14" t="s">
        <v>16</v>
      </c>
      <c r="G532" s="19" t="s">
        <v>21</v>
      </c>
      <c r="H532" s="12" t="s">
        <v>24</v>
      </c>
      <c r="I532" s="15">
        <v>2024.0</v>
      </c>
      <c r="J532" s="16" t="str">
        <f>IFERROR(__xludf.DUMMYFUNCTION("FILTER('CLASFICACIÓN'!$F$3:$F5618,'CLASFICACIÓN'!$G$3:$G5618=M532)"),"2023 Y 2024")</f>
        <v>2023 Y 2024</v>
      </c>
      <c r="K532" s="16"/>
      <c r="L532" s="12" t="s">
        <v>66</v>
      </c>
      <c r="M532" s="16" t="str">
        <f t="shared" si="1"/>
        <v>86548 JOSE MARIA VELAZ4 Primaria</v>
      </c>
      <c r="N532" s="17"/>
      <c r="O532" s="17"/>
      <c r="P532" s="17"/>
      <c r="Q532" s="17"/>
      <c r="R532" s="17"/>
      <c r="S532" s="17"/>
      <c r="T532" s="17"/>
    </row>
    <row r="533" ht="15.75" customHeight="1">
      <c r="A533" s="18">
        <v>29.0</v>
      </c>
      <c r="B533" s="12" t="s">
        <v>64</v>
      </c>
      <c r="C533" s="12" t="s">
        <v>14</v>
      </c>
      <c r="D533" s="19" t="s">
        <v>20</v>
      </c>
      <c r="E533" s="12" t="str">
        <f>IFERROR(__xludf.DUMMYFUNCTION("FILTER(colegios!$B$2:$B5618,colegios!$A$2:$A5618=L533)"),"86548 JOSE MARIA VELAZ")</f>
        <v>86548 JOSE MARIA VELAZ</v>
      </c>
      <c r="F533" s="14" t="s">
        <v>16</v>
      </c>
      <c r="G533" s="20" t="s">
        <v>21</v>
      </c>
      <c r="H533" s="12" t="s">
        <v>18</v>
      </c>
      <c r="I533" s="15">
        <v>2024.0</v>
      </c>
      <c r="J533" s="16" t="str">
        <f>IFERROR(__xludf.DUMMYFUNCTION("FILTER('CLASFICACIÓN'!$F$3:$F5618,'CLASFICACIÓN'!$G$3:$G5618=M533)"),"2023 Y 2024")</f>
        <v>2023 Y 2024</v>
      </c>
      <c r="K533" s="16"/>
      <c r="L533" s="12" t="s">
        <v>66</v>
      </c>
      <c r="M533" s="16" t="str">
        <f t="shared" si="1"/>
        <v>86548 JOSE MARIA VELAZ4 Primaria</v>
      </c>
      <c r="N533" s="17"/>
      <c r="O533" s="17"/>
      <c r="P533" s="17"/>
      <c r="Q533" s="17"/>
      <c r="R533" s="17"/>
      <c r="S533" s="17"/>
      <c r="T533" s="17"/>
    </row>
    <row r="534" ht="15.75" customHeight="1">
      <c r="A534" s="18">
        <v>30.0</v>
      </c>
      <c r="B534" s="12" t="s">
        <v>64</v>
      </c>
      <c r="C534" s="12" t="s">
        <v>14</v>
      </c>
      <c r="D534" s="19" t="s">
        <v>22</v>
      </c>
      <c r="E534" s="12" t="str">
        <f>IFERROR(__xludf.DUMMYFUNCTION("FILTER(colegios!$B$2:$B5618,colegios!$A$2:$A5618=L534)"),"86548 JOSE MARIA VELAZ")</f>
        <v>86548 JOSE MARIA VELAZ</v>
      </c>
      <c r="F534" s="14" t="s">
        <v>16</v>
      </c>
      <c r="G534" s="19" t="s">
        <v>17</v>
      </c>
      <c r="H534" s="12" t="s">
        <v>18</v>
      </c>
      <c r="I534" s="15">
        <v>2024.0</v>
      </c>
      <c r="J534" s="16" t="str">
        <f>IFERROR(__xludf.DUMMYFUNCTION("FILTER('CLASFICACIÓN'!$F$3:$F5618,'CLASFICACIÓN'!$G$3:$G5618=M534)"),"LOS 3 AÑOS")</f>
        <v>LOS 3 AÑOS</v>
      </c>
      <c r="K534" s="16"/>
      <c r="L534" s="12" t="s">
        <v>66</v>
      </c>
      <c r="M534" s="16" t="str">
        <f t="shared" si="1"/>
        <v>86548 JOSE MARIA VELAZ6 Primaria</v>
      </c>
      <c r="N534" s="17"/>
      <c r="O534" s="17"/>
      <c r="P534" s="17"/>
      <c r="Q534" s="17"/>
      <c r="R534" s="17"/>
      <c r="S534" s="17"/>
      <c r="T534" s="17"/>
    </row>
    <row r="535" ht="15.75" customHeight="1">
      <c r="A535" s="18">
        <v>31.0</v>
      </c>
      <c r="B535" s="12" t="s">
        <v>64</v>
      </c>
      <c r="C535" s="12" t="s">
        <v>14</v>
      </c>
      <c r="D535" s="19" t="s">
        <v>22</v>
      </c>
      <c r="E535" s="12" t="str">
        <f>IFERROR(__xludf.DUMMYFUNCTION("FILTER(colegios!$B$2:$B5618,colegios!$A$2:$A5618=L535)"),"86548 JOSE MARIA VELAZ")</f>
        <v>86548 JOSE MARIA VELAZ</v>
      </c>
      <c r="F535" s="14" t="s">
        <v>16</v>
      </c>
      <c r="G535" s="20" t="s">
        <v>17</v>
      </c>
      <c r="H535" s="12" t="s">
        <v>24</v>
      </c>
      <c r="I535" s="15">
        <v>2024.0</v>
      </c>
      <c r="J535" s="16" t="str">
        <f>IFERROR(__xludf.DUMMYFUNCTION("FILTER('CLASFICACIÓN'!$F$3:$F5618,'CLASFICACIÓN'!$G$3:$G5618=M535)"),"LOS 3 AÑOS")</f>
        <v>LOS 3 AÑOS</v>
      </c>
      <c r="K535" s="16"/>
      <c r="L535" s="12" t="s">
        <v>66</v>
      </c>
      <c r="M535" s="16" t="str">
        <f t="shared" si="1"/>
        <v>86548 JOSE MARIA VELAZ6 Primaria</v>
      </c>
      <c r="N535" s="17"/>
      <c r="O535" s="17"/>
      <c r="P535" s="17"/>
      <c r="Q535" s="17"/>
      <c r="R535" s="17"/>
      <c r="S535" s="17"/>
      <c r="T535" s="17"/>
    </row>
    <row r="536" ht="15.75" customHeight="1">
      <c r="A536" s="18">
        <v>32.0</v>
      </c>
      <c r="B536" s="12" t="s">
        <v>64</v>
      </c>
      <c r="C536" s="12" t="s">
        <v>14</v>
      </c>
      <c r="D536" s="19" t="s">
        <v>22</v>
      </c>
      <c r="E536" s="12" t="str">
        <f>IFERROR(__xludf.DUMMYFUNCTION("FILTER(colegios!$B$2:$B5618,colegios!$A$2:$A5618=L536)"),"86548 JOSE MARIA VELAZ")</f>
        <v>86548 JOSE MARIA VELAZ</v>
      </c>
      <c r="F536" s="14" t="s">
        <v>16</v>
      </c>
      <c r="G536" s="20" t="s">
        <v>17</v>
      </c>
      <c r="H536" s="12" t="s">
        <v>18</v>
      </c>
      <c r="I536" s="15">
        <v>2024.0</v>
      </c>
      <c r="J536" s="16" t="str">
        <f>IFERROR(__xludf.DUMMYFUNCTION("FILTER('CLASFICACIÓN'!$F$3:$F5618,'CLASFICACIÓN'!$G$3:$G5618=M536)"),"LOS 3 AÑOS")</f>
        <v>LOS 3 AÑOS</v>
      </c>
      <c r="K536" s="16"/>
      <c r="L536" s="12" t="s">
        <v>66</v>
      </c>
      <c r="M536" s="16" t="str">
        <f t="shared" si="1"/>
        <v>86548 JOSE MARIA VELAZ6 Primaria</v>
      </c>
      <c r="N536" s="17"/>
      <c r="O536" s="17"/>
      <c r="P536" s="17"/>
      <c r="Q536" s="17"/>
      <c r="R536" s="17"/>
      <c r="S536" s="17"/>
      <c r="T536" s="17"/>
    </row>
    <row r="537" ht="15.75" customHeight="1">
      <c r="A537" s="18">
        <v>33.0</v>
      </c>
      <c r="B537" s="12" t="s">
        <v>64</v>
      </c>
      <c r="C537" s="12" t="s">
        <v>14</v>
      </c>
      <c r="D537" s="19" t="s">
        <v>22</v>
      </c>
      <c r="E537" s="12" t="str">
        <f>IFERROR(__xludf.DUMMYFUNCTION("FILTER(colegios!$B$2:$B5618,colegios!$A$2:$A5618=L537)"),"86548 JOSE MARIA VELAZ")</f>
        <v>86548 JOSE MARIA VELAZ</v>
      </c>
      <c r="F537" s="14" t="s">
        <v>16</v>
      </c>
      <c r="G537" s="19" t="s">
        <v>21</v>
      </c>
      <c r="H537" s="12" t="s">
        <v>18</v>
      </c>
      <c r="I537" s="15">
        <v>2024.0</v>
      </c>
      <c r="J537" s="16" t="str">
        <f>IFERROR(__xludf.DUMMYFUNCTION("FILTER('CLASFICACIÓN'!$F$3:$F5618,'CLASFICACIÓN'!$G$3:$G5618=M537)"),"LOS 3 AÑOS")</f>
        <v>LOS 3 AÑOS</v>
      </c>
      <c r="K537" s="16"/>
      <c r="L537" s="12" t="s">
        <v>66</v>
      </c>
      <c r="M537" s="16" t="str">
        <f t="shared" si="1"/>
        <v>86548 JOSE MARIA VELAZ6 Primaria</v>
      </c>
      <c r="N537" s="17"/>
      <c r="O537" s="17"/>
      <c r="P537" s="17"/>
      <c r="Q537" s="17"/>
      <c r="R537" s="17"/>
      <c r="S537" s="17"/>
      <c r="T537" s="17"/>
    </row>
    <row r="538" ht="15.75" customHeight="1">
      <c r="A538" s="18">
        <v>34.0</v>
      </c>
      <c r="B538" s="12" t="s">
        <v>64</v>
      </c>
      <c r="C538" s="12" t="s">
        <v>14</v>
      </c>
      <c r="D538" s="19" t="s">
        <v>22</v>
      </c>
      <c r="E538" s="12" t="str">
        <f>IFERROR(__xludf.DUMMYFUNCTION("FILTER(colegios!$B$2:$B5618,colegios!$A$2:$A5618=L538)"),"86548 JOSE MARIA VELAZ")</f>
        <v>86548 JOSE MARIA VELAZ</v>
      </c>
      <c r="F538" s="14" t="s">
        <v>16</v>
      </c>
      <c r="G538" s="20" t="s">
        <v>21</v>
      </c>
      <c r="H538" s="12" t="s">
        <v>24</v>
      </c>
      <c r="I538" s="15">
        <v>2024.0</v>
      </c>
      <c r="J538" s="16" t="str">
        <f>IFERROR(__xludf.DUMMYFUNCTION("FILTER('CLASFICACIÓN'!$F$3:$F5618,'CLASFICACIÓN'!$G$3:$G5618=M538)"),"LOS 3 AÑOS")</f>
        <v>LOS 3 AÑOS</v>
      </c>
      <c r="K538" s="16"/>
      <c r="L538" s="12" t="s">
        <v>66</v>
      </c>
      <c r="M538" s="16" t="str">
        <f t="shared" si="1"/>
        <v>86548 JOSE MARIA VELAZ6 Primaria</v>
      </c>
      <c r="N538" s="17"/>
      <c r="O538" s="17"/>
      <c r="P538" s="17"/>
      <c r="Q538" s="17"/>
      <c r="R538" s="17"/>
      <c r="S538" s="17"/>
      <c r="T538" s="17"/>
    </row>
    <row r="539" ht="15.75" customHeight="1">
      <c r="A539" s="18">
        <v>35.0</v>
      </c>
      <c r="B539" s="12" t="s">
        <v>64</v>
      </c>
      <c r="C539" s="12" t="s">
        <v>14</v>
      </c>
      <c r="D539" s="19" t="s">
        <v>22</v>
      </c>
      <c r="E539" s="12" t="str">
        <f>IFERROR(__xludf.DUMMYFUNCTION("FILTER(colegios!$B$2:$B5618,colegios!$A$2:$A5618=L539)"),"86548 JOSE MARIA VELAZ")</f>
        <v>86548 JOSE MARIA VELAZ</v>
      </c>
      <c r="F539" s="14" t="s">
        <v>16</v>
      </c>
      <c r="G539" s="19" t="s">
        <v>17</v>
      </c>
      <c r="H539" s="12" t="s">
        <v>24</v>
      </c>
      <c r="I539" s="15">
        <v>2024.0</v>
      </c>
      <c r="J539" s="16" t="str">
        <f>IFERROR(__xludf.DUMMYFUNCTION("FILTER('CLASFICACIÓN'!$F$3:$F5618,'CLASFICACIÓN'!$G$3:$G5618=M539)"),"LOS 3 AÑOS")</f>
        <v>LOS 3 AÑOS</v>
      </c>
      <c r="K539" s="16"/>
      <c r="L539" s="12" t="s">
        <v>66</v>
      </c>
      <c r="M539" s="16" t="str">
        <f t="shared" si="1"/>
        <v>86548 JOSE MARIA VELAZ6 Primaria</v>
      </c>
      <c r="N539" s="17"/>
      <c r="O539" s="17"/>
      <c r="P539" s="17"/>
      <c r="Q539" s="17"/>
      <c r="R539" s="17"/>
      <c r="S539" s="17"/>
      <c r="T539" s="17"/>
    </row>
    <row r="540" ht="15.75" customHeight="1">
      <c r="A540" s="18">
        <v>36.0</v>
      </c>
      <c r="B540" s="12" t="s">
        <v>64</v>
      </c>
      <c r="C540" s="12" t="s">
        <v>14</v>
      </c>
      <c r="D540" s="19" t="s">
        <v>22</v>
      </c>
      <c r="E540" s="12" t="str">
        <f>IFERROR(__xludf.DUMMYFUNCTION("FILTER(colegios!$B$2:$B5618,colegios!$A$2:$A5618=L540)"),"86548 JOSE MARIA VELAZ")</f>
        <v>86548 JOSE MARIA VELAZ</v>
      </c>
      <c r="F540" s="14" t="s">
        <v>16</v>
      </c>
      <c r="G540" s="20" t="s">
        <v>21</v>
      </c>
      <c r="H540" s="12" t="s">
        <v>24</v>
      </c>
      <c r="I540" s="15">
        <v>2024.0</v>
      </c>
      <c r="J540" s="16" t="str">
        <f>IFERROR(__xludf.DUMMYFUNCTION("FILTER('CLASFICACIÓN'!$F$3:$F5618,'CLASFICACIÓN'!$G$3:$G5618=M540)"),"LOS 3 AÑOS")</f>
        <v>LOS 3 AÑOS</v>
      </c>
      <c r="K540" s="16"/>
      <c r="L540" s="12" t="s">
        <v>66</v>
      </c>
      <c r="M540" s="16" t="str">
        <f t="shared" si="1"/>
        <v>86548 JOSE MARIA VELAZ6 Primaria</v>
      </c>
      <c r="N540" s="17"/>
      <c r="O540" s="17"/>
      <c r="P540" s="17"/>
      <c r="Q540" s="17"/>
      <c r="R540" s="17"/>
      <c r="S540" s="17"/>
      <c r="T540" s="17"/>
    </row>
    <row r="541" ht="15.75" customHeight="1">
      <c r="A541" s="18">
        <v>37.0</v>
      </c>
      <c r="B541" s="12" t="s">
        <v>64</v>
      </c>
      <c r="C541" s="12" t="s">
        <v>14</v>
      </c>
      <c r="D541" s="19" t="s">
        <v>22</v>
      </c>
      <c r="E541" s="12" t="str">
        <f>IFERROR(__xludf.DUMMYFUNCTION("FILTER(colegios!$B$2:$B5618,colegios!$A$2:$A5618=L541)"),"86548 JOSE MARIA VELAZ")</f>
        <v>86548 JOSE MARIA VELAZ</v>
      </c>
      <c r="F541" s="14" t="s">
        <v>16</v>
      </c>
      <c r="G541" s="20" t="s">
        <v>17</v>
      </c>
      <c r="H541" s="12" t="s">
        <v>18</v>
      </c>
      <c r="I541" s="15">
        <v>2024.0</v>
      </c>
      <c r="J541" s="16" t="str">
        <f>IFERROR(__xludf.DUMMYFUNCTION("FILTER('CLASFICACIÓN'!$F$3:$F5618,'CLASFICACIÓN'!$G$3:$G5618=M541)"),"LOS 3 AÑOS")</f>
        <v>LOS 3 AÑOS</v>
      </c>
      <c r="K541" s="16"/>
      <c r="L541" s="12" t="s">
        <v>66</v>
      </c>
      <c r="M541" s="16" t="str">
        <f t="shared" si="1"/>
        <v>86548 JOSE MARIA VELAZ6 Primaria</v>
      </c>
      <c r="N541" s="17"/>
      <c r="O541" s="17"/>
      <c r="P541" s="17"/>
      <c r="Q541" s="17"/>
      <c r="R541" s="17"/>
      <c r="S541" s="17"/>
      <c r="T541" s="17"/>
    </row>
    <row r="542" ht="15.75" customHeight="1">
      <c r="A542" s="18">
        <v>38.0</v>
      </c>
      <c r="B542" s="12" t="s">
        <v>64</v>
      </c>
      <c r="C542" s="12" t="s">
        <v>14</v>
      </c>
      <c r="D542" s="19" t="s">
        <v>22</v>
      </c>
      <c r="E542" s="12" t="str">
        <f>IFERROR(__xludf.DUMMYFUNCTION("FILTER(colegios!$B$2:$B5618,colegios!$A$2:$A5618=L542)"),"86548 JOSE MARIA VELAZ")</f>
        <v>86548 JOSE MARIA VELAZ</v>
      </c>
      <c r="F542" s="14" t="s">
        <v>16</v>
      </c>
      <c r="G542" s="20" t="s">
        <v>17</v>
      </c>
      <c r="H542" s="12" t="s">
        <v>24</v>
      </c>
      <c r="I542" s="15">
        <v>2024.0</v>
      </c>
      <c r="J542" s="16" t="str">
        <f>IFERROR(__xludf.DUMMYFUNCTION("FILTER('CLASFICACIÓN'!$F$3:$F5618,'CLASFICACIÓN'!$G$3:$G5618=M542)"),"LOS 3 AÑOS")</f>
        <v>LOS 3 AÑOS</v>
      </c>
      <c r="K542" s="16"/>
      <c r="L542" s="12" t="s">
        <v>66</v>
      </c>
      <c r="M542" s="16" t="str">
        <f t="shared" si="1"/>
        <v>86548 JOSE MARIA VELAZ6 Primaria</v>
      </c>
      <c r="N542" s="17"/>
      <c r="O542" s="17"/>
      <c r="P542" s="17"/>
      <c r="Q542" s="17"/>
      <c r="R542" s="17"/>
      <c r="S542" s="17"/>
      <c r="T542" s="17"/>
    </row>
    <row r="543" ht="15.75" customHeight="1">
      <c r="A543" s="18">
        <v>39.0</v>
      </c>
      <c r="B543" s="12" t="s">
        <v>64</v>
      </c>
      <c r="C543" s="12" t="s">
        <v>14</v>
      </c>
      <c r="D543" s="19" t="s">
        <v>22</v>
      </c>
      <c r="E543" s="12" t="str">
        <f>IFERROR(__xludf.DUMMYFUNCTION("FILTER(colegios!$B$2:$B5618,colegios!$A$2:$A5618=L543)"),"86548 JOSE MARIA VELAZ")</f>
        <v>86548 JOSE MARIA VELAZ</v>
      </c>
      <c r="F543" s="14" t="s">
        <v>16</v>
      </c>
      <c r="G543" s="20" t="s">
        <v>17</v>
      </c>
      <c r="H543" s="12" t="s">
        <v>24</v>
      </c>
      <c r="I543" s="15">
        <v>2024.0</v>
      </c>
      <c r="J543" s="16" t="str">
        <f>IFERROR(__xludf.DUMMYFUNCTION("FILTER('CLASFICACIÓN'!$F$3:$F5618,'CLASFICACIÓN'!$G$3:$G5618=M543)"),"LOS 3 AÑOS")</f>
        <v>LOS 3 AÑOS</v>
      </c>
      <c r="K543" s="16"/>
      <c r="L543" s="12" t="s">
        <v>66</v>
      </c>
      <c r="M543" s="16" t="str">
        <f t="shared" si="1"/>
        <v>86548 JOSE MARIA VELAZ6 Primaria</v>
      </c>
      <c r="N543" s="17"/>
      <c r="O543" s="17"/>
      <c r="P543" s="17"/>
      <c r="Q543" s="17"/>
      <c r="R543" s="17"/>
      <c r="S543" s="17"/>
      <c r="T543" s="17"/>
    </row>
    <row r="544" ht="15.75" customHeight="1">
      <c r="A544" s="18">
        <v>40.0</v>
      </c>
      <c r="B544" s="12" t="s">
        <v>64</v>
      </c>
      <c r="C544" s="12" t="s">
        <v>14</v>
      </c>
      <c r="D544" s="19" t="s">
        <v>22</v>
      </c>
      <c r="E544" s="12" t="str">
        <f>IFERROR(__xludf.DUMMYFUNCTION("FILTER(colegios!$B$2:$B5618,colegios!$A$2:$A5618=L544)"),"86548 JOSE MARIA VELAZ")</f>
        <v>86548 JOSE MARIA VELAZ</v>
      </c>
      <c r="F544" s="14" t="s">
        <v>16</v>
      </c>
      <c r="G544" s="20" t="s">
        <v>17</v>
      </c>
      <c r="H544" s="12" t="s">
        <v>18</v>
      </c>
      <c r="I544" s="15">
        <v>2024.0</v>
      </c>
      <c r="J544" s="16" t="str">
        <f>IFERROR(__xludf.DUMMYFUNCTION("FILTER('CLASFICACIÓN'!$F$3:$F5618,'CLASFICACIÓN'!$G$3:$G5618=M544)"),"LOS 3 AÑOS")</f>
        <v>LOS 3 AÑOS</v>
      </c>
      <c r="K544" s="16"/>
      <c r="L544" s="12" t="s">
        <v>66</v>
      </c>
      <c r="M544" s="16" t="str">
        <f t="shared" si="1"/>
        <v>86548 JOSE MARIA VELAZ6 Primaria</v>
      </c>
      <c r="N544" s="17"/>
      <c r="O544" s="17"/>
      <c r="P544" s="17"/>
      <c r="Q544" s="17"/>
      <c r="R544" s="17"/>
      <c r="S544" s="17"/>
      <c r="T544" s="17"/>
    </row>
    <row r="545" ht="15.75" customHeight="1">
      <c r="A545" s="18">
        <v>41.0</v>
      </c>
      <c r="B545" s="12" t="s">
        <v>64</v>
      </c>
      <c r="C545" s="12" t="s">
        <v>14</v>
      </c>
      <c r="D545" s="19" t="s">
        <v>22</v>
      </c>
      <c r="E545" s="12" t="str">
        <f>IFERROR(__xludf.DUMMYFUNCTION("FILTER(colegios!$B$2:$B5618,colegios!$A$2:$A5618=L545)"),"86548 JOSE MARIA VELAZ")</f>
        <v>86548 JOSE MARIA VELAZ</v>
      </c>
      <c r="F545" s="14" t="s">
        <v>16</v>
      </c>
      <c r="G545" s="19" t="s">
        <v>21</v>
      </c>
      <c r="H545" s="12" t="s">
        <v>18</v>
      </c>
      <c r="I545" s="15">
        <v>2024.0</v>
      </c>
      <c r="J545" s="16" t="str">
        <f>IFERROR(__xludf.DUMMYFUNCTION("FILTER('CLASFICACIÓN'!$F$3:$F5618,'CLASFICACIÓN'!$G$3:$G5618=M545)"),"LOS 3 AÑOS")</f>
        <v>LOS 3 AÑOS</v>
      </c>
      <c r="K545" s="16"/>
      <c r="L545" s="12" t="s">
        <v>66</v>
      </c>
      <c r="M545" s="16" t="str">
        <f t="shared" si="1"/>
        <v>86548 JOSE MARIA VELAZ6 Primaria</v>
      </c>
      <c r="N545" s="17"/>
      <c r="O545" s="17"/>
      <c r="P545" s="17"/>
      <c r="Q545" s="17"/>
      <c r="R545" s="17"/>
      <c r="S545" s="17"/>
      <c r="T545" s="17"/>
    </row>
    <row r="546" ht="15.75" customHeight="1">
      <c r="A546" s="18">
        <v>42.0</v>
      </c>
      <c r="B546" s="12" t="s">
        <v>64</v>
      </c>
      <c r="C546" s="12" t="s">
        <v>27</v>
      </c>
      <c r="D546" s="19" t="s">
        <v>28</v>
      </c>
      <c r="E546" s="12" t="str">
        <f>IFERROR(__xludf.DUMMYFUNCTION("FILTER(colegios!$B$2:$B5618,colegios!$A$2:$A5618=L546)"),"86548 JOSE MARIA VELAZ")</f>
        <v>86548 JOSE MARIA VELAZ</v>
      </c>
      <c r="F546" s="14" t="s">
        <v>16</v>
      </c>
      <c r="G546" s="19" t="s">
        <v>21</v>
      </c>
      <c r="H546" s="12" t="s">
        <v>18</v>
      </c>
      <c r="I546" s="15">
        <v>2024.0</v>
      </c>
      <c r="J546" s="16" t="str">
        <f>IFERROR(__xludf.DUMMYFUNCTION("FILTER('CLASFICACIÓN'!$F$3:$F5618,'CLASFICACIÓN'!$G$3:$G5618=M546)"),"SOLO 2022 Y 2024")</f>
        <v>SOLO 2022 Y 2024</v>
      </c>
      <c r="K546" s="16"/>
      <c r="L546" s="12" t="s">
        <v>66</v>
      </c>
      <c r="M546" s="16" t="str">
        <f t="shared" si="1"/>
        <v>86548 JOSE MARIA VELAZ2 Secundaria</v>
      </c>
      <c r="N546" s="17"/>
      <c r="O546" s="17"/>
      <c r="P546" s="17"/>
      <c r="Q546" s="17"/>
      <c r="R546" s="17"/>
      <c r="S546" s="17"/>
      <c r="T546" s="17"/>
    </row>
    <row r="547" ht="15.75" customHeight="1">
      <c r="A547" s="18">
        <v>43.0</v>
      </c>
      <c r="B547" s="12" t="s">
        <v>64</v>
      </c>
      <c r="C547" s="12" t="s">
        <v>27</v>
      </c>
      <c r="D547" s="19" t="s">
        <v>28</v>
      </c>
      <c r="E547" s="12" t="str">
        <f>IFERROR(__xludf.DUMMYFUNCTION("FILTER(colegios!$B$2:$B5618,colegios!$A$2:$A5618=L547)"),"86548 JOSE MARIA VELAZ")</f>
        <v>86548 JOSE MARIA VELAZ</v>
      </c>
      <c r="F547" s="14" t="s">
        <v>16</v>
      </c>
      <c r="G547" s="19" t="s">
        <v>21</v>
      </c>
      <c r="H547" s="12" t="s">
        <v>18</v>
      </c>
      <c r="I547" s="15">
        <v>2024.0</v>
      </c>
      <c r="J547" s="16" t="str">
        <f>IFERROR(__xludf.DUMMYFUNCTION("FILTER('CLASFICACIÓN'!$F$3:$F5618,'CLASFICACIÓN'!$G$3:$G5618=M547)"),"SOLO 2022 Y 2024")</f>
        <v>SOLO 2022 Y 2024</v>
      </c>
      <c r="K547" s="16"/>
      <c r="L547" s="12" t="s">
        <v>66</v>
      </c>
      <c r="M547" s="16" t="str">
        <f t="shared" si="1"/>
        <v>86548 JOSE MARIA VELAZ2 Secundaria</v>
      </c>
      <c r="N547" s="17"/>
      <c r="O547" s="17"/>
      <c r="P547" s="17"/>
      <c r="Q547" s="17"/>
      <c r="R547" s="17"/>
      <c r="S547" s="17"/>
      <c r="T547" s="17"/>
    </row>
    <row r="548" ht="15.75" customHeight="1">
      <c r="A548" s="18">
        <v>44.0</v>
      </c>
      <c r="B548" s="12" t="s">
        <v>64</v>
      </c>
      <c r="C548" s="12" t="s">
        <v>27</v>
      </c>
      <c r="D548" s="19" t="s">
        <v>28</v>
      </c>
      <c r="E548" s="12" t="str">
        <f>IFERROR(__xludf.DUMMYFUNCTION("FILTER(colegios!$B$2:$B5618,colegios!$A$2:$A5618=L548)"),"86548 JOSE MARIA VELAZ")</f>
        <v>86548 JOSE MARIA VELAZ</v>
      </c>
      <c r="F548" s="14" t="s">
        <v>16</v>
      </c>
      <c r="G548" s="19" t="s">
        <v>17</v>
      </c>
      <c r="H548" s="12" t="s">
        <v>18</v>
      </c>
      <c r="I548" s="15">
        <v>2024.0</v>
      </c>
      <c r="J548" s="16" t="str">
        <f>IFERROR(__xludf.DUMMYFUNCTION("FILTER('CLASFICACIÓN'!$F$3:$F5618,'CLASFICACIÓN'!$G$3:$G5618=M548)"),"SOLO 2022 Y 2024")</f>
        <v>SOLO 2022 Y 2024</v>
      </c>
      <c r="K548" s="16"/>
      <c r="L548" s="12" t="s">
        <v>66</v>
      </c>
      <c r="M548" s="16" t="str">
        <f t="shared" si="1"/>
        <v>86548 JOSE MARIA VELAZ2 Secundaria</v>
      </c>
      <c r="N548" s="17"/>
      <c r="O548" s="17"/>
      <c r="P548" s="17"/>
      <c r="Q548" s="17"/>
      <c r="R548" s="17"/>
      <c r="S548" s="17"/>
      <c r="T548" s="17"/>
    </row>
    <row r="549" ht="15.75" customHeight="1">
      <c r="A549" s="18">
        <v>45.0</v>
      </c>
      <c r="B549" s="12" t="s">
        <v>64</v>
      </c>
      <c r="C549" s="12" t="s">
        <v>27</v>
      </c>
      <c r="D549" s="19" t="s">
        <v>28</v>
      </c>
      <c r="E549" s="12" t="str">
        <f>IFERROR(__xludf.DUMMYFUNCTION("FILTER(colegios!$B$2:$B5618,colegios!$A$2:$A5618=L549)"),"86548 JOSE MARIA VELAZ")</f>
        <v>86548 JOSE MARIA VELAZ</v>
      </c>
      <c r="F549" s="14" t="s">
        <v>16</v>
      </c>
      <c r="G549" s="20" t="s">
        <v>21</v>
      </c>
      <c r="H549" s="12" t="s">
        <v>18</v>
      </c>
      <c r="I549" s="15">
        <v>2024.0</v>
      </c>
      <c r="J549" s="16" t="str">
        <f>IFERROR(__xludf.DUMMYFUNCTION("FILTER('CLASFICACIÓN'!$F$3:$F5618,'CLASFICACIÓN'!$G$3:$G5618=M549)"),"SOLO 2022 Y 2024")</f>
        <v>SOLO 2022 Y 2024</v>
      </c>
      <c r="K549" s="16"/>
      <c r="L549" s="12" t="s">
        <v>66</v>
      </c>
      <c r="M549" s="16" t="str">
        <f t="shared" si="1"/>
        <v>86548 JOSE MARIA VELAZ2 Secundaria</v>
      </c>
      <c r="N549" s="17"/>
      <c r="O549" s="17"/>
      <c r="P549" s="17"/>
      <c r="Q549" s="17"/>
      <c r="R549" s="17"/>
      <c r="S549" s="17"/>
      <c r="T549" s="17"/>
    </row>
    <row r="550" ht="15.75" customHeight="1">
      <c r="A550" s="18">
        <v>46.0</v>
      </c>
      <c r="B550" s="12" t="s">
        <v>64</v>
      </c>
      <c r="C550" s="12" t="s">
        <v>27</v>
      </c>
      <c r="D550" s="19" t="s">
        <v>28</v>
      </c>
      <c r="E550" s="12" t="str">
        <f>IFERROR(__xludf.DUMMYFUNCTION("FILTER(colegios!$B$2:$B5618,colegios!$A$2:$A5618=L550)"),"86548 JOSE MARIA VELAZ")</f>
        <v>86548 JOSE MARIA VELAZ</v>
      </c>
      <c r="F550" s="14" t="s">
        <v>16</v>
      </c>
      <c r="G550" s="19" t="s">
        <v>17</v>
      </c>
      <c r="H550" s="12" t="s">
        <v>18</v>
      </c>
      <c r="I550" s="15">
        <v>2024.0</v>
      </c>
      <c r="J550" s="16" t="str">
        <f>IFERROR(__xludf.DUMMYFUNCTION("FILTER('CLASFICACIÓN'!$F$3:$F5618,'CLASFICACIÓN'!$G$3:$G5618=M550)"),"SOLO 2022 Y 2024")</f>
        <v>SOLO 2022 Y 2024</v>
      </c>
      <c r="K550" s="16"/>
      <c r="L550" s="12" t="s">
        <v>66</v>
      </c>
      <c r="M550" s="16" t="str">
        <f t="shared" si="1"/>
        <v>86548 JOSE MARIA VELAZ2 Secundaria</v>
      </c>
      <c r="N550" s="17"/>
      <c r="O550" s="17"/>
      <c r="P550" s="17"/>
      <c r="Q550" s="17"/>
      <c r="R550" s="17"/>
      <c r="S550" s="17"/>
      <c r="T550" s="17"/>
    </row>
    <row r="551" ht="15.75" customHeight="1">
      <c r="A551" s="18">
        <v>47.0</v>
      </c>
      <c r="B551" s="12" t="s">
        <v>64</v>
      </c>
      <c r="C551" s="12" t="s">
        <v>27</v>
      </c>
      <c r="D551" s="19" t="s">
        <v>28</v>
      </c>
      <c r="E551" s="12" t="str">
        <f>IFERROR(__xludf.DUMMYFUNCTION("FILTER(colegios!$B$2:$B5618,colegios!$A$2:$A5618=L551)"),"86548 JOSE MARIA VELAZ")</f>
        <v>86548 JOSE MARIA VELAZ</v>
      </c>
      <c r="F551" s="14" t="s">
        <v>16</v>
      </c>
      <c r="G551" s="20" t="s">
        <v>17</v>
      </c>
      <c r="H551" s="12" t="s">
        <v>18</v>
      </c>
      <c r="I551" s="15">
        <v>2024.0</v>
      </c>
      <c r="J551" s="16" t="str">
        <f>IFERROR(__xludf.DUMMYFUNCTION("FILTER('CLASFICACIÓN'!$F$3:$F5618,'CLASFICACIÓN'!$G$3:$G5618=M551)"),"SOLO 2022 Y 2024")</f>
        <v>SOLO 2022 Y 2024</v>
      </c>
      <c r="K551" s="16"/>
      <c r="L551" s="12" t="s">
        <v>66</v>
      </c>
      <c r="M551" s="16" t="str">
        <f t="shared" si="1"/>
        <v>86548 JOSE MARIA VELAZ2 Secundaria</v>
      </c>
      <c r="N551" s="17"/>
      <c r="O551" s="17"/>
      <c r="P551" s="17"/>
      <c r="Q551" s="17"/>
      <c r="R551" s="17"/>
      <c r="S551" s="17"/>
      <c r="T551" s="17"/>
    </row>
    <row r="552" ht="15.75" customHeight="1">
      <c r="A552" s="18">
        <v>50.0</v>
      </c>
      <c r="B552" s="12" t="s">
        <v>64</v>
      </c>
      <c r="C552" s="12" t="s">
        <v>27</v>
      </c>
      <c r="D552" s="19" t="s">
        <v>28</v>
      </c>
      <c r="E552" s="12" t="str">
        <f>IFERROR(__xludf.DUMMYFUNCTION("FILTER(colegios!$B$2:$B5618,colegios!$A$2:$A5618=L552)"),"86548 JOSE MARIA VELAZ")</f>
        <v>86548 JOSE MARIA VELAZ</v>
      </c>
      <c r="F552" s="14" t="s">
        <v>16</v>
      </c>
      <c r="G552" s="20" t="s">
        <v>21</v>
      </c>
      <c r="H552" s="12" t="s">
        <v>18</v>
      </c>
      <c r="I552" s="15">
        <v>2024.0</v>
      </c>
      <c r="J552" s="16" t="str">
        <f>IFERROR(__xludf.DUMMYFUNCTION("FILTER('CLASFICACIÓN'!$F$3:$F5618,'CLASFICACIÓN'!$G$3:$G5618=M552)"),"SOLO 2022 Y 2024")</f>
        <v>SOLO 2022 Y 2024</v>
      </c>
      <c r="K552" s="16"/>
      <c r="L552" s="12" t="s">
        <v>66</v>
      </c>
      <c r="M552" s="16" t="str">
        <f t="shared" si="1"/>
        <v>86548 JOSE MARIA VELAZ2 Secundaria</v>
      </c>
      <c r="N552" s="17"/>
      <c r="O552" s="17"/>
      <c r="P552" s="17"/>
      <c r="Q552" s="17"/>
      <c r="R552" s="17"/>
      <c r="S552" s="17"/>
      <c r="T552" s="17"/>
    </row>
    <row r="553" ht="15.75" customHeight="1">
      <c r="A553" s="18">
        <v>51.0</v>
      </c>
      <c r="B553" s="12" t="s">
        <v>64</v>
      </c>
      <c r="C553" s="12" t="s">
        <v>27</v>
      </c>
      <c r="D553" s="19" t="s">
        <v>28</v>
      </c>
      <c r="E553" s="12" t="str">
        <f>IFERROR(__xludf.DUMMYFUNCTION("FILTER(colegios!$B$2:$B5618,colegios!$A$2:$A5618=L553)"),"86548 JOSE MARIA VELAZ")</f>
        <v>86548 JOSE MARIA VELAZ</v>
      </c>
      <c r="F553" s="14" t="s">
        <v>16</v>
      </c>
      <c r="G553" s="20" t="s">
        <v>21</v>
      </c>
      <c r="H553" s="12" t="s">
        <v>18</v>
      </c>
      <c r="I553" s="15">
        <v>2024.0</v>
      </c>
      <c r="J553" s="16" t="str">
        <f>IFERROR(__xludf.DUMMYFUNCTION("FILTER('CLASFICACIÓN'!$F$3:$F5618,'CLASFICACIÓN'!$G$3:$G5618=M553)"),"SOLO 2022 Y 2024")</f>
        <v>SOLO 2022 Y 2024</v>
      </c>
      <c r="K553" s="16"/>
      <c r="L553" s="12" t="s">
        <v>66</v>
      </c>
      <c r="M553" s="16" t="str">
        <f t="shared" si="1"/>
        <v>86548 JOSE MARIA VELAZ2 Secundaria</v>
      </c>
      <c r="N553" s="17"/>
      <c r="O553" s="17"/>
      <c r="P553" s="17"/>
      <c r="Q553" s="17"/>
      <c r="R553" s="17"/>
      <c r="S553" s="17"/>
      <c r="T553" s="17"/>
    </row>
    <row r="554" ht="15.75" customHeight="1">
      <c r="A554" s="18">
        <v>52.0</v>
      </c>
      <c r="B554" s="12" t="s">
        <v>64</v>
      </c>
      <c r="C554" s="12" t="s">
        <v>27</v>
      </c>
      <c r="D554" s="19" t="s">
        <v>28</v>
      </c>
      <c r="E554" s="12" t="str">
        <f>IFERROR(__xludf.DUMMYFUNCTION("FILTER(colegios!$B$2:$B5618,colegios!$A$2:$A5618=L554)"),"86548 JOSE MARIA VELAZ")</f>
        <v>86548 JOSE MARIA VELAZ</v>
      </c>
      <c r="F554" s="14" t="s">
        <v>16</v>
      </c>
      <c r="G554" s="19" t="s">
        <v>21</v>
      </c>
      <c r="H554" s="12" t="s">
        <v>18</v>
      </c>
      <c r="I554" s="15">
        <v>2024.0</v>
      </c>
      <c r="J554" s="16" t="str">
        <f>IFERROR(__xludf.DUMMYFUNCTION("FILTER('CLASFICACIÓN'!$F$3:$F5618,'CLASFICACIÓN'!$G$3:$G5618=M554)"),"SOLO 2022 Y 2024")</f>
        <v>SOLO 2022 Y 2024</v>
      </c>
      <c r="K554" s="16"/>
      <c r="L554" s="12" t="s">
        <v>66</v>
      </c>
      <c r="M554" s="16" t="str">
        <f t="shared" si="1"/>
        <v>86548 JOSE MARIA VELAZ2 Secundaria</v>
      </c>
      <c r="N554" s="17"/>
      <c r="O554" s="17"/>
      <c r="P554" s="17"/>
      <c r="Q554" s="17"/>
      <c r="R554" s="17"/>
      <c r="S554" s="17"/>
      <c r="T554" s="17"/>
    </row>
    <row r="555" ht="15.75" customHeight="1">
      <c r="A555" s="18">
        <v>54.0</v>
      </c>
      <c r="B555" s="12" t="s">
        <v>64</v>
      </c>
      <c r="C555" s="12" t="s">
        <v>27</v>
      </c>
      <c r="D555" s="19" t="s">
        <v>28</v>
      </c>
      <c r="E555" s="12" t="str">
        <f>IFERROR(__xludf.DUMMYFUNCTION("FILTER(colegios!$B$2:$B5618,colegios!$A$2:$A5618=L555)"),"86548 JOSE MARIA VELAZ")</f>
        <v>86548 JOSE MARIA VELAZ</v>
      </c>
      <c r="F555" s="14" t="s">
        <v>16</v>
      </c>
      <c r="G555" s="19" t="s">
        <v>21</v>
      </c>
      <c r="H555" s="12" t="s">
        <v>24</v>
      </c>
      <c r="I555" s="15">
        <v>2024.0</v>
      </c>
      <c r="J555" s="16" t="str">
        <f>IFERROR(__xludf.DUMMYFUNCTION("FILTER('CLASFICACIÓN'!$F$3:$F5618,'CLASFICACIÓN'!$G$3:$G5618=M555)"),"SOLO 2022 Y 2024")</f>
        <v>SOLO 2022 Y 2024</v>
      </c>
      <c r="K555" s="16"/>
      <c r="L555" s="12" t="s">
        <v>66</v>
      </c>
      <c r="M555" s="16" t="str">
        <f t="shared" si="1"/>
        <v>86548 JOSE MARIA VELAZ2 Secundaria</v>
      </c>
      <c r="N555" s="17"/>
      <c r="O555" s="17"/>
      <c r="P555" s="17"/>
      <c r="Q555" s="17"/>
      <c r="R555" s="17"/>
      <c r="S555" s="17"/>
      <c r="T555" s="17"/>
    </row>
    <row r="556" ht="15.75" customHeight="1">
      <c r="A556" s="18">
        <v>56.0</v>
      </c>
      <c r="B556" s="12" t="s">
        <v>64</v>
      </c>
      <c r="C556" s="12" t="s">
        <v>27</v>
      </c>
      <c r="D556" s="19" t="s">
        <v>28</v>
      </c>
      <c r="E556" s="12" t="str">
        <f>IFERROR(__xludf.DUMMYFUNCTION("FILTER(colegios!$B$2:$B5618,colegios!$A$2:$A5618=L556)"),"86548 JOSE MARIA VELAZ")</f>
        <v>86548 JOSE MARIA VELAZ</v>
      </c>
      <c r="F556" s="14" t="s">
        <v>16</v>
      </c>
      <c r="G556" s="20" t="s">
        <v>17</v>
      </c>
      <c r="H556" s="12" t="s">
        <v>18</v>
      </c>
      <c r="I556" s="15">
        <v>2024.0</v>
      </c>
      <c r="J556" s="16" t="str">
        <f>IFERROR(__xludf.DUMMYFUNCTION("FILTER('CLASFICACIÓN'!$F$3:$F5618,'CLASFICACIÓN'!$G$3:$G5618=M556)"),"SOLO 2022 Y 2024")</f>
        <v>SOLO 2022 Y 2024</v>
      </c>
      <c r="K556" s="16"/>
      <c r="L556" s="12" t="s">
        <v>66</v>
      </c>
      <c r="M556" s="16" t="str">
        <f t="shared" si="1"/>
        <v>86548 JOSE MARIA VELAZ2 Secundaria</v>
      </c>
      <c r="N556" s="17"/>
      <c r="O556" s="17"/>
      <c r="P556" s="17"/>
      <c r="Q556" s="17"/>
      <c r="R556" s="17"/>
      <c r="S556" s="17"/>
      <c r="T556" s="17"/>
    </row>
    <row r="557" ht="15.75" customHeight="1">
      <c r="A557" s="18">
        <v>58.0</v>
      </c>
      <c r="B557" s="12" t="s">
        <v>64</v>
      </c>
      <c r="C557" s="12" t="s">
        <v>27</v>
      </c>
      <c r="D557" s="19" t="s">
        <v>28</v>
      </c>
      <c r="E557" s="12" t="str">
        <f>IFERROR(__xludf.DUMMYFUNCTION("FILTER(colegios!$B$2:$B5618,colegios!$A$2:$A5618=L557)"),"86548 JOSE MARIA VELAZ")</f>
        <v>86548 JOSE MARIA VELAZ</v>
      </c>
      <c r="F557" s="14" t="s">
        <v>16</v>
      </c>
      <c r="G557" s="19" t="s">
        <v>17</v>
      </c>
      <c r="H557" s="12" t="s">
        <v>18</v>
      </c>
      <c r="I557" s="15">
        <v>2024.0</v>
      </c>
      <c r="J557" s="16" t="str">
        <f>IFERROR(__xludf.DUMMYFUNCTION("FILTER('CLASFICACIÓN'!$F$3:$F5618,'CLASFICACIÓN'!$G$3:$G5618=M557)"),"SOLO 2022 Y 2024")</f>
        <v>SOLO 2022 Y 2024</v>
      </c>
      <c r="K557" s="16"/>
      <c r="L557" s="12" t="s">
        <v>66</v>
      </c>
      <c r="M557" s="16" t="str">
        <f t="shared" si="1"/>
        <v>86548 JOSE MARIA VELAZ2 Secundaria</v>
      </c>
      <c r="N557" s="17"/>
      <c r="O557" s="17"/>
      <c r="P557" s="17"/>
      <c r="Q557" s="17"/>
      <c r="R557" s="17"/>
      <c r="S557" s="17"/>
      <c r="T557" s="17"/>
    </row>
    <row r="558" ht="15.75" customHeight="1">
      <c r="A558" s="18">
        <v>59.0</v>
      </c>
      <c r="B558" s="12" t="s">
        <v>64</v>
      </c>
      <c r="C558" s="12" t="s">
        <v>27</v>
      </c>
      <c r="D558" s="19" t="s">
        <v>28</v>
      </c>
      <c r="E558" s="12" t="str">
        <f>IFERROR(__xludf.DUMMYFUNCTION("FILTER(colegios!$B$2:$B5618,colegios!$A$2:$A5618=L558)"),"86548 JOSE MARIA VELAZ")</f>
        <v>86548 JOSE MARIA VELAZ</v>
      </c>
      <c r="F558" s="14" t="s">
        <v>16</v>
      </c>
      <c r="G558" s="20" t="s">
        <v>21</v>
      </c>
      <c r="H558" s="12" t="s">
        <v>18</v>
      </c>
      <c r="I558" s="15">
        <v>2024.0</v>
      </c>
      <c r="J558" s="16" t="str">
        <f>IFERROR(__xludf.DUMMYFUNCTION("FILTER('CLASFICACIÓN'!$F$3:$F5618,'CLASFICACIÓN'!$G$3:$G5618=M558)"),"SOLO 2022 Y 2024")</f>
        <v>SOLO 2022 Y 2024</v>
      </c>
      <c r="K558" s="16"/>
      <c r="L558" s="12" t="s">
        <v>66</v>
      </c>
      <c r="M558" s="16" t="str">
        <f t="shared" si="1"/>
        <v>86548 JOSE MARIA VELAZ2 Secundaria</v>
      </c>
      <c r="N558" s="17"/>
      <c r="O558" s="17"/>
      <c r="P558" s="17"/>
      <c r="Q558" s="17"/>
      <c r="R558" s="17"/>
      <c r="S558" s="17"/>
      <c r="T558" s="17"/>
    </row>
    <row r="559" ht="15.75" customHeight="1">
      <c r="A559" s="18">
        <v>60.0</v>
      </c>
      <c r="B559" s="12" t="s">
        <v>64</v>
      </c>
      <c r="C559" s="12" t="s">
        <v>27</v>
      </c>
      <c r="D559" s="19" t="s">
        <v>28</v>
      </c>
      <c r="E559" s="12" t="str">
        <f>IFERROR(__xludf.DUMMYFUNCTION("FILTER(colegios!$B$2:$B5618,colegios!$A$2:$A5618=L559)"),"86548 JOSE MARIA VELAZ")</f>
        <v>86548 JOSE MARIA VELAZ</v>
      </c>
      <c r="F559" s="14" t="s">
        <v>16</v>
      </c>
      <c r="G559" s="19" t="s">
        <v>17</v>
      </c>
      <c r="H559" s="12" t="s">
        <v>18</v>
      </c>
      <c r="I559" s="15">
        <v>2024.0</v>
      </c>
      <c r="J559" s="16" t="str">
        <f>IFERROR(__xludf.DUMMYFUNCTION("FILTER('CLASFICACIÓN'!$F$3:$F5618,'CLASFICACIÓN'!$G$3:$G5618=M559)"),"SOLO 2022 Y 2024")</f>
        <v>SOLO 2022 Y 2024</v>
      </c>
      <c r="K559" s="16"/>
      <c r="L559" s="12" t="s">
        <v>66</v>
      </c>
      <c r="M559" s="16" t="str">
        <f t="shared" si="1"/>
        <v>86548 JOSE MARIA VELAZ2 Secundaria</v>
      </c>
      <c r="N559" s="17"/>
      <c r="O559" s="17"/>
      <c r="P559" s="17"/>
      <c r="Q559" s="17"/>
      <c r="R559" s="17"/>
      <c r="S559" s="17"/>
      <c r="T559" s="17"/>
    </row>
    <row r="560" ht="15.75" customHeight="1">
      <c r="A560" s="18">
        <v>61.0</v>
      </c>
      <c r="B560" s="12" t="s">
        <v>64</v>
      </c>
      <c r="C560" s="12" t="s">
        <v>27</v>
      </c>
      <c r="D560" s="19" t="s">
        <v>28</v>
      </c>
      <c r="E560" s="12" t="str">
        <f>IFERROR(__xludf.DUMMYFUNCTION("FILTER(colegios!$B$2:$B5618,colegios!$A$2:$A5618=L560)"),"86548 JOSE MARIA VELAZ")</f>
        <v>86548 JOSE MARIA VELAZ</v>
      </c>
      <c r="F560" s="14" t="s">
        <v>16</v>
      </c>
      <c r="G560" s="19" t="s">
        <v>17</v>
      </c>
      <c r="H560" s="12" t="s">
        <v>18</v>
      </c>
      <c r="I560" s="15">
        <v>2024.0</v>
      </c>
      <c r="J560" s="16" t="str">
        <f>IFERROR(__xludf.DUMMYFUNCTION("FILTER('CLASFICACIÓN'!$F$3:$F5618,'CLASFICACIÓN'!$G$3:$G5618=M560)"),"SOLO 2022 Y 2024")</f>
        <v>SOLO 2022 Y 2024</v>
      </c>
      <c r="K560" s="16"/>
      <c r="L560" s="12" t="s">
        <v>66</v>
      </c>
      <c r="M560" s="16" t="str">
        <f t="shared" si="1"/>
        <v>86548 JOSE MARIA VELAZ2 Secundaria</v>
      </c>
      <c r="N560" s="17"/>
      <c r="O560" s="17"/>
      <c r="P560" s="17"/>
      <c r="Q560" s="17"/>
      <c r="R560" s="17"/>
      <c r="S560" s="17"/>
      <c r="T560" s="17"/>
    </row>
    <row r="561" ht="15.75" customHeight="1">
      <c r="A561" s="18">
        <v>62.0</v>
      </c>
      <c r="B561" s="12" t="s">
        <v>64</v>
      </c>
      <c r="C561" s="12" t="s">
        <v>27</v>
      </c>
      <c r="D561" s="19" t="s">
        <v>28</v>
      </c>
      <c r="E561" s="12" t="str">
        <f>IFERROR(__xludf.DUMMYFUNCTION("FILTER(colegios!$B$2:$B5618,colegios!$A$2:$A5618=L561)"),"86548 JOSE MARIA VELAZ")</f>
        <v>86548 JOSE MARIA VELAZ</v>
      </c>
      <c r="F561" s="14" t="s">
        <v>16</v>
      </c>
      <c r="G561" s="19" t="s">
        <v>17</v>
      </c>
      <c r="H561" s="12" t="s">
        <v>18</v>
      </c>
      <c r="I561" s="15">
        <v>2024.0</v>
      </c>
      <c r="J561" s="16" t="str">
        <f>IFERROR(__xludf.DUMMYFUNCTION("FILTER('CLASFICACIÓN'!$F$3:$F5618,'CLASFICACIÓN'!$G$3:$G5618=M561)"),"SOLO 2022 Y 2024")</f>
        <v>SOLO 2022 Y 2024</v>
      </c>
      <c r="K561" s="16"/>
      <c r="L561" s="12" t="s">
        <v>66</v>
      </c>
      <c r="M561" s="16" t="str">
        <f t="shared" si="1"/>
        <v>86548 JOSE MARIA VELAZ2 Secundaria</v>
      </c>
      <c r="N561" s="17"/>
      <c r="O561" s="17"/>
      <c r="P561" s="17"/>
      <c r="Q561" s="17"/>
      <c r="R561" s="17"/>
      <c r="S561" s="17"/>
      <c r="T561" s="17"/>
    </row>
    <row r="562" ht="15.75" customHeight="1">
      <c r="A562" s="18">
        <v>63.0</v>
      </c>
      <c r="B562" s="12" t="s">
        <v>64</v>
      </c>
      <c r="C562" s="12" t="s">
        <v>27</v>
      </c>
      <c r="D562" s="19" t="s">
        <v>28</v>
      </c>
      <c r="E562" s="12" t="str">
        <f>IFERROR(__xludf.DUMMYFUNCTION("FILTER(colegios!$B$2:$B5618,colegios!$A$2:$A5618=L562)"),"86548 JOSE MARIA VELAZ")</f>
        <v>86548 JOSE MARIA VELAZ</v>
      </c>
      <c r="F562" s="14" t="s">
        <v>16</v>
      </c>
      <c r="G562" s="20" t="s">
        <v>21</v>
      </c>
      <c r="H562" s="12" t="s">
        <v>18</v>
      </c>
      <c r="I562" s="15">
        <v>2024.0</v>
      </c>
      <c r="J562" s="16" t="str">
        <f>IFERROR(__xludf.DUMMYFUNCTION("FILTER('CLASFICACIÓN'!$F$3:$F5618,'CLASFICACIÓN'!$G$3:$G5618=M562)"),"SOLO 2022 Y 2024")</f>
        <v>SOLO 2022 Y 2024</v>
      </c>
      <c r="K562" s="16"/>
      <c r="L562" s="12" t="s">
        <v>66</v>
      </c>
      <c r="M562" s="16" t="str">
        <f t="shared" si="1"/>
        <v>86548 JOSE MARIA VELAZ2 Secundaria</v>
      </c>
      <c r="N562" s="17"/>
      <c r="O562" s="17"/>
      <c r="P562" s="17"/>
      <c r="Q562" s="17"/>
      <c r="R562" s="17"/>
      <c r="S562" s="17"/>
      <c r="T562" s="17"/>
    </row>
    <row r="563" ht="15.75" customHeight="1">
      <c r="A563" s="18">
        <v>64.0</v>
      </c>
      <c r="B563" s="12" t="s">
        <v>64</v>
      </c>
      <c r="C563" s="12" t="s">
        <v>27</v>
      </c>
      <c r="D563" s="19" t="s">
        <v>28</v>
      </c>
      <c r="E563" s="12" t="str">
        <f>IFERROR(__xludf.DUMMYFUNCTION("FILTER(colegios!$B$2:$B5618,colegios!$A$2:$A5618=L563)"),"86548 JOSE MARIA VELAZ")</f>
        <v>86548 JOSE MARIA VELAZ</v>
      </c>
      <c r="F563" s="14" t="s">
        <v>16</v>
      </c>
      <c r="G563" s="20" t="s">
        <v>21</v>
      </c>
      <c r="H563" s="12" t="s">
        <v>18</v>
      </c>
      <c r="I563" s="15">
        <v>2024.0</v>
      </c>
      <c r="J563" s="16" t="str">
        <f>IFERROR(__xludf.DUMMYFUNCTION("FILTER('CLASFICACIÓN'!$F$3:$F5618,'CLASFICACIÓN'!$G$3:$G5618=M563)"),"SOLO 2022 Y 2024")</f>
        <v>SOLO 2022 Y 2024</v>
      </c>
      <c r="K563" s="16"/>
      <c r="L563" s="12" t="s">
        <v>66</v>
      </c>
      <c r="M563" s="16" t="str">
        <f t="shared" si="1"/>
        <v>86548 JOSE MARIA VELAZ2 Secundaria</v>
      </c>
      <c r="N563" s="17"/>
      <c r="O563" s="17"/>
      <c r="P563" s="17"/>
      <c r="Q563" s="17"/>
      <c r="R563" s="17"/>
      <c r="S563" s="17"/>
      <c r="T563" s="17"/>
    </row>
    <row r="564" ht="15.75" customHeight="1">
      <c r="A564" s="18">
        <v>65.0</v>
      </c>
      <c r="B564" s="12" t="s">
        <v>64</v>
      </c>
      <c r="C564" s="12" t="s">
        <v>27</v>
      </c>
      <c r="D564" s="19" t="s">
        <v>28</v>
      </c>
      <c r="E564" s="12" t="str">
        <f>IFERROR(__xludf.DUMMYFUNCTION("FILTER(colegios!$B$2:$B5618,colegios!$A$2:$A5618=L564)"),"86548 JOSE MARIA VELAZ")</f>
        <v>86548 JOSE MARIA VELAZ</v>
      </c>
      <c r="F564" s="14" t="s">
        <v>16</v>
      </c>
      <c r="G564" s="19" t="s">
        <v>17</v>
      </c>
      <c r="H564" s="12" t="s">
        <v>18</v>
      </c>
      <c r="I564" s="15">
        <v>2024.0</v>
      </c>
      <c r="J564" s="16" t="str">
        <f>IFERROR(__xludf.DUMMYFUNCTION("FILTER('CLASFICACIÓN'!$F$3:$F5618,'CLASFICACIÓN'!$G$3:$G5618=M564)"),"SOLO 2022 Y 2024")</f>
        <v>SOLO 2022 Y 2024</v>
      </c>
      <c r="K564" s="16"/>
      <c r="L564" s="12" t="s">
        <v>66</v>
      </c>
      <c r="M564" s="16" t="str">
        <f t="shared" si="1"/>
        <v>86548 JOSE MARIA VELAZ2 Secundaria</v>
      </c>
      <c r="N564" s="17"/>
      <c r="O564" s="17"/>
      <c r="P564" s="17"/>
      <c r="Q564" s="17"/>
      <c r="R564" s="17"/>
      <c r="S564" s="17"/>
      <c r="T564" s="17"/>
    </row>
    <row r="565" ht="15.75" customHeight="1">
      <c r="A565" s="18">
        <v>66.0</v>
      </c>
      <c r="B565" s="12" t="s">
        <v>64</v>
      </c>
      <c r="C565" s="12" t="s">
        <v>27</v>
      </c>
      <c r="D565" s="19" t="s">
        <v>28</v>
      </c>
      <c r="E565" s="12" t="str">
        <f>IFERROR(__xludf.DUMMYFUNCTION("FILTER(colegios!$B$2:$B5618,colegios!$A$2:$A5618=L565)"),"86548 JOSE MARIA VELAZ")</f>
        <v>86548 JOSE MARIA VELAZ</v>
      </c>
      <c r="F565" s="14" t="s">
        <v>16</v>
      </c>
      <c r="G565" s="20" t="s">
        <v>21</v>
      </c>
      <c r="H565" s="12" t="s">
        <v>18</v>
      </c>
      <c r="I565" s="15">
        <v>2024.0</v>
      </c>
      <c r="J565" s="16" t="str">
        <f>IFERROR(__xludf.DUMMYFUNCTION("FILTER('CLASFICACIÓN'!$F$3:$F5618,'CLASFICACIÓN'!$G$3:$G5618=M565)"),"SOLO 2022 Y 2024")</f>
        <v>SOLO 2022 Y 2024</v>
      </c>
      <c r="K565" s="16"/>
      <c r="L565" s="12" t="s">
        <v>66</v>
      </c>
      <c r="M565" s="16" t="str">
        <f t="shared" si="1"/>
        <v>86548 JOSE MARIA VELAZ2 Secundaria</v>
      </c>
      <c r="N565" s="17"/>
      <c r="O565" s="17"/>
      <c r="P565" s="17"/>
      <c r="Q565" s="17"/>
      <c r="R565" s="17"/>
      <c r="S565" s="17"/>
      <c r="T565" s="17"/>
    </row>
    <row r="566" ht="15.75" customHeight="1">
      <c r="A566" s="18">
        <v>67.0</v>
      </c>
      <c r="B566" s="12" t="s">
        <v>64</v>
      </c>
      <c r="C566" s="12" t="s">
        <v>27</v>
      </c>
      <c r="D566" s="19" t="s">
        <v>30</v>
      </c>
      <c r="E566" s="12" t="str">
        <f>IFERROR(__xludf.DUMMYFUNCTION("FILTER(colegios!$B$2:$B5618,colegios!$A$2:$A5618=L566)"),"86548 JOSE MARIA VELAZ")</f>
        <v>86548 JOSE MARIA VELAZ</v>
      </c>
      <c r="F566" s="14" t="s">
        <v>16</v>
      </c>
      <c r="G566" s="19" t="s">
        <v>17</v>
      </c>
      <c r="H566" s="12" t="s">
        <v>18</v>
      </c>
      <c r="I566" s="15">
        <v>2024.0</v>
      </c>
      <c r="J566" s="16" t="str">
        <f>IFERROR(__xludf.DUMMYFUNCTION("FILTER('CLASFICACIÓN'!$F$3:$F5618,'CLASFICACIÓN'!$G$3:$G5618=M566)"),"SOLO 2022 Y 2024")</f>
        <v>SOLO 2022 Y 2024</v>
      </c>
      <c r="K566" s="16"/>
      <c r="L566" s="12" t="s">
        <v>66</v>
      </c>
      <c r="M566" s="16" t="str">
        <f t="shared" si="1"/>
        <v>86548 JOSE MARIA VELAZ4 Secundaria</v>
      </c>
      <c r="N566" s="17"/>
      <c r="O566" s="17"/>
      <c r="P566" s="17"/>
      <c r="Q566" s="17"/>
      <c r="R566" s="17"/>
      <c r="S566" s="17"/>
      <c r="T566" s="17"/>
    </row>
    <row r="567" ht="15.75" customHeight="1">
      <c r="A567" s="18">
        <v>68.0</v>
      </c>
      <c r="B567" s="12" t="s">
        <v>64</v>
      </c>
      <c r="C567" s="12" t="s">
        <v>27</v>
      </c>
      <c r="D567" s="19" t="s">
        <v>30</v>
      </c>
      <c r="E567" s="12" t="str">
        <f>IFERROR(__xludf.DUMMYFUNCTION("FILTER(colegios!$B$2:$B5618,colegios!$A$2:$A5618=L567)"),"86548 JOSE MARIA VELAZ")</f>
        <v>86548 JOSE MARIA VELAZ</v>
      </c>
      <c r="F567" s="14" t="s">
        <v>16</v>
      </c>
      <c r="G567" s="20" t="s">
        <v>17</v>
      </c>
      <c r="H567" s="12" t="s">
        <v>18</v>
      </c>
      <c r="I567" s="15">
        <v>2024.0</v>
      </c>
      <c r="J567" s="16" t="str">
        <f>IFERROR(__xludf.DUMMYFUNCTION("FILTER('CLASFICACIÓN'!$F$3:$F5618,'CLASFICACIÓN'!$G$3:$G5618=M567)"),"SOLO 2022 Y 2024")</f>
        <v>SOLO 2022 Y 2024</v>
      </c>
      <c r="K567" s="16"/>
      <c r="L567" s="12" t="s">
        <v>66</v>
      </c>
      <c r="M567" s="16" t="str">
        <f t="shared" si="1"/>
        <v>86548 JOSE MARIA VELAZ4 Secundaria</v>
      </c>
      <c r="N567" s="17"/>
      <c r="O567" s="17"/>
      <c r="P567" s="17"/>
      <c r="Q567" s="17"/>
      <c r="R567" s="17"/>
      <c r="S567" s="17"/>
      <c r="T567" s="17"/>
    </row>
    <row r="568" ht="15.75" customHeight="1">
      <c r="A568" s="18">
        <v>69.0</v>
      </c>
      <c r="B568" s="12" t="s">
        <v>64</v>
      </c>
      <c r="C568" s="12" t="s">
        <v>27</v>
      </c>
      <c r="D568" s="19" t="s">
        <v>30</v>
      </c>
      <c r="E568" s="12" t="str">
        <f>IFERROR(__xludf.DUMMYFUNCTION("FILTER(colegios!$B$2:$B5618,colegios!$A$2:$A5618=L568)"),"86548 JOSE MARIA VELAZ")</f>
        <v>86548 JOSE MARIA VELAZ</v>
      </c>
      <c r="F568" s="14" t="s">
        <v>16</v>
      </c>
      <c r="G568" s="19" t="s">
        <v>21</v>
      </c>
      <c r="H568" s="12" t="s">
        <v>18</v>
      </c>
      <c r="I568" s="15">
        <v>2024.0</v>
      </c>
      <c r="J568" s="16" t="str">
        <f>IFERROR(__xludf.DUMMYFUNCTION("FILTER('CLASFICACIÓN'!$F$3:$F5618,'CLASFICACIÓN'!$G$3:$G5618=M568)"),"SOLO 2022 Y 2024")</f>
        <v>SOLO 2022 Y 2024</v>
      </c>
      <c r="K568" s="16"/>
      <c r="L568" s="12" t="s">
        <v>66</v>
      </c>
      <c r="M568" s="16" t="str">
        <f t="shared" si="1"/>
        <v>86548 JOSE MARIA VELAZ4 Secundaria</v>
      </c>
      <c r="N568" s="17"/>
      <c r="O568" s="17"/>
      <c r="P568" s="17"/>
      <c r="Q568" s="17"/>
      <c r="R568" s="17"/>
      <c r="S568" s="17"/>
      <c r="T568" s="17"/>
    </row>
    <row r="569" ht="15.75" customHeight="1">
      <c r="A569" s="18">
        <v>70.0</v>
      </c>
      <c r="B569" s="12" t="s">
        <v>64</v>
      </c>
      <c r="C569" s="12" t="s">
        <v>27</v>
      </c>
      <c r="D569" s="19" t="s">
        <v>30</v>
      </c>
      <c r="E569" s="12" t="str">
        <f>IFERROR(__xludf.DUMMYFUNCTION("FILTER(colegios!$B$2:$B5618,colegios!$A$2:$A5618=L569)"),"86548 JOSE MARIA VELAZ")</f>
        <v>86548 JOSE MARIA VELAZ</v>
      </c>
      <c r="F569" s="14" t="s">
        <v>16</v>
      </c>
      <c r="G569" s="20" t="s">
        <v>17</v>
      </c>
      <c r="H569" s="12" t="s">
        <v>18</v>
      </c>
      <c r="I569" s="15">
        <v>2024.0</v>
      </c>
      <c r="J569" s="16" t="str">
        <f>IFERROR(__xludf.DUMMYFUNCTION("FILTER('CLASFICACIÓN'!$F$3:$F5618,'CLASFICACIÓN'!$G$3:$G5618=M569)"),"SOLO 2022 Y 2024")</f>
        <v>SOLO 2022 Y 2024</v>
      </c>
      <c r="K569" s="16"/>
      <c r="L569" s="12" t="s">
        <v>66</v>
      </c>
      <c r="M569" s="16" t="str">
        <f t="shared" si="1"/>
        <v>86548 JOSE MARIA VELAZ4 Secundaria</v>
      </c>
      <c r="N569" s="17"/>
      <c r="O569" s="17"/>
      <c r="P569" s="17"/>
      <c r="Q569" s="17"/>
      <c r="R569" s="17"/>
      <c r="S569" s="17"/>
      <c r="T569" s="17"/>
    </row>
    <row r="570" ht="15.75" customHeight="1">
      <c r="A570" s="18">
        <v>72.0</v>
      </c>
      <c r="B570" s="12" t="s">
        <v>64</v>
      </c>
      <c r="C570" s="12" t="s">
        <v>27</v>
      </c>
      <c r="D570" s="19" t="s">
        <v>30</v>
      </c>
      <c r="E570" s="12" t="str">
        <f>IFERROR(__xludf.DUMMYFUNCTION("FILTER(colegios!$B$2:$B5618,colegios!$A$2:$A5618=L570)"),"86548 JOSE MARIA VELAZ")</f>
        <v>86548 JOSE MARIA VELAZ</v>
      </c>
      <c r="F570" s="14" t="s">
        <v>16</v>
      </c>
      <c r="G570" s="19" t="s">
        <v>17</v>
      </c>
      <c r="H570" s="12" t="s">
        <v>18</v>
      </c>
      <c r="I570" s="15">
        <v>2024.0</v>
      </c>
      <c r="J570" s="16" t="str">
        <f>IFERROR(__xludf.DUMMYFUNCTION("FILTER('CLASFICACIÓN'!$F$3:$F5618,'CLASFICACIÓN'!$G$3:$G5618=M570)"),"SOLO 2022 Y 2024")</f>
        <v>SOLO 2022 Y 2024</v>
      </c>
      <c r="K570" s="16"/>
      <c r="L570" s="12" t="s">
        <v>66</v>
      </c>
      <c r="M570" s="16" t="str">
        <f t="shared" si="1"/>
        <v>86548 JOSE MARIA VELAZ4 Secundaria</v>
      </c>
      <c r="N570" s="17"/>
      <c r="O570" s="17"/>
      <c r="P570" s="17"/>
      <c r="Q570" s="17"/>
      <c r="R570" s="17"/>
      <c r="S570" s="17"/>
      <c r="T570" s="17"/>
    </row>
    <row r="571" ht="15.75" customHeight="1">
      <c r="A571" s="18">
        <v>73.0</v>
      </c>
      <c r="B571" s="12" t="s">
        <v>64</v>
      </c>
      <c r="C571" s="12" t="s">
        <v>27</v>
      </c>
      <c r="D571" s="19" t="s">
        <v>30</v>
      </c>
      <c r="E571" s="12" t="str">
        <f>IFERROR(__xludf.DUMMYFUNCTION("FILTER(colegios!$B$2:$B5618,colegios!$A$2:$A5618=L571)"),"86548 JOSE MARIA VELAZ")</f>
        <v>86548 JOSE MARIA VELAZ</v>
      </c>
      <c r="F571" s="14" t="s">
        <v>16</v>
      </c>
      <c r="G571" s="20" t="s">
        <v>21</v>
      </c>
      <c r="H571" s="12" t="s">
        <v>18</v>
      </c>
      <c r="I571" s="15">
        <v>2024.0</v>
      </c>
      <c r="J571" s="16" t="str">
        <f>IFERROR(__xludf.DUMMYFUNCTION("FILTER('CLASFICACIÓN'!$F$3:$F5618,'CLASFICACIÓN'!$G$3:$G5618=M571)"),"SOLO 2022 Y 2024")</f>
        <v>SOLO 2022 Y 2024</v>
      </c>
      <c r="K571" s="16"/>
      <c r="L571" s="12" t="s">
        <v>66</v>
      </c>
      <c r="M571" s="16" t="str">
        <f t="shared" si="1"/>
        <v>86548 JOSE MARIA VELAZ4 Secundaria</v>
      </c>
      <c r="N571" s="17"/>
      <c r="O571" s="17"/>
      <c r="P571" s="17"/>
      <c r="Q571" s="17"/>
      <c r="R571" s="17"/>
      <c r="S571" s="17"/>
      <c r="T571" s="17"/>
    </row>
    <row r="572" ht="15.75" customHeight="1">
      <c r="A572" s="18">
        <v>74.0</v>
      </c>
      <c r="B572" s="12" t="s">
        <v>64</v>
      </c>
      <c r="C572" s="12" t="s">
        <v>27</v>
      </c>
      <c r="D572" s="19" t="s">
        <v>30</v>
      </c>
      <c r="E572" s="12" t="str">
        <f>IFERROR(__xludf.DUMMYFUNCTION("FILTER(colegios!$B$2:$B5618,colegios!$A$2:$A5618=L572)"),"86548 JOSE MARIA VELAZ")</f>
        <v>86548 JOSE MARIA VELAZ</v>
      </c>
      <c r="F572" s="14" t="s">
        <v>16</v>
      </c>
      <c r="G572" s="20" t="s">
        <v>21</v>
      </c>
      <c r="H572" s="12" t="s">
        <v>18</v>
      </c>
      <c r="I572" s="15">
        <v>2024.0</v>
      </c>
      <c r="J572" s="16" t="str">
        <f>IFERROR(__xludf.DUMMYFUNCTION("FILTER('CLASFICACIÓN'!$F$3:$F5618,'CLASFICACIÓN'!$G$3:$G5618=M572)"),"SOLO 2022 Y 2024")</f>
        <v>SOLO 2022 Y 2024</v>
      </c>
      <c r="K572" s="16"/>
      <c r="L572" s="12" t="s">
        <v>66</v>
      </c>
      <c r="M572" s="16" t="str">
        <f t="shared" si="1"/>
        <v>86548 JOSE MARIA VELAZ4 Secundaria</v>
      </c>
      <c r="N572" s="17"/>
      <c r="O572" s="17"/>
      <c r="P572" s="17"/>
      <c r="Q572" s="17"/>
      <c r="R572" s="17"/>
      <c r="S572" s="17"/>
      <c r="T572" s="17"/>
    </row>
    <row r="573" ht="15.75" customHeight="1">
      <c r="A573" s="18">
        <v>75.0</v>
      </c>
      <c r="B573" s="12" t="s">
        <v>64</v>
      </c>
      <c r="C573" s="12" t="s">
        <v>27</v>
      </c>
      <c r="D573" s="19" t="s">
        <v>30</v>
      </c>
      <c r="E573" s="12" t="str">
        <f>IFERROR(__xludf.DUMMYFUNCTION("FILTER(colegios!$B$2:$B5618,colegios!$A$2:$A5618=L573)"),"86548 JOSE MARIA VELAZ")</f>
        <v>86548 JOSE MARIA VELAZ</v>
      </c>
      <c r="F573" s="14" t="s">
        <v>16</v>
      </c>
      <c r="G573" s="19" t="s">
        <v>17</v>
      </c>
      <c r="H573" s="12" t="s">
        <v>18</v>
      </c>
      <c r="I573" s="15">
        <v>2024.0</v>
      </c>
      <c r="J573" s="16" t="str">
        <f>IFERROR(__xludf.DUMMYFUNCTION("FILTER('CLASFICACIÓN'!$F$3:$F5618,'CLASFICACIÓN'!$G$3:$G5618=M573)"),"SOLO 2022 Y 2024")</f>
        <v>SOLO 2022 Y 2024</v>
      </c>
      <c r="K573" s="16"/>
      <c r="L573" s="12" t="s">
        <v>66</v>
      </c>
      <c r="M573" s="16" t="str">
        <f t="shared" si="1"/>
        <v>86548 JOSE MARIA VELAZ4 Secundaria</v>
      </c>
      <c r="N573" s="17"/>
      <c r="O573" s="17"/>
      <c r="P573" s="17"/>
      <c r="Q573" s="17"/>
      <c r="R573" s="17"/>
      <c r="S573" s="17"/>
      <c r="T573" s="17"/>
    </row>
    <row r="574" ht="15.75" customHeight="1">
      <c r="A574" s="18">
        <v>77.0</v>
      </c>
      <c r="B574" s="12" t="s">
        <v>64</v>
      </c>
      <c r="C574" s="12" t="s">
        <v>27</v>
      </c>
      <c r="D574" s="19" t="s">
        <v>30</v>
      </c>
      <c r="E574" s="12" t="str">
        <f>IFERROR(__xludf.DUMMYFUNCTION("FILTER(colegios!$B$2:$B5618,colegios!$A$2:$A5618=L574)"),"86548 JOSE MARIA VELAZ")</f>
        <v>86548 JOSE MARIA VELAZ</v>
      </c>
      <c r="F574" s="14" t="s">
        <v>16</v>
      </c>
      <c r="G574" s="19" t="s">
        <v>17</v>
      </c>
      <c r="H574" s="12" t="s">
        <v>18</v>
      </c>
      <c r="I574" s="15">
        <v>2024.0</v>
      </c>
      <c r="J574" s="16" t="str">
        <f>IFERROR(__xludf.DUMMYFUNCTION("FILTER('CLASFICACIÓN'!$F$3:$F5618,'CLASFICACIÓN'!$G$3:$G5618=M574)"),"SOLO 2022 Y 2024")</f>
        <v>SOLO 2022 Y 2024</v>
      </c>
      <c r="K574" s="16"/>
      <c r="L574" s="12" t="s">
        <v>66</v>
      </c>
      <c r="M574" s="16" t="str">
        <f t="shared" si="1"/>
        <v>86548 JOSE MARIA VELAZ4 Secundaria</v>
      </c>
      <c r="N574" s="17"/>
      <c r="O574" s="17"/>
      <c r="P574" s="17"/>
      <c r="Q574" s="17"/>
      <c r="R574" s="17"/>
      <c r="S574" s="17"/>
      <c r="T574" s="17"/>
    </row>
    <row r="575" ht="15.75" customHeight="1">
      <c r="A575" s="18">
        <v>78.0</v>
      </c>
      <c r="B575" s="12" t="s">
        <v>64</v>
      </c>
      <c r="C575" s="12" t="s">
        <v>27</v>
      </c>
      <c r="D575" s="19" t="s">
        <v>30</v>
      </c>
      <c r="E575" s="12" t="str">
        <f>IFERROR(__xludf.DUMMYFUNCTION("FILTER(colegios!$B$2:$B5618,colegios!$A$2:$A5618=L575)"),"86548 JOSE MARIA VELAZ")</f>
        <v>86548 JOSE MARIA VELAZ</v>
      </c>
      <c r="F575" s="14" t="s">
        <v>16</v>
      </c>
      <c r="G575" s="20" t="s">
        <v>21</v>
      </c>
      <c r="H575" s="12" t="s">
        <v>24</v>
      </c>
      <c r="I575" s="15">
        <v>2024.0</v>
      </c>
      <c r="J575" s="16" t="str">
        <f>IFERROR(__xludf.DUMMYFUNCTION("FILTER('CLASFICACIÓN'!$F$3:$F5618,'CLASFICACIÓN'!$G$3:$G5618=M575)"),"SOLO 2022 Y 2024")</f>
        <v>SOLO 2022 Y 2024</v>
      </c>
      <c r="K575" s="16"/>
      <c r="L575" s="12" t="s">
        <v>66</v>
      </c>
      <c r="M575" s="16" t="str">
        <f t="shared" si="1"/>
        <v>86548 JOSE MARIA VELAZ4 Secundaria</v>
      </c>
      <c r="N575" s="17"/>
      <c r="O575" s="17"/>
      <c r="P575" s="17"/>
      <c r="Q575" s="17"/>
      <c r="R575" s="17"/>
      <c r="S575" s="17"/>
      <c r="T575" s="17"/>
    </row>
    <row r="576" ht="15.75" customHeight="1">
      <c r="A576" s="18">
        <v>80.0</v>
      </c>
      <c r="B576" s="12" t="s">
        <v>64</v>
      </c>
      <c r="C576" s="12" t="s">
        <v>27</v>
      </c>
      <c r="D576" s="19" t="s">
        <v>30</v>
      </c>
      <c r="E576" s="12" t="str">
        <f>IFERROR(__xludf.DUMMYFUNCTION("FILTER(colegios!$B$2:$B5618,colegios!$A$2:$A5618=L576)"),"86548 JOSE MARIA VELAZ")</f>
        <v>86548 JOSE MARIA VELAZ</v>
      </c>
      <c r="F576" s="14" t="s">
        <v>16</v>
      </c>
      <c r="G576" s="20" t="s">
        <v>21</v>
      </c>
      <c r="H576" s="12" t="s">
        <v>18</v>
      </c>
      <c r="I576" s="15">
        <v>2024.0</v>
      </c>
      <c r="J576" s="16" t="str">
        <f>IFERROR(__xludf.DUMMYFUNCTION("FILTER('CLASFICACIÓN'!$F$3:$F5618,'CLASFICACIÓN'!$G$3:$G5618=M576)"),"SOLO 2022 Y 2024")</f>
        <v>SOLO 2022 Y 2024</v>
      </c>
      <c r="K576" s="16"/>
      <c r="L576" s="12" t="s">
        <v>66</v>
      </c>
      <c r="M576" s="16" t="str">
        <f t="shared" si="1"/>
        <v>86548 JOSE MARIA VELAZ4 Secundaria</v>
      </c>
      <c r="N576" s="17"/>
      <c r="O576" s="17"/>
      <c r="P576" s="17"/>
      <c r="Q576" s="17"/>
      <c r="R576" s="17"/>
      <c r="S576" s="17"/>
      <c r="T576" s="17"/>
    </row>
    <row r="577" ht="15.75" customHeight="1">
      <c r="A577" s="18">
        <v>81.0</v>
      </c>
      <c r="B577" s="12" t="s">
        <v>64</v>
      </c>
      <c r="C577" s="12" t="s">
        <v>27</v>
      </c>
      <c r="D577" s="19" t="s">
        <v>30</v>
      </c>
      <c r="E577" s="12" t="str">
        <f>IFERROR(__xludf.DUMMYFUNCTION("FILTER(colegios!$B$2:$B5618,colegios!$A$2:$A5618=L577)"),"86548 JOSE MARIA VELAZ")</f>
        <v>86548 JOSE MARIA VELAZ</v>
      </c>
      <c r="F577" s="14" t="s">
        <v>16</v>
      </c>
      <c r="G577" s="19" t="s">
        <v>21</v>
      </c>
      <c r="H577" s="12" t="s">
        <v>18</v>
      </c>
      <c r="I577" s="15">
        <v>2024.0</v>
      </c>
      <c r="J577" s="16" t="str">
        <f>IFERROR(__xludf.DUMMYFUNCTION("FILTER('CLASFICACIÓN'!$F$3:$F5618,'CLASFICACIÓN'!$G$3:$G5618=M577)"),"SOLO 2022 Y 2024")</f>
        <v>SOLO 2022 Y 2024</v>
      </c>
      <c r="K577" s="16"/>
      <c r="L577" s="12" t="s">
        <v>66</v>
      </c>
      <c r="M577" s="16" t="str">
        <f t="shared" si="1"/>
        <v>86548 JOSE MARIA VELAZ4 Secundaria</v>
      </c>
      <c r="N577" s="17"/>
      <c r="O577" s="17"/>
      <c r="P577" s="17"/>
      <c r="Q577" s="17"/>
      <c r="R577" s="17"/>
      <c r="S577" s="17"/>
      <c r="T577" s="17"/>
    </row>
    <row r="578" ht="15.75" customHeight="1">
      <c r="A578" s="18">
        <v>82.0</v>
      </c>
      <c r="B578" s="12" t="s">
        <v>64</v>
      </c>
      <c r="C578" s="12" t="s">
        <v>27</v>
      </c>
      <c r="D578" s="19" t="s">
        <v>30</v>
      </c>
      <c r="E578" s="12" t="str">
        <f>IFERROR(__xludf.DUMMYFUNCTION("FILTER(colegios!$B$2:$B5618,colegios!$A$2:$A5618=L578)"),"86548 JOSE MARIA VELAZ")</f>
        <v>86548 JOSE MARIA VELAZ</v>
      </c>
      <c r="F578" s="14" t="s">
        <v>16</v>
      </c>
      <c r="G578" s="19" t="s">
        <v>17</v>
      </c>
      <c r="H578" s="12" t="s">
        <v>18</v>
      </c>
      <c r="I578" s="15">
        <v>2024.0</v>
      </c>
      <c r="J578" s="16" t="str">
        <f>IFERROR(__xludf.DUMMYFUNCTION("FILTER('CLASFICACIÓN'!$F$3:$F5618,'CLASFICACIÓN'!$G$3:$G5618=M578)"),"SOLO 2022 Y 2024")</f>
        <v>SOLO 2022 Y 2024</v>
      </c>
      <c r="K578" s="16"/>
      <c r="L578" s="12" t="s">
        <v>66</v>
      </c>
      <c r="M578" s="16" t="str">
        <f t="shared" si="1"/>
        <v>86548 JOSE MARIA VELAZ4 Secundaria</v>
      </c>
      <c r="N578" s="17"/>
      <c r="O578" s="17"/>
      <c r="P578" s="17"/>
      <c r="Q578" s="17"/>
      <c r="R578" s="17"/>
      <c r="S578" s="17"/>
      <c r="T578" s="17"/>
    </row>
    <row r="579" ht="15.75" customHeight="1">
      <c r="A579" s="18">
        <v>84.0</v>
      </c>
      <c r="B579" s="12" t="s">
        <v>64</v>
      </c>
      <c r="C579" s="12" t="s">
        <v>27</v>
      </c>
      <c r="D579" s="19" t="s">
        <v>30</v>
      </c>
      <c r="E579" s="12" t="str">
        <f>IFERROR(__xludf.DUMMYFUNCTION("FILTER(colegios!$B$2:$B5618,colegios!$A$2:$A5618=L579)"),"86548 JOSE MARIA VELAZ")</f>
        <v>86548 JOSE MARIA VELAZ</v>
      </c>
      <c r="F579" s="14" t="s">
        <v>16</v>
      </c>
      <c r="G579" s="19" t="s">
        <v>17</v>
      </c>
      <c r="H579" s="12" t="s">
        <v>18</v>
      </c>
      <c r="I579" s="15">
        <v>2024.0</v>
      </c>
      <c r="J579" s="16" t="str">
        <f>IFERROR(__xludf.DUMMYFUNCTION("FILTER('CLASFICACIÓN'!$F$3:$F5618,'CLASFICACIÓN'!$G$3:$G5618=M579)"),"SOLO 2022 Y 2024")</f>
        <v>SOLO 2022 Y 2024</v>
      </c>
      <c r="K579" s="16"/>
      <c r="L579" s="12" t="s">
        <v>66</v>
      </c>
      <c r="M579" s="16" t="str">
        <f t="shared" si="1"/>
        <v>86548 JOSE MARIA VELAZ4 Secundaria</v>
      </c>
      <c r="N579" s="17"/>
      <c r="O579" s="17"/>
      <c r="P579" s="17"/>
      <c r="Q579" s="17"/>
      <c r="R579" s="17"/>
      <c r="S579" s="17"/>
      <c r="T579" s="17"/>
    </row>
    <row r="580" ht="15.75" customHeight="1">
      <c r="A580" s="18">
        <v>85.0</v>
      </c>
      <c r="B580" s="12" t="s">
        <v>64</v>
      </c>
      <c r="C580" s="12" t="s">
        <v>27</v>
      </c>
      <c r="D580" s="19" t="s">
        <v>30</v>
      </c>
      <c r="E580" s="12" t="str">
        <f>IFERROR(__xludf.DUMMYFUNCTION("FILTER(colegios!$B$2:$B5618,colegios!$A$2:$A5618=L580)"),"86548 JOSE MARIA VELAZ")</f>
        <v>86548 JOSE MARIA VELAZ</v>
      </c>
      <c r="F580" s="14" t="s">
        <v>16</v>
      </c>
      <c r="G580" s="20" t="s">
        <v>21</v>
      </c>
      <c r="H580" s="12" t="s">
        <v>24</v>
      </c>
      <c r="I580" s="15">
        <v>2024.0</v>
      </c>
      <c r="J580" s="16" t="str">
        <f>IFERROR(__xludf.DUMMYFUNCTION("FILTER('CLASFICACIÓN'!$F$3:$F5618,'CLASFICACIÓN'!$G$3:$G5618=M580)"),"SOLO 2022 Y 2024")</f>
        <v>SOLO 2022 Y 2024</v>
      </c>
      <c r="K580" s="16"/>
      <c r="L580" s="12" t="s">
        <v>66</v>
      </c>
      <c r="M580" s="16" t="str">
        <f t="shared" si="1"/>
        <v>86548 JOSE MARIA VELAZ4 Secundaria</v>
      </c>
      <c r="N580" s="17"/>
      <c r="O580" s="17"/>
      <c r="P580" s="17"/>
      <c r="Q580" s="17"/>
      <c r="R580" s="17"/>
      <c r="S580" s="17"/>
      <c r="T580" s="17"/>
    </row>
    <row r="581" ht="15.75" customHeight="1">
      <c r="A581" s="18">
        <v>87.0</v>
      </c>
      <c r="B581" s="12" t="s">
        <v>64</v>
      </c>
      <c r="C581" s="12" t="s">
        <v>27</v>
      </c>
      <c r="D581" s="19" t="s">
        <v>30</v>
      </c>
      <c r="E581" s="12" t="str">
        <f>IFERROR(__xludf.DUMMYFUNCTION("FILTER(colegios!$B$2:$B5618,colegios!$A$2:$A5618=L581)"),"86548 JOSE MARIA VELAZ")</f>
        <v>86548 JOSE MARIA VELAZ</v>
      </c>
      <c r="F581" s="14" t="s">
        <v>16</v>
      </c>
      <c r="G581" s="20" t="s">
        <v>17</v>
      </c>
      <c r="H581" s="12" t="s">
        <v>18</v>
      </c>
      <c r="I581" s="15">
        <v>2024.0</v>
      </c>
      <c r="J581" s="16" t="str">
        <f>IFERROR(__xludf.DUMMYFUNCTION("FILTER('CLASFICACIÓN'!$F$3:$F5618,'CLASFICACIÓN'!$G$3:$G5618=M581)"),"SOLO 2022 Y 2024")</f>
        <v>SOLO 2022 Y 2024</v>
      </c>
      <c r="K581" s="16"/>
      <c r="L581" s="12" t="s">
        <v>66</v>
      </c>
      <c r="M581" s="16" t="str">
        <f t="shared" si="1"/>
        <v>86548 JOSE MARIA VELAZ4 Secundaria</v>
      </c>
      <c r="N581" s="17"/>
      <c r="O581" s="17"/>
      <c r="P581" s="17"/>
      <c r="Q581" s="17"/>
      <c r="R581" s="17"/>
      <c r="S581" s="17"/>
      <c r="T581" s="17"/>
    </row>
    <row r="582" ht="15.75" customHeight="1">
      <c r="A582" s="18">
        <v>88.0</v>
      </c>
      <c r="B582" s="12" t="s">
        <v>64</v>
      </c>
      <c r="C582" s="12" t="s">
        <v>27</v>
      </c>
      <c r="D582" s="19" t="s">
        <v>30</v>
      </c>
      <c r="E582" s="12" t="str">
        <f>IFERROR(__xludf.DUMMYFUNCTION("FILTER(colegios!$B$2:$B5618,colegios!$A$2:$A5618=L582)"),"86548 JOSE MARIA VELAZ")</f>
        <v>86548 JOSE MARIA VELAZ</v>
      </c>
      <c r="F582" s="14" t="s">
        <v>16</v>
      </c>
      <c r="G582" s="20" t="s">
        <v>21</v>
      </c>
      <c r="H582" s="12" t="s">
        <v>18</v>
      </c>
      <c r="I582" s="15">
        <v>2024.0</v>
      </c>
      <c r="J582" s="16" t="str">
        <f>IFERROR(__xludf.DUMMYFUNCTION("FILTER('CLASFICACIÓN'!$F$3:$F5618,'CLASFICACIÓN'!$G$3:$G5618=M582)"),"SOLO 2022 Y 2024")</f>
        <v>SOLO 2022 Y 2024</v>
      </c>
      <c r="K582" s="16"/>
      <c r="L582" s="12" t="s">
        <v>66</v>
      </c>
      <c r="M582" s="16" t="str">
        <f t="shared" si="1"/>
        <v>86548 JOSE MARIA VELAZ4 Secundaria</v>
      </c>
      <c r="N582" s="17"/>
      <c r="O582" s="17"/>
      <c r="P582" s="17"/>
      <c r="Q582" s="17"/>
      <c r="R582" s="17"/>
      <c r="S582" s="17"/>
      <c r="T582" s="17"/>
    </row>
    <row r="583" ht="15.75" customHeight="1">
      <c r="A583" s="18">
        <v>89.0</v>
      </c>
      <c r="B583" s="12" t="s">
        <v>64</v>
      </c>
      <c r="C583" s="12" t="s">
        <v>27</v>
      </c>
      <c r="D583" s="19" t="s">
        <v>30</v>
      </c>
      <c r="E583" s="12" t="str">
        <f>IFERROR(__xludf.DUMMYFUNCTION("FILTER(colegios!$B$2:$B5618,colegios!$A$2:$A5618=L583)"),"86548 JOSE MARIA VELAZ")</f>
        <v>86548 JOSE MARIA VELAZ</v>
      </c>
      <c r="F583" s="14" t="s">
        <v>16</v>
      </c>
      <c r="G583" s="19" t="s">
        <v>21</v>
      </c>
      <c r="H583" s="12" t="s">
        <v>18</v>
      </c>
      <c r="I583" s="15">
        <v>2024.0</v>
      </c>
      <c r="J583" s="16" t="str">
        <f>IFERROR(__xludf.DUMMYFUNCTION("FILTER('CLASFICACIÓN'!$F$3:$F5618,'CLASFICACIÓN'!$G$3:$G5618=M583)"),"SOLO 2022 Y 2024")</f>
        <v>SOLO 2022 Y 2024</v>
      </c>
      <c r="K583" s="16"/>
      <c r="L583" s="12" t="s">
        <v>66</v>
      </c>
      <c r="M583" s="16" t="str">
        <f t="shared" si="1"/>
        <v>86548 JOSE MARIA VELAZ4 Secundaria</v>
      </c>
      <c r="N583" s="17"/>
      <c r="O583" s="17"/>
      <c r="P583" s="17"/>
      <c r="Q583" s="17"/>
      <c r="R583" s="17"/>
      <c r="S583" s="17"/>
      <c r="T583" s="17"/>
    </row>
    <row r="584" ht="15.75" customHeight="1">
      <c r="A584" s="18">
        <v>90.0</v>
      </c>
      <c r="B584" s="12" t="s">
        <v>64</v>
      </c>
      <c r="C584" s="12" t="s">
        <v>27</v>
      </c>
      <c r="D584" s="19" t="s">
        <v>30</v>
      </c>
      <c r="E584" s="12" t="str">
        <f>IFERROR(__xludf.DUMMYFUNCTION("FILTER(colegios!$B$2:$B5618,colegios!$A$2:$A5618=L584)"),"86548 JOSE MARIA VELAZ")</f>
        <v>86548 JOSE MARIA VELAZ</v>
      </c>
      <c r="F584" s="14" t="s">
        <v>16</v>
      </c>
      <c r="G584" s="20" t="s">
        <v>17</v>
      </c>
      <c r="H584" s="12" t="s">
        <v>18</v>
      </c>
      <c r="I584" s="15">
        <v>2024.0</v>
      </c>
      <c r="J584" s="16" t="str">
        <f>IFERROR(__xludf.DUMMYFUNCTION("FILTER('CLASFICACIÓN'!$F$3:$F5618,'CLASFICACIÓN'!$G$3:$G5618=M584)"),"SOLO 2022 Y 2024")</f>
        <v>SOLO 2022 Y 2024</v>
      </c>
      <c r="K584" s="16"/>
      <c r="L584" s="12" t="s">
        <v>66</v>
      </c>
      <c r="M584" s="16" t="str">
        <f t="shared" si="1"/>
        <v>86548 JOSE MARIA VELAZ4 Secundaria</v>
      </c>
      <c r="N584" s="17"/>
      <c r="O584" s="17"/>
      <c r="P584" s="17"/>
      <c r="Q584" s="17"/>
      <c r="R584" s="17"/>
      <c r="S584" s="17"/>
      <c r="T584" s="17"/>
    </row>
    <row r="585" ht="15.75" customHeight="1">
      <c r="A585" s="18">
        <v>91.0</v>
      </c>
      <c r="B585" s="12" t="s">
        <v>64</v>
      </c>
      <c r="C585" s="12" t="s">
        <v>27</v>
      </c>
      <c r="D585" s="19" t="s">
        <v>30</v>
      </c>
      <c r="E585" s="12" t="str">
        <f>IFERROR(__xludf.DUMMYFUNCTION("FILTER(colegios!$B$2:$B5618,colegios!$A$2:$A5618=L585)"),"86548 JOSE MARIA VELAZ")</f>
        <v>86548 JOSE MARIA VELAZ</v>
      </c>
      <c r="F585" s="14" t="s">
        <v>16</v>
      </c>
      <c r="G585" s="19" t="s">
        <v>21</v>
      </c>
      <c r="H585" s="12" t="s">
        <v>18</v>
      </c>
      <c r="I585" s="15">
        <v>2024.0</v>
      </c>
      <c r="J585" s="16" t="str">
        <f>IFERROR(__xludf.DUMMYFUNCTION("FILTER('CLASFICACIÓN'!$F$3:$F5618,'CLASFICACIÓN'!$G$3:$G5618=M585)"),"SOLO 2022 Y 2024")</f>
        <v>SOLO 2022 Y 2024</v>
      </c>
      <c r="K585" s="16"/>
      <c r="L585" s="12" t="s">
        <v>66</v>
      </c>
      <c r="M585" s="16" t="str">
        <f t="shared" si="1"/>
        <v>86548 JOSE MARIA VELAZ4 Secundaria</v>
      </c>
      <c r="N585" s="17"/>
      <c r="O585" s="17"/>
      <c r="P585" s="17"/>
      <c r="Q585" s="17"/>
      <c r="R585" s="17"/>
      <c r="S585" s="17"/>
      <c r="T585" s="17"/>
    </row>
    <row r="586" ht="15.75" customHeight="1">
      <c r="A586" s="18">
        <v>92.0</v>
      </c>
      <c r="B586" s="12" t="s">
        <v>64</v>
      </c>
      <c r="C586" s="12" t="s">
        <v>27</v>
      </c>
      <c r="D586" s="19" t="s">
        <v>30</v>
      </c>
      <c r="E586" s="12" t="str">
        <f>IFERROR(__xludf.DUMMYFUNCTION("FILTER(colegios!$B$2:$B5618,colegios!$A$2:$A5618=L586)"),"86548 JOSE MARIA VELAZ")</f>
        <v>86548 JOSE MARIA VELAZ</v>
      </c>
      <c r="F586" s="14" t="s">
        <v>16</v>
      </c>
      <c r="G586" s="20" t="s">
        <v>17</v>
      </c>
      <c r="H586" s="12" t="s">
        <v>18</v>
      </c>
      <c r="I586" s="15">
        <v>2024.0</v>
      </c>
      <c r="J586" s="16" t="str">
        <f>IFERROR(__xludf.DUMMYFUNCTION("FILTER('CLASFICACIÓN'!$F$3:$F5618,'CLASFICACIÓN'!$G$3:$G5618=M586)"),"SOLO 2022 Y 2024")</f>
        <v>SOLO 2022 Y 2024</v>
      </c>
      <c r="K586" s="16"/>
      <c r="L586" s="12" t="s">
        <v>66</v>
      </c>
      <c r="M586" s="16" t="str">
        <f t="shared" si="1"/>
        <v>86548 JOSE MARIA VELAZ4 Secundaria</v>
      </c>
      <c r="N586" s="17"/>
      <c r="O586" s="17"/>
      <c r="P586" s="17"/>
      <c r="Q586" s="17"/>
      <c r="R586" s="17"/>
      <c r="S586" s="17"/>
      <c r="T586" s="17"/>
    </row>
    <row r="587" ht="15.75" customHeight="1">
      <c r="A587" s="18">
        <v>93.0</v>
      </c>
      <c r="B587" s="12" t="s">
        <v>64</v>
      </c>
      <c r="C587" s="12" t="s">
        <v>14</v>
      </c>
      <c r="D587" s="19" t="s">
        <v>15</v>
      </c>
      <c r="E587" s="12" t="str">
        <f>IFERROR(__xludf.DUMMYFUNCTION("FILTER(colegios!$B$2:$B5618,colegios!$A$2:$A5618=L587)"),"88327")</f>
        <v>88327</v>
      </c>
      <c r="F587" s="14" t="s">
        <v>16</v>
      </c>
      <c r="G587" s="19" t="s">
        <v>17</v>
      </c>
      <c r="H587" s="12" t="s">
        <v>24</v>
      </c>
      <c r="I587" s="15">
        <v>2024.0</v>
      </c>
      <c r="J587" s="16" t="str">
        <f>IFERROR(__xludf.DUMMYFUNCTION("FILTER('CLASFICACIÓN'!$F$3:$F5618,'CLASFICACIÓN'!$G$3:$G5618=M587)"),"SOLO 2022 Y 2024")</f>
        <v>SOLO 2022 Y 2024</v>
      </c>
      <c r="K587" s="16"/>
      <c r="L587" s="12" t="s">
        <v>67</v>
      </c>
      <c r="M587" s="16" t="str">
        <f t="shared" si="1"/>
        <v>883272 Primaria</v>
      </c>
      <c r="N587" s="17"/>
      <c r="O587" s="17"/>
      <c r="P587" s="17"/>
      <c r="Q587" s="17"/>
      <c r="R587" s="17"/>
      <c r="S587" s="17"/>
      <c r="T587" s="17"/>
    </row>
    <row r="588" ht="15.75" customHeight="1">
      <c r="A588" s="18">
        <v>94.0</v>
      </c>
      <c r="B588" s="12" t="s">
        <v>64</v>
      </c>
      <c r="C588" s="12" t="s">
        <v>14</v>
      </c>
      <c r="D588" s="19" t="s">
        <v>15</v>
      </c>
      <c r="E588" s="12" t="str">
        <f>IFERROR(__xludf.DUMMYFUNCTION("FILTER(colegios!$B$2:$B5618,colegios!$A$2:$A5618=L588)"),"88327")</f>
        <v>88327</v>
      </c>
      <c r="F588" s="14" t="s">
        <v>16</v>
      </c>
      <c r="G588" s="19" t="s">
        <v>21</v>
      </c>
      <c r="H588" s="12" t="s">
        <v>24</v>
      </c>
      <c r="I588" s="15">
        <v>2024.0</v>
      </c>
      <c r="J588" s="16" t="str">
        <f>IFERROR(__xludf.DUMMYFUNCTION("FILTER('CLASFICACIÓN'!$F$3:$F5618,'CLASFICACIÓN'!$G$3:$G5618=M588)"),"SOLO 2022 Y 2024")</f>
        <v>SOLO 2022 Y 2024</v>
      </c>
      <c r="K588" s="16"/>
      <c r="L588" s="12" t="s">
        <v>67</v>
      </c>
      <c r="M588" s="16" t="str">
        <f t="shared" si="1"/>
        <v>883272 Primaria</v>
      </c>
      <c r="N588" s="17"/>
      <c r="O588" s="17"/>
      <c r="P588" s="17"/>
      <c r="Q588" s="17"/>
      <c r="R588" s="17"/>
      <c r="S588" s="17"/>
      <c r="T588" s="17"/>
    </row>
    <row r="589" ht="15.75" customHeight="1">
      <c r="A589" s="18">
        <v>95.0</v>
      </c>
      <c r="B589" s="12" t="s">
        <v>64</v>
      </c>
      <c r="C589" s="12" t="s">
        <v>14</v>
      </c>
      <c r="D589" s="19" t="s">
        <v>15</v>
      </c>
      <c r="E589" s="12" t="str">
        <f>IFERROR(__xludf.DUMMYFUNCTION("FILTER(colegios!$B$2:$B5618,colegios!$A$2:$A5618=L589)"),"88327")</f>
        <v>88327</v>
      </c>
      <c r="F589" s="14" t="s">
        <v>16</v>
      </c>
      <c r="G589" s="19" t="s">
        <v>17</v>
      </c>
      <c r="H589" s="12" t="s">
        <v>18</v>
      </c>
      <c r="I589" s="15">
        <v>2024.0</v>
      </c>
      <c r="J589" s="16" t="str">
        <f>IFERROR(__xludf.DUMMYFUNCTION("FILTER('CLASFICACIÓN'!$F$3:$F5618,'CLASFICACIÓN'!$G$3:$G5618=M589)"),"SOLO 2022 Y 2024")</f>
        <v>SOLO 2022 Y 2024</v>
      </c>
      <c r="K589" s="16"/>
      <c r="L589" s="12" t="s">
        <v>67</v>
      </c>
      <c r="M589" s="16" t="str">
        <f t="shared" si="1"/>
        <v>883272 Primaria</v>
      </c>
      <c r="N589" s="17"/>
      <c r="O589" s="17"/>
      <c r="P589" s="17"/>
      <c r="Q589" s="17"/>
      <c r="R589" s="17"/>
      <c r="S589" s="17"/>
      <c r="T589" s="17"/>
    </row>
    <row r="590" ht="15.75" customHeight="1">
      <c r="A590" s="18">
        <v>96.0</v>
      </c>
      <c r="B590" s="12" t="s">
        <v>64</v>
      </c>
      <c r="C590" s="12" t="s">
        <v>14</v>
      </c>
      <c r="D590" s="19" t="s">
        <v>15</v>
      </c>
      <c r="E590" s="12" t="str">
        <f>IFERROR(__xludf.DUMMYFUNCTION("FILTER(colegios!$B$2:$B5618,colegios!$A$2:$A5618=L590)"),"88327")</f>
        <v>88327</v>
      </c>
      <c r="F590" s="14" t="s">
        <v>16</v>
      </c>
      <c r="G590" s="20" t="s">
        <v>21</v>
      </c>
      <c r="H590" s="12" t="s">
        <v>24</v>
      </c>
      <c r="I590" s="15">
        <v>2024.0</v>
      </c>
      <c r="J590" s="16" t="str">
        <f>IFERROR(__xludf.DUMMYFUNCTION("FILTER('CLASFICACIÓN'!$F$3:$F5618,'CLASFICACIÓN'!$G$3:$G5618=M590)"),"SOLO 2022 Y 2024")</f>
        <v>SOLO 2022 Y 2024</v>
      </c>
      <c r="K590" s="16"/>
      <c r="L590" s="12" t="s">
        <v>67</v>
      </c>
      <c r="M590" s="16" t="str">
        <f t="shared" si="1"/>
        <v>883272 Primaria</v>
      </c>
      <c r="N590" s="17"/>
      <c r="O590" s="17"/>
      <c r="P590" s="17"/>
      <c r="Q590" s="17"/>
      <c r="R590" s="17"/>
      <c r="S590" s="17"/>
      <c r="T590" s="17"/>
    </row>
    <row r="591" ht="15.75" customHeight="1">
      <c r="A591" s="18">
        <v>97.0</v>
      </c>
      <c r="B591" s="12" t="s">
        <v>64</v>
      </c>
      <c r="C591" s="12" t="s">
        <v>14</v>
      </c>
      <c r="D591" s="19" t="s">
        <v>15</v>
      </c>
      <c r="E591" s="12" t="str">
        <f>IFERROR(__xludf.DUMMYFUNCTION("FILTER(colegios!$B$2:$B5618,colegios!$A$2:$A5618=L591)"),"88327")</f>
        <v>88327</v>
      </c>
      <c r="F591" s="14" t="s">
        <v>16</v>
      </c>
      <c r="G591" s="19" t="s">
        <v>17</v>
      </c>
      <c r="H591" s="12" t="s">
        <v>18</v>
      </c>
      <c r="I591" s="15">
        <v>2024.0</v>
      </c>
      <c r="J591" s="16" t="str">
        <f>IFERROR(__xludf.DUMMYFUNCTION("FILTER('CLASFICACIÓN'!$F$3:$F5618,'CLASFICACIÓN'!$G$3:$G5618=M591)"),"SOLO 2022 Y 2024")</f>
        <v>SOLO 2022 Y 2024</v>
      </c>
      <c r="K591" s="16"/>
      <c r="L591" s="12" t="s">
        <v>67</v>
      </c>
      <c r="M591" s="16" t="str">
        <f t="shared" si="1"/>
        <v>883272 Primaria</v>
      </c>
      <c r="N591" s="17"/>
      <c r="O591" s="17"/>
      <c r="P591" s="17"/>
      <c r="Q591" s="17"/>
      <c r="R591" s="17"/>
      <c r="S591" s="17"/>
      <c r="T591" s="17"/>
    </row>
    <row r="592" ht="15.75" customHeight="1">
      <c r="A592" s="18">
        <v>98.0</v>
      </c>
      <c r="B592" s="12" t="s">
        <v>64</v>
      </c>
      <c r="C592" s="12" t="s">
        <v>14</v>
      </c>
      <c r="D592" s="19" t="s">
        <v>20</v>
      </c>
      <c r="E592" s="12" t="str">
        <f>IFERROR(__xludf.DUMMYFUNCTION("FILTER(colegios!$B$2:$B5618,colegios!$A$2:$A5618=L592)"),"88327")</f>
        <v>88327</v>
      </c>
      <c r="F592" s="14" t="s">
        <v>16</v>
      </c>
      <c r="G592" s="20" t="s">
        <v>21</v>
      </c>
      <c r="H592" s="12" t="s">
        <v>24</v>
      </c>
      <c r="I592" s="15">
        <v>2024.0</v>
      </c>
      <c r="J592" s="16" t="str">
        <f>IFERROR(__xludf.DUMMYFUNCTION("FILTER('CLASFICACIÓN'!$F$3:$F5618,'CLASFICACIÓN'!$G$3:$G5618=M592)"),"SOLO 2022 Y 2024")</f>
        <v>SOLO 2022 Y 2024</v>
      </c>
      <c r="K592" s="16"/>
      <c r="L592" s="12" t="s">
        <v>67</v>
      </c>
      <c r="M592" s="16" t="str">
        <f t="shared" si="1"/>
        <v>883274 Primaria</v>
      </c>
      <c r="N592" s="17"/>
      <c r="O592" s="17"/>
      <c r="P592" s="17"/>
      <c r="Q592" s="17"/>
      <c r="R592" s="17"/>
      <c r="S592" s="17"/>
      <c r="T592" s="17"/>
    </row>
    <row r="593" ht="15.75" customHeight="1">
      <c r="A593" s="18">
        <v>99.0</v>
      </c>
      <c r="B593" s="12" t="s">
        <v>64</v>
      </c>
      <c r="C593" s="12" t="s">
        <v>14</v>
      </c>
      <c r="D593" s="19" t="s">
        <v>20</v>
      </c>
      <c r="E593" s="12" t="str">
        <f>IFERROR(__xludf.DUMMYFUNCTION("FILTER(colegios!$B$2:$B5618,colegios!$A$2:$A5618=L593)"),"88327")</f>
        <v>88327</v>
      </c>
      <c r="F593" s="14" t="s">
        <v>16</v>
      </c>
      <c r="G593" s="19" t="s">
        <v>21</v>
      </c>
      <c r="H593" s="12" t="s">
        <v>24</v>
      </c>
      <c r="I593" s="15">
        <v>2024.0</v>
      </c>
      <c r="J593" s="16" t="str">
        <f>IFERROR(__xludf.DUMMYFUNCTION("FILTER('CLASFICACIÓN'!$F$3:$F5618,'CLASFICACIÓN'!$G$3:$G5618=M593)"),"SOLO 2022 Y 2024")</f>
        <v>SOLO 2022 Y 2024</v>
      </c>
      <c r="K593" s="16"/>
      <c r="L593" s="12" t="s">
        <v>67</v>
      </c>
      <c r="M593" s="16" t="str">
        <f t="shared" si="1"/>
        <v>883274 Primaria</v>
      </c>
      <c r="N593" s="17"/>
      <c r="O593" s="17"/>
      <c r="P593" s="17"/>
      <c r="Q593" s="17"/>
      <c r="R593" s="17"/>
      <c r="S593" s="17"/>
      <c r="T593" s="17"/>
    </row>
    <row r="594" ht="15.75" customHeight="1">
      <c r="A594" s="18">
        <v>100.0</v>
      </c>
      <c r="B594" s="12" t="s">
        <v>64</v>
      </c>
      <c r="C594" s="12" t="s">
        <v>14</v>
      </c>
      <c r="D594" s="19" t="s">
        <v>20</v>
      </c>
      <c r="E594" s="12" t="str">
        <f>IFERROR(__xludf.DUMMYFUNCTION("FILTER(colegios!$B$2:$B5618,colegios!$A$2:$A5618=L594)"),"88327")</f>
        <v>88327</v>
      </c>
      <c r="F594" s="14" t="s">
        <v>16</v>
      </c>
      <c r="G594" s="19" t="s">
        <v>17</v>
      </c>
      <c r="H594" s="12" t="s">
        <v>24</v>
      </c>
      <c r="I594" s="15">
        <v>2024.0</v>
      </c>
      <c r="J594" s="16" t="str">
        <f>IFERROR(__xludf.DUMMYFUNCTION("FILTER('CLASFICACIÓN'!$F$3:$F5618,'CLASFICACIÓN'!$G$3:$G5618=M594)"),"SOLO 2022 Y 2024")</f>
        <v>SOLO 2022 Y 2024</v>
      </c>
      <c r="K594" s="16"/>
      <c r="L594" s="12" t="s">
        <v>67</v>
      </c>
      <c r="M594" s="16" t="str">
        <f t="shared" si="1"/>
        <v>883274 Primaria</v>
      </c>
      <c r="N594" s="17"/>
      <c r="O594" s="17"/>
      <c r="P594" s="17"/>
      <c r="Q594" s="17"/>
      <c r="R594" s="17"/>
      <c r="S594" s="17"/>
      <c r="T594" s="17"/>
    </row>
    <row r="595" ht="15.75" customHeight="1">
      <c r="A595" s="18">
        <v>101.0</v>
      </c>
      <c r="B595" s="12" t="s">
        <v>64</v>
      </c>
      <c r="C595" s="12" t="s">
        <v>14</v>
      </c>
      <c r="D595" s="19" t="s">
        <v>20</v>
      </c>
      <c r="E595" s="12" t="str">
        <f>IFERROR(__xludf.DUMMYFUNCTION("FILTER(colegios!$B$2:$B5618,colegios!$A$2:$A5618=L595)"),"88327")</f>
        <v>88327</v>
      </c>
      <c r="F595" s="14" t="s">
        <v>16</v>
      </c>
      <c r="G595" s="19" t="s">
        <v>21</v>
      </c>
      <c r="H595" s="12" t="s">
        <v>24</v>
      </c>
      <c r="I595" s="15">
        <v>2024.0</v>
      </c>
      <c r="J595" s="16" t="str">
        <f>IFERROR(__xludf.DUMMYFUNCTION("FILTER('CLASFICACIÓN'!$F$3:$F5618,'CLASFICACIÓN'!$G$3:$G5618=M595)"),"SOLO 2022 Y 2024")</f>
        <v>SOLO 2022 Y 2024</v>
      </c>
      <c r="K595" s="16"/>
      <c r="L595" s="12" t="s">
        <v>67</v>
      </c>
      <c r="M595" s="16" t="str">
        <f t="shared" si="1"/>
        <v>883274 Primaria</v>
      </c>
      <c r="N595" s="17"/>
      <c r="O595" s="17"/>
      <c r="P595" s="17"/>
      <c r="Q595" s="17"/>
      <c r="R595" s="17"/>
      <c r="S595" s="17"/>
      <c r="T595" s="17"/>
    </row>
    <row r="596" ht="15.75" customHeight="1">
      <c r="A596" s="18">
        <v>102.0</v>
      </c>
      <c r="B596" s="12" t="s">
        <v>64</v>
      </c>
      <c r="C596" s="12" t="s">
        <v>14</v>
      </c>
      <c r="D596" s="19" t="s">
        <v>20</v>
      </c>
      <c r="E596" s="12" t="str">
        <f>IFERROR(__xludf.DUMMYFUNCTION("FILTER(colegios!$B$2:$B5618,colegios!$A$2:$A5618=L596)"),"88327")</f>
        <v>88327</v>
      </c>
      <c r="F596" s="14" t="s">
        <v>16</v>
      </c>
      <c r="G596" s="19" t="s">
        <v>21</v>
      </c>
      <c r="H596" s="12" t="s">
        <v>18</v>
      </c>
      <c r="I596" s="15">
        <v>2024.0</v>
      </c>
      <c r="J596" s="16" t="str">
        <f>IFERROR(__xludf.DUMMYFUNCTION("FILTER('CLASFICACIÓN'!$F$3:$F5618,'CLASFICACIÓN'!$G$3:$G5618=M596)"),"SOLO 2022 Y 2024")</f>
        <v>SOLO 2022 Y 2024</v>
      </c>
      <c r="K596" s="16"/>
      <c r="L596" s="12" t="s">
        <v>67</v>
      </c>
      <c r="M596" s="16" t="str">
        <f t="shared" si="1"/>
        <v>883274 Primaria</v>
      </c>
      <c r="N596" s="17"/>
      <c r="O596" s="17"/>
      <c r="P596" s="17"/>
      <c r="Q596" s="17"/>
      <c r="R596" s="17"/>
      <c r="S596" s="17"/>
      <c r="T596" s="17"/>
    </row>
    <row r="597" ht="15.75" customHeight="1">
      <c r="A597" s="18">
        <v>103.0</v>
      </c>
      <c r="B597" s="12" t="s">
        <v>64</v>
      </c>
      <c r="C597" s="12" t="s">
        <v>14</v>
      </c>
      <c r="D597" s="19" t="s">
        <v>20</v>
      </c>
      <c r="E597" s="12" t="str">
        <f>IFERROR(__xludf.DUMMYFUNCTION("FILTER(colegios!$B$2:$B5618,colegios!$A$2:$A5618=L597)"),"88327")</f>
        <v>88327</v>
      </c>
      <c r="F597" s="14" t="s">
        <v>16</v>
      </c>
      <c r="G597" s="19" t="s">
        <v>21</v>
      </c>
      <c r="H597" s="12" t="s">
        <v>24</v>
      </c>
      <c r="I597" s="15">
        <v>2024.0</v>
      </c>
      <c r="J597" s="16" t="str">
        <f>IFERROR(__xludf.DUMMYFUNCTION("FILTER('CLASFICACIÓN'!$F$3:$F5618,'CLASFICACIÓN'!$G$3:$G5618=M597)"),"SOLO 2022 Y 2024")</f>
        <v>SOLO 2022 Y 2024</v>
      </c>
      <c r="K597" s="16"/>
      <c r="L597" s="12" t="s">
        <v>67</v>
      </c>
      <c r="M597" s="16" t="str">
        <f t="shared" si="1"/>
        <v>883274 Primaria</v>
      </c>
      <c r="N597" s="17"/>
      <c r="O597" s="17"/>
      <c r="P597" s="17"/>
      <c r="Q597" s="17"/>
      <c r="R597" s="17"/>
      <c r="S597" s="17"/>
      <c r="T597" s="17"/>
    </row>
    <row r="598" ht="15.75" customHeight="1">
      <c r="A598" s="18">
        <v>104.0</v>
      </c>
      <c r="B598" s="12" t="s">
        <v>64</v>
      </c>
      <c r="C598" s="12" t="s">
        <v>14</v>
      </c>
      <c r="D598" s="19" t="s">
        <v>20</v>
      </c>
      <c r="E598" s="12" t="str">
        <f>IFERROR(__xludf.DUMMYFUNCTION("FILTER(colegios!$B$2:$B5618,colegios!$A$2:$A5618=L598)"),"88327")</f>
        <v>88327</v>
      </c>
      <c r="F598" s="14" t="s">
        <v>16</v>
      </c>
      <c r="G598" s="19" t="s">
        <v>17</v>
      </c>
      <c r="H598" s="12" t="s">
        <v>18</v>
      </c>
      <c r="I598" s="15">
        <v>2024.0</v>
      </c>
      <c r="J598" s="16" t="str">
        <f>IFERROR(__xludf.DUMMYFUNCTION("FILTER('CLASFICACIÓN'!$F$3:$F5618,'CLASFICACIÓN'!$G$3:$G5618=M598)"),"SOLO 2022 Y 2024")</f>
        <v>SOLO 2022 Y 2024</v>
      </c>
      <c r="K598" s="16"/>
      <c r="L598" s="12" t="s">
        <v>67</v>
      </c>
      <c r="M598" s="16" t="str">
        <f t="shared" si="1"/>
        <v>883274 Primaria</v>
      </c>
      <c r="N598" s="17"/>
      <c r="O598" s="17"/>
      <c r="P598" s="17"/>
      <c r="Q598" s="17"/>
      <c r="R598" s="17"/>
      <c r="S598" s="17"/>
      <c r="T598" s="17"/>
    </row>
    <row r="599" ht="15.75" customHeight="1">
      <c r="A599" s="18">
        <v>105.0</v>
      </c>
      <c r="B599" s="12" t="s">
        <v>64</v>
      </c>
      <c r="C599" s="12" t="s">
        <v>14</v>
      </c>
      <c r="D599" s="19" t="s">
        <v>22</v>
      </c>
      <c r="E599" s="12" t="str">
        <f>IFERROR(__xludf.DUMMYFUNCTION("FILTER(colegios!$B$2:$B5618,colegios!$A$2:$A5618=L599)"),"88327")</f>
        <v>88327</v>
      </c>
      <c r="F599" s="14" t="s">
        <v>16</v>
      </c>
      <c r="G599" s="20" t="s">
        <v>17</v>
      </c>
      <c r="H599" s="12" t="s">
        <v>24</v>
      </c>
      <c r="I599" s="15">
        <v>2024.0</v>
      </c>
      <c r="J599" s="16" t="str">
        <f>IFERROR(__xludf.DUMMYFUNCTION("FILTER('CLASFICACIÓN'!$F$3:$F5618,'CLASFICACIÓN'!$G$3:$G5618=M599)"),"SOLO 2022 Y 2024")</f>
        <v>SOLO 2022 Y 2024</v>
      </c>
      <c r="K599" s="16"/>
      <c r="L599" s="12" t="s">
        <v>67</v>
      </c>
      <c r="M599" s="16" t="str">
        <f t="shared" si="1"/>
        <v>883276 Primaria</v>
      </c>
      <c r="N599" s="17"/>
      <c r="O599" s="17"/>
      <c r="P599" s="17"/>
      <c r="Q599" s="17"/>
      <c r="R599" s="17"/>
      <c r="S599" s="17"/>
      <c r="T599" s="17"/>
    </row>
    <row r="600" ht="15.75" customHeight="1">
      <c r="A600" s="18">
        <v>106.0</v>
      </c>
      <c r="B600" s="12" t="s">
        <v>64</v>
      </c>
      <c r="C600" s="12" t="s">
        <v>14</v>
      </c>
      <c r="D600" s="19" t="s">
        <v>22</v>
      </c>
      <c r="E600" s="12" t="str">
        <f>IFERROR(__xludf.DUMMYFUNCTION("FILTER(colegios!$B$2:$B5618,colegios!$A$2:$A5618=L600)"),"88327")</f>
        <v>88327</v>
      </c>
      <c r="F600" s="14" t="s">
        <v>16</v>
      </c>
      <c r="G600" s="19" t="s">
        <v>21</v>
      </c>
      <c r="H600" s="12" t="s">
        <v>24</v>
      </c>
      <c r="I600" s="15">
        <v>2024.0</v>
      </c>
      <c r="J600" s="16" t="str">
        <f>IFERROR(__xludf.DUMMYFUNCTION("FILTER('CLASFICACIÓN'!$F$3:$F5618,'CLASFICACIÓN'!$G$3:$G5618=M600)"),"SOLO 2022 Y 2024")</f>
        <v>SOLO 2022 Y 2024</v>
      </c>
      <c r="K600" s="16"/>
      <c r="L600" s="12" t="s">
        <v>67</v>
      </c>
      <c r="M600" s="16" t="str">
        <f t="shared" si="1"/>
        <v>883276 Primaria</v>
      </c>
      <c r="N600" s="17"/>
      <c r="O600" s="17"/>
      <c r="P600" s="17"/>
      <c r="Q600" s="17"/>
      <c r="R600" s="17"/>
      <c r="S600" s="17"/>
      <c r="T600" s="17"/>
    </row>
    <row r="601" ht="15.75" customHeight="1">
      <c r="A601" s="18">
        <v>107.0</v>
      </c>
      <c r="B601" s="12" t="s">
        <v>64</v>
      </c>
      <c r="C601" s="12" t="s">
        <v>14</v>
      </c>
      <c r="D601" s="19" t="s">
        <v>22</v>
      </c>
      <c r="E601" s="12" t="str">
        <f>IFERROR(__xludf.DUMMYFUNCTION("FILTER(colegios!$B$2:$B5618,colegios!$A$2:$A5618=L601)"),"88327")</f>
        <v>88327</v>
      </c>
      <c r="F601" s="14" t="s">
        <v>16</v>
      </c>
      <c r="G601" s="19" t="s">
        <v>17</v>
      </c>
      <c r="H601" s="12" t="s">
        <v>24</v>
      </c>
      <c r="I601" s="15">
        <v>2024.0</v>
      </c>
      <c r="J601" s="16" t="str">
        <f>IFERROR(__xludf.DUMMYFUNCTION("FILTER('CLASFICACIÓN'!$F$3:$F5618,'CLASFICACIÓN'!$G$3:$G5618=M601)"),"SOLO 2022 Y 2024")</f>
        <v>SOLO 2022 Y 2024</v>
      </c>
      <c r="K601" s="16"/>
      <c r="L601" s="12" t="s">
        <v>67</v>
      </c>
      <c r="M601" s="16" t="str">
        <f t="shared" si="1"/>
        <v>883276 Primaria</v>
      </c>
      <c r="N601" s="17"/>
      <c r="O601" s="17"/>
      <c r="P601" s="17"/>
      <c r="Q601" s="17"/>
      <c r="R601" s="17"/>
      <c r="S601" s="17"/>
      <c r="T601" s="17"/>
    </row>
    <row r="602" ht="15.75" customHeight="1">
      <c r="A602" s="18">
        <v>108.0</v>
      </c>
      <c r="B602" s="12" t="s">
        <v>64</v>
      </c>
      <c r="C602" s="12" t="s">
        <v>14</v>
      </c>
      <c r="D602" s="19" t="s">
        <v>15</v>
      </c>
      <c r="E602" s="12" t="str">
        <f>IFERROR(__xludf.DUMMYFUNCTION("FILTER(colegios!$B$2:$B5618,colegios!$A$2:$A5618=L602)"),"88247 SAN ENRIQUE")</f>
        <v>88247 SAN ENRIQUE</v>
      </c>
      <c r="F602" s="14" t="s">
        <v>16</v>
      </c>
      <c r="G602" s="20" t="s">
        <v>21</v>
      </c>
      <c r="H602" s="14" t="s">
        <v>32</v>
      </c>
      <c r="I602" s="15">
        <v>2024.0</v>
      </c>
      <c r="J602" s="16" t="str">
        <f>IFERROR(__xludf.DUMMYFUNCTION("FILTER('CLASFICACIÓN'!$F$3:$F5618,'CLASFICACIÓN'!$G$3:$G5618=M602)"),"2023 Y 2024")</f>
        <v>2023 Y 2024</v>
      </c>
      <c r="K602" s="16"/>
      <c r="L602" s="12" t="s">
        <v>68</v>
      </c>
      <c r="M602" s="16" t="str">
        <f t="shared" si="1"/>
        <v>88247 SAN ENRIQUE2 Primaria</v>
      </c>
      <c r="N602" s="17"/>
      <c r="O602" s="17"/>
      <c r="P602" s="17"/>
      <c r="Q602" s="17"/>
      <c r="R602" s="17"/>
      <c r="S602" s="17"/>
      <c r="T602" s="17"/>
    </row>
    <row r="603" ht="15.75" customHeight="1">
      <c r="A603" s="18">
        <v>109.0</v>
      </c>
      <c r="B603" s="12" t="s">
        <v>64</v>
      </c>
      <c r="C603" s="12" t="s">
        <v>14</v>
      </c>
      <c r="D603" s="19" t="s">
        <v>15</v>
      </c>
      <c r="E603" s="12" t="str">
        <f>IFERROR(__xludf.DUMMYFUNCTION("FILTER(colegios!$B$2:$B5618,colegios!$A$2:$A5618=L603)"),"88247 SAN ENRIQUE")</f>
        <v>88247 SAN ENRIQUE</v>
      </c>
      <c r="F603" s="14" t="s">
        <v>16</v>
      </c>
      <c r="G603" s="20" t="s">
        <v>17</v>
      </c>
      <c r="H603" s="12" t="s">
        <v>24</v>
      </c>
      <c r="I603" s="15">
        <v>2024.0</v>
      </c>
      <c r="J603" s="16" t="str">
        <f>IFERROR(__xludf.DUMMYFUNCTION("FILTER('CLASFICACIÓN'!$F$3:$F5618,'CLASFICACIÓN'!$G$3:$G5618=M603)"),"2023 Y 2024")</f>
        <v>2023 Y 2024</v>
      </c>
      <c r="K603" s="16"/>
      <c r="L603" s="12" t="s">
        <v>68</v>
      </c>
      <c r="M603" s="16" t="str">
        <f t="shared" si="1"/>
        <v>88247 SAN ENRIQUE2 Primaria</v>
      </c>
      <c r="N603" s="17"/>
      <c r="O603" s="17"/>
      <c r="P603" s="17"/>
      <c r="Q603" s="17"/>
      <c r="R603" s="17"/>
      <c r="S603" s="17"/>
      <c r="T603" s="17"/>
    </row>
    <row r="604" ht="15.75" customHeight="1">
      <c r="A604" s="18">
        <v>110.0</v>
      </c>
      <c r="B604" s="12" t="s">
        <v>64</v>
      </c>
      <c r="C604" s="12" t="s">
        <v>14</v>
      </c>
      <c r="D604" s="19" t="s">
        <v>15</v>
      </c>
      <c r="E604" s="12" t="str">
        <f>IFERROR(__xludf.DUMMYFUNCTION("FILTER(colegios!$B$2:$B5618,colegios!$A$2:$A5618=L604)"),"88247 SAN ENRIQUE")</f>
        <v>88247 SAN ENRIQUE</v>
      </c>
      <c r="F604" s="14" t="s">
        <v>16</v>
      </c>
      <c r="G604" s="19" t="s">
        <v>21</v>
      </c>
      <c r="H604" s="12" t="s">
        <v>24</v>
      </c>
      <c r="I604" s="15">
        <v>2024.0</v>
      </c>
      <c r="J604" s="16" t="str">
        <f>IFERROR(__xludf.DUMMYFUNCTION("FILTER('CLASFICACIÓN'!$F$3:$F5618,'CLASFICACIÓN'!$G$3:$G5618=M604)"),"2023 Y 2024")</f>
        <v>2023 Y 2024</v>
      </c>
      <c r="K604" s="16"/>
      <c r="L604" s="12" t="s">
        <v>68</v>
      </c>
      <c r="M604" s="16" t="str">
        <f t="shared" si="1"/>
        <v>88247 SAN ENRIQUE2 Primaria</v>
      </c>
      <c r="N604" s="17"/>
      <c r="O604" s="17"/>
      <c r="P604" s="17"/>
      <c r="Q604" s="17"/>
      <c r="R604" s="17"/>
      <c r="S604" s="17"/>
      <c r="T604" s="17"/>
    </row>
    <row r="605" ht="15.75" customHeight="1">
      <c r="A605" s="18">
        <v>111.0</v>
      </c>
      <c r="B605" s="12" t="s">
        <v>64</v>
      </c>
      <c r="C605" s="12" t="s">
        <v>14</v>
      </c>
      <c r="D605" s="19" t="s">
        <v>15</v>
      </c>
      <c r="E605" s="12" t="str">
        <f>IFERROR(__xludf.DUMMYFUNCTION("FILTER(colegios!$B$2:$B5618,colegios!$A$2:$A5618=L605)"),"88247 SAN ENRIQUE")</f>
        <v>88247 SAN ENRIQUE</v>
      </c>
      <c r="F605" s="14" t="s">
        <v>16</v>
      </c>
      <c r="G605" s="20" t="s">
        <v>17</v>
      </c>
      <c r="H605" s="14" t="s">
        <v>32</v>
      </c>
      <c r="I605" s="15">
        <v>2024.0</v>
      </c>
      <c r="J605" s="16" t="str">
        <f>IFERROR(__xludf.DUMMYFUNCTION("FILTER('CLASFICACIÓN'!$F$3:$F5618,'CLASFICACIÓN'!$G$3:$G5618=M605)"),"2023 Y 2024")</f>
        <v>2023 Y 2024</v>
      </c>
      <c r="K605" s="16"/>
      <c r="L605" s="12" t="s">
        <v>68</v>
      </c>
      <c r="M605" s="16" t="str">
        <f t="shared" si="1"/>
        <v>88247 SAN ENRIQUE2 Primaria</v>
      </c>
      <c r="N605" s="17"/>
      <c r="O605" s="17"/>
      <c r="P605" s="17"/>
      <c r="Q605" s="17"/>
      <c r="R605" s="17"/>
      <c r="S605" s="17"/>
      <c r="T605" s="17"/>
    </row>
    <row r="606" ht="15.75" customHeight="1">
      <c r="A606" s="18">
        <v>112.0</v>
      </c>
      <c r="B606" s="12" t="s">
        <v>64</v>
      </c>
      <c r="C606" s="12" t="s">
        <v>14</v>
      </c>
      <c r="D606" s="19" t="s">
        <v>15</v>
      </c>
      <c r="E606" s="12" t="str">
        <f>IFERROR(__xludf.DUMMYFUNCTION("FILTER(colegios!$B$2:$B5618,colegios!$A$2:$A5618=L606)"),"88247 SAN ENRIQUE")</f>
        <v>88247 SAN ENRIQUE</v>
      </c>
      <c r="F606" s="14" t="s">
        <v>16</v>
      </c>
      <c r="G606" s="19" t="s">
        <v>21</v>
      </c>
      <c r="H606" s="12" t="s">
        <v>24</v>
      </c>
      <c r="I606" s="15">
        <v>2024.0</v>
      </c>
      <c r="J606" s="16" t="str">
        <f>IFERROR(__xludf.DUMMYFUNCTION("FILTER('CLASFICACIÓN'!$F$3:$F5618,'CLASFICACIÓN'!$G$3:$G5618=M606)"),"2023 Y 2024")</f>
        <v>2023 Y 2024</v>
      </c>
      <c r="K606" s="16"/>
      <c r="L606" s="12" t="s">
        <v>68</v>
      </c>
      <c r="M606" s="16" t="str">
        <f t="shared" si="1"/>
        <v>88247 SAN ENRIQUE2 Primaria</v>
      </c>
      <c r="N606" s="17"/>
      <c r="O606" s="17"/>
      <c r="P606" s="17"/>
      <c r="Q606" s="17"/>
      <c r="R606" s="17"/>
      <c r="S606" s="17"/>
      <c r="T606" s="17"/>
    </row>
    <row r="607" ht="15.75" customHeight="1">
      <c r="A607" s="18">
        <v>113.0</v>
      </c>
      <c r="B607" s="12" t="s">
        <v>64</v>
      </c>
      <c r="C607" s="12" t="s">
        <v>14</v>
      </c>
      <c r="D607" s="19" t="s">
        <v>15</v>
      </c>
      <c r="E607" s="12" t="str">
        <f>IFERROR(__xludf.DUMMYFUNCTION("FILTER(colegios!$B$2:$B5618,colegios!$A$2:$A5618=L607)"),"88247 SAN ENRIQUE")</f>
        <v>88247 SAN ENRIQUE</v>
      </c>
      <c r="F607" s="14" t="s">
        <v>16</v>
      </c>
      <c r="G607" s="19" t="s">
        <v>17</v>
      </c>
      <c r="H607" s="14" t="s">
        <v>32</v>
      </c>
      <c r="I607" s="15">
        <v>2024.0</v>
      </c>
      <c r="J607" s="16" t="str">
        <f>IFERROR(__xludf.DUMMYFUNCTION("FILTER('CLASFICACIÓN'!$F$3:$F5618,'CLASFICACIÓN'!$G$3:$G5618=M607)"),"2023 Y 2024")</f>
        <v>2023 Y 2024</v>
      </c>
      <c r="K607" s="16"/>
      <c r="L607" s="12" t="s">
        <v>68</v>
      </c>
      <c r="M607" s="16" t="str">
        <f t="shared" si="1"/>
        <v>88247 SAN ENRIQUE2 Primaria</v>
      </c>
      <c r="N607" s="17"/>
      <c r="O607" s="17"/>
      <c r="P607" s="17"/>
      <c r="Q607" s="17"/>
      <c r="R607" s="17"/>
      <c r="S607" s="17"/>
      <c r="T607" s="17"/>
    </row>
    <row r="608" ht="15.75" customHeight="1">
      <c r="A608" s="18">
        <v>114.0</v>
      </c>
      <c r="B608" s="12" t="s">
        <v>64</v>
      </c>
      <c r="C608" s="12" t="s">
        <v>14</v>
      </c>
      <c r="D608" s="19" t="s">
        <v>20</v>
      </c>
      <c r="E608" s="12" t="str">
        <f>IFERROR(__xludf.DUMMYFUNCTION("FILTER(colegios!$B$2:$B5618,colegios!$A$2:$A5618=L608)"),"88247 SAN ENRIQUE")</f>
        <v>88247 SAN ENRIQUE</v>
      </c>
      <c r="F608" s="14" t="s">
        <v>16</v>
      </c>
      <c r="G608" s="19" t="s">
        <v>17</v>
      </c>
      <c r="H608" s="12" t="s">
        <v>18</v>
      </c>
      <c r="I608" s="15">
        <v>2024.0</v>
      </c>
      <c r="J608" s="16" t="str">
        <f>IFERROR(__xludf.DUMMYFUNCTION("FILTER('CLASFICACIÓN'!$F$3:$F5618,'CLASFICACIÓN'!$G$3:$G5618=M608)"),"2023 Y 2024")</f>
        <v>2023 Y 2024</v>
      </c>
      <c r="K608" s="16"/>
      <c r="L608" s="12" t="s">
        <v>68</v>
      </c>
      <c r="M608" s="16" t="str">
        <f t="shared" si="1"/>
        <v>88247 SAN ENRIQUE4 Primaria</v>
      </c>
      <c r="N608" s="17"/>
      <c r="O608" s="17"/>
      <c r="P608" s="17"/>
      <c r="Q608" s="17"/>
      <c r="R608" s="17"/>
      <c r="S608" s="17"/>
      <c r="T608" s="17"/>
    </row>
    <row r="609" ht="15.75" customHeight="1">
      <c r="A609" s="18">
        <v>115.0</v>
      </c>
      <c r="B609" s="12" t="s">
        <v>64</v>
      </c>
      <c r="C609" s="12" t="s">
        <v>14</v>
      </c>
      <c r="D609" s="19" t="s">
        <v>20</v>
      </c>
      <c r="E609" s="12" t="str">
        <f>IFERROR(__xludf.DUMMYFUNCTION("FILTER(colegios!$B$2:$B5618,colegios!$A$2:$A5618=L609)"),"88247 SAN ENRIQUE")</f>
        <v>88247 SAN ENRIQUE</v>
      </c>
      <c r="F609" s="14" t="s">
        <v>16</v>
      </c>
      <c r="G609" s="20" t="s">
        <v>17</v>
      </c>
      <c r="H609" s="12" t="s">
        <v>18</v>
      </c>
      <c r="I609" s="15">
        <v>2024.0</v>
      </c>
      <c r="J609" s="16" t="str">
        <f>IFERROR(__xludf.DUMMYFUNCTION("FILTER('CLASFICACIÓN'!$F$3:$F5618,'CLASFICACIÓN'!$G$3:$G5618=M609)"),"2023 Y 2024")</f>
        <v>2023 Y 2024</v>
      </c>
      <c r="K609" s="16"/>
      <c r="L609" s="12" t="s">
        <v>68</v>
      </c>
      <c r="M609" s="16" t="str">
        <f t="shared" si="1"/>
        <v>88247 SAN ENRIQUE4 Primaria</v>
      </c>
      <c r="N609" s="17"/>
      <c r="O609" s="17"/>
      <c r="P609" s="17"/>
      <c r="Q609" s="17"/>
      <c r="R609" s="17"/>
      <c r="S609" s="17"/>
      <c r="T609" s="17"/>
    </row>
    <row r="610" ht="15.75" customHeight="1">
      <c r="A610" s="18">
        <v>117.0</v>
      </c>
      <c r="B610" s="12" t="s">
        <v>64</v>
      </c>
      <c r="C610" s="12" t="s">
        <v>14</v>
      </c>
      <c r="D610" s="19" t="s">
        <v>20</v>
      </c>
      <c r="E610" s="12" t="str">
        <f>IFERROR(__xludf.DUMMYFUNCTION("FILTER(colegios!$B$2:$B5618,colegios!$A$2:$A5618=L610)"),"88247 SAN ENRIQUE")</f>
        <v>88247 SAN ENRIQUE</v>
      </c>
      <c r="F610" s="14" t="s">
        <v>16</v>
      </c>
      <c r="G610" s="20" t="s">
        <v>21</v>
      </c>
      <c r="H610" s="12" t="s">
        <v>24</v>
      </c>
      <c r="I610" s="15">
        <v>2024.0</v>
      </c>
      <c r="J610" s="16" t="str">
        <f>IFERROR(__xludf.DUMMYFUNCTION("FILTER('CLASFICACIÓN'!$F$3:$F5618,'CLASFICACIÓN'!$G$3:$G5618=M610)"),"2023 Y 2024")</f>
        <v>2023 Y 2024</v>
      </c>
      <c r="K610" s="16"/>
      <c r="L610" s="12" t="s">
        <v>68</v>
      </c>
      <c r="M610" s="16" t="str">
        <f t="shared" si="1"/>
        <v>88247 SAN ENRIQUE4 Primaria</v>
      </c>
      <c r="N610" s="17"/>
      <c r="O610" s="17"/>
      <c r="P610" s="17"/>
      <c r="Q610" s="17"/>
      <c r="R610" s="17"/>
      <c r="S610" s="17"/>
      <c r="T610" s="17"/>
    </row>
    <row r="611" ht="15.75" customHeight="1">
      <c r="A611" s="18">
        <v>118.0</v>
      </c>
      <c r="B611" s="12" t="s">
        <v>64</v>
      </c>
      <c r="C611" s="12" t="s">
        <v>14</v>
      </c>
      <c r="D611" s="19" t="s">
        <v>20</v>
      </c>
      <c r="E611" s="12" t="str">
        <f>IFERROR(__xludf.DUMMYFUNCTION("FILTER(colegios!$B$2:$B5618,colegios!$A$2:$A5618=L611)"),"88247 SAN ENRIQUE")</f>
        <v>88247 SAN ENRIQUE</v>
      </c>
      <c r="F611" s="14" t="s">
        <v>16</v>
      </c>
      <c r="G611" s="19" t="s">
        <v>17</v>
      </c>
      <c r="H611" s="12" t="s">
        <v>18</v>
      </c>
      <c r="I611" s="15">
        <v>2024.0</v>
      </c>
      <c r="J611" s="16" t="str">
        <f>IFERROR(__xludf.DUMMYFUNCTION("FILTER('CLASFICACIÓN'!$F$3:$F5618,'CLASFICACIÓN'!$G$3:$G5618=M611)"),"2023 Y 2024")</f>
        <v>2023 Y 2024</v>
      </c>
      <c r="K611" s="16"/>
      <c r="L611" s="12" t="s">
        <v>68</v>
      </c>
      <c r="M611" s="16" t="str">
        <f t="shared" si="1"/>
        <v>88247 SAN ENRIQUE4 Primaria</v>
      </c>
      <c r="N611" s="17"/>
      <c r="O611" s="17"/>
      <c r="P611" s="17"/>
      <c r="Q611" s="17"/>
      <c r="R611" s="17"/>
      <c r="S611" s="17"/>
      <c r="T611" s="17"/>
    </row>
    <row r="612" ht="15.75" customHeight="1">
      <c r="A612" s="18">
        <v>119.0</v>
      </c>
      <c r="B612" s="12" t="s">
        <v>64</v>
      </c>
      <c r="C612" s="12" t="s">
        <v>14</v>
      </c>
      <c r="D612" s="19" t="s">
        <v>20</v>
      </c>
      <c r="E612" s="12" t="str">
        <f>IFERROR(__xludf.DUMMYFUNCTION("FILTER(colegios!$B$2:$B5618,colegios!$A$2:$A5618=L612)"),"88247 SAN ENRIQUE")</f>
        <v>88247 SAN ENRIQUE</v>
      </c>
      <c r="F612" s="14" t="s">
        <v>16</v>
      </c>
      <c r="G612" s="20" t="s">
        <v>17</v>
      </c>
      <c r="H612" s="12" t="s">
        <v>18</v>
      </c>
      <c r="I612" s="15">
        <v>2024.0</v>
      </c>
      <c r="J612" s="16" t="str">
        <f>IFERROR(__xludf.DUMMYFUNCTION("FILTER('CLASFICACIÓN'!$F$3:$F5618,'CLASFICACIÓN'!$G$3:$G5618=M612)"),"2023 Y 2024")</f>
        <v>2023 Y 2024</v>
      </c>
      <c r="K612" s="16"/>
      <c r="L612" s="12" t="s">
        <v>68</v>
      </c>
      <c r="M612" s="16" t="str">
        <f t="shared" si="1"/>
        <v>88247 SAN ENRIQUE4 Primaria</v>
      </c>
      <c r="N612" s="17"/>
      <c r="O612" s="17"/>
      <c r="P612" s="17"/>
      <c r="Q612" s="17"/>
      <c r="R612" s="17"/>
      <c r="S612" s="17"/>
      <c r="T612" s="17"/>
    </row>
    <row r="613" ht="15.75" customHeight="1">
      <c r="A613" s="18">
        <v>120.0</v>
      </c>
      <c r="B613" s="12" t="s">
        <v>64</v>
      </c>
      <c r="C613" s="12" t="s">
        <v>14</v>
      </c>
      <c r="D613" s="19" t="s">
        <v>20</v>
      </c>
      <c r="E613" s="12" t="str">
        <f>IFERROR(__xludf.DUMMYFUNCTION("FILTER(colegios!$B$2:$B5618,colegios!$A$2:$A5618=L613)"),"88247 SAN ENRIQUE")</f>
        <v>88247 SAN ENRIQUE</v>
      </c>
      <c r="F613" s="14" t="s">
        <v>16</v>
      </c>
      <c r="G613" s="20" t="s">
        <v>17</v>
      </c>
      <c r="H613" s="12" t="s">
        <v>18</v>
      </c>
      <c r="I613" s="15">
        <v>2024.0</v>
      </c>
      <c r="J613" s="16" t="str">
        <f>IFERROR(__xludf.DUMMYFUNCTION("FILTER('CLASFICACIÓN'!$F$3:$F5618,'CLASFICACIÓN'!$G$3:$G5618=M613)"),"2023 Y 2024")</f>
        <v>2023 Y 2024</v>
      </c>
      <c r="K613" s="16"/>
      <c r="L613" s="12" t="s">
        <v>68</v>
      </c>
      <c r="M613" s="16" t="str">
        <f t="shared" si="1"/>
        <v>88247 SAN ENRIQUE4 Primaria</v>
      </c>
      <c r="N613" s="17"/>
      <c r="O613" s="17"/>
      <c r="P613" s="17"/>
      <c r="Q613" s="17"/>
      <c r="R613" s="17"/>
      <c r="S613" s="17"/>
      <c r="T613" s="17"/>
    </row>
    <row r="614" ht="15.75" customHeight="1">
      <c r="A614" s="18">
        <v>121.0</v>
      </c>
      <c r="B614" s="12" t="s">
        <v>64</v>
      </c>
      <c r="C614" s="12" t="s">
        <v>14</v>
      </c>
      <c r="D614" s="19" t="s">
        <v>20</v>
      </c>
      <c r="E614" s="12" t="str">
        <f>IFERROR(__xludf.DUMMYFUNCTION("FILTER(colegios!$B$2:$B5618,colegios!$A$2:$A5618=L614)"),"88247 SAN ENRIQUE")</f>
        <v>88247 SAN ENRIQUE</v>
      </c>
      <c r="F614" s="14" t="s">
        <v>16</v>
      </c>
      <c r="G614" s="19" t="s">
        <v>17</v>
      </c>
      <c r="H614" s="12" t="s">
        <v>18</v>
      </c>
      <c r="I614" s="15">
        <v>2024.0</v>
      </c>
      <c r="J614" s="16" t="str">
        <f>IFERROR(__xludf.DUMMYFUNCTION("FILTER('CLASFICACIÓN'!$F$3:$F5618,'CLASFICACIÓN'!$G$3:$G5618=M614)"),"2023 Y 2024")</f>
        <v>2023 Y 2024</v>
      </c>
      <c r="K614" s="16"/>
      <c r="L614" s="12" t="s">
        <v>68</v>
      </c>
      <c r="M614" s="16" t="str">
        <f t="shared" si="1"/>
        <v>88247 SAN ENRIQUE4 Primaria</v>
      </c>
      <c r="N614" s="17"/>
      <c r="O614" s="17"/>
      <c r="P614" s="17"/>
      <c r="Q614" s="17"/>
      <c r="R614" s="17"/>
      <c r="S614" s="17"/>
      <c r="T614" s="17"/>
    </row>
    <row r="615" ht="15.75" customHeight="1">
      <c r="A615" s="18">
        <v>122.0</v>
      </c>
      <c r="B615" s="12" t="s">
        <v>64</v>
      </c>
      <c r="C615" s="12" t="s">
        <v>14</v>
      </c>
      <c r="D615" s="19" t="s">
        <v>22</v>
      </c>
      <c r="E615" s="12" t="str">
        <f>IFERROR(__xludf.DUMMYFUNCTION("FILTER(colegios!$B$2:$B5618,colegios!$A$2:$A5618=L615)"),"88247 SAN ENRIQUE")</f>
        <v>88247 SAN ENRIQUE</v>
      </c>
      <c r="F615" s="14" t="s">
        <v>16</v>
      </c>
      <c r="G615" s="20" t="s">
        <v>21</v>
      </c>
      <c r="H615" s="12" t="s">
        <v>24</v>
      </c>
      <c r="I615" s="15">
        <v>2024.0</v>
      </c>
      <c r="J615" s="16" t="str">
        <f>IFERROR(__xludf.DUMMYFUNCTION("FILTER('CLASFICACIÓN'!$F$3:$F5618,'CLASFICACIÓN'!$G$3:$G5618=M615)"),"2023 Y 2024")</f>
        <v>2023 Y 2024</v>
      </c>
      <c r="K615" s="16"/>
      <c r="L615" s="12" t="s">
        <v>68</v>
      </c>
      <c r="M615" s="16" t="str">
        <f t="shared" si="1"/>
        <v>88247 SAN ENRIQUE6 Primaria</v>
      </c>
      <c r="N615" s="17"/>
      <c r="O615" s="17"/>
      <c r="P615" s="17"/>
      <c r="Q615" s="17"/>
      <c r="R615" s="17"/>
      <c r="S615" s="17"/>
      <c r="T615" s="17"/>
    </row>
    <row r="616" ht="15.75" customHeight="1">
      <c r="A616" s="18">
        <v>123.0</v>
      </c>
      <c r="B616" s="12" t="s">
        <v>64</v>
      </c>
      <c r="C616" s="12" t="s">
        <v>14</v>
      </c>
      <c r="D616" s="19" t="s">
        <v>22</v>
      </c>
      <c r="E616" s="12" t="str">
        <f>IFERROR(__xludf.DUMMYFUNCTION("FILTER(colegios!$B$2:$B5618,colegios!$A$2:$A5618=L616)"),"88247 SAN ENRIQUE")</f>
        <v>88247 SAN ENRIQUE</v>
      </c>
      <c r="F616" s="14" t="s">
        <v>16</v>
      </c>
      <c r="G616" s="20" t="s">
        <v>17</v>
      </c>
      <c r="H616" s="12" t="s">
        <v>24</v>
      </c>
      <c r="I616" s="15">
        <v>2024.0</v>
      </c>
      <c r="J616" s="16" t="str">
        <f>IFERROR(__xludf.DUMMYFUNCTION("FILTER('CLASFICACIÓN'!$F$3:$F5618,'CLASFICACIÓN'!$G$3:$G5618=M616)"),"2023 Y 2024")</f>
        <v>2023 Y 2024</v>
      </c>
      <c r="K616" s="16"/>
      <c r="L616" s="12" t="s">
        <v>68</v>
      </c>
      <c r="M616" s="16" t="str">
        <f t="shared" si="1"/>
        <v>88247 SAN ENRIQUE6 Primaria</v>
      </c>
      <c r="N616" s="17"/>
      <c r="O616" s="17"/>
      <c r="P616" s="17"/>
      <c r="Q616" s="17"/>
      <c r="R616" s="17"/>
      <c r="S616" s="17"/>
      <c r="T616" s="17"/>
    </row>
    <row r="617" ht="15.75" customHeight="1">
      <c r="A617" s="18">
        <v>124.0</v>
      </c>
      <c r="B617" s="12" t="s">
        <v>64</v>
      </c>
      <c r="C617" s="12" t="s">
        <v>14</v>
      </c>
      <c r="D617" s="19" t="s">
        <v>22</v>
      </c>
      <c r="E617" s="12" t="str">
        <f>IFERROR(__xludf.DUMMYFUNCTION("FILTER(colegios!$B$2:$B5618,colegios!$A$2:$A5618=L617)"),"88247 SAN ENRIQUE")</f>
        <v>88247 SAN ENRIQUE</v>
      </c>
      <c r="F617" s="14" t="s">
        <v>16</v>
      </c>
      <c r="G617" s="20" t="s">
        <v>17</v>
      </c>
      <c r="H617" s="12" t="s">
        <v>24</v>
      </c>
      <c r="I617" s="15">
        <v>2024.0</v>
      </c>
      <c r="J617" s="16" t="str">
        <f>IFERROR(__xludf.DUMMYFUNCTION("FILTER('CLASFICACIÓN'!$F$3:$F5618,'CLASFICACIÓN'!$G$3:$G5618=M617)"),"2023 Y 2024")</f>
        <v>2023 Y 2024</v>
      </c>
      <c r="K617" s="16"/>
      <c r="L617" s="12" t="s">
        <v>68</v>
      </c>
      <c r="M617" s="16" t="str">
        <f t="shared" si="1"/>
        <v>88247 SAN ENRIQUE6 Primaria</v>
      </c>
      <c r="N617" s="17"/>
      <c r="O617" s="17"/>
      <c r="P617" s="17"/>
      <c r="Q617" s="17"/>
      <c r="R617" s="17"/>
      <c r="S617" s="17"/>
      <c r="T617" s="17"/>
    </row>
    <row r="618" ht="15.75" customHeight="1">
      <c r="A618" s="18">
        <v>125.0</v>
      </c>
      <c r="B618" s="12" t="s">
        <v>64</v>
      </c>
      <c r="C618" s="12" t="s">
        <v>14</v>
      </c>
      <c r="D618" s="19" t="s">
        <v>22</v>
      </c>
      <c r="E618" s="12" t="str">
        <f>IFERROR(__xludf.DUMMYFUNCTION("FILTER(colegios!$B$2:$B5618,colegios!$A$2:$A5618=L618)"),"88247 SAN ENRIQUE")</f>
        <v>88247 SAN ENRIQUE</v>
      </c>
      <c r="F618" s="14" t="s">
        <v>16</v>
      </c>
      <c r="G618" s="20" t="s">
        <v>17</v>
      </c>
      <c r="H618" s="12" t="s">
        <v>24</v>
      </c>
      <c r="I618" s="15">
        <v>2024.0</v>
      </c>
      <c r="J618" s="16" t="str">
        <f>IFERROR(__xludf.DUMMYFUNCTION("FILTER('CLASFICACIÓN'!$F$3:$F5618,'CLASFICACIÓN'!$G$3:$G5618=M618)"),"2023 Y 2024")</f>
        <v>2023 Y 2024</v>
      </c>
      <c r="K618" s="16"/>
      <c r="L618" s="12" t="s">
        <v>68</v>
      </c>
      <c r="M618" s="16" t="str">
        <f t="shared" si="1"/>
        <v>88247 SAN ENRIQUE6 Primaria</v>
      </c>
      <c r="N618" s="17"/>
      <c r="O618" s="17"/>
      <c r="P618" s="17"/>
      <c r="Q618" s="17"/>
      <c r="R618" s="17"/>
      <c r="S618" s="17"/>
      <c r="T618" s="17"/>
    </row>
    <row r="619" ht="15.75" customHeight="1">
      <c r="A619" s="18">
        <v>126.0</v>
      </c>
      <c r="B619" s="12" t="s">
        <v>64</v>
      </c>
      <c r="C619" s="12" t="s">
        <v>14</v>
      </c>
      <c r="D619" s="19" t="s">
        <v>22</v>
      </c>
      <c r="E619" s="12" t="str">
        <f>IFERROR(__xludf.DUMMYFUNCTION("FILTER(colegios!$B$2:$B5618,colegios!$A$2:$A5618=L619)"),"88247 SAN ENRIQUE")</f>
        <v>88247 SAN ENRIQUE</v>
      </c>
      <c r="F619" s="14" t="s">
        <v>16</v>
      </c>
      <c r="G619" s="20" t="s">
        <v>17</v>
      </c>
      <c r="H619" s="12" t="s">
        <v>24</v>
      </c>
      <c r="I619" s="15">
        <v>2024.0</v>
      </c>
      <c r="J619" s="16" t="str">
        <f>IFERROR(__xludf.DUMMYFUNCTION("FILTER('CLASFICACIÓN'!$F$3:$F5618,'CLASFICACIÓN'!$G$3:$G5618=M619)"),"2023 Y 2024")</f>
        <v>2023 Y 2024</v>
      </c>
      <c r="K619" s="16"/>
      <c r="L619" s="12" t="s">
        <v>68</v>
      </c>
      <c r="M619" s="16" t="str">
        <f t="shared" si="1"/>
        <v>88247 SAN ENRIQUE6 Primaria</v>
      </c>
      <c r="N619" s="17"/>
      <c r="O619" s="17"/>
      <c r="P619" s="17"/>
      <c r="Q619" s="17"/>
      <c r="R619" s="17"/>
      <c r="S619" s="17"/>
      <c r="T619" s="17"/>
    </row>
    <row r="620" ht="15.75" customHeight="1">
      <c r="A620" s="18">
        <v>127.0</v>
      </c>
      <c r="B620" s="12" t="s">
        <v>64</v>
      </c>
      <c r="C620" s="12" t="s">
        <v>14</v>
      </c>
      <c r="D620" s="19" t="s">
        <v>22</v>
      </c>
      <c r="E620" s="12" t="str">
        <f>IFERROR(__xludf.DUMMYFUNCTION("FILTER(colegios!$B$2:$B5618,colegios!$A$2:$A5618=L620)"),"88247 SAN ENRIQUE")</f>
        <v>88247 SAN ENRIQUE</v>
      </c>
      <c r="F620" s="14" t="s">
        <v>16</v>
      </c>
      <c r="G620" s="20" t="s">
        <v>21</v>
      </c>
      <c r="H620" s="12" t="s">
        <v>18</v>
      </c>
      <c r="I620" s="15">
        <v>2024.0</v>
      </c>
      <c r="J620" s="16" t="str">
        <f>IFERROR(__xludf.DUMMYFUNCTION("FILTER('CLASFICACIÓN'!$F$3:$F5618,'CLASFICACIÓN'!$G$3:$G5618=M620)"),"2023 Y 2024")</f>
        <v>2023 Y 2024</v>
      </c>
      <c r="K620" s="16"/>
      <c r="L620" s="12" t="s">
        <v>68</v>
      </c>
      <c r="M620" s="16" t="str">
        <f t="shared" si="1"/>
        <v>88247 SAN ENRIQUE6 Primaria</v>
      </c>
      <c r="N620" s="17"/>
      <c r="O620" s="17"/>
      <c r="P620" s="17"/>
      <c r="Q620" s="17"/>
      <c r="R620" s="17"/>
      <c r="S620" s="17"/>
      <c r="T620" s="17"/>
    </row>
    <row r="621" ht="15.75" customHeight="1">
      <c r="A621" s="18">
        <v>128.0</v>
      </c>
      <c r="B621" s="12" t="s">
        <v>64</v>
      </c>
      <c r="C621" s="12" t="s">
        <v>14</v>
      </c>
      <c r="D621" s="19" t="s">
        <v>15</v>
      </c>
      <c r="E621" s="12" t="str">
        <f>IFERROR(__xludf.DUMMYFUNCTION("FILTER(colegios!$B$2:$B5618,colegios!$A$2:$A5618=L621)"),"86769 ABRAHAM VALDELOMAR")</f>
        <v>86769 ABRAHAM VALDELOMAR</v>
      </c>
      <c r="F621" s="14" t="s">
        <v>16</v>
      </c>
      <c r="G621" s="19" t="s">
        <v>17</v>
      </c>
      <c r="H621" s="12" t="s">
        <v>24</v>
      </c>
      <c r="I621" s="15">
        <v>2024.0</v>
      </c>
      <c r="J621" s="16" t="str">
        <f>IFERROR(__xludf.DUMMYFUNCTION("FILTER('CLASFICACIÓN'!$F$3:$F5618,'CLASFICACIÓN'!$G$3:$G5618=M621)"),"SOLO 2022 Y 2024")</f>
        <v>SOLO 2022 Y 2024</v>
      </c>
      <c r="K621" s="16"/>
      <c r="L621" s="12" t="s">
        <v>69</v>
      </c>
      <c r="M621" s="16" t="str">
        <f t="shared" si="1"/>
        <v>86769 ABRAHAM VALDELOMAR2 Primaria</v>
      </c>
      <c r="N621" s="17"/>
      <c r="O621" s="17"/>
      <c r="P621" s="17"/>
      <c r="Q621" s="17"/>
      <c r="R621" s="17"/>
      <c r="S621" s="17"/>
      <c r="T621" s="17"/>
    </row>
    <row r="622" ht="15.75" customHeight="1">
      <c r="A622" s="18">
        <v>129.0</v>
      </c>
      <c r="B622" s="12" t="s">
        <v>64</v>
      </c>
      <c r="C622" s="12" t="s">
        <v>14</v>
      </c>
      <c r="D622" s="19" t="s">
        <v>15</v>
      </c>
      <c r="E622" s="12" t="str">
        <f>IFERROR(__xludf.DUMMYFUNCTION("FILTER(colegios!$B$2:$B5618,colegios!$A$2:$A5618=L622)"),"86769 ABRAHAM VALDELOMAR")</f>
        <v>86769 ABRAHAM VALDELOMAR</v>
      </c>
      <c r="F622" s="14" t="s">
        <v>16</v>
      </c>
      <c r="G622" s="20" t="s">
        <v>17</v>
      </c>
      <c r="H622" s="12" t="s">
        <v>24</v>
      </c>
      <c r="I622" s="15">
        <v>2024.0</v>
      </c>
      <c r="J622" s="16" t="str">
        <f>IFERROR(__xludf.DUMMYFUNCTION("FILTER('CLASFICACIÓN'!$F$3:$F5618,'CLASFICACIÓN'!$G$3:$G5618=M622)"),"SOLO 2022 Y 2024")</f>
        <v>SOLO 2022 Y 2024</v>
      </c>
      <c r="K622" s="16"/>
      <c r="L622" s="12" t="s">
        <v>69</v>
      </c>
      <c r="M622" s="16" t="str">
        <f t="shared" si="1"/>
        <v>86769 ABRAHAM VALDELOMAR2 Primaria</v>
      </c>
      <c r="N622" s="17"/>
      <c r="O622" s="17"/>
      <c r="P622" s="17"/>
      <c r="Q622" s="17"/>
      <c r="R622" s="17"/>
      <c r="S622" s="17"/>
      <c r="T622" s="17"/>
    </row>
    <row r="623" ht="15.75" customHeight="1">
      <c r="A623" s="18">
        <v>130.0</v>
      </c>
      <c r="B623" s="12" t="s">
        <v>64</v>
      </c>
      <c r="C623" s="12" t="s">
        <v>14</v>
      </c>
      <c r="D623" s="19" t="s">
        <v>15</v>
      </c>
      <c r="E623" s="12" t="str">
        <f>IFERROR(__xludf.DUMMYFUNCTION("FILTER(colegios!$B$2:$B5618,colegios!$A$2:$A5618=L623)"),"86769 ABRAHAM VALDELOMAR")</f>
        <v>86769 ABRAHAM VALDELOMAR</v>
      </c>
      <c r="F623" s="14" t="s">
        <v>16</v>
      </c>
      <c r="G623" s="20" t="s">
        <v>17</v>
      </c>
      <c r="H623" s="12" t="s">
        <v>18</v>
      </c>
      <c r="I623" s="15">
        <v>2024.0</v>
      </c>
      <c r="J623" s="16" t="str">
        <f>IFERROR(__xludf.DUMMYFUNCTION("FILTER('CLASFICACIÓN'!$F$3:$F5618,'CLASFICACIÓN'!$G$3:$G5618=M623)"),"SOLO 2022 Y 2024")</f>
        <v>SOLO 2022 Y 2024</v>
      </c>
      <c r="K623" s="16"/>
      <c r="L623" s="12" t="s">
        <v>69</v>
      </c>
      <c r="M623" s="16" t="str">
        <f t="shared" si="1"/>
        <v>86769 ABRAHAM VALDELOMAR2 Primaria</v>
      </c>
      <c r="N623" s="17"/>
      <c r="O623" s="17"/>
      <c r="P623" s="17"/>
      <c r="Q623" s="17"/>
      <c r="R623" s="17"/>
      <c r="S623" s="17"/>
      <c r="T623" s="17"/>
    </row>
    <row r="624" ht="15.75" customHeight="1">
      <c r="A624" s="18">
        <v>131.0</v>
      </c>
      <c r="B624" s="12" t="s">
        <v>64</v>
      </c>
      <c r="C624" s="12" t="s">
        <v>14</v>
      </c>
      <c r="D624" s="19" t="s">
        <v>15</v>
      </c>
      <c r="E624" s="12" t="str">
        <f>IFERROR(__xludf.DUMMYFUNCTION("FILTER(colegios!$B$2:$B5618,colegios!$A$2:$A5618=L624)"),"86769 ABRAHAM VALDELOMAR")</f>
        <v>86769 ABRAHAM VALDELOMAR</v>
      </c>
      <c r="F624" s="14" t="s">
        <v>16</v>
      </c>
      <c r="G624" s="20" t="s">
        <v>17</v>
      </c>
      <c r="H624" s="12" t="s">
        <v>24</v>
      </c>
      <c r="I624" s="15">
        <v>2024.0</v>
      </c>
      <c r="J624" s="16" t="str">
        <f>IFERROR(__xludf.DUMMYFUNCTION("FILTER('CLASFICACIÓN'!$F$3:$F5618,'CLASFICACIÓN'!$G$3:$G5618=M624)"),"SOLO 2022 Y 2024")</f>
        <v>SOLO 2022 Y 2024</v>
      </c>
      <c r="K624" s="16"/>
      <c r="L624" s="12" t="s">
        <v>69</v>
      </c>
      <c r="M624" s="16" t="str">
        <f t="shared" si="1"/>
        <v>86769 ABRAHAM VALDELOMAR2 Primaria</v>
      </c>
      <c r="N624" s="17"/>
      <c r="O624" s="17"/>
      <c r="P624" s="17"/>
      <c r="Q624" s="17"/>
      <c r="R624" s="17"/>
      <c r="S624" s="17"/>
      <c r="T624" s="17"/>
    </row>
    <row r="625" ht="15.75" customHeight="1">
      <c r="A625" s="18">
        <v>132.0</v>
      </c>
      <c r="B625" s="12" t="s">
        <v>64</v>
      </c>
      <c r="C625" s="12" t="s">
        <v>14</v>
      </c>
      <c r="D625" s="19" t="s">
        <v>15</v>
      </c>
      <c r="E625" s="12" t="str">
        <f>IFERROR(__xludf.DUMMYFUNCTION("FILTER(colegios!$B$2:$B5618,colegios!$A$2:$A5618=L625)"),"86769 ABRAHAM VALDELOMAR")</f>
        <v>86769 ABRAHAM VALDELOMAR</v>
      </c>
      <c r="F625" s="14" t="s">
        <v>16</v>
      </c>
      <c r="G625" s="20" t="s">
        <v>21</v>
      </c>
      <c r="H625" s="12" t="s">
        <v>18</v>
      </c>
      <c r="I625" s="15">
        <v>2024.0</v>
      </c>
      <c r="J625" s="16" t="str">
        <f>IFERROR(__xludf.DUMMYFUNCTION("FILTER('CLASFICACIÓN'!$F$3:$F5618,'CLASFICACIÓN'!$G$3:$G5618=M625)"),"SOLO 2022 Y 2024")</f>
        <v>SOLO 2022 Y 2024</v>
      </c>
      <c r="K625" s="16"/>
      <c r="L625" s="12" t="s">
        <v>69</v>
      </c>
      <c r="M625" s="16" t="str">
        <f t="shared" si="1"/>
        <v>86769 ABRAHAM VALDELOMAR2 Primaria</v>
      </c>
      <c r="N625" s="17"/>
      <c r="O625" s="17"/>
      <c r="P625" s="17"/>
      <c r="Q625" s="17"/>
      <c r="R625" s="17"/>
      <c r="S625" s="17"/>
      <c r="T625" s="17"/>
    </row>
    <row r="626" ht="15.75" customHeight="1">
      <c r="A626" s="18">
        <v>133.0</v>
      </c>
      <c r="B626" s="12" t="s">
        <v>64</v>
      </c>
      <c r="C626" s="12" t="s">
        <v>14</v>
      </c>
      <c r="D626" s="19" t="s">
        <v>15</v>
      </c>
      <c r="E626" s="12" t="str">
        <f>IFERROR(__xludf.DUMMYFUNCTION("FILTER(colegios!$B$2:$B5618,colegios!$A$2:$A5618=L626)"),"86769 ABRAHAM VALDELOMAR")</f>
        <v>86769 ABRAHAM VALDELOMAR</v>
      </c>
      <c r="F626" s="14" t="s">
        <v>16</v>
      </c>
      <c r="G626" s="20" t="s">
        <v>21</v>
      </c>
      <c r="H626" s="12" t="s">
        <v>18</v>
      </c>
      <c r="I626" s="15">
        <v>2024.0</v>
      </c>
      <c r="J626" s="16" t="str">
        <f>IFERROR(__xludf.DUMMYFUNCTION("FILTER('CLASFICACIÓN'!$F$3:$F5618,'CLASFICACIÓN'!$G$3:$G5618=M626)"),"SOLO 2022 Y 2024")</f>
        <v>SOLO 2022 Y 2024</v>
      </c>
      <c r="K626" s="16"/>
      <c r="L626" s="12" t="s">
        <v>69</v>
      </c>
      <c r="M626" s="16" t="str">
        <f t="shared" si="1"/>
        <v>86769 ABRAHAM VALDELOMAR2 Primaria</v>
      </c>
      <c r="N626" s="17"/>
      <c r="O626" s="17"/>
      <c r="P626" s="17"/>
      <c r="Q626" s="17"/>
      <c r="R626" s="17"/>
      <c r="S626" s="17"/>
      <c r="T626" s="17"/>
    </row>
    <row r="627" ht="15.75" customHeight="1">
      <c r="A627" s="18">
        <v>134.0</v>
      </c>
      <c r="B627" s="12" t="s">
        <v>64</v>
      </c>
      <c r="C627" s="12" t="s">
        <v>14</v>
      </c>
      <c r="D627" s="19" t="s">
        <v>15</v>
      </c>
      <c r="E627" s="12" t="str">
        <f>IFERROR(__xludf.DUMMYFUNCTION("FILTER(colegios!$B$2:$B5618,colegios!$A$2:$A5618=L627)"),"86769 ABRAHAM VALDELOMAR")</f>
        <v>86769 ABRAHAM VALDELOMAR</v>
      </c>
      <c r="F627" s="14" t="s">
        <v>16</v>
      </c>
      <c r="G627" s="19" t="s">
        <v>21</v>
      </c>
      <c r="H627" s="12" t="s">
        <v>18</v>
      </c>
      <c r="I627" s="15">
        <v>2024.0</v>
      </c>
      <c r="J627" s="16" t="str">
        <f>IFERROR(__xludf.DUMMYFUNCTION("FILTER('CLASFICACIÓN'!$F$3:$F5618,'CLASFICACIÓN'!$G$3:$G5618=M627)"),"SOLO 2022 Y 2024")</f>
        <v>SOLO 2022 Y 2024</v>
      </c>
      <c r="K627" s="16"/>
      <c r="L627" s="12" t="s">
        <v>69</v>
      </c>
      <c r="M627" s="16" t="str">
        <f t="shared" si="1"/>
        <v>86769 ABRAHAM VALDELOMAR2 Primaria</v>
      </c>
      <c r="N627" s="17"/>
      <c r="O627" s="17"/>
      <c r="P627" s="17"/>
      <c r="Q627" s="17"/>
      <c r="R627" s="17"/>
      <c r="S627" s="17"/>
      <c r="T627" s="17"/>
    </row>
    <row r="628" ht="15.75" customHeight="1">
      <c r="A628" s="18">
        <v>135.0</v>
      </c>
      <c r="B628" s="12" t="s">
        <v>64</v>
      </c>
      <c r="C628" s="12" t="s">
        <v>14</v>
      </c>
      <c r="D628" s="19" t="s">
        <v>20</v>
      </c>
      <c r="E628" s="12" t="str">
        <f>IFERROR(__xludf.DUMMYFUNCTION("FILTER(colegios!$B$2:$B5618,colegios!$A$2:$A5618=L628)"),"86769 ABRAHAM VALDELOMAR")</f>
        <v>86769 ABRAHAM VALDELOMAR</v>
      </c>
      <c r="F628" s="14" t="s">
        <v>16</v>
      </c>
      <c r="G628" s="19" t="s">
        <v>17</v>
      </c>
      <c r="H628" s="12" t="s">
        <v>24</v>
      </c>
      <c r="I628" s="15">
        <v>2024.0</v>
      </c>
      <c r="J628" s="16" t="str">
        <f>IFERROR(__xludf.DUMMYFUNCTION("FILTER('CLASFICACIÓN'!$F$3:$F5618,'CLASFICACIÓN'!$G$3:$G5618=M628)"),"SOLO 2022 Y 2024")</f>
        <v>SOLO 2022 Y 2024</v>
      </c>
      <c r="K628" s="16"/>
      <c r="L628" s="12" t="s">
        <v>69</v>
      </c>
      <c r="M628" s="16" t="str">
        <f t="shared" si="1"/>
        <v>86769 ABRAHAM VALDELOMAR4 Primaria</v>
      </c>
      <c r="N628" s="17"/>
      <c r="O628" s="17"/>
      <c r="P628" s="17"/>
      <c r="Q628" s="17"/>
      <c r="R628" s="17"/>
      <c r="S628" s="17"/>
      <c r="T628" s="17"/>
    </row>
    <row r="629" ht="15.75" customHeight="1">
      <c r="A629" s="18">
        <v>136.0</v>
      </c>
      <c r="B629" s="12" t="s">
        <v>64</v>
      </c>
      <c r="C629" s="12" t="s">
        <v>14</v>
      </c>
      <c r="D629" s="19" t="s">
        <v>20</v>
      </c>
      <c r="E629" s="12" t="str">
        <f>IFERROR(__xludf.DUMMYFUNCTION("FILTER(colegios!$B$2:$B5618,colegios!$A$2:$A5618=L629)"),"86769 ABRAHAM VALDELOMAR")</f>
        <v>86769 ABRAHAM VALDELOMAR</v>
      </c>
      <c r="F629" s="14" t="s">
        <v>16</v>
      </c>
      <c r="G629" s="19" t="s">
        <v>21</v>
      </c>
      <c r="H629" s="12" t="s">
        <v>18</v>
      </c>
      <c r="I629" s="15">
        <v>2024.0</v>
      </c>
      <c r="J629" s="16" t="str">
        <f>IFERROR(__xludf.DUMMYFUNCTION("FILTER('CLASFICACIÓN'!$F$3:$F5618,'CLASFICACIÓN'!$G$3:$G5618=M629)"),"SOLO 2022 Y 2024")</f>
        <v>SOLO 2022 Y 2024</v>
      </c>
      <c r="K629" s="16"/>
      <c r="L629" s="12" t="s">
        <v>69</v>
      </c>
      <c r="M629" s="16" t="str">
        <f t="shared" si="1"/>
        <v>86769 ABRAHAM VALDELOMAR4 Primaria</v>
      </c>
      <c r="N629" s="17"/>
      <c r="O629" s="17"/>
      <c r="P629" s="17"/>
      <c r="Q629" s="17"/>
      <c r="R629" s="17"/>
      <c r="S629" s="17"/>
      <c r="T629" s="17"/>
    </row>
    <row r="630" ht="15.75" customHeight="1">
      <c r="A630" s="18">
        <v>137.0</v>
      </c>
      <c r="B630" s="12" t="s">
        <v>64</v>
      </c>
      <c r="C630" s="12" t="s">
        <v>14</v>
      </c>
      <c r="D630" s="19" t="s">
        <v>20</v>
      </c>
      <c r="E630" s="12" t="str">
        <f>IFERROR(__xludf.DUMMYFUNCTION("FILTER(colegios!$B$2:$B5618,colegios!$A$2:$A5618=L630)"),"86769 ABRAHAM VALDELOMAR")</f>
        <v>86769 ABRAHAM VALDELOMAR</v>
      </c>
      <c r="F630" s="14" t="s">
        <v>16</v>
      </c>
      <c r="G630" s="20" t="s">
        <v>21</v>
      </c>
      <c r="H630" s="12" t="s">
        <v>24</v>
      </c>
      <c r="I630" s="15">
        <v>2024.0</v>
      </c>
      <c r="J630" s="16" t="str">
        <f>IFERROR(__xludf.DUMMYFUNCTION("FILTER('CLASFICACIÓN'!$F$3:$F5618,'CLASFICACIÓN'!$G$3:$G5618=M630)"),"SOLO 2022 Y 2024")</f>
        <v>SOLO 2022 Y 2024</v>
      </c>
      <c r="K630" s="16"/>
      <c r="L630" s="12" t="s">
        <v>69</v>
      </c>
      <c r="M630" s="16" t="str">
        <f t="shared" si="1"/>
        <v>86769 ABRAHAM VALDELOMAR4 Primaria</v>
      </c>
      <c r="N630" s="17"/>
      <c r="O630" s="17"/>
      <c r="P630" s="17"/>
      <c r="Q630" s="17"/>
      <c r="R630" s="17"/>
      <c r="S630" s="17"/>
      <c r="T630" s="17"/>
    </row>
    <row r="631" ht="15.75" customHeight="1">
      <c r="A631" s="18">
        <v>138.0</v>
      </c>
      <c r="B631" s="12" t="s">
        <v>64</v>
      </c>
      <c r="C631" s="12" t="s">
        <v>14</v>
      </c>
      <c r="D631" s="19" t="s">
        <v>20</v>
      </c>
      <c r="E631" s="12" t="str">
        <f>IFERROR(__xludf.DUMMYFUNCTION("FILTER(colegios!$B$2:$B5618,colegios!$A$2:$A5618=L631)"),"86769 ABRAHAM VALDELOMAR")</f>
        <v>86769 ABRAHAM VALDELOMAR</v>
      </c>
      <c r="F631" s="14" t="s">
        <v>16</v>
      </c>
      <c r="G631" s="19" t="s">
        <v>17</v>
      </c>
      <c r="H631" s="12" t="s">
        <v>18</v>
      </c>
      <c r="I631" s="15">
        <v>2024.0</v>
      </c>
      <c r="J631" s="16" t="str">
        <f>IFERROR(__xludf.DUMMYFUNCTION("FILTER('CLASFICACIÓN'!$F$3:$F5618,'CLASFICACIÓN'!$G$3:$G5618=M631)"),"SOLO 2022 Y 2024")</f>
        <v>SOLO 2022 Y 2024</v>
      </c>
      <c r="K631" s="16"/>
      <c r="L631" s="12" t="s">
        <v>69</v>
      </c>
      <c r="M631" s="16" t="str">
        <f t="shared" si="1"/>
        <v>86769 ABRAHAM VALDELOMAR4 Primaria</v>
      </c>
      <c r="N631" s="17"/>
      <c r="O631" s="17"/>
      <c r="P631" s="17"/>
      <c r="Q631" s="17"/>
      <c r="R631" s="17"/>
      <c r="S631" s="17"/>
      <c r="T631" s="17"/>
    </row>
    <row r="632" ht="15.75" customHeight="1">
      <c r="A632" s="18">
        <v>139.0</v>
      </c>
      <c r="B632" s="12" t="s">
        <v>64</v>
      </c>
      <c r="C632" s="12" t="s">
        <v>14</v>
      </c>
      <c r="D632" s="19" t="s">
        <v>20</v>
      </c>
      <c r="E632" s="12" t="str">
        <f>IFERROR(__xludf.DUMMYFUNCTION("FILTER(colegios!$B$2:$B5618,colegios!$A$2:$A5618=L632)"),"86769 ABRAHAM VALDELOMAR")</f>
        <v>86769 ABRAHAM VALDELOMAR</v>
      </c>
      <c r="F632" s="14" t="s">
        <v>16</v>
      </c>
      <c r="G632" s="19" t="s">
        <v>17</v>
      </c>
      <c r="H632" s="12" t="s">
        <v>24</v>
      </c>
      <c r="I632" s="15">
        <v>2024.0</v>
      </c>
      <c r="J632" s="16" t="str">
        <f>IFERROR(__xludf.DUMMYFUNCTION("FILTER('CLASFICACIÓN'!$F$3:$F5618,'CLASFICACIÓN'!$G$3:$G5618=M632)"),"SOLO 2022 Y 2024")</f>
        <v>SOLO 2022 Y 2024</v>
      </c>
      <c r="K632" s="16"/>
      <c r="L632" s="12" t="s">
        <v>69</v>
      </c>
      <c r="M632" s="16" t="str">
        <f t="shared" si="1"/>
        <v>86769 ABRAHAM VALDELOMAR4 Primaria</v>
      </c>
      <c r="N632" s="17"/>
      <c r="O632" s="17"/>
      <c r="P632" s="17"/>
      <c r="Q632" s="17"/>
      <c r="R632" s="17"/>
      <c r="S632" s="17"/>
      <c r="T632" s="17"/>
    </row>
    <row r="633" ht="15.75" customHeight="1">
      <c r="A633" s="18">
        <v>140.0</v>
      </c>
      <c r="B633" s="12" t="s">
        <v>64</v>
      </c>
      <c r="C633" s="12" t="s">
        <v>14</v>
      </c>
      <c r="D633" s="19" t="s">
        <v>22</v>
      </c>
      <c r="E633" s="12" t="str">
        <f>IFERROR(__xludf.DUMMYFUNCTION("FILTER(colegios!$B$2:$B5618,colegios!$A$2:$A5618=L633)"),"86769 ABRAHAM VALDELOMAR")</f>
        <v>86769 ABRAHAM VALDELOMAR</v>
      </c>
      <c r="F633" s="14" t="s">
        <v>16</v>
      </c>
      <c r="G633" s="19" t="s">
        <v>21</v>
      </c>
      <c r="H633" s="12" t="s">
        <v>24</v>
      </c>
      <c r="I633" s="15">
        <v>2024.0</v>
      </c>
      <c r="J633" s="16" t="str">
        <f>IFERROR(__xludf.DUMMYFUNCTION("FILTER('CLASFICACIÓN'!$F$3:$F5618,'CLASFICACIÓN'!$G$3:$G5618=M633)"),"SOLO 2022 Y 2024")</f>
        <v>SOLO 2022 Y 2024</v>
      </c>
      <c r="K633" s="16"/>
      <c r="L633" s="12" t="s">
        <v>69</v>
      </c>
      <c r="M633" s="16" t="str">
        <f t="shared" si="1"/>
        <v>86769 ABRAHAM VALDELOMAR6 Primaria</v>
      </c>
      <c r="N633" s="17"/>
      <c r="O633" s="17"/>
      <c r="P633" s="17"/>
      <c r="Q633" s="17"/>
      <c r="R633" s="17"/>
      <c r="S633" s="17"/>
      <c r="T633" s="17"/>
    </row>
    <row r="634" ht="15.75" customHeight="1">
      <c r="A634" s="18">
        <v>141.0</v>
      </c>
      <c r="B634" s="12" t="s">
        <v>64</v>
      </c>
      <c r="C634" s="12" t="s">
        <v>14</v>
      </c>
      <c r="D634" s="19" t="s">
        <v>22</v>
      </c>
      <c r="E634" s="12" t="str">
        <f>IFERROR(__xludf.DUMMYFUNCTION("FILTER(colegios!$B$2:$B5618,colegios!$A$2:$A5618=L634)"),"86769 ABRAHAM VALDELOMAR")</f>
        <v>86769 ABRAHAM VALDELOMAR</v>
      </c>
      <c r="F634" s="14" t="s">
        <v>16</v>
      </c>
      <c r="G634" s="20" t="s">
        <v>21</v>
      </c>
      <c r="H634" s="12" t="s">
        <v>24</v>
      </c>
      <c r="I634" s="15">
        <v>2024.0</v>
      </c>
      <c r="J634" s="16" t="str">
        <f>IFERROR(__xludf.DUMMYFUNCTION("FILTER('CLASFICACIÓN'!$F$3:$F5618,'CLASFICACIÓN'!$G$3:$G5618=M634)"),"SOLO 2022 Y 2024")</f>
        <v>SOLO 2022 Y 2024</v>
      </c>
      <c r="K634" s="16"/>
      <c r="L634" s="12" t="s">
        <v>69</v>
      </c>
      <c r="M634" s="16" t="str">
        <f t="shared" si="1"/>
        <v>86769 ABRAHAM VALDELOMAR6 Primaria</v>
      </c>
      <c r="N634" s="17"/>
      <c r="O634" s="17"/>
      <c r="P634" s="17"/>
      <c r="Q634" s="17"/>
      <c r="R634" s="17"/>
      <c r="S634" s="17"/>
      <c r="T634" s="17"/>
    </row>
    <row r="635" ht="15.75" customHeight="1">
      <c r="A635" s="18">
        <v>142.0</v>
      </c>
      <c r="B635" s="12" t="s">
        <v>64</v>
      </c>
      <c r="C635" s="12" t="s">
        <v>14</v>
      </c>
      <c r="D635" s="19" t="s">
        <v>22</v>
      </c>
      <c r="E635" s="12" t="str">
        <f>IFERROR(__xludf.DUMMYFUNCTION("FILTER(colegios!$B$2:$B5618,colegios!$A$2:$A5618=L635)"),"86769 ABRAHAM VALDELOMAR")</f>
        <v>86769 ABRAHAM VALDELOMAR</v>
      </c>
      <c r="F635" s="14" t="s">
        <v>16</v>
      </c>
      <c r="G635" s="20" t="s">
        <v>21</v>
      </c>
      <c r="H635" s="12" t="s">
        <v>18</v>
      </c>
      <c r="I635" s="15">
        <v>2024.0</v>
      </c>
      <c r="J635" s="16" t="str">
        <f>IFERROR(__xludf.DUMMYFUNCTION("FILTER('CLASFICACIÓN'!$F$3:$F5618,'CLASFICACIÓN'!$G$3:$G5618=M635)"),"SOLO 2022 Y 2024")</f>
        <v>SOLO 2022 Y 2024</v>
      </c>
      <c r="K635" s="16"/>
      <c r="L635" s="12" t="s">
        <v>69</v>
      </c>
      <c r="M635" s="16" t="str">
        <f t="shared" si="1"/>
        <v>86769 ABRAHAM VALDELOMAR6 Primaria</v>
      </c>
      <c r="N635" s="17"/>
      <c r="O635" s="17"/>
      <c r="P635" s="17"/>
      <c r="Q635" s="17"/>
      <c r="R635" s="17"/>
      <c r="S635" s="17"/>
      <c r="T635" s="17"/>
    </row>
    <row r="636" ht="15.75" customHeight="1">
      <c r="A636" s="18">
        <v>143.0</v>
      </c>
      <c r="B636" s="12" t="s">
        <v>64</v>
      </c>
      <c r="C636" s="12" t="s">
        <v>14</v>
      </c>
      <c r="D636" s="19" t="s">
        <v>22</v>
      </c>
      <c r="E636" s="12" t="str">
        <f>IFERROR(__xludf.DUMMYFUNCTION("FILTER(colegios!$B$2:$B5618,colegios!$A$2:$A5618=L636)"),"86769 ABRAHAM VALDELOMAR")</f>
        <v>86769 ABRAHAM VALDELOMAR</v>
      </c>
      <c r="F636" s="14" t="s">
        <v>16</v>
      </c>
      <c r="G636" s="20" t="s">
        <v>21</v>
      </c>
      <c r="H636" s="12" t="s">
        <v>24</v>
      </c>
      <c r="I636" s="15">
        <v>2024.0</v>
      </c>
      <c r="J636" s="16" t="str">
        <f>IFERROR(__xludf.DUMMYFUNCTION("FILTER('CLASFICACIÓN'!$F$3:$F5618,'CLASFICACIÓN'!$G$3:$G5618=M636)"),"SOLO 2022 Y 2024")</f>
        <v>SOLO 2022 Y 2024</v>
      </c>
      <c r="K636" s="16"/>
      <c r="L636" s="12" t="s">
        <v>69</v>
      </c>
      <c r="M636" s="16" t="str">
        <f t="shared" si="1"/>
        <v>86769 ABRAHAM VALDELOMAR6 Primaria</v>
      </c>
      <c r="N636" s="17"/>
      <c r="O636" s="17"/>
      <c r="P636" s="17"/>
      <c r="Q636" s="17"/>
      <c r="R636" s="17"/>
      <c r="S636" s="17"/>
      <c r="T636" s="17"/>
    </row>
    <row r="637" ht="15.75" customHeight="1">
      <c r="A637" s="18">
        <v>144.0</v>
      </c>
      <c r="B637" s="12" t="s">
        <v>64</v>
      </c>
      <c r="C637" s="12" t="s">
        <v>14</v>
      </c>
      <c r="D637" s="19" t="s">
        <v>22</v>
      </c>
      <c r="E637" s="12" t="str">
        <f>IFERROR(__xludf.DUMMYFUNCTION("FILTER(colegios!$B$2:$B5618,colegios!$A$2:$A5618=L637)"),"86769 ABRAHAM VALDELOMAR")</f>
        <v>86769 ABRAHAM VALDELOMAR</v>
      </c>
      <c r="F637" s="14" t="s">
        <v>16</v>
      </c>
      <c r="G637" s="19" t="s">
        <v>17</v>
      </c>
      <c r="H637" s="12" t="s">
        <v>24</v>
      </c>
      <c r="I637" s="15">
        <v>2024.0</v>
      </c>
      <c r="J637" s="16" t="str">
        <f>IFERROR(__xludf.DUMMYFUNCTION("FILTER('CLASFICACIÓN'!$F$3:$F5618,'CLASFICACIÓN'!$G$3:$G5618=M637)"),"SOLO 2022 Y 2024")</f>
        <v>SOLO 2022 Y 2024</v>
      </c>
      <c r="K637" s="16"/>
      <c r="L637" s="12" t="s">
        <v>69</v>
      </c>
      <c r="M637" s="16" t="str">
        <f t="shared" si="1"/>
        <v>86769 ABRAHAM VALDELOMAR6 Primaria</v>
      </c>
      <c r="N637" s="17"/>
      <c r="O637" s="17"/>
      <c r="P637" s="17"/>
      <c r="Q637" s="17"/>
      <c r="R637" s="17"/>
      <c r="S637" s="17"/>
      <c r="T637" s="17"/>
    </row>
    <row r="638" ht="15.75" customHeight="1">
      <c r="A638" s="18">
        <v>145.0</v>
      </c>
      <c r="B638" s="12" t="s">
        <v>64</v>
      </c>
      <c r="C638" s="14" t="s">
        <v>27</v>
      </c>
      <c r="D638" s="19" t="s">
        <v>28</v>
      </c>
      <c r="E638" s="12" t="str">
        <f>IFERROR(__xludf.DUMMYFUNCTION("FILTER(colegios!$B$2:$B5618,colegios!$A$2:$A5618=L638)"),"86769 ABRAHAM VALDELOMAR")</f>
        <v>86769 ABRAHAM VALDELOMAR</v>
      </c>
      <c r="F638" s="14" t="s">
        <v>16</v>
      </c>
      <c r="G638" s="20" t="s">
        <v>17</v>
      </c>
      <c r="H638" s="12" t="s">
        <v>18</v>
      </c>
      <c r="I638" s="15">
        <v>2024.0</v>
      </c>
      <c r="J638" s="16" t="str">
        <f>IFERROR(__xludf.DUMMYFUNCTION("FILTER('CLASFICACIÓN'!$F$3:$F5618,'CLASFICACIÓN'!$G$3:$G5618=M638)"),"SOLO 2022 Y 2024")</f>
        <v>SOLO 2022 Y 2024</v>
      </c>
      <c r="K638" s="16"/>
      <c r="L638" s="12" t="s">
        <v>69</v>
      </c>
      <c r="M638" s="16" t="str">
        <f t="shared" si="1"/>
        <v>86769 ABRAHAM VALDELOMAR2 Secundaria</v>
      </c>
      <c r="N638" s="17"/>
      <c r="O638" s="17"/>
      <c r="P638" s="17"/>
      <c r="Q638" s="17"/>
      <c r="R638" s="17"/>
      <c r="S638" s="17"/>
      <c r="T638" s="17"/>
    </row>
    <row r="639" ht="15.75" customHeight="1">
      <c r="A639" s="18">
        <v>146.0</v>
      </c>
      <c r="B639" s="12" t="s">
        <v>64</v>
      </c>
      <c r="C639" s="12" t="s">
        <v>27</v>
      </c>
      <c r="D639" s="19" t="s">
        <v>28</v>
      </c>
      <c r="E639" s="12" t="str">
        <f>IFERROR(__xludf.DUMMYFUNCTION("FILTER(colegios!$B$2:$B5618,colegios!$A$2:$A5618=L639)"),"86769 ABRAHAM VALDELOMAR")</f>
        <v>86769 ABRAHAM VALDELOMAR</v>
      </c>
      <c r="F639" s="14" t="s">
        <v>16</v>
      </c>
      <c r="G639" s="19" t="s">
        <v>21</v>
      </c>
      <c r="H639" s="12" t="s">
        <v>18</v>
      </c>
      <c r="I639" s="15">
        <v>2024.0</v>
      </c>
      <c r="J639" s="16" t="str">
        <f>IFERROR(__xludf.DUMMYFUNCTION("FILTER('CLASFICACIÓN'!$F$3:$F5618,'CLASFICACIÓN'!$G$3:$G5618=M639)"),"SOLO 2022 Y 2024")</f>
        <v>SOLO 2022 Y 2024</v>
      </c>
      <c r="K639" s="16"/>
      <c r="L639" s="12" t="s">
        <v>69</v>
      </c>
      <c r="M639" s="16" t="str">
        <f t="shared" si="1"/>
        <v>86769 ABRAHAM VALDELOMAR2 Secundaria</v>
      </c>
      <c r="N639" s="17"/>
      <c r="O639" s="17"/>
      <c r="P639" s="17"/>
      <c r="Q639" s="17"/>
      <c r="R639" s="17"/>
      <c r="S639" s="17"/>
      <c r="T639" s="17"/>
    </row>
    <row r="640" ht="15.75" customHeight="1">
      <c r="A640" s="18">
        <v>147.0</v>
      </c>
      <c r="B640" s="12" t="s">
        <v>64</v>
      </c>
      <c r="C640" s="12" t="s">
        <v>27</v>
      </c>
      <c r="D640" s="19" t="s">
        <v>28</v>
      </c>
      <c r="E640" s="12" t="str">
        <f>IFERROR(__xludf.DUMMYFUNCTION("FILTER(colegios!$B$2:$B5618,colegios!$A$2:$A5618=L640)"),"86769 ABRAHAM VALDELOMAR")</f>
        <v>86769 ABRAHAM VALDELOMAR</v>
      </c>
      <c r="F640" s="14" t="s">
        <v>16</v>
      </c>
      <c r="G640" s="19" t="s">
        <v>17</v>
      </c>
      <c r="H640" s="12" t="s">
        <v>18</v>
      </c>
      <c r="I640" s="15">
        <v>2024.0</v>
      </c>
      <c r="J640" s="16" t="str">
        <f>IFERROR(__xludf.DUMMYFUNCTION("FILTER('CLASFICACIÓN'!$F$3:$F5618,'CLASFICACIÓN'!$G$3:$G5618=M640)"),"SOLO 2022 Y 2024")</f>
        <v>SOLO 2022 Y 2024</v>
      </c>
      <c r="K640" s="16"/>
      <c r="L640" s="12" t="s">
        <v>69</v>
      </c>
      <c r="M640" s="16" t="str">
        <f t="shared" si="1"/>
        <v>86769 ABRAHAM VALDELOMAR2 Secundaria</v>
      </c>
      <c r="N640" s="17"/>
      <c r="O640" s="17"/>
      <c r="P640" s="17"/>
      <c r="Q640" s="17"/>
      <c r="R640" s="17"/>
      <c r="S640" s="17"/>
      <c r="T640" s="17"/>
    </row>
    <row r="641" ht="15.75" customHeight="1">
      <c r="A641" s="18">
        <v>149.0</v>
      </c>
      <c r="B641" s="12" t="s">
        <v>64</v>
      </c>
      <c r="C641" s="12" t="s">
        <v>27</v>
      </c>
      <c r="D641" s="19" t="s">
        <v>28</v>
      </c>
      <c r="E641" s="12" t="str">
        <f>IFERROR(__xludf.DUMMYFUNCTION("FILTER(colegios!$B$2:$B5618,colegios!$A$2:$A5618=L641)"),"86769 ABRAHAM VALDELOMAR")</f>
        <v>86769 ABRAHAM VALDELOMAR</v>
      </c>
      <c r="F641" s="14" t="s">
        <v>16</v>
      </c>
      <c r="G641" s="19" t="s">
        <v>21</v>
      </c>
      <c r="H641" s="12" t="s">
        <v>18</v>
      </c>
      <c r="I641" s="15">
        <v>2024.0</v>
      </c>
      <c r="J641" s="16" t="str">
        <f>IFERROR(__xludf.DUMMYFUNCTION("FILTER('CLASFICACIÓN'!$F$3:$F5618,'CLASFICACIÓN'!$G$3:$G5618=M641)"),"SOLO 2022 Y 2024")</f>
        <v>SOLO 2022 Y 2024</v>
      </c>
      <c r="K641" s="16"/>
      <c r="L641" s="12" t="s">
        <v>69</v>
      </c>
      <c r="M641" s="16" t="str">
        <f t="shared" si="1"/>
        <v>86769 ABRAHAM VALDELOMAR2 Secundaria</v>
      </c>
      <c r="N641" s="17"/>
      <c r="O641" s="17"/>
      <c r="P641" s="17"/>
      <c r="Q641" s="17"/>
      <c r="R641" s="17"/>
      <c r="S641" s="17"/>
      <c r="T641" s="17"/>
    </row>
    <row r="642" ht="15.75" customHeight="1">
      <c r="A642" s="18">
        <v>150.0</v>
      </c>
      <c r="B642" s="12" t="s">
        <v>64</v>
      </c>
      <c r="C642" s="12" t="s">
        <v>27</v>
      </c>
      <c r="D642" s="19" t="s">
        <v>30</v>
      </c>
      <c r="E642" s="12" t="str">
        <f>IFERROR(__xludf.DUMMYFUNCTION("FILTER(colegios!$B$2:$B5618,colegios!$A$2:$A5618=L642)"),"86769 ABRAHAM VALDELOMAR")</f>
        <v>86769 ABRAHAM VALDELOMAR</v>
      </c>
      <c r="F642" s="14" t="s">
        <v>16</v>
      </c>
      <c r="G642" s="20" t="s">
        <v>17</v>
      </c>
      <c r="H642" s="12" t="s">
        <v>18</v>
      </c>
      <c r="I642" s="15">
        <v>2024.0</v>
      </c>
      <c r="J642" s="16" t="str">
        <f>IFERROR(__xludf.DUMMYFUNCTION("FILTER('CLASFICACIÓN'!$F$3:$F5618,'CLASFICACIÓN'!$G$3:$G5618=M642)"),"SOLO 2022 Y 2024")</f>
        <v>SOLO 2022 Y 2024</v>
      </c>
      <c r="K642" s="16"/>
      <c r="L642" s="12" t="s">
        <v>69</v>
      </c>
      <c r="M642" s="16" t="str">
        <f t="shared" si="1"/>
        <v>86769 ABRAHAM VALDELOMAR4 Secundaria</v>
      </c>
      <c r="N642" s="17"/>
      <c r="O642" s="17"/>
      <c r="P642" s="17"/>
      <c r="Q642" s="17"/>
      <c r="R642" s="17"/>
      <c r="S642" s="17"/>
      <c r="T642" s="17"/>
    </row>
    <row r="643" ht="15.75" customHeight="1">
      <c r="A643" s="18">
        <v>151.0</v>
      </c>
      <c r="B643" s="12" t="s">
        <v>64</v>
      </c>
      <c r="C643" s="12" t="s">
        <v>27</v>
      </c>
      <c r="D643" s="19" t="s">
        <v>30</v>
      </c>
      <c r="E643" s="12" t="str">
        <f>IFERROR(__xludf.DUMMYFUNCTION("FILTER(colegios!$B$2:$B5618,colegios!$A$2:$A5618=L643)"),"86769 ABRAHAM VALDELOMAR")</f>
        <v>86769 ABRAHAM VALDELOMAR</v>
      </c>
      <c r="F643" s="14" t="s">
        <v>16</v>
      </c>
      <c r="G643" s="19" t="s">
        <v>17</v>
      </c>
      <c r="H643" s="12" t="s">
        <v>18</v>
      </c>
      <c r="I643" s="15">
        <v>2024.0</v>
      </c>
      <c r="J643" s="16" t="str">
        <f>IFERROR(__xludf.DUMMYFUNCTION("FILTER('CLASFICACIÓN'!$F$3:$F5618,'CLASFICACIÓN'!$G$3:$G5618=M643)"),"SOLO 2022 Y 2024")</f>
        <v>SOLO 2022 Y 2024</v>
      </c>
      <c r="K643" s="16"/>
      <c r="L643" s="12" t="s">
        <v>69</v>
      </c>
      <c r="M643" s="16" t="str">
        <f t="shared" si="1"/>
        <v>86769 ABRAHAM VALDELOMAR4 Secundaria</v>
      </c>
      <c r="N643" s="17"/>
      <c r="O643" s="17"/>
      <c r="P643" s="17"/>
      <c r="Q643" s="17"/>
      <c r="R643" s="17"/>
      <c r="S643" s="17"/>
      <c r="T643" s="17"/>
    </row>
    <row r="644" ht="15.75" customHeight="1">
      <c r="A644" s="18">
        <v>152.0</v>
      </c>
      <c r="B644" s="12" t="s">
        <v>64</v>
      </c>
      <c r="C644" s="12" t="s">
        <v>27</v>
      </c>
      <c r="D644" s="19" t="s">
        <v>30</v>
      </c>
      <c r="E644" s="12" t="str">
        <f>IFERROR(__xludf.DUMMYFUNCTION("FILTER(colegios!$B$2:$B5618,colegios!$A$2:$A5618=L644)"),"86769 ABRAHAM VALDELOMAR")</f>
        <v>86769 ABRAHAM VALDELOMAR</v>
      </c>
      <c r="F644" s="14" t="s">
        <v>16</v>
      </c>
      <c r="G644" s="20" t="s">
        <v>21</v>
      </c>
      <c r="H644" s="12" t="s">
        <v>18</v>
      </c>
      <c r="I644" s="15">
        <v>2024.0</v>
      </c>
      <c r="J644" s="16" t="str">
        <f>IFERROR(__xludf.DUMMYFUNCTION("FILTER('CLASFICACIÓN'!$F$3:$F5618,'CLASFICACIÓN'!$G$3:$G5618=M644)"),"SOLO 2022 Y 2024")</f>
        <v>SOLO 2022 Y 2024</v>
      </c>
      <c r="K644" s="16"/>
      <c r="L644" s="12" t="s">
        <v>69</v>
      </c>
      <c r="M644" s="16" t="str">
        <f t="shared" si="1"/>
        <v>86769 ABRAHAM VALDELOMAR4 Secundaria</v>
      </c>
      <c r="N644" s="17"/>
      <c r="O644" s="17"/>
      <c r="P644" s="17"/>
      <c r="Q644" s="17"/>
      <c r="R644" s="17"/>
      <c r="S644" s="17"/>
      <c r="T644" s="17"/>
    </row>
    <row r="645" ht="15.75" customHeight="1">
      <c r="A645" s="18">
        <v>153.0</v>
      </c>
      <c r="B645" s="12" t="s">
        <v>64</v>
      </c>
      <c r="C645" s="12" t="s">
        <v>27</v>
      </c>
      <c r="D645" s="19" t="s">
        <v>30</v>
      </c>
      <c r="E645" s="12" t="str">
        <f>IFERROR(__xludf.DUMMYFUNCTION("FILTER(colegios!$B$2:$B5618,colegios!$A$2:$A5618=L645)"),"86769 ABRAHAM VALDELOMAR")</f>
        <v>86769 ABRAHAM VALDELOMAR</v>
      </c>
      <c r="F645" s="14" t="s">
        <v>16</v>
      </c>
      <c r="G645" s="20" t="s">
        <v>17</v>
      </c>
      <c r="H645" s="12" t="s">
        <v>18</v>
      </c>
      <c r="I645" s="15">
        <v>2024.0</v>
      </c>
      <c r="J645" s="16" t="str">
        <f>IFERROR(__xludf.DUMMYFUNCTION("FILTER('CLASFICACIÓN'!$F$3:$F5618,'CLASFICACIÓN'!$G$3:$G5618=M645)"),"SOLO 2022 Y 2024")</f>
        <v>SOLO 2022 Y 2024</v>
      </c>
      <c r="K645" s="16"/>
      <c r="L645" s="12" t="s">
        <v>69</v>
      </c>
      <c r="M645" s="16" t="str">
        <f t="shared" si="1"/>
        <v>86769 ABRAHAM VALDELOMAR4 Secundaria</v>
      </c>
      <c r="N645" s="17"/>
      <c r="O645" s="17"/>
      <c r="P645" s="17"/>
      <c r="Q645" s="17"/>
      <c r="R645" s="17"/>
      <c r="S645" s="17"/>
      <c r="T645" s="17"/>
    </row>
    <row r="646" ht="15.75" customHeight="1">
      <c r="A646" s="18">
        <v>154.0</v>
      </c>
      <c r="B646" s="12" t="s">
        <v>64</v>
      </c>
      <c r="C646" s="12" t="s">
        <v>27</v>
      </c>
      <c r="D646" s="19" t="s">
        <v>30</v>
      </c>
      <c r="E646" s="12" t="str">
        <f>IFERROR(__xludf.DUMMYFUNCTION("FILTER(colegios!$B$2:$B5618,colegios!$A$2:$A5618=L646)"),"86769 ABRAHAM VALDELOMAR")</f>
        <v>86769 ABRAHAM VALDELOMAR</v>
      </c>
      <c r="F646" s="14" t="s">
        <v>16</v>
      </c>
      <c r="G646" s="20" t="s">
        <v>21</v>
      </c>
      <c r="H646" s="12" t="s">
        <v>18</v>
      </c>
      <c r="I646" s="15">
        <v>2024.0</v>
      </c>
      <c r="J646" s="16" t="str">
        <f>IFERROR(__xludf.DUMMYFUNCTION("FILTER('CLASFICACIÓN'!$F$3:$F5618,'CLASFICACIÓN'!$G$3:$G5618=M646)"),"SOLO 2022 Y 2024")</f>
        <v>SOLO 2022 Y 2024</v>
      </c>
      <c r="K646" s="16"/>
      <c r="L646" s="12" t="s">
        <v>69</v>
      </c>
      <c r="M646" s="16" t="str">
        <f t="shared" si="1"/>
        <v>86769 ABRAHAM VALDELOMAR4 Secundaria</v>
      </c>
      <c r="N646" s="17"/>
      <c r="O646" s="17"/>
      <c r="P646" s="17"/>
      <c r="Q646" s="17"/>
      <c r="R646" s="17"/>
      <c r="S646" s="17"/>
      <c r="T646" s="17"/>
    </row>
    <row r="647" ht="15.75" customHeight="1">
      <c r="A647" s="18">
        <v>1.0</v>
      </c>
      <c r="B647" s="12" t="s">
        <v>70</v>
      </c>
      <c r="C647" s="12" t="s">
        <v>14</v>
      </c>
      <c r="D647" s="19" t="s">
        <v>15</v>
      </c>
      <c r="E647" s="12" t="str">
        <f>IFERROR(__xludf.DUMMYFUNCTION("FILTER(colegios!$B$2:$B5618,colegios!$A$2:$A5618=L647)"),"64048")</f>
        <v>64048</v>
      </c>
      <c r="F647" s="14" t="s">
        <v>16</v>
      </c>
      <c r="G647" s="19" t="s">
        <v>21</v>
      </c>
      <c r="H647" s="12" t="s">
        <v>24</v>
      </c>
      <c r="I647" s="15">
        <v>2024.0</v>
      </c>
      <c r="J647" s="16" t="str">
        <f>IFERROR(__xludf.DUMMYFUNCTION("FILTER('CLASFICACIÓN'!$F$3:$F5618,'CLASFICACIÓN'!$G$3:$G5618=M647)"),"SOLO 2024")</f>
        <v>SOLO 2024</v>
      </c>
      <c r="K647" s="16"/>
      <c r="L647" s="12" t="s">
        <v>71</v>
      </c>
      <c r="M647" s="16" t="str">
        <f t="shared" si="1"/>
        <v>640482 Primaria</v>
      </c>
      <c r="N647" s="17"/>
      <c r="O647" s="17"/>
      <c r="P647" s="17"/>
      <c r="Q647" s="17"/>
      <c r="R647" s="17"/>
      <c r="S647" s="17"/>
      <c r="T647" s="17"/>
    </row>
    <row r="648" ht="15.75" customHeight="1">
      <c r="A648" s="18">
        <v>2.0</v>
      </c>
      <c r="B648" s="12" t="s">
        <v>70</v>
      </c>
      <c r="C648" s="12" t="s">
        <v>14</v>
      </c>
      <c r="D648" s="19" t="s">
        <v>15</v>
      </c>
      <c r="E648" s="12" t="str">
        <f>IFERROR(__xludf.DUMMYFUNCTION("FILTER(colegios!$B$2:$B5618,colegios!$A$2:$A5618=L648)"),"64048")</f>
        <v>64048</v>
      </c>
      <c r="F648" s="14" t="s">
        <v>16</v>
      </c>
      <c r="G648" s="20" t="s">
        <v>17</v>
      </c>
      <c r="H648" s="12" t="s">
        <v>18</v>
      </c>
      <c r="I648" s="15">
        <v>2024.0</v>
      </c>
      <c r="J648" s="16" t="str">
        <f>IFERROR(__xludf.DUMMYFUNCTION("FILTER('CLASFICACIÓN'!$F$3:$F5618,'CLASFICACIÓN'!$G$3:$G5618=M648)"),"SOLO 2024")</f>
        <v>SOLO 2024</v>
      </c>
      <c r="K648" s="16"/>
      <c r="L648" s="12" t="s">
        <v>71</v>
      </c>
      <c r="M648" s="16" t="str">
        <f t="shared" si="1"/>
        <v>640482 Primaria</v>
      </c>
      <c r="N648" s="17"/>
      <c r="O648" s="17"/>
      <c r="P648" s="17"/>
      <c r="Q648" s="17"/>
      <c r="R648" s="17"/>
      <c r="S648" s="17"/>
      <c r="T648" s="17"/>
    </row>
    <row r="649" ht="15.75" customHeight="1">
      <c r="A649" s="18">
        <v>3.0</v>
      </c>
      <c r="B649" s="12" t="s">
        <v>70</v>
      </c>
      <c r="C649" s="12" t="s">
        <v>14</v>
      </c>
      <c r="D649" s="19" t="s">
        <v>20</v>
      </c>
      <c r="E649" s="12" t="str">
        <f>IFERROR(__xludf.DUMMYFUNCTION("FILTER(colegios!$B$2:$B5618,colegios!$A$2:$A5618=L649)"),"64048")</f>
        <v>64048</v>
      </c>
      <c r="F649" s="14" t="s">
        <v>16</v>
      </c>
      <c r="G649" s="19" t="s">
        <v>21</v>
      </c>
      <c r="H649" s="12" t="s">
        <v>24</v>
      </c>
      <c r="I649" s="15">
        <v>2024.0</v>
      </c>
      <c r="J649" s="16" t="str">
        <f>IFERROR(__xludf.DUMMYFUNCTION("FILTER('CLASFICACIÓN'!$F$3:$F5618,'CLASFICACIÓN'!$G$3:$G5618=M649)"),"SOLO 2022 Y 2024")</f>
        <v>SOLO 2022 Y 2024</v>
      </c>
      <c r="K649" s="16"/>
      <c r="L649" s="12" t="s">
        <v>71</v>
      </c>
      <c r="M649" s="16" t="str">
        <f t="shared" si="1"/>
        <v>640484 Primaria</v>
      </c>
      <c r="N649" s="17"/>
      <c r="O649" s="17"/>
      <c r="P649" s="17"/>
      <c r="Q649" s="17"/>
      <c r="R649" s="17"/>
      <c r="S649" s="17"/>
      <c r="T649" s="17"/>
    </row>
    <row r="650" ht="15.75" customHeight="1">
      <c r="A650" s="18">
        <v>4.0</v>
      </c>
      <c r="B650" s="12" t="s">
        <v>70</v>
      </c>
      <c r="C650" s="12" t="s">
        <v>14</v>
      </c>
      <c r="D650" s="19" t="s">
        <v>20</v>
      </c>
      <c r="E650" s="12" t="str">
        <f>IFERROR(__xludf.DUMMYFUNCTION("FILTER(colegios!$B$2:$B5618,colegios!$A$2:$A5618=L650)"),"64048")</f>
        <v>64048</v>
      </c>
      <c r="F650" s="14" t="s">
        <v>16</v>
      </c>
      <c r="G650" s="19" t="s">
        <v>17</v>
      </c>
      <c r="H650" s="12" t="s">
        <v>24</v>
      </c>
      <c r="I650" s="15">
        <v>2024.0</v>
      </c>
      <c r="J650" s="16" t="str">
        <f>IFERROR(__xludf.DUMMYFUNCTION("FILTER('CLASFICACIÓN'!$F$3:$F5618,'CLASFICACIÓN'!$G$3:$G5618=M650)"),"SOLO 2022 Y 2024")</f>
        <v>SOLO 2022 Y 2024</v>
      </c>
      <c r="K650" s="16"/>
      <c r="L650" s="12" t="s">
        <v>71</v>
      </c>
      <c r="M650" s="16" t="str">
        <f t="shared" si="1"/>
        <v>640484 Primaria</v>
      </c>
      <c r="N650" s="17"/>
      <c r="O650" s="17"/>
      <c r="P650" s="17"/>
      <c r="Q650" s="17"/>
      <c r="R650" s="17"/>
      <c r="S650" s="17"/>
      <c r="T650" s="17"/>
    </row>
    <row r="651" ht="15.75" customHeight="1">
      <c r="A651" s="18">
        <v>5.0</v>
      </c>
      <c r="B651" s="12" t="s">
        <v>70</v>
      </c>
      <c r="C651" s="12" t="s">
        <v>14</v>
      </c>
      <c r="D651" s="19" t="s">
        <v>22</v>
      </c>
      <c r="E651" s="12" t="str">
        <f>IFERROR(__xludf.DUMMYFUNCTION("FILTER(colegios!$B$2:$B5618,colegios!$A$2:$A5618=L651)"),"64048")</f>
        <v>64048</v>
      </c>
      <c r="F651" s="14" t="s">
        <v>16</v>
      </c>
      <c r="G651" s="20" t="s">
        <v>21</v>
      </c>
      <c r="H651" s="12" t="s">
        <v>18</v>
      </c>
      <c r="I651" s="15">
        <v>2024.0</v>
      </c>
      <c r="J651" s="16" t="str">
        <f>IFERROR(__xludf.DUMMYFUNCTION("FILTER('CLASFICACIÓN'!$F$3:$F5618,'CLASFICACIÓN'!$G$3:$G5618=M651)"),"SOLO 2022 Y 2024")</f>
        <v>SOLO 2022 Y 2024</v>
      </c>
      <c r="K651" s="16"/>
      <c r="L651" s="12" t="s">
        <v>71</v>
      </c>
      <c r="M651" s="16" t="str">
        <f t="shared" si="1"/>
        <v>640486 Primaria</v>
      </c>
      <c r="N651" s="17"/>
      <c r="O651" s="17"/>
      <c r="P651" s="17"/>
      <c r="Q651" s="17"/>
      <c r="R651" s="17"/>
      <c r="S651" s="17"/>
      <c r="T651" s="17"/>
    </row>
    <row r="652" ht="15.75" customHeight="1">
      <c r="A652" s="18">
        <v>6.0</v>
      </c>
      <c r="B652" s="12" t="s">
        <v>70</v>
      </c>
      <c r="C652" s="12" t="s">
        <v>14</v>
      </c>
      <c r="D652" s="19" t="s">
        <v>22</v>
      </c>
      <c r="E652" s="12" t="str">
        <f>IFERROR(__xludf.DUMMYFUNCTION("FILTER(colegios!$B$2:$B5618,colegios!$A$2:$A5618=L652)"),"64048")</f>
        <v>64048</v>
      </c>
      <c r="F652" s="14" t="s">
        <v>16</v>
      </c>
      <c r="G652" s="19" t="s">
        <v>17</v>
      </c>
      <c r="H652" s="12" t="s">
        <v>18</v>
      </c>
      <c r="I652" s="15">
        <v>2024.0</v>
      </c>
      <c r="J652" s="16" t="str">
        <f>IFERROR(__xludf.DUMMYFUNCTION("FILTER('CLASFICACIÓN'!$F$3:$F5618,'CLASFICACIÓN'!$G$3:$G5618=M652)"),"SOLO 2022 Y 2024")</f>
        <v>SOLO 2022 Y 2024</v>
      </c>
      <c r="K652" s="16"/>
      <c r="L652" s="12" t="s">
        <v>71</v>
      </c>
      <c r="M652" s="16" t="str">
        <f t="shared" si="1"/>
        <v>640486 Primaria</v>
      </c>
      <c r="N652" s="17"/>
      <c r="O652" s="17"/>
      <c r="P652" s="17"/>
      <c r="Q652" s="17"/>
      <c r="R652" s="17"/>
      <c r="S652" s="17"/>
      <c r="T652" s="17"/>
    </row>
    <row r="653" ht="15.75" customHeight="1">
      <c r="A653" s="18">
        <v>7.0</v>
      </c>
      <c r="B653" s="12" t="s">
        <v>70</v>
      </c>
      <c r="C653" s="12" t="s">
        <v>14</v>
      </c>
      <c r="D653" s="19" t="s">
        <v>22</v>
      </c>
      <c r="E653" s="12" t="str">
        <f>IFERROR(__xludf.DUMMYFUNCTION("FILTER(colegios!$B$2:$B5618,colegios!$A$2:$A5618=L653)"),"64048")</f>
        <v>64048</v>
      </c>
      <c r="F653" s="14" t="s">
        <v>16</v>
      </c>
      <c r="G653" s="20" t="s">
        <v>17</v>
      </c>
      <c r="H653" s="12" t="s">
        <v>18</v>
      </c>
      <c r="I653" s="15">
        <v>2024.0</v>
      </c>
      <c r="J653" s="16" t="str">
        <f>IFERROR(__xludf.DUMMYFUNCTION("FILTER('CLASFICACIÓN'!$F$3:$F5618,'CLASFICACIÓN'!$G$3:$G5618=M653)"),"SOLO 2022 Y 2024")</f>
        <v>SOLO 2022 Y 2024</v>
      </c>
      <c r="K653" s="16"/>
      <c r="L653" s="12" t="s">
        <v>71</v>
      </c>
      <c r="M653" s="16" t="str">
        <f t="shared" si="1"/>
        <v>640486 Primaria</v>
      </c>
      <c r="N653" s="17"/>
      <c r="O653" s="17"/>
      <c r="P653" s="17"/>
      <c r="Q653" s="17"/>
      <c r="R653" s="17"/>
      <c r="S653" s="17"/>
      <c r="T653" s="17"/>
    </row>
    <row r="654" ht="15.75" customHeight="1">
      <c r="A654" s="18">
        <v>1.0</v>
      </c>
      <c r="B654" s="12" t="s">
        <v>70</v>
      </c>
      <c r="C654" s="12" t="s">
        <v>14</v>
      </c>
      <c r="D654" s="19" t="s">
        <v>15</v>
      </c>
      <c r="E654" s="12" t="str">
        <f>IFERROR(__xludf.DUMMYFUNCTION("FILTER(colegios!$B$2:$B5618,colegios!$A$2:$A5618=L654)"),"64115")</f>
        <v>64115</v>
      </c>
      <c r="F654" s="14" t="s">
        <v>16</v>
      </c>
      <c r="G654" s="19" t="s">
        <v>21</v>
      </c>
      <c r="H654" s="12" t="s">
        <v>24</v>
      </c>
      <c r="I654" s="15">
        <v>2024.0</v>
      </c>
      <c r="J654" s="16" t="str">
        <f>IFERROR(__xludf.DUMMYFUNCTION("FILTER('CLASFICACIÓN'!$F$3:$F5618,'CLASFICACIÓN'!$G$3:$G5618=M654)"),"SOLO 2022 Y 2024")</f>
        <v>SOLO 2022 Y 2024</v>
      </c>
      <c r="K654" s="16"/>
      <c r="L654" s="12" t="s">
        <v>72</v>
      </c>
      <c r="M654" s="16" t="str">
        <f t="shared" si="1"/>
        <v>641152 Primaria</v>
      </c>
      <c r="N654" s="17"/>
      <c r="O654" s="17"/>
      <c r="P654" s="17"/>
      <c r="Q654" s="17"/>
      <c r="R654" s="17"/>
      <c r="S654" s="17"/>
      <c r="T654" s="17"/>
    </row>
    <row r="655" ht="15.75" customHeight="1">
      <c r="A655" s="18">
        <v>2.0</v>
      </c>
      <c r="B655" s="12" t="s">
        <v>70</v>
      </c>
      <c r="C655" s="12" t="s">
        <v>14</v>
      </c>
      <c r="D655" s="19" t="s">
        <v>15</v>
      </c>
      <c r="E655" s="12" t="str">
        <f>IFERROR(__xludf.DUMMYFUNCTION("FILTER(colegios!$B$2:$B5618,colegios!$A$2:$A5618=L655)"),"64115")</f>
        <v>64115</v>
      </c>
      <c r="F655" s="14" t="s">
        <v>16</v>
      </c>
      <c r="G655" s="19" t="s">
        <v>21</v>
      </c>
      <c r="H655" s="12" t="s">
        <v>24</v>
      </c>
      <c r="I655" s="15">
        <v>2024.0</v>
      </c>
      <c r="J655" s="16" t="str">
        <f>IFERROR(__xludf.DUMMYFUNCTION("FILTER('CLASFICACIÓN'!$F$3:$F5618,'CLASFICACIÓN'!$G$3:$G5618=M655)"),"SOLO 2022 Y 2024")</f>
        <v>SOLO 2022 Y 2024</v>
      </c>
      <c r="K655" s="16"/>
      <c r="L655" s="12" t="s">
        <v>72</v>
      </c>
      <c r="M655" s="16" t="str">
        <f t="shared" si="1"/>
        <v>641152 Primaria</v>
      </c>
      <c r="N655" s="17"/>
      <c r="O655" s="17"/>
      <c r="P655" s="17"/>
      <c r="Q655" s="17"/>
      <c r="R655" s="17"/>
      <c r="S655" s="17"/>
      <c r="T655" s="17"/>
    </row>
    <row r="656" ht="15.75" customHeight="1">
      <c r="A656" s="18">
        <v>3.0</v>
      </c>
      <c r="B656" s="12" t="s">
        <v>70</v>
      </c>
      <c r="C656" s="12" t="s">
        <v>14</v>
      </c>
      <c r="D656" s="19" t="s">
        <v>15</v>
      </c>
      <c r="E656" s="12" t="str">
        <f>IFERROR(__xludf.DUMMYFUNCTION("FILTER(colegios!$B$2:$B5618,colegios!$A$2:$A5618=L656)"),"64115")</f>
        <v>64115</v>
      </c>
      <c r="F656" s="14" t="s">
        <v>16</v>
      </c>
      <c r="G656" s="20" t="s">
        <v>17</v>
      </c>
      <c r="H656" s="12" t="s">
        <v>24</v>
      </c>
      <c r="I656" s="15">
        <v>2024.0</v>
      </c>
      <c r="J656" s="16" t="str">
        <f>IFERROR(__xludf.DUMMYFUNCTION("FILTER('CLASFICACIÓN'!$F$3:$F5618,'CLASFICACIÓN'!$G$3:$G5618=M656)"),"SOLO 2022 Y 2024")</f>
        <v>SOLO 2022 Y 2024</v>
      </c>
      <c r="K656" s="16"/>
      <c r="L656" s="12" t="s">
        <v>72</v>
      </c>
      <c r="M656" s="16" t="str">
        <f t="shared" si="1"/>
        <v>641152 Primaria</v>
      </c>
      <c r="N656" s="17"/>
      <c r="O656" s="17"/>
      <c r="P656" s="17"/>
      <c r="Q656" s="17"/>
      <c r="R656" s="17"/>
      <c r="S656" s="17"/>
      <c r="T656" s="17"/>
    </row>
    <row r="657" ht="15.75" customHeight="1">
      <c r="A657" s="18">
        <v>4.0</v>
      </c>
      <c r="B657" s="12" t="s">
        <v>70</v>
      </c>
      <c r="C657" s="12" t="s">
        <v>14</v>
      </c>
      <c r="D657" s="19" t="s">
        <v>20</v>
      </c>
      <c r="E657" s="12" t="str">
        <f>IFERROR(__xludf.DUMMYFUNCTION("FILTER(colegios!$B$2:$B5618,colegios!$A$2:$A5618=L657)"),"64115")</f>
        <v>64115</v>
      </c>
      <c r="F657" s="14" t="s">
        <v>16</v>
      </c>
      <c r="G657" s="20" t="s">
        <v>21</v>
      </c>
      <c r="H657" s="12" t="s">
        <v>24</v>
      </c>
      <c r="I657" s="15">
        <v>2024.0</v>
      </c>
      <c r="J657" s="16" t="str">
        <f>IFERROR(__xludf.DUMMYFUNCTION("FILTER('CLASFICACIÓN'!$F$3:$F5618,'CLASFICACIÓN'!$G$3:$G5618=M657)"),"SOLO 2022 Y 2024")</f>
        <v>SOLO 2022 Y 2024</v>
      </c>
      <c r="K657" s="16"/>
      <c r="L657" s="12" t="s">
        <v>72</v>
      </c>
      <c r="M657" s="16" t="str">
        <f t="shared" si="1"/>
        <v>641154 Primaria</v>
      </c>
      <c r="N657" s="17"/>
      <c r="O657" s="17"/>
      <c r="P657" s="17"/>
      <c r="Q657" s="17"/>
      <c r="R657" s="17"/>
      <c r="S657" s="17"/>
      <c r="T657" s="17"/>
    </row>
    <row r="658" ht="15.75" customHeight="1">
      <c r="A658" s="18">
        <v>5.0</v>
      </c>
      <c r="B658" s="12" t="s">
        <v>70</v>
      </c>
      <c r="C658" s="12" t="s">
        <v>14</v>
      </c>
      <c r="D658" s="19" t="s">
        <v>20</v>
      </c>
      <c r="E658" s="12" t="str">
        <f>IFERROR(__xludf.DUMMYFUNCTION("FILTER(colegios!$B$2:$B5618,colegios!$A$2:$A5618=L658)"),"64115")</f>
        <v>64115</v>
      </c>
      <c r="F658" s="14" t="s">
        <v>16</v>
      </c>
      <c r="G658" s="20" t="s">
        <v>21</v>
      </c>
      <c r="H658" s="14" t="s">
        <v>32</v>
      </c>
      <c r="I658" s="15">
        <v>2024.0</v>
      </c>
      <c r="J658" s="16" t="str">
        <f>IFERROR(__xludf.DUMMYFUNCTION("FILTER('CLASFICACIÓN'!$F$3:$F5618,'CLASFICACIÓN'!$G$3:$G5618=M658)"),"SOLO 2022 Y 2024")</f>
        <v>SOLO 2022 Y 2024</v>
      </c>
      <c r="K658" s="16"/>
      <c r="L658" s="12" t="s">
        <v>72</v>
      </c>
      <c r="M658" s="16" t="str">
        <f t="shared" si="1"/>
        <v>641154 Primaria</v>
      </c>
      <c r="N658" s="17"/>
      <c r="O658" s="17"/>
      <c r="P658" s="17"/>
      <c r="Q658" s="17"/>
      <c r="R658" s="17"/>
      <c r="S658" s="17"/>
      <c r="T658" s="17"/>
    </row>
    <row r="659" ht="15.75" customHeight="1">
      <c r="A659" s="18">
        <v>6.0</v>
      </c>
      <c r="B659" s="12" t="s">
        <v>70</v>
      </c>
      <c r="C659" s="12" t="s">
        <v>14</v>
      </c>
      <c r="D659" s="19" t="s">
        <v>22</v>
      </c>
      <c r="E659" s="12" t="str">
        <f>IFERROR(__xludf.DUMMYFUNCTION("FILTER(colegios!$B$2:$B5618,colegios!$A$2:$A5618=L659)"),"64115")</f>
        <v>64115</v>
      </c>
      <c r="F659" s="14" t="s">
        <v>16</v>
      </c>
      <c r="G659" s="19" t="s">
        <v>21</v>
      </c>
      <c r="H659" s="12" t="s">
        <v>24</v>
      </c>
      <c r="I659" s="15">
        <v>2024.0</v>
      </c>
      <c r="J659" s="16" t="str">
        <f>IFERROR(__xludf.DUMMYFUNCTION("FILTER('CLASFICACIÓN'!$F$3:$F5618,'CLASFICACIÓN'!$G$3:$G5618=M659)"),"SOLO 2022 Y 2024")</f>
        <v>SOLO 2022 Y 2024</v>
      </c>
      <c r="K659" s="16"/>
      <c r="L659" s="12" t="s">
        <v>72</v>
      </c>
      <c r="M659" s="16" t="str">
        <f t="shared" si="1"/>
        <v>641156 Primaria</v>
      </c>
      <c r="N659" s="17"/>
      <c r="O659" s="17"/>
      <c r="P659" s="17"/>
      <c r="Q659" s="17"/>
      <c r="R659" s="17"/>
      <c r="S659" s="17"/>
      <c r="T659" s="17"/>
    </row>
    <row r="660" ht="15.75" customHeight="1">
      <c r="A660" s="18">
        <v>7.0</v>
      </c>
      <c r="B660" s="12" t="s">
        <v>70</v>
      </c>
      <c r="C660" s="12" t="s">
        <v>14</v>
      </c>
      <c r="D660" s="19" t="s">
        <v>22</v>
      </c>
      <c r="E660" s="12" t="str">
        <f>IFERROR(__xludf.DUMMYFUNCTION("FILTER(colegios!$B$2:$B5618,colegios!$A$2:$A5618=L660)"),"64115")</f>
        <v>64115</v>
      </c>
      <c r="F660" s="14" t="s">
        <v>16</v>
      </c>
      <c r="G660" s="20" t="s">
        <v>17</v>
      </c>
      <c r="H660" s="12" t="s">
        <v>24</v>
      </c>
      <c r="I660" s="15">
        <v>2024.0</v>
      </c>
      <c r="J660" s="16" t="str">
        <f>IFERROR(__xludf.DUMMYFUNCTION("FILTER('CLASFICACIÓN'!$F$3:$F5618,'CLASFICACIÓN'!$G$3:$G5618=M660)"),"SOLO 2022 Y 2024")</f>
        <v>SOLO 2022 Y 2024</v>
      </c>
      <c r="K660" s="16"/>
      <c r="L660" s="12" t="s">
        <v>72</v>
      </c>
      <c r="M660" s="16" t="str">
        <f t="shared" si="1"/>
        <v>641156 Primaria</v>
      </c>
      <c r="N660" s="17"/>
      <c r="O660" s="17"/>
      <c r="P660" s="17"/>
      <c r="Q660" s="17"/>
      <c r="R660" s="17"/>
      <c r="S660" s="17"/>
      <c r="T660" s="17"/>
    </row>
    <row r="661" ht="15.75" customHeight="1">
      <c r="A661" s="18">
        <v>1.0</v>
      </c>
      <c r="B661" s="12" t="s">
        <v>70</v>
      </c>
      <c r="C661" s="12" t="s">
        <v>14</v>
      </c>
      <c r="D661" s="19" t="s">
        <v>15</v>
      </c>
      <c r="E661" s="12" t="str">
        <f>IFERROR(__xludf.DUMMYFUNCTION("FILTER(colegios!$B$2:$B5618,colegios!$A$2:$A5618=L661)"),"64508-B")</f>
        <v>64508-B</v>
      </c>
      <c r="F661" s="14" t="s">
        <v>16</v>
      </c>
      <c r="G661" s="19" t="s">
        <v>21</v>
      </c>
      <c r="H661" s="12" t="s">
        <v>18</v>
      </c>
      <c r="I661" s="15">
        <v>2024.0</v>
      </c>
      <c r="J661" s="16" t="str">
        <f>IFERROR(__xludf.DUMMYFUNCTION("FILTER('CLASFICACIÓN'!$F$3:$F5618,'CLASFICACIÓN'!$G$3:$G5618=M661)"),"SOLO 2024")</f>
        <v>SOLO 2024</v>
      </c>
      <c r="K661" s="16"/>
      <c r="L661" s="12" t="s">
        <v>73</v>
      </c>
      <c r="M661" s="16" t="str">
        <f t="shared" si="1"/>
        <v>64508-B2 Primaria</v>
      </c>
      <c r="N661" s="17"/>
      <c r="O661" s="17"/>
      <c r="P661" s="17"/>
      <c r="Q661" s="17"/>
      <c r="R661" s="17"/>
      <c r="S661" s="17"/>
      <c r="T661" s="17"/>
    </row>
    <row r="662" ht="15.75" customHeight="1">
      <c r="A662" s="18">
        <v>5.0</v>
      </c>
      <c r="B662" s="12" t="s">
        <v>70</v>
      </c>
      <c r="C662" s="12" t="s">
        <v>14</v>
      </c>
      <c r="D662" s="19" t="s">
        <v>15</v>
      </c>
      <c r="E662" s="12" t="str">
        <f>IFERROR(__xludf.DUMMYFUNCTION("FILTER(colegios!$B$2:$B5618,colegios!$A$2:$A5618=L662)"),"64508-B")</f>
        <v>64508-B</v>
      </c>
      <c r="F662" s="14" t="s">
        <v>16</v>
      </c>
      <c r="G662" s="19" t="s">
        <v>21</v>
      </c>
      <c r="H662" s="12" t="s">
        <v>18</v>
      </c>
      <c r="I662" s="15">
        <v>2024.0</v>
      </c>
      <c r="J662" s="16" t="str">
        <f>IFERROR(__xludf.DUMMYFUNCTION("FILTER('CLASFICACIÓN'!$F$3:$F5618,'CLASFICACIÓN'!$G$3:$G5618=M662)"),"SOLO 2024")</f>
        <v>SOLO 2024</v>
      </c>
      <c r="K662" s="16"/>
      <c r="L662" s="12" t="s">
        <v>73</v>
      </c>
      <c r="M662" s="16" t="str">
        <f t="shared" si="1"/>
        <v>64508-B2 Primaria</v>
      </c>
      <c r="N662" s="17"/>
      <c r="O662" s="17"/>
      <c r="P662" s="17"/>
      <c r="Q662" s="17"/>
      <c r="R662" s="17"/>
      <c r="S662" s="17"/>
      <c r="T662" s="17"/>
    </row>
    <row r="663" ht="15.75" customHeight="1">
      <c r="A663" s="18">
        <v>6.0</v>
      </c>
      <c r="B663" s="12" t="s">
        <v>70</v>
      </c>
      <c r="C663" s="12" t="s">
        <v>14</v>
      </c>
      <c r="D663" s="19" t="s">
        <v>15</v>
      </c>
      <c r="E663" s="12" t="str">
        <f>IFERROR(__xludf.DUMMYFUNCTION("FILTER(colegios!$B$2:$B5618,colegios!$A$2:$A5618=L663)"),"64508-B")</f>
        <v>64508-B</v>
      </c>
      <c r="F663" s="14" t="s">
        <v>16</v>
      </c>
      <c r="G663" s="20" t="s">
        <v>17</v>
      </c>
      <c r="H663" s="12" t="s">
        <v>18</v>
      </c>
      <c r="I663" s="15">
        <v>2024.0</v>
      </c>
      <c r="J663" s="16" t="str">
        <f>IFERROR(__xludf.DUMMYFUNCTION("FILTER('CLASFICACIÓN'!$F$3:$F5618,'CLASFICACIÓN'!$G$3:$G5618=M663)"),"SOLO 2024")</f>
        <v>SOLO 2024</v>
      </c>
      <c r="K663" s="16"/>
      <c r="L663" s="12" t="s">
        <v>73</v>
      </c>
      <c r="M663" s="16" t="str">
        <f t="shared" si="1"/>
        <v>64508-B2 Primaria</v>
      </c>
      <c r="N663" s="17"/>
      <c r="O663" s="17"/>
      <c r="P663" s="17"/>
      <c r="Q663" s="17"/>
      <c r="R663" s="17"/>
      <c r="S663" s="17"/>
      <c r="T663" s="17"/>
    </row>
    <row r="664" ht="15.75" customHeight="1">
      <c r="A664" s="18">
        <v>7.0</v>
      </c>
      <c r="B664" s="12" t="s">
        <v>70</v>
      </c>
      <c r="C664" s="12" t="s">
        <v>14</v>
      </c>
      <c r="D664" s="19" t="s">
        <v>15</v>
      </c>
      <c r="E664" s="12" t="str">
        <f>IFERROR(__xludf.DUMMYFUNCTION("FILTER(colegios!$B$2:$B5618,colegios!$A$2:$A5618=L664)"),"64508-B")</f>
        <v>64508-B</v>
      </c>
      <c r="F664" s="14" t="s">
        <v>16</v>
      </c>
      <c r="G664" s="20" t="s">
        <v>17</v>
      </c>
      <c r="H664" s="12" t="s">
        <v>18</v>
      </c>
      <c r="I664" s="15">
        <v>2024.0</v>
      </c>
      <c r="J664" s="16" t="str">
        <f>IFERROR(__xludf.DUMMYFUNCTION("FILTER('CLASFICACIÓN'!$F$3:$F5618,'CLASFICACIÓN'!$G$3:$G5618=M664)"),"SOLO 2024")</f>
        <v>SOLO 2024</v>
      </c>
      <c r="K664" s="16"/>
      <c r="L664" s="12" t="s">
        <v>73</v>
      </c>
      <c r="M664" s="16" t="str">
        <f t="shared" si="1"/>
        <v>64508-B2 Primaria</v>
      </c>
      <c r="N664" s="17"/>
      <c r="O664" s="17"/>
      <c r="P664" s="17"/>
      <c r="Q664" s="17"/>
      <c r="R664" s="17"/>
      <c r="S664" s="17"/>
      <c r="T664" s="17"/>
    </row>
    <row r="665" ht="15.75" customHeight="1">
      <c r="A665" s="18">
        <v>8.0</v>
      </c>
      <c r="B665" s="12" t="s">
        <v>70</v>
      </c>
      <c r="C665" s="12" t="s">
        <v>14</v>
      </c>
      <c r="D665" s="19" t="s">
        <v>15</v>
      </c>
      <c r="E665" s="12" t="str">
        <f>IFERROR(__xludf.DUMMYFUNCTION("FILTER(colegios!$B$2:$B5618,colegios!$A$2:$A5618=L665)"),"64508-B")</f>
        <v>64508-B</v>
      </c>
      <c r="F665" s="14" t="s">
        <v>16</v>
      </c>
      <c r="G665" s="19" t="s">
        <v>17</v>
      </c>
      <c r="H665" s="12" t="s">
        <v>18</v>
      </c>
      <c r="I665" s="15">
        <v>2024.0</v>
      </c>
      <c r="J665" s="16" t="str">
        <f>IFERROR(__xludf.DUMMYFUNCTION("FILTER('CLASFICACIÓN'!$F$3:$F5618,'CLASFICACIÓN'!$G$3:$G5618=M665)"),"SOLO 2024")</f>
        <v>SOLO 2024</v>
      </c>
      <c r="K665" s="16"/>
      <c r="L665" s="12" t="s">
        <v>73</v>
      </c>
      <c r="M665" s="16" t="str">
        <f t="shared" si="1"/>
        <v>64508-B2 Primaria</v>
      </c>
      <c r="N665" s="17"/>
      <c r="O665" s="17"/>
      <c r="P665" s="17"/>
      <c r="Q665" s="17"/>
      <c r="R665" s="17"/>
      <c r="S665" s="17"/>
      <c r="T665" s="17"/>
    </row>
    <row r="666" ht="15.75" customHeight="1">
      <c r="A666" s="18">
        <v>9.0</v>
      </c>
      <c r="B666" s="12" t="s">
        <v>70</v>
      </c>
      <c r="C666" s="12" t="s">
        <v>14</v>
      </c>
      <c r="D666" s="19" t="s">
        <v>20</v>
      </c>
      <c r="E666" s="12" t="str">
        <f>IFERROR(__xludf.DUMMYFUNCTION("FILTER(colegios!$B$2:$B5618,colegios!$A$2:$A5618=L666)"),"64508-B")</f>
        <v>64508-B</v>
      </c>
      <c r="F666" s="14" t="s">
        <v>16</v>
      </c>
      <c r="G666" s="19" t="s">
        <v>21</v>
      </c>
      <c r="H666" s="12" t="s">
        <v>18</v>
      </c>
      <c r="I666" s="15">
        <v>2024.0</v>
      </c>
      <c r="J666" s="16" t="str">
        <f>IFERROR(__xludf.DUMMYFUNCTION("FILTER('CLASFICACIÓN'!$F$3:$F5618,'CLASFICACIÓN'!$G$3:$G5618=M666)"),"SOLO 2024")</f>
        <v>SOLO 2024</v>
      </c>
      <c r="K666" s="16"/>
      <c r="L666" s="12" t="s">
        <v>73</v>
      </c>
      <c r="M666" s="16" t="str">
        <f t="shared" si="1"/>
        <v>64508-B4 Primaria</v>
      </c>
      <c r="N666" s="17"/>
      <c r="O666" s="17"/>
      <c r="P666" s="17"/>
      <c r="Q666" s="17"/>
      <c r="R666" s="17"/>
      <c r="S666" s="17"/>
      <c r="T666" s="17"/>
    </row>
    <row r="667" ht="15.75" customHeight="1">
      <c r="A667" s="18">
        <v>10.0</v>
      </c>
      <c r="B667" s="12" t="s">
        <v>70</v>
      </c>
      <c r="C667" s="12" t="s">
        <v>14</v>
      </c>
      <c r="D667" s="19" t="s">
        <v>20</v>
      </c>
      <c r="E667" s="12" t="str">
        <f>IFERROR(__xludf.DUMMYFUNCTION("FILTER(colegios!$B$2:$B5618,colegios!$A$2:$A5618=L667)"),"64508-B")</f>
        <v>64508-B</v>
      </c>
      <c r="F667" s="14" t="s">
        <v>16</v>
      </c>
      <c r="G667" s="19" t="s">
        <v>21</v>
      </c>
      <c r="H667" s="12" t="s">
        <v>18</v>
      </c>
      <c r="I667" s="15">
        <v>2024.0</v>
      </c>
      <c r="J667" s="16" t="str">
        <f>IFERROR(__xludf.DUMMYFUNCTION("FILTER('CLASFICACIÓN'!$F$3:$F5618,'CLASFICACIÓN'!$G$3:$G5618=M667)"),"SOLO 2024")</f>
        <v>SOLO 2024</v>
      </c>
      <c r="K667" s="16"/>
      <c r="L667" s="12" t="s">
        <v>73</v>
      </c>
      <c r="M667" s="16" t="str">
        <f t="shared" si="1"/>
        <v>64508-B4 Primaria</v>
      </c>
      <c r="N667" s="17"/>
      <c r="O667" s="17"/>
      <c r="P667" s="17"/>
      <c r="Q667" s="17"/>
      <c r="R667" s="17"/>
      <c r="S667" s="17"/>
      <c r="T667" s="17"/>
    </row>
    <row r="668" ht="15.75" customHeight="1">
      <c r="A668" s="18">
        <v>11.0</v>
      </c>
      <c r="B668" s="12" t="s">
        <v>70</v>
      </c>
      <c r="C668" s="12" t="s">
        <v>14</v>
      </c>
      <c r="D668" s="19" t="s">
        <v>20</v>
      </c>
      <c r="E668" s="12" t="str">
        <f>IFERROR(__xludf.DUMMYFUNCTION("FILTER(colegios!$B$2:$B5618,colegios!$A$2:$A5618=L668)"),"64508-B")</f>
        <v>64508-B</v>
      </c>
      <c r="F668" s="14" t="s">
        <v>16</v>
      </c>
      <c r="G668" s="20" t="s">
        <v>21</v>
      </c>
      <c r="H668" s="12" t="s">
        <v>24</v>
      </c>
      <c r="I668" s="15">
        <v>2024.0</v>
      </c>
      <c r="J668" s="16" t="str">
        <f>IFERROR(__xludf.DUMMYFUNCTION("FILTER('CLASFICACIÓN'!$F$3:$F5618,'CLASFICACIÓN'!$G$3:$G5618=M668)"),"SOLO 2024")</f>
        <v>SOLO 2024</v>
      </c>
      <c r="K668" s="16"/>
      <c r="L668" s="12" t="s">
        <v>73</v>
      </c>
      <c r="M668" s="16" t="str">
        <f t="shared" si="1"/>
        <v>64508-B4 Primaria</v>
      </c>
      <c r="N668" s="17"/>
      <c r="O668" s="17"/>
      <c r="P668" s="17"/>
      <c r="Q668" s="17"/>
      <c r="R668" s="17"/>
      <c r="S668" s="17"/>
      <c r="T668" s="17"/>
    </row>
    <row r="669" ht="15.75" customHeight="1">
      <c r="A669" s="18">
        <v>12.0</v>
      </c>
      <c r="B669" s="12" t="s">
        <v>70</v>
      </c>
      <c r="C669" s="12" t="s">
        <v>14</v>
      </c>
      <c r="D669" s="19" t="s">
        <v>20</v>
      </c>
      <c r="E669" s="12" t="str">
        <f>IFERROR(__xludf.DUMMYFUNCTION("FILTER(colegios!$B$2:$B5618,colegios!$A$2:$A5618=L669)"),"64508-B")</f>
        <v>64508-B</v>
      </c>
      <c r="F669" s="14" t="s">
        <v>16</v>
      </c>
      <c r="G669" s="19" t="s">
        <v>21</v>
      </c>
      <c r="H669" s="12" t="s">
        <v>18</v>
      </c>
      <c r="I669" s="15">
        <v>2024.0</v>
      </c>
      <c r="J669" s="16" t="str">
        <f>IFERROR(__xludf.DUMMYFUNCTION("FILTER('CLASFICACIÓN'!$F$3:$F5618,'CLASFICACIÓN'!$G$3:$G5618=M669)"),"SOLO 2024")</f>
        <v>SOLO 2024</v>
      </c>
      <c r="K669" s="16"/>
      <c r="L669" s="12" t="s">
        <v>73</v>
      </c>
      <c r="M669" s="16" t="str">
        <f t="shared" si="1"/>
        <v>64508-B4 Primaria</v>
      </c>
      <c r="N669" s="17"/>
      <c r="O669" s="17"/>
      <c r="P669" s="17"/>
      <c r="Q669" s="17"/>
      <c r="R669" s="17"/>
      <c r="S669" s="17"/>
      <c r="T669" s="17"/>
    </row>
    <row r="670" ht="15.75" customHeight="1">
      <c r="A670" s="18">
        <v>13.0</v>
      </c>
      <c r="B670" s="12" t="s">
        <v>70</v>
      </c>
      <c r="C670" s="12" t="s">
        <v>14</v>
      </c>
      <c r="D670" s="19" t="s">
        <v>20</v>
      </c>
      <c r="E670" s="12" t="str">
        <f>IFERROR(__xludf.DUMMYFUNCTION("FILTER(colegios!$B$2:$B5618,colegios!$A$2:$A5618=L670)"),"64508-B")</f>
        <v>64508-B</v>
      </c>
      <c r="F670" s="14" t="s">
        <v>16</v>
      </c>
      <c r="G670" s="19" t="s">
        <v>17</v>
      </c>
      <c r="H670" s="12" t="s">
        <v>18</v>
      </c>
      <c r="I670" s="15">
        <v>2024.0</v>
      </c>
      <c r="J670" s="16" t="str">
        <f>IFERROR(__xludf.DUMMYFUNCTION("FILTER('CLASFICACIÓN'!$F$3:$F5618,'CLASFICACIÓN'!$G$3:$G5618=M670)"),"SOLO 2024")</f>
        <v>SOLO 2024</v>
      </c>
      <c r="K670" s="16"/>
      <c r="L670" s="12" t="s">
        <v>73</v>
      </c>
      <c r="M670" s="16" t="str">
        <f t="shared" si="1"/>
        <v>64508-B4 Primaria</v>
      </c>
      <c r="N670" s="17"/>
      <c r="O670" s="17"/>
      <c r="P670" s="17"/>
      <c r="Q670" s="17"/>
      <c r="R670" s="17"/>
      <c r="S670" s="17"/>
      <c r="T670" s="17"/>
    </row>
    <row r="671" ht="15.75" customHeight="1">
      <c r="A671" s="18">
        <v>14.0</v>
      </c>
      <c r="B671" s="12" t="s">
        <v>70</v>
      </c>
      <c r="C671" s="12" t="s">
        <v>14</v>
      </c>
      <c r="D671" s="19" t="s">
        <v>20</v>
      </c>
      <c r="E671" s="12" t="str">
        <f>IFERROR(__xludf.DUMMYFUNCTION("FILTER(colegios!$B$2:$B5618,colegios!$A$2:$A5618=L671)"),"64508-B")</f>
        <v>64508-B</v>
      </c>
      <c r="F671" s="14" t="s">
        <v>16</v>
      </c>
      <c r="G671" s="20" t="s">
        <v>17</v>
      </c>
      <c r="H671" s="12" t="s">
        <v>18</v>
      </c>
      <c r="I671" s="15">
        <v>2024.0</v>
      </c>
      <c r="J671" s="16" t="str">
        <f>IFERROR(__xludf.DUMMYFUNCTION("FILTER('CLASFICACIÓN'!$F$3:$F5618,'CLASFICACIÓN'!$G$3:$G5618=M671)"),"SOLO 2024")</f>
        <v>SOLO 2024</v>
      </c>
      <c r="K671" s="16"/>
      <c r="L671" s="12" t="s">
        <v>73</v>
      </c>
      <c r="M671" s="16" t="str">
        <f t="shared" si="1"/>
        <v>64508-B4 Primaria</v>
      </c>
      <c r="N671" s="17"/>
      <c r="O671" s="17"/>
      <c r="P671" s="17"/>
      <c r="Q671" s="17"/>
      <c r="R671" s="17"/>
      <c r="S671" s="17"/>
      <c r="T671" s="17"/>
    </row>
    <row r="672" ht="15.75" customHeight="1">
      <c r="A672" s="18">
        <v>15.0</v>
      </c>
      <c r="B672" s="12" t="s">
        <v>70</v>
      </c>
      <c r="C672" s="12" t="s">
        <v>14</v>
      </c>
      <c r="D672" s="19" t="s">
        <v>20</v>
      </c>
      <c r="E672" s="12" t="str">
        <f>IFERROR(__xludf.DUMMYFUNCTION("FILTER(colegios!$B$2:$B5618,colegios!$A$2:$A5618=L672)"),"64508-B")</f>
        <v>64508-B</v>
      </c>
      <c r="F672" s="14" t="s">
        <v>16</v>
      </c>
      <c r="G672" s="19" t="s">
        <v>17</v>
      </c>
      <c r="H672" s="12" t="s">
        <v>24</v>
      </c>
      <c r="I672" s="15">
        <v>2024.0</v>
      </c>
      <c r="J672" s="16" t="str">
        <f>IFERROR(__xludf.DUMMYFUNCTION("FILTER('CLASFICACIÓN'!$F$3:$F5618,'CLASFICACIÓN'!$G$3:$G5618=M672)"),"SOLO 2024")</f>
        <v>SOLO 2024</v>
      </c>
      <c r="K672" s="16"/>
      <c r="L672" s="12" t="s">
        <v>73</v>
      </c>
      <c r="M672" s="16" t="str">
        <f t="shared" si="1"/>
        <v>64508-B4 Primaria</v>
      </c>
      <c r="N672" s="17"/>
      <c r="O672" s="17"/>
      <c r="P672" s="17"/>
      <c r="Q672" s="17"/>
      <c r="R672" s="17"/>
      <c r="S672" s="17"/>
      <c r="T672" s="17"/>
    </row>
    <row r="673" ht="15.75" customHeight="1">
      <c r="A673" s="18">
        <v>16.0</v>
      </c>
      <c r="B673" s="12" t="s">
        <v>70</v>
      </c>
      <c r="C673" s="12" t="s">
        <v>14</v>
      </c>
      <c r="D673" s="19" t="s">
        <v>20</v>
      </c>
      <c r="E673" s="12" t="str">
        <f>IFERROR(__xludf.DUMMYFUNCTION("FILTER(colegios!$B$2:$B5618,colegios!$A$2:$A5618=L673)"),"64508-B")</f>
        <v>64508-B</v>
      </c>
      <c r="F673" s="14" t="s">
        <v>16</v>
      </c>
      <c r="G673" s="20" t="s">
        <v>17</v>
      </c>
      <c r="H673" s="12" t="s">
        <v>18</v>
      </c>
      <c r="I673" s="15">
        <v>2024.0</v>
      </c>
      <c r="J673" s="16" t="str">
        <f>IFERROR(__xludf.DUMMYFUNCTION("FILTER('CLASFICACIÓN'!$F$3:$F5618,'CLASFICACIÓN'!$G$3:$G5618=M673)"),"SOLO 2024")</f>
        <v>SOLO 2024</v>
      </c>
      <c r="K673" s="16"/>
      <c r="L673" s="12" t="s">
        <v>73</v>
      </c>
      <c r="M673" s="16" t="str">
        <f t="shared" si="1"/>
        <v>64508-B4 Primaria</v>
      </c>
      <c r="N673" s="17"/>
      <c r="O673" s="17"/>
      <c r="P673" s="17"/>
      <c r="Q673" s="17"/>
      <c r="R673" s="17"/>
      <c r="S673" s="17"/>
      <c r="T673" s="17"/>
    </row>
    <row r="674" ht="15.75" customHeight="1">
      <c r="A674" s="18">
        <v>17.0</v>
      </c>
      <c r="B674" s="12" t="s">
        <v>70</v>
      </c>
      <c r="C674" s="12" t="s">
        <v>14</v>
      </c>
      <c r="D674" s="19" t="s">
        <v>20</v>
      </c>
      <c r="E674" s="12" t="str">
        <f>IFERROR(__xludf.DUMMYFUNCTION("FILTER(colegios!$B$2:$B5618,colegios!$A$2:$A5618=L674)"),"64508-B")</f>
        <v>64508-B</v>
      </c>
      <c r="F674" s="14" t="s">
        <v>16</v>
      </c>
      <c r="G674" s="20" t="s">
        <v>17</v>
      </c>
      <c r="H674" s="12" t="s">
        <v>18</v>
      </c>
      <c r="I674" s="15">
        <v>2024.0</v>
      </c>
      <c r="J674" s="16" t="str">
        <f>IFERROR(__xludf.DUMMYFUNCTION("FILTER('CLASFICACIÓN'!$F$3:$F5618,'CLASFICACIÓN'!$G$3:$G5618=M674)"),"SOLO 2024")</f>
        <v>SOLO 2024</v>
      </c>
      <c r="K674" s="16"/>
      <c r="L674" s="12" t="s">
        <v>73</v>
      </c>
      <c r="M674" s="16" t="str">
        <f t="shared" si="1"/>
        <v>64508-B4 Primaria</v>
      </c>
      <c r="N674" s="17"/>
      <c r="O674" s="17"/>
      <c r="P674" s="17"/>
      <c r="Q674" s="17"/>
      <c r="R674" s="17"/>
      <c r="S674" s="17"/>
      <c r="T674" s="17"/>
    </row>
    <row r="675" ht="15.75" customHeight="1">
      <c r="A675" s="18">
        <v>18.0</v>
      </c>
      <c r="B675" s="12" t="s">
        <v>70</v>
      </c>
      <c r="C675" s="12" t="s">
        <v>14</v>
      </c>
      <c r="D675" s="19" t="s">
        <v>22</v>
      </c>
      <c r="E675" s="12" t="str">
        <f>IFERROR(__xludf.DUMMYFUNCTION("FILTER(colegios!$B$2:$B5618,colegios!$A$2:$A5618=L675)"),"64508-B")</f>
        <v>64508-B</v>
      </c>
      <c r="F675" s="14" t="s">
        <v>16</v>
      </c>
      <c r="G675" s="20" t="s">
        <v>21</v>
      </c>
      <c r="H675" s="12" t="s">
        <v>18</v>
      </c>
      <c r="I675" s="15">
        <v>2024.0</v>
      </c>
      <c r="J675" s="16" t="str">
        <f>IFERROR(__xludf.DUMMYFUNCTION("FILTER('CLASFICACIÓN'!$F$3:$F5618,'CLASFICACIÓN'!$G$3:$G5618=M675)"),"SOLO 2024")</f>
        <v>SOLO 2024</v>
      </c>
      <c r="K675" s="16"/>
      <c r="L675" s="12" t="s">
        <v>73</v>
      </c>
      <c r="M675" s="16" t="str">
        <f t="shared" si="1"/>
        <v>64508-B6 Primaria</v>
      </c>
      <c r="N675" s="17"/>
      <c r="O675" s="17"/>
      <c r="P675" s="17"/>
      <c r="Q675" s="17"/>
      <c r="R675" s="17"/>
      <c r="S675" s="17"/>
      <c r="T675" s="17"/>
    </row>
    <row r="676" ht="15.75" customHeight="1">
      <c r="A676" s="18">
        <v>19.0</v>
      </c>
      <c r="B676" s="12" t="s">
        <v>70</v>
      </c>
      <c r="C676" s="12" t="s">
        <v>14</v>
      </c>
      <c r="D676" s="19" t="s">
        <v>22</v>
      </c>
      <c r="E676" s="12" t="str">
        <f>IFERROR(__xludf.DUMMYFUNCTION("FILTER(colegios!$B$2:$B5618,colegios!$A$2:$A5618=L676)"),"64508-B")</f>
        <v>64508-B</v>
      </c>
      <c r="F676" s="14" t="s">
        <v>16</v>
      </c>
      <c r="G676" s="19" t="s">
        <v>21</v>
      </c>
      <c r="H676" s="12" t="s">
        <v>18</v>
      </c>
      <c r="I676" s="15">
        <v>2024.0</v>
      </c>
      <c r="J676" s="16" t="str">
        <f>IFERROR(__xludf.DUMMYFUNCTION("FILTER('CLASFICACIÓN'!$F$3:$F5618,'CLASFICACIÓN'!$G$3:$G5618=M676)"),"SOLO 2024")</f>
        <v>SOLO 2024</v>
      </c>
      <c r="K676" s="16"/>
      <c r="L676" s="12" t="s">
        <v>73</v>
      </c>
      <c r="M676" s="16" t="str">
        <f t="shared" si="1"/>
        <v>64508-B6 Primaria</v>
      </c>
      <c r="N676" s="17"/>
      <c r="O676" s="17"/>
      <c r="P676" s="17"/>
      <c r="Q676" s="17"/>
      <c r="R676" s="17"/>
      <c r="S676" s="17"/>
      <c r="T676" s="17"/>
    </row>
    <row r="677" ht="15.75" customHeight="1">
      <c r="A677" s="18">
        <v>20.0</v>
      </c>
      <c r="B677" s="12" t="s">
        <v>70</v>
      </c>
      <c r="C677" s="12" t="s">
        <v>14</v>
      </c>
      <c r="D677" s="19" t="s">
        <v>22</v>
      </c>
      <c r="E677" s="12" t="str">
        <f>IFERROR(__xludf.DUMMYFUNCTION("FILTER(colegios!$B$2:$B5618,colegios!$A$2:$A5618=L677)"),"64508-B")</f>
        <v>64508-B</v>
      </c>
      <c r="F677" s="14" t="s">
        <v>16</v>
      </c>
      <c r="G677" s="20" t="s">
        <v>21</v>
      </c>
      <c r="H677" s="12" t="s">
        <v>18</v>
      </c>
      <c r="I677" s="15">
        <v>2024.0</v>
      </c>
      <c r="J677" s="16" t="str">
        <f>IFERROR(__xludf.DUMMYFUNCTION("FILTER('CLASFICACIÓN'!$F$3:$F5618,'CLASFICACIÓN'!$G$3:$G5618=M677)"),"SOLO 2024")</f>
        <v>SOLO 2024</v>
      </c>
      <c r="K677" s="16"/>
      <c r="L677" s="12" t="s">
        <v>73</v>
      </c>
      <c r="M677" s="16" t="str">
        <f t="shared" si="1"/>
        <v>64508-B6 Primaria</v>
      </c>
      <c r="N677" s="17"/>
      <c r="O677" s="17"/>
      <c r="P677" s="17"/>
      <c r="Q677" s="17"/>
      <c r="R677" s="17"/>
      <c r="S677" s="17"/>
      <c r="T677" s="17"/>
    </row>
    <row r="678" ht="15.75" customHeight="1">
      <c r="A678" s="18">
        <v>21.0</v>
      </c>
      <c r="B678" s="12" t="s">
        <v>70</v>
      </c>
      <c r="C678" s="12" t="s">
        <v>14</v>
      </c>
      <c r="D678" s="19" t="s">
        <v>22</v>
      </c>
      <c r="E678" s="12" t="str">
        <f>IFERROR(__xludf.DUMMYFUNCTION("FILTER(colegios!$B$2:$B5618,colegios!$A$2:$A5618=L678)"),"64508-B")</f>
        <v>64508-B</v>
      </c>
      <c r="F678" s="14" t="s">
        <v>16</v>
      </c>
      <c r="G678" s="20" t="s">
        <v>21</v>
      </c>
      <c r="H678" s="12" t="s">
        <v>18</v>
      </c>
      <c r="I678" s="15">
        <v>2024.0</v>
      </c>
      <c r="J678" s="16" t="str">
        <f>IFERROR(__xludf.DUMMYFUNCTION("FILTER('CLASFICACIÓN'!$F$3:$F5618,'CLASFICACIÓN'!$G$3:$G5618=M678)"),"SOLO 2024")</f>
        <v>SOLO 2024</v>
      </c>
      <c r="K678" s="16"/>
      <c r="L678" s="12" t="s">
        <v>73</v>
      </c>
      <c r="M678" s="16" t="str">
        <f t="shared" si="1"/>
        <v>64508-B6 Primaria</v>
      </c>
      <c r="N678" s="17"/>
      <c r="O678" s="17"/>
      <c r="P678" s="17"/>
      <c r="Q678" s="17"/>
      <c r="R678" s="17"/>
      <c r="S678" s="17"/>
      <c r="T678" s="17"/>
    </row>
    <row r="679" ht="15.75" customHeight="1">
      <c r="A679" s="18">
        <v>22.0</v>
      </c>
      <c r="B679" s="12" t="s">
        <v>70</v>
      </c>
      <c r="C679" s="12" t="s">
        <v>14</v>
      </c>
      <c r="D679" s="19" t="s">
        <v>22</v>
      </c>
      <c r="E679" s="12" t="str">
        <f>IFERROR(__xludf.DUMMYFUNCTION("FILTER(colegios!$B$2:$B5618,colegios!$A$2:$A5618=L679)"),"64508-B")</f>
        <v>64508-B</v>
      </c>
      <c r="F679" s="14" t="s">
        <v>16</v>
      </c>
      <c r="G679" s="20" t="s">
        <v>17</v>
      </c>
      <c r="H679" s="12" t="s">
        <v>18</v>
      </c>
      <c r="I679" s="15">
        <v>2024.0</v>
      </c>
      <c r="J679" s="16" t="str">
        <f>IFERROR(__xludf.DUMMYFUNCTION("FILTER('CLASFICACIÓN'!$F$3:$F5618,'CLASFICACIÓN'!$G$3:$G5618=M679)"),"SOLO 2024")</f>
        <v>SOLO 2024</v>
      </c>
      <c r="K679" s="16"/>
      <c r="L679" s="12" t="s">
        <v>73</v>
      </c>
      <c r="M679" s="16" t="str">
        <f t="shared" si="1"/>
        <v>64508-B6 Primaria</v>
      </c>
      <c r="N679" s="17"/>
      <c r="O679" s="17"/>
      <c r="P679" s="17"/>
      <c r="Q679" s="17"/>
      <c r="R679" s="17"/>
      <c r="S679" s="17"/>
      <c r="T679" s="17"/>
    </row>
    <row r="680" ht="15.75" customHeight="1">
      <c r="A680" s="18">
        <v>23.0</v>
      </c>
      <c r="B680" s="12" t="s">
        <v>70</v>
      </c>
      <c r="C680" s="12" t="s">
        <v>14</v>
      </c>
      <c r="D680" s="19" t="s">
        <v>22</v>
      </c>
      <c r="E680" s="12" t="str">
        <f>IFERROR(__xludf.DUMMYFUNCTION("FILTER(colegios!$B$2:$B5618,colegios!$A$2:$A5618=L680)"),"64508-B")</f>
        <v>64508-B</v>
      </c>
      <c r="F680" s="14" t="s">
        <v>16</v>
      </c>
      <c r="G680" s="19" t="s">
        <v>17</v>
      </c>
      <c r="H680" s="12" t="s">
        <v>18</v>
      </c>
      <c r="I680" s="15">
        <v>2024.0</v>
      </c>
      <c r="J680" s="16" t="str">
        <f>IFERROR(__xludf.DUMMYFUNCTION("FILTER('CLASFICACIÓN'!$F$3:$F5618,'CLASFICACIÓN'!$G$3:$G5618=M680)"),"SOLO 2024")</f>
        <v>SOLO 2024</v>
      </c>
      <c r="K680" s="16"/>
      <c r="L680" s="12" t="s">
        <v>73</v>
      </c>
      <c r="M680" s="16" t="str">
        <f t="shared" si="1"/>
        <v>64508-B6 Primaria</v>
      </c>
      <c r="N680" s="17"/>
      <c r="O680" s="17"/>
      <c r="P680" s="17"/>
      <c r="Q680" s="17"/>
      <c r="R680" s="17"/>
      <c r="S680" s="17"/>
      <c r="T680" s="17"/>
    </row>
    <row r="681" ht="15.75" customHeight="1">
      <c r="A681" s="18">
        <v>24.0</v>
      </c>
      <c r="B681" s="12" t="s">
        <v>70</v>
      </c>
      <c r="C681" s="12" t="s">
        <v>14</v>
      </c>
      <c r="D681" s="19" t="s">
        <v>22</v>
      </c>
      <c r="E681" s="12" t="str">
        <f>IFERROR(__xludf.DUMMYFUNCTION("FILTER(colegios!$B$2:$B5618,colegios!$A$2:$A5618=L681)"),"64508-B")</f>
        <v>64508-B</v>
      </c>
      <c r="F681" s="14" t="s">
        <v>16</v>
      </c>
      <c r="G681" s="19" t="s">
        <v>17</v>
      </c>
      <c r="H681" s="12" t="s">
        <v>18</v>
      </c>
      <c r="I681" s="15">
        <v>2024.0</v>
      </c>
      <c r="J681" s="16" t="str">
        <f>IFERROR(__xludf.DUMMYFUNCTION("FILTER('CLASFICACIÓN'!$F$3:$F5618,'CLASFICACIÓN'!$G$3:$G5618=M681)"),"SOLO 2024")</f>
        <v>SOLO 2024</v>
      </c>
      <c r="K681" s="16"/>
      <c r="L681" s="12" t="s">
        <v>73</v>
      </c>
      <c r="M681" s="16" t="str">
        <f t="shared" si="1"/>
        <v>64508-B6 Primaria</v>
      </c>
      <c r="N681" s="17"/>
      <c r="O681" s="17"/>
      <c r="P681" s="17"/>
      <c r="Q681" s="17"/>
      <c r="R681" s="17"/>
      <c r="S681" s="17"/>
      <c r="T681" s="17"/>
    </row>
    <row r="682" ht="15.75" customHeight="1">
      <c r="A682" s="18">
        <v>25.0</v>
      </c>
      <c r="B682" s="12" t="s">
        <v>70</v>
      </c>
      <c r="C682" s="12" t="s">
        <v>14</v>
      </c>
      <c r="D682" s="19" t="s">
        <v>22</v>
      </c>
      <c r="E682" s="12" t="str">
        <f>IFERROR(__xludf.DUMMYFUNCTION("FILTER(colegios!$B$2:$B5618,colegios!$A$2:$A5618=L682)"),"64508-B")</f>
        <v>64508-B</v>
      </c>
      <c r="F682" s="14" t="s">
        <v>16</v>
      </c>
      <c r="G682" s="20" t="s">
        <v>17</v>
      </c>
      <c r="H682" s="12" t="s">
        <v>18</v>
      </c>
      <c r="I682" s="15">
        <v>2024.0</v>
      </c>
      <c r="J682" s="16" t="str">
        <f>IFERROR(__xludf.DUMMYFUNCTION("FILTER('CLASFICACIÓN'!$F$3:$F5618,'CLASFICACIÓN'!$G$3:$G5618=M682)"),"SOLO 2024")</f>
        <v>SOLO 2024</v>
      </c>
      <c r="K682" s="16"/>
      <c r="L682" s="12" t="s">
        <v>73</v>
      </c>
      <c r="M682" s="16" t="str">
        <f t="shared" si="1"/>
        <v>64508-B6 Primaria</v>
      </c>
      <c r="N682" s="17"/>
      <c r="O682" s="17"/>
      <c r="P682" s="17"/>
      <c r="Q682" s="17"/>
      <c r="R682" s="17"/>
      <c r="S682" s="17"/>
      <c r="T682" s="17"/>
    </row>
    <row r="683" ht="15.75" customHeight="1">
      <c r="A683" s="18">
        <v>1.0</v>
      </c>
      <c r="B683" s="12" t="s">
        <v>70</v>
      </c>
      <c r="C683" s="12" t="s">
        <v>14</v>
      </c>
      <c r="D683" s="19" t="s">
        <v>15</v>
      </c>
      <c r="E683" s="12" t="str">
        <f>IFERROR(__xludf.DUMMYFUNCTION("FILTER(colegios!$B$2:$B5618,colegios!$A$2:$A5618=L683)"),"64873-B")</f>
        <v>64873-B</v>
      </c>
      <c r="F683" s="14" t="s">
        <v>16</v>
      </c>
      <c r="G683" s="20" t="s">
        <v>21</v>
      </c>
      <c r="H683" s="12" t="s">
        <v>18</v>
      </c>
      <c r="I683" s="15">
        <v>2024.0</v>
      </c>
      <c r="J683" s="16" t="str">
        <f>IFERROR(__xludf.DUMMYFUNCTION("FILTER('CLASFICACIÓN'!$F$3:$F5618,'CLASFICACIÓN'!$G$3:$G5618=M683)"),"SOLO 2024")</f>
        <v>SOLO 2024</v>
      </c>
      <c r="K683" s="16"/>
      <c r="L683" s="12" t="s">
        <v>74</v>
      </c>
      <c r="M683" s="16" t="str">
        <f t="shared" si="1"/>
        <v>64873-B2 Primaria</v>
      </c>
      <c r="N683" s="17"/>
      <c r="O683" s="17"/>
      <c r="P683" s="17"/>
      <c r="Q683" s="17"/>
      <c r="R683" s="17"/>
      <c r="S683" s="17"/>
      <c r="T683" s="17"/>
    </row>
    <row r="684" ht="15.75" customHeight="1">
      <c r="A684" s="18">
        <v>2.0</v>
      </c>
      <c r="B684" s="12" t="s">
        <v>70</v>
      </c>
      <c r="C684" s="12" t="s">
        <v>14</v>
      </c>
      <c r="D684" s="19" t="s">
        <v>15</v>
      </c>
      <c r="E684" s="12" t="str">
        <f>IFERROR(__xludf.DUMMYFUNCTION("FILTER(colegios!$B$2:$B5618,colegios!$A$2:$A5618=L684)"),"64873-B")</f>
        <v>64873-B</v>
      </c>
      <c r="F684" s="14" t="s">
        <v>16</v>
      </c>
      <c r="G684" s="20" t="s">
        <v>21</v>
      </c>
      <c r="H684" s="12" t="s">
        <v>18</v>
      </c>
      <c r="I684" s="15">
        <v>2024.0</v>
      </c>
      <c r="J684" s="16" t="str">
        <f>IFERROR(__xludf.DUMMYFUNCTION("FILTER('CLASFICACIÓN'!$F$3:$F5618,'CLASFICACIÓN'!$G$3:$G5618=M684)"),"SOLO 2024")</f>
        <v>SOLO 2024</v>
      </c>
      <c r="K684" s="16"/>
      <c r="L684" s="12" t="s">
        <v>74</v>
      </c>
      <c r="M684" s="16" t="str">
        <f t="shared" si="1"/>
        <v>64873-B2 Primaria</v>
      </c>
      <c r="N684" s="17"/>
      <c r="O684" s="17"/>
      <c r="P684" s="17"/>
      <c r="Q684" s="17"/>
      <c r="R684" s="17"/>
      <c r="S684" s="17"/>
      <c r="T684" s="17"/>
    </row>
    <row r="685" ht="15.75" customHeight="1">
      <c r="A685" s="18">
        <v>3.0</v>
      </c>
      <c r="B685" s="12" t="s">
        <v>70</v>
      </c>
      <c r="C685" s="12" t="s">
        <v>14</v>
      </c>
      <c r="D685" s="19" t="s">
        <v>15</v>
      </c>
      <c r="E685" s="12" t="str">
        <f>IFERROR(__xludf.DUMMYFUNCTION("FILTER(colegios!$B$2:$B5618,colegios!$A$2:$A5618=L685)"),"64873-B")</f>
        <v>64873-B</v>
      </c>
      <c r="F685" s="14" t="s">
        <v>16</v>
      </c>
      <c r="G685" s="20" t="s">
        <v>21</v>
      </c>
      <c r="H685" s="12" t="s">
        <v>18</v>
      </c>
      <c r="I685" s="15">
        <v>2024.0</v>
      </c>
      <c r="J685" s="16" t="str">
        <f>IFERROR(__xludf.DUMMYFUNCTION("FILTER('CLASFICACIÓN'!$F$3:$F5618,'CLASFICACIÓN'!$G$3:$G5618=M685)"),"SOLO 2024")</f>
        <v>SOLO 2024</v>
      </c>
      <c r="K685" s="16"/>
      <c r="L685" s="12" t="s">
        <v>74</v>
      </c>
      <c r="M685" s="16" t="str">
        <f t="shared" si="1"/>
        <v>64873-B2 Primaria</v>
      </c>
      <c r="N685" s="17"/>
      <c r="O685" s="17"/>
      <c r="P685" s="17"/>
      <c r="Q685" s="17"/>
      <c r="R685" s="17"/>
      <c r="S685" s="17"/>
      <c r="T685" s="17"/>
    </row>
    <row r="686" ht="15.75" customHeight="1">
      <c r="A686" s="18">
        <v>4.0</v>
      </c>
      <c r="B686" s="12" t="s">
        <v>70</v>
      </c>
      <c r="C686" s="12" t="s">
        <v>14</v>
      </c>
      <c r="D686" s="19" t="s">
        <v>15</v>
      </c>
      <c r="E686" s="12" t="str">
        <f>IFERROR(__xludf.DUMMYFUNCTION("FILTER(colegios!$B$2:$B5618,colegios!$A$2:$A5618=L686)"),"64873-B")</f>
        <v>64873-B</v>
      </c>
      <c r="F686" s="14" t="s">
        <v>16</v>
      </c>
      <c r="G686" s="20" t="s">
        <v>21</v>
      </c>
      <c r="H686" s="12" t="s">
        <v>18</v>
      </c>
      <c r="I686" s="15">
        <v>2024.0</v>
      </c>
      <c r="J686" s="16" t="str">
        <f>IFERROR(__xludf.DUMMYFUNCTION("FILTER('CLASFICACIÓN'!$F$3:$F5618,'CLASFICACIÓN'!$G$3:$G5618=M686)"),"SOLO 2024")</f>
        <v>SOLO 2024</v>
      </c>
      <c r="K686" s="16"/>
      <c r="L686" s="12" t="s">
        <v>74</v>
      </c>
      <c r="M686" s="16" t="str">
        <f t="shared" si="1"/>
        <v>64873-B2 Primaria</v>
      </c>
      <c r="N686" s="17"/>
      <c r="O686" s="17"/>
      <c r="P686" s="17"/>
      <c r="Q686" s="17"/>
      <c r="R686" s="17"/>
      <c r="S686" s="17"/>
      <c r="T686" s="17"/>
    </row>
    <row r="687" ht="15.75" customHeight="1">
      <c r="A687" s="18">
        <v>5.0</v>
      </c>
      <c r="B687" s="12" t="s">
        <v>70</v>
      </c>
      <c r="C687" s="12" t="s">
        <v>14</v>
      </c>
      <c r="D687" s="19" t="s">
        <v>15</v>
      </c>
      <c r="E687" s="12" t="str">
        <f>IFERROR(__xludf.DUMMYFUNCTION("FILTER(colegios!$B$2:$B5618,colegios!$A$2:$A5618=L687)"),"64873-B")</f>
        <v>64873-B</v>
      </c>
      <c r="F687" s="14" t="s">
        <v>16</v>
      </c>
      <c r="G687" s="19" t="s">
        <v>17</v>
      </c>
      <c r="H687" s="12" t="s">
        <v>18</v>
      </c>
      <c r="I687" s="15">
        <v>2024.0</v>
      </c>
      <c r="J687" s="16" t="str">
        <f>IFERROR(__xludf.DUMMYFUNCTION("FILTER('CLASFICACIÓN'!$F$3:$F5618,'CLASFICACIÓN'!$G$3:$G5618=M687)"),"SOLO 2024")</f>
        <v>SOLO 2024</v>
      </c>
      <c r="K687" s="16"/>
      <c r="L687" s="12" t="s">
        <v>74</v>
      </c>
      <c r="M687" s="16" t="str">
        <f t="shared" si="1"/>
        <v>64873-B2 Primaria</v>
      </c>
      <c r="N687" s="17"/>
      <c r="O687" s="17"/>
      <c r="P687" s="17"/>
      <c r="Q687" s="17"/>
      <c r="R687" s="17"/>
      <c r="S687" s="17"/>
      <c r="T687" s="17"/>
    </row>
    <row r="688" ht="15.75" customHeight="1">
      <c r="A688" s="18">
        <v>6.0</v>
      </c>
      <c r="B688" s="12" t="s">
        <v>70</v>
      </c>
      <c r="C688" s="12" t="s">
        <v>14</v>
      </c>
      <c r="D688" s="19" t="s">
        <v>15</v>
      </c>
      <c r="E688" s="12" t="str">
        <f>IFERROR(__xludf.DUMMYFUNCTION("FILTER(colegios!$B$2:$B5618,colegios!$A$2:$A5618=L688)"),"64873-B")</f>
        <v>64873-B</v>
      </c>
      <c r="F688" s="14" t="s">
        <v>16</v>
      </c>
      <c r="G688" s="19" t="s">
        <v>17</v>
      </c>
      <c r="H688" s="12" t="s">
        <v>18</v>
      </c>
      <c r="I688" s="15">
        <v>2024.0</v>
      </c>
      <c r="J688" s="16" t="str">
        <f>IFERROR(__xludf.DUMMYFUNCTION("FILTER('CLASFICACIÓN'!$F$3:$F5618,'CLASFICACIÓN'!$G$3:$G5618=M688)"),"SOLO 2024")</f>
        <v>SOLO 2024</v>
      </c>
      <c r="K688" s="16"/>
      <c r="L688" s="12" t="s">
        <v>74</v>
      </c>
      <c r="M688" s="16" t="str">
        <f t="shared" si="1"/>
        <v>64873-B2 Primaria</v>
      </c>
      <c r="N688" s="17"/>
      <c r="O688" s="17"/>
      <c r="P688" s="17"/>
      <c r="Q688" s="17"/>
      <c r="R688" s="17"/>
      <c r="S688" s="17"/>
      <c r="T688" s="17"/>
    </row>
    <row r="689" ht="15.75" customHeight="1">
      <c r="A689" s="18">
        <v>7.0</v>
      </c>
      <c r="B689" s="12" t="s">
        <v>70</v>
      </c>
      <c r="C689" s="12" t="s">
        <v>14</v>
      </c>
      <c r="D689" s="19" t="s">
        <v>15</v>
      </c>
      <c r="E689" s="12" t="str">
        <f>IFERROR(__xludf.DUMMYFUNCTION("FILTER(colegios!$B$2:$B5618,colegios!$A$2:$A5618=L689)"),"64873-B")</f>
        <v>64873-B</v>
      </c>
      <c r="F689" s="14" t="s">
        <v>16</v>
      </c>
      <c r="G689" s="20" t="s">
        <v>17</v>
      </c>
      <c r="H689" s="12" t="s">
        <v>18</v>
      </c>
      <c r="I689" s="15">
        <v>2024.0</v>
      </c>
      <c r="J689" s="16" t="str">
        <f>IFERROR(__xludf.DUMMYFUNCTION("FILTER('CLASFICACIÓN'!$F$3:$F5618,'CLASFICACIÓN'!$G$3:$G5618=M689)"),"SOLO 2024")</f>
        <v>SOLO 2024</v>
      </c>
      <c r="K689" s="16"/>
      <c r="L689" s="12" t="s">
        <v>74</v>
      </c>
      <c r="M689" s="16" t="str">
        <f t="shared" si="1"/>
        <v>64873-B2 Primaria</v>
      </c>
      <c r="N689" s="17"/>
      <c r="O689" s="17"/>
      <c r="P689" s="17"/>
      <c r="Q689" s="17"/>
      <c r="R689" s="17"/>
      <c r="S689" s="17"/>
      <c r="T689" s="17"/>
    </row>
    <row r="690" ht="15.75" customHeight="1">
      <c r="A690" s="18">
        <v>8.0</v>
      </c>
      <c r="B690" s="12" t="s">
        <v>70</v>
      </c>
      <c r="C690" s="12" t="s">
        <v>14</v>
      </c>
      <c r="D690" s="19" t="s">
        <v>20</v>
      </c>
      <c r="E690" s="12" t="str">
        <f>IFERROR(__xludf.DUMMYFUNCTION("FILTER(colegios!$B$2:$B5618,colegios!$A$2:$A5618=L690)"),"64873-B")</f>
        <v>64873-B</v>
      </c>
      <c r="F690" s="14" t="s">
        <v>16</v>
      </c>
      <c r="G690" s="19" t="s">
        <v>21</v>
      </c>
      <c r="H690" s="12" t="s">
        <v>18</v>
      </c>
      <c r="I690" s="15">
        <v>2024.0</v>
      </c>
      <c r="J690" s="16" t="str">
        <f>IFERROR(__xludf.DUMMYFUNCTION("FILTER('CLASFICACIÓN'!$F$3:$F5618,'CLASFICACIÓN'!$G$3:$G5618=M690)"),"SOLO 2024")</f>
        <v>SOLO 2024</v>
      </c>
      <c r="K690" s="16"/>
      <c r="L690" s="12" t="s">
        <v>74</v>
      </c>
      <c r="M690" s="16" t="str">
        <f t="shared" si="1"/>
        <v>64873-B4 Primaria</v>
      </c>
      <c r="N690" s="17"/>
      <c r="O690" s="17"/>
      <c r="P690" s="17"/>
      <c r="Q690" s="17"/>
      <c r="R690" s="17"/>
      <c r="S690" s="17"/>
      <c r="T690" s="17"/>
    </row>
    <row r="691" ht="15.75" customHeight="1">
      <c r="A691" s="18">
        <v>9.0</v>
      </c>
      <c r="B691" s="12" t="s">
        <v>70</v>
      </c>
      <c r="C691" s="12" t="s">
        <v>14</v>
      </c>
      <c r="D691" s="19" t="s">
        <v>20</v>
      </c>
      <c r="E691" s="12" t="str">
        <f>IFERROR(__xludf.DUMMYFUNCTION("FILTER(colegios!$B$2:$B5618,colegios!$A$2:$A5618=L691)"),"64873-B")</f>
        <v>64873-B</v>
      </c>
      <c r="F691" s="14" t="s">
        <v>16</v>
      </c>
      <c r="G691" s="20" t="s">
        <v>21</v>
      </c>
      <c r="H691" s="12" t="s">
        <v>18</v>
      </c>
      <c r="I691" s="15">
        <v>2024.0</v>
      </c>
      <c r="J691" s="16" t="str">
        <f>IFERROR(__xludf.DUMMYFUNCTION("FILTER('CLASFICACIÓN'!$F$3:$F5618,'CLASFICACIÓN'!$G$3:$G5618=M691)"),"SOLO 2024")</f>
        <v>SOLO 2024</v>
      </c>
      <c r="K691" s="16"/>
      <c r="L691" s="12" t="s">
        <v>74</v>
      </c>
      <c r="M691" s="16" t="str">
        <f t="shared" si="1"/>
        <v>64873-B4 Primaria</v>
      </c>
      <c r="N691" s="17"/>
      <c r="O691" s="17"/>
      <c r="P691" s="17"/>
      <c r="Q691" s="17"/>
      <c r="R691" s="17"/>
      <c r="S691" s="17"/>
      <c r="T691" s="17"/>
    </row>
    <row r="692" ht="15.75" customHeight="1">
      <c r="A692" s="18">
        <v>10.0</v>
      </c>
      <c r="B692" s="12" t="s">
        <v>70</v>
      </c>
      <c r="C692" s="12" t="s">
        <v>14</v>
      </c>
      <c r="D692" s="19" t="s">
        <v>20</v>
      </c>
      <c r="E692" s="12" t="str">
        <f>IFERROR(__xludf.DUMMYFUNCTION("FILTER(colegios!$B$2:$B5618,colegios!$A$2:$A5618=L692)"),"64873-B")</f>
        <v>64873-B</v>
      </c>
      <c r="F692" s="14" t="s">
        <v>16</v>
      </c>
      <c r="G692" s="19" t="s">
        <v>17</v>
      </c>
      <c r="H692" s="12" t="s">
        <v>18</v>
      </c>
      <c r="I692" s="15">
        <v>2024.0</v>
      </c>
      <c r="J692" s="16" t="str">
        <f>IFERROR(__xludf.DUMMYFUNCTION("FILTER('CLASFICACIÓN'!$F$3:$F5618,'CLASFICACIÓN'!$G$3:$G5618=M692)"),"SOLO 2024")</f>
        <v>SOLO 2024</v>
      </c>
      <c r="K692" s="16"/>
      <c r="L692" s="12" t="s">
        <v>74</v>
      </c>
      <c r="M692" s="16" t="str">
        <f t="shared" si="1"/>
        <v>64873-B4 Primaria</v>
      </c>
      <c r="N692" s="17"/>
      <c r="O692" s="17"/>
      <c r="P692" s="17"/>
      <c r="Q692" s="17"/>
      <c r="R692" s="17"/>
      <c r="S692" s="17"/>
      <c r="T692" s="17"/>
    </row>
    <row r="693" ht="15.75" customHeight="1">
      <c r="A693" s="18">
        <v>11.0</v>
      </c>
      <c r="B693" s="12" t="s">
        <v>70</v>
      </c>
      <c r="C693" s="12" t="s">
        <v>14</v>
      </c>
      <c r="D693" s="19" t="s">
        <v>20</v>
      </c>
      <c r="E693" s="12" t="str">
        <f>IFERROR(__xludf.DUMMYFUNCTION("FILTER(colegios!$B$2:$B5618,colegios!$A$2:$A5618=L693)"),"64873-B")</f>
        <v>64873-B</v>
      </c>
      <c r="F693" s="14" t="s">
        <v>16</v>
      </c>
      <c r="G693" s="20" t="s">
        <v>17</v>
      </c>
      <c r="H693" s="12" t="s">
        <v>18</v>
      </c>
      <c r="I693" s="15">
        <v>2024.0</v>
      </c>
      <c r="J693" s="16" t="str">
        <f>IFERROR(__xludf.DUMMYFUNCTION("FILTER('CLASFICACIÓN'!$F$3:$F5618,'CLASFICACIÓN'!$G$3:$G5618=M693)"),"SOLO 2024")</f>
        <v>SOLO 2024</v>
      </c>
      <c r="K693" s="16"/>
      <c r="L693" s="12" t="s">
        <v>74</v>
      </c>
      <c r="M693" s="16" t="str">
        <f t="shared" si="1"/>
        <v>64873-B4 Primaria</v>
      </c>
      <c r="N693" s="17"/>
      <c r="O693" s="17"/>
      <c r="P693" s="17"/>
      <c r="Q693" s="17"/>
      <c r="R693" s="17"/>
      <c r="S693" s="17"/>
      <c r="T693" s="17"/>
    </row>
    <row r="694" ht="15.75" customHeight="1">
      <c r="A694" s="18">
        <v>12.0</v>
      </c>
      <c r="B694" s="12" t="s">
        <v>70</v>
      </c>
      <c r="C694" s="12" t="s">
        <v>14</v>
      </c>
      <c r="D694" s="19" t="s">
        <v>22</v>
      </c>
      <c r="E694" s="12" t="str">
        <f>IFERROR(__xludf.DUMMYFUNCTION("FILTER(colegios!$B$2:$B5618,colegios!$A$2:$A5618=L694)"),"64873-B")</f>
        <v>64873-B</v>
      </c>
      <c r="F694" s="14" t="s">
        <v>16</v>
      </c>
      <c r="G694" s="19" t="s">
        <v>21</v>
      </c>
      <c r="H694" s="12" t="s">
        <v>18</v>
      </c>
      <c r="I694" s="15">
        <v>2024.0</v>
      </c>
      <c r="J694" s="16" t="str">
        <f>IFERROR(__xludf.DUMMYFUNCTION("FILTER('CLASFICACIÓN'!$F$3:$F5618,'CLASFICACIÓN'!$G$3:$G5618=M694)"),"SOLO 2024")</f>
        <v>SOLO 2024</v>
      </c>
      <c r="K694" s="16"/>
      <c r="L694" s="12" t="s">
        <v>74</v>
      </c>
      <c r="M694" s="16" t="str">
        <f t="shared" si="1"/>
        <v>64873-B6 Primaria</v>
      </c>
      <c r="N694" s="17"/>
      <c r="O694" s="17"/>
      <c r="P694" s="17"/>
      <c r="Q694" s="17"/>
      <c r="R694" s="17"/>
      <c r="S694" s="17"/>
      <c r="T694" s="17"/>
    </row>
    <row r="695" ht="15.75" customHeight="1">
      <c r="A695" s="18">
        <v>13.0</v>
      </c>
      <c r="B695" s="12" t="s">
        <v>70</v>
      </c>
      <c r="C695" s="12" t="s">
        <v>14</v>
      </c>
      <c r="D695" s="19" t="s">
        <v>22</v>
      </c>
      <c r="E695" s="12" t="str">
        <f>IFERROR(__xludf.DUMMYFUNCTION("FILTER(colegios!$B$2:$B5618,colegios!$A$2:$A5618=L695)"),"64873-B")</f>
        <v>64873-B</v>
      </c>
      <c r="F695" s="14" t="s">
        <v>16</v>
      </c>
      <c r="G695" s="20" t="s">
        <v>21</v>
      </c>
      <c r="H695" s="12" t="s">
        <v>18</v>
      </c>
      <c r="I695" s="15">
        <v>2024.0</v>
      </c>
      <c r="J695" s="16" t="str">
        <f>IFERROR(__xludf.DUMMYFUNCTION("FILTER('CLASFICACIÓN'!$F$3:$F5618,'CLASFICACIÓN'!$G$3:$G5618=M695)"),"SOLO 2024")</f>
        <v>SOLO 2024</v>
      </c>
      <c r="K695" s="16"/>
      <c r="L695" s="12" t="s">
        <v>74</v>
      </c>
      <c r="M695" s="16" t="str">
        <f t="shared" si="1"/>
        <v>64873-B6 Primaria</v>
      </c>
      <c r="N695" s="17"/>
      <c r="O695" s="17"/>
      <c r="P695" s="17"/>
      <c r="Q695" s="17"/>
      <c r="R695" s="17"/>
      <c r="S695" s="17"/>
      <c r="T695" s="17"/>
    </row>
    <row r="696" ht="15.75" customHeight="1">
      <c r="A696" s="18">
        <v>14.0</v>
      </c>
      <c r="B696" s="12" t="s">
        <v>70</v>
      </c>
      <c r="C696" s="12" t="s">
        <v>14</v>
      </c>
      <c r="D696" s="19" t="s">
        <v>22</v>
      </c>
      <c r="E696" s="12" t="str">
        <f>IFERROR(__xludf.DUMMYFUNCTION("FILTER(colegios!$B$2:$B5618,colegios!$A$2:$A5618=L696)"),"64873-B")</f>
        <v>64873-B</v>
      </c>
      <c r="F696" s="14" t="s">
        <v>16</v>
      </c>
      <c r="G696" s="20" t="s">
        <v>17</v>
      </c>
      <c r="H696" s="12" t="s">
        <v>18</v>
      </c>
      <c r="I696" s="15">
        <v>2024.0</v>
      </c>
      <c r="J696" s="16" t="str">
        <f>IFERROR(__xludf.DUMMYFUNCTION("FILTER('CLASFICACIÓN'!$F$3:$F5618,'CLASFICACIÓN'!$G$3:$G5618=M696)"),"SOLO 2024")</f>
        <v>SOLO 2024</v>
      </c>
      <c r="K696" s="16"/>
      <c r="L696" s="12" t="s">
        <v>74</v>
      </c>
      <c r="M696" s="16" t="str">
        <f t="shared" si="1"/>
        <v>64873-B6 Primaria</v>
      </c>
      <c r="N696" s="17"/>
      <c r="O696" s="17"/>
      <c r="P696" s="17"/>
      <c r="Q696" s="17"/>
      <c r="R696" s="17"/>
      <c r="S696" s="17"/>
      <c r="T696" s="17"/>
    </row>
    <row r="697" ht="15.75" customHeight="1">
      <c r="A697" s="18">
        <v>15.0</v>
      </c>
      <c r="B697" s="12" t="s">
        <v>70</v>
      </c>
      <c r="C697" s="12" t="s">
        <v>14</v>
      </c>
      <c r="D697" s="19" t="s">
        <v>22</v>
      </c>
      <c r="E697" s="12" t="str">
        <f>IFERROR(__xludf.DUMMYFUNCTION("FILTER(colegios!$B$2:$B5618,colegios!$A$2:$A5618=L697)"),"64873-B")</f>
        <v>64873-B</v>
      </c>
      <c r="F697" s="14" t="s">
        <v>16</v>
      </c>
      <c r="G697" s="19" t="s">
        <v>17</v>
      </c>
      <c r="H697" s="12" t="s">
        <v>18</v>
      </c>
      <c r="I697" s="15">
        <v>2024.0</v>
      </c>
      <c r="J697" s="16" t="str">
        <f>IFERROR(__xludf.DUMMYFUNCTION("FILTER('CLASFICACIÓN'!$F$3:$F5618,'CLASFICACIÓN'!$G$3:$G5618=M697)"),"SOLO 2024")</f>
        <v>SOLO 2024</v>
      </c>
      <c r="K697" s="16"/>
      <c r="L697" s="12" t="s">
        <v>74</v>
      </c>
      <c r="M697" s="16" t="str">
        <f t="shared" si="1"/>
        <v>64873-B6 Primaria</v>
      </c>
      <c r="N697" s="17"/>
      <c r="O697" s="17"/>
      <c r="P697" s="17"/>
      <c r="Q697" s="17"/>
      <c r="R697" s="17"/>
      <c r="S697" s="17"/>
      <c r="T697" s="17"/>
    </row>
    <row r="698" ht="15.75" customHeight="1">
      <c r="A698" s="18">
        <v>1.0</v>
      </c>
      <c r="B698" s="12" t="s">
        <v>70</v>
      </c>
      <c r="C698" s="12" t="s">
        <v>14</v>
      </c>
      <c r="D698" s="19" t="s">
        <v>15</v>
      </c>
      <c r="E698" s="12" t="str">
        <f>IFERROR(__xludf.DUMMYFUNCTION("FILTER(colegios!$B$2:$B5618,colegios!$A$2:$A5618=L698)"),"64545-B")</f>
        <v>64545-B</v>
      </c>
      <c r="F698" s="14" t="s">
        <v>16</v>
      </c>
      <c r="G698" s="20" t="s">
        <v>21</v>
      </c>
      <c r="H698" s="12" t="s">
        <v>18</v>
      </c>
      <c r="I698" s="15">
        <v>2024.0</v>
      </c>
      <c r="J698" s="16" t="str">
        <f>IFERROR(__xludf.DUMMYFUNCTION("FILTER('CLASFICACIÓN'!$F$3:$F5618,'CLASFICACIÓN'!$G$3:$G5618=M698)"),"SOLO 2024")</f>
        <v>SOLO 2024</v>
      </c>
      <c r="K698" s="16"/>
      <c r="L698" s="12" t="s">
        <v>75</v>
      </c>
      <c r="M698" s="16" t="str">
        <f t="shared" si="1"/>
        <v>64545-B2 Primaria</v>
      </c>
      <c r="N698" s="17"/>
      <c r="O698" s="17"/>
      <c r="P698" s="17"/>
      <c r="Q698" s="17"/>
      <c r="R698" s="17"/>
      <c r="S698" s="17"/>
      <c r="T698" s="17"/>
    </row>
    <row r="699" ht="15.75" customHeight="1">
      <c r="A699" s="18">
        <v>2.0</v>
      </c>
      <c r="B699" s="12" t="s">
        <v>70</v>
      </c>
      <c r="C699" s="12" t="s">
        <v>14</v>
      </c>
      <c r="D699" s="19" t="s">
        <v>15</v>
      </c>
      <c r="E699" s="12" t="str">
        <f>IFERROR(__xludf.DUMMYFUNCTION("FILTER(colegios!$B$2:$B5618,colegios!$A$2:$A5618=L699)"),"64545-B")</f>
        <v>64545-B</v>
      </c>
      <c r="F699" s="14" t="s">
        <v>16</v>
      </c>
      <c r="G699" s="20" t="s">
        <v>21</v>
      </c>
      <c r="H699" s="12" t="s">
        <v>18</v>
      </c>
      <c r="I699" s="15">
        <v>2024.0</v>
      </c>
      <c r="J699" s="16" t="str">
        <f>IFERROR(__xludf.DUMMYFUNCTION("FILTER('CLASFICACIÓN'!$F$3:$F5618,'CLASFICACIÓN'!$G$3:$G5618=M699)"),"SOLO 2024")</f>
        <v>SOLO 2024</v>
      </c>
      <c r="K699" s="16"/>
      <c r="L699" s="12" t="s">
        <v>75</v>
      </c>
      <c r="M699" s="16" t="str">
        <f t="shared" si="1"/>
        <v>64545-B2 Primaria</v>
      </c>
      <c r="N699" s="17"/>
      <c r="O699" s="17"/>
      <c r="P699" s="17"/>
      <c r="Q699" s="17"/>
      <c r="R699" s="17"/>
      <c r="S699" s="17"/>
      <c r="T699" s="17"/>
    </row>
    <row r="700" ht="15.75" customHeight="1">
      <c r="A700" s="18">
        <v>3.0</v>
      </c>
      <c r="B700" s="12" t="s">
        <v>70</v>
      </c>
      <c r="C700" s="12" t="s">
        <v>14</v>
      </c>
      <c r="D700" s="19" t="s">
        <v>20</v>
      </c>
      <c r="E700" s="12" t="str">
        <f>IFERROR(__xludf.DUMMYFUNCTION("FILTER(colegios!$B$2:$B5618,colegios!$A$2:$A5618=L700)"),"64545-B")</f>
        <v>64545-B</v>
      </c>
      <c r="F700" s="14" t="s">
        <v>16</v>
      </c>
      <c r="G700" s="19" t="s">
        <v>17</v>
      </c>
      <c r="H700" s="12" t="s">
        <v>18</v>
      </c>
      <c r="I700" s="15">
        <v>2024.0</v>
      </c>
      <c r="J700" s="16" t="str">
        <f>IFERROR(__xludf.DUMMYFUNCTION("FILTER('CLASFICACIÓN'!$F$3:$F5618,'CLASFICACIÓN'!$G$3:$G5618=M700)"),"SOLO 2024")</f>
        <v>SOLO 2024</v>
      </c>
      <c r="K700" s="16"/>
      <c r="L700" s="12" t="s">
        <v>75</v>
      </c>
      <c r="M700" s="16" t="str">
        <f t="shared" si="1"/>
        <v>64545-B4 Primaria</v>
      </c>
      <c r="N700" s="17"/>
      <c r="O700" s="17"/>
      <c r="P700" s="17"/>
      <c r="Q700" s="17"/>
      <c r="R700" s="17"/>
      <c r="S700" s="17"/>
      <c r="T700" s="17"/>
    </row>
    <row r="701" ht="15.75" customHeight="1">
      <c r="A701" s="18">
        <v>4.0</v>
      </c>
      <c r="B701" s="12" t="s">
        <v>70</v>
      </c>
      <c r="C701" s="12" t="s">
        <v>14</v>
      </c>
      <c r="D701" s="19" t="s">
        <v>22</v>
      </c>
      <c r="E701" s="12" t="str">
        <f>IFERROR(__xludf.DUMMYFUNCTION("FILTER(colegios!$B$2:$B5618,colegios!$A$2:$A5618=L701)"),"64545-B")</f>
        <v>64545-B</v>
      </c>
      <c r="F701" s="14" t="s">
        <v>16</v>
      </c>
      <c r="G701" s="20" t="s">
        <v>17</v>
      </c>
      <c r="H701" s="12" t="s">
        <v>18</v>
      </c>
      <c r="I701" s="15">
        <v>2024.0</v>
      </c>
      <c r="J701" s="16" t="str">
        <f>IFERROR(__xludf.DUMMYFUNCTION("FILTER('CLASFICACIÓN'!$F$3:$F5618,'CLASFICACIÓN'!$G$3:$G5618=M701)"),"SOLO 2024")</f>
        <v>SOLO 2024</v>
      </c>
      <c r="K701" s="16"/>
      <c r="L701" s="12" t="s">
        <v>75</v>
      </c>
      <c r="M701" s="16" t="str">
        <f t="shared" si="1"/>
        <v>64545-B6 Primaria</v>
      </c>
      <c r="N701" s="17"/>
      <c r="O701" s="17"/>
      <c r="P701" s="17"/>
      <c r="Q701" s="17"/>
      <c r="R701" s="17"/>
      <c r="S701" s="17"/>
      <c r="T701" s="17"/>
    </row>
    <row r="702" ht="15.75" customHeight="1">
      <c r="A702" s="18">
        <v>1.0</v>
      </c>
      <c r="B702" s="12" t="s">
        <v>70</v>
      </c>
      <c r="C702" s="12" t="s">
        <v>14</v>
      </c>
      <c r="D702" s="19" t="s">
        <v>15</v>
      </c>
      <c r="E702" s="12" t="str">
        <f>IFERROR(__xludf.DUMMYFUNCTION("FILTER(colegios!$B$2:$B5618,colegios!$A$2:$A5618=L702)"),"64949")</f>
        <v>64949</v>
      </c>
      <c r="F702" s="14" t="s">
        <v>16</v>
      </c>
      <c r="G702" s="20" t="s">
        <v>17</v>
      </c>
      <c r="H702" s="12" t="s">
        <v>18</v>
      </c>
      <c r="I702" s="15">
        <v>2024.0</v>
      </c>
      <c r="J702" s="16" t="str">
        <f>IFERROR(__xludf.DUMMYFUNCTION("FILTER('CLASFICACIÓN'!$F$3:$F5618,'CLASFICACIÓN'!$G$3:$G5618=M702)"),"SOLO 2024")</f>
        <v>SOLO 2024</v>
      </c>
      <c r="K702" s="16"/>
      <c r="L702" s="12" t="s">
        <v>76</v>
      </c>
      <c r="M702" s="16" t="str">
        <f t="shared" si="1"/>
        <v>649492 Primaria</v>
      </c>
      <c r="N702" s="17"/>
      <c r="O702" s="17"/>
      <c r="P702" s="17"/>
      <c r="Q702" s="17"/>
      <c r="R702" s="17"/>
      <c r="S702" s="17"/>
      <c r="T702" s="17"/>
    </row>
    <row r="703" ht="15.75" customHeight="1">
      <c r="A703" s="18">
        <v>3.0</v>
      </c>
      <c r="B703" s="12" t="s">
        <v>70</v>
      </c>
      <c r="C703" s="12" t="s">
        <v>14</v>
      </c>
      <c r="D703" s="19" t="s">
        <v>22</v>
      </c>
      <c r="E703" s="12" t="str">
        <f>IFERROR(__xludf.DUMMYFUNCTION("FILTER(colegios!$B$2:$B5618,colegios!$A$2:$A5618=L703)"),"64949")</f>
        <v>64949</v>
      </c>
      <c r="F703" s="14" t="s">
        <v>16</v>
      </c>
      <c r="G703" s="19" t="s">
        <v>21</v>
      </c>
      <c r="H703" s="12" t="s">
        <v>24</v>
      </c>
      <c r="I703" s="15">
        <v>2024.0</v>
      </c>
      <c r="J703" s="16" t="str">
        <f>IFERROR(__xludf.DUMMYFUNCTION("FILTER('CLASFICACIÓN'!$F$3:$F5618,'CLASFICACIÓN'!$G$3:$G5618=M703)"),"SOLO 2024")</f>
        <v>SOLO 2024</v>
      </c>
      <c r="K703" s="16"/>
      <c r="L703" s="12" t="s">
        <v>76</v>
      </c>
      <c r="M703" s="16" t="str">
        <f t="shared" si="1"/>
        <v>649496 Primaria</v>
      </c>
      <c r="N703" s="17"/>
      <c r="O703" s="17"/>
      <c r="P703" s="17"/>
      <c r="Q703" s="17"/>
      <c r="R703" s="17"/>
      <c r="S703" s="17"/>
      <c r="T703" s="17"/>
    </row>
    <row r="704" ht="15.75" customHeight="1">
      <c r="A704" s="18">
        <v>1.0</v>
      </c>
      <c r="B704" s="12" t="s">
        <v>70</v>
      </c>
      <c r="C704" s="12" t="s">
        <v>14</v>
      </c>
      <c r="D704" s="19" t="s">
        <v>15</v>
      </c>
      <c r="E704" s="12" t="str">
        <f>IFERROR(__xludf.DUMMYFUNCTION("FILTER(colegios!$B$2:$B5618,colegios!$A$2:$A5618=L704)"),"64871-B")</f>
        <v>64871-B</v>
      </c>
      <c r="F704" s="14" t="s">
        <v>16</v>
      </c>
      <c r="G704" s="20" t="s">
        <v>21</v>
      </c>
      <c r="H704" s="12" t="s">
        <v>18</v>
      </c>
      <c r="I704" s="15">
        <v>2024.0</v>
      </c>
      <c r="J704" s="16" t="str">
        <f>IFERROR(__xludf.DUMMYFUNCTION("FILTER('CLASFICACIÓN'!$F$3:$F5618,'CLASFICACIÓN'!$G$3:$G5618=M704)"),"SOLO 2024")</f>
        <v>SOLO 2024</v>
      </c>
      <c r="K704" s="16"/>
      <c r="L704" s="12" t="s">
        <v>77</v>
      </c>
      <c r="M704" s="16" t="str">
        <f t="shared" si="1"/>
        <v>64871-B2 Primaria</v>
      </c>
      <c r="N704" s="17"/>
      <c r="O704" s="17"/>
      <c r="P704" s="17"/>
      <c r="Q704" s="17"/>
      <c r="R704" s="17"/>
      <c r="S704" s="17"/>
      <c r="T704" s="17"/>
    </row>
    <row r="705" ht="15.75" customHeight="1">
      <c r="A705" s="18">
        <v>2.0</v>
      </c>
      <c r="B705" s="12" t="s">
        <v>70</v>
      </c>
      <c r="C705" s="12" t="s">
        <v>14</v>
      </c>
      <c r="D705" s="19" t="s">
        <v>15</v>
      </c>
      <c r="E705" s="12" t="str">
        <f>IFERROR(__xludf.DUMMYFUNCTION("FILTER(colegios!$B$2:$B5618,colegios!$A$2:$A5618=L705)"),"64871-B")</f>
        <v>64871-B</v>
      </c>
      <c r="F705" s="14" t="s">
        <v>16</v>
      </c>
      <c r="G705" s="20" t="s">
        <v>21</v>
      </c>
      <c r="H705" s="12" t="s">
        <v>18</v>
      </c>
      <c r="I705" s="15">
        <v>2024.0</v>
      </c>
      <c r="J705" s="16" t="str">
        <f>IFERROR(__xludf.DUMMYFUNCTION("FILTER('CLASFICACIÓN'!$F$3:$F5618,'CLASFICACIÓN'!$G$3:$G5618=M705)"),"SOLO 2024")</f>
        <v>SOLO 2024</v>
      </c>
      <c r="K705" s="16"/>
      <c r="L705" s="12" t="s">
        <v>77</v>
      </c>
      <c r="M705" s="16" t="str">
        <f t="shared" si="1"/>
        <v>64871-B2 Primaria</v>
      </c>
      <c r="N705" s="17"/>
      <c r="O705" s="17"/>
      <c r="P705" s="17"/>
      <c r="Q705" s="17"/>
      <c r="R705" s="17"/>
      <c r="S705" s="17"/>
      <c r="T705" s="17"/>
    </row>
    <row r="706" ht="15.75" customHeight="1">
      <c r="A706" s="18">
        <v>3.0</v>
      </c>
      <c r="B706" s="12" t="s">
        <v>70</v>
      </c>
      <c r="C706" s="12" t="s">
        <v>14</v>
      </c>
      <c r="D706" s="19" t="s">
        <v>15</v>
      </c>
      <c r="E706" s="12" t="str">
        <f>IFERROR(__xludf.DUMMYFUNCTION("FILTER(colegios!$B$2:$B5618,colegios!$A$2:$A5618=L706)"),"64871-B")</f>
        <v>64871-B</v>
      </c>
      <c r="F706" s="14" t="s">
        <v>16</v>
      </c>
      <c r="G706" s="20" t="s">
        <v>21</v>
      </c>
      <c r="H706" s="12" t="s">
        <v>24</v>
      </c>
      <c r="I706" s="15">
        <v>2024.0</v>
      </c>
      <c r="J706" s="16" t="str">
        <f>IFERROR(__xludf.DUMMYFUNCTION("FILTER('CLASFICACIÓN'!$F$3:$F5618,'CLASFICACIÓN'!$G$3:$G5618=M706)"),"SOLO 2024")</f>
        <v>SOLO 2024</v>
      </c>
      <c r="K706" s="16"/>
      <c r="L706" s="12" t="s">
        <v>77</v>
      </c>
      <c r="M706" s="16" t="str">
        <f t="shared" si="1"/>
        <v>64871-B2 Primaria</v>
      </c>
      <c r="N706" s="17"/>
      <c r="O706" s="17"/>
      <c r="P706" s="17"/>
      <c r="Q706" s="17"/>
      <c r="R706" s="17"/>
      <c r="S706" s="17"/>
      <c r="T706" s="17"/>
    </row>
    <row r="707" ht="15.75" customHeight="1">
      <c r="A707" s="18">
        <v>4.0</v>
      </c>
      <c r="B707" s="12" t="s">
        <v>70</v>
      </c>
      <c r="C707" s="12" t="s">
        <v>14</v>
      </c>
      <c r="D707" s="19" t="s">
        <v>15</v>
      </c>
      <c r="E707" s="12" t="str">
        <f>IFERROR(__xludf.DUMMYFUNCTION("FILTER(colegios!$B$2:$B5618,colegios!$A$2:$A5618=L707)"),"64871-B")</f>
        <v>64871-B</v>
      </c>
      <c r="F707" s="14" t="s">
        <v>16</v>
      </c>
      <c r="G707" s="20" t="s">
        <v>21</v>
      </c>
      <c r="H707" s="12" t="s">
        <v>24</v>
      </c>
      <c r="I707" s="15">
        <v>2024.0</v>
      </c>
      <c r="J707" s="16" t="str">
        <f>IFERROR(__xludf.DUMMYFUNCTION("FILTER('CLASFICACIÓN'!$F$3:$F5618,'CLASFICACIÓN'!$G$3:$G5618=M707)"),"SOLO 2024")</f>
        <v>SOLO 2024</v>
      </c>
      <c r="K707" s="16"/>
      <c r="L707" s="12" t="s">
        <v>77</v>
      </c>
      <c r="M707" s="16" t="str">
        <f t="shared" si="1"/>
        <v>64871-B2 Primaria</v>
      </c>
      <c r="N707" s="17"/>
      <c r="O707" s="17"/>
      <c r="P707" s="17"/>
      <c r="Q707" s="17"/>
      <c r="R707" s="17"/>
      <c r="S707" s="17"/>
      <c r="T707" s="17"/>
    </row>
    <row r="708" ht="15.75" customHeight="1">
      <c r="A708" s="18">
        <v>5.0</v>
      </c>
      <c r="B708" s="12" t="s">
        <v>70</v>
      </c>
      <c r="C708" s="12" t="s">
        <v>14</v>
      </c>
      <c r="D708" s="19" t="s">
        <v>15</v>
      </c>
      <c r="E708" s="12" t="str">
        <f>IFERROR(__xludf.DUMMYFUNCTION("FILTER(colegios!$B$2:$B5618,colegios!$A$2:$A5618=L708)"),"64871-B")</f>
        <v>64871-B</v>
      </c>
      <c r="F708" s="14" t="s">
        <v>16</v>
      </c>
      <c r="G708" s="19" t="s">
        <v>21</v>
      </c>
      <c r="H708" s="12" t="s">
        <v>24</v>
      </c>
      <c r="I708" s="15">
        <v>2024.0</v>
      </c>
      <c r="J708" s="16" t="str">
        <f>IFERROR(__xludf.DUMMYFUNCTION("FILTER('CLASFICACIÓN'!$F$3:$F5618,'CLASFICACIÓN'!$G$3:$G5618=M708)"),"SOLO 2024")</f>
        <v>SOLO 2024</v>
      </c>
      <c r="K708" s="16"/>
      <c r="L708" s="12" t="s">
        <v>77</v>
      </c>
      <c r="M708" s="16" t="str">
        <f t="shared" si="1"/>
        <v>64871-B2 Primaria</v>
      </c>
      <c r="N708" s="17"/>
      <c r="O708" s="17"/>
      <c r="P708" s="17"/>
      <c r="Q708" s="17"/>
      <c r="R708" s="17"/>
      <c r="S708" s="17"/>
      <c r="T708" s="17"/>
    </row>
    <row r="709" ht="15.75" customHeight="1">
      <c r="A709" s="18">
        <v>6.0</v>
      </c>
      <c r="B709" s="12" t="s">
        <v>70</v>
      </c>
      <c r="C709" s="12" t="s">
        <v>14</v>
      </c>
      <c r="D709" s="19" t="s">
        <v>15</v>
      </c>
      <c r="E709" s="12" t="str">
        <f>IFERROR(__xludf.DUMMYFUNCTION("FILTER(colegios!$B$2:$B5618,colegios!$A$2:$A5618=L709)"),"64871-B")</f>
        <v>64871-B</v>
      </c>
      <c r="F709" s="14" t="s">
        <v>16</v>
      </c>
      <c r="G709" s="20" t="s">
        <v>17</v>
      </c>
      <c r="H709" s="12" t="s">
        <v>24</v>
      </c>
      <c r="I709" s="15">
        <v>2024.0</v>
      </c>
      <c r="J709" s="16" t="str">
        <f>IFERROR(__xludf.DUMMYFUNCTION("FILTER('CLASFICACIÓN'!$F$3:$F5618,'CLASFICACIÓN'!$G$3:$G5618=M709)"),"SOLO 2024")</f>
        <v>SOLO 2024</v>
      </c>
      <c r="K709" s="16"/>
      <c r="L709" s="12" t="s">
        <v>77</v>
      </c>
      <c r="M709" s="16" t="str">
        <f t="shared" si="1"/>
        <v>64871-B2 Primaria</v>
      </c>
      <c r="N709" s="17"/>
      <c r="O709" s="17"/>
      <c r="P709" s="17"/>
      <c r="Q709" s="17"/>
      <c r="R709" s="17"/>
      <c r="S709" s="17"/>
      <c r="T709" s="17"/>
    </row>
    <row r="710" ht="15.75" customHeight="1">
      <c r="A710" s="18">
        <v>7.0</v>
      </c>
      <c r="B710" s="12" t="s">
        <v>70</v>
      </c>
      <c r="C710" s="12" t="s">
        <v>14</v>
      </c>
      <c r="D710" s="19" t="s">
        <v>15</v>
      </c>
      <c r="E710" s="12" t="str">
        <f>IFERROR(__xludf.DUMMYFUNCTION("FILTER(colegios!$B$2:$B5618,colegios!$A$2:$A5618=L710)"),"64871-B")</f>
        <v>64871-B</v>
      </c>
      <c r="F710" s="14" t="s">
        <v>16</v>
      </c>
      <c r="G710" s="19" t="s">
        <v>17</v>
      </c>
      <c r="H710" s="12" t="s">
        <v>24</v>
      </c>
      <c r="I710" s="15">
        <v>2024.0</v>
      </c>
      <c r="J710" s="16" t="str">
        <f>IFERROR(__xludf.DUMMYFUNCTION("FILTER('CLASFICACIÓN'!$F$3:$F5618,'CLASFICACIÓN'!$G$3:$G5618=M710)"),"SOLO 2024")</f>
        <v>SOLO 2024</v>
      </c>
      <c r="K710" s="16"/>
      <c r="L710" s="12" t="s">
        <v>77</v>
      </c>
      <c r="M710" s="16" t="str">
        <f t="shared" si="1"/>
        <v>64871-B2 Primaria</v>
      </c>
      <c r="N710" s="17"/>
      <c r="O710" s="17"/>
      <c r="P710" s="17"/>
      <c r="Q710" s="17"/>
      <c r="R710" s="17"/>
      <c r="S710" s="17"/>
      <c r="T710" s="17"/>
    </row>
    <row r="711" ht="15.75" customHeight="1">
      <c r="A711" s="18">
        <v>8.0</v>
      </c>
      <c r="B711" s="12" t="s">
        <v>70</v>
      </c>
      <c r="C711" s="12" t="s">
        <v>14</v>
      </c>
      <c r="D711" s="19" t="s">
        <v>15</v>
      </c>
      <c r="E711" s="12" t="str">
        <f>IFERROR(__xludf.DUMMYFUNCTION("FILTER(colegios!$B$2:$B5618,colegios!$A$2:$A5618=L711)"),"64871-B")</f>
        <v>64871-B</v>
      </c>
      <c r="F711" s="14" t="s">
        <v>16</v>
      </c>
      <c r="G711" s="20" t="s">
        <v>17</v>
      </c>
      <c r="H711" s="12" t="s">
        <v>24</v>
      </c>
      <c r="I711" s="15">
        <v>2024.0</v>
      </c>
      <c r="J711" s="16" t="str">
        <f>IFERROR(__xludf.DUMMYFUNCTION("FILTER('CLASFICACIÓN'!$F$3:$F5618,'CLASFICACIÓN'!$G$3:$G5618=M711)"),"SOLO 2024")</f>
        <v>SOLO 2024</v>
      </c>
      <c r="K711" s="16"/>
      <c r="L711" s="12" t="s">
        <v>77</v>
      </c>
      <c r="M711" s="16" t="str">
        <f t="shared" si="1"/>
        <v>64871-B2 Primaria</v>
      </c>
      <c r="N711" s="17"/>
      <c r="O711" s="17"/>
      <c r="P711" s="17"/>
      <c r="Q711" s="17"/>
      <c r="R711" s="17"/>
      <c r="S711" s="17"/>
      <c r="T711" s="17"/>
    </row>
    <row r="712" ht="15.75" customHeight="1">
      <c r="A712" s="18">
        <v>9.0</v>
      </c>
      <c r="B712" s="12" t="s">
        <v>70</v>
      </c>
      <c r="C712" s="12" t="s">
        <v>14</v>
      </c>
      <c r="D712" s="19" t="s">
        <v>15</v>
      </c>
      <c r="E712" s="12" t="str">
        <f>IFERROR(__xludf.DUMMYFUNCTION("FILTER(colegios!$B$2:$B5618,colegios!$A$2:$A5618=L712)"),"64871-B")</f>
        <v>64871-B</v>
      </c>
      <c r="F712" s="14" t="s">
        <v>16</v>
      </c>
      <c r="G712" s="20" t="s">
        <v>17</v>
      </c>
      <c r="H712" s="12" t="s">
        <v>18</v>
      </c>
      <c r="I712" s="15">
        <v>2024.0</v>
      </c>
      <c r="J712" s="16" t="str">
        <f>IFERROR(__xludf.DUMMYFUNCTION("FILTER('CLASFICACIÓN'!$F$3:$F5618,'CLASFICACIÓN'!$G$3:$G5618=M712)"),"SOLO 2024")</f>
        <v>SOLO 2024</v>
      </c>
      <c r="K712" s="16"/>
      <c r="L712" s="12" t="s">
        <v>77</v>
      </c>
      <c r="M712" s="16" t="str">
        <f t="shared" si="1"/>
        <v>64871-B2 Primaria</v>
      </c>
      <c r="N712" s="17"/>
      <c r="O712" s="17"/>
      <c r="P712" s="17"/>
      <c r="Q712" s="17"/>
      <c r="R712" s="17"/>
      <c r="S712" s="17"/>
      <c r="T712" s="17"/>
    </row>
    <row r="713" ht="15.75" customHeight="1">
      <c r="A713" s="18">
        <v>10.0</v>
      </c>
      <c r="B713" s="12" t="s">
        <v>70</v>
      </c>
      <c r="C713" s="12" t="s">
        <v>14</v>
      </c>
      <c r="D713" s="19" t="s">
        <v>20</v>
      </c>
      <c r="E713" s="12" t="str">
        <f>IFERROR(__xludf.DUMMYFUNCTION("FILTER(colegios!$B$2:$B5618,colegios!$A$2:$A5618=L713)"),"64871-B")</f>
        <v>64871-B</v>
      </c>
      <c r="F713" s="14" t="s">
        <v>16</v>
      </c>
      <c r="G713" s="20" t="s">
        <v>21</v>
      </c>
      <c r="H713" s="12" t="s">
        <v>24</v>
      </c>
      <c r="I713" s="15">
        <v>2024.0</v>
      </c>
      <c r="J713" s="16" t="str">
        <f>IFERROR(__xludf.DUMMYFUNCTION("FILTER('CLASFICACIÓN'!$F$3:$F5618,'CLASFICACIÓN'!$G$3:$G5618=M713)"),"2023 Y 2024")</f>
        <v>2023 Y 2024</v>
      </c>
      <c r="K713" s="16"/>
      <c r="L713" s="12" t="s">
        <v>77</v>
      </c>
      <c r="M713" s="16" t="str">
        <f t="shared" si="1"/>
        <v>64871-B4 Primaria</v>
      </c>
      <c r="N713" s="17"/>
      <c r="O713" s="17"/>
      <c r="P713" s="17"/>
      <c r="Q713" s="17"/>
      <c r="R713" s="17"/>
      <c r="S713" s="17"/>
      <c r="T713" s="17"/>
    </row>
    <row r="714" ht="15.75" customHeight="1">
      <c r="A714" s="18">
        <v>11.0</v>
      </c>
      <c r="B714" s="12" t="s">
        <v>70</v>
      </c>
      <c r="C714" s="12" t="s">
        <v>14</v>
      </c>
      <c r="D714" s="19" t="s">
        <v>20</v>
      </c>
      <c r="E714" s="12" t="str">
        <f>IFERROR(__xludf.DUMMYFUNCTION("FILTER(colegios!$B$2:$B5618,colegios!$A$2:$A5618=L714)"),"64871-B")</f>
        <v>64871-B</v>
      </c>
      <c r="F714" s="14" t="s">
        <v>16</v>
      </c>
      <c r="G714" s="20" t="s">
        <v>21</v>
      </c>
      <c r="H714" s="12" t="s">
        <v>24</v>
      </c>
      <c r="I714" s="15">
        <v>2024.0</v>
      </c>
      <c r="J714" s="16" t="str">
        <f>IFERROR(__xludf.DUMMYFUNCTION("FILTER('CLASFICACIÓN'!$F$3:$F5618,'CLASFICACIÓN'!$G$3:$G5618=M714)"),"2023 Y 2024")</f>
        <v>2023 Y 2024</v>
      </c>
      <c r="K714" s="16"/>
      <c r="L714" s="12" t="s">
        <v>77</v>
      </c>
      <c r="M714" s="16" t="str">
        <f t="shared" si="1"/>
        <v>64871-B4 Primaria</v>
      </c>
      <c r="N714" s="17"/>
      <c r="O714" s="17"/>
      <c r="P714" s="17"/>
      <c r="Q714" s="17"/>
      <c r="R714" s="17"/>
      <c r="S714" s="17"/>
      <c r="T714" s="17"/>
    </row>
    <row r="715" ht="15.75" customHeight="1">
      <c r="A715" s="18">
        <v>12.0</v>
      </c>
      <c r="B715" s="12" t="s">
        <v>70</v>
      </c>
      <c r="C715" s="12" t="s">
        <v>14</v>
      </c>
      <c r="D715" s="19" t="s">
        <v>20</v>
      </c>
      <c r="E715" s="12" t="str">
        <f>IFERROR(__xludf.DUMMYFUNCTION("FILTER(colegios!$B$2:$B5618,colegios!$A$2:$A5618=L715)"),"64871-B")</f>
        <v>64871-B</v>
      </c>
      <c r="F715" s="14" t="s">
        <v>16</v>
      </c>
      <c r="G715" s="19" t="s">
        <v>21</v>
      </c>
      <c r="H715" s="12" t="s">
        <v>24</v>
      </c>
      <c r="I715" s="15">
        <v>2024.0</v>
      </c>
      <c r="J715" s="16" t="str">
        <f>IFERROR(__xludf.DUMMYFUNCTION("FILTER('CLASFICACIÓN'!$F$3:$F5618,'CLASFICACIÓN'!$G$3:$G5618=M715)"),"2023 Y 2024")</f>
        <v>2023 Y 2024</v>
      </c>
      <c r="K715" s="16"/>
      <c r="L715" s="12" t="s">
        <v>77</v>
      </c>
      <c r="M715" s="16" t="str">
        <f t="shared" si="1"/>
        <v>64871-B4 Primaria</v>
      </c>
      <c r="N715" s="17"/>
      <c r="O715" s="17"/>
      <c r="P715" s="17"/>
      <c r="Q715" s="17"/>
      <c r="R715" s="17"/>
      <c r="S715" s="17"/>
      <c r="T715" s="17"/>
    </row>
    <row r="716" ht="15.75" customHeight="1">
      <c r="A716" s="18">
        <v>13.0</v>
      </c>
      <c r="B716" s="12" t="s">
        <v>70</v>
      </c>
      <c r="C716" s="12" t="s">
        <v>14</v>
      </c>
      <c r="D716" s="19" t="s">
        <v>20</v>
      </c>
      <c r="E716" s="12" t="str">
        <f>IFERROR(__xludf.DUMMYFUNCTION("FILTER(colegios!$B$2:$B5618,colegios!$A$2:$A5618=L716)"),"64871-B")</f>
        <v>64871-B</v>
      </c>
      <c r="F716" s="14" t="s">
        <v>16</v>
      </c>
      <c r="G716" s="20" t="s">
        <v>21</v>
      </c>
      <c r="H716" s="12" t="s">
        <v>24</v>
      </c>
      <c r="I716" s="15">
        <v>2024.0</v>
      </c>
      <c r="J716" s="16" t="str">
        <f>IFERROR(__xludf.DUMMYFUNCTION("FILTER('CLASFICACIÓN'!$F$3:$F5618,'CLASFICACIÓN'!$G$3:$G5618=M716)"),"2023 Y 2024")</f>
        <v>2023 Y 2024</v>
      </c>
      <c r="K716" s="16"/>
      <c r="L716" s="12" t="s">
        <v>77</v>
      </c>
      <c r="M716" s="16" t="str">
        <f t="shared" si="1"/>
        <v>64871-B4 Primaria</v>
      </c>
      <c r="N716" s="17"/>
      <c r="O716" s="17"/>
      <c r="P716" s="17"/>
      <c r="Q716" s="17"/>
      <c r="R716" s="17"/>
      <c r="S716" s="17"/>
      <c r="T716" s="17"/>
    </row>
    <row r="717" ht="15.75" customHeight="1">
      <c r="A717" s="18">
        <v>14.0</v>
      </c>
      <c r="B717" s="12" t="s">
        <v>70</v>
      </c>
      <c r="C717" s="12" t="s">
        <v>14</v>
      </c>
      <c r="D717" s="19" t="s">
        <v>20</v>
      </c>
      <c r="E717" s="12" t="str">
        <f>IFERROR(__xludf.DUMMYFUNCTION("FILTER(colegios!$B$2:$B5618,colegios!$A$2:$A5618=L717)"),"64871-B")</f>
        <v>64871-B</v>
      </c>
      <c r="F717" s="14" t="s">
        <v>16</v>
      </c>
      <c r="G717" s="19" t="s">
        <v>21</v>
      </c>
      <c r="H717" s="12" t="s">
        <v>24</v>
      </c>
      <c r="I717" s="15">
        <v>2024.0</v>
      </c>
      <c r="J717" s="16" t="str">
        <f>IFERROR(__xludf.DUMMYFUNCTION("FILTER('CLASFICACIÓN'!$F$3:$F5618,'CLASFICACIÓN'!$G$3:$G5618=M717)"),"2023 Y 2024")</f>
        <v>2023 Y 2024</v>
      </c>
      <c r="K717" s="16"/>
      <c r="L717" s="12" t="s">
        <v>77</v>
      </c>
      <c r="M717" s="16" t="str">
        <f t="shared" si="1"/>
        <v>64871-B4 Primaria</v>
      </c>
      <c r="N717" s="17"/>
      <c r="O717" s="17"/>
      <c r="P717" s="17"/>
      <c r="Q717" s="17"/>
      <c r="R717" s="17"/>
      <c r="S717" s="17"/>
      <c r="T717" s="17"/>
    </row>
    <row r="718" ht="15.75" customHeight="1">
      <c r="A718" s="18">
        <v>15.0</v>
      </c>
      <c r="B718" s="12" t="s">
        <v>70</v>
      </c>
      <c r="C718" s="12" t="s">
        <v>14</v>
      </c>
      <c r="D718" s="19" t="s">
        <v>20</v>
      </c>
      <c r="E718" s="12" t="str">
        <f>IFERROR(__xludf.DUMMYFUNCTION("FILTER(colegios!$B$2:$B5618,colegios!$A$2:$A5618=L718)"),"64871-B")</f>
        <v>64871-B</v>
      </c>
      <c r="F718" s="14" t="s">
        <v>16</v>
      </c>
      <c r="G718" s="20" t="s">
        <v>21</v>
      </c>
      <c r="H718" s="12" t="s">
        <v>24</v>
      </c>
      <c r="I718" s="15">
        <v>2024.0</v>
      </c>
      <c r="J718" s="16" t="str">
        <f>IFERROR(__xludf.DUMMYFUNCTION("FILTER('CLASFICACIÓN'!$F$3:$F5618,'CLASFICACIÓN'!$G$3:$G5618=M718)"),"2023 Y 2024")</f>
        <v>2023 Y 2024</v>
      </c>
      <c r="K718" s="16"/>
      <c r="L718" s="12" t="s">
        <v>77</v>
      </c>
      <c r="M718" s="16" t="str">
        <f t="shared" si="1"/>
        <v>64871-B4 Primaria</v>
      </c>
      <c r="N718" s="17"/>
      <c r="O718" s="17"/>
      <c r="P718" s="17"/>
      <c r="Q718" s="17"/>
      <c r="R718" s="17"/>
      <c r="S718" s="17"/>
      <c r="T718" s="17"/>
    </row>
    <row r="719" ht="15.75" customHeight="1">
      <c r="A719" s="18">
        <v>16.0</v>
      </c>
      <c r="B719" s="12" t="s">
        <v>70</v>
      </c>
      <c r="C719" s="12" t="s">
        <v>14</v>
      </c>
      <c r="D719" s="19" t="s">
        <v>20</v>
      </c>
      <c r="E719" s="12" t="str">
        <f>IFERROR(__xludf.DUMMYFUNCTION("FILTER(colegios!$B$2:$B5618,colegios!$A$2:$A5618=L719)"),"64871-B")</f>
        <v>64871-B</v>
      </c>
      <c r="F719" s="14" t="s">
        <v>16</v>
      </c>
      <c r="G719" s="20" t="s">
        <v>17</v>
      </c>
      <c r="H719" s="12" t="s">
        <v>24</v>
      </c>
      <c r="I719" s="15">
        <v>2024.0</v>
      </c>
      <c r="J719" s="16" t="str">
        <f>IFERROR(__xludf.DUMMYFUNCTION("FILTER('CLASFICACIÓN'!$F$3:$F5618,'CLASFICACIÓN'!$G$3:$G5618=M719)"),"2023 Y 2024")</f>
        <v>2023 Y 2024</v>
      </c>
      <c r="K719" s="16"/>
      <c r="L719" s="12" t="s">
        <v>77</v>
      </c>
      <c r="M719" s="16" t="str">
        <f t="shared" si="1"/>
        <v>64871-B4 Primaria</v>
      </c>
      <c r="N719" s="17"/>
      <c r="O719" s="17"/>
      <c r="P719" s="17"/>
      <c r="Q719" s="17"/>
      <c r="R719" s="17"/>
      <c r="S719" s="17"/>
      <c r="T719" s="17"/>
    </row>
    <row r="720" ht="15.75" customHeight="1">
      <c r="A720" s="18">
        <v>17.0</v>
      </c>
      <c r="B720" s="12" t="s">
        <v>70</v>
      </c>
      <c r="C720" s="12" t="s">
        <v>14</v>
      </c>
      <c r="D720" s="19" t="s">
        <v>20</v>
      </c>
      <c r="E720" s="12" t="str">
        <f>IFERROR(__xludf.DUMMYFUNCTION("FILTER(colegios!$B$2:$B5618,colegios!$A$2:$A5618=L720)"),"64871-B")</f>
        <v>64871-B</v>
      </c>
      <c r="F720" s="14" t="s">
        <v>16</v>
      </c>
      <c r="G720" s="19" t="s">
        <v>17</v>
      </c>
      <c r="H720" s="12" t="s">
        <v>18</v>
      </c>
      <c r="I720" s="15">
        <v>2024.0</v>
      </c>
      <c r="J720" s="16" t="str">
        <f>IFERROR(__xludf.DUMMYFUNCTION("FILTER('CLASFICACIÓN'!$F$3:$F5618,'CLASFICACIÓN'!$G$3:$G5618=M720)"),"2023 Y 2024")</f>
        <v>2023 Y 2024</v>
      </c>
      <c r="K720" s="16"/>
      <c r="L720" s="12" t="s">
        <v>77</v>
      </c>
      <c r="M720" s="16" t="str">
        <f t="shared" si="1"/>
        <v>64871-B4 Primaria</v>
      </c>
      <c r="N720" s="17"/>
      <c r="O720" s="17"/>
      <c r="P720" s="17"/>
      <c r="Q720" s="17"/>
      <c r="R720" s="17"/>
      <c r="S720" s="17"/>
      <c r="T720" s="17"/>
    </row>
    <row r="721" ht="15.75" customHeight="1">
      <c r="A721" s="18">
        <v>18.0</v>
      </c>
      <c r="B721" s="12" t="s">
        <v>70</v>
      </c>
      <c r="C721" s="12" t="s">
        <v>14</v>
      </c>
      <c r="D721" s="19" t="s">
        <v>20</v>
      </c>
      <c r="E721" s="12" t="str">
        <f>IFERROR(__xludf.DUMMYFUNCTION("FILTER(colegios!$B$2:$B5618,colegios!$A$2:$A5618=L721)"),"64871-B")</f>
        <v>64871-B</v>
      </c>
      <c r="F721" s="14" t="s">
        <v>16</v>
      </c>
      <c r="G721" s="19" t="s">
        <v>17</v>
      </c>
      <c r="H721" s="12" t="s">
        <v>24</v>
      </c>
      <c r="I721" s="15">
        <v>2024.0</v>
      </c>
      <c r="J721" s="16" t="str">
        <f>IFERROR(__xludf.DUMMYFUNCTION("FILTER('CLASFICACIÓN'!$F$3:$F5618,'CLASFICACIÓN'!$G$3:$G5618=M721)"),"2023 Y 2024")</f>
        <v>2023 Y 2024</v>
      </c>
      <c r="K721" s="16"/>
      <c r="L721" s="12" t="s">
        <v>77</v>
      </c>
      <c r="M721" s="16" t="str">
        <f t="shared" si="1"/>
        <v>64871-B4 Primaria</v>
      </c>
      <c r="N721" s="17"/>
      <c r="O721" s="17"/>
      <c r="P721" s="17"/>
      <c r="Q721" s="17"/>
      <c r="R721" s="17"/>
      <c r="S721" s="17"/>
      <c r="T721" s="17"/>
    </row>
    <row r="722" ht="15.75" customHeight="1">
      <c r="A722" s="18">
        <v>19.0</v>
      </c>
      <c r="B722" s="12" t="s">
        <v>70</v>
      </c>
      <c r="C722" s="12" t="s">
        <v>14</v>
      </c>
      <c r="D722" s="19" t="s">
        <v>20</v>
      </c>
      <c r="E722" s="12" t="str">
        <f>IFERROR(__xludf.DUMMYFUNCTION("FILTER(colegios!$B$2:$B5618,colegios!$A$2:$A5618=L722)"),"64871-B")</f>
        <v>64871-B</v>
      </c>
      <c r="F722" s="14" t="s">
        <v>16</v>
      </c>
      <c r="G722" s="20" t="s">
        <v>17</v>
      </c>
      <c r="H722" s="12" t="s">
        <v>24</v>
      </c>
      <c r="I722" s="15">
        <v>2024.0</v>
      </c>
      <c r="J722" s="16" t="str">
        <f>IFERROR(__xludf.DUMMYFUNCTION("FILTER('CLASFICACIÓN'!$F$3:$F5618,'CLASFICACIÓN'!$G$3:$G5618=M722)"),"2023 Y 2024")</f>
        <v>2023 Y 2024</v>
      </c>
      <c r="K722" s="16"/>
      <c r="L722" s="12" t="s">
        <v>77</v>
      </c>
      <c r="M722" s="16" t="str">
        <f t="shared" si="1"/>
        <v>64871-B4 Primaria</v>
      </c>
      <c r="N722" s="17"/>
      <c r="O722" s="17"/>
      <c r="P722" s="17"/>
      <c r="Q722" s="17"/>
      <c r="R722" s="17"/>
      <c r="S722" s="17"/>
      <c r="T722" s="17"/>
    </row>
    <row r="723" ht="15.75" customHeight="1">
      <c r="A723" s="18">
        <v>20.0</v>
      </c>
      <c r="B723" s="12" t="s">
        <v>70</v>
      </c>
      <c r="C723" s="12" t="s">
        <v>14</v>
      </c>
      <c r="D723" s="19" t="s">
        <v>22</v>
      </c>
      <c r="E723" s="12" t="str">
        <f>IFERROR(__xludf.DUMMYFUNCTION("FILTER(colegios!$B$2:$B5618,colegios!$A$2:$A5618=L723)"),"64871-B")</f>
        <v>64871-B</v>
      </c>
      <c r="F723" s="14" t="s">
        <v>16</v>
      </c>
      <c r="G723" s="20" t="s">
        <v>21</v>
      </c>
      <c r="H723" s="12" t="s">
        <v>18</v>
      </c>
      <c r="I723" s="15">
        <v>2024.0</v>
      </c>
      <c r="J723" s="16" t="str">
        <f>IFERROR(__xludf.DUMMYFUNCTION("FILTER('CLASFICACIÓN'!$F$3:$F5618,'CLASFICACIÓN'!$G$3:$G5618=M723)"),"SOLO 2024")</f>
        <v>SOLO 2024</v>
      </c>
      <c r="K723" s="16"/>
      <c r="L723" s="12" t="s">
        <v>77</v>
      </c>
      <c r="M723" s="16" t="str">
        <f t="shared" si="1"/>
        <v>64871-B6 Primaria</v>
      </c>
      <c r="N723" s="17"/>
      <c r="O723" s="17"/>
      <c r="P723" s="17"/>
      <c r="Q723" s="17"/>
      <c r="R723" s="17"/>
      <c r="S723" s="17"/>
      <c r="T723" s="17"/>
    </row>
    <row r="724" ht="15.75" customHeight="1">
      <c r="A724" s="18">
        <v>21.0</v>
      </c>
      <c r="B724" s="12" t="s">
        <v>70</v>
      </c>
      <c r="C724" s="12" t="s">
        <v>14</v>
      </c>
      <c r="D724" s="19" t="s">
        <v>22</v>
      </c>
      <c r="E724" s="12" t="str">
        <f>IFERROR(__xludf.DUMMYFUNCTION("FILTER(colegios!$B$2:$B5618,colegios!$A$2:$A5618=L724)"),"64871-B")</f>
        <v>64871-B</v>
      </c>
      <c r="F724" s="14" t="s">
        <v>16</v>
      </c>
      <c r="G724" s="19" t="s">
        <v>21</v>
      </c>
      <c r="H724" s="12" t="s">
        <v>18</v>
      </c>
      <c r="I724" s="15">
        <v>2024.0</v>
      </c>
      <c r="J724" s="16" t="str">
        <f>IFERROR(__xludf.DUMMYFUNCTION("FILTER('CLASFICACIÓN'!$F$3:$F5618,'CLASFICACIÓN'!$G$3:$G5618=M724)"),"SOLO 2024")</f>
        <v>SOLO 2024</v>
      </c>
      <c r="K724" s="16"/>
      <c r="L724" s="12" t="s">
        <v>77</v>
      </c>
      <c r="M724" s="16" t="str">
        <f t="shared" si="1"/>
        <v>64871-B6 Primaria</v>
      </c>
      <c r="N724" s="17"/>
      <c r="O724" s="17"/>
      <c r="P724" s="17"/>
      <c r="Q724" s="17"/>
      <c r="R724" s="17"/>
      <c r="S724" s="17"/>
      <c r="T724" s="17"/>
    </row>
    <row r="725" ht="15.75" customHeight="1">
      <c r="A725" s="18">
        <v>22.0</v>
      </c>
      <c r="B725" s="12" t="s">
        <v>70</v>
      </c>
      <c r="C725" s="12" t="s">
        <v>14</v>
      </c>
      <c r="D725" s="19" t="s">
        <v>22</v>
      </c>
      <c r="E725" s="12" t="str">
        <f>IFERROR(__xludf.DUMMYFUNCTION("FILTER(colegios!$B$2:$B5618,colegios!$A$2:$A5618=L725)"),"64871-B")</f>
        <v>64871-B</v>
      </c>
      <c r="F725" s="14" t="s">
        <v>16</v>
      </c>
      <c r="G725" s="20" t="s">
        <v>21</v>
      </c>
      <c r="H725" s="12" t="s">
        <v>18</v>
      </c>
      <c r="I725" s="15">
        <v>2024.0</v>
      </c>
      <c r="J725" s="16" t="str">
        <f>IFERROR(__xludf.DUMMYFUNCTION("FILTER('CLASFICACIÓN'!$F$3:$F5618,'CLASFICACIÓN'!$G$3:$G5618=M725)"),"SOLO 2024")</f>
        <v>SOLO 2024</v>
      </c>
      <c r="K725" s="16"/>
      <c r="L725" s="12" t="s">
        <v>77</v>
      </c>
      <c r="M725" s="16" t="str">
        <f t="shared" si="1"/>
        <v>64871-B6 Primaria</v>
      </c>
      <c r="N725" s="17"/>
      <c r="O725" s="17"/>
      <c r="P725" s="17"/>
      <c r="Q725" s="17"/>
      <c r="R725" s="17"/>
      <c r="S725" s="17"/>
      <c r="T725" s="17"/>
    </row>
    <row r="726" ht="15.75" customHeight="1">
      <c r="A726" s="18">
        <v>23.0</v>
      </c>
      <c r="B726" s="12" t="s">
        <v>70</v>
      </c>
      <c r="C726" s="12" t="s">
        <v>14</v>
      </c>
      <c r="D726" s="19" t="s">
        <v>22</v>
      </c>
      <c r="E726" s="12" t="str">
        <f>IFERROR(__xludf.DUMMYFUNCTION("FILTER(colegios!$B$2:$B5618,colegios!$A$2:$A5618=L726)"),"64871-B")</f>
        <v>64871-B</v>
      </c>
      <c r="F726" s="14" t="s">
        <v>16</v>
      </c>
      <c r="G726" s="19" t="s">
        <v>21</v>
      </c>
      <c r="H726" s="12" t="s">
        <v>18</v>
      </c>
      <c r="I726" s="15">
        <v>2024.0</v>
      </c>
      <c r="J726" s="16" t="str">
        <f>IFERROR(__xludf.DUMMYFUNCTION("FILTER('CLASFICACIÓN'!$F$3:$F5618,'CLASFICACIÓN'!$G$3:$G5618=M726)"),"SOLO 2024")</f>
        <v>SOLO 2024</v>
      </c>
      <c r="K726" s="16"/>
      <c r="L726" s="12" t="s">
        <v>77</v>
      </c>
      <c r="M726" s="16" t="str">
        <f t="shared" si="1"/>
        <v>64871-B6 Primaria</v>
      </c>
      <c r="N726" s="17"/>
      <c r="O726" s="17"/>
      <c r="P726" s="17"/>
      <c r="Q726" s="17"/>
      <c r="R726" s="17"/>
      <c r="S726" s="17"/>
      <c r="T726" s="17"/>
    </row>
    <row r="727" ht="15.75" customHeight="1">
      <c r="A727" s="18">
        <v>24.0</v>
      </c>
      <c r="B727" s="12" t="s">
        <v>70</v>
      </c>
      <c r="C727" s="12" t="s">
        <v>14</v>
      </c>
      <c r="D727" s="19" t="s">
        <v>22</v>
      </c>
      <c r="E727" s="12" t="str">
        <f>IFERROR(__xludf.DUMMYFUNCTION("FILTER(colegios!$B$2:$B5618,colegios!$A$2:$A5618=L727)"),"64871-B")</f>
        <v>64871-B</v>
      </c>
      <c r="F727" s="14" t="s">
        <v>16</v>
      </c>
      <c r="G727" s="19" t="s">
        <v>17</v>
      </c>
      <c r="H727" s="12" t="s">
        <v>18</v>
      </c>
      <c r="I727" s="15">
        <v>2024.0</v>
      </c>
      <c r="J727" s="16" t="str">
        <f>IFERROR(__xludf.DUMMYFUNCTION("FILTER('CLASFICACIÓN'!$F$3:$F5618,'CLASFICACIÓN'!$G$3:$G5618=M727)"),"SOLO 2024")</f>
        <v>SOLO 2024</v>
      </c>
      <c r="K727" s="16"/>
      <c r="L727" s="12" t="s">
        <v>77</v>
      </c>
      <c r="M727" s="16" t="str">
        <f t="shared" si="1"/>
        <v>64871-B6 Primaria</v>
      </c>
      <c r="N727" s="17"/>
      <c r="O727" s="17"/>
      <c r="P727" s="17"/>
      <c r="Q727" s="17"/>
      <c r="R727" s="17"/>
      <c r="S727" s="17"/>
      <c r="T727" s="17"/>
    </row>
    <row r="728" ht="15.75" customHeight="1">
      <c r="A728" s="18">
        <v>25.0</v>
      </c>
      <c r="B728" s="12" t="s">
        <v>70</v>
      </c>
      <c r="C728" s="12" t="s">
        <v>14</v>
      </c>
      <c r="D728" s="19" t="s">
        <v>22</v>
      </c>
      <c r="E728" s="12" t="str">
        <f>IFERROR(__xludf.DUMMYFUNCTION("FILTER(colegios!$B$2:$B5618,colegios!$A$2:$A5618=L728)"),"64871-B")</f>
        <v>64871-B</v>
      </c>
      <c r="F728" s="14" t="s">
        <v>16</v>
      </c>
      <c r="G728" s="19" t="s">
        <v>17</v>
      </c>
      <c r="H728" s="12" t="s">
        <v>18</v>
      </c>
      <c r="I728" s="15">
        <v>2024.0</v>
      </c>
      <c r="J728" s="16" t="str">
        <f>IFERROR(__xludf.DUMMYFUNCTION("FILTER('CLASFICACIÓN'!$F$3:$F5618,'CLASFICACIÓN'!$G$3:$G5618=M728)"),"SOLO 2024")</f>
        <v>SOLO 2024</v>
      </c>
      <c r="K728" s="16"/>
      <c r="L728" s="12" t="s">
        <v>77</v>
      </c>
      <c r="M728" s="16" t="str">
        <f t="shared" si="1"/>
        <v>64871-B6 Primaria</v>
      </c>
      <c r="N728" s="17"/>
      <c r="O728" s="17"/>
      <c r="P728" s="17"/>
      <c r="Q728" s="17"/>
      <c r="R728" s="17"/>
      <c r="S728" s="17"/>
      <c r="T728" s="17"/>
    </row>
    <row r="729" ht="15.75" customHeight="1">
      <c r="A729" s="18">
        <v>26.0</v>
      </c>
      <c r="B729" s="12" t="s">
        <v>70</v>
      </c>
      <c r="C729" s="12" t="s">
        <v>14</v>
      </c>
      <c r="D729" s="19" t="s">
        <v>22</v>
      </c>
      <c r="E729" s="12" t="str">
        <f>IFERROR(__xludf.DUMMYFUNCTION("FILTER(colegios!$B$2:$B5618,colegios!$A$2:$A5618=L729)"),"64871-B")</f>
        <v>64871-B</v>
      </c>
      <c r="F729" s="14" t="s">
        <v>16</v>
      </c>
      <c r="G729" s="20" t="s">
        <v>17</v>
      </c>
      <c r="H729" s="12" t="s">
        <v>18</v>
      </c>
      <c r="I729" s="15">
        <v>2024.0</v>
      </c>
      <c r="J729" s="16" t="str">
        <f>IFERROR(__xludf.DUMMYFUNCTION("FILTER('CLASFICACIÓN'!$F$3:$F5618,'CLASFICACIÓN'!$G$3:$G5618=M729)"),"SOLO 2024")</f>
        <v>SOLO 2024</v>
      </c>
      <c r="K729" s="16"/>
      <c r="L729" s="12" t="s">
        <v>77</v>
      </c>
      <c r="M729" s="16" t="str">
        <f t="shared" si="1"/>
        <v>64871-B6 Primaria</v>
      </c>
      <c r="N729" s="17"/>
      <c r="O729" s="17"/>
      <c r="P729" s="17"/>
      <c r="Q729" s="17"/>
      <c r="R729" s="17"/>
      <c r="S729" s="17"/>
      <c r="T729" s="17"/>
    </row>
    <row r="730" ht="15.75" customHeight="1">
      <c r="A730" s="18">
        <v>27.0</v>
      </c>
      <c r="B730" s="12" t="s">
        <v>70</v>
      </c>
      <c r="C730" s="12" t="s">
        <v>14</v>
      </c>
      <c r="D730" s="19" t="s">
        <v>22</v>
      </c>
      <c r="E730" s="12" t="str">
        <f>IFERROR(__xludf.DUMMYFUNCTION("FILTER(colegios!$B$2:$B5618,colegios!$A$2:$A5618=L730)"),"64871-B")</f>
        <v>64871-B</v>
      </c>
      <c r="F730" s="14" t="s">
        <v>16</v>
      </c>
      <c r="G730" s="20" t="s">
        <v>17</v>
      </c>
      <c r="H730" s="12" t="s">
        <v>18</v>
      </c>
      <c r="I730" s="15">
        <v>2024.0</v>
      </c>
      <c r="J730" s="16" t="str">
        <f>IFERROR(__xludf.DUMMYFUNCTION("FILTER('CLASFICACIÓN'!$F$3:$F5618,'CLASFICACIÓN'!$G$3:$G5618=M730)"),"SOLO 2024")</f>
        <v>SOLO 2024</v>
      </c>
      <c r="K730" s="16"/>
      <c r="L730" s="12" t="s">
        <v>77</v>
      </c>
      <c r="M730" s="16" t="str">
        <f t="shared" si="1"/>
        <v>64871-B6 Primaria</v>
      </c>
      <c r="N730" s="17"/>
      <c r="O730" s="17"/>
      <c r="P730" s="17"/>
      <c r="Q730" s="17"/>
      <c r="R730" s="17"/>
      <c r="S730" s="17"/>
      <c r="T730" s="17"/>
    </row>
    <row r="731" ht="15.75" customHeight="1">
      <c r="A731" s="18">
        <v>28.0</v>
      </c>
      <c r="B731" s="12" t="s">
        <v>70</v>
      </c>
      <c r="C731" s="12" t="s">
        <v>14</v>
      </c>
      <c r="D731" s="19" t="s">
        <v>22</v>
      </c>
      <c r="E731" s="12" t="str">
        <f>IFERROR(__xludf.DUMMYFUNCTION("FILTER(colegios!$B$2:$B5618,colegios!$A$2:$A5618=L731)"),"64871-B")</f>
        <v>64871-B</v>
      </c>
      <c r="F731" s="14" t="s">
        <v>16</v>
      </c>
      <c r="G731" s="19" t="s">
        <v>17</v>
      </c>
      <c r="H731" s="12" t="s">
        <v>18</v>
      </c>
      <c r="I731" s="15">
        <v>2024.0</v>
      </c>
      <c r="J731" s="16" t="str">
        <f>IFERROR(__xludf.DUMMYFUNCTION("FILTER('CLASFICACIÓN'!$F$3:$F5618,'CLASFICACIÓN'!$G$3:$G5618=M731)"),"SOLO 2024")</f>
        <v>SOLO 2024</v>
      </c>
      <c r="K731" s="16"/>
      <c r="L731" s="12" t="s">
        <v>77</v>
      </c>
      <c r="M731" s="16" t="str">
        <f t="shared" si="1"/>
        <v>64871-B6 Primaria</v>
      </c>
      <c r="N731" s="17"/>
      <c r="O731" s="17"/>
      <c r="P731" s="17"/>
      <c r="Q731" s="17"/>
      <c r="R731" s="17"/>
      <c r="S731" s="17"/>
      <c r="T731" s="17"/>
    </row>
    <row r="732" ht="15.75" customHeight="1">
      <c r="A732" s="18">
        <v>29.0</v>
      </c>
      <c r="B732" s="12" t="s">
        <v>70</v>
      </c>
      <c r="C732" s="12" t="s">
        <v>14</v>
      </c>
      <c r="D732" s="19" t="s">
        <v>22</v>
      </c>
      <c r="E732" s="12" t="str">
        <f>IFERROR(__xludf.DUMMYFUNCTION("FILTER(colegios!$B$2:$B5618,colegios!$A$2:$A5618=L732)"),"64871-B")</f>
        <v>64871-B</v>
      </c>
      <c r="F732" s="14" t="s">
        <v>16</v>
      </c>
      <c r="G732" s="20" t="s">
        <v>17</v>
      </c>
      <c r="H732" s="12" t="s">
        <v>18</v>
      </c>
      <c r="I732" s="15">
        <v>2024.0</v>
      </c>
      <c r="J732" s="16" t="str">
        <f>IFERROR(__xludf.DUMMYFUNCTION("FILTER('CLASFICACIÓN'!$F$3:$F5618,'CLASFICACIÓN'!$G$3:$G5618=M732)"),"SOLO 2024")</f>
        <v>SOLO 2024</v>
      </c>
      <c r="K732" s="16"/>
      <c r="L732" s="12" t="s">
        <v>77</v>
      </c>
      <c r="M732" s="16" t="str">
        <f t="shared" si="1"/>
        <v>64871-B6 Primaria</v>
      </c>
      <c r="N732" s="17"/>
      <c r="O732" s="17"/>
      <c r="P732" s="17"/>
      <c r="Q732" s="17"/>
      <c r="R732" s="17"/>
      <c r="S732" s="17"/>
      <c r="T732" s="17"/>
    </row>
    <row r="733" ht="15.75" customHeight="1">
      <c r="A733" s="18">
        <v>1.0</v>
      </c>
      <c r="B733" s="12" t="s">
        <v>70</v>
      </c>
      <c r="C733" s="12" t="s">
        <v>14</v>
      </c>
      <c r="D733" s="19" t="s">
        <v>15</v>
      </c>
      <c r="E733" s="12" t="str">
        <f>IFERROR(__xludf.DUMMYFUNCTION("FILTER(colegios!$B$2:$B5618,colegios!$A$2:$A5618=L733)"),"64028")</f>
        <v>64028</v>
      </c>
      <c r="F733" s="14" t="s">
        <v>16</v>
      </c>
      <c r="G733" s="19" t="s">
        <v>21</v>
      </c>
      <c r="H733" s="12" t="s">
        <v>24</v>
      </c>
      <c r="I733" s="15">
        <v>2024.0</v>
      </c>
      <c r="J733" s="16" t="str">
        <f>IFERROR(__xludf.DUMMYFUNCTION("FILTER('CLASFICACIÓN'!$F$3:$F5618,'CLASFICACIÓN'!$G$3:$G5618=M733)"),"LOS 3 AÑOS")</f>
        <v>LOS 3 AÑOS</v>
      </c>
      <c r="K733" s="16"/>
      <c r="L733" s="12" t="s">
        <v>78</v>
      </c>
      <c r="M733" s="16" t="str">
        <f t="shared" si="1"/>
        <v>640282 Primaria</v>
      </c>
      <c r="N733" s="17"/>
      <c r="O733" s="17"/>
      <c r="P733" s="17"/>
      <c r="Q733" s="17"/>
      <c r="R733" s="17"/>
      <c r="S733" s="17"/>
      <c r="T733" s="17"/>
    </row>
    <row r="734" ht="15.75" customHeight="1">
      <c r="A734" s="18">
        <v>2.0</v>
      </c>
      <c r="B734" s="12" t="s">
        <v>70</v>
      </c>
      <c r="C734" s="12" t="s">
        <v>14</v>
      </c>
      <c r="D734" s="19" t="s">
        <v>15</v>
      </c>
      <c r="E734" s="12" t="str">
        <f>IFERROR(__xludf.DUMMYFUNCTION("FILTER(colegios!$B$2:$B5618,colegios!$A$2:$A5618=L734)"),"64028")</f>
        <v>64028</v>
      </c>
      <c r="F734" s="14" t="s">
        <v>16</v>
      </c>
      <c r="G734" s="19" t="s">
        <v>17</v>
      </c>
      <c r="H734" s="12" t="s">
        <v>24</v>
      </c>
      <c r="I734" s="15">
        <v>2024.0</v>
      </c>
      <c r="J734" s="16" t="str">
        <f>IFERROR(__xludf.DUMMYFUNCTION("FILTER('CLASFICACIÓN'!$F$3:$F5618,'CLASFICACIÓN'!$G$3:$G5618=M734)"),"LOS 3 AÑOS")</f>
        <v>LOS 3 AÑOS</v>
      </c>
      <c r="K734" s="16"/>
      <c r="L734" s="12" t="s">
        <v>78</v>
      </c>
      <c r="M734" s="16" t="str">
        <f t="shared" si="1"/>
        <v>640282 Primaria</v>
      </c>
      <c r="N734" s="17"/>
      <c r="O734" s="17"/>
      <c r="P734" s="17"/>
      <c r="Q734" s="17"/>
      <c r="R734" s="17"/>
      <c r="S734" s="17"/>
      <c r="T734" s="17"/>
    </row>
    <row r="735" ht="15.75" customHeight="1">
      <c r="A735" s="18">
        <v>3.0</v>
      </c>
      <c r="B735" s="12" t="s">
        <v>70</v>
      </c>
      <c r="C735" s="12" t="s">
        <v>14</v>
      </c>
      <c r="D735" s="19" t="s">
        <v>15</v>
      </c>
      <c r="E735" s="12" t="str">
        <f>IFERROR(__xludf.DUMMYFUNCTION("FILTER(colegios!$B$2:$B5618,colegios!$A$2:$A5618=L735)"),"64028")</f>
        <v>64028</v>
      </c>
      <c r="F735" s="14" t="s">
        <v>16</v>
      </c>
      <c r="G735" s="19" t="s">
        <v>17</v>
      </c>
      <c r="H735" s="12" t="s">
        <v>24</v>
      </c>
      <c r="I735" s="15">
        <v>2024.0</v>
      </c>
      <c r="J735" s="16" t="str">
        <f>IFERROR(__xludf.DUMMYFUNCTION("FILTER('CLASFICACIÓN'!$F$3:$F5618,'CLASFICACIÓN'!$G$3:$G5618=M735)"),"LOS 3 AÑOS")</f>
        <v>LOS 3 AÑOS</v>
      </c>
      <c r="K735" s="16"/>
      <c r="L735" s="12" t="s">
        <v>78</v>
      </c>
      <c r="M735" s="16" t="str">
        <f t="shared" si="1"/>
        <v>640282 Primaria</v>
      </c>
      <c r="N735" s="17"/>
      <c r="O735" s="17"/>
      <c r="P735" s="17"/>
      <c r="Q735" s="17"/>
      <c r="R735" s="17"/>
      <c r="S735" s="17"/>
      <c r="T735" s="17"/>
    </row>
    <row r="736" ht="15.75" customHeight="1">
      <c r="A736" s="18">
        <v>4.0</v>
      </c>
      <c r="B736" s="12" t="s">
        <v>70</v>
      </c>
      <c r="C736" s="12" t="s">
        <v>14</v>
      </c>
      <c r="D736" s="19" t="s">
        <v>20</v>
      </c>
      <c r="E736" s="12" t="str">
        <f>IFERROR(__xludf.DUMMYFUNCTION("FILTER(colegios!$B$2:$B5618,colegios!$A$2:$A5618=L736)"),"64028")</f>
        <v>64028</v>
      </c>
      <c r="F736" s="14" t="s">
        <v>16</v>
      </c>
      <c r="G736" s="20" t="s">
        <v>21</v>
      </c>
      <c r="H736" s="12" t="s">
        <v>24</v>
      </c>
      <c r="I736" s="15">
        <v>2024.0</v>
      </c>
      <c r="J736" s="16" t="str">
        <f>IFERROR(__xludf.DUMMYFUNCTION("FILTER('CLASFICACIÓN'!$F$3:$F5618,'CLASFICACIÓN'!$G$3:$G5618=M736)"),"LOS 3 AÑOS")</f>
        <v>LOS 3 AÑOS</v>
      </c>
      <c r="K736" s="16"/>
      <c r="L736" s="12" t="s">
        <v>78</v>
      </c>
      <c r="M736" s="16" t="str">
        <f t="shared" si="1"/>
        <v>640284 Primaria</v>
      </c>
      <c r="N736" s="17"/>
      <c r="O736" s="17"/>
      <c r="P736" s="17"/>
      <c r="Q736" s="17"/>
      <c r="R736" s="17"/>
      <c r="S736" s="17"/>
      <c r="T736" s="17"/>
    </row>
    <row r="737" ht="15.75" customHeight="1">
      <c r="A737" s="18">
        <v>5.0</v>
      </c>
      <c r="B737" s="12" t="s">
        <v>70</v>
      </c>
      <c r="C737" s="12" t="s">
        <v>14</v>
      </c>
      <c r="D737" s="19" t="s">
        <v>20</v>
      </c>
      <c r="E737" s="12" t="str">
        <f>IFERROR(__xludf.DUMMYFUNCTION("FILTER(colegios!$B$2:$B5618,colegios!$A$2:$A5618=L737)"),"64028")</f>
        <v>64028</v>
      </c>
      <c r="F737" s="14" t="s">
        <v>16</v>
      </c>
      <c r="G737" s="19" t="s">
        <v>21</v>
      </c>
      <c r="H737" s="12" t="s">
        <v>24</v>
      </c>
      <c r="I737" s="15">
        <v>2024.0</v>
      </c>
      <c r="J737" s="16" t="str">
        <f>IFERROR(__xludf.DUMMYFUNCTION("FILTER('CLASFICACIÓN'!$F$3:$F5618,'CLASFICACIÓN'!$G$3:$G5618=M737)"),"LOS 3 AÑOS")</f>
        <v>LOS 3 AÑOS</v>
      </c>
      <c r="K737" s="16"/>
      <c r="L737" s="12" t="s">
        <v>78</v>
      </c>
      <c r="M737" s="16" t="str">
        <f t="shared" si="1"/>
        <v>640284 Primaria</v>
      </c>
      <c r="N737" s="17"/>
      <c r="O737" s="17"/>
      <c r="P737" s="17"/>
      <c r="Q737" s="17"/>
      <c r="R737" s="17"/>
      <c r="S737" s="17"/>
      <c r="T737" s="17"/>
    </row>
    <row r="738" ht="15.75" customHeight="1">
      <c r="A738" s="18">
        <v>6.0</v>
      </c>
      <c r="B738" s="12" t="s">
        <v>70</v>
      </c>
      <c r="C738" s="12" t="s">
        <v>14</v>
      </c>
      <c r="D738" s="19" t="s">
        <v>20</v>
      </c>
      <c r="E738" s="12" t="str">
        <f>IFERROR(__xludf.DUMMYFUNCTION("FILTER(colegios!$B$2:$B5618,colegios!$A$2:$A5618=L738)"),"64028")</f>
        <v>64028</v>
      </c>
      <c r="F738" s="14" t="s">
        <v>16</v>
      </c>
      <c r="G738" s="19" t="s">
        <v>17</v>
      </c>
      <c r="H738" s="12" t="s">
        <v>24</v>
      </c>
      <c r="I738" s="15">
        <v>2024.0</v>
      </c>
      <c r="J738" s="16" t="str">
        <f>IFERROR(__xludf.DUMMYFUNCTION("FILTER('CLASFICACIÓN'!$F$3:$F5618,'CLASFICACIÓN'!$G$3:$G5618=M738)"),"LOS 3 AÑOS")</f>
        <v>LOS 3 AÑOS</v>
      </c>
      <c r="K738" s="16"/>
      <c r="L738" s="12" t="s">
        <v>78</v>
      </c>
      <c r="M738" s="16" t="str">
        <f t="shared" si="1"/>
        <v>640284 Primaria</v>
      </c>
      <c r="N738" s="17"/>
      <c r="O738" s="17"/>
      <c r="P738" s="17"/>
      <c r="Q738" s="17"/>
      <c r="R738" s="17"/>
      <c r="S738" s="17"/>
      <c r="T738" s="17"/>
    </row>
    <row r="739" ht="15.75" customHeight="1">
      <c r="A739" s="18">
        <v>7.0</v>
      </c>
      <c r="B739" s="12" t="s">
        <v>70</v>
      </c>
      <c r="C739" s="12" t="s">
        <v>14</v>
      </c>
      <c r="D739" s="19" t="s">
        <v>20</v>
      </c>
      <c r="E739" s="12" t="str">
        <f>IFERROR(__xludf.DUMMYFUNCTION("FILTER(colegios!$B$2:$B5618,colegios!$A$2:$A5618=L739)"),"64028")</f>
        <v>64028</v>
      </c>
      <c r="F739" s="14" t="s">
        <v>16</v>
      </c>
      <c r="G739" s="19" t="s">
        <v>17</v>
      </c>
      <c r="H739" s="14" t="s">
        <v>32</v>
      </c>
      <c r="I739" s="15">
        <v>2024.0</v>
      </c>
      <c r="J739" s="16" t="str">
        <f>IFERROR(__xludf.DUMMYFUNCTION("FILTER('CLASFICACIÓN'!$F$3:$F5618,'CLASFICACIÓN'!$G$3:$G5618=M739)"),"LOS 3 AÑOS")</f>
        <v>LOS 3 AÑOS</v>
      </c>
      <c r="K739" s="16"/>
      <c r="L739" s="12" t="s">
        <v>78</v>
      </c>
      <c r="M739" s="16" t="str">
        <f t="shared" si="1"/>
        <v>640284 Primaria</v>
      </c>
      <c r="N739" s="17"/>
      <c r="O739" s="17"/>
      <c r="P739" s="17"/>
      <c r="Q739" s="17"/>
      <c r="R739" s="17"/>
      <c r="S739" s="17"/>
      <c r="T739" s="17"/>
    </row>
    <row r="740" ht="15.75" customHeight="1">
      <c r="A740" s="18">
        <v>8.0</v>
      </c>
      <c r="B740" s="12" t="s">
        <v>70</v>
      </c>
      <c r="C740" s="12" t="s">
        <v>14</v>
      </c>
      <c r="D740" s="19" t="s">
        <v>22</v>
      </c>
      <c r="E740" s="12" t="str">
        <f>IFERROR(__xludf.DUMMYFUNCTION("FILTER(colegios!$B$2:$B5618,colegios!$A$2:$A5618=L740)"),"64028")</f>
        <v>64028</v>
      </c>
      <c r="F740" s="14" t="s">
        <v>16</v>
      </c>
      <c r="G740" s="20" t="s">
        <v>21</v>
      </c>
      <c r="H740" s="12" t="s">
        <v>18</v>
      </c>
      <c r="I740" s="15">
        <v>2024.0</v>
      </c>
      <c r="J740" s="16" t="str">
        <f>IFERROR(__xludf.DUMMYFUNCTION("FILTER('CLASFICACIÓN'!$F$3:$F5618,'CLASFICACIÓN'!$G$3:$G5618=M740)"),"SOLO 2022 Y 2024")</f>
        <v>SOLO 2022 Y 2024</v>
      </c>
      <c r="K740" s="16"/>
      <c r="L740" s="12" t="s">
        <v>78</v>
      </c>
      <c r="M740" s="16" t="str">
        <f t="shared" si="1"/>
        <v>640286 Primaria</v>
      </c>
      <c r="N740" s="17"/>
      <c r="O740" s="17"/>
      <c r="P740" s="17"/>
      <c r="Q740" s="17"/>
      <c r="R740" s="17"/>
      <c r="S740" s="17"/>
      <c r="T740" s="17"/>
    </row>
    <row r="741" ht="15.75" customHeight="1">
      <c r="A741" s="18">
        <v>9.0</v>
      </c>
      <c r="B741" s="12" t="s">
        <v>70</v>
      </c>
      <c r="C741" s="12" t="s">
        <v>14</v>
      </c>
      <c r="D741" s="19" t="s">
        <v>22</v>
      </c>
      <c r="E741" s="12" t="str">
        <f>IFERROR(__xludf.DUMMYFUNCTION("FILTER(colegios!$B$2:$B5618,colegios!$A$2:$A5618=L741)"),"64028")</f>
        <v>64028</v>
      </c>
      <c r="F741" s="14" t="s">
        <v>16</v>
      </c>
      <c r="G741" s="19" t="s">
        <v>21</v>
      </c>
      <c r="H741" s="12" t="s">
        <v>18</v>
      </c>
      <c r="I741" s="15">
        <v>2024.0</v>
      </c>
      <c r="J741" s="16" t="str">
        <f>IFERROR(__xludf.DUMMYFUNCTION("FILTER('CLASFICACIÓN'!$F$3:$F5618,'CLASFICACIÓN'!$G$3:$G5618=M741)"),"SOLO 2022 Y 2024")</f>
        <v>SOLO 2022 Y 2024</v>
      </c>
      <c r="K741" s="16"/>
      <c r="L741" s="12" t="s">
        <v>78</v>
      </c>
      <c r="M741" s="16" t="str">
        <f t="shared" si="1"/>
        <v>640286 Primaria</v>
      </c>
      <c r="N741" s="17"/>
      <c r="O741" s="17"/>
      <c r="P741" s="17"/>
      <c r="Q741" s="17"/>
      <c r="R741" s="17"/>
      <c r="S741" s="17"/>
      <c r="T741" s="17"/>
    </row>
    <row r="742" ht="15.75" customHeight="1">
      <c r="A742" s="18">
        <v>10.0</v>
      </c>
      <c r="B742" s="12" t="s">
        <v>70</v>
      </c>
      <c r="C742" s="12" t="s">
        <v>14</v>
      </c>
      <c r="D742" s="19" t="s">
        <v>22</v>
      </c>
      <c r="E742" s="12" t="str">
        <f>IFERROR(__xludf.DUMMYFUNCTION("FILTER(colegios!$B$2:$B5618,colegios!$A$2:$A5618=L742)"),"64028")</f>
        <v>64028</v>
      </c>
      <c r="F742" s="14" t="s">
        <v>16</v>
      </c>
      <c r="G742" s="20" t="s">
        <v>17</v>
      </c>
      <c r="H742" s="12" t="s">
        <v>24</v>
      </c>
      <c r="I742" s="15">
        <v>2024.0</v>
      </c>
      <c r="J742" s="16" t="str">
        <f>IFERROR(__xludf.DUMMYFUNCTION("FILTER('CLASFICACIÓN'!$F$3:$F5618,'CLASFICACIÓN'!$G$3:$G5618=M742)"),"SOLO 2022 Y 2024")</f>
        <v>SOLO 2022 Y 2024</v>
      </c>
      <c r="K742" s="16"/>
      <c r="L742" s="12" t="s">
        <v>78</v>
      </c>
      <c r="M742" s="16" t="str">
        <f t="shared" si="1"/>
        <v>640286 Primaria</v>
      </c>
      <c r="N742" s="17"/>
      <c r="O742" s="17"/>
      <c r="P742" s="17"/>
      <c r="Q742" s="17"/>
      <c r="R742" s="17"/>
      <c r="S742" s="17"/>
      <c r="T742" s="17"/>
    </row>
    <row r="743" ht="15.75" customHeight="1">
      <c r="A743" s="18">
        <v>11.0</v>
      </c>
      <c r="B743" s="12" t="s">
        <v>70</v>
      </c>
      <c r="C743" s="12" t="s">
        <v>14</v>
      </c>
      <c r="D743" s="19" t="s">
        <v>22</v>
      </c>
      <c r="E743" s="12" t="str">
        <f>IFERROR(__xludf.DUMMYFUNCTION("FILTER(colegios!$B$2:$B5618,colegios!$A$2:$A5618=L743)"),"64028")</f>
        <v>64028</v>
      </c>
      <c r="F743" s="14" t="s">
        <v>16</v>
      </c>
      <c r="G743" s="20" t="s">
        <v>17</v>
      </c>
      <c r="H743" s="12" t="s">
        <v>24</v>
      </c>
      <c r="I743" s="15">
        <v>2024.0</v>
      </c>
      <c r="J743" s="16" t="str">
        <f>IFERROR(__xludf.DUMMYFUNCTION("FILTER('CLASFICACIÓN'!$F$3:$F5618,'CLASFICACIÓN'!$G$3:$G5618=M743)"),"SOLO 2022 Y 2024")</f>
        <v>SOLO 2022 Y 2024</v>
      </c>
      <c r="K743" s="16"/>
      <c r="L743" s="12" t="s">
        <v>78</v>
      </c>
      <c r="M743" s="16" t="str">
        <f t="shared" si="1"/>
        <v>640286 Primaria</v>
      </c>
      <c r="N743" s="17"/>
      <c r="O743" s="17"/>
      <c r="P743" s="17"/>
      <c r="Q743" s="17"/>
      <c r="R743" s="17"/>
      <c r="S743" s="17"/>
      <c r="T743" s="17"/>
    </row>
    <row r="744" ht="15.75" customHeight="1">
      <c r="A744" s="18">
        <v>1.0</v>
      </c>
      <c r="B744" s="12" t="s">
        <v>70</v>
      </c>
      <c r="C744" s="12" t="s">
        <v>14</v>
      </c>
      <c r="D744" s="19" t="s">
        <v>15</v>
      </c>
      <c r="E744" s="12" t="str">
        <f>IFERROR(__xludf.DUMMYFUNCTION("FILTER(colegios!$B$2:$B5618,colegios!$A$2:$A5618=L744)"),"64829")</f>
        <v>64829</v>
      </c>
      <c r="F744" s="14" t="s">
        <v>16</v>
      </c>
      <c r="G744" s="19" t="s">
        <v>21</v>
      </c>
      <c r="H744" s="12" t="s">
        <v>24</v>
      </c>
      <c r="I744" s="15">
        <v>2024.0</v>
      </c>
      <c r="J744" s="16" t="str">
        <f>IFERROR(__xludf.DUMMYFUNCTION("FILTER('CLASFICACIÓN'!$F$3:$F5618,'CLASFICACIÓN'!$G$3:$G5618=M744)"),"SOLO 2024")</f>
        <v>SOLO 2024</v>
      </c>
      <c r="K744" s="16"/>
      <c r="L744" s="12" t="s">
        <v>79</v>
      </c>
      <c r="M744" s="16" t="str">
        <f t="shared" si="1"/>
        <v>648292 Primaria</v>
      </c>
      <c r="N744" s="17"/>
      <c r="O744" s="17"/>
      <c r="P744" s="17"/>
      <c r="Q744" s="17"/>
      <c r="R744" s="17"/>
      <c r="S744" s="17"/>
      <c r="T744" s="17"/>
    </row>
    <row r="745" ht="15.75" customHeight="1">
      <c r="A745" s="18">
        <v>2.0</v>
      </c>
      <c r="B745" s="12" t="s">
        <v>70</v>
      </c>
      <c r="C745" s="12" t="s">
        <v>14</v>
      </c>
      <c r="D745" s="19" t="s">
        <v>20</v>
      </c>
      <c r="E745" s="12" t="str">
        <f>IFERROR(__xludf.DUMMYFUNCTION("FILTER(colegios!$B$2:$B5618,colegios!$A$2:$A5618=L745)"),"64829")</f>
        <v>64829</v>
      </c>
      <c r="F745" s="14" t="s">
        <v>16</v>
      </c>
      <c r="G745" s="19" t="s">
        <v>21</v>
      </c>
      <c r="H745" s="12" t="s">
        <v>24</v>
      </c>
      <c r="I745" s="15">
        <v>2024.0</v>
      </c>
      <c r="J745" s="16" t="str">
        <f>IFERROR(__xludf.DUMMYFUNCTION("FILTER('CLASFICACIÓN'!$F$3:$F5618,'CLASFICACIÓN'!$G$3:$G5618=M745)"),"SOLO 2022 Y 2024")</f>
        <v>SOLO 2022 Y 2024</v>
      </c>
      <c r="K745" s="16"/>
      <c r="L745" s="12" t="s">
        <v>79</v>
      </c>
      <c r="M745" s="16" t="str">
        <f t="shared" si="1"/>
        <v>648294 Primaria</v>
      </c>
      <c r="N745" s="17"/>
      <c r="O745" s="17"/>
      <c r="P745" s="17"/>
      <c r="Q745" s="17"/>
      <c r="R745" s="17"/>
      <c r="S745" s="17"/>
      <c r="T745" s="17"/>
    </row>
    <row r="746" ht="15.75" customHeight="1">
      <c r="A746" s="18">
        <v>3.0</v>
      </c>
      <c r="B746" s="12" t="s">
        <v>70</v>
      </c>
      <c r="C746" s="12" t="s">
        <v>14</v>
      </c>
      <c r="D746" s="19" t="s">
        <v>22</v>
      </c>
      <c r="E746" s="12" t="str">
        <f>IFERROR(__xludf.DUMMYFUNCTION("FILTER(colegios!$B$2:$B5618,colegios!$A$2:$A5618=L746)"),"64829")</f>
        <v>64829</v>
      </c>
      <c r="F746" s="14" t="s">
        <v>16</v>
      </c>
      <c r="G746" s="20" t="s">
        <v>21</v>
      </c>
      <c r="H746" s="12" t="s">
        <v>24</v>
      </c>
      <c r="I746" s="15">
        <v>2024.0</v>
      </c>
      <c r="J746" s="16" t="str">
        <f>IFERROR(__xludf.DUMMYFUNCTION("FILTER('CLASFICACIÓN'!$F$3:$F5618,'CLASFICACIÓN'!$G$3:$G5618=M746)"),"SOLO 2022 Y 2024")</f>
        <v>SOLO 2022 Y 2024</v>
      </c>
      <c r="K746" s="16"/>
      <c r="L746" s="12" t="s">
        <v>79</v>
      </c>
      <c r="M746" s="16" t="str">
        <f t="shared" si="1"/>
        <v>648296 Primaria</v>
      </c>
      <c r="N746" s="17"/>
      <c r="O746" s="17"/>
      <c r="P746" s="17"/>
      <c r="Q746" s="17"/>
      <c r="R746" s="17"/>
      <c r="S746" s="17"/>
      <c r="T746" s="17"/>
    </row>
    <row r="747" ht="15.75" customHeight="1">
      <c r="A747" s="18">
        <v>4.0</v>
      </c>
      <c r="B747" s="12" t="s">
        <v>70</v>
      </c>
      <c r="C747" s="12" t="s">
        <v>14</v>
      </c>
      <c r="D747" s="19" t="s">
        <v>22</v>
      </c>
      <c r="E747" s="12" t="str">
        <f>IFERROR(__xludf.DUMMYFUNCTION("FILTER(colegios!$B$2:$B5618,colegios!$A$2:$A5618=L747)"),"64829")</f>
        <v>64829</v>
      </c>
      <c r="F747" s="14" t="s">
        <v>16</v>
      </c>
      <c r="G747" s="20" t="s">
        <v>17</v>
      </c>
      <c r="H747" s="12" t="s">
        <v>24</v>
      </c>
      <c r="I747" s="15">
        <v>2024.0</v>
      </c>
      <c r="J747" s="16" t="str">
        <f>IFERROR(__xludf.DUMMYFUNCTION("FILTER('CLASFICACIÓN'!$F$3:$F5618,'CLASFICACIÓN'!$G$3:$G5618=M747)"),"SOLO 2022 Y 2024")</f>
        <v>SOLO 2022 Y 2024</v>
      </c>
      <c r="K747" s="16"/>
      <c r="L747" s="12" t="s">
        <v>79</v>
      </c>
      <c r="M747" s="16" t="str">
        <f t="shared" si="1"/>
        <v>648296 Primaria</v>
      </c>
      <c r="N747" s="17"/>
      <c r="O747" s="17"/>
      <c r="P747" s="17"/>
      <c r="Q747" s="17"/>
      <c r="R747" s="17"/>
      <c r="S747" s="17"/>
      <c r="T747" s="17"/>
    </row>
    <row r="748" ht="15.75" customHeight="1">
      <c r="A748" s="18">
        <v>1.0</v>
      </c>
      <c r="B748" s="12" t="s">
        <v>70</v>
      </c>
      <c r="C748" s="12" t="s">
        <v>14</v>
      </c>
      <c r="D748" s="19" t="s">
        <v>15</v>
      </c>
      <c r="E748" s="12" t="str">
        <f>IFERROR(__xludf.DUMMYFUNCTION("FILTER(colegios!$B$2:$B5618,colegios!$A$2:$A5618=L748)"),"65199")</f>
        <v>65199</v>
      </c>
      <c r="F748" s="14" t="s">
        <v>16</v>
      </c>
      <c r="G748" s="19" t="s">
        <v>21</v>
      </c>
      <c r="H748" s="12" t="s">
        <v>18</v>
      </c>
      <c r="I748" s="15">
        <v>2024.0</v>
      </c>
      <c r="J748" s="16" t="str">
        <f>IFERROR(__xludf.DUMMYFUNCTION("FILTER('CLASFICACIÓN'!$F$3:$F5618,'CLASFICACIÓN'!$G$3:$G5618=M748)"),"SOLO 2024")</f>
        <v>SOLO 2024</v>
      </c>
      <c r="K748" s="16"/>
      <c r="L748" s="12" t="s">
        <v>80</v>
      </c>
      <c r="M748" s="16" t="str">
        <f t="shared" si="1"/>
        <v>651992 Primaria</v>
      </c>
      <c r="N748" s="17"/>
      <c r="O748" s="17"/>
      <c r="P748" s="17"/>
      <c r="Q748" s="17"/>
      <c r="R748" s="17"/>
      <c r="S748" s="17"/>
      <c r="T748" s="17"/>
    </row>
    <row r="749" ht="15.75" customHeight="1">
      <c r="A749" s="18">
        <v>2.0</v>
      </c>
      <c r="B749" s="12" t="s">
        <v>70</v>
      </c>
      <c r="C749" s="12" t="s">
        <v>14</v>
      </c>
      <c r="D749" s="19" t="s">
        <v>15</v>
      </c>
      <c r="E749" s="12" t="str">
        <f>IFERROR(__xludf.DUMMYFUNCTION("FILTER(colegios!$B$2:$B5618,colegios!$A$2:$A5618=L749)"),"65199")</f>
        <v>65199</v>
      </c>
      <c r="F749" s="14" t="s">
        <v>16</v>
      </c>
      <c r="G749" s="19" t="s">
        <v>17</v>
      </c>
      <c r="H749" s="12" t="s">
        <v>18</v>
      </c>
      <c r="I749" s="15">
        <v>2024.0</v>
      </c>
      <c r="J749" s="16" t="str">
        <f>IFERROR(__xludf.DUMMYFUNCTION("FILTER('CLASFICACIÓN'!$F$3:$F5618,'CLASFICACIÓN'!$G$3:$G5618=M749)"),"SOLO 2024")</f>
        <v>SOLO 2024</v>
      </c>
      <c r="K749" s="16"/>
      <c r="L749" s="12" t="s">
        <v>80</v>
      </c>
      <c r="M749" s="16" t="str">
        <f t="shared" si="1"/>
        <v>651992 Primaria</v>
      </c>
      <c r="N749" s="17"/>
      <c r="O749" s="17"/>
      <c r="P749" s="17"/>
      <c r="Q749" s="17"/>
      <c r="R749" s="17"/>
      <c r="S749" s="17"/>
      <c r="T749" s="17"/>
    </row>
    <row r="750" ht="15.75" customHeight="1">
      <c r="A750" s="18">
        <v>3.0</v>
      </c>
      <c r="B750" s="12" t="s">
        <v>70</v>
      </c>
      <c r="C750" s="12" t="s">
        <v>14</v>
      </c>
      <c r="D750" s="19" t="s">
        <v>20</v>
      </c>
      <c r="E750" s="12" t="str">
        <f>IFERROR(__xludf.DUMMYFUNCTION("FILTER(colegios!$B$2:$B5618,colegios!$A$2:$A5618=L750)"),"65199")</f>
        <v>65199</v>
      </c>
      <c r="F750" s="14" t="s">
        <v>16</v>
      </c>
      <c r="G750" s="20" t="s">
        <v>21</v>
      </c>
      <c r="H750" s="12" t="s">
        <v>18</v>
      </c>
      <c r="I750" s="15">
        <v>2024.0</v>
      </c>
      <c r="J750" s="16" t="str">
        <f>IFERROR(__xludf.DUMMYFUNCTION("FILTER('CLASFICACIÓN'!$F$3:$F5618,'CLASFICACIÓN'!$G$3:$G5618=M750)"),"SOLO 2022 Y 2024")</f>
        <v>SOLO 2022 Y 2024</v>
      </c>
      <c r="K750" s="16"/>
      <c r="L750" s="12" t="s">
        <v>80</v>
      </c>
      <c r="M750" s="16" t="str">
        <f t="shared" si="1"/>
        <v>651994 Primaria</v>
      </c>
      <c r="N750" s="17"/>
      <c r="O750" s="17"/>
      <c r="P750" s="17"/>
      <c r="Q750" s="17"/>
      <c r="R750" s="17"/>
      <c r="S750" s="17"/>
      <c r="T750" s="17"/>
    </row>
    <row r="751" ht="15.75" customHeight="1">
      <c r="A751" s="18">
        <v>4.0</v>
      </c>
      <c r="B751" s="12" t="s">
        <v>70</v>
      </c>
      <c r="C751" s="12" t="s">
        <v>14</v>
      </c>
      <c r="D751" s="19" t="s">
        <v>20</v>
      </c>
      <c r="E751" s="12" t="str">
        <f>IFERROR(__xludf.DUMMYFUNCTION("FILTER(colegios!$B$2:$B5618,colegios!$A$2:$A5618=L751)"),"65199")</f>
        <v>65199</v>
      </c>
      <c r="F751" s="14" t="s">
        <v>16</v>
      </c>
      <c r="G751" s="19" t="s">
        <v>17</v>
      </c>
      <c r="H751" s="12" t="s">
        <v>18</v>
      </c>
      <c r="I751" s="15">
        <v>2024.0</v>
      </c>
      <c r="J751" s="16" t="str">
        <f>IFERROR(__xludf.DUMMYFUNCTION("FILTER('CLASFICACIÓN'!$F$3:$F5618,'CLASFICACIÓN'!$G$3:$G5618=M751)"),"SOLO 2022 Y 2024")</f>
        <v>SOLO 2022 Y 2024</v>
      </c>
      <c r="K751" s="16"/>
      <c r="L751" s="12" t="s">
        <v>80</v>
      </c>
      <c r="M751" s="16" t="str">
        <f t="shared" si="1"/>
        <v>651994 Primaria</v>
      </c>
      <c r="N751" s="17"/>
      <c r="O751" s="17"/>
      <c r="P751" s="17"/>
      <c r="Q751" s="17"/>
      <c r="R751" s="17"/>
      <c r="S751" s="17"/>
      <c r="T751" s="17"/>
    </row>
    <row r="752" ht="15.75" customHeight="1">
      <c r="A752" s="18">
        <v>5.0</v>
      </c>
      <c r="B752" s="12" t="s">
        <v>70</v>
      </c>
      <c r="C752" s="12" t="s">
        <v>14</v>
      </c>
      <c r="D752" s="19" t="s">
        <v>22</v>
      </c>
      <c r="E752" s="12" t="str">
        <f>IFERROR(__xludf.DUMMYFUNCTION("FILTER(colegios!$B$2:$B5618,colegios!$A$2:$A5618=L752)"),"65199")</f>
        <v>65199</v>
      </c>
      <c r="F752" s="14" t="s">
        <v>16</v>
      </c>
      <c r="G752" s="20" t="s">
        <v>17</v>
      </c>
      <c r="H752" s="12" t="s">
        <v>24</v>
      </c>
      <c r="I752" s="15">
        <v>2024.0</v>
      </c>
      <c r="J752" s="16" t="str">
        <f>IFERROR(__xludf.DUMMYFUNCTION("FILTER('CLASFICACIÓN'!$F$3:$F5618,'CLASFICACIÓN'!$G$3:$G5618=M752)"),"SOLO 2022 Y 2024")</f>
        <v>SOLO 2022 Y 2024</v>
      </c>
      <c r="K752" s="16"/>
      <c r="L752" s="12" t="s">
        <v>80</v>
      </c>
      <c r="M752" s="16" t="str">
        <f t="shared" si="1"/>
        <v>651996 Primaria</v>
      </c>
      <c r="N752" s="17"/>
      <c r="O752" s="17"/>
      <c r="P752" s="17"/>
      <c r="Q752" s="17"/>
      <c r="R752" s="17"/>
      <c r="S752" s="17"/>
      <c r="T752" s="17"/>
    </row>
    <row r="753" ht="15.75" customHeight="1">
      <c r="A753" s="18">
        <v>1.0</v>
      </c>
      <c r="B753" s="12" t="s">
        <v>70</v>
      </c>
      <c r="C753" s="12" t="s">
        <v>14</v>
      </c>
      <c r="D753" s="19" t="s">
        <v>15</v>
      </c>
      <c r="E753" s="12" t="str">
        <f>IFERROR(__xludf.DUMMYFUNCTION("FILTER(colegios!$B$2:$B5618,colegios!$A$2:$A5618=L753)"),"64996")</f>
        <v>64996</v>
      </c>
      <c r="F753" s="14" t="s">
        <v>16</v>
      </c>
      <c r="G753" s="20" t="s">
        <v>21</v>
      </c>
      <c r="H753" s="12" t="s">
        <v>24</v>
      </c>
      <c r="I753" s="15">
        <v>2024.0</v>
      </c>
      <c r="J753" s="16" t="str">
        <f>IFERROR(__xludf.DUMMYFUNCTION("FILTER('CLASFICACIÓN'!$F$3:$F5618,'CLASFICACIÓN'!$G$3:$G5618=M753)"),"2023 Y 2024")</f>
        <v>2023 Y 2024</v>
      </c>
      <c r="K753" s="16"/>
      <c r="L753" s="12" t="s">
        <v>81</v>
      </c>
      <c r="M753" s="16" t="str">
        <f t="shared" si="1"/>
        <v>649962 Primaria</v>
      </c>
      <c r="N753" s="17"/>
      <c r="O753" s="17"/>
      <c r="P753" s="17"/>
      <c r="Q753" s="17"/>
      <c r="R753" s="17"/>
      <c r="S753" s="17"/>
      <c r="T753" s="17"/>
    </row>
    <row r="754" ht="15.75" customHeight="1">
      <c r="A754" s="18">
        <v>2.0</v>
      </c>
      <c r="B754" s="12" t="s">
        <v>70</v>
      </c>
      <c r="C754" s="12" t="s">
        <v>14</v>
      </c>
      <c r="D754" s="19" t="s">
        <v>20</v>
      </c>
      <c r="E754" s="12" t="str">
        <f>IFERROR(__xludf.DUMMYFUNCTION("FILTER(colegios!$B$2:$B5618,colegios!$A$2:$A5618=L754)"),"64996")</f>
        <v>64996</v>
      </c>
      <c r="F754" s="14" t="s">
        <v>16</v>
      </c>
      <c r="G754" s="19" t="s">
        <v>17</v>
      </c>
      <c r="H754" s="14" t="s">
        <v>32</v>
      </c>
      <c r="I754" s="15">
        <v>2024.0</v>
      </c>
      <c r="J754" s="16" t="str">
        <f>IFERROR(__xludf.DUMMYFUNCTION("FILTER('CLASFICACIÓN'!$F$3:$F5618,'CLASFICACIÓN'!$G$3:$G5618=M754)"),"2023 Y 2024")</f>
        <v>2023 Y 2024</v>
      </c>
      <c r="K754" s="16"/>
      <c r="L754" s="12" t="s">
        <v>81</v>
      </c>
      <c r="M754" s="16" t="str">
        <f t="shared" si="1"/>
        <v>649964 Primaria</v>
      </c>
      <c r="N754" s="17"/>
      <c r="O754" s="17"/>
      <c r="P754" s="17"/>
      <c r="Q754" s="17"/>
      <c r="R754" s="17"/>
      <c r="S754" s="17"/>
      <c r="T754" s="17"/>
    </row>
    <row r="755" ht="15.75" customHeight="1">
      <c r="A755" s="18">
        <v>4.0</v>
      </c>
      <c r="B755" s="12" t="s">
        <v>70</v>
      </c>
      <c r="C755" s="12" t="s">
        <v>14</v>
      </c>
      <c r="D755" s="19" t="s">
        <v>22</v>
      </c>
      <c r="E755" s="12" t="str">
        <f>IFERROR(__xludf.DUMMYFUNCTION("FILTER(colegios!$B$2:$B5618,colegios!$A$2:$A5618=L755)"),"64996")</f>
        <v>64996</v>
      </c>
      <c r="F755" s="14" t="s">
        <v>16</v>
      </c>
      <c r="G755" s="19" t="s">
        <v>17</v>
      </c>
      <c r="H755" s="12" t="s">
        <v>24</v>
      </c>
      <c r="I755" s="15">
        <v>2024.0</v>
      </c>
      <c r="J755" s="16" t="str">
        <f>IFERROR(__xludf.DUMMYFUNCTION("FILTER('CLASFICACIÓN'!$F$3:$F5618,'CLASFICACIÓN'!$G$3:$G5618=M755)"),"2023 Y 2024")</f>
        <v>2023 Y 2024</v>
      </c>
      <c r="K755" s="16"/>
      <c r="L755" s="12" t="s">
        <v>81</v>
      </c>
      <c r="M755" s="16" t="str">
        <f t="shared" si="1"/>
        <v>649966 Primaria</v>
      </c>
      <c r="N755" s="17"/>
      <c r="O755" s="17"/>
      <c r="P755" s="17"/>
      <c r="Q755" s="17"/>
      <c r="R755" s="17"/>
      <c r="S755" s="17"/>
      <c r="T755" s="17"/>
    </row>
    <row r="756" ht="15.75" customHeight="1">
      <c r="A756" s="18">
        <v>1.0</v>
      </c>
      <c r="B756" s="12" t="s">
        <v>70</v>
      </c>
      <c r="C756" s="12" t="s">
        <v>14</v>
      </c>
      <c r="D756" s="19" t="s">
        <v>15</v>
      </c>
      <c r="E756" s="12" t="str">
        <f>IFERROR(__xludf.DUMMYFUNCTION("FILTER(colegios!$B$2:$B5618,colegios!$A$2:$A5618=L756)"),"64641")</f>
        <v>64641</v>
      </c>
      <c r="F756" s="14" t="s">
        <v>16</v>
      </c>
      <c r="G756" s="19" t="s">
        <v>21</v>
      </c>
      <c r="H756" s="12" t="s">
        <v>24</v>
      </c>
      <c r="I756" s="15">
        <v>2024.0</v>
      </c>
      <c r="J756" s="16" t="str">
        <f>IFERROR(__xludf.DUMMYFUNCTION("FILTER('CLASFICACIÓN'!$F$3:$F5618,'CLASFICACIÓN'!$G$3:$G5618=M756)"),"SOLO 2024")</f>
        <v>SOLO 2024</v>
      </c>
      <c r="K756" s="16"/>
      <c r="L756" s="12" t="s">
        <v>82</v>
      </c>
      <c r="M756" s="16" t="str">
        <f t="shared" si="1"/>
        <v>646412 Primaria</v>
      </c>
      <c r="N756" s="17"/>
      <c r="O756" s="17"/>
      <c r="P756" s="17"/>
      <c r="Q756" s="17"/>
      <c r="R756" s="17"/>
      <c r="S756" s="17"/>
      <c r="T756" s="17"/>
    </row>
    <row r="757" ht="15.75" customHeight="1">
      <c r="A757" s="18">
        <v>2.0</v>
      </c>
      <c r="B757" s="12" t="s">
        <v>70</v>
      </c>
      <c r="C757" s="12" t="s">
        <v>14</v>
      </c>
      <c r="D757" s="19" t="s">
        <v>20</v>
      </c>
      <c r="E757" s="12" t="str">
        <f>IFERROR(__xludf.DUMMYFUNCTION("FILTER(colegios!$B$2:$B5618,colegios!$A$2:$A5618=L757)"),"64641")</f>
        <v>64641</v>
      </c>
      <c r="F757" s="14" t="s">
        <v>16</v>
      </c>
      <c r="G757" s="19" t="s">
        <v>21</v>
      </c>
      <c r="H757" s="12" t="s">
        <v>18</v>
      </c>
      <c r="I757" s="15">
        <v>2024.0</v>
      </c>
      <c r="J757" s="16" t="str">
        <f>IFERROR(__xludf.DUMMYFUNCTION("FILTER('CLASFICACIÓN'!$F$3:$F5618,'CLASFICACIÓN'!$G$3:$G5618=M757)"),"2023 Y 2024")</f>
        <v>2023 Y 2024</v>
      </c>
      <c r="K757" s="16"/>
      <c r="L757" s="12" t="s">
        <v>82</v>
      </c>
      <c r="M757" s="16" t="str">
        <f t="shared" si="1"/>
        <v>646414 Primaria</v>
      </c>
      <c r="N757" s="17"/>
      <c r="O757" s="17"/>
      <c r="P757" s="17"/>
      <c r="Q757" s="17"/>
      <c r="R757" s="17"/>
      <c r="S757" s="17"/>
      <c r="T757" s="17"/>
    </row>
    <row r="758" ht="15.75" customHeight="1">
      <c r="A758" s="18">
        <v>1.0</v>
      </c>
      <c r="B758" s="12" t="s">
        <v>70</v>
      </c>
      <c r="C758" s="12" t="s">
        <v>14</v>
      </c>
      <c r="D758" s="19" t="s">
        <v>15</v>
      </c>
      <c r="E758" s="12" t="str">
        <f>IFERROR(__xludf.DUMMYFUNCTION("FILTER(colegios!$B$2:$B5618,colegios!$A$2:$A5618=L758)"),"64346")</f>
        <v>64346</v>
      </c>
      <c r="F758" s="14" t="s">
        <v>16</v>
      </c>
      <c r="G758" s="20" t="s">
        <v>21</v>
      </c>
      <c r="H758" s="12" t="s">
        <v>24</v>
      </c>
      <c r="I758" s="15">
        <v>2024.0</v>
      </c>
      <c r="J758" s="16" t="str">
        <f>IFERROR(__xludf.DUMMYFUNCTION("FILTER('CLASFICACIÓN'!$F$3:$F5618,'CLASFICACIÓN'!$G$3:$G5618=M758)"),"LOS 3 AÑOS")</f>
        <v>LOS 3 AÑOS</v>
      </c>
      <c r="K758" s="16"/>
      <c r="L758" s="12" t="s">
        <v>83</v>
      </c>
      <c r="M758" s="16" t="str">
        <f t="shared" si="1"/>
        <v>643462 Primaria</v>
      </c>
      <c r="N758" s="17"/>
      <c r="O758" s="17"/>
      <c r="P758" s="17"/>
      <c r="Q758" s="17"/>
      <c r="R758" s="17"/>
      <c r="S758" s="17"/>
      <c r="T758" s="17"/>
    </row>
    <row r="759" ht="15.75" customHeight="1">
      <c r="A759" s="18">
        <v>2.0</v>
      </c>
      <c r="B759" s="12" t="s">
        <v>70</v>
      </c>
      <c r="C759" s="12" t="s">
        <v>14</v>
      </c>
      <c r="D759" s="19" t="s">
        <v>20</v>
      </c>
      <c r="E759" s="12" t="str">
        <f>IFERROR(__xludf.DUMMYFUNCTION("FILTER(colegios!$B$2:$B5618,colegios!$A$2:$A5618=L759)"),"64346")</f>
        <v>64346</v>
      </c>
      <c r="F759" s="14" t="s">
        <v>16</v>
      </c>
      <c r="G759" s="20" t="s">
        <v>21</v>
      </c>
      <c r="H759" s="12" t="s">
        <v>24</v>
      </c>
      <c r="I759" s="15">
        <v>2024.0</v>
      </c>
      <c r="J759" s="16" t="str">
        <f>IFERROR(__xludf.DUMMYFUNCTION("FILTER('CLASFICACIÓN'!$F$3:$F5618,'CLASFICACIÓN'!$G$3:$G5618=M759)"),"SOLO 2022 Y 2024")</f>
        <v>SOLO 2022 Y 2024</v>
      </c>
      <c r="K759" s="16"/>
      <c r="L759" s="12" t="s">
        <v>83</v>
      </c>
      <c r="M759" s="16" t="str">
        <f t="shared" si="1"/>
        <v>643464 Primaria</v>
      </c>
      <c r="N759" s="17"/>
      <c r="O759" s="17"/>
      <c r="P759" s="17"/>
      <c r="Q759" s="17"/>
      <c r="R759" s="17"/>
      <c r="S759" s="17"/>
      <c r="T759" s="17"/>
    </row>
    <row r="760" ht="15.75" customHeight="1">
      <c r="A760" s="18">
        <v>3.0</v>
      </c>
      <c r="B760" s="12" t="s">
        <v>70</v>
      </c>
      <c r="C760" s="12" t="s">
        <v>14</v>
      </c>
      <c r="D760" s="19" t="s">
        <v>20</v>
      </c>
      <c r="E760" s="12" t="str">
        <f>IFERROR(__xludf.DUMMYFUNCTION("FILTER(colegios!$B$2:$B5618,colegios!$A$2:$A5618=L760)"),"64346")</f>
        <v>64346</v>
      </c>
      <c r="F760" s="14" t="s">
        <v>16</v>
      </c>
      <c r="G760" s="20" t="s">
        <v>17</v>
      </c>
      <c r="H760" s="12" t="s">
        <v>24</v>
      </c>
      <c r="I760" s="15">
        <v>2024.0</v>
      </c>
      <c r="J760" s="16" t="str">
        <f>IFERROR(__xludf.DUMMYFUNCTION("FILTER('CLASFICACIÓN'!$F$3:$F5618,'CLASFICACIÓN'!$G$3:$G5618=M760)"),"SOLO 2022 Y 2024")</f>
        <v>SOLO 2022 Y 2024</v>
      </c>
      <c r="K760" s="16"/>
      <c r="L760" s="12" t="s">
        <v>83</v>
      </c>
      <c r="M760" s="16" t="str">
        <f t="shared" si="1"/>
        <v>643464 Primaria</v>
      </c>
      <c r="N760" s="17"/>
      <c r="O760" s="17"/>
      <c r="P760" s="17"/>
      <c r="Q760" s="17"/>
      <c r="R760" s="17"/>
      <c r="S760" s="17"/>
      <c r="T760" s="17"/>
    </row>
    <row r="761" ht="15.75" customHeight="1">
      <c r="A761" s="18">
        <v>4.0</v>
      </c>
      <c r="B761" s="12" t="s">
        <v>70</v>
      </c>
      <c r="C761" s="12" t="s">
        <v>14</v>
      </c>
      <c r="D761" s="19" t="s">
        <v>22</v>
      </c>
      <c r="E761" s="12" t="str">
        <f>IFERROR(__xludf.DUMMYFUNCTION("FILTER(colegios!$B$2:$B5618,colegios!$A$2:$A5618=L761)"),"64346")</f>
        <v>64346</v>
      </c>
      <c r="F761" s="14" t="s">
        <v>16</v>
      </c>
      <c r="G761" s="19" t="s">
        <v>17</v>
      </c>
      <c r="H761" s="12" t="s">
        <v>24</v>
      </c>
      <c r="I761" s="15">
        <v>2024.0</v>
      </c>
      <c r="J761" s="16" t="str">
        <f>IFERROR(__xludf.DUMMYFUNCTION("FILTER('CLASFICACIÓN'!$F$3:$F5618,'CLASFICACIÓN'!$G$3:$G5618=M761)"),"LOS 3 AÑOS")</f>
        <v>LOS 3 AÑOS</v>
      </c>
      <c r="K761" s="16"/>
      <c r="L761" s="12" t="s">
        <v>83</v>
      </c>
      <c r="M761" s="16" t="str">
        <f t="shared" si="1"/>
        <v>643466 Primaria</v>
      </c>
      <c r="N761" s="17"/>
      <c r="O761" s="17"/>
      <c r="P761" s="17"/>
      <c r="Q761" s="17"/>
      <c r="R761" s="17"/>
      <c r="S761" s="17"/>
      <c r="T761" s="17"/>
    </row>
    <row r="762" ht="15.75" customHeight="1">
      <c r="A762" s="18">
        <v>1.0</v>
      </c>
      <c r="B762" s="12" t="s">
        <v>84</v>
      </c>
      <c r="C762" s="12" t="s">
        <v>27</v>
      </c>
      <c r="D762" s="19" t="s">
        <v>28</v>
      </c>
      <c r="E762" s="12" t="str">
        <f>IFERROR(__xludf.DUMMYFUNCTION("FILTER(colegios!$B$2:$B5618,colegios!$A$2:$A5618=L762)"),"NUESTRA SEÑORA DE LA CANDELARIA")</f>
        <v>NUESTRA SEÑORA DE LA CANDELARIA</v>
      </c>
      <c r="F762" s="14" t="s">
        <v>16</v>
      </c>
      <c r="G762" s="19" t="s">
        <v>17</v>
      </c>
      <c r="H762" s="12" t="s">
        <v>18</v>
      </c>
      <c r="I762" s="15">
        <v>2024.0</v>
      </c>
      <c r="J762" s="16" t="str">
        <f>IFERROR(__xludf.DUMMYFUNCTION("FILTER('CLASFICACIÓN'!$F$3:$F5618,'CLASFICACIÓN'!$G$3:$G5618=M762)"),"2023 Y 2024")</f>
        <v>2023 Y 2024</v>
      </c>
      <c r="K762" s="16"/>
      <c r="L762" s="12" t="s">
        <v>85</v>
      </c>
      <c r="M762" s="16" t="str">
        <f t="shared" si="1"/>
        <v>NUESTRA SEÑORA DE LA CANDELARIA2 Secundaria</v>
      </c>
      <c r="N762" s="17"/>
      <c r="O762" s="17"/>
      <c r="P762" s="17"/>
      <c r="Q762" s="17"/>
      <c r="R762" s="17"/>
      <c r="S762" s="17"/>
      <c r="T762" s="17"/>
    </row>
    <row r="763" ht="15.75" customHeight="1">
      <c r="A763" s="18">
        <v>2.0</v>
      </c>
      <c r="B763" s="12" t="s">
        <v>84</v>
      </c>
      <c r="C763" s="12" t="s">
        <v>27</v>
      </c>
      <c r="D763" s="19" t="s">
        <v>28</v>
      </c>
      <c r="E763" s="12" t="str">
        <f>IFERROR(__xludf.DUMMYFUNCTION("FILTER(colegios!$B$2:$B5618,colegios!$A$2:$A5618=L763)"),"NUESTRA SEÑORA DE LA CANDELARIA")</f>
        <v>NUESTRA SEÑORA DE LA CANDELARIA</v>
      </c>
      <c r="F763" s="14" t="s">
        <v>16</v>
      </c>
      <c r="G763" s="20" t="s">
        <v>21</v>
      </c>
      <c r="H763" s="12" t="s">
        <v>18</v>
      </c>
      <c r="I763" s="15">
        <v>2024.0</v>
      </c>
      <c r="J763" s="16" t="str">
        <f>IFERROR(__xludf.DUMMYFUNCTION("FILTER('CLASFICACIÓN'!$F$3:$F5618,'CLASFICACIÓN'!$G$3:$G5618=M763)"),"2023 Y 2024")</f>
        <v>2023 Y 2024</v>
      </c>
      <c r="K763" s="16"/>
      <c r="L763" s="12" t="s">
        <v>85</v>
      </c>
      <c r="M763" s="16" t="str">
        <f t="shared" si="1"/>
        <v>NUESTRA SEÑORA DE LA CANDELARIA2 Secundaria</v>
      </c>
      <c r="N763" s="17"/>
      <c r="O763" s="17"/>
      <c r="P763" s="17"/>
      <c r="Q763" s="17"/>
      <c r="R763" s="17"/>
      <c r="S763" s="17"/>
      <c r="T763" s="17"/>
    </row>
    <row r="764" ht="15.75" customHeight="1">
      <c r="A764" s="18">
        <v>3.0</v>
      </c>
      <c r="B764" s="12" t="s">
        <v>84</v>
      </c>
      <c r="C764" s="12" t="s">
        <v>27</v>
      </c>
      <c r="D764" s="19" t="s">
        <v>28</v>
      </c>
      <c r="E764" s="12" t="str">
        <f>IFERROR(__xludf.DUMMYFUNCTION("FILTER(colegios!$B$2:$B5618,colegios!$A$2:$A5618=L764)"),"NUESTRA SEÑORA DE LA CANDELARIA")</f>
        <v>NUESTRA SEÑORA DE LA CANDELARIA</v>
      </c>
      <c r="F764" s="14" t="s">
        <v>16</v>
      </c>
      <c r="G764" s="20" t="s">
        <v>17</v>
      </c>
      <c r="H764" s="12" t="s">
        <v>18</v>
      </c>
      <c r="I764" s="15">
        <v>2024.0</v>
      </c>
      <c r="J764" s="16" t="str">
        <f>IFERROR(__xludf.DUMMYFUNCTION("FILTER('CLASFICACIÓN'!$F$3:$F5618,'CLASFICACIÓN'!$G$3:$G5618=M764)"),"2023 Y 2024")</f>
        <v>2023 Y 2024</v>
      </c>
      <c r="K764" s="16"/>
      <c r="L764" s="12" t="s">
        <v>85</v>
      </c>
      <c r="M764" s="16" t="str">
        <f t="shared" si="1"/>
        <v>NUESTRA SEÑORA DE LA CANDELARIA2 Secundaria</v>
      </c>
      <c r="N764" s="17"/>
      <c r="O764" s="17"/>
      <c r="P764" s="17"/>
      <c r="Q764" s="17"/>
      <c r="R764" s="17"/>
      <c r="S764" s="17"/>
      <c r="T764" s="17"/>
    </row>
    <row r="765" ht="15.75" customHeight="1">
      <c r="A765" s="18">
        <v>5.0</v>
      </c>
      <c r="B765" s="12" t="s">
        <v>84</v>
      </c>
      <c r="C765" s="12" t="s">
        <v>27</v>
      </c>
      <c r="D765" s="19" t="s">
        <v>28</v>
      </c>
      <c r="E765" s="12" t="str">
        <f>IFERROR(__xludf.DUMMYFUNCTION("FILTER(colegios!$B$2:$B5618,colegios!$A$2:$A5618=L765)"),"NUESTRA SEÑORA DE LA CANDELARIA")</f>
        <v>NUESTRA SEÑORA DE LA CANDELARIA</v>
      </c>
      <c r="F765" s="14" t="s">
        <v>16</v>
      </c>
      <c r="G765" s="20" t="s">
        <v>17</v>
      </c>
      <c r="H765" s="12" t="s">
        <v>18</v>
      </c>
      <c r="I765" s="15">
        <v>2024.0</v>
      </c>
      <c r="J765" s="16" t="str">
        <f>IFERROR(__xludf.DUMMYFUNCTION("FILTER('CLASFICACIÓN'!$F$3:$F5618,'CLASFICACIÓN'!$G$3:$G5618=M765)"),"2023 Y 2024")</f>
        <v>2023 Y 2024</v>
      </c>
      <c r="K765" s="16"/>
      <c r="L765" s="12" t="s">
        <v>85</v>
      </c>
      <c r="M765" s="16" t="str">
        <f t="shared" si="1"/>
        <v>NUESTRA SEÑORA DE LA CANDELARIA2 Secundaria</v>
      </c>
      <c r="N765" s="17"/>
      <c r="O765" s="17"/>
      <c r="P765" s="17"/>
      <c r="Q765" s="17"/>
      <c r="R765" s="17"/>
      <c r="S765" s="17"/>
      <c r="T765" s="17"/>
    </row>
    <row r="766" ht="15.75" customHeight="1">
      <c r="A766" s="18">
        <v>6.0</v>
      </c>
      <c r="B766" s="12" t="s">
        <v>84</v>
      </c>
      <c r="C766" s="12" t="s">
        <v>27</v>
      </c>
      <c r="D766" s="19" t="s">
        <v>28</v>
      </c>
      <c r="E766" s="12" t="str">
        <f>IFERROR(__xludf.DUMMYFUNCTION("FILTER(colegios!$B$2:$B5618,colegios!$A$2:$A5618=L766)"),"NUESTRA SEÑORA DE LA CANDELARIA")</f>
        <v>NUESTRA SEÑORA DE LA CANDELARIA</v>
      </c>
      <c r="F766" s="14" t="s">
        <v>16</v>
      </c>
      <c r="G766" s="20" t="s">
        <v>21</v>
      </c>
      <c r="H766" s="12" t="s">
        <v>18</v>
      </c>
      <c r="I766" s="15">
        <v>2024.0</v>
      </c>
      <c r="J766" s="16" t="str">
        <f>IFERROR(__xludf.DUMMYFUNCTION("FILTER('CLASFICACIÓN'!$F$3:$F5618,'CLASFICACIÓN'!$G$3:$G5618=M766)"),"2023 Y 2024")</f>
        <v>2023 Y 2024</v>
      </c>
      <c r="K766" s="16"/>
      <c r="L766" s="12" t="s">
        <v>85</v>
      </c>
      <c r="M766" s="16" t="str">
        <f t="shared" si="1"/>
        <v>NUESTRA SEÑORA DE LA CANDELARIA2 Secundaria</v>
      </c>
      <c r="N766" s="17"/>
      <c r="O766" s="17"/>
      <c r="P766" s="17"/>
      <c r="Q766" s="17"/>
      <c r="R766" s="17"/>
      <c r="S766" s="17"/>
      <c r="T766" s="17"/>
    </row>
    <row r="767" ht="15.75" customHeight="1">
      <c r="A767" s="18">
        <v>7.0</v>
      </c>
      <c r="B767" s="12" t="s">
        <v>84</v>
      </c>
      <c r="C767" s="12" t="s">
        <v>27</v>
      </c>
      <c r="D767" s="19" t="s">
        <v>28</v>
      </c>
      <c r="E767" s="12" t="str">
        <f>IFERROR(__xludf.DUMMYFUNCTION("FILTER(colegios!$B$2:$B5618,colegios!$A$2:$A5618=L767)"),"NUESTRA SEÑORA DE LA CANDELARIA")</f>
        <v>NUESTRA SEÑORA DE LA CANDELARIA</v>
      </c>
      <c r="F767" s="14" t="s">
        <v>16</v>
      </c>
      <c r="G767" s="19" t="s">
        <v>17</v>
      </c>
      <c r="H767" s="12" t="s">
        <v>18</v>
      </c>
      <c r="I767" s="15">
        <v>2024.0</v>
      </c>
      <c r="J767" s="16" t="str">
        <f>IFERROR(__xludf.DUMMYFUNCTION("FILTER('CLASFICACIÓN'!$F$3:$F5618,'CLASFICACIÓN'!$G$3:$G5618=M767)"),"2023 Y 2024")</f>
        <v>2023 Y 2024</v>
      </c>
      <c r="K767" s="16"/>
      <c r="L767" s="12" t="s">
        <v>85</v>
      </c>
      <c r="M767" s="16" t="str">
        <f t="shared" si="1"/>
        <v>NUESTRA SEÑORA DE LA CANDELARIA2 Secundaria</v>
      </c>
      <c r="N767" s="17"/>
      <c r="O767" s="17"/>
      <c r="P767" s="17"/>
      <c r="Q767" s="17"/>
      <c r="R767" s="17"/>
      <c r="S767" s="17"/>
      <c r="T767" s="17"/>
    </row>
    <row r="768" ht="15.75" customHeight="1">
      <c r="A768" s="18">
        <v>8.0</v>
      </c>
      <c r="B768" s="12" t="s">
        <v>84</v>
      </c>
      <c r="C768" s="12" t="s">
        <v>27</v>
      </c>
      <c r="D768" s="19" t="s">
        <v>28</v>
      </c>
      <c r="E768" s="12" t="str">
        <f>IFERROR(__xludf.DUMMYFUNCTION("FILTER(colegios!$B$2:$B5618,colegios!$A$2:$A5618=L768)"),"NUESTRA SEÑORA DE LA CANDELARIA")</f>
        <v>NUESTRA SEÑORA DE LA CANDELARIA</v>
      </c>
      <c r="F768" s="14" t="s">
        <v>16</v>
      </c>
      <c r="G768" s="19" t="s">
        <v>17</v>
      </c>
      <c r="H768" s="12" t="s">
        <v>18</v>
      </c>
      <c r="I768" s="15">
        <v>2024.0</v>
      </c>
      <c r="J768" s="16" t="str">
        <f>IFERROR(__xludf.DUMMYFUNCTION("FILTER('CLASFICACIÓN'!$F$3:$F5618,'CLASFICACIÓN'!$G$3:$G5618=M768)"),"2023 Y 2024")</f>
        <v>2023 Y 2024</v>
      </c>
      <c r="K768" s="16"/>
      <c r="L768" s="12" t="s">
        <v>85</v>
      </c>
      <c r="M768" s="16" t="str">
        <f t="shared" si="1"/>
        <v>NUESTRA SEÑORA DE LA CANDELARIA2 Secundaria</v>
      </c>
      <c r="N768" s="17"/>
      <c r="O768" s="17"/>
      <c r="P768" s="17"/>
      <c r="Q768" s="17"/>
      <c r="R768" s="17"/>
      <c r="S768" s="17"/>
      <c r="T768" s="17"/>
    </row>
    <row r="769" ht="15.75" customHeight="1">
      <c r="A769" s="18">
        <v>9.0</v>
      </c>
      <c r="B769" s="12" t="s">
        <v>84</v>
      </c>
      <c r="C769" s="12" t="s">
        <v>27</v>
      </c>
      <c r="D769" s="19" t="s">
        <v>28</v>
      </c>
      <c r="E769" s="12" t="str">
        <f>IFERROR(__xludf.DUMMYFUNCTION("FILTER(colegios!$B$2:$B5618,colegios!$A$2:$A5618=L769)"),"NUESTRA SEÑORA DE LA CANDELARIA")</f>
        <v>NUESTRA SEÑORA DE LA CANDELARIA</v>
      </c>
      <c r="F769" s="14" t="s">
        <v>16</v>
      </c>
      <c r="G769" s="19" t="s">
        <v>21</v>
      </c>
      <c r="H769" s="12" t="s">
        <v>18</v>
      </c>
      <c r="I769" s="15">
        <v>2024.0</v>
      </c>
      <c r="J769" s="16" t="str">
        <f>IFERROR(__xludf.DUMMYFUNCTION("FILTER('CLASFICACIÓN'!$F$3:$F5618,'CLASFICACIÓN'!$G$3:$G5618=M769)"),"2023 Y 2024")</f>
        <v>2023 Y 2024</v>
      </c>
      <c r="K769" s="16"/>
      <c r="L769" s="12" t="s">
        <v>85</v>
      </c>
      <c r="M769" s="16" t="str">
        <f t="shared" si="1"/>
        <v>NUESTRA SEÑORA DE LA CANDELARIA2 Secundaria</v>
      </c>
      <c r="N769" s="17"/>
      <c r="O769" s="17"/>
      <c r="P769" s="17"/>
      <c r="Q769" s="17"/>
      <c r="R769" s="17"/>
      <c r="S769" s="17"/>
      <c r="T769" s="17"/>
    </row>
    <row r="770" ht="15.75" customHeight="1">
      <c r="A770" s="18">
        <v>10.0</v>
      </c>
      <c r="B770" s="12" t="s">
        <v>84</v>
      </c>
      <c r="C770" s="12" t="s">
        <v>27</v>
      </c>
      <c r="D770" s="19" t="s">
        <v>28</v>
      </c>
      <c r="E770" s="12" t="str">
        <f>IFERROR(__xludf.DUMMYFUNCTION("FILTER(colegios!$B$2:$B5618,colegios!$A$2:$A5618=L770)"),"NUESTRA SEÑORA DE LA CANDELARIA")</f>
        <v>NUESTRA SEÑORA DE LA CANDELARIA</v>
      </c>
      <c r="F770" s="14" t="s">
        <v>16</v>
      </c>
      <c r="G770" s="20" t="s">
        <v>17</v>
      </c>
      <c r="H770" s="12" t="s">
        <v>18</v>
      </c>
      <c r="I770" s="15">
        <v>2024.0</v>
      </c>
      <c r="J770" s="16" t="str">
        <f>IFERROR(__xludf.DUMMYFUNCTION("FILTER('CLASFICACIÓN'!$F$3:$F5618,'CLASFICACIÓN'!$G$3:$G5618=M770)"),"2023 Y 2024")</f>
        <v>2023 Y 2024</v>
      </c>
      <c r="K770" s="16"/>
      <c r="L770" s="12" t="s">
        <v>85</v>
      </c>
      <c r="M770" s="16" t="str">
        <f t="shared" si="1"/>
        <v>NUESTRA SEÑORA DE LA CANDELARIA2 Secundaria</v>
      </c>
      <c r="N770" s="17"/>
      <c r="O770" s="17"/>
      <c r="P770" s="17"/>
      <c r="Q770" s="17"/>
      <c r="R770" s="17"/>
      <c r="S770" s="17"/>
      <c r="T770" s="17"/>
    </row>
    <row r="771" ht="15.75" customHeight="1">
      <c r="A771" s="18">
        <v>11.0</v>
      </c>
      <c r="B771" s="12" t="s">
        <v>84</v>
      </c>
      <c r="C771" s="12" t="s">
        <v>27</v>
      </c>
      <c r="D771" s="19" t="s">
        <v>28</v>
      </c>
      <c r="E771" s="12" t="str">
        <f>IFERROR(__xludf.DUMMYFUNCTION("FILTER(colegios!$B$2:$B5618,colegios!$A$2:$A5618=L771)"),"NUESTRA SEÑORA DE LA CANDELARIA")</f>
        <v>NUESTRA SEÑORA DE LA CANDELARIA</v>
      </c>
      <c r="F771" s="14" t="s">
        <v>16</v>
      </c>
      <c r="G771" s="20" t="s">
        <v>21</v>
      </c>
      <c r="H771" s="12" t="s">
        <v>18</v>
      </c>
      <c r="I771" s="15">
        <v>2024.0</v>
      </c>
      <c r="J771" s="16" t="str">
        <f>IFERROR(__xludf.DUMMYFUNCTION("FILTER('CLASFICACIÓN'!$F$3:$F5618,'CLASFICACIÓN'!$G$3:$G5618=M771)"),"2023 Y 2024")</f>
        <v>2023 Y 2024</v>
      </c>
      <c r="K771" s="16"/>
      <c r="L771" s="12" t="s">
        <v>85</v>
      </c>
      <c r="M771" s="16" t="str">
        <f t="shared" si="1"/>
        <v>NUESTRA SEÑORA DE LA CANDELARIA2 Secundaria</v>
      </c>
      <c r="N771" s="17"/>
      <c r="O771" s="17"/>
      <c r="P771" s="17"/>
      <c r="Q771" s="17"/>
      <c r="R771" s="17"/>
      <c r="S771" s="17"/>
      <c r="T771" s="17"/>
    </row>
    <row r="772" ht="15.75" customHeight="1">
      <c r="A772" s="18">
        <v>12.0</v>
      </c>
      <c r="B772" s="12" t="s">
        <v>84</v>
      </c>
      <c r="C772" s="12" t="s">
        <v>27</v>
      </c>
      <c r="D772" s="19" t="s">
        <v>28</v>
      </c>
      <c r="E772" s="12" t="str">
        <f>IFERROR(__xludf.DUMMYFUNCTION("FILTER(colegios!$B$2:$B5618,colegios!$A$2:$A5618=L772)"),"NUESTRA SEÑORA DE LA CANDELARIA")</f>
        <v>NUESTRA SEÑORA DE LA CANDELARIA</v>
      </c>
      <c r="F772" s="14" t="s">
        <v>16</v>
      </c>
      <c r="G772" s="19" t="s">
        <v>21</v>
      </c>
      <c r="H772" s="12" t="s">
        <v>18</v>
      </c>
      <c r="I772" s="15">
        <v>2024.0</v>
      </c>
      <c r="J772" s="16" t="str">
        <f>IFERROR(__xludf.DUMMYFUNCTION("FILTER('CLASFICACIÓN'!$F$3:$F5618,'CLASFICACIÓN'!$G$3:$G5618=M772)"),"2023 Y 2024")</f>
        <v>2023 Y 2024</v>
      </c>
      <c r="K772" s="16"/>
      <c r="L772" s="12" t="s">
        <v>85</v>
      </c>
      <c r="M772" s="16" t="str">
        <f t="shared" si="1"/>
        <v>NUESTRA SEÑORA DE LA CANDELARIA2 Secundaria</v>
      </c>
      <c r="N772" s="17"/>
      <c r="O772" s="17"/>
      <c r="P772" s="17"/>
      <c r="Q772" s="17"/>
      <c r="R772" s="17"/>
      <c r="S772" s="17"/>
      <c r="T772" s="17"/>
    </row>
    <row r="773" ht="15.75" customHeight="1">
      <c r="A773" s="18">
        <v>13.0</v>
      </c>
      <c r="B773" s="12" t="s">
        <v>84</v>
      </c>
      <c r="C773" s="12" t="s">
        <v>27</v>
      </c>
      <c r="D773" s="19" t="s">
        <v>28</v>
      </c>
      <c r="E773" s="12" t="str">
        <f>IFERROR(__xludf.DUMMYFUNCTION("FILTER(colegios!$B$2:$B5618,colegios!$A$2:$A5618=L773)"),"NUESTRA SEÑORA DE LA CANDELARIA")</f>
        <v>NUESTRA SEÑORA DE LA CANDELARIA</v>
      </c>
      <c r="F773" s="14" t="s">
        <v>16</v>
      </c>
      <c r="G773" s="19" t="s">
        <v>17</v>
      </c>
      <c r="H773" s="12" t="s">
        <v>18</v>
      </c>
      <c r="I773" s="15">
        <v>2024.0</v>
      </c>
      <c r="J773" s="16" t="str">
        <f>IFERROR(__xludf.DUMMYFUNCTION("FILTER('CLASFICACIÓN'!$F$3:$F5618,'CLASFICACIÓN'!$G$3:$G5618=M773)"),"2023 Y 2024")</f>
        <v>2023 Y 2024</v>
      </c>
      <c r="K773" s="16"/>
      <c r="L773" s="12" t="s">
        <v>85</v>
      </c>
      <c r="M773" s="16" t="str">
        <f t="shared" si="1"/>
        <v>NUESTRA SEÑORA DE LA CANDELARIA2 Secundaria</v>
      </c>
      <c r="N773" s="17"/>
      <c r="O773" s="17"/>
      <c r="P773" s="17"/>
      <c r="Q773" s="17"/>
      <c r="R773" s="17"/>
      <c r="S773" s="17"/>
      <c r="T773" s="17"/>
    </row>
    <row r="774" ht="15.75" customHeight="1">
      <c r="A774" s="18">
        <v>14.0</v>
      </c>
      <c r="B774" s="12" t="s">
        <v>84</v>
      </c>
      <c r="C774" s="12" t="s">
        <v>27</v>
      </c>
      <c r="D774" s="19" t="s">
        <v>28</v>
      </c>
      <c r="E774" s="12" t="str">
        <f>IFERROR(__xludf.DUMMYFUNCTION("FILTER(colegios!$B$2:$B5618,colegios!$A$2:$A5618=L774)"),"NUESTRA SEÑORA DE LA CANDELARIA")</f>
        <v>NUESTRA SEÑORA DE LA CANDELARIA</v>
      </c>
      <c r="F774" s="14" t="s">
        <v>16</v>
      </c>
      <c r="G774" s="19" t="s">
        <v>21</v>
      </c>
      <c r="H774" s="12" t="s">
        <v>18</v>
      </c>
      <c r="I774" s="15">
        <v>2024.0</v>
      </c>
      <c r="J774" s="16" t="str">
        <f>IFERROR(__xludf.DUMMYFUNCTION("FILTER('CLASFICACIÓN'!$F$3:$F5618,'CLASFICACIÓN'!$G$3:$G5618=M774)"),"2023 Y 2024")</f>
        <v>2023 Y 2024</v>
      </c>
      <c r="K774" s="16"/>
      <c r="L774" s="12" t="s">
        <v>85</v>
      </c>
      <c r="M774" s="16" t="str">
        <f t="shared" si="1"/>
        <v>NUESTRA SEÑORA DE LA CANDELARIA2 Secundaria</v>
      </c>
      <c r="N774" s="17"/>
      <c r="O774" s="17"/>
      <c r="P774" s="17"/>
      <c r="Q774" s="17"/>
      <c r="R774" s="17"/>
      <c r="S774" s="17"/>
      <c r="T774" s="17"/>
    </row>
    <row r="775" ht="15.75" customHeight="1">
      <c r="A775" s="18">
        <v>15.0</v>
      </c>
      <c r="B775" s="12" t="s">
        <v>84</v>
      </c>
      <c r="C775" s="12" t="s">
        <v>27</v>
      </c>
      <c r="D775" s="19" t="s">
        <v>28</v>
      </c>
      <c r="E775" s="12" t="str">
        <f>IFERROR(__xludf.DUMMYFUNCTION("FILTER(colegios!$B$2:$B5618,colegios!$A$2:$A5618=L775)"),"NUESTRA SEÑORA DE LA CANDELARIA")</f>
        <v>NUESTRA SEÑORA DE LA CANDELARIA</v>
      </c>
      <c r="F775" s="14" t="s">
        <v>16</v>
      </c>
      <c r="G775" s="19" t="s">
        <v>21</v>
      </c>
      <c r="H775" s="12" t="s">
        <v>24</v>
      </c>
      <c r="I775" s="15">
        <v>2024.0</v>
      </c>
      <c r="J775" s="16" t="str">
        <f>IFERROR(__xludf.DUMMYFUNCTION("FILTER('CLASFICACIÓN'!$F$3:$F5618,'CLASFICACIÓN'!$G$3:$G5618=M775)"),"2023 Y 2024")</f>
        <v>2023 Y 2024</v>
      </c>
      <c r="K775" s="16"/>
      <c r="L775" s="12" t="s">
        <v>85</v>
      </c>
      <c r="M775" s="16" t="str">
        <f t="shared" si="1"/>
        <v>NUESTRA SEÑORA DE LA CANDELARIA2 Secundaria</v>
      </c>
      <c r="N775" s="17"/>
      <c r="O775" s="17"/>
      <c r="P775" s="17"/>
      <c r="Q775" s="17"/>
      <c r="R775" s="17"/>
      <c r="S775" s="17"/>
      <c r="T775" s="17"/>
    </row>
    <row r="776" ht="15.75" customHeight="1">
      <c r="A776" s="18">
        <v>16.0</v>
      </c>
      <c r="B776" s="12" t="s">
        <v>84</v>
      </c>
      <c r="C776" s="12" t="s">
        <v>27</v>
      </c>
      <c r="D776" s="19" t="s">
        <v>28</v>
      </c>
      <c r="E776" s="12" t="str">
        <f>IFERROR(__xludf.DUMMYFUNCTION("FILTER(colegios!$B$2:$B5618,colegios!$A$2:$A5618=L776)"),"NUESTRA SEÑORA DE LA CANDELARIA")</f>
        <v>NUESTRA SEÑORA DE LA CANDELARIA</v>
      </c>
      <c r="F776" s="14" t="s">
        <v>16</v>
      </c>
      <c r="G776" s="19" t="s">
        <v>21</v>
      </c>
      <c r="H776" s="12" t="s">
        <v>18</v>
      </c>
      <c r="I776" s="15">
        <v>2024.0</v>
      </c>
      <c r="J776" s="16" t="str">
        <f>IFERROR(__xludf.DUMMYFUNCTION("FILTER('CLASFICACIÓN'!$F$3:$F5618,'CLASFICACIÓN'!$G$3:$G5618=M776)"),"2023 Y 2024")</f>
        <v>2023 Y 2024</v>
      </c>
      <c r="K776" s="16"/>
      <c r="L776" s="12" t="s">
        <v>85</v>
      </c>
      <c r="M776" s="16" t="str">
        <f t="shared" si="1"/>
        <v>NUESTRA SEÑORA DE LA CANDELARIA2 Secundaria</v>
      </c>
      <c r="N776" s="17"/>
      <c r="O776" s="17"/>
      <c r="P776" s="17"/>
      <c r="Q776" s="17"/>
      <c r="R776" s="17"/>
      <c r="S776" s="17"/>
      <c r="T776" s="17"/>
    </row>
    <row r="777" ht="15.75" customHeight="1">
      <c r="A777" s="18">
        <v>17.0</v>
      </c>
      <c r="B777" s="12" t="s">
        <v>84</v>
      </c>
      <c r="C777" s="12" t="s">
        <v>27</v>
      </c>
      <c r="D777" s="19" t="s">
        <v>28</v>
      </c>
      <c r="E777" s="12" t="str">
        <f>IFERROR(__xludf.DUMMYFUNCTION("FILTER(colegios!$B$2:$B5618,colegios!$A$2:$A5618=L777)"),"NUESTRA SEÑORA DE LA CANDELARIA")</f>
        <v>NUESTRA SEÑORA DE LA CANDELARIA</v>
      </c>
      <c r="F777" s="14" t="s">
        <v>16</v>
      </c>
      <c r="G777" s="19" t="s">
        <v>17</v>
      </c>
      <c r="H777" s="12" t="s">
        <v>18</v>
      </c>
      <c r="I777" s="15">
        <v>2024.0</v>
      </c>
      <c r="J777" s="16" t="str">
        <f>IFERROR(__xludf.DUMMYFUNCTION("FILTER('CLASFICACIÓN'!$F$3:$F5618,'CLASFICACIÓN'!$G$3:$G5618=M777)"),"2023 Y 2024")</f>
        <v>2023 Y 2024</v>
      </c>
      <c r="K777" s="16"/>
      <c r="L777" s="12" t="s">
        <v>85</v>
      </c>
      <c r="M777" s="16" t="str">
        <f t="shared" si="1"/>
        <v>NUESTRA SEÑORA DE LA CANDELARIA2 Secundaria</v>
      </c>
      <c r="N777" s="17"/>
      <c r="O777" s="17"/>
      <c r="P777" s="17"/>
      <c r="Q777" s="17"/>
      <c r="R777" s="17"/>
      <c r="S777" s="17"/>
      <c r="T777" s="17"/>
    </row>
    <row r="778" ht="15.75" customHeight="1">
      <c r="A778" s="18">
        <v>18.0</v>
      </c>
      <c r="B778" s="12" t="s">
        <v>84</v>
      </c>
      <c r="C778" s="12" t="s">
        <v>27</v>
      </c>
      <c r="D778" s="19" t="s">
        <v>28</v>
      </c>
      <c r="E778" s="12" t="str">
        <f>IFERROR(__xludf.DUMMYFUNCTION("FILTER(colegios!$B$2:$B5618,colegios!$A$2:$A5618=L778)"),"NUESTRA SEÑORA DE LA CANDELARIA")</f>
        <v>NUESTRA SEÑORA DE LA CANDELARIA</v>
      </c>
      <c r="F778" s="14" t="s">
        <v>16</v>
      </c>
      <c r="G778" s="20" t="s">
        <v>21</v>
      </c>
      <c r="H778" s="12" t="s">
        <v>24</v>
      </c>
      <c r="I778" s="15">
        <v>2024.0</v>
      </c>
      <c r="J778" s="16" t="str">
        <f>IFERROR(__xludf.DUMMYFUNCTION("FILTER('CLASFICACIÓN'!$F$3:$F5618,'CLASFICACIÓN'!$G$3:$G5618=M778)"),"2023 Y 2024")</f>
        <v>2023 Y 2024</v>
      </c>
      <c r="K778" s="16"/>
      <c r="L778" s="12" t="s">
        <v>85</v>
      </c>
      <c r="M778" s="16" t="str">
        <f t="shared" si="1"/>
        <v>NUESTRA SEÑORA DE LA CANDELARIA2 Secundaria</v>
      </c>
      <c r="N778" s="17"/>
      <c r="O778" s="17"/>
      <c r="P778" s="17"/>
      <c r="Q778" s="17"/>
      <c r="R778" s="17"/>
      <c r="S778" s="17"/>
      <c r="T778" s="17"/>
    </row>
    <row r="779" ht="15.75" customHeight="1">
      <c r="A779" s="18">
        <v>19.0</v>
      </c>
      <c r="B779" s="12" t="s">
        <v>84</v>
      </c>
      <c r="C779" s="12" t="s">
        <v>27</v>
      </c>
      <c r="D779" s="19" t="s">
        <v>28</v>
      </c>
      <c r="E779" s="12" t="str">
        <f>IFERROR(__xludf.DUMMYFUNCTION("FILTER(colegios!$B$2:$B5618,colegios!$A$2:$A5618=L779)"),"NUESTRA SEÑORA DE LA CANDELARIA")</f>
        <v>NUESTRA SEÑORA DE LA CANDELARIA</v>
      </c>
      <c r="F779" s="14" t="s">
        <v>16</v>
      </c>
      <c r="G779" s="20" t="s">
        <v>21</v>
      </c>
      <c r="H779" s="12" t="s">
        <v>18</v>
      </c>
      <c r="I779" s="15">
        <v>2024.0</v>
      </c>
      <c r="J779" s="16" t="str">
        <f>IFERROR(__xludf.DUMMYFUNCTION("FILTER('CLASFICACIÓN'!$F$3:$F5618,'CLASFICACIÓN'!$G$3:$G5618=M779)"),"2023 Y 2024")</f>
        <v>2023 Y 2024</v>
      </c>
      <c r="K779" s="16"/>
      <c r="L779" s="12" t="s">
        <v>85</v>
      </c>
      <c r="M779" s="16" t="str">
        <f t="shared" si="1"/>
        <v>NUESTRA SEÑORA DE LA CANDELARIA2 Secundaria</v>
      </c>
      <c r="N779" s="17"/>
      <c r="O779" s="17"/>
      <c r="P779" s="17"/>
      <c r="Q779" s="17"/>
      <c r="R779" s="17"/>
      <c r="S779" s="17"/>
      <c r="T779" s="17"/>
    </row>
    <row r="780" ht="15.75" customHeight="1">
      <c r="A780" s="18">
        <v>20.0</v>
      </c>
      <c r="B780" s="12" t="s">
        <v>84</v>
      </c>
      <c r="C780" s="12" t="s">
        <v>27</v>
      </c>
      <c r="D780" s="19" t="s">
        <v>28</v>
      </c>
      <c r="E780" s="12" t="str">
        <f>IFERROR(__xludf.DUMMYFUNCTION("FILTER(colegios!$B$2:$B5618,colegios!$A$2:$A5618=L780)"),"NUESTRA SEÑORA DE LA CANDELARIA")</f>
        <v>NUESTRA SEÑORA DE LA CANDELARIA</v>
      </c>
      <c r="F780" s="14" t="s">
        <v>16</v>
      </c>
      <c r="G780" s="19" t="s">
        <v>17</v>
      </c>
      <c r="H780" s="12" t="s">
        <v>18</v>
      </c>
      <c r="I780" s="15">
        <v>2024.0</v>
      </c>
      <c r="J780" s="16" t="str">
        <f>IFERROR(__xludf.DUMMYFUNCTION("FILTER('CLASFICACIÓN'!$F$3:$F5618,'CLASFICACIÓN'!$G$3:$G5618=M780)"),"2023 Y 2024")</f>
        <v>2023 Y 2024</v>
      </c>
      <c r="K780" s="16"/>
      <c r="L780" s="12" t="s">
        <v>85</v>
      </c>
      <c r="M780" s="16" t="str">
        <f t="shared" si="1"/>
        <v>NUESTRA SEÑORA DE LA CANDELARIA2 Secundaria</v>
      </c>
      <c r="N780" s="17"/>
      <c r="O780" s="17"/>
      <c r="P780" s="17"/>
      <c r="Q780" s="17"/>
      <c r="R780" s="17"/>
      <c r="S780" s="17"/>
      <c r="T780" s="17"/>
    </row>
    <row r="781" ht="15.75" customHeight="1">
      <c r="A781" s="18">
        <v>21.0</v>
      </c>
      <c r="B781" s="12" t="s">
        <v>84</v>
      </c>
      <c r="C781" s="12" t="s">
        <v>27</v>
      </c>
      <c r="D781" s="19" t="s">
        <v>28</v>
      </c>
      <c r="E781" s="12" t="str">
        <f>IFERROR(__xludf.DUMMYFUNCTION("FILTER(colegios!$B$2:$B5618,colegios!$A$2:$A5618=L781)"),"NUESTRA SEÑORA DE LA CANDELARIA")</f>
        <v>NUESTRA SEÑORA DE LA CANDELARIA</v>
      </c>
      <c r="F781" s="14" t="s">
        <v>16</v>
      </c>
      <c r="G781" s="19" t="s">
        <v>21</v>
      </c>
      <c r="H781" s="12" t="s">
        <v>24</v>
      </c>
      <c r="I781" s="15">
        <v>2024.0</v>
      </c>
      <c r="J781" s="16" t="str">
        <f>IFERROR(__xludf.DUMMYFUNCTION("FILTER('CLASFICACIÓN'!$F$3:$F5618,'CLASFICACIÓN'!$G$3:$G5618=M781)"),"2023 Y 2024")</f>
        <v>2023 Y 2024</v>
      </c>
      <c r="K781" s="16"/>
      <c r="L781" s="12" t="s">
        <v>85</v>
      </c>
      <c r="M781" s="16" t="str">
        <f t="shared" si="1"/>
        <v>NUESTRA SEÑORA DE LA CANDELARIA2 Secundaria</v>
      </c>
      <c r="N781" s="17"/>
      <c r="O781" s="17"/>
      <c r="P781" s="17"/>
      <c r="Q781" s="17"/>
      <c r="R781" s="17"/>
      <c r="S781" s="17"/>
      <c r="T781" s="17"/>
    </row>
    <row r="782" ht="15.75" customHeight="1">
      <c r="A782" s="18">
        <v>22.0</v>
      </c>
      <c r="B782" s="12" t="s">
        <v>84</v>
      </c>
      <c r="C782" s="12" t="s">
        <v>27</v>
      </c>
      <c r="D782" s="19" t="s">
        <v>28</v>
      </c>
      <c r="E782" s="12" t="str">
        <f>IFERROR(__xludf.DUMMYFUNCTION("FILTER(colegios!$B$2:$B5618,colegios!$A$2:$A5618=L782)"),"NUESTRA SEÑORA DE LA CANDELARIA")</f>
        <v>NUESTRA SEÑORA DE LA CANDELARIA</v>
      </c>
      <c r="F782" s="14" t="s">
        <v>16</v>
      </c>
      <c r="G782" s="19" t="s">
        <v>17</v>
      </c>
      <c r="H782" s="12" t="s">
        <v>18</v>
      </c>
      <c r="I782" s="15">
        <v>2024.0</v>
      </c>
      <c r="J782" s="16" t="str">
        <f>IFERROR(__xludf.DUMMYFUNCTION("FILTER('CLASFICACIÓN'!$F$3:$F5618,'CLASFICACIÓN'!$G$3:$G5618=M782)"),"2023 Y 2024")</f>
        <v>2023 Y 2024</v>
      </c>
      <c r="K782" s="16"/>
      <c r="L782" s="12" t="s">
        <v>85</v>
      </c>
      <c r="M782" s="16" t="str">
        <f t="shared" si="1"/>
        <v>NUESTRA SEÑORA DE LA CANDELARIA2 Secundaria</v>
      </c>
      <c r="N782" s="17"/>
      <c r="O782" s="17"/>
      <c r="P782" s="17"/>
      <c r="Q782" s="17"/>
      <c r="R782" s="17"/>
      <c r="S782" s="17"/>
      <c r="T782" s="17"/>
    </row>
    <row r="783" ht="15.75" customHeight="1">
      <c r="A783" s="18">
        <v>23.0</v>
      </c>
      <c r="B783" s="12" t="s">
        <v>84</v>
      </c>
      <c r="C783" s="12" t="s">
        <v>27</v>
      </c>
      <c r="D783" s="19" t="s">
        <v>28</v>
      </c>
      <c r="E783" s="12" t="str">
        <f>IFERROR(__xludf.DUMMYFUNCTION("FILTER(colegios!$B$2:$B5618,colegios!$A$2:$A5618=L783)"),"NUESTRA SEÑORA DE LA CANDELARIA")</f>
        <v>NUESTRA SEÑORA DE LA CANDELARIA</v>
      </c>
      <c r="F783" s="14" t="s">
        <v>16</v>
      </c>
      <c r="G783" s="19" t="s">
        <v>17</v>
      </c>
      <c r="H783" s="12" t="s">
        <v>24</v>
      </c>
      <c r="I783" s="15">
        <v>2024.0</v>
      </c>
      <c r="J783" s="16" t="str">
        <f>IFERROR(__xludf.DUMMYFUNCTION("FILTER('CLASFICACIÓN'!$F$3:$F5618,'CLASFICACIÓN'!$G$3:$G5618=M783)"),"2023 Y 2024")</f>
        <v>2023 Y 2024</v>
      </c>
      <c r="K783" s="16"/>
      <c r="L783" s="12" t="s">
        <v>85</v>
      </c>
      <c r="M783" s="16" t="str">
        <f t="shared" si="1"/>
        <v>NUESTRA SEÑORA DE LA CANDELARIA2 Secundaria</v>
      </c>
      <c r="N783" s="17"/>
      <c r="O783" s="17"/>
      <c r="P783" s="17"/>
      <c r="Q783" s="17"/>
      <c r="R783" s="17"/>
      <c r="S783" s="17"/>
      <c r="T783" s="17"/>
    </row>
    <row r="784" ht="15.75" customHeight="1">
      <c r="A784" s="18">
        <v>24.0</v>
      </c>
      <c r="B784" s="12" t="s">
        <v>84</v>
      </c>
      <c r="C784" s="12" t="s">
        <v>27</v>
      </c>
      <c r="D784" s="19" t="s">
        <v>28</v>
      </c>
      <c r="E784" s="12" t="str">
        <f>IFERROR(__xludf.DUMMYFUNCTION("FILTER(colegios!$B$2:$B5618,colegios!$A$2:$A5618=L784)"),"NUESTRA SEÑORA DE LA CANDELARIA")</f>
        <v>NUESTRA SEÑORA DE LA CANDELARIA</v>
      </c>
      <c r="F784" s="14" t="s">
        <v>16</v>
      </c>
      <c r="G784" s="19" t="s">
        <v>17</v>
      </c>
      <c r="H784" s="12" t="s">
        <v>18</v>
      </c>
      <c r="I784" s="15">
        <v>2024.0</v>
      </c>
      <c r="J784" s="16" t="str">
        <f>IFERROR(__xludf.DUMMYFUNCTION("FILTER('CLASFICACIÓN'!$F$3:$F5618,'CLASFICACIÓN'!$G$3:$G5618=M784)"),"2023 Y 2024")</f>
        <v>2023 Y 2024</v>
      </c>
      <c r="K784" s="16"/>
      <c r="L784" s="12" t="s">
        <v>85</v>
      </c>
      <c r="M784" s="16" t="str">
        <f t="shared" si="1"/>
        <v>NUESTRA SEÑORA DE LA CANDELARIA2 Secundaria</v>
      </c>
      <c r="N784" s="17"/>
      <c r="O784" s="17"/>
      <c r="P784" s="17"/>
      <c r="Q784" s="17"/>
      <c r="R784" s="17"/>
      <c r="S784" s="17"/>
      <c r="T784" s="17"/>
    </row>
    <row r="785" ht="15.75" customHeight="1">
      <c r="A785" s="18">
        <v>25.0</v>
      </c>
      <c r="B785" s="12" t="s">
        <v>84</v>
      </c>
      <c r="C785" s="12" t="s">
        <v>27</v>
      </c>
      <c r="D785" s="19" t="s">
        <v>28</v>
      </c>
      <c r="E785" s="12" t="str">
        <f>IFERROR(__xludf.DUMMYFUNCTION("FILTER(colegios!$B$2:$B5618,colegios!$A$2:$A5618=L785)"),"NUESTRA SEÑORA DE LA CANDELARIA")</f>
        <v>NUESTRA SEÑORA DE LA CANDELARIA</v>
      </c>
      <c r="F785" s="14" t="s">
        <v>16</v>
      </c>
      <c r="G785" s="20" t="s">
        <v>17</v>
      </c>
      <c r="H785" s="12" t="s">
        <v>18</v>
      </c>
      <c r="I785" s="15">
        <v>2024.0</v>
      </c>
      <c r="J785" s="16" t="str">
        <f>IFERROR(__xludf.DUMMYFUNCTION("FILTER('CLASFICACIÓN'!$F$3:$F5618,'CLASFICACIÓN'!$G$3:$G5618=M785)"),"2023 Y 2024")</f>
        <v>2023 Y 2024</v>
      </c>
      <c r="K785" s="16"/>
      <c r="L785" s="12" t="s">
        <v>85</v>
      </c>
      <c r="M785" s="16" t="str">
        <f t="shared" si="1"/>
        <v>NUESTRA SEÑORA DE LA CANDELARIA2 Secundaria</v>
      </c>
      <c r="N785" s="17"/>
      <c r="O785" s="17"/>
      <c r="P785" s="17"/>
      <c r="Q785" s="17"/>
      <c r="R785" s="17"/>
      <c r="S785" s="17"/>
      <c r="T785" s="17"/>
    </row>
    <row r="786" ht="15.75" customHeight="1">
      <c r="A786" s="18">
        <v>26.0</v>
      </c>
      <c r="B786" s="12" t="s">
        <v>84</v>
      </c>
      <c r="C786" s="12" t="s">
        <v>27</v>
      </c>
      <c r="D786" s="19" t="s">
        <v>28</v>
      </c>
      <c r="E786" s="12" t="str">
        <f>IFERROR(__xludf.DUMMYFUNCTION("FILTER(colegios!$B$2:$B5618,colegios!$A$2:$A5618=L786)"),"NUESTRA SEÑORA DE LA CANDELARIA")</f>
        <v>NUESTRA SEÑORA DE LA CANDELARIA</v>
      </c>
      <c r="F786" s="14" t="s">
        <v>16</v>
      </c>
      <c r="G786" s="20" t="s">
        <v>17</v>
      </c>
      <c r="H786" s="12" t="s">
        <v>18</v>
      </c>
      <c r="I786" s="15">
        <v>2024.0</v>
      </c>
      <c r="J786" s="16" t="str">
        <f>IFERROR(__xludf.DUMMYFUNCTION("FILTER('CLASFICACIÓN'!$F$3:$F5618,'CLASFICACIÓN'!$G$3:$G5618=M786)"),"2023 Y 2024")</f>
        <v>2023 Y 2024</v>
      </c>
      <c r="K786" s="16"/>
      <c r="L786" s="12" t="s">
        <v>85</v>
      </c>
      <c r="M786" s="16" t="str">
        <f t="shared" si="1"/>
        <v>NUESTRA SEÑORA DE LA CANDELARIA2 Secundaria</v>
      </c>
      <c r="N786" s="17"/>
      <c r="O786" s="17"/>
      <c r="P786" s="17"/>
      <c r="Q786" s="17"/>
      <c r="R786" s="17"/>
      <c r="S786" s="17"/>
      <c r="T786" s="17"/>
    </row>
    <row r="787" ht="15.75" customHeight="1">
      <c r="A787" s="18">
        <v>27.0</v>
      </c>
      <c r="B787" s="12" t="s">
        <v>84</v>
      </c>
      <c r="C787" s="12" t="s">
        <v>27</v>
      </c>
      <c r="D787" s="19" t="s">
        <v>28</v>
      </c>
      <c r="E787" s="12" t="str">
        <f>IFERROR(__xludf.DUMMYFUNCTION("FILTER(colegios!$B$2:$B5618,colegios!$A$2:$A5618=L787)"),"NUESTRA SEÑORA DE LA CANDELARIA")</f>
        <v>NUESTRA SEÑORA DE LA CANDELARIA</v>
      </c>
      <c r="F787" s="14" t="s">
        <v>16</v>
      </c>
      <c r="G787" s="19" t="s">
        <v>17</v>
      </c>
      <c r="H787" s="12" t="s">
        <v>18</v>
      </c>
      <c r="I787" s="15">
        <v>2024.0</v>
      </c>
      <c r="J787" s="16" t="str">
        <f>IFERROR(__xludf.DUMMYFUNCTION("FILTER('CLASFICACIÓN'!$F$3:$F5618,'CLASFICACIÓN'!$G$3:$G5618=M787)"),"2023 Y 2024")</f>
        <v>2023 Y 2024</v>
      </c>
      <c r="K787" s="16"/>
      <c r="L787" s="12" t="s">
        <v>85</v>
      </c>
      <c r="M787" s="16" t="str">
        <f t="shared" si="1"/>
        <v>NUESTRA SEÑORA DE LA CANDELARIA2 Secundaria</v>
      </c>
      <c r="N787" s="17"/>
      <c r="O787" s="17"/>
      <c r="P787" s="17"/>
      <c r="Q787" s="17"/>
      <c r="R787" s="17"/>
      <c r="S787" s="17"/>
      <c r="T787" s="17"/>
    </row>
    <row r="788" ht="15.75" customHeight="1">
      <c r="A788" s="18">
        <v>28.0</v>
      </c>
      <c r="B788" s="12" t="s">
        <v>84</v>
      </c>
      <c r="C788" s="12" t="s">
        <v>27</v>
      </c>
      <c r="D788" s="19" t="s">
        <v>28</v>
      </c>
      <c r="E788" s="12" t="str">
        <f>IFERROR(__xludf.DUMMYFUNCTION("FILTER(colegios!$B$2:$B5618,colegios!$A$2:$A5618=L788)"),"NUESTRA SEÑORA DE LA CANDELARIA")</f>
        <v>NUESTRA SEÑORA DE LA CANDELARIA</v>
      </c>
      <c r="F788" s="14" t="s">
        <v>16</v>
      </c>
      <c r="G788" s="20" t="s">
        <v>17</v>
      </c>
      <c r="H788" s="12" t="s">
        <v>18</v>
      </c>
      <c r="I788" s="15">
        <v>2024.0</v>
      </c>
      <c r="J788" s="16" t="str">
        <f>IFERROR(__xludf.DUMMYFUNCTION("FILTER('CLASFICACIÓN'!$F$3:$F5618,'CLASFICACIÓN'!$G$3:$G5618=M788)"),"2023 Y 2024")</f>
        <v>2023 Y 2024</v>
      </c>
      <c r="K788" s="16"/>
      <c r="L788" s="12" t="s">
        <v>85</v>
      </c>
      <c r="M788" s="16" t="str">
        <f t="shared" si="1"/>
        <v>NUESTRA SEÑORA DE LA CANDELARIA2 Secundaria</v>
      </c>
      <c r="N788" s="17"/>
      <c r="O788" s="17"/>
      <c r="P788" s="17"/>
      <c r="Q788" s="17"/>
      <c r="R788" s="17"/>
      <c r="S788" s="17"/>
      <c r="T788" s="17"/>
    </row>
    <row r="789" ht="15.75" customHeight="1">
      <c r="A789" s="18">
        <v>29.0</v>
      </c>
      <c r="B789" s="12" t="s">
        <v>84</v>
      </c>
      <c r="C789" s="12" t="s">
        <v>27</v>
      </c>
      <c r="D789" s="19" t="s">
        <v>28</v>
      </c>
      <c r="E789" s="12" t="str">
        <f>IFERROR(__xludf.DUMMYFUNCTION("FILTER(colegios!$B$2:$B5618,colegios!$A$2:$A5618=L789)"),"NUESTRA SEÑORA DE LA CANDELARIA")</f>
        <v>NUESTRA SEÑORA DE LA CANDELARIA</v>
      </c>
      <c r="F789" s="14" t="s">
        <v>16</v>
      </c>
      <c r="G789" s="20" t="s">
        <v>17</v>
      </c>
      <c r="H789" s="12" t="s">
        <v>24</v>
      </c>
      <c r="I789" s="15">
        <v>2024.0</v>
      </c>
      <c r="J789" s="16" t="str">
        <f>IFERROR(__xludf.DUMMYFUNCTION("FILTER('CLASFICACIÓN'!$F$3:$F5618,'CLASFICACIÓN'!$G$3:$G5618=M789)"),"2023 Y 2024")</f>
        <v>2023 Y 2024</v>
      </c>
      <c r="K789" s="16"/>
      <c r="L789" s="12" t="s">
        <v>85</v>
      </c>
      <c r="M789" s="16" t="str">
        <f t="shared" si="1"/>
        <v>NUESTRA SEÑORA DE LA CANDELARIA2 Secundaria</v>
      </c>
      <c r="N789" s="17"/>
      <c r="O789" s="17"/>
      <c r="P789" s="17"/>
      <c r="Q789" s="17"/>
      <c r="R789" s="17"/>
      <c r="S789" s="17"/>
      <c r="T789" s="17"/>
    </row>
    <row r="790" ht="15.75" customHeight="1">
      <c r="A790" s="18">
        <v>30.0</v>
      </c>
      <c r="B790" s="12" t="s">
        <v>84</v>
      </c>
      <c r="C790" s="12" t="s">
        <v>27</v>
      </c>
      <c r="D790" s="19" t="s">
        <v>28</v>
      </c>
      <c r="E790" s="12" t="str">
        <f>IFERROR(__xludf.DUMMYFUNCTION("FILTER(colegios!$B$2:$B5618,colegios!$A$2:$A5618=L790)"),"NUESTRA SEÑORA DE LA CANDELARIA")</f>
        <v>NUESTRA SEÑORA DE LA CANDELARIA</v>
      </c>
      <c r="F790" s="14" t="s">
        <v>16</v>
      </c>
      <c r="G790" s="19" t="s">
        <v>21</v>
      </c>
      <c r="H790" s="12" t="s">
        <v>18</v>
      </c>
      <c r="I790" s="15">
        <v>2024.0</v>
      </c>
      <c r="J790" s="16" t="str">
        <f>IFERROR(__xludf.DUMMYFUNCTION("FILTER('CLASFICACIÓN'!$F$3:$F5618,'CLASFICACIÓN'!$G$3:$G5618=M790)"),"2023 Y 2024")</f>
        <v>2023 Y 2024</v>
      </c>
      <c r="K790" s="16"/>
      <c r="L790" s="12" t="s">
        <v>85</v>
      </c>
      <c r="M790" s="16" t="str">
        <f t="shared" si="1"/>
        <v>NUESTRA SEÑORA DE LA CANDELARIA2 Secundaria</v>
      </c>
      <c r="N790" s="17"/>
      <c r="O790" s="17"/>
      <c r="P790" s="17"/>
      <c r="Q790" s="17"/>
      <c r="R790" s="17"/>
      <c r="S790" s="17"/>
      <c r="T790" s="17"/>
    </row>
    <row r="791" ht="15.75" customHeight="1">
      <c r="A791" s="18">
        <v>31.0</v>
      </c>
      <c r="B791" s="12" t="s">
        <v>84</v>
      </c>
      <c r="C791" s="12" t="s">
        <v>27</v>
      </c>
      <c r="D791" s="19" t="s">
        <v>28</v>
      </c>
      <c r="E791" s="12" t="str">
        <f>IFERROR(__xludf.DUMMYFUNCTION("FILTER(colegios!$B$2:$B5618,colegios!$A$2:$A5618=L791)"),"NUESTRA SEÑORA DE LA CANDELARIA")</f>
        <v>NUESTRA SEÑORA DE LA CANDELARIA</v>
      </c>
      <c r="F791" s="14" t="s">
        <v>16</v>
      </c>
      <c r="G791" s="20" t="s">
        <v>17</v>
      </c>
      <c r="H791" s="12" t="s">
        <v>18</v>
      </c>
      <c r="I791" s="15">
        <v>2024.0</v>
      </c>
      <c r="J791" s="16" t="str">
        <f>IFERROR(__xludf.DUMMYFUNCTION("FILTER('CLASFICACIÓN'!$F$3:$F5618,'CLASFICACIÓN'!$G$3:$G5618=M791)"),"2023 Y 2024")</f>
        <v>2023 Y 2024</v>
      </c>
      <c r="K791" s="16"/>
      <c r="L791" s="12" t="s">
        <v>85</v>
      </c>
      <c r="M791" s="16" t="str">
        <f t="shared" si="1"/>
        <v>NUESTRA SEÑORA DE LA CANDELARIA2 Secundaria</v>
      </c>
      <c r="N791" s="17"/>
      <c r="O791" s="17"/>
      <c r="P791" s="17"/>
      <c r="Q791" s="17"/>
      <c r="R791" s="17"/>
      <c r="S791" s="17"/>
      <c r="T791" s="17"/>
    </row>
    <row r="792" ht="15.75" customHeight="1">
      <c r="A792" s="18">
        <v>32.0</v>
      </c>
      <c r="B792" s="12" t="s">
        <v>84</v>
      </c>
      <c r="C792" s="12" t="s">
        <v>27</v>
      </c>
      <c r="D792" s="19" t="s">
        <v>28</v>
      </c>
      <c r="E792" s="12" t="str">
        <f>IFERROR(__xludf.DUMMYFUNCTION("FILTER(colegios!$B$2:$B5618,colegios!$A$2:$A5618=L792)"),"NUESTRA SEÑORA DE LA CANDELARIA")</f>
        <v>NUESTRA SEÑORA DE LA CANDELARIA</v>
      </c>
      <c r="F792" s="14" t="s">
        <v>16</v>
      </c>
      <c r="G792" s="19" t="s">
        <v>17</v>
      </c>
      <c r="H792" s="12" t="s">
        <v>18</v>
      </c>
      <c r="I792" s="15">
        <v>2024.0</v>
      </c>
      <c r="J792" s="16" t="str">
        <f>IFERROR(__xludf.DUMMYFUNCTION("FILTER('CLASFICACIÓN'!$F$3:$F5618,'CLASFICACIÓN'!$G$3:$G5618=M792)"),"2023 Y 2024")</f>
        <v>2023 Y 2024</v>
      </c>
      <c r="K792" s="16"/>
      <c r="L792" s="12" t="s">
        <v>85</v>
      </c>
      <c r="M792" s="16" t="str">
        <f t="shared" si="1"/>
        <v>NUESTRA SEÑORA DE LA CANDELARIA2 Secundaria</v>
      </c>
      <c r="N792" s="17"/>
      <c r="O792" s="17"/>
      <c r="P792" s="17"/>
      <c r="Q792" s="17"/>
      <c r="R792" s="17"/>
      <c r="S792" s="17"/>
      <c r="T792" s="17"/>
    </row>
    <row r="793" ht="15.75" customHeight="1">
      <c r="A793" s="18">
        <v>33.0</v>
      </c>
      <c r="B793" s="12" t="s">
        <v>84</v>
      </c>
      <c r="C793" s="12" t="s">
        <v>27</v>
      </c>
      <c r="D793" s="19" t="s">
        <v>28</v>
      </c>
      <c r="E793" s="12" t="str">
        <f>IFERROR(__xludf.DUMMYFUNCTION("FILTER(colegios!$B$2:$B5618,colegios!$A$2:$A5618=L793)"),"NUESTRA SEÑORA DE LA CANDELARIA")</f>
        <v>NUESTRA SEÑORA DE LA CANDELARIA</v>
      </c>
      <c r="F793" s="14" t="s">
        <v>16</v>
      </c>
      <c r="G793" s="20" t="s">
        <v>17</v>
      </c>
      <c r="H793" s="12" t="s">
        <v>18</v>
      </c>
      <c r="I793" s="15">
        <v>2024.0</v>
      </c>
      <c r="J793" s="16" t="str">
        <f>IFERROR(__xludf.DUMMYFUNCTION("FILTER('CLASFICACIÓN'!$F$3:$F5618,'CLASFICACIÓN'!$G$3:$G5618=M793)"),"2023 Y 2024")</f>
        <v>2023 Y 2024</v>
      </c>
      <c r="K793" s="16"/>
      <c r="L793" s="12" t="s">
        <v>85</v>
      </c>
      <c r="M793" s="16" t="str">
        <f t="shared" si="1"/>
        <v>NUESTRA SEÑORA DE LA CANDELARIA2 Secundaria</v>
      </c>
      <c r="N793" s="17"/>
      <c r="O793" s="17"/>
      <c r="P793" s="17"/>
      <c r="Q793" s="17"/>
      <c r="R793" s="17"/>
      <c r="S793" s="17"/>
      <c r="T793" s="17"/>
    </row>
    <row r="794" ht="15.75" customHeight="1">
      <c r="A794" s="18">
        <v>34.0</v>
      </c>
      <c r="B794" s="12" t="s">
        <v>84</v>
      </c>
      <c r="C794" s="12" t="s">
        <v>27</v>
      </c>
      <c r="D794" s="19" t="s">
        <v>28</v>
      </c>
      <c r="E794" s="12" t="str">
        <f>IFERROR(__xludf.DUMMYFUNCTION("FILTER(colegios!$B$2:$B5618,colegios!$A$2:$A5618=L794)"),"NUESTRA SEÑORA DE LA CANDELARIA")</f>
        <v>NUESTRA SEÑORA DE LA CANDELARIA</v>
      </c>
      <c r="F794" s="14" t="s">
        <v>16</v>
      </c>
      <c r="G794" s="20" t="s">
        <v>17</v>
      </c>
      <c r="H794" s="12" t="s">
        <v>24</v>
      </c>
      <c r="I794" s="15">
        <v>2024.0</v>
      </c>
      <c r="J794" s="16" t="str">
        <f>IFERROR(__xludf.DUMMYFUNCTION("FILTER('CLASFICACIÓN'!$F$3:$F5618,'CLASFICACIÓN'!$G$3:$G5618=M794)"),"2023 Y 2024")</f>
        <v>2023 Y 2024</v>
      </c>
      <c r="K794" s="16"/>
      <c r="L794" s="12" t="s">
        <v>85</v>
      </c>
      <c r="M794" s="16" t="str">
        <f t="shared" si="1"/>
        <v>NUESTRA SEÑORA DE LA CANDELARIA2 Secundaria</v>
      </c>
      <c r="N794" s="17"/>
      <c r="O794" s="17"/>
      <c r="P794" s="17"/>
      <c r="Q794" s="17"/>
      <c r="R794" s="17"/>
      <c r="S794" s="17"/>
      <c r="T794" s="17"/>
    </row>
    <row r="795" ht="15.75" customHeight="1">
      <c r="A795" s="18">
        <v>36.0</v>
      </c>
      <c r="B795" s="12" t="s">
        <v>84</v>
      </c>
      <c r="C795" s="12" t="s">
        <v>27</v>
      </c>
      <c r="D795" s="19" t="s">
        <v>28</v>
      </c>
      <c r="E795" s="12" t="str">
        <f>IFERROR(__xludf.DUMMYFUNCTION("FILTER(colegios!$B$2:$B5618,colegios!$A$2:$A5618=L795)"),"NUESTRA SEÑORA DE LA CANDELARIA")</f>
        <v>NUESTRA SEÑORA DE LA CANDELARIA</v>
      </c>
      <c r="F795" s="14" t="s">
        <v>16</v>
      </c>
      <c r="G795" s="20" t="s">
        <v>17</v>
      </c>
      <c r="H795" s="12" t="s">
        <v>24</v>
      </c>
      <c r="I795" s="15">
        <v>2024.0</v>
      </c>
      <c r="J795" s="16" t="str">
        <f>IFERROR(__xludf.DUMMYFUNCTION("FILTER('CLASFICACIÓN'!$F$3:$F5618,'CLASFICACIÓN'!$G$3:$G5618=M795)"),"2023 Y 2024")</f>
        <v>2023 Y 2024</v>
      </c>
      <c r="K795" s="16"/>
      <c r="L795" s="12" t="s">
        <v>85</v>
      </c>
      <c r="M795" s="16" t="str">
        <f t="shared" si="1"/>
        <v>NUESTRA SEÑORA DE LA CANDELARIA2 Secundaria</v>
      </c>
      <c r="N795" s="17"/>
      <c r="O795" s="17"/>
      <c r="P795" s="17"/>
      <c r="Q795" s="17"/>
      <c r="R795" s="17"/>
      <c r="S795" s="17"/>
      <c r="T795" s="17"/>
    </row>
    <row r="796" ht="15.75" customHeight="1">
      <c r="A796" s="18">
        <v>37.0</v>
      </c>
      <c r="B796" s="12" t="s">
        <v>84</v>
      </c>
      <c r="C796" s="12" t="s">
        <v>27</v>
      </c>
      <c r="D796" s="19" t="s">
        <v>28</v>
      </c>
      <c r="E796" s="12" t="str">
        <f>IFERROR(__xludf.DUMMYFUNCTION("FILTER(colegios!$B$2:$B5618,colegios!$A$2:$A5618=L796)"),"NUESTRA SEÑORA DE LA CANDELARIA")</f>
        <v>NUESTRA SEÑORA DE LA CANDELARIA</v>
      </c>
      <c r="F796" s="14" t="s">
        <v>16</v>
      </c>
      <c r="G796" s="19" t="s">
        <v>17</v>
      </c>
      <c r="H796" s="12" t="s">
        <v>24</v>
      </c>
      <c r="I796" s="15">
        <v>2024.0</v>
      </c>
      <c r="J796" s="16" t="str">
        <f>IFERROR(__xludf.DUMMYFUNCTION("FILTER('CLASFICACIÓN'!$F$3:$F5618,'CLASFICACIÓN'!$G$3:$G5618=M796)"),"2023 Y 2024")</f>
        <v>2023 Y 2024</v>
      </c>
      <c r="K796" s="16"/>
      <c r="L796" s="12" t="s">
        <v>85</v>
      </c>
      <c r="M796" s="16" t="str">
        <f t="shared" si="1"/>
        <v>NUESTRA SEÑORA DE LA CANDELARIA2 Secundaria</v>
      </c>
      <c r="N796" s="17"/>
      <c r="O796" s="17"/>
      <c r="P796" s="17"/>
      <c r="Q796" s="17"/>
      <c r="R796" s="17"/>
      <c r="S796" s="17"/>
      <c r="T796" s="17"/>
    </row>
    <row r="797" ht="15.75" customHeight="1">
      <c r="A797" s="18">
        <v>38.0</v>
      </c>
      <c r="B797" s="12" t="s">
        <v>84</v>
      </c>
      <c r="C797" s="12" t="s">
        <v>27</v>
      </c>
      <c r="D797" s="19" t="s">
        <v>28</v>
      </c>
      <c r="E797" s="12" t="str">
        <f>IFERROR(__xludf.DUMMYFUNCTION("FILTER(colegios!$B$2:$B5618,colegios!$A$2:$A5618=L797)"),"NUESTRA SEÑORA DE LA CANDELARIA")</f>
        <v>NUESTRA SEÑORA DE LA CANDELARIA</v>
      </c>
      <c r="F797" s="14" t="s">
        <v>16</v>
      </c>
      <c r="G797" s="19" t="s">
        <v>17</v>
      </c>
      <c r="H797" s="12" t="s">
        <v>18</v>
      </c>
      <c r="I797" s="15">
        <v>2024.0</v>
      </c>
      <c r="J797" s="16" t="str">
        <f>IFERROR(__xludf.DUMMYFUNCTION("FILTER('CLASFICACIÓN'!$F$3:$F5618,'CLASFICACIÓN'!$G$3:$G5618=M797)"),"2023 Y 2024")</f>
        <v>2023 Y 2024</v>
      </c>
      <c r="K797" s="16"/>
      <c r="L797" s="12" t="s">
        <v>85</v>
      </c>
      <c r="M797" s="16" t="str">
        <f t="shared" si="1"/>
        <v>NUESTRA SEÑORA DE LA CANDELARIA2 Secundaria</v>
      </c>
      <c r="N797" s="17"/>
      <c r="O797" s="17"/>
      <c r="P797" s="17"/>
      <c r="Q797" s="17"/>
      <c r="R797" s="17"/>
      <c r="S797" s="17"/>
      <c r="T797" s="17"/>
    </row>
    <row r="798" ht="15.75" customHeight="1">
      <c r="A798" s="18">
        <v>39.0</v>
      </c>
      <c r="B798" s="12" t="s">
        <v>84</v>
      </c>
      <c r="C798" s="12" t="s">
        <v>27</v>
      </c>
      <c r="D798" s="19" t="s">
        <v>28</v>
      </c>
      <c r="E798" s="12" t="str">
        <f>IFERROR(__xludf.DUMMYFUNCTION("FILTER(colegios!$B$2:$B5618,colegios!$A$2:$A5618=L798)"),"NUESTRA SEÑORA DE LA CANDELARIA")</f>
        <v>NUESTRA SEÑORA DE LA CANDELARIA</v>
      </c>
      <c r="F798" s="14" t="s">
        <v>16</v>
      </c>
      <c r="G798" s="20" t="s">
        <v>17</v>
      </c>
      <c r="H798" s="12" t="s">
        <v>18</v>
      </c>
      <c r="I798" s="15">
        <v>2024.0</v>
      </c>
      <c r="J798" s="16" t="str">
        <f>IFERROR(__xludf.DUMMYFUNCTION("FILTER('CLASFICACIÓN'!$F$3:$F5618,'CLASFICACIÓN'!$G$3:$G5618=M798)"),"2023 Y 2024")</f>
        <v>2023 Y 2024</v>
      </c>
      <c r="K798" s="16"/>
      <c r="L798" s="12" t="s">
        <v>85</v>
      </c>
      <c r="M798" s="16" t="str">
        <f t="shared" si="1"/>
        <v>NUESTRA SEÑORA DE LA CANDELARIA2 Secundaria</v>
      </c>
      <c r="N798" s="17"/>
      <c r="O798" s="17"/>
      <c r="P798" s="17"/>
      <c r="Q798" s="17"/>
      <c r="R798" s="17"/>
      <c r="S798" s="17"/>
      <c r="T798" s="17"/>
    </row>
    <row r="799" ht="15.75" customHeight="1">
      <c r="A799" s="18">
        <v>40.0</v>
      </c>
      <c r="B799" s="12" t="s">
        <v>84</v>
      </c>
      <c r="C799" s="12" t="s">
        <v>27</v>
      </c>
      <c r="D799" s="19" t="s">
        <v>28</v>
      </c>
      <c r="E799" s="12" t="str">
        <f>IFERROR(__xludf.DUMMYFUNCTION("FILTER(colegios!$B$2:$B5618,colegios!$A$2:$A5618=L799)"),"NUESTRA SEÑORA DE LA CANDELARIA")</f>
        <v>NUESTRA SEÑORA DE LA CANDELARIA</v>
      </c>
      <c r="F799" s="14" t="s">
        <v>16</v>
      </c>
      <c r="G799" s="20" t="s">
        <v>17</v>
      </c>
      <c r="H799" s="12" t="s">
        <v>24</v>
      </c>
      <c r="I799" s="15">
        <v>2024.0</v>
      </c>
      <c r="J799" s="16" t="str">
        <f>IFERROR(__xludf.DUMMYFUNCTION("FILTER('CLASFICACIÓN'!$F$3:$F5618,'CLASFICACIÓN'!$G$3:$G5618=M799)"),"2023 Y 2024")</f>
        <v>2023 Y 2024</v>
      </c>
      <c r="K799" s="16"/>
      <c r="L799" s="12" t="s">
        <v>85</v>
      </c>
      <c r="M799" s="16" t="str">
        <f t="shared" si="1"/>
        <v>NUESTRA SEÑORA DE LA CANDELARIA2 Secundaria</v>
      </c>
      <c r="N799" s="17"/>
      <c r="O799" s="17"/>
      <c r="P799" s="17"/>
      <c r="Q799" s="17"/>
      <c r="R799" s="17"/>
      <c r="S799" s="17"/>
      <c r="T799" s="17"/>
    </row>
    <row r="800" ht="15.75" customHeight="1">
      <c r="A800" s="18">
        <v>41.0</v>
      </c>
      <c r="B800" s="12" t="s">
        <v>84</v>
      </c>
      <c r="C800" s="12" t="s">
        <v>27</v>
      </c>
      <c r="D800" s="19" t="s">
        <v>28</v>
      </c>
      <c r="E800" s="12" t="str">
        <f>IFERROR(__xludf.DUMMYFUNCTION("FILTER(colegios!$B$2:$B5618,colegios!$A$2:$A5618=L800)"),"NUESTRA SEÑORA DE LA CANDELARIA")</f>
        <v>NUESTRA SEÑORA DE LA CANDELARIA</v>
      </c>
      <c r="F800" s="14" t="s">
        <v>16</v>
      </c>
      <c r="G800" s="20" t="s">
        <v>17</v>
      </c>
      <c r="H800" s="12" t="s">
        <v>18</v>
      </c>
      <c r="I800" s="15">
        <v>2024.0</v>
      </c>
      <c r="J800" s="16" t="str">
        <f>IFERROR(__xludf.DUMMYFUNCTION("FILTER('CLASFICACIÓN'!$F$3:$F5618,'CLASFICACIÓN'!$G$3:$G5618=M800)"),"2023 Y 2024")</f>
        <v>2023 Y 2024</v>
      </c>
      <c r="K800" s="16"/>
      <c r="L800" s="12" t="s">
        <v>85</v>
      </c>
      <c r="M800" s="16" t="str">
        <f t="shared" si="1"/>
        <v>NUESTRA SEÑORA DE LA CANDELARIA2 Secundaria</v>
      </c>
      <c r="N800" s="17"/>
      <c r="O800" s="17"/>
      <c r="P800" s="17"/>
      <c r="Q800" s="17"/>
      <c r="R800" s="17"/>
      <c r="S800" s="17"/>
      <c r="T800" s="17"/>
    </row>
    <row r="801" ht="15.75" customHeight="1">
      <c r="A801" s="18">
        <v>42.0</v>
      </c>
      <c r="B801" s="12" t="s">
        <v>84</v>
      </c>
      <c r="C801" s="12" t="s">
        <v>27</v>
      </c>
      <c r="D801" s="19" t="s">
        <v>28</v>
      </c>
      <c r="E801" s="12" t="str">
        <f>IFERROR(__xludf.DUMMYFUNCTION("FILTER(colegios!$B$2:$B5618,colegios!$A$2:$A5618=L801)"),"NUESTRA SEÑORA DE LA CANDELARIA")</f>
        <v>NUESTRA SEÑORA DE LA CANDELARIA</v>
      </c>
      <c r="F801" s="14" t="s">
        <v>16</v>
      </c>
      <c r="G801" s="20" t="s">
        <v>17</v>
      </c>
      <c r="H801" s="12" t="s">
        <v>18</v>
      </c>
      <c r="I801" s="15">
        <v>2024.0</v>
      </c>
      <c r="J801" s="16" t="str">
        <f>IFERROR(__xludf.DUMMYFUNCTION("FILTER('CLASFICACIÓN'!$F$3:$F5618,'CLASFICACIÓN'!$G$3:$G5618=M801)"),"2023 Y 2024")</f>
        <v>2023 Y 2024</v>
      </c>
      <c r="K801" s="16"/>
      <c r="L801" s="12" t="s">
        <v>85</v>
      </c>
      <c r="M801" s="16" t="str">
        <f t="shared" si="1"/>
        <v>NUESTRA SEÑORA DE LA CANDELARIA2 Secundaria</v>
      </c>
      <c r="N801" s="17"/>
      <c r="O801" s="17"/>
      <c r="P801" s="17"/>
      <c r="Q801" s="17"/>
      <c r="R801" s="17"/>
      <c r="S801" s="17"/>
      <c r="T801" s="17"/>
    </row>
    <row r="802" ht="15.75" customHeight="1">
      <c r="A802" s="18">
        <v>43.0</v>
      </c>
      <c r="B802" s="12" t="s">
        <v>84</v>
      </c>
      <c r="C802" s="12" t="s">
        <v>27</v>
      </c>
      <c r="D802" s="19" t="s">
        <v>28</v>
      </c>
      <c r="E802" s="12" t="str">
        <f>IFERROR(__xludf.DUMMYFUNCTION("FILTER(colegios!$B$2:$B5618,colegios!$A$2:$A5618=L802)"),"NUESTRA SEÑORA DE LA CANDELARIA")</f>
        <v>NUESTRA SEÑORA DE LA CANDELARIA</v>
      </c>
      <c r="F802" s="14" t="s">
        <v>16</v>
      </c>
      <c r="G802" s="19" t="s">
        <v>17</v>
      </c>
      <c r="H802" s="12" t="s">
        <v>24</v>
      </c>
      <c r="I802" s="15">
        <v>2024.0</v>
      </c>
      <c r="J802" s="16" t="str">
        <f>IFERROR(__xludf.DUMMYFUNCTION("FILTER('CLASFICACIÓN'!$F$3:$F5618,'CLASFICACIÓN'!$G$3:$G5618=M802)"),"2023 Y 2024")</f>
        <v>2023 Y 2024</v>
      </c>
      <c r="K802" s="16"/>
      <c r="L802" s="12" t="s">
        <v>85</v>
      </c>
      <c r="M802" s="16" t="str">
        <f t="shared" si="1"/>
        <v>NUESTRA SEÑORA DE LA CANDELARIA2 Secundaria</v>
      </c>
      <c r="N802" s="17"/>
      <c r="O802" s="17"/>
      <c r="P802" s="17"/>
      <c r="Q802" s="17"/>
      <c r="R802" s="17"/>
      <c r="S802" s="17"/>
      <c r="T802" s="17"/>
    </row>
    <row r="803" ht="15.75" customHeight="1">
      <c r="A803" s="18">
        <v>11.0</v>
      </c>
      <c r="B803" s="12" t="s">
        <v>84</v>
      </c>
      <c r="C803" s="12" t="s">
        <v>14</v>
      </c>
      <c r="D803" s="19" t="s">
        <v>15</v>
      </c>
      <c r="E803" s="12" t="str">
        <f>IFERROR(__xludf.DUMMYFUNCTION("FILTER(colegios!$B$2:$B5618,colegios!$A$2:$A5618=L803)"),"36173")</f>
        <v>36173</v>
      </c>
      <c r="F803" s="14" t="s">
        <v>16</v>
      </c>
      <c r="G803" s="20" t="s">
        <v>17</v>
      </c>
      <c r="H803" s="12" t="s">
        <v>24</v>
      </c>
      <c r="I803" s="15">
        <v>2024.0</v>
      </c>
      <c r="J803" s="16" t="str">
        <f>IFERROR(__xludf.DUMMYFUNCTION("FILTER('CLASFICACIÓN'!$F$3:$F5618,'CLASFICACIÓN'!$G$3:$G5618=M803)"),"SOLO 2024")</f>
        <v>SOLO 2024</v>
      </c>
      <c r="K803" s="16"/>
      <c r="L803" s="12" t="s">
        <v>86</v>
      </c>
      <c r="M803" s="16" t="str">
        <f t="shared" si="1"/>
        <v>361732 Primaria</v>
      </c>
      <c r="N803" s="17"/>
      <c r="O803" s="17"/>
      <c r="P803" s="17"/>
      <c r="Q803" s="17"/>
      <c r="R803" s="17"/>
      <c r="S803" s="17"/>
      <c r="T803" s="17"/>
    </row>
    <row r="804" ht="15.75" customHeight="1">
      <c r="A804" s="18">
        <v>12.0</v>
      </c>
      <c r="B804" s="12" t="s">
        <v>84</v>
      </c>
      <c r="C804" s="12" t="s">
        <v>14</v>
      </c>
      <c r="D804" s="19" t="s">
        <v>15</v>
      </c>
      <c r="E804" s="12" t="str">
        <f>IFERROR(__xludf.DUMMYFUNCTION("FILTER(colegios!$B$2:$B5618,colegios!$A$2:$A5618=L804)"),"36173")</f>
        <v>36173</v>
      </c>
      <c r="F804" s="14" t="s">
        <v>16</v>
      </c>
      <c r="G804" s="19" t="s">
        <v>21</v>
      </c>
      <c r="H804" s="12" t="s">
        <v>24</v>
      </c>
      <c r="I804" s="15">
        <v>2024.0</v>
      </c>
      <c r="J804" s="16" t="str">
        <f>IFERROR(__xludf.DUMMYFUNCTION("FILTER('CLASFICACIÓN'!$F$3:$F5618,'CLASFICACIÓN'!$G$3:$G5618=M804)"),"SOLO 2024")</f>
        <v>SOLO 2024</v>
      </c>
      <c r="K804" s="16"/>
      <c r="L804" s="12" t="s">
        <v>86</v>
      </c>
      <c r="M804" s="16" t="str">
        <f t="shared" si="1"/>
        <v>361732 Primaria</v>
      </c>
      <c r="N804" s="17"/>
      <c r="O804" s="17"/>
      <c r="P804" s="17"/>
      <c r="Q804" s="17"/>
      <c r="R804" s="17"/>
      <c r="S804" s="17"/>
      <c r="T804" s="17"/>
    </row>
    <row r="805" ht="15.75" customHeight="1">
      <c r="A805" s="18">
        <v>13.0</v>
      </c>
      <c r="B805" s="12" t="s">
        <v>84</v>
      </c>
      <c r="C805" s="12" t="s">
        <v>14</v>
      </c>
      <c r="D805" s="19" t="s">
        <v>15</v>
      </c>
      <c r="E805" s="12" t="str">
        <f>IFERROR(__xludf.DUMMYFUNCTION("FILTER(colegios!$B$2:$B5618,colegios!$A$2:$A5618=L805)"),"36173")</f>
        <v>36173</v>
      </c>
      <c r="F805" s="14" t="s">
        <v>16</v>
      </c>
      <c r="G805" s="19" t="s">
        <v>17</v>
      </c>
      <c r="H805" s="12" t="s">
        <v>24</v>
      </c>
      <c r="I805" s="15">
        <v>2024.0</v>
      </c>
      <c r="J805" s="16" t="str">
        <f>IFERROR(__xludf.DUMMYFUNCTION("FILTER('CLASFICACIÓN'!$F$3:$F5618,'CLASFICACIÓN'!$G$3:$G5618=M805)"),"SOLO 2024")</f>
        <v>SOLO 2024</v>
      </c>
      <c r="K805" s="16"/>
      <c r="L805" s="12" t="s">
        <v>86</v>
      </c>
      <c r="M805" s="16" t="str">
        <f t="shared" si="1"/>
        <v>361732 Primaria</v>
      </c>
      <c r="N805" s="17"/>
      <c r="O805" s="17"/>
      <c r="P805" s="17"/>
      <c r="Q805" s="17"/>
      <c r="R805" s="17"/>
      <c r="S805" s="17"/>
      <c r="T805" s="17"/>
    </row>
    <row r="806" ht="15.75" customHeight="1">
      <c r="A806" s="18">
        <v>14.0</v>
      </c>
      <c r="B806" s="12" t="s">
        <v>84</v>
      </c>
      <c r="C806" s="12" t="s">
        <v>14</v>
      </c>
      <c r="D806" s="19" t="s">
        <v>15</v>
      </c>
      <c r="E806" s="12" t="str">
        <f>IFERROR(__xludf.DUMMYFUNCTION("FILTER(colegios!$B$2:$B5618,colegios!$A$2:$A5618=L806)"),"36173")</f>
        <v>36173</v>
      </c>
      <c r="F806" s="14" t="s">
        <v>16</v>
      </c>
      <c r="G806" s="20" t="s">
        <v>21</v>
      </c>
      <c r="H806" s="12" t="s">
        <v>24</v>
      </c>
      <c r="I806" s="15">
        <v>2024.0</v>
      </c>
      <c r="J806" s="16" t="str">
        <f>IFERROR(__xludf.DUMMYFUNCTION("FILTER('CLASFICACIÓN'!$F$3:$F5618,'CLASFICACIÓN'!$G$3:$G5618=M806)"),"SOLO 2024")</f>
        <v>SOLO 2024</v>
      </c>
      <c r="K806" s="16"/>
      <c r="L806" s="12" t="s">
        <v>86</v>
      </c>
      <c r="M806" s="16" t="str">
        <f t="shared" si="1"/>
        <v>361732 Primaria</v>
      </c>
      <c r="N806" s="17"/>
      <c r="O806" s="17"/>
      <c r="P806" s="17"/>
      <c r="Q806" s="17"/>
      <c r="R806" s="17"/>
      <c r="S806" s="17"/>
      <c r="T806" s="17"/>
    </row>
    <row r="807" ht="15.75" customHeight="1">
      <c r="A807" s="18">
        <v>15.0</v>
      </c>
      <c r="B807" s="12" t="s">
        <v>84</v>
      </c>
      <c r="C807" s="12" t="s">
        <v>14</v>
      </c>
      <c r="D807" s="19" t="s">
        <v>15</v>
      </c>
      <c r="E807" s="12" t="str">
        <f>IFERROR(__xludf.DUMMYFUNCTION("FILTER(colegios!$B$2:$B5618,colegios!$A$2:$A5618=L807)"),"36173")</f>
        <v>36173</v>
      </c>
      <c r="F807" s="14" t="s">
        <v>16</v>
      </c>
      <c r="G807" s="20" t="s">
        <v>21</v>
      </c>
      <c r="H807" s="12" t="s">
        <v>24</v>
      </c>
      <c r="I807" s="15">
        <v>2024.0</v>
      </c>
      <c r="J807" s="16" t="str">
        <f>IFERROR(__xludf.DUMMYFUNCTION("FILTER('CLASFICACIÓN'!$F$3:$F5618,'CLASFICACIÓN'!$G$3:$G5618=M807)"),"SOLO 2024")</f>
        <v>SOLO 2024</v>
      </c>
      <c r="K807" s="16"/>
      <c r="L807" s="12" t="s">
        <v>86</v>
      </c>
      <c r="M807" s="16" t="str">
        <f t="shared" si="1"/>
        <v>361732 Primaria</v>
      </c>
      <c r="N807" s="17"/>
      <c r="O807" s="17"/>
      <c r="P807" s="17"/>
      <c r="Q807" s="17"/>
      <c r="R807" s="17"/>
      <c r="S807" s="17"/>
      <c r="T807" s="17"/>
    </row>
    <row r="808" ht="15.75" customHeight="1">
      <c r="A808" s="18">
        <v>16.0</v>
      </c>
      <c r="B808" s="12" t="s">
        <v>84</v>
      </c>
      <c r="C808" s="12" t="s">
        <v>14</v>
      </c>
      <c r="D808" s="19" t="s">
        <v>15</v>
      </c>
      <c r="E808" s="12" t="str">
        <f>IFERROR(__xludf.DUMMYFUNCTION("FILTER(colegios!$B$2:$B5618,colegios!$A$2:$A5618=L808)"),"36173")</f>
        <v>36173</v>
      </c>
      <c r="F808" s="14" t="s">
        <v>16</v>
      </c>
      <c r="G808" s="20" t="s">
        <v>21</v>
      </c>
      <c r="H808" s="12" t="s">
        <v>24</v>
      </c>
      <c r="I808" s="15">
        <v>2024.0</v>
      </c>
      <c r="J808" s="16" t="str">
        <f>IFERROR(__xludf.DUMMYFUNCTION("FILTER('CLASFICACIÓN'!$F$3:$F5618,'CLASFICACIÓN'!$G$3:$G5618=M808)"),"SOLO 2024")</f>
        <v>SOLO 2024</v>
      </c>
      <c r="K808" s="16"/>
      <c r="L808" s="12" t="s">
        <v>86</v>
      </c>
      <c r="M808" s="16" t="str">
        <f t="shared" si="1"/>
        <v>361732 Primaria</v>
      </c>
      <c r="N808" s="17"/>
      <c r="O808" s="17"/>
      <c r="P808" s="17"/>
      <c r="Q808" s="17"/>
      <c r="R808" s="17"/>
      <c r="S808" s="17"/>
      <c r="T808" s="17"/>
    </row>
    <row r="809" ht="15.75" customHeight="1">
      <c r="A809" s="18">
        <v>17.0</v>
      </c>
      <c r="B809" s="12" t="s">
        <v>84</v>
      </c>
      <c r="C809" s="12" t="s">
        <v>14</v>
      </c>
      <c r="D809" s="19" t="s">
        <v>15</v>
      </c>
      <c r="E809" s="12" t="str">
        <f>IFERROR(__xludf.DUMMYFUNCTION("FILTER(colegios!$B$2:$B5618,colegios!$A$2:$A5618=L809)"),"36173")</f>
        <v>36173</v>
      </c>
      <c r="F809" s="14" t="s">
        <v>16</v>
      </c>
      <c r="G809" s="20" t="s">
        <v>21</v>
      </c>
      <c r="H809" s="12" t="s">
        <v>24</v>
      </c>
      <c r="I809" s="15">
        <v>2024.0</v>
      </c>
      <c r="J809" s="16" t="str">
        <f>IFERROR(__xludf.DUMMYFUNCTION("FILTER('CLASFICACIÓN'!$F$3:$F5618,'CLASFICACIÓN'!$G$3:$G5618=M809)"),"SOLO 2024")</f>
        <v>SOLO 2024</v>
      </c>
      <c r="K809" s="16"/>
      <c r="L809" s="12" t="s">
        <v>86</v>
      </c>
      <c r="M809" s="16" t="str">
        <f t="shared" si="1"/>
        <v>361732 Primaria</v>
      </c>
      <c r="N809" s="17"/>
      <c r="O809" s="17"/>
      <c r="P809" s="17"/>
      <c r="Q809" s="17"/>
      <c r="R809" s="17"/>
      <c r="S809" s="17"/>
      <c r="T809" s="17"/>
    </row>
    <row r="810" ht="15.75" customHeight="1">
      <c r="A810" s="18">
        <v>18.0</v>
      </c>
      <c r="B810" s="12" t="s">
        <v>84</v>
      </c>
      <c r="C810" s="12" t="s">
        <v>14</v>
      </c>
      <c r="D810" s="19" t="s">
        <v>15</v>
      </c>
      <c r="E810" s="12" t="str">
        <f>IFERROR(__xludf.DUMMYFUNCTION("FILTER(colegios!$B$2:$B5618,colegios!$A$2:$A5618=L810)"),"36173")</f>
        <v>36173</v>
      </c>
      <c r="F810" s="14" t="s">
        <v>16</v>
      </c>
      <c r="G810" s="19" t="s">
        <v>21</v>
      </c>
      <c r="H810" s="12" t="s">
        <v>24</v>
      </c>
      <c r="I810" s="15">
        <v>2024.0</v>
      </c>
      <c r="J810" s="16" t="str">
        <f>IFERROR(__xludf.DUMMYFUNCTION("FILTER('CLASFICACIÓN'!$F$3:$F5618,'CLASFICACIÓN'!$G$3:$G5618=M810)"),"SOLO 2024")</f>
        <v>SOLO 2024</v>
      </c>
      <c r="K810" s="16"/>
      <c r="L810" s="12" t="s">
        <v>86</v>
      </c>
      <c r="M810" s="16" t="str">
        <f t="shared" si="1"/>
        <v>361732 Primaria</v>
      </c>
      <c r="N810" s="17"/>
      <c r="O810" s="17"/>
      <c r="P810" s="17"/>
      <c r="Q810" s="17"/>
      <c r="R810" s="17"/>
      <c r="S810" s="17"/>
      <c r="T810" s="17"/>
    </row>
    <row r="811" ht="15.75" customHeight="1">
      <c r="A811" s="18">
        <v>19.0</v>
      </c>
      <c r="B811" s="12" t="s">
        <v>84</v>
      </c>
      <c r="C811" s="12" t="s">
        <v>14</v>
      </c>
      <c r="D811" s="19" t="s">
        <v>15</v>
      </c>
      <c r="E811" s="12" t="str">
        <f>IFERROR(__xludf.DUMMYFUNCTION("FILTER(colegios!$B$2:$B5618,colegios!$A$2:$A5618=L811)"),"36173")</f>
        <v>36173</v>
      </c>
      <c r="F811" s="14" t="s">
        <v>16</v>
      </c>
      <c r="G811" s="20" t="s">
        <v>17</v>
      </c>
      <c r="H811" s="12" t="s">
        <v>24</v>
      </c>
      <c r="I811" s="15">
        <v>2024.0</v>
      </c>
      <c r="J811" s="16" t="str">
        <f>IFERROR(__xludf.DUMMYFUNCTION("FILTER('CLASFICACIÓN'!$F$3:$F5618,'CLASFICACIÓN'!$G$3:$G5618=M811)"),"SOLO 2024")</f>
        <v>SOLO 2024</v>
      </c>
      <c r="K811" s="16"/>
      <c r="L811" s="12" t="s">
        <v>86</v>
      </c>
      <c r="M811" s="16" t="str">
        <f t="shared" si="1"/>
        <v>361732 Primaria</v>
      </c>
      <c r="N811" s="17"/>
      <c r="O811" s="17"/>
      <c r="P811" s="17"/>
      <c r="Q811" s="17"/>
      <c r="R811" s="17"/>
      <c r="S811" s="17"/>
      <c r="T811" s="17"/>
    </row>
    <row r="812" ht="15.75" customHeight="1">
      <c r="A812" s="18">
        <v>20.0</v>
      </c>
      <c r="B812" s="12" t="s">
        <v>84</v>
      </c>
      <c r="C812" s="12" t="s">
        <v>14</v>
      </c>
      <c r="D812" s="19" t="s">
        <v>15</v>
      </c>
      <c r="E812" s="12" t="str">
        <f>IFERROR(__xludf.DUMMYFUNCTION("FILTER(colegios!$B$2:$B5618,colegios!$A$2:$A5618=L812)"),"36173")</f>
        <v>36173</v>
      </c>
      <c r="F812" s="14" t="s">
        <v>16</v>
      </c>
      <c r="G812" s="19" t="s">
        <v>17</v>
      </c>
      <c r="H812" s="12" t="s">
        <v>24</v>
      </c>
      <c r="I812" s="15">
        <v>2024.0</v>
      </c>
      <c r="J812" s="16" t="str">
        <f>IFERROR(__xludf.DUMMYFUNCTION("FILTER('CLASFICACIÓN'!$F$3:$F5618,'CLASFICACIÓN'!$G$3:$G5618=M812)"),"SOLO 2024")</f>
        <v>SOLO 2024</v>
      </c>
      <c r="K812" s="16"/>
      <c r="L812" s="12" t="s">
        <v>86</v>
      </c>
      <c r="M812" s="16" t="str">
        <f t="shared" si="1"/>
        <v>361732 Primaria</v>
      </c>
      <c r="N812" s="17"/>
      <c r="O812" s="17"/>
      <c r="P812" s="17"/>
      <c r="Q812" s="17"/>
      <c r="R812" s="17"/>
      <c r="S812" s="17"/>
      <c r="T812" s="17"/>
    </row>
    <row r="813" ht="15.75" customHeight="1">
      <c r="A813" s="18">
        <v>21.0</v>
      </c>
      <c r="B813" s="12" t="s">
        <v>84</v>
      </c>
      <c r="C813" s="12" t="s">
        <v>14</v>
      </c>
      <c r="D813" s="19" t="s">
        <v>15</v>
      </c>
      <c r="E813" s="12" t="str">
        <f>IFERROR(__xludf.DUMMYFUNCTION("FILTER(colegios!$B$2:$B5618,colegios!$A$2:$A5618=L813)"),"36173")</f>
        <v>36173</v>
      </c>
      <c r="F813" s="14" t="s">
        <v>16</v>
      </c>
      <c r="G813" s="20" t="s">
        <v>17</v>
      </c>
      <c r="H813" s="12" t="s">
        <v>24</v>
      </c>
      <c r="I813" s="15">
        <v>2024.0</v>
      </c>
      <c r="J813" s="16" t="str">
        <f>IFERROR(__xludf.DUMMYFUNCTION("FILTER('CLASFICACIÓN'!$F$3:$F5618,'CLASFICACIÓN'!$G$3:$G5618=M813)"),"SOLO 2024")</f>
        <v>SOLO 2024</v>
      </c>
      <c r="K813" s="16"/>
      <c r="L813" s="12" t="s">
        <v>86</v>
      </c>
      <c r="M813" s="16" t="str">
        <f t="shared" si="1"/>
        <v>361732 Primaria</v>
      </c>
      <c r="N813" s="17"/>
      <c r="O813" s="17"/>
      <c r="P813" s="17"/>
      <c r="Q813" s="17"/>
      <c r="R813" s="17"/>
      <c r="S813" s="17"/>
      <c r="T813" s="17"/>
    </row>
    <row r="814" ht="15.75" customHeight="1">
      <c r="A814" s="18">
        <v>22.0</v>
      </c>
      <c r="B814" s="12" t="s">
        <v>84</v>
      </c>
      <c r="C814" s="12" t="s">
        <v>14</v>
      </c>
      <c r="D814" s="19" t="s">
        <v>15</v>
      </c>
      <c r="E814" s="12" t="str">
        <f>IFERROR(__xludf.DUMMYFUNCTION("FILTER(colegios!$B$2:$B5618,colegios!$A$2:$A5618=L814)"),"36173")</f>
        <v>36173</v>
      </c>
      <c r="F814" s="14" t="s">
        <v>16</v>
      </c>
      <c r="G814" s="20" t="s">
        <v>17</v>
      </c>
      <c r="H814" s="12" t="s">
        <v>24</v>
      </c>
      <c r="I814" s="15">
        <v>2024.0</v>
      </c>
      <c r="J814" s="16" t="str">
        <f>IFERROR(__xludf.DUMMYFUNCTION("FILTER('CLASFICACIÓN'!$F$3:$F5618,'CLASFICACIÓN'!$G$3:$G5618=M814)"),"SOLO 2024")</f>
        <v>SOLO 2024</v>
      </c>
      <c r="K814" s="16"/>
      <c r="L814" s="12" t="s">
        <v>86</v>
      </c>
      <c r="M814" s="16" t="str">
        <f t="shared" si="1"/>
        <v>361732 Primaria</v>
      </c>
      <c r="N814" s="17"/>
      <c r="O814" s="17"/>
      <c r="P814" s="17"/>
      <c r="Q814" s="17"/>
      <c r="R814" s="17"/>
      <c r="S814" s="17"/>
      <c r="T814" s="17"/>
    </row>
    <row r="815" ht="15.75" customHeight="1">
      <c r="A815" s="18">
        <v>23.0</v>
      </c>
      <c r="B815" s="12" t="s">
        <v>84</v>
      </c>
      <c r="C815" s="12" t="s">
        <v>14</v>
      </c>
      <c r="D815" s="19" t="s">
        <v>20</v>
      </c>
      <c r="E815" s="12" t="str">
        <f>IFERROR(__xludf.DUMMYFUNCTION("FILTER(colegios!$B$2:$B5618,colegios!$A$2:$A5618=L815)"),"36173")</f>
        <v>36173</v>
      </c>
      <c r="F815" s="14" t="s">
        <v>16</v>
      </c>
      <c r="G815" s="20" t="s">
        <v>21</v>
      </c>
      <c r="H815" s="12" t="s">
        <v>24</v>
      </c>
      <c r="I815" s="15">
        <v>2024.0</v>
      </c>
      <c r="J815" s="16" t="str">
        <f>IFERROR(__xludf.DUMMYFUNCTION("FILTER('CLASFICACIÓN'!$F$3:$F5618,'CLASFICACIÓN'!$G$3:$G5618=M815)"),"SOLO 2024")</f>
        <v>SOLO 2024</v>
      </c>
      <c r="K815" s="16"/>
      <c r="L815" s="12" t="s">
        <v>86</v>
      </c>
      <c r="M815" s="16" t="str">
        <f t="shared" si="1"/>
        <v>361734 Primaria</v>
      </c>
      <c r="N815" s="17"/>
      <c r="O815" s="17"/>
      <c r="P815" s="17"/>
      <c r="Q815" s="17"/>
      <c r="R815" s="17"/>
      <c r="S815" s="17"/>
      <c r="T815" s="17"/>
    </row>
    <row r="816" ht="15.75" customHeight="1">
      <c r="A816" s="18">
        <v>24.0</v>
      </c>
      <c r="B816" s="12" t="s">
        <v>84</v>
      </c>
      <c r="C816" s="12" t="s">
        <v>14</v>
      </c>
      <c r="D816" s="19" t="s">
        <v>20</v>
      </c>
      <c r="E816" s="12" t="str">
        <f>IFERROR(__xludf.DUMMYFUNCTION("FILTER(colegios!$B$2:$B5618,colegios!$A$2:$A5618=L816)"),"36173")</f>
        <v>36173</v>
      </c>
      <c r="F816" s="14" t="s">
        <v>16</v>
      </c>
      <c r="G816" s="20" t="s">
        <v>17</v>
      </c>
      <c r="H816" s="12" t="s">
        <v>24</v>
      </c>
      <c r="I816" s="15">
        <v>2024.0</v>
      </c>
      <c r="J816" s="16" t="str">
        <f>IFERROR(__xludf.DUMMYFUNCTION("FILTER('CLASFICACIÓN'!$F$3:$F5618,'CLASFICACIÓN'!$G$3:$G5618=M816)"),"SOLO 2024")</f>
        <v>SOLO 2024</v>
      </c>
      <c r="K816" s="16"/>
      <c r="L816" s="12" t="s">
        <v>86</v>
      </c>
      <c r="M816" s="16" t="str">
        <f t="shared" si="1"/>
        <v>361734 Primaria</v>
      </c>
      <c r="N816" s="17"/>
      <c r="O816" s="17"/>
      <c r="P816" s="17"/>
      <c r="Q816" s="17"/>
      <c r="R816" s="17"/>
      <c r="S816" s="17"/>
      <c r="T816" s="17"/>
    </row>
    <row r="817" ht="15.75" customHeight="1">
      <c r="A817" s="18">
        <v>25.0</v>
      </c>
      <c r="B817" s="12" t="s">
        <v>84</v>
      </c>
      <c r="C817" s="12" t="s">
        <v>14</v>
      </c>
      <c r="D817" s="19" t="s">
        <v>20</v>
      </c>
      <c r="E817" s="12" t="str">
        <f>IFERROR(__xludf.DUMMYFUNCTION("FILTER(colegios!$B$2:$B5618,colegios!$A$2:$A5618=L817)"),"36173")</f>
        <v>36173</v>
      </c>
      <c r="F817" s="14" t="s">
        <v>16</v>
      </c>
      <c r="G817" s="19" t="s">
        <v>21</v>
      </c>
      <c r="H817" s="12" t="s">
        <v>24</v>
      </c>
      <c r="I817" s="15">
        <v>2024.0</v>
      </c>
      <c r="J817" s="16" t="str">
        <f>IFERROR(__xludf.DUMMYFUNCTION("FILTER('CLASFICACIÓN'!$F$3:$F5618,'CLASFICACIÓN'!$G$3:$G5618=M817)"),"SOLO 2024")</f>
        <v>SOLO 2024</v>
      </c>
      <c r="K817" s="16"/>
      <c r="L817" s="12" t="s">
        <v>86</v>
      </c>
      <c r="M817" s="16" t="str">
        <f t="shared" si="1"/>
        <v>361734 Primaria</v>
      </c>
      <c r="N817" s="17"/>
      <c r="O817" s="17"/>
      <c r="P817" s="17"/>
      <c r="Q817" s="17"/>
      <c r="R817" s="17"/>
      <c r="S817" s="17"/>
      <c r="T817" s="17"/>
    </row>
    <row r="818" ht="15.75" customHeight="1">
      <c r="A818" s="18">
        <v>26.0</v>
      </c>
      <c r="B818" s="12" t="s">
        <v>84</v>
      </c>
      <c r="C818" s="12" t="s">
        <v>14</v>
      </c>
      <c r="D818" s="19" t="s">
        <v>20</v>
      </c>
      <c r="E818" s="12" t="str">
        <f>IFERROR(__xludf.DUMMYFUNCTION("FILTER(colegios!$B$2:$B5618,colegios!$A$2:$A5618=L818)"),"36173")</f>
        <v>36173</v>
      </c>
      <c r="F818" s="14" t="s">
        <v>16</v>
      </c>
      <c r="G818" s="20" t="s">
        <v>21</v>
      </c>
      <c r="H818" s="12" t="s">
        <v>24</v>
      </c>
      <c r="I818" s="15">
        <v>2024.0</v>
      </c>
      <c r="J818" s="16" t="str">
        <f>IFERROR(__xludf.DUMMYFUNCTION("FILTER('CLASFICACIÓN'!$F$3:$F5618,'CLASFICACIÓN'!$G$3:$G5618=M818)"),"SOLO 2024")</f>
        <v>SOLO 2024</v>
      </c>
      <c r="K818" s="16"/>
      <c r="L818" s="12" t="s">
        <v>86</v>
      </c>
      <c r="M818" s="16" t="str">
        <f t="shared" si="1"/>
        <v>361734 Primaria</v>
      </c>
      <c r="N818" s="17"/>
      <c r="O818" s="17"/>
      <c r="P818" s="17"/>
      <c r="Q818" s="17"/>
      <c r="R818" s="17"/>
      <c r="S818" s="17"/>
      <c r="T818" s="17"/>
    </row>
    <row r="819" ht="15.75" customHeight="1">
      <c r="A819" s="18">
        <v>27.0</v>
      </c>
      <c r="B819" s="12" t="s">
        <v>84</v>
      </c>
      <c r="C819" s="12" t="s">
        <v>14</v>
      </c>
      <c r="D819" s="19" t="s">
        <v>20</v>
      </c>
      <c r="E819" s="12" t="str">
        <f>IFERROR(__xludf.DUMMYFUNCTION("FILTER(colegios!$B$2:$B5618,colegios!$A$2:$A5618=L819)"),"36173")</f>
        <v>36173</v>
      </c>
      <c r="F819" s="14" t="s">
        <v>16</v>
      </c>
      <c r="G819" s="19" t="s">
        <v>21</v>
      </c>
      <c r="H819" s="12" t="s">
        <v>24</v>
      </c>
      <c r="I819" s="15">
        <v>2024.0</v>
      </c>
      <c r="J819" s="16" t="str">
        <f>IFERROR(__xludf.DUMMYFUNCTION("FILTER('CLASFICACIÓN'!$F$3:$F5618,'CLASFICACIÓN'!$G$3:$G5618=M819)"),"SOLO 2024")</f>
        <v>SOLO 2024</v>
      </c>
      <c r="K819" s="16"/>
      <c r="L819" s="12" t="s">
        <v>86</v>
      </c>
      <c r="M819" s="16" t="str">
        <f t="shared" si="1"/>
        <v>361734 Primaria</v>
      </c>
      <c r="N819" s="17"/>
      <c r="O819" s="17"/>
      <c r="P819" s="17"/>
      <c r="Q819" s="17"/>
      <c r="R819" s="17"/>
      <c r="S819" s="17"/>
      <c r="T819" s="17"/>
    </row>
    <row r="820" ht="15.75" customHeight="1">
      <c r="A820" s="18">
        <v>28.0</v>
      </c>
      <c r="B820" s="12" t="s">
        <v>84</v>
      </c>
      <c r="C820" s="12" t="s">
        <v>14</v>
      </c>
      <c r="D820" s="19" t="s">
        <v>20</v>
      </c>
      <c r="E820" s="12" t="str">
        <f>IFERROR(__xludf.DUMMYFUNCTION("FILTER(colegios!$B$2:$B5618,colegios!$A$2:$A5618=L820)"),"36173")</f>
        <v>36173</v>
      </c>
      <c r="F820" s="14" t="s">
        <v>16</v>
      </c>
      <c r="G820" s="20" t="s">
        <v>17</v>
      </c>
      <c r="H820" s="12" t="s">
        <v>18</v>
      </c>
      <c r="I820" s="15">
        <v>2024.0</v>
      </c>
      <c r="J820" s="16" t="str">
        <f>IFERROR(__xludf.DUMMYFUNCTION("FILTER('CLASFICACIÓN'!$F$3:$F5618,'CLASFICACIÓN'!$G$3:$G5618=M820)"),"SOLO 2024")</f>
        <v>SOLO 2024</v>
      </c>
      <c r="K820" s="16"/>
      <c r="L820" s="12" t="s">
        <v>86</v>
      </c>
      <c r="M820" s="16" t="str">
        <f t="shared" si="1"/>
        <v>361734 Primaria</v>
      </c>
      <c r="N820" s="17"/>
      <c r="O820" s="17"/>
      <c r="P820" s="17"/>
      <c r="Q820" s="17"/>
      <c r="R820" s="17"/>
      <c r="S820" s="17"/>
      <c r="T820" s="17"/>
    </row>
    <row r="821" ht="15.75" customHeight="1">
      <c r="A821" s="18">
        <v>29.0</v>
      </c>
      <c r="B821" s="12" t="s">
        <v>84</v>
      </c>
      <c r="C821" s="12" t="s">
        <v>14</v>
      </c>
      <c r="D821" s="19" t="s">
        <v>20</v>
      </c>
      <c r="E821" s="12" t="str">
        <f>IFERROR(__xludf.DUMMYFUNCTION("FILTER(colegios!$B$2:$B5618,colegios!$A$2:$A5618=L821)"),"36173")</f>
        <v>36173</v>
      </c>
      <c r="F821" s="14" t="s">
        <v>16</v>
      </c>
      <c r="G821" s="19" t="s">
        <v>17</v>
      </c>
      <c r="H821" s="12" t="s">
        <v>24</v>
      </c>
      <c r="I821" s="15">
        <v>2024.0</v>
      </c>
      <c r="J821" s="16" t="str">
        <f>IFERROR(__xludf.DUMMYFUNCTION("FILTER('CLASFICACIÓN'!$F$3:$F5618,'CLASFICACIÓN'!$G$3:$G5618=M821)"),"SOLO 2024")</f>
        <v>SOLO 2024</v>
      </c>
      <c r="K821" s="16"/>
      <c r="L821" s="12" t="s">
        <v>86</v>
      </c>
      <c r="M821" s="16" t="str">
        <f t="shared" si="1"/>
        <v>361734 Primaria</v>
      </c>
      <c r="N821" s="17"/>
      <c r="O821" s="17"/>
      <c r="P821" s="17"/>
      <c r="Q821" s="17"/>
      <c r="R821" s="17"/>
      <c r="S821" s="17"/>
      <c r="T821" s="17"/>
    </row>
    <row r="822" ht="15.75" customHeight="1">
      <c r="A822" s="18">
        <v>30.0</v>
      </c>
      <c r="B822" s="12" t="s">
        <v>84</v>
      </c>
      <c r="C822" s="12" t="s">
        <v>14</v>
      </c>
      <c r="D822" s="19" t="s">
        <v>22</v>
      </c>
      <c r="E822" s="12" t="str">
        <f>IFERROR(__xludf.DUMMYFUNCTION("FILTER(colegios!$B$2:$B5618,colegios!$A$2:$A5618=L822)"),"36173")</f>
        <v>36173</v>
      </c>
      <c r="F822" s="14" t="s">
        <v>16</v>
      </c>
      <c r="G822" s="19" t="s">
        <v>21</v>
      </c>
      <c r="H822" s="12" t="s">
        <v>18</v>
      </c>
      <c r="I822" s="15">
        <v>2024.0</v>
      </c>
      <c r="J822" s="16" t="str">
        <f>IFERROR(__xludf.DUMMYFUNCTION("FILTER('CLASFICACIÓN'!$F$3:$F5618,'CLASFICACIÓN'!$G$3:$G5618=M822)"),"SOLO 2024")</f>
        <v>SOLO 2024</v>
      </c>
      <c r="K822" s="16"/>
      <c r="L822" s="12" t="s">
        <v>86</v>
      </c>
      <c r="M822" s="16" t="str">
        <f t="shared" si="1"/>
        <v>361736 Primaria</v>
      </c>
      <c r="N822" s="17"/>
      <c r="O822" s="17"/>
      <c r="P822" s="17"/>
      <c r="Q822" s="17"/>
      <c r="R822" s="17"/>
      <c r="S822" s="17"/>
      <c r="T822" s="17"/>
    </row>
    <row r="823" ht="15.75" customHeight="1">
      <c r="A823" s="18">
        <v>31.0</v>
      </c>
      <c r="B823" s="12" t="s">
        <v>84</v>
      </c>
      <c r="C823" s="12" t="s">
        <v>14</v>
      </c>
      <c r="D823" s="19" t="s">
        <v>22</v>
      </c>
      <c r="E823" s="12" t="str">
        <f>IFERROR(__xludf.DUMMYFUNCTION("FILTER(colegios!$B$2:$B5618,colegios!$A$2:$A5618=L823)"),"36173")</f>
        <v>36173</v>
      </c>
      <c r="F823" s="14" t="s">
        <v>16</v>
      </c>
      <c r="G823" s="19" t="s">
        <v>17</v>
      </c>
      <c r="H823" s="12" t="s">
        <v>18</v>
      </c>
      <c r="I823" s="15">
        <v>2024.0</v>
      </c>
      <c r="J823" s="16" t="str">
        <f>IFERROR(__xludf.DUMMYFUNCTION("FILTER('CLASFICACIÓN'!$F$3:$F5618,'CLASFICACIÓN'!$G$3:$G5618=M823)"),"SOLO 2024")</f>
        <v>SOLO 2024</v>
      </c>
      <c r="K823" s="16"/>
      <c r="L823" s="12" t="s">
        <v>86</v>
      </c>
      <c r="M823" s="16" t="str">
        <f t="shared" si="1"/>
        <v>361736 Primaria</v>
      </c>
      <c r="N823" s="17"/>
      <c r="O823" s="17"/>
      <c r="P823" s="17"/>
      <c r="Q823" s="17"/>
      <c r="R823" s="17"/>
      <c r="S823" s="17"/>
      <c r="T823" s="17"/>
    </row>
    <row r="824" ht="15.75" customHeight="1">
      <c r="A824" s="18">
        <v>32.0</v>
      </c>
      <c r="B824" s="12" t="s">
        <v>84</v>
      </c>
      <c r="C824" s="12" t="s">
        <v>14</v>
      </c>
      <c r="D824" s="19" t="s">
        <v>22</v>
      </c>
      <c r="E824" s="12" t="str">
        <f>IFERROR(__xludf.DUMMYFUNCTION("FILTER(colegios!$B$2:$B5618,colegios!$A$2:$A5618=L824)"),"36173")</f>
        <v>36173</v>
      </c>
      <c r="F824" s="14" t="s">
        <v>16</v>
      </c>
      <c r="G824" s="19" t="s">
        <v>21</v>
      </c>
      <c r="H824" s="12" t="s">
        <v>24</v>
      </c>
      <c r="I824" s="15">
        <v>2024.0</v>
      </c>
      <c r="J824" s="16" t="str">
        <f>IFERROR(__xludf.DUMMYFUNCTION("FILTER('CLASFICACIÓN'!$F$3:$F5618,'CLASFICACIÓN'!$G$3:$G5618=M824)"),"SOLO 2024")</f>
        <v>SOLO 2024</v>
      </c>
      <c r="K824" s="16"/>
      <c r="L824" s="12" t="s">
        <v>86</v>
      </c>
      <c r="M824" s="16" t="str">
        <f t="shared" si="1"/>
        <v>361736 Primaria</v>
      </c>
      <c r="N824" s="17"/>
      <c r="O824" s="17"/>
      <c r="P824" s="17"/>
      <c r="Q824" s="17"/>
      <c r="R824" s="17"/>
      <c r="S824" s="17"/>
      <c r="T824" s="17"/>
    </row>
    <row r="825" ht="15.75" customHeight="1">
      <c r="A825" s="18">
        <v>33.0</v>
      </c>
      <c r="B825" s="12" t="s">
        <v>84</v>
      </c>
      <c r="C825" s="12" t="s">
        <v>14</v>
      </c>
      <c r="D825" s="19" t="s">
        <v>22</v>
      </c>
      <c r="E825" s="12" t="str">
        <f>IFERROR(__xludf.DUMMYFUNCTION("FILTER(colegios!$B$2:$B5618,colegios!$A$2:$A5618=L825)"),"36173")</f>
        <v>36173</v>
      </c>
      <c r="F825" s="14" t="s">
        <v>16</v>
      </c>
      <c r="G825" s="19" t="s">
        <v>17</v>
      </c>
      <c r="H825" s="12" t="s">
        <v>24</v>
      </c>
      <c r="I825" s="15">
        <v>2024.0</v>
      </c>
      <c r="J825" s="16" t="str">
        <f>IFERROR(__xludf.DUMMYFUNCTION("FILTER('CLASFICACIÓN'!$F$3:$F5618,'CLASFICACIÓN'!$G$3:$G5618=M825)"),"SOLO 2024")</f>
        <v>SOLO 2024</v>
      </c>
      <c r="K825" s="16"/>
      <c r="L825" s="12" t="s">
        <v>86</v>
      </c>
      <c r="M825" s="16" t="str">
        <f t="shared" si="1"/>
        <v>361736 Primaria</v>
      </c>
      <c r="N825" s="17"/>
      <c r="O825" s="17"/>
      <c r="P825" s="17"/>
      <c r="Q825" s="17"/>
      <c r="R825" s="17"/>
      <c r="S825" s="17"/>
      <c r="T825" s="17"/>
    </row>
    <row r="826" ht="15.75" customHeight="1">
      <c r="A826" s="18">
        <v>34.0</v>
      </c>
      <c r="B826" s="12" t="s">
        <v>84</v>
      </c>
      <c r="C826" s="12" t="s">
        <v>14</v>
      </c>
      <c r="D826" s="19" t="s">
        <v>22</v>
      </c>
      <c r="E826" s="12" t="str">
        <f>IFERROR(__xludf.DUMMYFUNCTION("FILTER(colegios!$B$2:$B5618,colegios!$A$2:$A5618=L826)"),"36173")</f>
        <v>36173</v>
      </c>
      <c r="F826" s="14" t="s">
        <v>16</v>
      </c>
      <c r="G826" s="19" t="s">
        <v>17</v>
      </c>
      <c r="H826" s="12" t="s">
        <v>24</v>
      </c>
      <c r="I826" s="15">
        <v>2024.0</v>
      </c>
      <c r="J826" s="16" t="str">
        <f>IFERROR(__xludf.DUMMYFUNCTION("FILTER('CLASFICACIÓN'!$F$3:$F5618,'CLASFICACIÓN'!$G$3:$G5618=M826)"),"SOLO 2024")</f>
        <v>SOLO 2024</v>
      </c>
      <c r="K826" s="16"/>
      <c r="L826" s="12" t="s">
        <v>86</v>
      </c>
      <c r="M826" s="16" t="str">
        <f t="shared" si="1"/>
        <v>361736 Primaria</v>
      </c>
      <c r="N826" s="17"/>
      <c r="O826" s="17"/>
      <c r="P826" s="17"/>
      <c r="Q826" s="17"/>
      <c r="R826" s="17"/>
      <c r="S826" s="17"/>
      <c r="T826" s="17"/>
    </row>
    <row r="827" ht="15.75" customHeight="1">
      <c r="A827" s="18">
        <v>35.0</v>
      </c>
      <c r="B827" s="12" t="s">
        <v>84</v>
      </c>
      <c r="C827" s="12" t="s">
        <v>14</v>
      </c>
      <c r="D827" s="19" t="s">
        <v>22</v>
      </c>
      <c r="E827" s="12" t="str">
        <f>IFERROR(__xludf.DUMMYFUNCTION("FILTER(colegios!$B$2:$B5618,colegios!$A$2:$A5618=L827)"),"36173")</f>
        <v>36173</v>
      </c>
      <c r="F827" s="14" t="s">
        <v>16</v>
      </c>
      <c r="G827" s="20" t="s">
        <v>17</v>
      </c>
      <c r="H827" s="12" t="s">
        <v>18</v>
      </c>
      <c r="I827" s="15">
        <v>2024.0</v>
      </c>
      <c r="J827" s="16" t="str">
        <f>IFERROR(__xludf.DUMMYFUNCTION("FILTER('CLASFICACIÓN'!$F$3:$F5618,'CLASFICACIÓN'!$G$3:$G5618=M827)"),"SOLO 2024")</f>
        <v>SOLO 2024</v>
      </c>
      <c r="K827" s="16"/>
      <c r="L827" s="12" t="s">
        <v>86</v>
      </c>
      <c r="M827" s="16" t="str">
        <f t="shared" si="1"/>
        <v>361736 Primaria</v>
      </c>
      <c r="N827" s="17"/>
      <c r="O827" s="17"/>
      <c r="P827" s="17"/>
      <c r="Q827" s="17"/>
      <c r="R827" s="17"/>
      <c r="S827" s="17"/>
      <c r="T827" s="17"/>
    </row>
    <row r="828" ht="15.75" customHeight="1">
      <c r="A828" s="18">
        <v>36.0</v>
      </c>
      <c r="B828" s="12" t="s">
        <v>84</v>
      </c>
      <c r="C828" s="12" t="s">
        <v>14</v>
      </c>
      <c r="D828" s="19" t="s">
        <v>22</v>
      </c>
      <c r="E828" s="12" t="str">
        <f>IFERROR(__xludf.DUMMYFUNCTION("FILTER(colegios!$B$2:$B5618,colegios!$A$2:$A5618=L828)"),"36173")</f>
        <v>36173</v>
      </c>
      <c r="F828" s="14" t="s">
        <v>16</v>
      </c>
      <c r="G828" s="19" t="s">
        <v>21</v>
      </c>
      <c r="H828" s="12" t="s">
        <v>18</v>
      </c>
      <c r="I828" s="15">
        <v>2024.0</v>
      </c>
      <c r="J828" s="16" t="str">
        <f>IFERROR(__xludf.DUMMYFUNCTION("FILTER('CLASFICACIÓN'!$F$3:$F5618,'CLASFICACIÓN'!$G$3:$G5618=M828)"),"SOLO 2024")</f>
        <v>SOLO 2024</v>
      </c>
      <c r="K828" s="16"/>
      <c r="L828" s="12" t="s">
        <v>86</v>
      </c>
      <c r="M828" s="16" t="str">
        <f t="shared" si="1"/>
        <v>361736 Primaria</v>
      </c>
      <c r="N828" s="17"/>
      <c r="O828" s="17"/>
      <c r="P828" s="17"/>
      <c r="Q828" s="17"/>
      <c r="R828" s="17"/>
      <c r="S828" s="17"/>
      <c r="T828" s="17"/>
    </row>
    <row r="829" ht="15.75" customHeight="1">
      <c r="A829" s="18">
        <v>37.0</v>
      </c>
      <c r="B829" s="12" t="s">
        <v>84</v>
      </c>
      <c r="C829" s="12" t="s">
        <v>14</v>
      </c>
      <c r="D829" s="19" t="s">
        <v>22</v>
      </c>
      <c r="E829" s="12" t="str">
        <f>IFERROR(__xludf.DUMMYFUNCTION("FILTER(colegios!$B$2:$B5618,colegios!$A$2:$A5618=L829)"),"36173")</f>
        <v>36173</v>
      </c>
      <c r="F829" s="14" t="s">
        <v>16</v>
      </c>
      <c r="G829" s="20" t="s">
        <v>21</v>
      </c>
      <c r="H829" s="12" t="s">
        <v>18</v>
      </c>
      <c r="I829" s="15">
        <v>2024.0</v>
      </c>
      <c r="J829" s="16" t="str">
        <f>IFERROR(__xludf.DUMMYFUNCTION("FILTER('CLASFICACIÓN'!$F$3:$F5618,'CLASFICACIÓN'!$G$3:$G5618=M829)"),"SOLO 2024")</f>
        <v>SOLO 2024</v>
      </c>
      <c r="K829" s="16"/>
      <c r="L829" s="12" t="s">
        <v>86</v>
      </c>
      <c r="M829" s="16" t="str">
        <f t="shared" si="1"/>
        <v>361736 Primaria</v>
      </c>
      <c r="N829" s="17"/>
      <c r="O829" s="17"/>
      <c r="P829" s="17"/>
      <c r="Q829" s="17"/>
      <c r="R829" s="17"/>
      <c r="S829" s="17"/>
      <c r="T829" s="17"/>
    </row>
    <row r="830" ht="15.75" customHeight="1">
      <c r="A830" s="18">
        <v>1.0</v>
      </c>
      <c r="B830" s="12" t="s">
        <v>84</v>
      </c>
      <c r="C830" s="12" t="s">
        <v>27</v>
      </c>
      <c r="D830" s="19" t="s">
        <v>28</v>
      </c>
      <c r="E830" s="12" t="str">
        <f>IFERROR(__xludf.DUMMYFUNCTION("FILTER(colegios!$B$2:$B5618,colegios!$A$2:$A5618=L830)"),"CORAS")</f>
        <v>CORAS</v>
      </c>
      <c r="F830" s="14" t="s">
        <v>16</v>
      </c>
      <c r="G830" s="20" t="s">
        <v>21</v>
      </c>
      <c r="H830" s="12" t="s">
        <v>24</v>
      </c>
      <c r="I830" s="15">
        <v>2024.0</v>
      </c>
      <c r="J830" s="16" t="str">
        <f>IFERROR(__xludf.DUMMYFUNCTION("FILTER('CLASFICACIÓN'!$F$3:$F5618,'CLASFICACIÓN'!$G$3:$G5618=M830)"),"SOLO 2024")</f>
        <v>SOLO 2024</v>
      </c>
      <c r="K830" s="16"/>
      <c r="L830" s="12" t="s">
        <v>87</v>
      </c>
      <c r="M830" s="16" t="str">
        <f t="shared" si="1"/>
        <v>CORAS2 Secundaria</v>
      </c>
      <c r="N830" s="17"/>
      <c r="O830" s="17"/>
      <c r="P830" s="17"/>
      <c r="Q830" s="17"/>
      <c r="R830" s="17"/>
      <c r="S830" s="17"/>
      <c r="T830" s="17"/>
    </row>
    <row r="831" ht="15.75" customHeight="1">
      <c r="A831" s="18">
        <v>2.0</v>
      </c>
      <c r="B831" s="12" t="s">
        <v>84</v>
      </c>
      <c r="C831" s="12" t="s">
        <v>27</v>
      </c>
      <c r="D831" s="19" t="s">
        <v>28</v>
      </c>
      <c r="E831" s="12" t="str">
        <f>IFERROR(__xludf.DUMMYFUNCTION("FILTER(colegios!$B$2:$B5618,colegios!$A$2:$A5618=L831)"),"CORAS")</f>
        <v>CORAS</v>
      </c>
      <c r="F831" s="14" t="s">
        <v>16</v>
      </c>
      <c r="G831" s="19" t="s">
        <v>17</v>
      </c>
      <c r="H831" s="12" t="s">
        <v>24</v>
      </c>
      <c r="I831" s="15">
        <v>2024.0</v>
      </c>
      <c r="J831" s="16" t="str">
        <f>IFERROR(__xludf.DUMMYFUNCTION("FILTER('CLASFICACIÓN'!$F$3:$F5618,'CLASFICACIÓN'!$G$3:$G5618=M831)"),"SOLO 2024")</f>
        <v>SOLO 2024</v>
      </c>
      <c r="K831" s="16"/>
      <c r="L831" s="12" t="s">
        <v>87</v>
      </c>
      <c r="M831" s="16" t="str">
        <f t="shared" si="1"/>
        <v>CORAS2 Secundaria</v>
      </c>
      <c r="N831" s="17"/>
      <c r="O831" s="17"/>
      <c r="P831" s="17"/>
      <c r="Q831" s="17"/>
      <c r="R831" s="17"/>
      <c r="S831" s="17"/>
      <c r="T831" s="17"/>
    </row>
    <row r="832" ht="15.75" customHeight="1">
      <c r="A832" s="18">
        <v>3.0</v>
      </c>
      <c r="B832" s="12" t="s">
        <v>84</v>
      </c>
      <c r="C832" s="12" t="s">
        <v>27</v>
      </c>
      <c r="D832" s="19" t="s">
        <v>28</v>
      </c>
      <c r="E832" s="12" t="str">
        <f>IFERROR(__xludf.DUMMYFUNCTION("FILTER(colegios!$B$2:$B5618,colegios!$A$2:$A5618=L832)"),"CORAS")</f>
        <v>CORAS</v>
      </c>
      <c r="F832" s="14" t="s">
        <v>16</v>
      </c>
      <c r="G832" s="19" t="s">
        <v>17</v>
      </c>
      <c r="H832" s="12" t="s">
        <v>18</v>
      </c>
      <c r="I832" s="15">
        <v>2024.0</v>
      </c>
      <c r="J832" s="16" t="str">
        <f>IFERROR(__xludf.DUMMYFUNCTION("FILTER('CLASFICACIÓN'!$F$3:$F5618,'CLASFICACIÓN'!$G$3:$G5618=M832)"),"SOLO 2024")</f>
        <v>SOLO 2024</v>
      </c>
      <c r="K832" s="16"/>
      <c r="L832" s="12" t="s">
        <v>87</v>
      </c>
      <c r="M832" s="16" t="str">
        <f t="shared" si="1"/>
        <v>CORAS2 Secundaria</v>
      </c>
      <c r="N832" s="17"/>
      <c r="O832" s="17"/>
      <c r="P832" s="17"/>
      <c r="Q832" s="17"/>
      <c r="R832" s="17"/>
      <c r="S832" s="17"/>
      <c r="T832" s="17"/>
    </row>
    <row r="833" ht="15.75" customHeight="1">
      <c r="A833" s="18">
        <v>4.0</v>
      </c>
      <c r="B833" s="12" t="s">
        <v>84</v>
      </c>
      <c r="C833" s="12" t="s">
        <v>27</v>
      </c>
      <c r="D833" s="19" t="s">
        <v>28</v>
      </c>
      <c r="E833" s="12" t="str">
        <f>IFERROR(__xludf.DUMMYFUNCTION("FILTER(colegios!$B$2:$B5618,colegios!$A$2:$A5618=L833)"),"CORAS")</f>
        <v>CORAS</v>
      </c>
      <c r="F833" s="14" t="s">
        <v>16</v>
      </c>
      <c r="G833" s="20" t="s">
        <v>21</v>
      </c>
      <c r="H833" s="12" t="s">
        <v>18</v>
      </c>
      <c r="I833" s="15">
        <v>2024.0</v>
      </c>
      <c r="J833" s="16" t="str">
        <f>IFERROR(__xludf.DUMMYFUNCTION("FILTER('CLASFICACIÓN'!$F$3:$F5618,'CLASFICACIÓN'!$G$3:$G5618=M833)"),"SOLO 2024")</f>
        <v>SOLO 2024</v>
      </c>
      <c r="K833" s="16"/>
      <c r="L833" s="12" t="s">
        <v>87</v>
      </c>
      <c r="M833" s="16" t="str">
        <f t="shared" si="1"/>
        <v>CORAS2 Secundaria</v>
      </c>
      <c r="N833" s="17"/>
      <c r="O833" s="17"/>
      <c r="P833" s="17"/>
      <c r="Q833" s="17"/>
      <c r="R833" s="17"/>
      <c r="S833" s="17"/>
      <c r="T833" s="17"/>
    </row>
    <row r="834" ht="15.75" customHeight="1">
      <c r="A834" s="18">
        <v>5.0</v>
      </c>
      <c r="B834" s="12" t="s">
        <v>84</v>
      </c>
      <c r="C834" s="12" t="s">
        <v>27</v>
      </c>
      <c r="D834" s="19" t="s">
        <v>28</v>
      </c>
      <c r="E834" s="12" t="str">
        <f>IFERROR(__xludf.DUMMYFUNCTION("FILTER(colegios!$B$2:$B5618,colegios!$A$2:$A5618=L834)"),"CORAS")</f>
        <v>CORAS</v>
      </c>
      <c r="F834" s="14" t="s">
        <v>16</v>
      </c>
      <c r="G834" s="19" t="s">
        <v>17</v>
      </c>
      <c r="H834" s="12" t="s">
        <v>24</v>
      </c>
      <c r="I834" s="15">
        <v>2024.0</v>
      </c>
      <c r="J834" s="16" t="str">
        <f>IFERROR(__xludf.DUMMYFUNCTION("FILTER('CLASFICACIÓN'!$F$3:$F5618,'CLASFICACIÓN'!$G$3:$G5618=M834)"),"SOLO 2024")</f>
        <v>SOLO 2024</v>
      </c>
      <c r="K834" s="16"/>
      <c r="L834" s="12" t="s">
        <v>87</v>
      </c>
      <c r="M834" s="16" t="str">
        <f t="shared" si="1"/>
        <v>CORAS2 Secundaria</v>
      </c>
      <c r="N834" s="17"/>
      <c r="O834" s="17"/>
      <c r="P834" s="17"/>
      <c r="Q834" s="17"/>
      <c r="R834" s="17"/>
      <c r="S834" s="17"/>
      <c r="T834" s="17"/>
    </row>
    <row r="835" ht="15.75" customHeight="1">
      <c r="A835" s="18">
        <v>6.0</v>
      </c>
      <c r="B835" s="12" t="s">
        <v>84</v>
      </c>
      <c r="C835" s="12" t="s">
        <v>27</v>
      </c>
      <c r="D835" s="19" t="s">
        <v>28</v>
      </c>
      <c r="E835" s="12" t="str">
        <f>IFERROR(__xludf.DUMMYFUNCTION("FILTER(colegios!$B$2:$B5618,colegios!$A$2:$A5618=L835)"),"CORAS")</f>
        <v>CORAS</v>
      </c>
      <c r="F835" s="14" t="s">
        <v>16</v>
      </c>
      <c r="G835" s="20" t="s">
        <v>21</v>
      </c>
      <c r="H835" s="12" t="s">
        <v>18</v>
      </c>
      <c r="I835" s="15">
        <v>2024.0</v>
      </c>
      <c r="J835" s="16" t="str">
        <f>IFERROR(__xludf.DUMMYFUNCTION("FILTER('CLASFICACIÓN'!$F$3:$F5618,'CLASFICACIÓN'!$G$3:$G5618=M835)"),"SOLO 2024")</f>
        <v>SOLO 2024</v>
      </c>
      <c r="K835" s="16"/>
      <c r="L835" s="12" t="s">
        <v>87</v>
      </c>
      <c r="M835" s="16" t="str">
        <f t="shared" si="1"/>
        <v>CORAS2 Secundaria</v>
      </c>
      <c r="N835" s="17"/>
      <c r="O835" s="17"/>
      <c r="P835" s="17"/>
      <c r="Q835" s="17"/>
      <c r="R835" s="17"/>
      <c r="S835" s="17"/>
      <c r="T835" s="17"/>
    </row>
    <row r="836" ht="15.75" customHeight="1">
      <c r="A836" s="18">
        <v>7.0</v>
      </c>
      <c r="B836" s="12" t="s">
        <v>84</v>
      </c>
      <c r="C836" s="12" t="s">
        <v>27</v>
      </c>
      <c r="D836" s="19" t="s">
        <v>28</v>
      </c>
      <c r="E836" s="12" t="str">
        <f>IFERROR(__xludf.DUMMYFUNCTION("FILTER(colegios!$B$2:$B5618,colegios!$A$2:$A5618=L836)"),"CORAS")</f>
        <v>CORAS</v>
      </c>
      <c r="F836" s="14" t="s">
        <v>16</v>
      </c>
      <c r="G836" s="19" t="s">
        <v>17</v>
      </c>
      <c r="H836" s="12" t="s">
        <v>18</v>
      </c>
      <c r="I836" s="15">
        <v>2024.0</v>
      </c>
      <c r="J836" s="16" t="str">
        <f>IFERROR(__xludf.DUMMYFUNCTION("FILTER('CLASFICACIÓN'!$F$3:$F5618,'CLASFICACIÓN'!$G$3:$G5618=M836)"),"SOLO 2024")</f>
        <v>SOLO 2024</v>
      </c>
      <c r="K836" s="16"/>
      <c r="L836" s="12" t="s">
        <v>87</v>
      </c>
      <c r="M836" s="16" t="str">
        <f t="shared" si="1"/>
        <v>CORAS2 Secundaria</v>
      </c>
      <c r="N836" s="17"/>
      <c r="O836" s="17"/>
      <c r="P836" s="17"/>
      <c r="Q836" s="17"/>
      <c r="R836" s="17"/>
      <c r="S836" s="17"/>
      <c r="T836" s="17"/>
    </row>
    <row r="837" ht="15.75" customHeight="1">
      <c r="A837" s="18">
        <v>8.0</v>
      </c>
      <c r="B837" s="12" t="s">
        <v>84</v>
      </c>
      <c r="C837" s="12" t="s">
        <v>27</v>
      </c>
      <c r="D837" s="19" t="s">
        <v>28</v>
      </c>
      <c r="E837" s="12" t="str">
        <f>IFERROR(__xludf.DUMMYFUNCTION("FILTER(colegios!$B$2:$B5618,colegios!$A$2:$A5618=L837)"),"CORAS")</f>
        <v>CORAS</v>
      </c>
      <c r="F837" s="14" t="s">
        <v>16</v>
      </c>
      <c r="G837" s="19" t="s">
        <v>21</v>
      </c>
      <c r="H837" s="12" t="s">
        <v>18</v>
      </c>
      <c r="I837" s="15">
        <v>2024.0</v>
      </c>
      <c r="J837" s="16" t="str">
        <f>IFERROR(__xludf.DUMMYFUNCTION("FILTER('CLASFICACIÓN'!$F$3:$F5618,'CLASFICACIÓN'!$G$3:$G5618=M837)"),"SOLO 2024")</f>
        <v>SOLO 2024</v>
      </c>
      <c r="K837" s="16"/>
      <c r="L837" s="12" t="s">
        <v>87</v>
      </c>
      <c r="M837" s="16" t="str">
        <f t="shared" si="1"/>
        <v>CORAS2 Secundaria</v>
      </c>
      <c r="N837" s="17"/>
      <c r="O837" s="17"/>
      <c r="P837" s="17"/>
      <c r="Q837" s="17"/>
      <c r="R837" s="17"/>
      <c r="S837" s="17"/>
      <c r="T837" s="17"/>
    </row>
    <row r="838" ht="15.75" customHeight="1">
      <c r="A838" s="18">
        <v>9.0</v>
      </c>
      <c r="B838" s="12" t="s">
        <v>84</v>
      </c>
      <c r="C838" s="12" t="s">
        <v>27</v>
      </c>
      <c r="D838" s="19" t="s">
        <v>28</v>
      </c>
      <c r="E838" s="12" t="str">
        <f>IFERROR(__xludf.DUMMYFUNCTION("FILTER(colegios!$B$2:$B5618,colegios!$A$2:$A5618=L838)"),"CORAS")</f>
        <v>CORAS</v>
      </c>
      <c r="F838" s="14" t="s">
        <v>16</v>
      </c>
      <c r="G838" s="19" t="s">
        <v>21</v>
      </c>
      <c r="H838" s="12" t="s">
        <v>18</v>
      </c>
      <c r="I838" s="15">
        <v>2024.0</v>
      </c>
      <c r="J838" s="16" t="str">
        <f>IFERROR(__xludf.DUMMYFUNCTION("FILTER('CLASFICACIÓN'!$F$3:$F5618,'CLASFICACIÓN'!$G$3:$G5618=M838)"),"SOLO 2024")</f>
        <v>SOLO 2024</v>
      </c>
      <c r="K838" s="16"/>
      <c r="L838" s="12" t="s">
        <v>87</v>
      </c>
      <c r="M838" s="16" t="str">
        <f t="shared" si="1"/>
        <v>CORAS2 Secundaria</v>
      </c>
      <c r="N838" s="17"/>
      <c r="O838" s="17"/>
      <c r="P838" s="17"/>
      <c r="Q838" s="17"/>
      <c r="R838" s="17"/>
      <c r="S838" s="17"/>
      <c r="T838" s="17"/>
    </row>
    <row r="839" ht="15.75" customHeight="1">
      <c r="A839" s="18">
        <v>10.0</v>
      </c>
      <c r="B839" s="12" t="s">
        <v>84</v>
      </c>
      <c r="C839" s="12" t="s">
        <v>27</v>
      </c>
      <c r="D839" s="19" t="s">
        <v>28</v>
      </c>
      <c r="E839" s="12" t="str">
        <f>IFERROR(__xludf.DUMMYFUNCTION("FILTER(colegios!$B$2:$B5618,colegios!$A$2:$A5618=L839)"),"CORAS")</f>
        <v>CORAS</v>
      </c>
      <c r="F839" s="14" t="s">
        <v>16</v>
      </c>
      <c r="G839" s="20" t="s">
        <v>17</v>
      </c>
      <c r="H839" s="12" t="s">
        <v>24</v>
      </c>
      <c r="I839" s="15">
        <v>2024.0</v>
      </c>
      <c r="J839" s="16" t="str">
        <f>IFERROR(__xludf.DUMMYFUNCTION("FILTER('CLASFICACIÓN'!$F$3:$F5618,'CLASFICACIÓN'!$G$3:$G5618=M839)"),"SOLO 2024")</f>
        <v>SOLO 2024</v>
      </c>
      <c r="K839" s="16"/>
      <c r="L839" s="12" t="s">
        <v>87</v>
      </c>
      <c r="M839" s="16" t="str">
        <f t="shared" si="1"/>
        <v>CORAS2 Secundaria</v>
      </c>
      <c r="N839" s="17"/>
      <c r="O839" s="17"/>
      <c r="P839" s="17"/>
      <c r="Q839" s="17"/>
      <c r="R839" s="17"/>
      <c r="S839" s="17"/>
      <c r="T839" s="17"/>
    </row>
    <row r="840" ht="15.75" customHeight="1">
      <c r="A840" s="18">
        <v>11.0</v>
      </c>
      <c r="B840" s="12" t="s">
        <v>84</v>
      </c>
      <c r="C840" s="12" t="s">
        <v>27</v>
      </c>
      <c r="D840" s="19" t="s">
        <v>28</v>
      </c>
      <c r="E840" s="12" t="str">
        <f>IFERROR(__xludf.DUMMYFUNCTION("FILTER(colegios!$B$2:$B5618,colegios!$A$2:$A5618=L840)"),"CORAS")</f>
        <v>CORAS</v>
      </c>
      <c r="F840" s="14" t="s">
        <v>16</v>
      </c>
      <c r="G840" s="20" t="s">
        <v>21</v>
      </c>
      <c r="H840" s="12" t="s">
        <v>18</v>
      </c>
      <c r="I840" s="15">
        <v>2024.0</v>
      </c>
      <c r="J840" s="16" t="str">
        <f>IFERROR(__xludf.DUMMYFUNCTION("FILTER('CLASFICACIÓN'!$F$3:$F5618,'CLASFICACIÓN'!$G$3:$G5618=M840)"),"SOLO 2024")</f>
        <v>SOLO 2024</v>
      </c>
      <c r="K840" s="16"/>
      <c r="L840" s="12" t="s">
        <v>87</v>
      </c>
      <c r="M840" s="16" t="str">
        <f t="shared" si="1"/>
        <v>CORAS2 Secundaria</v>
      </c>
      <c r="N840" s="17"/>
      <c r="O840" s="17"/>
      <c r="P840" s="17"/>
      <c r="Q840" s="17"/>
      <c r="R840" s="17"/>
      <c r="S840" s="17"/>
      <c r="T840" s="17"/>
    </row>
    <row r="841" ht="15.75" customHeight="1">
      <c r="A841" s="18">
        <v>12.0</v>
      </c>
      <c r="B841" s="12" t="s">
        <v>84</v>
      </c>
      <c r="C841" s="12" t="s">
        <v>27</v>
      </c>
      <c r="D841" s="19" t="s">
        <v>28</v>
      </c>
      <c r="E841" s="12" t="str">
        <f>IFERROR(__xludf.DUMMYFUNCTION("FILTER(colegios!$B$2:$B5618,colegios!$A$2:$A5618=L841)"),"CORAS")</f>
        <v>CORAS</v>
      </c>
      <c r="F841" s="14" t="s">
        <v>16</v>
      </c>
      <c r="G841" s="20" t="s">
        <v>17</v>
      </c>
      <c r="H841" s="12" t="s">
        <v>24</v>
      </c>
      <c r="I841" s="15">
        <v>2024.0</v>
      </c>
      <c r="J841" s="16" t="str">
        <f>IFERROR(__xludf.DUMMYFUNCTION("FILTER('CLASFICACIÓN'!$F$3:$F5618,'CLASFICACIÓN'!$G$3:$G5618=M841)"),"SOLO 2024")</f>
        <v>SOLO 2024</v>
      </c>
      <c r="K841" s="16"/>
      <c r="L841" s="12" t="s">
        <v>87</v>
      </c>
      <c r="M841" s="16" t="str">
        <f t="shared" si="1"/>
        <v>CORAS2 Secundaria</v>
      </c>
      <c r="N841" s="17"/>
      <c r="O841" s="17"/>
      <c r="P841" s="17"/>
      <c r="Q841" s="17"/>
      <c r="R841" s="17"/>
      <c r="S841" s="17"/>
      <c r="T841" s="17"/>
    </row>
    <row r="842" ht="15.75" customHeight="1">
      <c r="A842" s="18">
        <v>13.0</v>
      </c>
      <c r="B842" s="12" t="s">
        <v>84</v>
      </c>
      <c r="C842" s="12" t="s">
        <v>27</v>
      </c>
      <c r="D842" s="19" t="s">
        <v>28</v>
      </c>
      <c r="E842" s="12" t="str">
        <f>IFERROR(__xludf.DUMMYFUNCTION("FILTER(colegios!$B$2:$B5618,colegios!$A$2:$A5618=L842)"),"CORAS")</f>
        <v>CORAS</v>
      </c>
      <c r="F842" s="14" t="s">
        <v>16</v>
      </c>
      <c r="G842" s="19" t="s">
        <v>17</v>
      </c>
      <c r="H842" s="12" t="s">
        <v>18</v>
      </c>
      <c r="I842" s="15">
        <v>2024.0</v>
      </c>
      <c r="J842" s="16" t="str">
        <f>IFERROR(__xludf.DUMMYFUNCTION("FILTER('CLASFICACIÓN'!$F$3:$F5618,'CLASFICACIÓN'!$G$3:$G5618=M842)"),"SOLO 2024")</f>
        <v>SOLO 2024</v>
      </c>
      <c r="K842" s="16"/>
      <c r="L842" s="12" t="s">
        <v>87</v>
      </c>
      <c r="M842" s="16" t="str">
        <f t="shared" si="1"/>
        <v>CORAS2 Secundaria</v>
      </c>
      <c r="N842" s="17"/>
      <c r="O842" s="17"/>
      <c r="P842" s="17"/>
      <c r="Q842" s="17"/>
      <c r="R842" s="17"/>
      <c r="S842" s="17"/>
      <c r="T842" s="17"/>
    </row>
    <row r="843" ht="15.75" customHeight="1">
      <c r="A843" s="18">
        <v>14.0</v>
      </c>
      <c r="B843" s="12" t="s">
        <v>84</v>
      </c>
      <c r="C843" s="12" t="s">
        <v>27</v>
      </c>
      <c r="D843" s="19" t="s">
        <v>28</v>
      </c>
      <c r="E843" s="12" t="str">
        <f>IFERROR(__xludf.DUMMYFUNCTION("FILTER(colegios!$B$2:$B5618,colegios!$A$2:$A5618=L843)"),"CORAS")</f>
        <v>CORAS</v>
      </c>
      <c r="F843" s="14" t="s">
        <v>16</v>
      </c>
      <c r="G843" s="20" t="s">
        <v>17</v>
      </c>
      <c r="H843" s="12" t="s">
        <v>18</v>
      </c>
      <c r="I843" s="15">
        <v>2024.0</v>
      </c>
      <c r="J843" s="16" t="str">
        <f>IFERROR(__xludf.DUMMYFUNCTION("FILTER('CLASFICACIÓN'!$F$3:$F5618,'CLASFICACIÓN'!$G$3:$G5618=M843)"),"SOLO 2024")</f>
        <v>SOLO 2024</v>
      </c>
      <c r="K843" s="16"/>
      <c r="L843" s="12" t="s">
        <v>87</v>
      </c>
      <c r="M843" s="16" t="str">
        <f t="shared" si="1"/>
        <v>CORAS2 Secundaria</v>
      </c>
      <c r="N843" s="17"/>
      <c r="O843" s="17"/>
      <c r="P843" s="17"/>
      <c r="Q843" s="17"/>
      <c r="R843" s="17"/>
      <c r="S843" s="17"/>
      <c r="T843" s="17"/>
    </row>
    <row r="844" ht="15.75" customHeight="1">
      <c r="A844" s="18">
        <v>15.0</v>
      </c>
      <c r="B844" s="12" t="s">
        <v>84</v>
      </c>
      <c r="C844" s="12" t="s">
        <v>27</v>
      </c>
      <c r="D844" s="19" t="s">
        <v>28</v>
      </c>
      <c r="E844" s="12" t="str">
        <f>IFERROR(__xludf.DUMMYFUNCTION("FILTER(colegios!$B$2:$B5618,colegios!$A$2:$A5618=L844)"),"CORAS")</f>
        <v>CORAS</v>
      </c>
      <c r="F844" s="14" t="s">
        <v>16</v>
      </c>
      <c r="G844" s="20" t="s">
        <v>21</v>
      </c>
      <c r="H844" s="12" t="s">
        <v>18</v>
      </c>
      <c r="I844" s="15">
        <v>2024.0</v>
      </c>
      <c r="J844" s="16" t="str">
        <f>IFERROR(__xludf.DUMMYFUNCTION("FILTER('CLASFICACIÓN'!$F$3:$F5618,'CLASFICACIÓN'!$G$3:$G5618=M844)"),"SOLO 2024")</f>
        <v>SOLO 2024</v>
      </c>
      <c r="K844" s="16"/>
      <c r="L844" s="12" t="s">
        <v>87</v>
      </c>
      <c r="M844" s="16" t="str">
        <f t="shared" si="1"/>
        <v>CORAS2 Secundaria</v>
      </c>
      <c r="N844" s="17"/>
      <c r="O844" s="17"/>
      <c r="P844" s="17"/>
      <c r="Q844" s="17"/>
      <c r="R844" s="17"/>
      <c r="S844" s="17"/>
      <c r="T844" s="17"/>
    </row>
    <row r="845" ht="15.75" customHeight="1">
      <c r="A845" s="18">
        <v>16.0</v>
      </c>
      <c r="B845" s="12" t="s">
        <v>84</v>
      </c>
      <c r="C845" s="12" t="s">
        <v>27</v>
      </c>
      <c r="D845" s="19" t="s">
        <v>28</v>
      </c>
      <c r="E845" s="12" t="str">
        <f>IFERROR(__xludf.DUMMYFUNCTION("FILTER(colegios!$B$2:$B5618,colegios!$A$2:$A5618=L845)"),"CORAS")</f>
        <v>CORAS</v>
      </c>
      <c r="F845" s="14" t="s">
        <v>16</v>
      </c>
      <c r="G845" s="19" t="s">
        <v>21</v>
      </c>
      <c r="H845" s="12" t="s">
        <v>18</v>
      </c>
      <c r="I845" s="15">
        <v>2024.0</v>
      </c>
      <c r="J845" s="16" t="str">
        <f>IFERROR(__xludf.DUMMYFUNCTION("FILTER('CLASFICACIÓN'!$F$3:$F5618,'CLASFICACIÓN'!$G$3:$G5618=M845)"),"SOLO 2024")</f>
        <v>SOLO 2024</v>
      </c>
      <c r="K845" s="16"/>
      <c r="L845" s="12" t="s">
        <v>87</v>
      </c>
      <c r="M845" s="16" t="str">
        <f t="shared" si="1"/>
        <v>CORAS2 Secundaria</v>
      </c>
      <c r="N845" s="17"/>
      <c r="O845" s="17"/>
      <c r="P845" s="17"/>
      <c r="Q845" s="17"/>
      <c r="R845" s="17"/>
      <c r="S845" s="17"/>
      <c r="T845" s="17"/>
    </row>
    <row r="846" ht="15.75" customHeight="1">
      <c r="A846" s="18">
        <v>17.0</v>
      </c>
      <c r="B846" s="12" t="s">
        <v>84</v>
      </c>
      <c r="C846" s="12" t="s">
        <v>27</v>
      </c>
      <c r="D846" s="19" t="s">
        <v>28</v>
      </c>
      <c r="E846" s="12" t="str">
        <f>IFERROR(__xludf.DUMMYFUNCTION("FILTER(colegios!$B$2:$B5618,colegios!$A$2:$A5618=L846)"),"CORAS")</f>
        <v>CORAS</v>
      </c>
      <c r="F846" s="14" t="s">
        <v>16</v>
      </c>
      <c r="G846" s="19" t="s">
        <v>17</v>
      </c>
      <c r="H846" s="12" t="s">
        <v>18</v>
      </c>
      <c r="I846" s="15">
        <v>2024.0</v>
      </c>
      <c r="J846" s="16" t="str">
        <f>IFERROR(__xludf.DUMMYFUNCTION("FILTER('CLASFICACIÓN'!$F$3:$F5618,'CLASFICACIÓN'!$G$3:$G5618=M846)"),"SOLO 2024")</f>
        <v>SOLO 2024</v>
      </c>
      <c r="K846" s="16"/>
      <c r="L846" s="12" t="s">
        <v>87</v>
      </c>
      <c r="M846" s="16" t="str">
        <f t="shared" si="1"/>
        <v>CORAS2 Secundaria</v>
      </c>
      <c r="N846" s="17"/>
      <c r="O846" s="17"/>
      <c r="P846" s="17"/>
      <c r="Q846" s="17"/>
      <c r="R846" s="17"/>
      <c r="S846" s="17"/>
      <c r="T846" s="17"/>
    </row>
    <row r="847" ht="15.75" customHeight="1">
      <c r="A847" s="18">
        <v>18.0</v>
      </c>
      <c r="B847" s="12" t="s">
        <v>84</v>
      </c>
      <c r="C847" s="12" t="s">
        <v>27</v>
      </c>
      <c r="D847" s="19" t="s">
        <v>28</v>
      </c>
      <c r="E847" s="12" t="str">
        <f>IFERROR(__xludf.DUMMYFUNCTION("FILTER(colegios!$B$2:$B5618,colegios!$A$2:$A5618=L847)"),"CORAS")</f>
        <v>CORAS</v>
      </c>
      <c r="F847" s="14" t="s">
        <v>16</v>
      </c>
      <c r="G847" s="19" t="s">
        <v>17</v>
      </c>
      <c r="H847" s="12" t="s">
        <v>18</v>
      </c>
      <c r="I847" s="15">
        <v>2024.0</v>
      </c>
      <c r="J847" s="16" t="str">
        <f>IFERROR(__xludf.DUMMYFUNCTION("FILTER('CLASFICACIÓN'!$F$3:$F5618,'CLASFICACIÓN'!$G$3:$G5618=M847)"),"SOLO 2024")</f>
        <v>SOLO 2024</v>
      </c>
      <c r="K847" s="16"/>
      <c r="L847" s="12" t="s">
        <v>87</v>
      </c>
      <c r="M847" s="16" t="str">
        <f t="shared" si="1"/>
        <v>CORAS2 Secundaria</v>
      </c>
      <c r="N847" s="17"/>
      <c r="O847" s="17"/>
      <c r="P847" s="17"/>
      <c r="Q847" s="17"/>
      <c r="R847" s="17"/>
      <c r="S847" s="17"/>
      <c r="T847" s="17"/>
    </row>
    <row r="848" ht="15.75" customHeight="1">
      <c r="A848" s="18">
        <v>19.0</v>
      </c>
      <c r="B848" s="12" t="s">
        <v>84</v>
      </c>
      <c r="C848" s="12" t="s">
        <v>27</v>
      </c>
      <c r="D848" s="19" t="s">
        <v>28</v>
      </c>
      <c r="E848" s="12" t="str">
        <f>IFERROR(__xludf.DUMMYFUNCTION("FILTER(colegios!$B$2:$B5618,colegios!$A$2:$A5618=L848)"),"CORAS")</f>
        <v>CORAS</v>
      </c>
      <c r="F848" s="14" t="s">
        <v>16</v>
      </c>
      <c r="G848" s="20" t="s">
        <v>17</v>
      </c>
      <c r="H848" s="12" t="s">
        <v>18</v>
      </c>
      <c r="I848" s="15">
        <v>2024.0</v>
      </c>
      <c r="J848" s="16" t="str">
        <f>IFERROR(__xludf.DUMMYFUNCTION("FILTER('CLASFICACIÓN'!$F$3:$F5618,'CLASFICACIÓN'!$G$3:$G5618=M848)"),"SOLO 2024")</f>
        <v>SOLO 2024</v>
      </c>
      <c r="K848" s="16"/>
      <c r="L848" s="12" t="s">
        <v>87</v>
      </c>
      <c r="M848" s="16" t="str">
        <f t="shared" si="1"/>
        <v>CORAS2 Secundaria</v>
      </c>
      <c r="N848" s="17"/>
      <c r="O848" s="17"/>
      <c r="P848" s="17"/>
      <c r="Q848" s="17"/>
      <c r="R848" s="17"/>
      <c r="S848" s="17"/>
      <c r="T848" s="17"/>
    </row>
    <row r="849" ht="15.75" customHeight="1">
      <c r="A849" s="18">
        <v>20.0</v>
      </c>
      <c r="B849" s="12" t="s">
        <v>84</v>
      </c>
      <c r="C849" s="12" t="s">
        <v>27</v>
      </c>
      <c r="D849" s="19" t="s">
        <v>28</v>
      </c>
      <c r="E849" s="12" t="str">
        <f>IFERROR(__xludf.DUMMYFUNCTION("FILTER(colegios!$B$2:$B5618,colegios!$A$2:$A5618=L849)"),"CORAS")</f>
        <v>CORAS</v>
      </c>
      <c r="F849" s="14" t="s">
        <v>16</v>
      </c>
      <c r="G849" s="20" t="s">
        <v>21</v>
      </c>
      <c r="H849" s="12" t="s">
        <v>18</v>
      </c>
      <c r="I849" s="15">
        <v>2024.0</v>
      </c>
      <c r="J849" s="16" t="str">
        <f>IFERROR(__xludf.DUMMYFUNCTION("FILTER('CLASFICACIÓN'!$F$3:$F5618,'CLASFICACIÓN'!$G$3:$G5618=M849)"),"SOLO 2024")</f>
        <v>SOLO 2024</v>
      </c>
      <c r="K849" s="16"/>
      <c r="L849" s="12" t="s">
        <v>87</v>
      </c>
      <c r="M849" s="16" t="str">
        <f t="shared" si="1"/>
        <v>CORAS2 Secundaria</v>
      </c>
      <c r="N849" s="17"/>
      <c r="O849" s="17"/>
      <c r="P849" s="17"/>
      <c r="Q849" s="17"/>
      <c r="R849" s="17"/>
      <c r="S849" s="17"/>
      <c r="T849" s="17"/>
    </row>
    <row r="850" ht="15.75" customHeight="1">
      <c r="A850" s="18">
        <v>21.0</v>
      </c>
      <c r="B850" s="12" t="s">
        <v>84</v>
      </c>
      <c r="C850" s="12" t="s">
        <v>27</v>
      </c>
      <c r="D850" s="19" t="s">
        <v>28</v>
      </c>
      <c r="E850" s="12" t="str">
        <f>IFERROR(__xludf.DUMMYFUNCTION("FILTER(colegios!$B$2:$B5618,colegios!$A$2:$A5618=L850)"),"CORAS")</f>
        <v>CORAS</v>
      </c>
      <c r="F850" s="14" t="s">
        <v>16</v>
      </c>
      <c r="G850" s="19" t="s">
        <v>17</v>
      </c>
      <c r="H850" s="12" t="s">
        <v>18</v>
      </c>
      <c r="I850" s="15">
        <v>2024.0</v>
      </c>
      <c r="J850" s="16" t="str">
        <f>IFERROR(__xludf.DUMMYFUNCTION("FILTER('CLASFICACIÓN'!$F$3:$F5618,'CLASFICACIÓN'!$G$3:$G5618=M850)"),"SOLO 2024")</f>
        <v>SOLO 2024</v>
      </c>
      <c r="K850" s="16"/>
      <c r="L850" s="12" t="s">
        <v>87</v>
      </c>
      <c r="M850" s="16" t="str">
        <f t="shared" si="1"/>
        <v>CORAS2 Secundaria</v>
      </c>
      <c r="N850" s="17"/>
      <c r="O850" s="17"/>
      <c r="P850" s="17"/>
      <c r="Q850" s="17"/>
      <c r="R850" s="17"/>
      <c r="S850" s="17"/>
      <c r="T850" s="17"/>
    </row>
    <row r="851" ht="15.75" customHeight="1">
      <c r="A851" s="18">
        <v>22.0</v>
      </c>
      <c r="B851" s="12" t="s">
        <v>84</v>
      </c>
      <c r="C851" s="12" t="s">
        <v>27</v>
      </c>
      <c r="D851" s="19" t="s">
        <v>28</v>
      </c>
      <c r="E851" s="12" t="str">
        <f>IFERROR(__xludf.DUMMYFUNCTION("FILTER(colegios!$B$2:$B5618,colegios!$A$2:$A5618=L851)"),"CORAS")</f>
        <v>CORAS</v>
      </c>
      <c r="F851" s="14" t="s">
        <v>16</v>
      </c>
      <c r="G851" s="19" t="s">
        <v>17</v>
      </c>
      <c r="H851" s="12" t="s">
        <v>18</v>
      </c>
      <c r="I851" s="15">
        <v>2024.0</v>
      </c>
      <c r="J851" s="16" t="str">
        <f>IFERROR(__xludf.DUMMYFUNCTION("FILTER('CLASFICACIÓN'!$F$3:$F5618,'CLASFICACIÓN'!$G$3:$G5618=M851)"),"SOLO 2024")</f>
        <v>SOLO 2024</v>
      </c>
      <c r="K851" s="16"/>
      <c r="L851" s="12" t="s">
        <v>87</v>
      </c>
      <c r="M851" s="16" t="str">
        <f t="shared" si="1"/>
        <v>CORAS2 Secundaria</v>
      </c>
      <c r="N851" s="17"/>
      <c r="O851" s="17"/>
      <c r="P851" s="17"/>
      <c r="Q851" s="17"/>
      <c r="R851" s="17"/>
      <c r="S851" s="17"/>
      <c r="T851" s="17"/>
    </row>
    <row r="852" ht="15.75" customHeight="1">
      <c r="A852" s="18">
        <v>23.0</v>
      </c>
      <c r="B852" s="12" t="s">
        <v>84</v>
      </c>
      <c r="C852" s="12" t="s">
        <v>27</v>
      </c>
      <c r="D852" s="19" t="s">
        <v>28</v>
      </c>
      <c r="E852" s="12" t="str">
        <f>IFERROR(__xludf.DUMMYFUNCTION("FILTER(colegios!$B$2:$B5618,colegios!$A$2:$A5618=L852)"),"CORAS")</f>
        <v>CORAS</v>
      </c>
      <c r="F852" s="14" t="s">
        <v>16</v>
      </c>
      <c r="G852" s="20" t="s">
        <v>17</v>
      </c>
      <c r="H852" s="12" t="s">
        <v>18</v>
      </c>
      <c r="I852" s="15">
        <v>2024.0</v>
      </c>
      <c r="J852" s="16" t="str">
        <f>IFERROR(__xludf.DUMMYFUNCTION("FILTER('CLASFICACIÓN'!$F$3:$F5618,'CLASFICACIÓN'!$G$3:$G5618=M852)"),"SOLO 2024")</f>
        <v>SOLO 2024</v>
      </c>
      <c r="K852" s="16"/>
      <c r="L852" s="12" t="s">
        <v>87</v>
      </c>
      <c r="M852" s="16" t="str">
        <f t="shared" si="1"/>
        <v>CORAS2 Secundaria</v>
      </c>
      <c r="N852" s="17"/>
      <c r="O852" s="17"/>
      <c r="P852" s="17"/>
      <c r="Q852" s="17"/>
      <c r="R852" s="17"/>
      <c r="S852" s="17"/>
      <c r="T852" s="17"/>
    </row>
    <row r="853" ht="15.75" customHeight="1">
      <c r="A853" s="18">
        <v>24.0</v>
      </c>
      <c r="B853" s="12" t="s">
        <v>84</v>
      </c>
      <c r="C853" s="12" t="s">
        <v>27</v>
      </c>
      <c r="D853" s="19" t="s">
        <v>28</v>
      </c>
      <c r="E853" s="12" t="str">
        <f>IFERROR(__xludf.DUMMYFUNCTION("FILTER(colegios!$B$2:$B5618,colegios!$A$2:$A5618=L853)"),"CORAS")</f>
        <v>CORAS</v>
      </c>
      <c r="F853" s="14" t="s">
        <v>16</v>
      </c>
      <c r="G853" s="20" t="s">
        <v>21</v>
      </c>
      <c r="H853" s="12" t="s">
        <v>18</v>
      </c>
      <c r="I853" s="15">
        <v>2024.0</v>
      </c>
      <c r="J853" s="16" t="str">
        <f>IFERROR(__xludf.DUMMYFUNCTION("FILTER('CLASFICACIÓN'!$F$3:$F5618,'CLASFICACIÓN'!$G$3:$G5618=M853)"),"SOLO 2024")</f>
        <v>SOLO 2024</v>
      </c>
      <c r="K853" s="16"/>
      <c r="L853" s="12" t="s">
        <v>87</v>
      </c>
      <c r="M853" s="16" t="str">
        <f t="shared" si="1"/>
        <v>CORAS2 Secundaria</v>
      </c>
      <c r="N853" s="17"/>
      <c r="O853" s="17"/>
      <c r="P853" s="17"/>
      <c r="Q853" s="17"/>
      <c r="R853" s="17"/>
      <c r="S853" s="17"/>
      <c r="T853" s="17"/>
    </row>
    <row r="854" ht="15.75" customHeight="1">
      <c r="A854" s="18">
        <v>25.0</v>
      </c>
      <c r="B854" s="12" t="s">
        <v>84</v>
      </c>
      <c r="C854" s="12" t="s">
        <v>27</v>
      </c>
      <c r="D854" s="19" t="s">
        <v>28</v>
      </c>
      <c r="E854" s="12" t="str">
        <f>IFERROR(__xludf.DUMMYFUNCTION("FILTER(colegios!$B$2:$B5618,colegios!$A$2:$A5618=L854)"),"CORAS")</f>
        <v>CORAS</v>
      </c>
      <c r="F854" s="14" t="s">
        <v>16</v>
      </c>
      <c r="G854" s="19" t="s">
        <v>21</v>
      </c>
      <c r="H854" s="12" t="s">
        <v>18</v>
      </c>
      <c r="I854" s="15">
        <v>2024.0</v>
      </c>
      <c r="J854" s="16" t="str">
        <f>IFERROR(__xludf.DUMMYFUNCTION("FILTER('CLASFICACIÓN'!$F$3:$F5618,'CLASFICACIÓN'!$G$3:$G5618=M854)"),"SOLO 2024")</f>
        <v>SOLO 2024</v>
      </c>
      <c r="K854" s="16"/>
      <c r="L854" s="12" t="s">
        <v>87</v>
      </c>
      <c r="M854" s="16" t="str">
        <f t="shared" si="1"/>
        <v>CORAS2 Secundaria</v>
      </c>
      <c r="N854" s="17"/>
      <c r="O854" s="17"/>
      <c r="P854" s="17"/>
      <c r="Q854" s="17"/>
      <c r="R854" s="17"/>
      <c r="S854" s="17"/>
      <c r="T854" s="17"/>
    </row>
    <row r="855" ht="15.75" customHeight="1">
      <c r="A855" s="18">
        <v>26.0</v>
      </c>
      <c r="B855" s="12" t="s">
        <v>84</v>
      </c>
      <c r="C855" s="12" t="s">
        <v>27</v>
      </c>
      <c r="D855" s="19" t="s">
        <v>30</v>
      </c>
      <c r="E855" s="12" t="str">
        <f>IFERROR(__xludf.DUMMYFUNCTION("FILTER(colegios!$B$2:$B5618,colegios!$A$2:$A5618=L855)"),"CORAS")</f>
        <v>CORAS</v>
      </c>
      <c r="F855" s="14" t="s">
        <v>16</v>
      </c>
      <c r="G855" s="20" t="s">
        <v>17</v>
      </c>
      <c r="H855" s="12" t="s">
        <v>24</v>
      </c>
      <c r="I855" s="15">
        <v>2024.0</v>
      </c>
      <c r="J855" s="16" t="str">
        <f>IFERROR(__xludf.DUMMYFUNCTION("FILTER('CLASFICACIÓN'!$F$3:$F5618,'CLASFICACIÓN'!$G$3:$G5618=M855)"),"SOLO 2024")</f>
        <v>SOLO 2024</v>
      </c>
      <c r="K855" s="16"/>
      <c r="L855" s="12" t="s">
        <v>87</v>
      </c>
      <c r="M855" s="16" t="str">
        <f t="shared" si="1"/>
        <v>CORAS4 Secundaria</v>
      </c>
      <c r="N855" s="17"/>
      <c r="O855" s="17"/>
      <c r="P855" s="17"/>
      <c r="Q855" s="17"/>
      <c r="R855" s="17"/>
      <c r="S855" s="17"/>
      <c r="T855" s="17"/>
    </row>
    <row r="856" ht="15.75" customHeight="1">
      <c r="A856" s="18">
        <v>27.0</v>
      </c>
      <c r="B856" s="12" t="s">
        <v>84</v>
      </c>
      <c r="C856" s="12" t="s">
        <v>27</v>
      </c>
      <c r="D856" s="19" t="s">
        <v>30</v>
      </c>
      <c r="E856" s="12" t="str">
        <f>IFERROR(__xludf.DUMMYFUNCTION("FILTER(colegios!$B$2:$B5618,colegios!$A$2:$A5618=L856)"),"CORAS")</f>
        <v>CORAS</v>
      </c>
      <c r="F856" s="14" t="s">
        <v>16</v>
      </c>
      <c r="G856" s="20" t="s">
        <v>21</v>
      </c>
      <c r="H856" s="12" t="s">
        <v>24</v>
      </c>
      <c r="I856" s="15">
        <v>2024.0</v>
      </c>
      <c r="J856" s="16" t="str">
        <f>IFERROR(__xludf.DUMMYFUNCTION("FILTER('CLASFICACIÓN'!$F$3:$F5618,'CLASFICACIÓN'!$G$3:$G5618=M856)"),"SOLO 2024")</f>
        <v>SOLO 2024</v>
      </c>
      <c r="K856" s="16"/>
      <c r="L856" s="12" t="s">
        <v>87</v>
      </c>
      <c r="M856" s="16" t="str">
        <f t="shared" si="1"/>
        <v>CORAS4 Secundaria</v>
      </c>
      <c r="N856" s="17"/>
      <c r="O856" s="17"/>
      <c r="P856" s="17"/>
      <c r="Q856" s="17"/>
      <c r="R856" s="17"/>
      <c r="S856" s="17"/>
      <c r="T856" s="17"/>
    </row>
    <row r="857" ht="15.75" customHeight="1">
      <c r="A857" s="18">
        <v>28.0</v>
      </c>
      <c r="B857" s="12" t="s">
        <v>84</v>
      </c>
      <c r="C857" s="12" t="s">
        <v>27</v>
      </c>
      <c r="D857" s="19" t="s">
        <v>30</v>
      </c>
      <c r="E857" s="12" t="str">
        <f>IFERROR(__xludf.DUMMYFUNCTION("FILTER(colegios!$B$2:$B5618,colegios!$A$2:$A5618=L857)"),"CORAS")</f>
        <v>CORAS</v>
      </c>
      <c r="F857" s="14" t="s">
        <v>16</v>
      </c>
      <c r="G857" s="19" t="s">
        <v>17</v>
      </c>
      <c r="H857" s="12" t="s">
        <v>18</v>
      </c>
      <c r="I857" s="15">
        <v>2024.0</v>
      </c>
      <c r="J857" s="16" t="str">
        <f>IFERROR(__xludf.DUMMYFUNCTION("FILTER('CLASFICACIÓN'!$F$3:$F5618,'CLASFICACIÓN'!$G$3:$G5618=M857)"),"SOLO 2024")</f>
        <v>SOLO 2024</v>
      </c>
      <c r="K857" s="16"/>
      <c r="L857" s="12" t="s">
        <v>87</v>
      </c>
      <c r="M857" s="16" t="str">
        <f t="shared" si="1"/>
        <v>CORAS4 Secundaria</v>
      </c>
      <c r="N857" s="17"/>
      <c r="O857" s="17"/>
      <c r="P857" s="17"/>
      <c r="Q857" s="17"/>
      <c r="R857" s="17"/>
      <c r="S857" s="17"/>
      <c r="T857" s="17"/>
    </row>
    <row r="858" ht="15.75" customHeight="1">
      <c r="A858" s="18">
        <v>29.0</v>
      </c>
      <c r="B858" s="12" t="s">
        <v>84</v>
      </c>
      <c r="C858" s="12" t="s">
        <v>27</v>
      </c>
      <c r="D858" s="19" t="s">
        <v>30</v>
      </c>
      <c r="E858" s="12" t="str">
        <f>IFERROR(__xludf.DUMMYFUNCTION("FILTER(colegios!$B$2:$B5618,colegios!$A$2:$A5618=L858)"),"CORAS")</f>
        <v>CORAS</v>
      </c>
      <c r="F858" s="14" t="s">
        <v>16</v>
      </c>
      <c r="G858" s="19" t="s">
        <v>17</v>
      </c>
      <c r="H858" s="12" t="s">
        <v>18</v>
      </c>
      <c r="I858" s="15">
        <v>2024.0</v>
      </c>
      <c r="J858" s="16" t="str">
        <f>IFERROR(__xludf.DUMMYFUNCTION("FILTER('CLASFICACIÓN'!$F$3:$F5618,'CLASFICACIÓN'!$G$3:$G5618=M858)"),"SOLO 2024")</f>
        <v>SOLO 2024</v>
      </c>
      <c r="K858" s="16"/>
      <c r="L858" s="12" t="s">
        <v>87</v>
      </c>
      <c r="M858" s="16" t="str">
        <f t="shared" si="1"/>
        <v>CORAS4 Secundaria</v>
      </c>
      <c r="N858" s="17"/>
      <c r="O858" s="17"/>
      <c r="P858" s="17"/>
      <c r="Q858" s="17"/>
      <c r="R858" s="17"/>
      <c r="S858" s="17"/>
      <c r="T858" s="17"/>
    </row>
    <row r="859" ht="15.75" customHeight="1">
      <c r="A859" s="18">
        <v>30.0</v>
      </c>
      <c r="B859" s="12" t="s">
        <v>84</v>
      </c>
      <c r="C859" s="12" t="s">
        <v>27</v>
      </c>
      <c r="D859" s="19" t="s">
        <v>30</v>
      </c>
      <c r="E859" s="12" t="str">
        <f>IFERROR(__xludf.DUMMYFUNCTION("FILTER(colegios!$B$2:$B5618,colegios!$A$2:$A5618=L859)"),"CORAS")</f>
        <v>CORAS</v>
      </c>
      <c r="F859" s="14" t="s">
        <v>16</v>
      </c>
      <c r="G859" s="19" t="s">
        <v>17</v>
      </c>
      <c r="H859" s="12" t="s">
        <v>18</v>
      </c>
      <c r="I859" s="15">
        <v>2024.0</v>
      </c>
      <c r="J859" s="16" t="str">
        <f>IFERROR(__xludf.DUMMYFUNCTION("FILTER('CLASFICACIÓN'!$F$3:$F5618,'CLASFICACIÓN'!$G$3:$G5618=M859)"),"SOLO 2024")</f>
        <v>SOLO 2024</v>
      </c>
      <c r="K859" s="16"/>
      <c r="L859" s="12" t="s">
        <v>87</v>
      </c>
      <c r="M859" s="16" t="str">
        <f t="shared" si="1"/>
        <v>CORAS4 Secundaria</v>
      </c>
      <c r="N859" s="17"/>
      <c r="O859" s="17"/>
      <c r="P859" s="17"/>
      <c r="Q859" s="17"/>
      <c r="R859" s="17"/>
      <c r="S859" s="17"/>
      <c r="T859" s="17"/>
    </row>
    <row r="860" ht="15.75" customHeight="1">
      <c r="A860" s="18">
        <v>31.0</v>
      </c>
      <c r="B860" s="12" t="s">
        <v>84</v>
      </c>
      <c r="C860" s="12" t="s">
        <v>27</v>
      </c>
      <c r="D860" s="19" t="s">
        <v>30</v>
      </c>
      <c r="E860" s="12" t="str">
        <f>IFERROR(__xludf.DUMMYFUNCTION("FILTER(colegios!$B$2:$B5618,colegios!$A$2:$A5618=L860)"),"CORAS")</f>
        <v>CORAS</v>
      </c>
      <c r="F860" s="14" t="s">
        <v>16</v>
      </c>
      <c r="G860" s="20" t="s">
        <v>21</v>
      </c>
      <c r="H860" s="12" t="s">
        <v>18</v>
      </c>
      <c r="I860" s="15">
        <v>2024.0</v>
      </c>
      <c r="J860" s="16" t="str">
        <f>IFERROR(__xludf.DUMMYFUNCTION("FILTER('CLASFICACIÓN'!$F$3:$F5618,'CLASFICACIÓN'!$G$3:$G5618=M860)"),"SOLO 2024")</f>
        <v>SOLO 2024</v>
      </c>
      <c r="K860" s="16"/>
      <c r="L860" s="12" t="s">
        <v>87</v>
      </c>
      <c r="M860" s="16" t="str">
        <f t="shared" si="1"/>
        <v>CORAS4 Secundaria</v>
      </c>
      <c r="N860" s="17"/>
      <c r="O860" s="17"/>
      <c r="P860" s="17"/>
      <c r="Q860" s="17"/>
      <c r="R860" s="17"/>
      <c r="S860" s="17"/>
      <c r="T860" s="17"/>
    </row>
    <row r="861" ht="15.75" customHeight="1">
      <c r="A861" s="18">
        <v>32.0</v>
      </c>
      <c r="B861" s="12" t="s">
        <v>84</v>
      </c>
      <c r="C861" s="12" t="s">
        <v>27</v>
      </c>
      <c r="D861" s="19" t="s">
        <v>30</v>
      </c>
      <c r="E861" s="12" t="str">
        <f>IFERROR(__xludf.DUMMYFUNCTION("FILTER(colegios!$B$2:$B5618,colegios!$A$2:$A5618=L861)"),"CORAS")</f>
        <v>CORAS</v>
      </c>
      <c r="F861" s="14" t="s">
        <v>16</v>
      </c>
      <c r="G861" s="20" t="s">
        <v>21</v>
      </c>
      <c r="H861" s="12" t="s">
        <v>24</v>
      </c>
      <c r="I861" s="15">
        <v>2024.0</v>
      </c>
      <c r="J861" s="16" t="str">
        <f>IFERROR(__xludf.DUMMYFUNCTION("FILTER('CLASFICACIÓN'!$F$3:$F5618,'CLASFICACIÓN'!$G$3:$G5618=M861)"),"SOLO 2024")</f>
        <v>SOLO 2024</v>
      </c>
      <c r="K861" s="16"/>
      <c r="L861" s="12" t="s">
        <v>87</v>
      </c>
      <c r="M861" s="16" t="str">
        <f t="shared" si="1"/>
        <v>CORAS4 Secundaria</v>
      </c>
      <c r="N861" s="17"/>
      <c r="O861" s="17"/>
      <c r="P861" s="17"/>
      <c r="Q861" s="17"/>
      <c r="R861" s="17"/>
      <c r="S861" s="17"/>
      <c r="T861" s="17"/>
    </row>
    <row r="862" ht="15.75" customHeight="1">
      <c r="A862" s="18">
        <v>33.0</v>
      </c>
      <c r="B862" s="12" t="s">
        <v>84</v>
      </c>
      <c r="C862" s="12" t="s">
        <v>27</v>
      </c>
      <c r="D862" s="19" t="s">
        <v>30</v>
      </c>
      <c r="E862" s="12" t="str">
        <f>IFERROR(__xludf.DUMMYFUNCTION("FILTER(colegios!$B$2:$B5618,colegios!$A$2:$A5618=L862)"),"CORAS")</f>
        <v>CORAS</v>
      </c>
      <c r="F862" s="14" t="s">
        <v>16</v>
      </c>
      <c r="G862" s="20" t="s">
        <v>21</v>
      </c>
      <c r="H862" s="12" t="s">
        <v>24</v>
      </c>
      <c r="I862" s="15">
        <v>2024.0</v>
      </c>
      <c r="J862" s="16" t="str">
        <f>IFERROR(__xludf.DUMMYFUNCTION("FILTER('CLASFICACIÓN'!$F$3:$F5618,'CLASFICACIÓN'!$G$3:$G5618=M862)"),"SOLO 2024")</f>
        <v>SOLO 2024</v>
      </c>
      <c r="K862" s="16"/>
      <c r="L862" s="12" t="s">
        <v>87</v>
      </c>
      <c r="M862" s="16" t="str">
        <f t="shared" si="1"/>
        <v>CORAS4 Secundaria</v>
      </c>
      <c r="N862" s="17"/>
      <c r="O862" s="17"/>
      <c r="P862" s="17"/>
      <c r="Q862" s="17"/>
      <c r="R862" s="17"/>
      <c r="S862" s="17"/>
      <c r="T862" s="17"/>
    </row>
    <row r="863" ht="15.75" customHeight="1">
      <c r="A863" s="18">
        <v>34.0</v>
      </c>
      <c r="B863" s="12" t="s">
        <v>84</v>
      </c>
      <c r="C863" s="12" t="s">
        <v>27</v>
      </c>
      <c r="D863" s="19" t="s">
        <v>30</v>
      </c>
      <c r="E863" s="12" t="str">
        <f>IFERROR(__xludf.DUMMYFUNCTION("FILTER(colegios!$B$2:$B5618,colegios!$A$2:$A5618=L863)"),"CORAS")</f>
        <v>CORAS</v>
      </c>
      <c r="F863" s="14" t="s">
        <v>16</v>
      </c>
      <c r="G863" s="20" t="s">
        <v>21</v>
      </c>
      <c r="H863" s="12" t="s">
        <v>18</v>
      </c>
      <c r="I863" s="15">
        <v>2024.0</v>
      </c>
      <c r="J863" s="16" t="str">
        <f>IFERROR(__xludf.DUMMYFUNCTION("FILTER('CLASFICACIÓN'!$F$3:$F5618,'CLASFICACIÓN'!$G$3:$G5618=M863)"),"SOLO 2024")</f>
        <v>SOLO 2024</v>
      </c>
      <c r="K863" s="16"/>
      <c r="L863" s="12" t="s">
        <v>87</v>
      </c>
      <c r="M863" s="16" t="str">
        <f t="shared" si="1"/>
        <v>CORAS4 Secundaria</v>
      </c>
      <c r="N863" s="17"/>
      <c r="O863" s="17"/>
      <c r="P863" s="17"/>
      <c r="Q863" s="17"/>
      <c r="R863" s="17"/>
      <c r="S863" s="17"/>
      <c r="T863" s="17"/>
    </row>
    <row r="864" ht="15.75" customHeight="1">
      <c r="A864" s="18">
        <v>35.0</v>
      </c>
      <c r="B864" s="12" t="s">
        <v>84</v>
      </c>
      <c r="C864" s="12" t="s">
        <v>27</v>
      </c>
      <c r="D864" s="19" t="s">
        <v>30</v>
      </c>
      <c r="E864" s="12" t="str">
        <f>IFERROR(__xludf.DUMMYFUNCTION("FILTER(colegios!$B$2:$B5618,colegios!$A$2:$A5618=L864)"),"CORAS")</f>
        <v>CORAS</v>
      </c>
      <c r="F864" s="14" t="s">
        <v>16</v>
      </c>
      <c r="G864" s="19" t="s">
        <v>21</v>
      </c>
      <c r="H864" s="12" t="s">
        <v>18</v>
      </c>
      <c r="I864" s="15">
        <v>2024.0</v>
      </c>
      <c r="J864" s="16" t="str">
        <f>IFERROR(__xludf.DUMMYFUNCTION("FILTER('CLASFICACIÓN'!$F$3:$F5618,'CLASFICACIÓN'!$G$3:$G5618=M864)"),"SOLO 2024")</f>
        <v>SOLO 2024</v>
      </c>
      <c r="K864" s="16"/>
      <c r="L864" s="12" t="s">
        <v>87</v>
      </c>
      <c r="M864" s="16" t="str">
        <f t="shared" si="1"/>
        <v>CORAS4 Secundaria</v>
      </c>
      <c r="N864" s="17"/>
      <c r="O864" s="17"/>
      <c r="P864" s="17"/>
      <c r="Q864" s="17"/>
      <c r="R864" s="17"/>
      <c r="S864" s="17"/>
      <c r="T864" s="17"/>
    </row>
    <row r="865" ht="15.75" customHeight="1">
      <c r="A865" s="18">
        <v>36.0</v>
      </c>
      <c r="B865" s="12" t="s">
        <v>84</v>
      </c>
      <c r="C865" s="12" t="s">
        <v>27</v>
      </c>
      <c r="D865" s="19" t="s">
        <v>30</v>
      </c>
      <c r="E865" s="12" t="str">
        <f>IFERROR(__xludf.DUMMYFUNCTION("FILTER(colegios!$B$2:$B5618,colegios!$A$2:$A5618=L865)"),"CORAS")</f>
        <v>CORAS</v>
      </c>
      <c r="F865" s="14" t="s">
        <v>16</v>
      </c>
      <c r="G865" s="19" t="s">
        <v>21</v>
      </c>
      <c r="H865" s="12" t="s">
        <v>18</v>
      </c>
      <c r="I865" s="15">
        <v>2024.0</v>
      </c>
      <c r="J865" s="16" t="str">
        <f>IFERROR(__xludf.DUMMYFUNCTION("FILTER('CLASFICACIÓN'!$F$3:$F5618,'CLASFICACIÓN'!$G$3:$G5618=M865)"),"SOLO 2024")</f>
        <v>SOLO 2024</v>
      </c>
      <c r="K865" s="16"/>
      <c r="L865" s="12" t="s">
        <v>87</v>
      </c>
      <c r="M865" s="16" t="str">
        <f t="shared" si="1"/>
        <v>CORAS4 Secundaria</v>
      </c>
      <c r="N865" s="17"/>
      <c r="O865" s="17"/>
      <c r="P865" s="17"/>
      <c r="Q865" s="17"/>
      <c r="R865" s="17"/>
      <c r="S865" s="17"/>
      <c r="T865" s="17"/>
    </row>
    <row r="866" ht="15.75" customHeight="1">
      <c r="A866" s="18">
        <v>37.0</v>
      </c>
      <c r="B866" s="12" t="s">
        <v>84</v>
      </c>
      <c r="C866" s="12" t="s">
        <v>27</v>
      </c>
      <c r="D866" s="19" t="s">
        <v>30</v>
      </c>
      <c r="E866" s="12" t="str">
        <f>IFERROR(__xludf.DUMMYFUNCTION("FILTER(colegios!$B$2:$B5618,colegios!$A$2:$A5618=L866)"),"CORAS")</f>
        <v>CORAS</v>
      </c>
      <c r="F866" s="14" t="s">
        <v>16</v>
      </c>
      <c r="G866" s="19" t="s">
        <v>17</v>
      </c>
      <c r="H866" s="12" t="s">
        <v>24</v>
      </c>
      <c r="I866" s="15">
        <v>2024.0</v>
      </c>
      <c r="J866" s="16" t="str">
        <f>IFERROR(__xludf.DUMMYFUNCTION("FILTER('CLASFICACIÓN'!$F$3:$F5618,'CLASFICACIÓN'!$G$3:$G5618=M866)"),"SOLO 2024")</f>
        <v>SOLO 2024</v>
      </c>
      <c r="K866" s="16"/>
      <c r="L866" s="12" t="s">
        <v>87</v>
      </c>
      <c r="M866" s="16" t="str">
        <f t="shared" si="1"/>
        <v>CORAS4 Secundaria</v>
      </c>
      <c r="N866" s="17"/>
      <c r="O866" s="17"/>
      <c r="P866" s="17"/>
      <c r="Q866" s="17"/>
      <c r="R866" s="17"/>
      <c r="S866" s="17"/>
      <c r="T866" s="17"/>
    </row>
    <row r="867" ht="15.75" customHeight="1">
      <c r="A867" s="18">
        <v>38.0</v>
      </c>
      <c r="B867" s="12" t="s">
        <v>84</v>
      </c>
      <c r="C867" s="12" t="s">
        <v>27</v>
      </c>
      <c r="D867" s="19" t="s">
        <v>30</v>
      </c>
      <c r="E867" s="12" t="str">
        <f>IFERROR(__xludf.DUMMYFUNCTION("FILTER(colegios!$B$2:$B5618,colegios!$A$2:$A5618=L867)"),"CORAS")</f>
        <v>CORAS</v>
      </c>
      <c r="F867" s="14" t="s">
        <v>16</v>
      </c>
      <c r="G867" s="19" t="s">
        <v>17</v>
      </c>
      <c r="H867" s="12" t="s">
        <v>24</v>
      </c>
      <c r="I867" s="15">
        <v>2024.0</v>
      </c>
      <c r="J867" s="16" t="str">
        <f>IFERROR(__xludf.DUMMYFUNCTION("FILTER('CLASFICACIÓN'!$F$3:$F5618,'CLASFICACIÓN'!$G$3:$G5618=M867)"),"SOLO 2024")</f>
        <v>SOLO 2024</v>
      </c>
      <c r="K867" s="16"/>
      <c r="L867" s="12" t="s">
        <v>87</v>
      </c>
      <c r="M867" s="16" t="str">
        <f t="shared" si="1"/>
        <v>CORAS4 Secundaria</v>
      </c>
      <c r="N867" s="17"/>
      <c r="O867" s="17"/>
      <c r="P867" s="17"/>
      <c r="Q867" s="17"/>
      <c r="R867" s="17"/>
      <c r="S867" s="17"/>
      <c r="T867" s="17"/>
    </row>
    <row r="868" ht="15.75" customHeight="1">
      <c r="A868" s="18">
        <v>39.0</v>
      </c>
      <c r="B868" s="12" t="s">
        <v>84</v>
      </c>
      <c r="C868" s="12" t="s">
        <v>27</v>
      </c>
      <c r="D868" s="19" t="s">
        <v>30</v>
      </c>
      <c r="E868" s="12" t="str">
        <f>IFERROR(__xludf.DUMMYFUNCTION("FILTER(colegios!$B$2:$B5618,colegios!$A$2:$A5618=L868)"),"CORAS")</f>
        <v>CORAS</v>
      </c>
      <c r="F868" s="14" t="s">
        <v>16</v>
      </c>
      <c r="G868" s="19" t="s">
        <v>21</v>
      </c>
      <c r="H868" s="12" t="s">
        <v>24</v>
      </c>
      <c r="I868" s="15">
        <v>2024.0</v>
      </c>
      <c r="J868" s="16" t="str">
        <f>IFERROR(__xludf.DUMMYFUNCTION("FILTER('CLASFICACIÓN'!$F$3:$F5618,'CLASFICACIÓN'!$G$3:$G5618=M868)"),"SOLO 2024")</f>
        <v>SOLO 2024</v>
      </c>
      <c r="K868" s="16"/>
      <c r="L868" s="12" t="s">
        <v>87</v>
      </c>
      <c r="M868" s="16" t="str">
        <f t="shared" si="1"/>
        <v>CORAS4 Secundaria</v>
      </c>
      <c r="N868" s="17"/>
      <c r="O868" s="17"/>
      <c r="P868" s="17"/>
      <c r="Q868" s="17"/>
      <c r="R868" s="17"/>
      <c r="S868" s="17"/>
      <c r="T868" s="17"/>
    </row>
    <row r="869" ht="15.75" customHeight="1">
      <c r="A869" s="18">
        <v>40.0</v>
      </c>
      <c r="B869" s="12" t="s">
        <v>84</v>
      </c>
      <c r="C869" s="12" t="s">
        <v>27</v>
      </c>
      <c r="D869" s="19" t="s">
        <v>30</v>
      </c>
      <c r="E869" s="12" t="str">
        <f>IFERROR(__xludf.DUMMYFUNCTION("FILTER(colegios!$B$2:$B5618,colegios!$A$2:$A5618=L869)"),"CORAS")</f>
        <v>CORAS</v>
      </c>
      <c r="F869" s="14" t="s">
        <v>16</v>
      </c>
      <c r="G869" s="20" t="s">
        <v>17</v>
      </c>
      <c r="H869" s="12" t="s">
        <v>24</v>
      </c>
      <c r="I869" s="15">
        <v>2024.0</v>
      </c>
      <c r="J869" s="16" t="str">
        <f>IFERROR(__xludf.DUMMYFUNCTION("FILTER('CLASFICACIÓN'!$F$3:$F5618,'CLASFICACIÓN'!$G$3:$G5618=M869)"),"SOLO 2024")</f>
        <v>SOLO 2024</v>
      </c>
      <c r="K869" s="16"/>
      <c r="L869" s="12" t="s">
        <v>87</v>
      </c>
      <c r="M869" s="16" t="str">
        <f t="shared" si="1"/>
        <v>CORAS4 Secundaria</v>
      </c>
      <c r="N869" s="17"/>
      <c r="O869" s="17"/>
      <c r="P869" s="17"/>
      <c r="Q869" s="17"/>
      <c r="R869" s="17"/>
      <c r="S869" s="17"/>
      <c r="T869" s="17"/>
    </row>
    <row r="870" ht="15.75" customHeight="1">
      <c r="A870" s="18">
        <v>41.0</v>
      </c>
      <c r="B870" s="12" t="s">
        <v>84</v>
      </c>
      <c r="C870" s="12" t="s">
        <v>27</v>
      </c>
      <c r="D870" s="19" t="s">
        <v>30</v>
      </c>
      <c r="E870" s="12" t="str">
        <f>IFERROR(__xludf.DUMMYFUNCTION("FILTER(colegios!$B$2:$B5618,colegios!$A$2:$A5618=L870)"),"CORAS")</f>
        <v>CORAS</v>
      </c>
      <c r="F870" s="14" t="s">
        <v>16</v>
      </c>
      <c r="G870" s="20" t="s">
        <v>17</v>
      </c>
      <c r="H870" s="12" t="s">
        <v>24</v>
      </c>
      <c r="I870" s="15">
        <v>2024.0</v>
      </c>
      <c r="J870" s="16" t="str">
        <f>IFERROR(__xludf.DUMMYFUNCTION("FILTER('CLASFICACIÓN'!$F$3:$F5618,'CLASFICACIÓN'!$G$3:$G5618=M870)"),"SOLO 2024")</f>
        <v>SOLO 2024</v>
      </c>
      <c r="K870" s="16"/>
      <c r="L870" s="12" t="s">
        <v>87</v>
      </c>
      <c r="M870" s="16" t="str">
        <f t="shared" si="1"/>
        <v>CORAS4 Secundaria</v>
      </c>
      <c r="N870" s="17"/>
      <c r="O870" s="17"/>
      <c r="P870" s="17"/>
      <c r="Q870" s="17"/>
      <c r="R870" s="17"/>
      <c r="S870" s="17"/>
      <c r="T870" s="17"/>
    </row>
    <row r="871" ht="15.75" customHeight="1">
      <c r="A871" s="18">
        <v>42.0</v>
      </c>
      <c r="B871" s="12" t="s">
        <v>84</v>
      </c>
      <c r="C871" s="12" t="s">
        <v>27</v>
      </c>
      <c r="D871" s="19" t="s">
        <v>30</v>
      </c>
      <c r="E871" s="12" t="str">
        <f>IFERROR(__xludf.DUMMYFUNCTION("FILTER(colegios!$B$2:$B5618,colegios!$A$2:$A5618=L871)"),"CORAS")</f>
        <v>CORAS</v>
      </c>
      <c r="F871" s="14" t="s">
        <v>16</v>
      </c>
      <c r="G871" s="19" t="s">
        <v>21</v>
      </c>
      <c r="H871" s="12" t="s">
        <v>24</v>
      </c>
      <c r="I871" s="15">
        <v>2024.0</v>
      </c>
      <c r="J871" s="16" t="str">
        <f>IFERROR(__xludf.DUMMYFUNCTION("FILTER('CLASFICACIÓN'!$F$3:$F5618,'CLASFICACIÓN'!$G$3:$G5618=M871)"),"SOLO 2024")</f>
        <v>SOLO 2024</v>
      </c>
      <c r="K871" s="16"/>
      <c r="L871" s="12" t="s">
        <v>87</v>
      </c>
      <c r="M871" s="16" t="str">
        <f t="shared" si="1"/>
        <v>CORAS4 Secundaria</v>
      </c>
      <c r="N871" s="17"/>
      <c r="O871" s="17"/>
      <c r="P871" s="17"/>
      <c r="Q871" s="17"/>
      <c r="R871" s="17"/>
      <c r="S871" s="17"/>
      <c r="T871" s="17"/>
    </row>
    <row r="872" ht="15.75" customHeight="1">
      <c r="A872" s="18">
        <v>43.0</v>
      </c>
      <c r="B872" s="12" t="s">
        <v>84</v>
      </c>
      <c r="C872" s="12" t="s">
        <v>27</v>
      </c>
      <c r="D872" s="19" t="s">
        <v>30</v>
      </c>
      <c r="E872" s="12" t="str">
        <f>IFERROR(__xludf.DUMMYFUNCTION("FILTER(colegios!$B$2:$B5618,colegios!$A$2:$A5618=L872)"),"CORAS")</f>
        <v>CORAS</v>
      </c>
      <c r="F872" s="14" t="s">
        <v>16</v>
      </c>
      <c r="G872" s="19" t="s">
        <v>17</v>
      </c>
      <c r="H872" s="12" t="s">
        <v>24</v>
      </c>
      <c r="I872" s="15">
        <v>2024.0</v>
      </c>
      <c r="J872" s="16" t="str">
        <f>IFERROR(__xludf.DUMMYFUNCTION("FILTER('CLASFICACIÓN'!$F$3:$F5618,'CLASFICACIÓN'!$G$3:$G5618=M872)"),"SOLO 2024")</f>
        <v>SOLO 2024</v>
      </c>
      <c r="K872" s="16"/>
      <c r="L872" s="12" t="s">
        <v>87</v>
      </c>
      <c r="M872" s="16" t="str">
        <f t="shared" si="1"/>
        <v>CORAS4 Secundaria</v>
      </c>
      <c r="N872" s="17"/>
      <c r="O872" s="17"/>
      <c r="P872" s="17"/>
      <c r="Q872" s="17"/>
      <c r="R872" s="17"/>
      <c r="S872" s="17"/>
      <c r="T872" s="17"/>
    </row>
    <row r="873" ht="15.75" customHeight="1">
      <c r="A873" s="18">
        <v>44.0</v>
      </c>
      <c r="B873" s="12" t="s">
        <v>84</v>
      </c>
      <c r="C873" s="12" t="s">
        <v>27</v>
      </c>
      <c r="D873" s="19" t="s">
        <v>30</v>
      </c>
      <c r="E873" s="12" t="str">
        <f>IFERROR(__xludf.DUMMYFUNCTION("FILTER(colegios!$B$2:$B5618,colegios!$A$2:$A5618=L873)"),"CORAS")</f>
        <v>CORAS</v>
      </c>
      <c r="F873" s="14" t="s">
        <v>16</v>
      </c>
      <c r="G873" s="19" t="s">
        <v>21</v>
      </c>
      <c r="H873" s="12" t="s">
        <v>18</v>
      </c>
      <c r="I873" s="15">
        <v>2024.0</v>
      </c>
      <c r="J873" s="16" t="str">
        <f>IFERROR(__xludf.DUMMYFUNCTION("FILTER('CLASFICACIÓN'!$F$3:$F5618,'CLASFICACIÓN'!$G$3:$G5618=M873)"),"SOLO 2024")</f>
        <v>SOLO 2024</v>
      </c>
      <c r="K873" s="16"/>
      <c r="L873" s="12" t="s">
        <v>87</v>
      </c>
      <c r="M873" s="16" t="str">
        <f t="shared" si="1"/>
        <v>CORAS4 Secundaria</v>
      </c>
      <c r="N873" s="17"/>
      <c r="O873" s="17"/>
      <c r="P873" s="17"/>
      <c r="Q873" s="17"/>
      <c r="R873" s="17"/>
      <c r="S873" s="17"/>
      <c r="T873" s="17"/>
    </row>
    <row r="874" ht="15.75" customHeight="1">
      <c r="A874" s="18">
        <v>45.0</v>
      </c>
      <c r="B874" s="12" t="s">
        <v>84</v>
      </c>
      <c r="C874" s="12" t="s">
        <v>27</v>
      </c>
      <c r="D874" s="19" t="s">
        <v>30</v>
      </c>
      <c r="E874" s="12" t="str">
        <f>IFERROR(__xludf.DUMMYFUNCTION("FILTER(colegios!$B$2:$B5618,colegios!$A$2:$A5618=L874)"),"CORAS")</f>
        <v>CORAS</v>
      </c>
      <c r="F874" s="14" t="s">
        <v>16</v>
      </c>
      <c r="G874" s="20" t="s">
        <v>17</v>
      </c>
      <c r="H874" s="12" t="s">
        <v>24</v>
      </c>
      <c r="I874" s="15">
        <v>2024.0</v>
      </c>
      <c r="J874" s="16" t="str">
        <f>IFERROR(__xludf.DUMMYFUNCTION("FILTER('CLASFICACIÓN'!$F$3:$F5618,'CLASFICACIÓN'!$G$3:$G5618=M874)"),"SOLO 2024")</f>
        <v>SOLO 2024</v>
      </c>
      <c r="K874" s="16"/>
      <c r="L874" s="12" t="s">
        <v>87</v>
      </c>
      <c r="M874" s="16" t="str">
        <f t="shared" si="1"/>
        <v>CORAS4 Secundaria</v>
      </c>
      <c r="N874" s="17"/>
      <c r="O874" s="17"/>
      <c r="P874" s="17"/>
      <c r="Q874" s="17"/>
      <c r="R874" s="17"/>
      <c r="S874" s="17"/>
      <c r="T874" s="17"/>
    </row>
    <row r="875" ht="15.75" customHeight="1">
      <c r="A875" s="18">
        <v>46.0</v>
      </c>
      <c r="B875" s="12" t="s">
        <v>84</v>
      </c>
      <c r="C875" s="12" t="s">
        <v>27</v>
      </c>
      <c r="D875" s="19" t="s">
        <v>30</v>
      </c>
      <c r="E875" s="12" t="str">
        <f>IFERROR(__xludf.DUMMYFUNCTION("FILTER(colegios!$B$2:$B5618,colegios!$A$2:$A5618=L875)"),"CORAS")</f>
        <v>CORAS</v>
      </c>
      <c r="F875" s="14" t="s">
        <v>16</v>
      </c>
      <c r="G875" s="20" t="s">
        <v>21</v>
      </c>
      <c r="H875" s="12" t="s">
        <v>24</v>
      </c>
      <c r="I875" s="15">
        <v>2024.0</v>
      </c>
      <c r="J875" s="16" t="str">
        <f>IFERROR(__xludf.DUMMYFUNCTION("FILTER('CLASFICACIÓN'!$F$3:$F5618,'CLASFICACIÓN'!$G$3:$G5618=M875)"),"SOLO 2024")</f>
        <v>SOLO 2024</v>
      </c>
      <c r="K875" s="16"/>
      <c r="L875" s="12" t="s">
        <v>87</v>
      </c>
      <c r="M875" s="16" t="str">
        <f t="shared" si="1"/>
        <v>CORAS4 Secundaria</v>
      </c>
      <c r="N875" s="17"/>
      <c r="O875" s="17"/>
      <c r="P875" s="17"/>
      <c r="Q875" s="17"/>
      <c r="R875" s="17"/>
      <c r="S875" s="17"/>
      <c r="T875" s="17"/>
    </row>
    <row r="876" ht="15.75" customHeight="1">
      <c r="A876" s="18">
        <v>47.0</v>
      </c>
      <c r="B876" s="12" t="s">
        <v>84</v>
      </c>
      <c r="C876" s="12" t="s">
        <v>27</v>
      </c>
      <c r="D876" s="19" t="s">
        <v>30</v>
      </c>
      <c r="E876" s="12" t="str">
        <f>IFERROR(__xludf.DUMMYFUNCTION("FILTER(colegios!$B$2:$B5618,colegios!$A$2:$A5618=L876)"),"CORAS")</f>
        <v>CORAS</v>
      </c>
      <c r="F876" s="14" t="s">
        <v>16</v>
      </c>
      <c r="G876" s="19" t="s">
        <v>17</v>
      </c>
      <c r="H876" s="12" t="s">
        <v>18</v>
      </c>
      <c r="I876" s="15">
        <v>2024.0</v>
      </c>
      <c r="J876" s="16" t="str">
        <f>IFERROR(__xludf.DUMMYFUNCTION("FILTER('CLASFICACIÓN'!$F$3:$F5618,'CLASFICACIÓN'!$G$3:$G5618=M876)"),"SOLO 2024")</f>
        <v>SOLO 2024</v>
      </c>
      <c r="K876" s="16"/>
      <c r="L876" s="12" t="s">
        <v>87</v>
      </c>
      <c r="M876" s="16" t="str">
        <f t="shared" si="1"/>
        <v>CORAS4 Secundaria</v>
      </c>
      <c r="N876" s="17"/>
      <c r="O876" s="17"/>
      <c r="P876" s="17"/>
      <c r="Q876" s="17"/>
      <c r="R876" s="17"/>
      <c r="S876" s="17"/>
      <c r="T876" s="17"/>
    </row>
    <row r="877" ht="15.75" customHeight="1">
      <c r="A877" s="18">
        <v>48.0</v>
      </c>
      <c r="B877" s="12" t="s">
        <v>84</v>
      </c>
      <c r="C877" s="12" t="s">
        <v>27</v>
      </c>
      <c r="D877" s="19" t="s">
        <v>30</v>
      </c>
      <c r="E877" s="12" t="str">
        <f>IFERROR(__xludf.DUMMYFUNCTION("FILTER(colegios!$B$2:$B5618,colegios!$A$2:$A5618=L877)"),"CORAS")</f>
        <v>CORAS</v>
      </c>
      <c r="F877" s="14" t="s">
        <v>16</v>
      </c>
      <c r="G877" s="20" t="s">
        <v>17</v>
      </c>
      <c r="H877" s="12" t="s">
        <v>24</v>
      </c>
      <c r="I877" s="15">
        <v>2024.0</v>
      </c>
      <c r="J877" s="16" t="str">
        <f>IFERROR(__xludf.DUMMYFUNCTION("FILTER('CLASFICACIÓN'!$F$3:$F5618,'CLASFICACIÓN'!$G$3:$G5618=M877)"),"SOLO 2024")</f>
        <v>SOLO 2024</v>
      </c>
      <c r="K877" s="16"/>
      <c r="L877" s="12" t="s">
        <v>87</v>
      </c>
      <c r="M877" s="16" t="str">
        <f t="shared" si="1"/>
        <v>CORAS4 Secundaria</v>
      </c>
      <c r="N877" s="17"/>
      <c r="O877" s="17"/>
      <c r="P877" s="17"/>
      <c r="Q877" s="17"/>
      <c r="R877" s="17"/>
      <c r="S877" s="17"/>
      <c r="T877" s="17"/>
    </row>
    <row r="878" ht="15.75" customHeight="1">
      <c r="A878" s="18">
        <v>49.0</v>
      </c>
      <c r="B878" s="12" t="s">
        <v>84</v>
      </c>
      <c r="C878" s="12" t="s">
        <v>27</v>
      </c>
      <c r="D878" s="19" t="s">
        <v>30</v>
      </c>
      <c r="E878" s="12" t="str">
        <f>IFERROR(__xludf.DUMMYFUNCTION("FILTER(colegios!$B$2:$B5618,colegios!$A$2:$A5618=L878)"),"CORAS")</f>
        <v>CORAS</v>
      </c>
      <c r="F878" s="14" t="s">
        <v>16</v>
      </c>
      <c r="G878" s="20" t="s">
        <v>17</v>
      </c>
      <c r="H878" s="12" t="s">
        <v>24</v>
      </c>
      <c r="I878" s="15">
        <v>2024.0</v>
      </c>
      <c r="J878" s="16" t="str">
        <f>IFERROR(__xludf.DUMMYFUNCTION("FILTER('CLASFICACIÓN'!$F$3:$F5618,'CLASFICACIÓN'!$G$3:$G5618=M878)"),"SOLO 2024")</f>
        <v>SOLO 2024</v>
      </c>
      <c r="K878" s="16"/>
      <c r="L878" s="12" t="s">
        <v>87</v>
      </c>
      <c r="M878" s="16" t="str">
        <f t="shared" si="1"/>
        <v>CORAS4 Secundaria</v>
      </c>
      <c r="N878" s="17"/>
      <c r="O878" s="17"/>
      <c r="P878" s="17"/>
      <c r="Q878" s="17"/>
      <c r="R878" s="17"/>
      <c r="S878" s="17"/>
      <c r="T878" s="17"/>
    </row>
    <row r="879" ht="15.75" customHeight="1">
      <c r="A879" s="18">
        <v>50.0</v>
      </c>
      <c r="B879" s="12" t="s">
        <v>84</v>
      </c>
      <c r="C879" s="12" t="s">
        <v>27</v>
      </c>
      <c r="D879" s="19" t="s">
        <v>30</v>
      </c>
      <c r="E879" s="12" t="str">
        <f>IFERROR(__xludf.DUMMYFUNCTION("FILTER(colegios!$B$2:$B5618,colegios!$A$2:$A5618=L879)"),"CORAS")</f>
        <v>CORAS</v>
      </c>
      <c r="F879" s="14" t="s">
        <v>16</v>
      </c>
      <c r="G879" s="20" t="s">
        <v>21</v>
      </c>
      <c r="H879" s="12" t="s">
        <v>24</v>
      </c>
      <c r="I879" s="15">
        <v>2024.0</v>
      </c>
      <c r="J879" s="16" t="str">
        <f>IFERROR(__xludf.DUMMYFUNCTION("FILTER('CLASFICACIÓN'!$F$3:$F5618,'CLASFICACIÓN'!$G$3:$G5618=M879)"),"SOLO 2024")</f>
        <v>SOLO 2024</v>
      </c>
      <c r="K879" s="16"/>
      <c r="L879" s="12" t="s">
        <v>87</v>
      </c>
      <c r="M879" s="16" t="str">
        <f t="shared" si="1"/>
        <v>CORAS4 Secundaria</v>
      </c>
      <c r="N879" s="17"/>
      <c r="O879" s="17"/>
      <c r="P879" s="17"/>
      <c r="Q879" s="17"/>
      <c r="R879" s="17"/>
      <c r="S879" s="17"/>
      <c r="T879" s="17"/>
    </row>
    <row r="880" ht="15.75" customHeight="1">
      <c r="A880" s="18">
        <v>51.0</v>
      </c>
      <c r="B880" s="12" t="s">
        <v>84</v>
      </c>
      <c r="C880" s="12" t="s">
        <v>27</v>
      </c>
      <c r="D880" s="19" t="s">
        <v>30</v>
      </c>
      <c r="E880" s="12" t="str">
        <f>IFERROR(__xludf.DUMMYFUNCTION("FILTER(colegios!$B$2:$B5618,colegios!$A$2:$A5618=L880)"),"CORAS")</f>
        <v>CORAS</v>
      </c>
      <c r="F880" s="14" t="s">
        <v>16</v>
      </c>
      <c r="G880" s="20" t="s">
        <v>21</v>
      </c>
      <c r="H880" s="12" t="s">
        <v>18</v>
      </c>
      <c r="I880" s="15">
        <v>2024.0</v>
      </c>
      <c r="J880" s="16" t="str">
        <f>IFERROR(__xludf.DUMMYFUNCTION("FILTER('CLASFICACIÓN'!$F$3:$F5618,'CLASFICACIÓN'!$G$3:$G5618=M880)"),"SOLO 2024")</f>
        <v>SOLO 2024</v>
      </c>
      <c r="K880" s="16"/>
      <c r="L880" s="12" t="s">
        <v>87</v>
      </c>
      <c r="M880" s="16" t="str">
        <f t="shared" si="1"/>
        <v>CORAS4 Secundaria</v>
      </c>
      <c r="N880" s="17"/>
      <c r="O880" s="17"/>
      <c r="P880" s="17"/>
      <c r="Q880" s="17"/>
      <c r="R880" s="17"/>
      <c r="S880" s="17"/>
      <c r="T880" s="17"/>
    </row>
    <row r="881" ht="15.75" customHeight="1">
      <c r="A881" s="18">
        <v>9.0</v>
      </c>
      <c r="B881" s="12" t="s">
        <v>84</v>
      </c>
      <c r="C881" s="12" t="s">
        <v>14</v>
      </c>
      <c r="D881" s="19" t="s">
        <v>15</v>
      </c>
      <c r="E881" s="12" t="str">
        <f>IFERROR(__xludf.DUMMYFUNCTION("FILTER(colegios!$B$2:$B5618,colegios!$A$2:$A5618=L881)"),"36207")</f>
        <v>36207</v>
      </c>
      <c r="F881" s="14" t="s">
        <v>16</v>
      </c>
      <c r="G881" s="19" t="s">
        <v>21</v>
      </c>
      <c r="H881" s="12" t="s">
        <v>18</v>
      </c>
      <c r="I881" s="15">
        <v>2024.0</v>
      </c>
      <c r="J881" s="16" t="str">
        <f>IFERROR(__xludf.DUMMYFUNCTION("FILTER('CLASFICACIÓN'!$F$3:$F5618,'CLASFICACIÓN'!$G$3:$G5618=M881)"),"SOLO 2022 Y 2024")</f>
        <v>SOLO 2022 Y 2024</v>
      </c>
      <c r="K881" s="16"/>
      <c r="L881" s="12" t="s">
        <v>88</v>
      </c>
      <c r="M881" s="16" t="str">
        <f t="shared" si="1"/>
        <v>362072 Primaria</v>
      </c>
      <c r="N881" s="17"/>
      <c r="O881" s="17"/>
      <c r="P881" s="17"/>
      <c r="Q881" s="17"/>
      <c r="R881" s="17"/>
      <c r="S881" s="17"/>
      <c r="T881" s="17"/>
    </row>
    <row r="882" ht="15.75" customHeight="1">
      <c r="A882" s="18">
        <v>10.0</v>
      </c>
      <c r="B882" s="12" t="s">
        <v>84</v>
      </c>
      <c r="C882" s="12" t="s">
        <v>14</v>
      </c>
      <c r="D882" s="19" t="s">
        <v>15</v>
      </c>
      <c r="E882" s="12" t="str">
        <f>IFERROR(__xludf.DUMMYFUNCTION("FILTER(colegios!$B$2:$B5618,colegios!$A$2:$A5618=L882)"),"36207")</f>
        <v>36207</v>
      </c>
      <c r="F882" s="14" t="s">
        <v>16</v>
      </c>
      <c r="G882" s="19" t="s">
        <v>21</v>
      </c>
      <c r="H882" s="12" t="s">
        <v>18</v>
      </c>
      <c r="I882" s="15">
        <v>2024.0</v>
      </c>
      <c r="J882" s="16" t="str">
        <f>IFERROR(__xludf.DUMMYFUNCTION("FILTER('CLASFICACIÓN'!$F$3:$F5618,'CLASFICACIÓN'!$G$3:$G5618=M882)"),"SOLO 2022 Y 2024")</f>
        <v>SOLO 2022 Y 2024</v>
      </c>
      <c r="K882" s="16"/>
      <c r="L882" s="12" t="s">
        <v>88</v>
      </c>
      <c r="M882" s="16" t="str">
        <f t="shared" si="1"/>
        <v>362072 Primaria</v>
      </c>
      <c r="N882" s="17"/>
      <c r="O882" s="17"/>
      <c r="P882" s="17"/>
      <c r="Q882" s="17"/>
      <c r="R882" s="17"/>
      <c r="S882" s="17"/>
      <c r="T882" s="17"/>
    </row>
    <row r="883" ht="15.75" customHeight="1">
      <c r="A883" s="18">
        <v>11.0</v>
      </c>
      <c r="B883" s="12" t="s">
        <v>84</v>
      </c>
      <c r="C883" s="12" t="s">
        <v>14</v>
      </c>
      <c r="D883" s="19" t="s">
        <v>15</v>
      </c>
      <c r="E883" s="12" t="str">
        <f>IFERROR(__xludf.DUMMYFUNCTION("FILTER(colegios!$B$2:$B5618,colegios!$A$2:$A5618=L883)"),"36207")</f>
        <v>36207</v>
      </c>
      <c r="F883" s="14" t="s">
        <v>16</v>
      </c>
      <c r="G883" s="19" t="s">
        <v>17</v>
      </c>
      <c r="H883" s="12" t="s">
        <v>24</v>
      </c>
      <c r="I883" s="15">
        <v>2024.0</v>
      </c>
      <c r="J883" s="16" t="str">
        <f>IFERROR(__xludf.DUMMYFUNCTION("FILTER('CLASFICACIÓN'!$F$3:$F5618,'CLASFICACIÓN'!$G$3:$G5618=M883)"),"SOLO 2022 Y 2024")</f>
        <v>SOLO 2022 Y 2024</v>
      </c>
      <c r="K883" s="16"/>
      <c r="L883" s="12" t="s">
        <v>88</v>
      </c>
      <c r="M883" s="16" t="str">
        <f t="shared" si="1"/>
        <v>362072 Primaria</v>
      </c>
      <c r="N883" s="17"/>
      <c r="O883" s="17"/>
      <c r="P883" s="17"/>
      <c r="Q883" s="17"/>
      <c r="R883" s="17"/>
      <c r="S883" s="17"/>
      <c r="T883" s="17"/>
    </row>
    <row r="884" ht="15.75" customHeight="1">
      <c r="A884" s="18">
        <v>12.0</v>
      </c>
      <c r="B884" s="12" t="s">
        <v>84</v>
      </c>
      <c r="C884" s="12" t="s">
        <v>14</v>
      </c>
      <c r="D884" s="19" t="s">
        <v>15</v>
      </c>
      <c r="E884" s="12" t="str">
        <f>IFERROR(__xludf.DUMMYFUNCTION("FILTER(colegios!$B$2:$B5618,colegios!$A$2:$A5618=L884)"),"36207")</f>
        <v>36207</v>
      </c>
      <c r="F884" s="14" t="s">
        <v>16</v>
      </c>
      <c r="G884" s="19" t="s">
        <v>17</v>
      </c>
      <c r="H884" s="12" t="s">
        <v>24</v>
      </c>
      <c r="I884" s="15">
        <v>2024.0</v>
      </c>
      <c r="J884" s="16" t="str">
        <f>IFERROR(__xludf.DUMMYFUNCTION("FILTER('CLASFICACIÓN'!$F$3:$F5618,'CLASFICACIÓN'!$G$3:$G5618=M884)"),"SOLO 2022 Y 2024")</f>
        <v>SOLO 2022 Y 2024</v>
      </c>
      <c r="K884" s="16"/>
      <c r="L884" s="12" t="s">
        <v>88</v>
      </c>
      <c r="M884" s="16" t="str">
        <f t="shared" si="1"/>
        <v>362072 Primaria</v>
      </c>
      <c r="N884" s="17"/>
      <c r="O884" s="17"/>
      <c r="P884" s="17"/>
      <c r="Q884" s="17"/>
      <c r="R884" s="17"/>
      <c r="S884" s="17"/>
      <c r="T884" s="17"/>
    </row>
    <row r="885" ht="15.75" customHeight="1">
      <c r="A885" s="18">
        <v>13.0</v>
      </c>
      <c r="B885" s="12" t="s">
        <v>84</v>
      </c>
      <c r="C885" s="12" t="s">
        <v>14</v>
      </c>
      <c r="D885" s="19" t="s">
        <v>15</v>
      </c>
      <c r="E885" s="12" t="str">
        <f>IFERROR(__xludf.DUMMYFUNCTION("FILTER(colegios!$B$2:$B5618,colegios!$A$2:$A5618=L885)"),"36207")</f>
        <v>36207</v>
      </c>
      <c r="F885" s="14" t="s">
        <v>16</v>
      </c>
      <c r="G885" s="19" t="s">
        <v>21</v>
      </c>
      <c r="H885" s="12" t="s">
        <v>24</v>
      </c>
      <c r="I885" s="15">
        <v>2024.0</v>
      </c>
      <c r="J885" s="16" t="str">
        <f>IFERROR(__xludf.DUMMYFUNCTION("FILTER('CLASFICACIÓN'!$F$3:$F5618,'CLASFICACIÓN'!$G$3:$G5618=M885)"),"SOLO 2022 Y 2024")</f>
        <v>SOLO 2022 Y 2024</v>
      </c>
      <c r="K885" s="16"/>
      <c r="L885" s="12" t="s">
        <v>88</v>
      </c>
      <c r="M885" s="16" t="str">
        <f t="shared" si="1"/>
        <v>362072 Primaria</v>
      </c>
      <c r="N885" s="17"/>
      <c r="O885" s="17"/>
      <c r="P885" s="17"/>
      <c r="Q885" s="17"/>
      <c r="R885" s="17"/>
      <c r="S885" s="17"/>
      <c r="T885" s="17"/>
    </row>
    <row r="886" ht="15.75" customHeight="1">
      <c r="A886" s="18">
        <v>14.0</v>
      </c>
      <c r="B886" s="12" t="s">
        <v>84</v>
      </c>
      <c r="C886" s="12" t="s">
        <v>14</v>
      </c>
      <c r="D886" s="19" t="s">
        <v>15</v>
      </c>
      <c r="E886" s="12" t="str">
        <f>IFERROR(__xludf.DUMMYFUNCTION("FILTER(colegios!$B$2:$B5618,colegios!$A$2:$A5618=L886)"),"36207")</f>
        <v>36207</v>
      </c>
      <c r="F886" s="14" t="s">
        <v>16</v>
      </c>
      <c r="G886" s="19" t="s">
        <v>17</v>
      </c>
      <c r="H886" s="12" t="s">
        <v>24</v>
      </c>
      <c r="I886" s="15">
        <v>2024.0</v>
      </c>
      <c r="J886" s="16" t="str">
        <f>IFERROR(__xludf.DUMMYFUNCTION("FILTER('CLASFICACIÓN'!$F$3:$F5618,'CLASFICACIÓN'!$G$3:$G5618=M886)"),"SOLO 2022 Y 2024")</f>
        <v>SOLO 2022 Y 2024</v>
      </c>
      <c r="K886" s="16"/>
      <c r="L886" s="12" t="s">
        <v>88</v>
      </c>
      <c r="M886" s="16" t="str">
        <f t="shared" si="1"/>
        <v>362072 Primaria</v>
      </c>
      <c r="N886" s="17"/>
      <c r="O886" s="17"/>
      <c r="P886" s="17"/>
      <c r="Q886" s="17"/>
      <c r="R886" s="17"/>
      <c r="S886" s="17"/>
      <c r="T886" s="17"/>
    </row>
    <row r="887" ht="15.75" customHeight="1">
      <c r="A887" s="18">
        <v>15.0</v>
      </c>
      <c r="B887" s="12" t="s">
        <v>84</v>
      </c>
      <c r="C887" s="12" t="s">
        <v>14</v>
      </c>
      <c r="D887" s="19" t="s">
        <v>15</v>
      </c>
      <c r="E887" s="12" t="str">
        <f>IFERROR(__xludf.DUMMYFUNCTION("FILTER(colegios!$B$2:$B5618,colegios!$A$2:$A5618=L887)"),"36207")</f>
        <v>36207</v>
      </c>
      <c r="F887" s="14" t="s">
        <v>16</v>
      </c>
      <c r="G887" s="19" t="s">
        <v>17</v>
      </c>
      <c r="H887" s="12" t="s">
        <v>24</v>
      </c>
      <c r="I887" s="15">
        <v>2024.0</v>
      </c>
      <c r="J887" s="16" t="str">
        <f>IFERROR(__xludf.DUMMYFUNCTION("FILTER('CLASFICACIÓN'!$F$3:$F5618,'CLASFICACIÓN'!$G$3:$G5618=M887)"),"SOLO 2022 Y 2024")</f>
        <v>SOLO 2022 Y 2024</v>
      </c>
      <c r="K887" s="16"/>
      <c r="L887" s="12" t="s">
        <v>88</v>
      </c>
      <c r="M887" s="16" t="str">
        <f t="shared" si="1"/>
        <v>362072 Primaria</v>
      </c>
      <c r="N887" s="17"/>
      <c r="O887" s="17"/>
      <c r="P887" s="17"/>
      <c r="Q887" s="17"/>
      <c r="R887" s="17"/>
      <c r="S887" s="17"/>
      <c r="T887" s="17"/>
    </row>
    <row r="888" ht="15.75" customHeight="1">
      <c r="A888" s="18">
        <v>16.0</v>
      </c>
      <c r="B888" s="12" t="s">
        <v>84</v>
      </c>
      <c r="C888" s="12" t="s">
        <v>14</v>
      </c>
      <c r="D888" s="19" t="s">
        <v>15</v>
      </c>
      <c r="E888" s="12" t="str">
        <f>IFERROR(__xludf.DUMMYFUNCTION("FILTER(colegios!$B$2:$B5618,colegios!$A$2:$A5618=L888)"),"36207")</f>
        <v>36207</v>
      </c>
      <c r="F888" s="14" t="s">
        <v>16</v>
      </c>
      <c r="G888" s="19" t="s">
        <v>21</v>
      </c>
      <c r="H888" s="12" t="s">
        <v>24</v>
      </c>
      <c r="I888" s="15">
        <v>2024.0</v>
      </c>
      <c r="J888" s="16" t="str">
        <f>IFERROR(__xludf.DUMMYFUNCTION("FILTER('CLASFICACIÓN'!$F$3:$F5618,'CLASFICACIÓN'!$G$3:$G5618=M888)"),"SOLO 2022 Y 2024")</f>
        <v>SOLO 2022 Y 2024</v>
      </c>
      <c r="K888" s="16"/>
      <c r="L888" s="12" t="s">
        <v>88</v>
      </c>
      <c r="M888" s="16" t="str">
        <f t="shared" si="1"/>
        <v>362072 Primaria</v>
      </c>
      <c r="N888" s="17"/>
      <c r="O888" s="17"/>
      <c r="P888" s="17"/>
      <c r="Q888" s="17"/>
      <c r="R888" s="17"/>
      <c r="S888" s="17"/>
      <c r="T888" s="17"/>
    </row>
    <row r="889" ht="15.75" customHeight="1">
      <c r="A889" s="18">
        <v>17.0</v>
      </c>
      <c r="B889" s="12" t="s">
        <v>84</v>
      </c>
      <c r="C889" s="12" t="s">
        <v>14</v>
      </c>
      <c r="D889" s="19" t="s">
        <v>20</v>
      </c>
      <c r="E889" s="12" t="str">
        <f>IFERROR(__xludf.DUMMYFUNCTION("FILTER(colegios!$B$2:$B5618,colegios!$A$2:$A5618=L889)"),"36207")</f>
        <v>36207</v>
      </c>
      <c r="F889" s="14" t="s">
        <v>16</v>
      </c>
      <c r="G889" s="19" t="s">
        <v>21</v>
      </c>
      <c r="H889" s="12" t="s">
        <v>18</v>
      </c>
      <c r="I889" s="15">
        <v>2024.0</v>
      </c>
      <c r="J889" s="16" t="str">
        <f>IFERROR(__xludf.DUMMYFUNCTION("FILTER('CLASFICACIÓN'!$F$3:$F5618,'CLASFICACIÓN'!$G$3:$G5618=M889)"),"SOLO 2022 Y 2024")</f>
        <v>SOLO 2022 Y 2024</v>
      </c>
      <c r="K889" s="16"/>
      <c r="L889" s="12" t="s">
        <v>88</v>
      </c>
      <c r="M889" s="16" t="str">
        <f t="shared" si="1"/>
        <v>362074 Primaria</v>
      </c>
      <c r="N889" s="17"/>
      <c r="O889" s="17"/>
      <c r="P889" s="17"/>
      <c r="Q889" s="17"/>
      <c r="R889" s="17"/>
      <c r="S889" s="17"/>
      <c r="T889" s="17"/>
    </row>
    <row r="890" ht="15.75" customHeight="1">
      <c r="A890" s="18">
        <v>18.0</v>
      </c>
      <c r="B890" s="12" t="s">
        <v>84</v>
      </c>
      <c r="C890" s="12" t="s">
        <v>14</v>
      </c>
      <c r="D890" s="19" t="s">
        <v>20</v>
      </c>
      <c r="E890" s="12" t="str">
        <f>IFERROR(__xludf.DUMMYFUNCTION("FILTER(colegios!$B$2:$B5618,colegios!$A$2:$A5618=L890)"),"36207")</f>
        <v>36207</v>
      </c>
      <c r="F890" s="14" t="s">
        <v>16</v>
      </c>
      <c r="G890" s="19" t="s">
        <v>17</v>
      </c>
      <c r="H890" s="12" t="s">
        <v>18</v>
      </c>
      <c r="I890" s="15">
        <v>2024.0</v>
      </c>
      <c r="J890" s="16" t="str">
        <f>IFERROR(__xludf.DUMMYFUNCTION("FILTER('CLASFICACIÓN'!$F$3:$F5618,'CLASFICACIÓN'!$G$3:$G5618=M890)"),"SOLO 2022 Y 2024")</f>
        <v>SOLO 2022 Y 2024</v>
      </c>
      <c r="K890" s="16"/>
      <c r="L890" s="12" t="s">
        <v>88</v>
      </c>
      <c r="M890" s="16" t="str">
        <f t="shared" si="1"/>
        <v>362074 Primaria</v>
      </c>
      <c r="N890" s="17"/>
      <c r="O890" s="17"/>
      <c r="P890" s="17"/>
      <c r="Q890" s="17"/>
      <c r="R890" s="17"/>
      <c r="S890" s="17"/>
      <c r="T890" s="17"/>
    </row>
    <row r="891" ht="15.75" customHeight="1">
      <c r="A891" s="18">
        <v>19.0</v>
      </c>
      <c r="B891" s="12" t="s">
        <v>84</v>
      </c>
      <c r="C891" s="12" t="s">
        <v>14</v>
      </c>
      <c r="D891" s="19" t="s">
        <v>20</v>
      </c>
      <c r="E891" s="12" t="str">
        <f>IFERROR(__xludf.DUMMYFUNCTION("FILTER(colegios!$B$2:$B5618,colegios!$A$2:$A5618=L891)"),"36207")</f>
        <v>36207</v>
      </c>
      <c r="F891" s="14" t="s">
        <v>16</v>
      </c>
      <c r="G891" s="19" t="s">
        <v>21</v>
      </c>
      <c r="H891" s="12" t="s">
        <v>18</v>
      </c>
      <c r="I891" s="15">
        <v>2024.0</v>
      </c>
      <c r="J891" s="16" t="str">
        <f>IFERROR(__xludf.DUMMYFUNCTION("FILTER('CLASFICACIÓN'!$F$3:$F5618,'CLASFICACIÓN'!$G$3:$G5618=M891)"),"SOLO 2022 Y 2024")</f>
        <v>SOLO 2022 Y 2024</v>
      </c>
      <c r="K891" s="16"/>
      <c r="L891" s="12" t="s">
        <v>88</v>
      </c>
      <c r="M891" s="16" t="str">
        <f t="shared" si="1"/>
        <v>362074 Primaria</v>
      </c>
      <c r="N891" s="17"/>
      <c r="O891" s="17"/>
      <c r="P891" s="17"/>
      <c r="Q891" s="17"/>
      <c r="R891" s="17"/>
      <c r="S891" s="17"/>
      <c r="T891" s="17"/>
    </row>
    <row r="892" ht="15.75" customHeight="1">
      <c r="A892" s="18">
        <v>20.0</v>
      </c>
      <c r="B892" s="12" t="s">
        <v>84</v>
      </c>
      <c r="C892" s="12" t="s">
        <v>14</v>
      </c>
      <c r="D892" s="19" t="s">
        <v>20</v>
      </c>
      <c r="E892" s="12" t="str">
        <f>IFERROR(__xludf.DUMMYFUNCTION("FILTER(colegios!$B$2:$B5618,colegios!$A$2:$A5618=L892)"),"36207")</f>
        <v>36207</v>
      </c>
      <c r="F892" s="14" t="s">
        <v>16</v>
      </c>
      <c r="G892" s="19" t="s">
        <v>17</v>
      </c>
      <c r="H892" s="12" t="s">
        <v>18</v>
      </c>
      <c r="I892" s="15">
        <v>2024.0</v>
      </c>
      <c r="J892" s="16" t="str">
        <f>IFERROR(__xludf.DUMMYFUNCTION("FILTER('CLASFICACIÓN'!$F$3:$F5618,'CLASFICACIÓN'!$G$3:$G5618=M892)"),"SOLO 2022 Y 2024")</f>
        <v>SOLO 2022 Y 2024</v>
      </c>
      <c r="K892" s="16"/>
      <c r="L892" s="12" t="s">
        <v>88</v>
      </c>
      <c r="M892" s="16" t="str">
        <f t="shared" si="1"/>
        <v>362074 Primaria</v>
      </c>
      <c r="N892" s="17"/>
      <c r="O892" s="17"/>
      <c r="P892" s="17"/>
      <c r="Q892" s="17"/>
      <c r="R892" s="17"/>
      <c r="S892" s="17"/>
      <c r="T892" s="17"/>
    </row>
    <row r="893" ht="15.75" customHeight="1">
      <c r="A893" s="18">
        <v>21.0</v>
      </c>
      <c r="B893" s="12" t="s">
        <v>84</v>
      </c>
      <c r="C893" s="12" t="s">
        <v>14</v>
      </c>
      <c r="D893" s="19" t="s">
        <v>22</v>
      </c>
      <c r="E893" s="12" t="str">
        <f>IFERROR(__xludf.DUMMYFUNCTION("FILTER(colegios!$B$2:$B5618,colegios!$A$2:$A5618=L893)"),"36207")</f>
        <v>36207</v>
      </c>
      <c r="F893" s="14" t="s">
        <v>16</v>
      </c>
      <c r="G893" s="19" t="s">
        <v>17</v>
      </c>
      <c r="H893" s="12" t="s">
        <v>18</v>
      </c>
      <c r="I893" s="15">
        <v>2024.0</v>
      </c>
      <c r="J893" s="16" t="str">
        <f>IFERROR(__xludf.DUMMYFUNCTION("FILTER('CLASFICACIÓN'!$F$3:$F5618,'CLASFICACIÓN'!$G$3:$G5618=M893)"),"SOLO 2022 Y 2024")</f>
        <v>SOLO 2022 Y 2024</v>
      </c>
      <c r="K893" s="16"/>
      <c r="L893" s="12" t="s">
        <v>88</v>
      </c>
      <c r="M893" s="16" t="str">
        <f t="shared" si="1"/>
        <v>362076 Primaria</v>
      </c>
      <c r="N893" s="17"/>
      <c r="O893" s="17"/>
      <c r="P893" s="17"/>
      <c r="Q893" s="17"/>
      <c r="R893" s="17"/>
      <c r="S893" s="17"/>
      <c r="T893" s="17"/>
    </row>
    <row r="894" ht="15.75" customHeight="1">
      <c r="A894" s="18">
        <v>22.0</v>
      </c>
      <c r="B894" s="12" t="s">
        <v>84</v>
      </c>
      <c r="C894" s="12" t="s">
        <v>14</v>
      </c>
      <c r="D894" s="19" t="s">
        <v>22</v>
      </c>
      <c r="E894" s="12" t="str">
        <f>IFERROR(__xludf.DUMMYFUNCTION("FILTER(colegios!$B$2:$B5618,colegios!$A$2:$A5618=L894)"),"36207")</f>
        <v>36207</v>
      </c>
      <c r="F894" s="14" t="s">
        <v>16</v>
      </c>
      <c r="G894" s="19" t="s">
        <v>21</v>
      </c>
      <c r="H894" s="12" t="s">
        <v>18</v>
      </c>
      <c r="I894" s="15">
        <v>2024.0</v>
      </c>
      <c r="J894" s="16" t="str">
        <f>IFERROR(__xludf.DUMMYFUNCTION("FILTER('CLASFICACIÓN'!$F$3:$F5618,'CLASFICACIÓN'!$G$3:$G5618=M894)"),"SOLO 2022 Y 2024")</f>
        <v>SOLO 2022 Y 2024</v>
      </c>
      <c r="K894" s="16"/>
      <c r="L894" s="12" t="s">
        <v>88</v>
      </c>
      <c r="M894" s="16" t="str">
        <f t="shared" si="1"/>
        <v>362076 Primaria</v>
      </c>
      <c r="N894" s="17"/>
      <c r="O894" s="17"/>
      <c r="P894" s="17"/>
      <c r="Q894" s="17"/>
      <c r="R894" s="17"/>
      <c r="S894" s="17"/>
      <c r="T894" s="17"/>
    </row>
    <row r="895" ht="15.75" customHeight="1">
      <c r="A895" s="18">
        <v>23.0</v>
      </c>
      <c r="B895" s="12" t="s">
        <v>84</v>
      </c>
      <c r="C895" s="12" t="s">
        <v>14</v>
      </c>
      <c r="D895" s="19" t="s">
        <v>22</v>
      </c>
      <c r="E895" s="12" t="str">
        <f>IFERROR(__xludf.DUMMYFUNCTION("FILTER(colegios!$B$2:$B5618,colegios!$A$2:$A5618=L895)"),"36207")</f>
        <v>36207</v>
      </c>
      <c r="F895" s="14" t="s">
        <v>16</v>
      </c>
      <c r="G895" s="19" t="s">
        <v>17</v>
      </c>
      <c r="H895" s="12" t="s">
        <v>18</v>
      </c>
      <c r="I895" s="15">
        <v>2024.0</v>
      </c>
      <c r="J895" s="16" t="str">
        <f>IFERROR(__xludf.DUMMYFUNCTION("FILTER('CLASFICACIÓN'!$F$3:$F5618,'CLASFICACIÓN'!$G$3:$G5618=M895)"),"SOLO 2022 Y 2024")</f>
        <v>SOLO 2022 Y 2024</v>
      </c>
      <c r="K895" s="16"/>
      <c r="L895" s="12" t="s">
        <v>88</v>
      </c>
      <c r="M895" s="16" t="str">
        <f t="shared" si="1"/>
        <v>362076 Primaria</v>
      </c>
      <c r="N895" s="17"/>
      <c r="O895" s="17"/>
      <c r="P895" s="17"/>
      <c r="Q895" s="17"/>
      <c r="R895" s="17"/>
      <c r="S895" s="17"/>
      <c r="T895" s="17"/>
    </row>
    <row r="896" ht="15.75" customHeight="1">
      <c r="A896" s="18">
        <v>24.0</v>
      </c>
      <c r="B896" s="12" t="s">
        <v>84</v>
      </c>
      <c r="C896" s="12" t="s">
        <v>14</v>
      </c>
      <c r="D896" s="19" t="s">
        <v>22</v>
      </c>
      <c r="E896" s="12" t="str">
        <f>IFERROR(__xludf.DUMMYFUNCTION("FILTER(colegios!$B$2:$B5618,colegios!$A$2:$A5618=L896)"),"36207")</f>
        <v>36207</v>
      </c>
      <c r="F896" s="14" t="s">
        <v>16</v>
      </c>
      <c r="G896" s="19" t="s">
        <v>21</v>
      </c>
      <c r="H896" s="12" t="s">
        <v>18</v>
      </c>
      <c r="I896" s="15">
        <v>2024.0</v>
      </c>
      <c r="J896" s="16" t="str">
        <f>IFERROR(__xludf.DUMMYFUNCTION("FILTER('CLASFICACIÓN'!$F$3:$F5618,'CLASFICACIÓN'!$G$3:$G5618=M896)"),"SOLO 2022 Y 2024")</f>
        <v>SOLO 2022 Y 2024</v>
      </c>
      <c r="K896" s="16"/>
      <c r="L896" s="12" t="s">
        <v>88</v>
      </c>
      <c r="M896" s="16" t="str">
        <f t="shared" si="1"/>
        <v>362076 Primaria</v>
      </c>
      <c r="N896" s="17"/>
      <c r="O896" s="17"/>
      <c r="P896" s="17"/>
      <c r="Q896" s="17"/>
      <c r="R896" s="17"/>
      <c r="S896" s="17"/>
      <c r="T896" s="17"/>
    </row>
    <row r="897" ht="15.75" customHeight="1">
      <c r="A897" s="18">
        <v>1.0</v>
      </c>
      <c r="B897" s="12" t="s">
        <v>84</v>
      </c>
      <c r="C897" s="12" t="s">
        <v>14</v>
      </c>
      <c r="D897" s="19" t="s">
        <v>15</v>
      </c>
      <c r="E897" s="12" t="str">
        <f>IFERROR(__xludf.DUMMYFUNCTION("FILTER(colegios!$B$2:$B5618,colegios!$A$2:$A5618=L897)"),"36789 NUESTRA SEÑORA DEL CARMEN")</f>
        <v>36789 NUESTRA SEÑORA DEL CARMEN</v>
      </c>
      <c r="F897" s="14" t="s">
        <v>16</v>
      </c>
      <c r="G897" s="19" t="s">
        <v>21</v>
      </c>
      <c r="H897" s="12" t="s">
        <v>24</v>
      </c>
      <c r="I897" s="15">
        <v>2024.0</v>
      </c>
      <c r="J897" s="16" t="str">
        <f>IFERROR(__xludf.DUMMYFUNCTION("FILTER('CLASFICACIÓN'!$F$3:$F5618,'CLASFICACIÓN'!$G$3:$G5618=M897)"),"SOLO 2024")</f>
        <v>SOLO 2024</v>
      </c>
      <c r="K897" s="16"/>
      <c r="L897" s="12" t="s">
        <v>89</v>
      </c>
      <c r="M897" s="16" t="str">
        <f t="shared" si="1"/>
        <v>36789 NUESTRA SEÑORA DEL CARMEN2 Primaria</v>
      </c>
      <c r="N897" s="17"/>
      <c r="O897" s="17"/>
      <c r="P897" s="17"/>
      <c r="Q897" s="17"/>
      <c r="R897" s="17"/>
      <c r="S897" s="17"/>
      <c r="T897" s="17"/>
    </row>
    <row r="898" ht="15.75" customHeight="1">
      <c r="A898" s="18">
        <v>2.0</v>
      </c>
      <c r="B898" s="12" t="s">
        <v>84</v>
      </c>
      <c r="C898" s="12" t="s">
        <v>14</v>
      </c>
      <c r="D898" s="19" t="s">
        <v>15</v>
      </c>
      <c r="E898" s="12" t="str">
        <f>IFERROR(__xludf.DUMMYFUNCTION("FILTER(colegios!$B$2:$B5618,colegios!$A$2:$A5618=L898)"),"36789 NUESTRA SEÑORA DEL CARMEN")</f>
        <v>36789 NUESTRA SEÑORA DEL CARMEN</v>
      </c>
      <c r="F898" s="14" t="s">
        <v>16</v>
      </c>
      <c r="G898" s="19" t="s">
        <v>17</v>
      </c>
      <c r="H898" s="12" t="s">
        <v>24</v>
      </c>
      <c r="I898" s="15">
        <v>2024.0</v>
      </c>
      <c r="J898" s="16" t="str">
        <f>IFERROR(__xludf.DUMMYFUNCTION("FILTER('CLASFICACIÓN'!$F$3:$F5618,'CLASFICACIÓN'!$G$3:$G5618=M898)"),"SOLO 2024")</f>
        <v>SOLO 2024</v>
      </c>
      <c r="K898" s="16"/>
      <c r="L898" s="12" t="s">
        <v>89</v>
      </c>
      <c r="M898" s="16" t="str">
        <f t="shared" si="1"/>
        <v>36789 NUESTRA SEÑORA DEL CARMEN2 Primaria</v>
      </c>
      <c r="N898" s="17"/>
      <c r="O898" s="17"/>
      <c r="P898" s="17"/>
      <c r="Q898" s="17"/>
      <c r="R898" s="17"/>
      <c r="S898" s="17"/>
      <c r="T898" s="17"/>
    </row>
    <row r="899" ht="15.75" customHeight="1">
      <c r="A899" s="18">
        <v>3.0</v>
      </c>
      <c r="B899" s="12" t="s">
        <v>84</v>
      </c>
      <c r="C899" s="12" t="s">
        <v>14</v>
      </c>
      <c r="D899" s="19" t="s">
        <v>20</v>
      </c>
      <c r="E899" s="12" t="str">
        <f>IFERROR(__xludf.DUMMYFUNCTION("FILTER(colegios!$B$2:$B5618,colegios!$A$2:$A5618=L899)"),"36789 NUESTRA SEÑORA DEL CARMEN")</f>
        <v>36789 NUESTRA SEÑORA DEL CARMEN</v>
      </c>
      <c r="F899" s="14" t="s">
        <v>16</v>
      </c>
      <c r="G899" s="19" t="s">
        <v>17</v>
      </c>
      <c r="H899" s="12" t="s">
        <v>18</v>
      </c>
      <c r="I899" s="15">
        <v>2024.0</v>
      </c>
      <c r="J899" s="16" t="str">
        <f>IFERROR(__xludf.DUMMYFUNCTION("FILTER('CLASFICACIÓN'!$F$3:$F5618,'CLASFICACIÓN'!$G$3:$G5618=M899)"),"SOLO 2024")</f>
        <v>SOLO 2024</v>
      </c>
      <c r="K899" s="16"/>
      <c r="L899" s="12" t="s">
        <v>89</v>
      </c>
      <c r="M899" s="16" t="str">
        <f t="shared" si="1"/>
        <v>36789 NUESTRA SEÑORA DEL CARMEN4 Primaria</v>
      </c>
      <c r="N899" s="17"/>
      <c r="O899" s="17"/>
      <c r="P899" s="17"/>
      <c r="Q899" s="17"/>
      <c r="R899" s="17"/>
      <c r="S899" s="17"/>
      <c r="T899" s="17"/>
    </row>
    <row r="900" ht="15.75" customHeight="1">
      <c r="A900" s="18">
        <v>4.0</v>
      </c>
      <c r="B900" s="12" t="s">
        <v>84</v>
      </c>
      <c r="C900" s="12" t="s">
        <v>14</v>
      </c>
      <c r="D900" s="19" t="s">
        <v>22</v>
      </c>
      <c r="E900" s="12" t="str">
        <f>IFERROR(__xludf.DUMMYFUNCTION("FILTER(colegios!$B$2:$B5618,colegios!$A$2:$A5618=L900)"),"36789 NUESTRA SEÑORA DEL CARMEN")</f>
        <v>36789 NUESTRA SEÑORA DEL CARMEN</v>
      </c>
      <c r="F900" s="14" t="s">
        <v>16</v>
      </c>
      <c r="G900" s="19" t="s">
        <v>21</v>
      </c>
      <c r="H900" s="12" t="s">
        <v>18</v>
      </c>
      <c r="I900" s="15">
        <v>2024.0</v>
      </c>
      <c r="J900" s="16" t="str">
        <f>IFERROR(__xludf.DUMMYFUNCTION("FILTER('CLASFICACIÓN'!$F$3:$F5618,'CLASFICACIÓN'!$G$3:$G5618=M900)"),"SOLO 2024")</f>
        <v>SOLO 2024</v>
      </c>
      <c r="K900" s="16"/>
      <c r="L900" s="12" t="s">
        <v>89</v>
      </c>
      <c r="M900" s="16" t="str">
        <f t="shared" si="1"/>
        <v>36789 NUESTRA SEÑORA DEL CARMEN6 Primaria</v>
      </c>
      <c r="N900" s="17"/>
      <c r="O900" s="17"/>
      <c r="P900" s="17"/>
      <c r="Q900" s="17"/>
      <c r="R900" s="17"/>
      <c r="S900" s="17"/>
      <c r="T900" s="17"/>
    </row>
    <row r="901" ht="15.75" customHeight="1">
      <c r="A901" s="18">
        <v>5.0</v>
      </c>
      <c r="B901" s="12" t="s">
        <v>84</v>
      </c>
      <c r="C901" s="12" t="s">
        <v>14</v>
      </c>
      <c r="D901" s="19" t="s">
        <v>22</v>
      </c>
      <c r="E901" s="12" t="str">
        <f>IFERROR(__xludf.DUMMYFUNCTION("FILTER(colegios!$B$2:$B5618,colegios!$A$2:$A5618=L901)"),"36789 NUESTRA SEÑORA DEL CARMEN")</f>
        <v>36789 NUESTRA SEÑORA DEL CARMEN</v>
      </c>
      <c r="F901" s="14" t="s">
        <v>16</v>
      </c>
      <c r="G901" s="19" t="s">
        <v>21</v>
      </c>
      <c r="H901" s="12" t="s">
        <v>18</v>
      </c>
      <c r="I901" s="15">
        <v>2024.0</v>
      </c>
      <c r="J901" s="16" t="str">
        <f>IFERROR(__xludf.DUMMYFUNCTION("FILTER('CLASFICACIÓN'!$F$3:$F5618,'CLASFICACIÓN'!$G$3:$G5618=M901)"),"SOLO 2024")</f>
        <v>SOLO 2024</v>
      </c>
      <c r="K901" s="16"/>
      <c r="L901" s="12" t="s">
        <v>89</v>
      </c>
      <c r="M901" s="16" t="str">
        <f t="shared" si="1"/>
        <v>36789 NUESTRA SEÑORA DEL CARMEN6 Primaria</v>
      </c>
      <c r="N901" s="17"/>
      <c r="O901" s="17"/>
      <c r="P901" s="17"/>
      <c r="Q901" s="17"/>
      <c r="R901" s="17"/>
      <c r="S901" s="17"/>
      <c r="T901" s="17"/>
    </row>
    <row r="902" ht="15.75" customHeight="1">
      <c r="A902" s="18">
        <v>6.0</v>
      </c>
      <c r="B902" s="12" t="s">
        <v>84</v>
      </c>
      <c r="C902" s="12" t="s">
        <v>14</v>
      </c>
      <c r="D902" s="19" t="s">
        <v>22</v>
      </c>
      <c r="E902" s="12" t="str">
        <f>IFERROR(__xludf.DUMMYFUNCTION("FILTER(colegios!$B$2:$B5618,colegios!$A$2:$A5618=L902)"),"36789 NUESTRA SEÑORA DEL CARMEN")</f>
        <v>36789 NUESTRA SEÑORA DEL CARMEN</v>
      </c>
      <c r="F902" s="14" t="s">
        <v>16</v>
      </c>
      <c r="G902" s="19" t="s">
        <v>21</v>
      </c>
      <c r="H902" s="12" t="s">
        <v>24</v>
      </c>
      <c r="I902" s="15">
        <v>2024.0</v>
      </c>
      <c r="J902" s="16" t="str">
        <f>IFERROR(__xludf.DUMMYFUNCTION("FILTER('CLASFICACIÓN'!$F$3:$F5618,'CLASFICACIÓN'!$G$3:$G5618=M902)"),"SOLO 2024")</f>
        <v>SOLO 2024</v>
      </c>
      <c r="K902" s="16"/>
      <c r="L902" s="12" t="s">
        <v>89</v>
      </c>
      <c r="M902" s="16" t="str">
        <f t="shared" si="1"/>
        <v>36789 NUESTRA SEÑORA DEL CARMEN6 Primaria</v>
      </c>
      <c r="N902" s="17"/>
      <c r="O902" s="17"/>
      <c r="P902" s="17"/>
      <c r="Q902" s="17"/>
      <c r="R902" s="17"/>
      <c r="S902" s="17"/>
      <c r="T902" s="17"/>
    </row>
    <row r="903" ht="15.75" customHeight="1">
      <c r="A903" s="18">
        <v>7.0</v>
      </c>
      <c r="B903" s="12" t="s">
        <v>84</v>
      </c>
      <c r="C903" s="12" t="s">
        <v>14</v>
      </c>
      <c r="D903" s="19" t="s">
        <v>22</v>
      </c>
      <c r="E903" s="12" t="str">
        <f>IFERROR(__xludf.DUMMYFUNCTION("FILTER(colegios!$B$2:$B5618,colegios!$A$2:$A5618=L903)"),"36789 NUESTRA SEÑORA DEL CARMEN")</f>
        <v>36789 NUESTRA SEÑORA DEL CARMEN</v>
      </c>
      <c r="F903" s="14" t="s">
        <v>16</v>
      </c>
      <c r="G903" s="19" t="s">
        <v>21</v>
      </c>
      <c r="H903" s="12" t="s">
        <v>18</v>
      </c>
      <c r="I903" s="15">
        <v>2024.0</v>
      </c>
      <c r="J903" s="16" t="str">
        <f>IFERROR(__xludf.DUMMYFUNCTION("FILTER('CLASFICACIÓN'!$F$3:$F5618,'CLASFICACIÓN'!$G$3:$G5618=M903)"),"SOLO 2024")</f>
        <v>SOLO 2024</v>
      </c>
      <c r="K903" s="16"/>
      <c r="L903" s="12" t="s">
        <v>89</v>
      </c>
      <c r="M903" s="16" t="str">
        <f t="shared" si="1"/>
        <v>36789 NUESTRA SEÑORA DEL CARMEN6 Primaria</v>
      </c>
      <c r="N903" s="17"/>
      <c r="O903" s="17"/>
      <c r="P903" s="17"/>
      <c r="Q903" s="17"/>
      <c r="R903" s="17"/>
      <c r="S903" s="17"/>
      <c r="T903" s="17"/>
    </row>
    <row r="904" ht="15.75" customHeight="1">
      <c r="A904" s="18">
        <v>1.0</v>
      </c>
      <c r="B904" s="12" t="s">
        <v>84</v>
      </c>
      <c r="C904" s="12" t="s">
        <v>27</v>
      </c>
      <c r="D904" s="19" t="s">
        <v>30</v>
      </c>
      <c r="E904" s="12" t="str">
        <f>IFERROR(__xludf.DUMMYFUNCTION("FILTER(colegios!$B$2:$B5618,colegios!$A$2:$A5618=L904)"),"NUESTRA SEÑORA DE LA CANDELARIA")</f>
        <v>NUESTRA SEÑORA DE LA CANDELARIA</v>
      </c>
      <c r="F904" s="14" t="s">
        <v>16</v>
      </c>
      <c r="G904" s="19" t="s">
        <v>17</v>
      </c>
      <c r="H904" s="12" t="s">
        <v>18</v>
      </c>
      <c r="I904" s="15">
        <v>2024.0</v>
      </c>
      <c r="J904" s="16" t="str">
        <f>IFERROR(__xludf.DUMMYFUNCTION("FILTER('CLASFICACIÓN'!$F$3:$F5618,'CLASFICACIÓN'!$G$3:$G5618=M904)"),"2023 Y 2024")</f>
        <v>2023 Y 2024</v>
      </c>
      <c r="K904" s="16"/>
      <c r="L904" s="12" t="s">
        <v>85</v>
      </c>
      <c r="M904" s="16" t="str">
        <f t="shared" si="1"/>
        <v>NUESTRA SEÑORA DE LA CANDELARIA4 Secundaria</v>
      </c>
      <c r="N904" s="17"/>
      <c r="O904" s="17"/>
      <c r="P904" s="17"/>
      <c r="Q904" s="17"/>
      <c r="R904" s="17"/>
      <c r="S904" s="17"/>
      <c r="T904" s="17"/>
    </row>
    <row r="905" ht="15.75" customHeight="1">
      <c r="A905" s="18">
        <v>2.0</v>
      </c>
      <c r="B905" s="12" t="s">
        <v>84</v>
      </c>
      <c r="C905" s="12" t="s">
        <v>27</v>
      </c>
      <c r="D905" s="19" t="s">
        <v>30</v>
      </c>
      <c r="E905" s="12" t="str">
        <f>IFERROR(__xludf.DUMMYFUNCTION("FILTER(colegios!$B$2:$B5618,colegios!$A$2:$A5618=L905)"),"NUESTRA SEÑORA DE LA CANDELARIA")</f>
        <v>NUESTRA SEÑORA DE LA CANDELARIA</v>
      </c>
      <c r="F905" s="14" t="s">
        <v>16</v>
      </c>
      <c r="G905" s="19" t="s">
        <v>17</v>
      </c>
      <c r="H905" s="12" t="s">
        <v>24</v>
      </c>
      <c r="I905" s="15">
        <v>2024.0</v>
      </c>
      <c r="J905" s="16" t="str">
        <f>IFERROR(__xludf.DUMMYFUNCTION("FILTER('CLASFICACIÓN'!$F$3:$F5618,'CLASFICACIÓN'!$G$3:$G5618=M905)"),"2023 Y 2024")</f>
        <v>2023 Y 2024</v>
      </c>
      <c r="K905" s="16"/>
      <c r="L905" s="12" t="s">
        <v>85</v>
      </c>
      <c r="M905" s="16" t="str">
        <f t="shared" si="1"/>
        <v>NUESTRA SEÑORA DE LA CANDELARIA4 Secundaria</v>
      </c>
      <c r="N905" s="17"/>
      <c r="O905" s="17"/>
      <c r="P905" s="17"/>
      <c r="Q905" s="17"/>
      <c r="R905" s="17"/>
      <c r="S905" s="17"/>
      <c r="T905" s="17"/>
    </row>
    <row r="906" ht="15.75" customHeight="1">
      <c r="A906" s="18">
        <v>3.0</v>
      </c>
      <c r="B906" s="12" t="s">
        <v>84</v>
      </c>
      <c r="C906" s="12" t="s">
        <v>27</v>
      </c>
      <c r="D906" s="19" t="s">
        <v>30</v>
      </c>
      <c r="E906" s="12" t="str">
        <f>IFERROR(__xludf.DUMMYFUNCTION("FILTER(colegios!$B$2:$B5618,colegios!$A$2:$A5618=L906)"),"NUESTRA SEÑORA DE LA CANDELARIA")</f>
        <v>NUESTRA SEÑORA DE LA CANDELARIA</v>
      </c>
      <c r="F906" s="14" t="s">
        <v>16</v>
      </c>
      <c r="G906" s="19" t="s">
        <v>17</v>
      </c>
      <c r="H906" s="12" t="s">
        <v>18</v>
      </c>
      <c r="I906" s="15">
        <v>2024.0</v>
      </c>
      <c r="J906" s="16" t="str">
        <f>IFERROR(__xludf.DUMMYFUNCTION("FILTER('CLASFICACIÓN'!$F$3:$F5618,'CLASFICACIÓN'!$G$3:$G5618=M906)"),"2023 Y 2024")</f>
        <v>2023 Y 2024</v>
      </c>
      <c r="K906" s="16"/>
      <c r="L906" s="12" t="s">
        <v>85</v>
      </c>
      <c r="M906" s="16" t="str">
        <f t="shared" si="1"/>
        <v>NUESTRA SEÑORA DE LA CANDELARIA4 Secundaria</v>
      </c>
      <c r="N906" s="17"/>
      <c r="O906" s="17"/>
      <c r="P906" s="17"/>
      <c r="Q906" s="17"/>
      <c r="R906" s="17"/>
      <c r="S906" s="17"/>
      <c r="T906" s="17"/>
    </row>
    <row r="907" ht="15.75" customHeight="1">
      <c r="A907" s="18">
        <v>4.0</v>
      </c>
      <c r="B907" s="12" t="s">
        <v>84</v>
      </c>
      <c r="C907" s="12" t="s">
        <v>27</v>
      </c>
      <c r="D907" s="19" t="s">
        <v>30</v>
      </c>
      <c r="E907" s="12" t="str">
        <f>IFERROR(__xludf.DUMMYFUNCTION("FILTER(colegios!$B$2:$B5618,colegios!$A$2:$A5618=L907)"),"NUESTRA SEÑORA DE LA CANDELARIA")</f>
        <v>NUESTRA SEÑORA DE LA CANDELARIA</v>
      </c>
      <c r="F907" s="14" t="s">
        <v>16</v>
      </c>
      <c r="G907" s="19" t="s">
        <v>21</v>
      </c>
      <c r="H907" s="12" t="s">
        <v>24</v>
      </c>
      <c r="I907" s="15">
        <v>2024.0</v>
      </c>
      <c r="J907" s="16" t="str">
        <f>IFERROR(__xludf.DUMMYFUNCTION("FILTER('CLASFICACIÓN'!$F$3:$F5618,'CLASFICACIÓN'!$G$3:$G5618=M907)"),"2023 Y 2024")</f>
        <v>2023 Y 2024</v>
      </c>
      <c r="K907" s="16"/>
      <c r="L907" s="12" t="s">
        <v>85</v>
      </c>
      <c r="M907" s="16" t="str">
        <f t="shared" si="1"/>
        <v>NUESTRA SEÑORA DE LA CANDELARIA4 Secundaria</v>
      </c>
      <c r="N907" s="17"/>
      <c r="O907" s="17"/>
      <c r="P907" s="17"/>
      <c r="Q907" s="17"/>
      <c r="R907" s="17"/>
      <c r="S907" s="17"/>
      <c r="T907" s="17"/>
    </row>
    <row r="908" ht="15.75" customHeight="1">
      <c r="A908" s="18">
        <v>5.0</v>
      </c>
      <c r="B908" s="12" t="s">
        <v>84</v>
      </c>
      <c r="C908" s="12" t="s">
        <v>27</v>
      </c>
      <c r="D908" s="19" t="s">
        <v>30</v>
      </c>
      <c r="E908" s="12" t="str">
        <f>IFERROR(__xludf.DUMMYFUNCTION("FILTER(colegios!$B$2:$B5618,colegios!$A$2:$A5618=L908)"),"NUESTRA SEÑORA DE LA CANDELARIA")</f>
        <v>NUESTRA SEÑORA DE LA CANDELARIA</v>
      </c>
      <c r="F908" s="14" t="s">
        <v>16</v>
      </c>
      <c r="G908" s="19" t="s">
        <v>21</v>
      </c>
      <c r="H908" s="12" t="s">
        <v>24</v>
      </c>
      <c r="I908" s="15">
        <v>2024.0</v>
      </c>
      <c r="J908" s="16" t="str">
        <f>IFERROR(__xludf.DUMMYFUNCTION("FILTER('CLASFICACIÓN'!$F$3:$F5618,'CLASFICACIÓN'!$G$3:$G5618=M908)"),"2023 Y 2024")</f>
        <v>2023 Y 2024</v>
      </c>
      <c r="K908" s="16"/>
      <c r="L908" s="12" t="s">
        <v>85</v>
      </c>
      <c r="M908" s="16" t="str">
        <f t="shared" si="1"/>
        <v>NUESTRA SEÑORA DE LA CANDELARIA4 Secundaria</v>
      </c>
      <c r="N908" s="17"/>
      <c r="O908" s="17"/>
      <c r="P908" s="17"/>
      <c r="Q908" s="17"/>
      <c r="R908" s="17"/>
      <c r="S908" s="17"/>
      <c r="T908" s="17"/>
    </row>
    <row r="909" ht="15.75" customHeight="1">
      <c r="A909" s="18">
        <v>6.0</v>
      </c>
      <c r="B909" s="12" t="s">
        <v>84</v>
      </c>
      <c r="C909" s="12" t="s">
        <v>27</v>
      </c>
      <c r="D909" s="19" t="s">
        <v>30</v>
      </c>
      <c r="E909" s="12" t="str">
        <f>IFERROR(__xludf.DUMMYFUNCTION("FILTER(colegios!$B$2:$B5618,colegios!$A$2:$A5618=L909)"),"NUESTRA SEÑORA DE LA CANDELARIA")</f>
        <v>NUESTRA SEÑORA DE LA CANDELARIA</v>
      </c>
      <c r="F909" s="14" t="s">
        <v>16</v>
      </c>
      <c r="G909" s="19" t="s">
        <v>21</v>
      </c>
      <c r="H909" s="12" t="s">
        <v>24</v>
      </c>
      <c r="I909" s="15">
        <v>2024.0</v>
      </c>
      <c r="J909" s="16" t="str">
        <f>IFERROR(__xludf.DUMMYFUNCTION("FILTER('CLASFICACIÓN'!$F$3:$F5618,'CLASFICACIÓN'!$G$3:$G5618=M909)"),"2023 Y 2024")</f>
        <v>2023 Y 2024</v>
      </c>
      <c r="K909" s="16"/>
      <c r="L909" s="12" t="s">
        <v>85</v>
      </c>
      <c r="M909" s="16" t="str">
        <f t="shared" si="1"/>
        <v>NUESTRA SEÑORA DE LA CANDELARIA4 Secundaria</v>
      </c>
      <c r="N909" s="17"/>
      <c r="O909" s="17"/>
      <c r="P909" s="17"/>
      <c r="Q909" s="17"/>
      <c r="R909" s="17"/>
      <c r="S909" s="17"/>
      <c r="T909" s="17"/>
    </row>
    <row r="910" ht="15.75" customHeight="1">
      <c r="A910" s="18">
        <v>7.0</v>
      </c>
      <c r="B910" s="12" t="s">
        <v>84</v>
      </c>
      <c r="C910" s="12" t="s">
        <v>27</v>
      </c>
      <c r="D910" s="19" t="s">
        <v>30</v>
      </c>
      <c r="E910" s="12" t="str">
        <f>IFERROR(__xludf.DUMMYFUNCTION("FILTER(colegios!$B$2:$B5618,colegios!$A$2:$A5618=L910)"),"NUESTRA SEÑORA DE LA CANDELARIA")</f>
        <v>NUESTRA SEÑORA DE LA CANDELARIA</v>
      </c>
      <c r="F910" s="14" t="s">
        <v>16</v>
      </c>
      <c r="G910" s="19" t="s">
        <v>21</v>
      </c>
      <c r="H910" s="12" t="s">
        <v>24</v>
      </c>
      <c r="I910" s="15">
        <v>2024.0</v>
      </c>
      <c r="J910" s="16" t="str">
        <f>IFERROR(__xludf.DUMMYFUNCTION("FILTER('CLASFICACIÓN'!$F$3:$F5618,'CLASFICACIÓN'!$G$3:$G5618=M910)"),"2023 Y 2024")</f>
        <v>2023 Y 2024</v>
      </c>
      <c r="K910" s="16"/>
      <c r="L910" s="12" t="s">
        <v>85</v>
      </c>
      <c r="M910" s="16" t="str">
        <f t="shared" si="1"/>
        <v>NUESTRA SEÑORA DE LA CANDELARIA4 Secundaria</v>
      </c>
      <c r="N910" s="17"/>
      <c r="O910" s="17"/>
      <c r="P910" s="17"/>
      <c r="Q910" s="17"/>
      <c r="R910" s="17"/>
      <c r="S910" s="17"/>
      <c r="T910" s="17"/>
    </row>
    <row r="911" ht="15.75" customHeight="1">
      <c r="A911" s="18">
        <v>8.0</v>
      </c>
      <c r="B911" s="12" t="s">
        <v>84</v>
      </c>
      <c r="C911" s="12" t="s">
        <v>27</v>
      </c>
      <c r="D911" s="19" t="s">
        <v>30</v>
      </c>
      <c r="E911" s="12" t="str">
        <f>IFERROR(__xludf.DUMMYFUNCTION("FILTER(colegios!$B$2:$B5618,colegios!$A$2:$A5618=L911)"),"NUESTRA SEÑORA DE LA CANDELARIA")</f>
        <v>NUESTRA SEÑORA DE LA CANDELARIA</v>
      </c>
      <c r="F911" s="14" t="s">
        <v>16</v>
      </c>
      <c r="G911" s="19" t="s">
        <v>17</v>
      </c>
      <c r="H911" s="12" t="s">
        <v>18</v>
      </c>
      <c r="I911" s="15">
        <v>2024.0</v>
      </c>
      <c r="J911" s="16" t="str">
        <f>IFERROR(__xludf.DUMMYFUNCTION("FILTER('CLASFICACIÓN'!$F$3:$F5618,'CLASFICACIÓN'!$G$3:$G5618=M911)"),"2023 Y 2024")</f>
        <v>2023 Y 2024</v>
      </c>
      <c r="K911" s="16"/>
      <c r="L911" s="12" t="s">
        <v>85</v>
      </c>
      <c r="M911" s="16" t="str">
        <f t="shared" si="1"/>
        <v>NUESTRA SEÑORA DE LA CANDELARIA4 Secundaria</v>
      </c>
      <c r="N911" s="17"/>
      <c r="O911" s="17"/>
      <c r="P911" s="17"/>
      <c r="Q911" s="17"/>
      <c r="R911" s="17"/>
      <c r="S911" s="17"/>
      <c r="T911" s="17"/>
    </row>
    <row r="912" ht="15.75" customHeight="1">
      <c r="A912" s="18">
        <v>9.0</v>
      </c>
      <c r="B912" s="12" t="s">
        <v>84</v>
      </c>
      <c r="C912" s="12" t="s">
        <v>27</v>
      </c>
      <c r="D912" s="19" t="s">
        <v>30</v>
      </c>
      <c r="E912" s="12" t="str">
        <f>IFERROR(__xludf.DUMMYFUNCTION("FILTER(colegios!$B$2:$B5618,colegios!$A$2:$A5618=L912)"),"NUESTRA SEÑORA DE LA CANDELARIA")</f>
        <v>NUESTRA SEÑORA DE LA CANDELARIA</v>
      </c>
      <c r="F912" s="14" t="s">
        <v>16</v>
      </c>
      <c r="G912" s="19" t="s">
        <v>17</v>
      </c>
      <c r="H912" s="12" t="s">
        <v>18</v>
      </c>
      <c r="I912" s="15">
        <v>2024.0</v>
      </c>
      <c r="J912" s="16" t="str">
        <f>IFERROR(__xludf.DUMMYFUNCTION("FILTER('CLASFICACIÓN'!$F$3:$F5618,'CLASFICACIÓN'!$G$3:$G5618=M912)"),"2023 Y 2024")</f>
        <v>2023 Y 2024</v>
      </c>
      <c r="K912" s="16"/>
      <c r="L912" s="12" t="s">
        <v>85</v>
      </c>
      <c r="M912" s="16" t="str">
        <f t="shared" si="1"/>
        <v>NUESTRA SEÑORA DE LA CANDELARIA4 Secundaria</v>
      </c>
      <c r="N912" s="17"/>
      <c r="O912" s="17"/>
      <c r="P912" s="17"/>
      <c r="Q912" s="17"/>
      <c r="R912" s="17"/>
      <c r="S912" s="17"/>
      <c r="T912" s="17"/>
    </row>
    <row r="913" ht="15.75" customHeight="1">
      <c r="A913" s="18">
        <v>10.0</v>
      </c>
      <c r="B913" s="12" t="s">
        <v>84</v>
      </c>
      <c r="C913" s="12" t="s">
        <v>27</v>
      </c>
      <c r="D913" s="19" t="s">
        <v>30</v>
      </c>
      <c r="E913" s="12" t="str">
        <f>IFERROR(__xludf.DUMMYFUNCTION("FILTER(colegios!$B$2:$B5618,colegios!$A$2:$A5618=L913)"),"NUESTRA SEÑORA DE LA CANDELARIA")</f>
        <v>NUESTRA SEÑORA DE LA CANDELARIA</v>
      </c>
      <c r="F913" s="14" t="s">
        <v>16</v>
      </c>
      <c r="G913" s="19" t="s">
        <v>21</v>
      </c>
      <c r="H913" s="12" t="s">
        <v>24</v>
      </c>
      <c r="I913" s="15">
        <v>2024.0</v>
      </c>
      <c r="J913" s="16" t="str">
        <f>IFERROR(__xludf.DUMMYFUNCTION("FILTER('CLASFICACIÓN'!$F$3:$F5618,'CLASFICACIÓN'!$G$3:$G5618=M913)"),"2023 Y 2024")</f>
        <v>2023 Y 2024</v>
      </c>
      <c r="K913" s="16"/>
      <c r="L913" s="12" t="s">
        <v>85</v>
      </c>
      <c r="M913" s="16" t="str">
        <f t="shared" si="1"/>
        <v>NUESTRA SEÑORA DE LA CANDELARIA4 Secundaria</v>
      </c>
      <c r="N913" s="17"/>
      <c r="O913" s="17"/>
      <c r="P913" s="17"/>
      <c r="Q913" s="17"/>
      <c r="R913" s="17"/>
      <c r="S913" s="17"/>
      <c r="T913" s="17"/>
    </row>
    <row r="914" ht="15.75" customHeight="1">
      <c r="A914" s="18">
        <v>11.0</v>
      </c>
      <c r="B914" s="12" t="s">
        <v>84</v>
      </c>
      <c r="C914" s="12" t="s">
        <v>27</v>
      </c>
      <c r="D914" s="19" t="s">
        <v>30</v>
      </c>
      <c r="E914" s="12" t="str">
        <f>IFERROR(__xludf.DUMMYFUNCTION("FILTER(colegios!$B$2:$B5618,colegios!$A$2:$A5618=L914)"),"NUESTRA SEÑORA DE LA CANDELARIA")</f>
        <v>NUESTRA SEÑORA DE LA CANDELARIA</v>
      </c>
      <c r="F914" s="14" t="s">
        <v>16</v>
      </c>
      <c r="G914" s="19" t="s">
        <v>17</v>
      </c>
      <c r="H914" s="12" t="s">
        <v>18</v>
      </c>
      <c r="I914" s="15">
        <v>2024.0</v>
      </c>
      <c r="J914" s="16" t="str">
        <f>IFERROR(__xludf.DUMMYFUNCTION("FILTER('CLASFICACIÓN'!$F$3:$F5618,'CLASFICACIÓN'!$G$3:$G5618=M914)"),"2023 Y 2024")</f>
        <v>2023 Y 2024</v>
      </c>
      <c r="K914" s="16"/>
      <c r="L914" s="12" t="s">
        <v>85</v>
      </c>
      <c r="M914" s="16" t="str">
        <f t="shared" si="1"/>
        <v>NUESTRA SEÑORA DE LA CANDELARIA4 Secundaria</v>
      </c>
      <c r="N914" s="17"/>
      <c r="O914" s="17"/>
      <c r="P914" s="17"/>
      <c r="Q914" s="17"/>
      <c r="R914" s="17"/>
      <c r="S914" s="17"/>
      <c r="T914" s="17"/>
    </row>
    <row r="915" ht="15.75" customHeight="1">
      <c r="A915" s="18">
        <v>13.0</v>
      </c>
      <c r="B915" s="12" t="s">
        <v>84</v>
      </c>
      <c r="C915" s="12" t="s">
        <v>27</v>
      </c>
      <c r="D915" s="19" t="s">
        <v>30</v>
      </c>
      <c r="E915" s="12" t="str">
        <f>IFERROR(__xludf.DUMMYFUNCTION("FILTER(colegios!$B$2:$B5618,colegios!$A$2:$A5618=L915)"),"NUESTRA SEÑORA DE LA CANDELARIA")</f>
        <v>NUESTRA SEÑORA DE LA CANDELARIA</v>
      </c>
      <c r="F915" s="14" t="s">
        <v>16</v>
      </c>
      <c r="G915" s="19" t="s">
        <v>17</v>
      </c>
      <c r="H915" s="12" t="s">
        <v>18</v>
      </c>
      <c r="I915" s="15">
        <v>2024.0</v>
      </c>
      <c r="J915" s="16" t="str">
        <f>IFERROR(__xludf.DUMMYFUNCTION("FILTER('CLASFICACIÓN'!$F$3:$F5618,'CLASFICACIÓN'!$G$3:$G5618=M915)"),"2023 Y 2024")</f>
        <v>2023 Y 2024</v>
      </c>
      <c r="K915" s="16"/>
      <c r="L915" s="12" t="s">
        <v>85</v>
      </c>
      <c r="M915" s="16" t="str">
        <f t="shared" si="1"/>
        <v>NUESTRA SEÑORA DE LA CANDELARIA4 Secundaria</v>
      </c>
      <c r="N915" s="17"/>
      <c r="O915" s="17"/>
      <c r="P915" s="17"/>
      <c r="Q915" s="17"/>
      <c r="R915" s="17"/>
      <c r="S915" s="17"/>
      <c r="T915" s="17"/>
    </row>
    <row r="916" ht="15.75" customHeight="1">
      <c r="A916" s="18">
        <v>14.0</v>
      </c>
      <c r="B916" s="12" t="s">
        <v>84</v>
      </c>
      <c r="C916" s="12" t="s">
        <v>27</v>
      </c>
      <c r="D916" s="19" t="s">
        <v>30</v>
      </c>
      <c r="E916" s="12" t="str">
        <f>IFERROR(__xludf.DUMMYFUNCTION("FILTER(colegios!$B$2:$B5618,colegios!$A$2:$A5618=L916)"),"NUESTRA SEÑORA DE LA CANDELARIA")</f>
        <v>NUESTRA SEÑORA DE LA CANDELARIA</v>
      </c>
      <c r="F916" s="14" t="s">
        <v>16</v>
      </c>
      <c r="G916" s="19" t="s">
        <v>17</v>
      </c>
      <c r="H916" s="12" t="s">
        <v>24</v>
      </c>
      <c r="I916" s="15">
        <v>2024.0</v>
      </c>
      <c r="J916" s="16" t="str">
        <f>IFERROR(__xludf.DUMMYFUNCTION("FILTER('CLASFICACIÓN'!$F$3:$F5618,'CLASFICACIÓN'!$G$3:$G5618=M916)"),"2023 Y 2024")</f>
        <v>2023 Y 2024</v>
      </c>
      <c r="K916" s="16"/>
      <c r="L916" s="12" t="s">
        <v>85</v>
      </c>
      <c r="M916" s="16" t="str">
        <f t="shared" si="1"/>
        <v>NUESTRA SEÑORA DE LA CANDELARIA4 Secundaria</v>
      </c>
      <c r="N916" s="17"/>
      <c r="O916" s="17"/>
      <c r="P916" s="17"/>
      <c r="Q916" s="17"/>
      <c r="R916" s="17"/>
      <c r="S916" s="17"/>
      <c r="T916" s="17"/>
    </row>
    <row r="917" ht="15.75" customHeight="1">
      <c r="A917" s="18">
        <v>16.0</v>
      </c>
      <c r="B917" s="12" t="s">
        <v>84</v>
      </c>
      <c r="C917" s="12" t="s">
        <v>27</v>
      </c>
      <c r="D917" s="19" t="s">
        <v>30</v>
      </c>
      <c r="E917" s="12" t="str">
        <f>IFERROR(__xludf.DUMMYFUNCTION("FILTER(colegios!$B$2:$B5618,colegios!$A$2:$A5618=L917)"),"NUESTRA SEÑORA DE LA CANDELARIA")</f>
        <v>NUESTRA SEÑORA DE LA CANDELARIA</v>
      </c>
      <c r="F917" s="14" t="s">
        <v>16</v>
      </c>
      <c r="G917" s="19" t="s">
        <v>17</v>
      </c>
      <c r="H917" s="12" t="s">
        <v>18</v>
      </c>
      <c r="I917" s="15">
        <v>2024.0</v>
      </c>
      <c r="J917" s="16" t="str">
        <f>IFERROR(__xludf.DUMMYFUNCTION("FILTER('CLASFICACIÓN'!$F$3:$F5618,'CLASFICACIÓN'!$G$3:$G5618=M917)"),"2023 Y 2024")</f>
        <v>2023 Y 2024</v>
      </c>
      <c r="K917" s="16"/>
      <c r="L917" s="12" t="s">
        <v>85</v>
      </c>
      <c r="M917" s="16" t="str">
        <f t="shared" si="1"/>
        <v>NUESTRA SEÑORA DE LA CANDELARIA4 Secundaria</v>
      </c>
      <c r="N917" s="17"/>
      <c r="O917" s="17"/>
      <c r="P917" s="17"/>
      <c r="Q917" s="17"/>
      <c r="R917" s="17"/>
      <c r="S917" s="17"/>
      <c r="T917" s="17"/>
    </row>
    <row r="918" ht="15.75" customHeight="1">
      <c r="A918" s="18">
        <v>17.0</v>
      </c>
      <c r="B918" s="12" t="s">
        <v>84</v>
      </c>
      <c r="C918" s="12" t="s">
        <v>27</v>
      </c>
      <c r="D918" s="19" t="s">
        <v>30</v>
      </c>
      <c r="E918" s="12" t="str">
        <f>IFERROR(__xludf.DUMMYFUNCTION("FILTER(colegios!$B$2:$B5618,colegios!$A$2:$A5618=L918)"),"NUESTRA SEÑORA DE LA CANDELARIA")</f>
        <v>NUESTRA SEÑORA DE LA CANDELARIA</v>
      </c>
      <c r="F918" s="14" t="s">
        <v>16</v>
      </c>
      <c r="G918" s="19" t="s">
        <v>17</v>
      </c>
      <c r="H918" s="12" t="s">
        <v>18</v>
      </c>
      <c r="I918" s="15">
        <v>2024.0</v>
      </c>
      <c r="J918" s="16" t="str">
        <f>IFERROR(__xludf.DUMMYFUNCTION("FILTER('CLASFICACIÓN'!$F$3:$F5618,'CLASFICACIÓN'!$G$3:$G5618=M918)"),"2023 Y 2024")</f>
        <v>2023 Y 2024</v>
      </c>
      <c r="K918" s="16"/>
      <c r="L918" s="12" t="s">
        <v>85</v>
      </c>
      <c r="M918" s="16" t="str">
        <f t="shared" si="1"/>
        <v>NUESTRA SEÑORA DE LA CANDELARIA4 Secundaria</v>
      </c>
      <c r="N918" s="17"/>
      <c r="O918" s="17"/>
      <c r="P918" s="17"/>
      <c r="Q918" s="17"/>
      <c r="R918" s="17"/>
      <c r="S918" s="17"/>
      <c r="T918" s="17"/>
    </row>
    <row r="919" ht="15.75" customHeight="1">
      <c r="A919" s="18">
        <v>18.0</v>
      </c>
      <c r="B919" s="12" t="s">
        <v>84</v>
      </c>
      <c r="C919" s="12" t="s">
        <v>27</v>
      </c>
      <c r="D919" s="19" t="s">
        <v>30</v>
      </c>
      <c r="E919" s="12" t="str">
        <f>IFERROR(__xludf.DUMMYFUNCTION("FILTER(colegios!$B$2:$B5618,colegios!$A$2:$A5618=L919)"),"NUESTRA SEÑORA DE LA CANDELARIA")</f>
        <v>NUESTRA SEÑORA DE LA CANDELARIA</v>
      </c>
      <c r="F919" s="14" t="s">
        <v>16</v>
      </c>
      <c r="G919" s="19" t="s">
        <v>21</v>
      </c>
      <c r="H919" s="12" t="s">
        <v>18</v>
      </c>
      <c r="I919" s="15">
        <v>2024.0</v>
      </c>
      <c r="J919" s="16" t="str">
        <f>IFERROR(__xludf.DUMMYFUNCTION("FILTER('CLASFICACIÓN'!$F$3:$F5618,'CLASFICACIÓN'!$G$3:$G5618=M919)"),"2023 Y 2024")</f>
        <v>2023 Y 2024</v>
      </c>
      <c r="K919" s="16"/>
      <c r="L919" s="12" t="s">
        <v>85</v>
      </c>
      <c r="M919" s="16" t="str">
        <f t="shared" si="1"/>
        <v>NUESTRA SEÑORA DE LA CANDELARIA4 Secundaria</v>
      </c>
      <c r="N919" s="17"/>
      <c r="O919" s="17"/>
      <c r="P919" s="17"/>
      <c r="Q919" s="17"/>
      <c r="R919" s="17"/>
      <c r="S919" s="17"/>
      <c r="T919" s="17"/>
    </row>
    <row r="920" ht="15.75" customHeight="1">
      <c r="A920" s="18">
        <v>19.0</v>
      </c>
      <c r="B920" s="12" t="s">
        <v>84</v>
      </c>
      <c r="C920" s="12" t="s">
        <v>27</v>
      </c>
      <c r="D920" s="19" t="s">
        <v>30</v>
      </c>
      <c r="E920" s="12" t="str">
        <f>IFERROR(__xludf.DUMMYFUNCTION("FILTER(colegios!$B$2:$B5618,colegios!$A$2:$A5618=L920)"),"NUESTRA SEÑORA DE LA CANDELARIA")</f>
        <v>NUESTRA SEÑORA DE LA CANDELARIA</v>
      </c>
      <c r="F920" s="14" t="s">
        <v>16</v>
      </c>
      <c r="G920" s="19" t="s">
        <v>17</v>
      </c>
      <c r="H920" s="12" t="s">
        <v>18</v>
      </c>
      <c r="I920" s="15">
        <v>2024.0</v>
      </c>
      <c r="J920" s="16" t="str">
        <f>IFERROR(__xludf.DUMMYFUNCTION("FILTER('CLASFICACIÓN'!$F$3:$F5618,'CLASFICACIÓN'!$G$3:$G5618=M920)"),"2023 Y 2024")</f>
        <v>2023 Y 2024</v>
      </c>
      <c r="K920" s="16"/>
      <c r="L920" s="12" t="s">
        <v>85</v>
      </c>
      <c r="M920" s="16" t="str">
        <f t="shared" si="1"/>
        <v>NUESTRA SEÑORA DE LA CANDELARIA4 Secundaria</v>
      </c>
      <c r="N920" s="17"/>
      <c r="O920" s="17"/>
      <c r="P920" s="17"/>
      <c r="Q920" s="17"/>
      <c r="R920" s="17"/>
      <c r="S920" s="17"/>
      <c r="T920" s="17"/>
    </row>
    <row r="921" ht="15.75" customHeight="1">
      <c r="A921" s="18">
        <v>20.0</v>
      </c>
      <c r="B921" s="12" t="s">
        <v>84</v>
      </c>
      <c r="C921" s="12" t="s">
        <v>27</v>
      </c>
      <c r="D921" s="19" t="s">
        <v>30</v>
      </c>
      <c r="E921" s="12" t="str">
        <f>IFERROR(__xludf.DUMMYFUNCTION("FILTER(colegios!$B$2:$B5618,colegios!$A$2:$A5618=L921)"),"NUESTRA SEÑORA DE LA CANDELARIA")</f>
        <v>NUESTRA SEÑORA DE LA CANDELARIA</v>
      </c>
      <c r="F921" s="14" t="s">
        <v>16</v>
      </c>
      <c r="G921" s="19" t="s">
        <v>17</v>
      </c>
      <c r="H921" s="12" t="s">
        <v>18</v>
      </c>
      <c r="I921" s="15">
        <v>2024.0</v>
      </c>
      <c r="J921" s="16" t="str">
        <f>IFERROR(__xludf.DUMMYFUNCTION("FILTER('CLASFICACIÓN'!$F$3:$F5618,'CLASFICACIÓN'!$G$3:$G5618=M921)"),"2023 Y 2024")</f>
        <v>2023 Y 2024</v>
      </c>
      <c r="K921" s="16"/>
      <c r="L921" s="12" t="s">
        <v>85</v>
      </c>
      <c r="M921" s="16" t="str">
        <f t="shared" si="1"/>
        <v>NUESTRA SEÑORA DE LA CANDELARIA4 Secundaria</v>
      </c>
      <c r="N921" s="17"/>
      <c r="O921" s="17"/>
      <c r="P921" s="17"/>
      <c r="Q921" s="17"/>
      <c r="R921" s="17"/>
      <c r="S921" s="17"/>
      <c r="T921" s="17"/>
    </row>
    <row r="922" ht="15.75" customHeight="1">
      <c r="A922" s="18">
        <v>21.0</v>
      </c>
      <c r="B922" s="12" t="s">
        <v>84</v>
      </c>
      <c r="C922" s="12" t="s">
        <v>27</v>
      </c>
      <c r="D922" s="19" t="s">
        <v>30</v>
      </c>
      <c r="E922" s="12" t="str">
        <f>IFERROR(__xludf.DUMMYFUNCTION("FILTER(colegios!$B$2:$B5618,colegios!$A$2:$A5618=L922)"),"NUESTRA SEÑORA DE LA CANDELARIA")</f>
        <v>NUESTRA SEÑORA DE LA CANDELARIA</v>
      </c>
      <c r="F922" s="14" t="s">
        <v>16</v>
      </c>
      <c r="G922" s="19" t="s">
        <v>21</v>
      </c>
      <c r="H922" s="12" t="s">
        <v>18</v>
      </c>
      <c r="I922" s="15">
        <v>2024.0</v>
      </c>
      <c r="J922" s="16" t="str">
        <f>IFERROR(__xludf.DUMMYFUNCTION("FILTER('CLASFICACIÓN'!$F$3:$F5618,'CLASFICACIÓN'!$G$3:$G5618=M922)"),"2023 Y 2024")</f>
        <v>2023 Y 2024</v>
      </c>
      <c r="K922" s="16"/>
      <c r="L922" s="12" t="s">
        <v>85</v>
      </c>
      <c r="M922" s="16" t="str">
        <f t="shared" si="1"/>
        <v>NUESTRA SEÑORA DE LA CANDELARIA4 Secundaria</v>
      </c>
      <c r="N922" s="17"/>
      <c r="O922" s="17"/>
      <c r="P922" s="17"/>
      <c r="Q922" s="17"/>
      <c r="R922" s="17"/>
      <c r="S922" s="17"/>
      <c r="T922" s="17"/>
    </row>
    <row r="923" ht="15.75" customHeight="1">
      <c r="A923" s="18">
        <v>23.0</v>
      </c>
      <c r="B923" s="12" t="s">
        <v>84</v>
      </c>
      <c r="C923" s="12" t="s">
        <v>27</v>
      </c>
      <c r="D923" s="19" t="s">
        <v>30</v>
      </c>
      <c r="E923" s="12" t="str">
        <f>IFERROR(__xludf.DUMMYFUNCTION("FILTER(colegios!$B$2:$B5618,colegios!$A$2:$A5618=L923)"),"NUESTRA SEÑORA DE LA CANDELARIA")</f>
        <v>NUESTRA SEÑORA DE LA CANDELARIA</v>
      </c>
      <c r="F923" s="14" t="s">
        <v>16</v>
      </c>
      <c r="G923" s="19" t="s">
        <v>21</v>
      </c>
      <c r="H923" s="12" t="s">
        <v>18</v>
      </c>
      <c r="I923" s="15">
        <v>2024.0</v>
      </c>
      <c r="J923" s="16" t="str">
        <f>IFERROR(__xludf.DUMMYFUNCTION("FILTER('CLASFICACIÓN'!$F$3:$F5618,'CLASFICACIÓN'!$G$3:$G5618=M923)"),"2023 Y 2024")</f>
        <v>2023 Y 2024</v>
      </c>
      <c r="K923" s="16"/>
      <c r="L923" s="12" t="s">
        <v>85</v>
      </c>
      <c r="M923" s="16" t="str">
        <f t="shared" si="1"/>
        <v>NUESTRA SEÑORA DE LA CANDELARIA4 Secundaria</v>
      </c>
      <c r="N923" s="17"/>
      <c r="O923" s="17"/>
      <c r="P923" s="17"/>
      <c r="Q923" s="17"/>
      <c r="R923" s="17"/>
      <c r="S923" s="17"/>
      <c r="T923" s="17"/>
    </row>
    <row r="924" ht="15.75" customHeight="1">
      <c r="A924" s="18">
        <v>24.0</v>
      </c>
      <c r="B924" s="12" t="s">
        <v>84</v>
      </c>
      <c r="C924" s="12" t="s">
        <v>27</v>
      </c>
      <c r="D924" s="19" t="s">
        <v>30</v>
      </c>
      <c r="E924" s="12" t="str">
        <f>IFERROR(__xludf.DUMMYFUNCTION("FILTER(colegios!$B$2:$B5618,colegios!$A$2:$A5618=L924)"),"NUESTRA SEÑORA DE LA CANDELARIA")</f>
        <v>NUESTRA SEÑORA DE LA CANDELARIA</v>
      </c>
      <c r="F924" s="14" t="s">
        <v>16</v>
      </c>
      <c r="G924" s="19" t="s">
        <v>17</v>
      </c>
      <c r="H924" s="12" t="s">
        <v>18</v>
      </c>
      <c r="I924" s="15">
        <v>2024.0</v>
      </c>
      <c r="J924" s="16" t="str">
        <f>IFERROR(__xludf.DUMMYFUNCTION("FILTER('CLASFICACIÓN'!$F$3:$F5618,'CLASFICACIÓN'!$G$3:$G5618=M924)"),"2023 Y 2024")</f>
        <v>2023 Y 2024</v>
      </c>
      <c r="K924" s="16"/>
      <c r="L924" s="12" t="s">
        <v>85</v>
      </c>
      <c r="M924" s="16" t="str">
        <f t="shared" si="1"/>
        <v>NUESTRA SEÑORA DE LA CANDELARIA4 Secundaria</v>
      </c>
      <c r="N924" s="17"/>
      <c r="O924" s="17"/>
      <c r="P924" s="17"/>
      <c r="Q924" s="17"/>
      <c r="R924" s="17"/>
      <c r="S924" s="17"/>
      <c r="T924" s="17"/>
    </row>
    <row r="925" ht="15.75" customHeight="1">
      <c r="A925" s="18">
        <v>26.0</v>
      </c>
      <c r="B925" s="12" t="s">
        <v>84</v>
      </c>
      <c r="C925" s="12" t="s">
        <v>27</v>
      </c>
      <c r="D925" s="19" t="s">
        <v>30</v>
      </c>
      <c r="E925" s="12" t="str">
        <f>IFERROR(__xludf.DUMMYFUNCTION("FILTER(colegios!$B$2:$B5618,colegios!$A$2:$A5618=L925)"),"NUESTRA SEÑORA DE LA CANDELARIA")</f>
        <v>NUESTRA SEÑORA DE LA CANDELARIA</v>
      </c>
      <c r="F925" s="14" t="s">
        <v>16</v>
      </c>
      <c r="G925" s="19" t="s">
        <v>21</v>
      </c>
      <c r="H925" s="12" t="s">
        <v>18</v>
      </c>
      <c r="I925" s="15">
        <v>2024.0</v>
      </c>
      <c r="J925" s="16" t="str">
        <f>IFERROR(__xludf.DUMMYFUNCTION("FILTER('CLASFICACIÓN'!$F$3:$F5618,'CLASFICACIÓN'!$G$3:$G5618=M925)"),"2023 Y 2024")</f>
        <v>2023 Y 2024</v>
      </c>
      <c r="K925" s="16"/>
      <c r="L925" s="12" t="s">
        <v>85</v>
      </c>
      <c r="M925" s="16" t="str">
        <f t="shared" si="1"/>
        <v>NUESTRA SEÑORA DE LA CANDELARIA4 Secundaria</v>
      </c>
      <c r="N925" s="17"/>
      <c r="O925" s="17"/>
      <c r="P925" s="17"/>
      <c r="Q925" s="17"/>
      <c r="R925" s="17"/>
      <c r="S925" s="17"/>
      <c r="T925" s="17"/>
    </row>
    <row r="926" ht="15.75" customHeight="1">
      <c r="A926" s="18">
        <v>27.0</v>
      </c>
      <c r="B926" s="12" t="s">
        <v>84</v>
      </c>
      <c r="C926" s="12" t="s">
        <v>27</v>
      </c>
      <c r="D926" s="19" t="s">
        <v>30</v>
      </c>
      <c r="E926" s="12" t="str">
        <f>IFERROR(__xludf.DUMMYFUNCTION("FILTER(colegios!$B$2:$B5618,colegios!$A$2:$A5618=L926)"),"NUESTRA SEÑORA DE LA CANDELARIA")</f>
        <v>NUESTRA SEÑORA DE LA CANDELARIA</v>
      </c>
      <c r="F926" s="14" t="s">
        <v>16</v>
      </c>
      <c r="G926" s="19" t="s">
        <v>17</v>
      </c>
      <c r="H926" s="12" t="s">
        <v>18</v>
      </c>
      <c r="I926" s="15">
        <v>2024.0</v>
      </c>
      <c r="J926" s="16" t="str">
        <f>IFERROR(__xludf.DUMMYFUNCTION("FILTER('CLASFICACIÓN'!$F$3:$F5618,'CLASFICACIÓN'!$G$3:$G5618=M926)"),"2023 Y 2024")</f>
        <v>2023 Y 2024</v>
      </c>
      <c r="K926" s="16"/>
      <c r="L926" s="12" t="s">
        <v>85</v>
      </c>
      <c r="M926" s="16" t="str">
        <f t="shared" si="1"/>
        <v>NUESTRA SEÑORA DE LA CANDELARIA4 Secundaria</v>
      </c>
      <c r="N926" s="17"/>
      <c r="O926" s="17"/>
      <c r="P926" s="17"/>
      <c r="Q926" s="17"/>
      <c r="R926" s="17"/>
      <c r="S926" s="17"/>
      <c r="T926" s="17"/>
    </row>
    <row r="927" ht="15.75" customHeight="1">
      <c r="A927" s="18">
        <v>28.0</v>
      </c>
      <c r="B927" s="12" t="s">
        <v>84</v>
      </c>
      <c r="C927" s="12" t="s">
        <v>27</v>
      </c>
      <c r="D927" s="19" t="s">
        <v>30</v>
      </c>
      <c r="E927" s="12" t="str">
        <f>IFERROR(__xludf.DUMMYFUNCTION("FILTER(colegios!$B$2:$B5618,colegios!$A$2:$A5618=L927)"),"NUESTRA SEÑORA DE LA CANDELARIA")</f>
        <v>NUESTRA SEÑORA DE LA CANDELARIA</v>
      </c>
      <c r="F927" s="14" t="s">
        <v>16</v>
      </c>
      <c r="G927" s="19" t="s">
        <v>21</v>
      </c>
      <c r="H927" s="12" t="s">
        <v>18</v>
      </c>
      <c r="I927" s="15">
        <v>2024.0</v>
      </c>
      <c r="J927" s="16" t="str">
        <f>IFERROR(__xludf.DUMMYFUNCTION("FILTER('CLASFICACIÓN'!$F$3:$F5618,'CLASFICACIÓN'!$G$3:$G5618=M927)"),"2023 Y 2024")</f>
        <v>2023 Y 2024</v>
      </c>
      <c r="K927" s="16"/>
      <c r="L927" s="12" t="s">
        <v>85</v>
      </c>
      <c r="M927" s="16" t="str">
        <f t="shared" si="1"/>
        <v>NUESTRA SEÑORA DE LA CANDELARIA4 Secundaria</v>
      </c>
      <c r="N927" s="17"/>
      <c r="O927" s="17"/>
      <c r="P927" s="17"/>
      <c r="Q927" s="17"/>
      <c r="R927" s="17"/>
      <c r="S927" s="17"/>
      <c r="T927" s="17"/>
    </row>
    <row r="928" ht="15.75" customHeight="1">
      <c r="A928" s="18">
        <v>30.0</v>
      </c>
      <c r="B928" s="12" t="s">
        <v>84</v>
      </c>
      <c r="C928" s="12" t="s">
        <v>27</v>
      </c>
      <c r="D928" s="19" t="s">
        <v>30</v>
      </c>
      <c r="E928" s="12" t="str">
        <f>IFERROR(__xludf.DUMMYFUNCTION("FILTER(colegios!$B$2:$B5618,colegios!$A$2:$A5618=L928)"),"NUESTRA SEÑORA DE LA CANDELARIA")</f>
        <v>NUESTRA SEÑORA DE LA CANDELARIA</v>
      </c>
      <c r="F928" s="14" t="s">
        <v>16</v>
      </c>
      <c r="G928" s="19" t="s">
        <v>17</v>
      </c>
      <c r="H928" s="12" t="s">
        <v>18</v>
      </c>
      <c r="I928" s="15">
        <v>2024.0</v>
      </c>
      <c r="J928" s="16" t="str">
        <f>IFERROR(__xludf.DUMMYFUNCTION("FILTER('CLASFICACIÓN'!$F$3:$F5618,'CLASFICACIÓN'!$G$3:$G5618=M928)"),"2023 Y 2024")</f>
        <v>2023 Y 2024</v>
      </c>
      <c r="K928" s="16"/>
      <c r="L928" s="12" t="s">
        <v>85</v>
      </c>
      <c r="M928" s="16" t="str">
        <f t="shared" si="1"/>
        <v>NUESTRA SEÑORA DE LA CANDELARIA4 Secundaria</v>
      </c>
      <c r="N928" s="17"/>
      <c r="O928" s="17"/>
      <c r="P928" s="17"/>
      <c r="Q928" s="17"/>
      <c r="R928" s="17"/>
      <c r="S928" s="17"/>
      <c r="T928" s="17"/>
    </row>
    <row r="929" ht="15.75" customHeight="1">
      <c r="A929" s="18">
        <v>32.0</v>
      </c>
      <c r="B929" s="12" t="s">
        <v>84</v>
      </c>
      <c r="C929" s="12" t="s">
        <v>27</v>
      </c>
      <c r="D929" s="19" t="s">
        <v>30</v>
      </c>
      <c r="E929" s="12" t="str">
        <f>IFERROR(__xludf.DUMMYFUNCTION("FILTER(colegios!$B$2:$B5618,colegios!$A$2:$A5618=L929)"),"NUESTRA SEÑORA DE LA CANDELARIA")</f>
        <v>NUESTRA SEÑORA DE LA CANDELARIA</v>
      </c>
      <c r="F929" s="14" t="s">
        <v>16</v>
      </c>
      <c r="G929" s="19" t="s">
        <v>21</v>
      </c>
      <c r="H929" s="12" t="s">
        <v>18</v>
      </c>
      <c r="I929" s="15">
        <v>2024.0</v>
      </c>
      <c r="J929" s="16" t="str">
        <f>IFERROR(__xludf.DUMMYFUNCTION("FILTER('CLASFICACIÓN'!$F$3:$F5618,'CLASFICACIÓN'!$G$3:$G5618=M929)"),"2023 Y 2024")</f>
        <v>2023 Y 2024</v>
      </c>
      <c r="K929" s="16"/>
      <c r="L929" s="12" t="s">
        <v>85</v>
      </c>
      <c r="M929" s="16" t="str">
        <f t="shared" si="1"/>
        <v>NUESTRA SEÑORA DE LA CANDELARIA4 Secundaria</v>
      </c>
      <c r="N929" s="17"/>
      <c r="O929" s="17"/>
      <c r="P929" s="17"/>
      <c r="Q929" s="17"/>
      <c r="R929" s="17"/>
      <c r="S929" s="17"/>
      <c r="T929" s="17"/>
    </row>
    <row r="930" ht="15.75" customHeight="1">
      <c r="A930" s="18">
        <v>33.0</v>
      </c>
      <c r="B930" s="12" t="s">
        <v>84</v>
      </c>
      <c r="C930" s="12" t="s">
        <v>27</v>
      </c>
      <c r="D930" s="19" t="s">
        <v>30</v>
      </c>
      <c r="E930" s="12" t="str">
        <f>IFERROR(__xludf.DUMMYFUNCTION("FILTER(colegios!$B$2:$B5618,colegios!$A$2:$A5618=L930)"),"NUESTRA SEÑORA DE LA CANDELARIA")</f>
        <v>NUESTRA SEÑORA DE LA CANDELARIA</v>
      </c>
      <c r="F930" s="14" t="s">
        <v>16</v>
      </c>
      <c r="G930" s="19" t="s">
        <v>17</v>
      </c>
      <c r="H930" s="12" t="s">
        <v>18</v>
      </c>
      <c r="I930" s="15">
        <v>2024.0</v>
      </c>
      <c r="J930" s="16" t="str">
        <f>IFERROR(__xludf.DUMMYFUNCTION("FILTER('CLASFICACIÓN'!$F$3:$F5618,'CLASFICACIÓN'!$G$3:$G5618=M930)"),"2023 Y 2024")</f>
        <v>2023 Y 2024</v>
      </c>
      <c r="K930" s="16"/>
      <c r="L930" s="12" t="s">
        <v>85</v>
      </c>
      <c r="M930" s="16" t="str">
        <f t="shared" si="1"/>
        <v>NUESTRA SEÑORA DE LA CANDELARIA4 Secundaria</v>
      </c>
      <c r="N930" s="17"/>
      <c r="O930" s="17"/>
      <c r="P930" s="17"/>
      <c r="Q930" s="17"/>
      <c r="R930" s="17"/>
      <c r="S930" s="17"/>
      <c r="T930" s="17"/>
    </row>
    <row r="931" ht="15.75" customHeight="1">
      <c r="A931" s="18">
        <v>34.0</v>
      </c>
      <c r="B931" s="12" t="s">
        <v>84</v>
      </c>
      <c r="C931" s="12" t="s">
        <v>27</v>
      </c>
      <c r="D931" s="19" t="s">
        <v>30</v>
      </c>
      <c r="E931" s="12" t="str">
        <f>IFERROR(__xludf.DUMMYFUNCTION("FILTER(colegios!$B$2:$B5618,colegios!$A$2:$A5618=L931)"),"NUESTRA SEÑORA DE LA CANDELARIA")</f>
        <v>NUESTRA SEÑORA DE LA CANDELARIA</v>
      </c>
      <c r="F931" s="14" t="s">
        <v>16</v>
      </c>
      <c r="G931" s="19" t="s">
        <v>21</v>
      </c>
      <c r="H931" s="12" t="s">
        <v>18</v>
      </c>
      <c r="I931" s="15">
        <v>2024.0</v>
      </c>
      <c r="J931" s="16" t="str">
        <f>IFERROR(__xludf.DUMMYFUNCTION("FILTER('CLASFICACIÓN'!$F$3:$F5618,'CLASFICACIÓN'!$G$3:$G5618=M931)"),"2023 Y 2024")</f>
        <v>2023 Y 2024</v>
      </c>
      <c r="K931" s="16"/>
      <c r="L931" s="12" t="s">
        <v>85</v>
      </c>
      <c r="M931" s="16" t="str">
        <f t="shared" si="1"/>
        <v>NUESTRA SEÑORA DE LA CANDELARIA4 Secundaria</v>
      </c>
      <c r="N931" s="17"/>
      <c r="O931" s="17"/>
      <c r="P931" s="17"/>
      <c r="Q931" s="17"/>
      <c r="R931" s="17"/>
      <c r="S931" s="17"/>
      <c r="T931" s="17"/>
    </row>
    <row r="932" ht="15.75" customHeight="1">
      <c r="A932" s="18">
        <v>37.0</v>
      </c>
      <c r="B932" s="12" t="s">
        <v>84</v>
      </c>
      <c r="C932" s="12" t="s">
        <v>27</v>
      </c>
      <c r="D932" s="19" t="s">
        <v>30</v>
      </c>
      <c r="E932" s="12" t="str">
        <f>IFERROR(__xludf.DUMMYFUNCTION("FILTER(colegios!$B$2:$B5618,colegios!$A$2:$A5618=L932)"),"NUESTRA SEÑORA DE LA CANDELARIA")</f>
        <v>NUESTRA SEÑORA DE LA CANDELARIA</v>
      </c>
      <c r="F932" s="14" t="s">
        <v>16</v>
      </c>
      <c r="G932" s="19" t="s">
        <v>21</v>
      </c>
      <c r="H932" s="12" t="s">
        <v>18</v>
      </c>
      <c r="I932" s="15">
        <v>2024.0</v>
      </c>
      <c r="J932" s="16" t="str">
        <f>IFERROR(__xludf.DUMMYFUNCTION("FILTER('CLASFICACIÓN'!$F$3:$F5618,'CLASFICACIÓN'!$G$3:$G5618=M932)"),"2023 Y 2024")</f>
        <v>2023 Y 2024</v>
      </c>
      <c r="K932" s="16"/>
      <c r="L932" s="12" t="s">
        <v>85</v>
      </c>
      <c r="M932" s="16" t="str">
        <f t="shared" si="1"/>
        <v>NUESTRA SEÑORA DE LA CANDELARIA4 Secundaria</v>
      </c>
      <c r="N932" s="17"/>
      <c r="O932" s="17"/>
      <c r="P932" s="17"/>
      <c r="Q932" s="17"/>
      <c r="R932" s="17"/>
      <c r="S932" s="17"/>
      <c r="T932" s="17"/>
    </row>
    <row r="933" ht="15.75" customHeight="1">
      <c r="A933" s="18">
        <v>38.0</v>
      </c>
      <c r="B933" s="12" t="s">
        <v>84</v>
      </c>
      <c r="C933" s="12" t="s">
        <v>27</v>
      </c>
      <c r="D933" s="19" t="s">
        <v>30</v>
      </c>
      <c r="E933" s="12" t="str">
        <f>IFERROR(__xludf.DUMMYFUNCTION("FILTER(colegios!$B$2:$B5618,colegios!$A$2:$A5618=L933)"),"NUESTRA SEÑORA DE LA CANDELARIA")</f>
        <v>NUESTRA SEÑORA DE LA CANDELARIA</v>
      </c>
      <c r="F933" s="14" t="s">
        <v>16</v>
      </c>
      <c r="G933" s="19" t="s">
        <v>21</v>
      </c>
      <c r="H933" s="12" t="s">
        <v>18</v>
      </c>
      <c r="I933" s="15">
        <v>2024.0</v>
      </c>
      <c r="J933" s="16" t="str">
        <f>IFERROR(__xludf.DUMMYFUNCTION("FILTER('CLASFICACIÓN'!$F$3:$F5618,'CLASFICACIÓN'!$G$3:$G5618=M933)"),"2023 Y 2024")</f>
        <v>2023 Y 2024</v>
      </c>
      <c r="K933" s="16"/>
      <c r="L933" s="12" t="s">
        <v>85</v>
      </c>
      <c r="M933" s="16" t="str">
        <f t="shared" si="1"/>
        <v>NUESTRA SEÑORA DE LA CANDELARIA4 Secundaria</v>
      </c>
      <c r="N933" s="17"/>
      <c r="O933" s="17"/>
      <c r="P933" s="17"/>
      <c r="Q933" s="17"/>
      <c r="R933" s="17"/>
      <c r="S933" s="17"/>
      <c r="T933" s="17"/>
    </row>
    <row r="934" ht="15.75" customHeight="1">
      <c r="A934" s="18">
        <v>39.0</v>
      </c>
      <c r="B934" s="12" t="s">
        <v>84</v>
      </c>
      <c r="C934" s="12" t="s">
        <v>27</v>
      </c>
      <c r="D934" s="19" t="s">
        <v>30</v>
      </c>
      <c r="E934" s="12" t="str">
        <f>IFERROR(__xludf.DUMMYFUNCTION("FILTER(colegios!$B$2:$B5618,colegios!$A$2:$A5618=L934)"),"NUESTRA SEÑORA DE LA CANDELARIA")</f>
        <v>NUESTRA SEÑORA DE LA CANDELARIA</v>
      </c>
      <c r="F934" s="14" t="s">
        <v>16</v>
      </c>
      <c r="G934" s="19" t="s">
        <v>17</v>
      </c>
      <c r="H934" s="12" t="s">
        <v>24</v>
      </c>
      <c r="I934" s="15">
        <v>2024.0</v>
      </c>
      <c r="J934" s="16" t="str">
        <f>IFERROR(__xludf.DUMMYFUNCTION("FILTER('CLASFICACIÓN'!$F$3:$F5618,'CLASFICACIÓN'!$G$3:$G5618=M934)"),"2023 Y 2024")</f>
        <v>2023 Y 2024</v>
      </c>
      <c r="K934" s="16"/>
      <c r="L934" s="12" t="s">
        <v>85</v>
      </c>
      <c r="M934" s="16" t="str">
        <f t="shared" si="1"/>
        <v>NUESTRA SEÑORA DE LA CANDELARIA4 Secundaria</v>
      </c>
      <c r="N934" s="17"/>
      <c r="O934" s="17"/>
      <c r="P934" s="17"/>
      <c r="Q934" s="17"/>
      <c r="R934" s="17"/>
      <c r="S934" s="17"/>
      <c r="T934" s="17"/>
    </row>
    <row r="935" ht="15.75" customHeight="1">
      <c r="A935" s="18">
        <v>40.0</v>
      </c>
      <c r="B935" s="12" t="s">
        <v>84</v>
      </c>
      <c r="C935" s="12" t="s">
        <v>27</v>
      </c>
      <c r="D935" s="19" t="s">
        <v>30</v>
      </c>
      <c r="E935" s="12" t="str">
        <f>IFERROR(__xludf.DUMMYFUNCTION("FILTER(colegios!$B$2:$B5618,colegios!$A$2:$A5618=L935)"),"NUESTRA SEÑORA DE LA CANDELARIA")</f>
        <v>NUESTRA SEÑORA DE LA CANDELARIA</v>
      </c>
      <c r="F935" s="14" t="s">
        <v>16</v>
      </c>
      <c r="G935" s="19" t="s">
        <v>21</v>
      </c>
      <c r="H935" s="12" t="s">
        <v>18</v>
      </c>
      <c r="I935" s="15">
        <v>2024.0</v>
      </c>
      <c r="J935" s="16" t="str">
        <f>IFERROR(__xludf.DUMMYFUNCTION("FILTER('CLASFICACIÓN'!$F$3:$F5618,'CLASFICACIÓN'!$G$3:$G5618=M935)"),"2023 Y 2024")</f>
        <v>2023 Y 2024</v>
      </c>
      <c r="K935" s="16"/>
      <c r="L935" s="12" t="s">
        <v>85</v>
      </c>
      <c r="M935" s="16" t="str">
        <f t="shared" si="1"/>
        <v>NUESTRA SEÑORA DE LA CANDELARIA4 Secundaria</v>
      </c>
      <c r="N935" s="17"/>
      <c r="O935" s="17"/>
      <c r="P935" s="17"/>
      <c r="Q935" s="17"/>
      <c r="R935" s="17"/>
      <c r="S935" s="17"/>
      <c r="T935" s="17"/>
    </row>
    <row r="936" ht="15.75" customHeight="1">
      <c r="A936" s="18">
        <v>41.0</v>
      </c>
      <c r="B936" s="12" t="s">
        <v>84</v>
      </c>
      <c r="C936" s="12" t="s">
        <v>27</v>
      </c>
      <c r="D936" s="19" t="s">
        <v>30</v>
      </c>
      <c r="E936" s="12" t="str">
        <f>IFERROR(__xludf.DUMMYFUNCTION("FILTER(colegios!$B$2:$B5618,colegios!$A$2:$A5618=L936)"),"NUESTRA SEÑORA DE LA CANDELARIA")</f>
        <v>NUESTRA SEÑORA DE LA CANDELARIA</v>
      </c>
      <c r="F936" s="14" t="s">
        <v>16</v>
      </c>
      <c r="G936" s="19" t="s">
        <v>21</v>
      </c>
      <c r="H936" s="12" t="s">
        <v>18</v>
      </c>
      <c r="I936" s="15">
        <v>2024.0</v>
      </c>
      <c r="J936" s="16" t="str">
        <f>IFERROR(__xludf.DUMMYFUNCTION("FILTER('CLASFICACIÓN'!$F$3:$F5618,'CLASFICACIÓN'!$G$3:$G5618=M936)"),"2023 Y 2024")</f>
        <v>2023 Y 2024</v>
      </c>
      <c r="K936" s="16"/>
      <c r="L936" s="12" t="s">
        <v>85</v>
      </c>
      <c r="M936" s="16" t="str">
        <f t="shared" si="1"/>
        <v>NUESTRA SEÑORA DE LA CANDELARIA4 Secundaria</v>
      </c>
      <c r="N936" s="17"/>
      <c r="O936" s="17"/>
      <c r="P936" s="17"/>
      <c r="Q936" s="17"/>
      <c r="R936" s="17"/>
      <c r="S936" s="17"/>
      <c r="T936" s="17"/>
    </row>
    <row r="937" ht="15.75" customHeight="1">
      <c r="A937" s="18">
        <v>42.0</v>
      </c>
      <c r="B937" s="12" t="s">
        <v>84</v>
      </c>
      <c r="C937" s="12" t="s">
        <v>27</v>
      </c>
      <c r="D937" s="19" t="s">
        <v>30</v>
      </c>
      <c r="E937" s="12" t="str">
        <f>IFERROR(__xludf.DUMMYFUNCTION("FILTER(colegios!$B$2:$B5618,colegios!$A$2:$A5618=L937)"),"NUESTRA SEÑORA DE LA CANDELARIA")</f>
        <v>NUESTRA SEÑORA DE LA CANDELARIA</v>
      </c>
      <c r="F937" s="14" t="s">
        <v>16</v>
      </c>
      <c r="G937" s="19" t="s">
        <v>21</v>
      </c>
      <c r="H937" s="12" t="s">
        <v>18</v>
      </c>
      <c r="I937" s="15">
        <v>2024.0</v>
      </c>
      <c r="J937" s="16" t="str">
        <f>IFERROR(__xludf.DUMMYFUNCTION("FILTER('CLASFICACIÓN'!$F$3:$F5618,'CLASFICACIÓN'!$G$3:$G5618=M937)"),"2023 Y 2024")</f>
        <v>2023 Y 2024</v>
      </c>
      <c r="K937" s="16"/>
      <c r="L937" s="12" t="s">
        <v>85</v>
      </c>
      <c r="M937" s="16" t="str">
        <f t="shared" si="1"/>
        <v>NUESTRA SEÑORA DE LA CANDELARIA4 Secundaria</v>
      </c>
      <c r="N937" s="17"/>
      <c r="O937" s="17"/>
      <c r="P937" s="17"/>
      <c r="Q937" s="17"/>
      <c r="R937" s="17"/>
      <c r="S937" s="17"/>
      <c r="T937" s="17"/>
    </row>
    <row r="938" ht="15.75" customHeight="1">
      <c r="A938" s="18">
        <v>43.0</v>
      </c>
      <c r="B938" s="12" t="s">
        <v>84</v>
      </c>
      <c r="C938" s="12" t="s">
        <v>27</v>
      </c>
      <c r="D938" s="19" t="s">
        <v>30</v>
      </c>
      <c r="E938" s="12" t="str">
        <f>IFERROR(__xludf.DUMMYFUNCTION("FILTER(colegios!$B$2:$B5618,colegios!$A$2:$A5618=L938)"),"NUESTRA SEÑORA DE LA CANDELARIA")</f>
        <v>NUESTRA SEÑORA DE LA CANDELARIA</v>
      </c>
      <c r="F938" s="14" t="s">
        <v>16</v>
      </c>
      <c r="G938" s="19" t="s">
        <v>21</v>
      </c>
      <c r="H938" s="12" t="s">
        <v>18</v>
      </c>
      <c r="I938" s="15">
        <v>2024.0</v>
      </c>
      <c r="J938" s="16" t="str">
        <f>IFERROR(__xludf.DUMMYFUNCTION("FILTER('CLASFICACIÓN'!$F$3:$F5618,'CLASFICACIÓN'!$G$3:$G5618=M938)"),"2023 Y 2024")</f>
        <v>2023 Y 2024</v>
      </c>
      <c r="K938" s="16"/>
      <c r="L938" s="12" t="s">
        <v>85</v>
      </c>
      <c r="M938" s="16" t="str">
        <f t="shared" si="1"/>
        <v>NUESTRA SEÑORA DE LA CANDELARIA4 Secundaria</v>
      </c>
      <c r="N938" s="17"/>
      <c r="O938" s="17"/>
      <c r="P938" s="17"/>
      <c r="Q938" s="17"/>
      <c r="R938" s="17"/>
      <c r="S938" s="17"/>
      <c r="T938" s="17"/>
    </row>
    <row r="939" ht="15.75" customHeight="1">
      <c r="A939" s="18">
        <v>45.0</v>
      </c>
      <c r="B939" s="12" t="s">
        <v>84</v>
      </c>
      <c r="C939" s="12" t="s">
        <v>27</v>
      </c>
      <c r="D939" s="19" t="s">
        <v>30</v>
      </c>
      <c r="E939" s="12" t="str">
        <f>IFERROR(__xludf.DUMMYFUNCTION("FILTER(colegios!$B$2:$B5618,colegios!$A$2:$A5618=L939)"),"NUESTRA SEÑORA DE LA CANDELARIA")</f>
        <v>NUESTRA SEÑORA DE LA CANDELARIA</v>
      </c>
      <c r="F939" s="14" t="s">
        <v>16</v>
      </c>
      <c r="G939" s="19" t="s">
        <v>17</v>
      </c>
      <c r="H939" s="12" t="s">
        <v>18</v>
      </c>
      <c r="I939" s="15">
        <v>2024.0</v>
      </c>
      <c r="J939" s="16" t="str">
        <f>IFERROR(__xludf.DUMMYFUNCTION("FILTER('CLASFICACIÓN'!$F$3:$F5618,'CLASFICACIÓN'!$G$3:$G5618=M939)"),"2023 Y 2024")</f>
        <v>2023 Y 2024</v>
      </c>
      <c r="K939" s="16"/>
      <c r="L939" s="12" t="s">
        <v>85</v>
      </c>
      <c r="M939" s="16" t="str">
        <f t="shared" si="1"/>
        <v>NUESTRA SEÑORA DE LA CANDELARIA4 Secundaria</v>
      </c>
      <c r="N939" s="17"/>
      <c r="O939" s="17"/>
      <c r="P939" s="17"/>
      <c r="Q939" s="17"/>
      <c r="R939" s="17"/>
      <c r="S939" s="17"/>
      <c r="T939" s="17"/>
    </row>
    <row r="940" ht="15.75" customHeight="1">
      <c r="A940" s="18">
        <v>46.0</v>
      </c>
      <c r="B940" s="12" t="s">
        <v>84</v>
      </c>
      <c r="C940" s="12" t="s">
        <v>27</v>
      </c>
      <c r="D940" s="19" t="s">
        <v>30</v>
      </c>
      <c r="E940" s="12" t="str">
        <f>IFERROR(__xludf.DUMMYFUNCTION("FILTER(colegios!$B$2:$B5618,colegios!$A$2:$A5618=L940)"),"NUESTRA SEÑORA DE LA CANDELARIA")</f>
        <v>NUESTRA SEÑORA DE LA CANDELARIA</v>
      </c>
      <c r="F940" s="14" t="s">
        <v>16</v>
      </c>
      <c r="G940" s="19" t="s">
        <v>21</v>
      </c>
      <c r="H940" s="12" t="s">
        <v>18</v>
      </c>
      <c r="I940" s="15">
        <v>2024.0</v>
      </c>
      <c r="J940" s="16" t="str">
        <f>IFERROR(__xludf.DUMMYFUNCTION("FILTER('CLASFICACIÓN'!$F$3:$F5618,'CLASFICACIÓN'!$G$3:$G5618=M940)"),"2023 Y 2024")</f>
        <v>2023 Y 2024</v>
      </c>
      <c r="K940" s="16"/>
      <c r="L940" s="12" t="s">
        <v>85</v>
      </c>
      <c r="M940" s="16" t="str">
        <f t="shared" si="1"/>
        <v>NUESTRA SEÑORA DE LA CANDELARIA4 Secundaria</v>
      </c>
      <c r="N940" s="17"/>
      <c r="O940" s="17"/>
      <c r="P940" s="17"/>
      <c r="Q940" s="17"/>
      <c r="R940" s="17"/>
      <c r="S940" s="17"/>
      <c r="T940" s="17"/>
    </row>
    <row r="941" ht="15.75" customHeight="1">
      <c r="A941" s="18">
        <v>47.0</v>
      </c>
      <c r="B941" s="12" t="s">
        <v>84</v>
      </c>
      <c r="C941" s="12" t="s">
        <v>27</v>
      </c>
      <c r="D941" s="19" t="s">
        <v>30</v>
      </c>
      <c r="E941" s="12" t="str">
        <f>IFERROR(__xludf.DUMMYFUNCTION("FILTER(colegios!$B$2:$B5618,colegios!$A$2:$A5618=L941)"),"NUESTRA SEÑORA DE LA CANDELARIA")</f>
        <v>NUESTRA SEÑORA DE LA CANDELARIA</v>
      </c>
      <c r="F941" s="14" t="s">
        <v>16</v>
      </c>
      <c r="G941" s="19" t="s">
        <v>17</v>
      </c>
      <c r="H941" s="12" t="s">
        <v>18</v>
      </c>
      <c r="I941" s="15">
        <v>2024.0</v>
      </c>
      <c r="J941" s="16" t="str">
        <f>IFERROR(__xludf.DUMMYFUNCTION("FILTER('CLASFICACIÓN'!$F$3:$F5618,'CLASFICACIÓN'!$G$3:$G5618=M941)"),"2023 Y 2024")</f>
        <v>2023 Y 2024</v>
      </c>
      <c r="K941" s="16"/>
      <c r="L941" s="12" t="s">
        <v>85</v>
      </c>
      <c r="M941" s="16" t="str">
        <f t="shared" si="1"/>
        <v>NUESTRA SEÑORA DE LA CANDELARIA4 Secundaria</v>
      </c>
      <c r="N941" s="17"/>
      <c r="O941" s="17"/>
      <c r="P941" s="17"/>
      <c r="Q941" s="17"/>
      <c r="R941" s="17"/>
      <c r="S941" s="17"/>
      <c r="T941" s="17"/>
    </row>
    <row r="942" ht="15.75" customHeight="1">
      <c r="A942" s="18">
        <v>49.0</v>
      </c>
      <c r="B942" s="12" t="s">
        <v>84</v>
      </c>
      <c r="C942" s="12" t="s">
        <v>27</v>
      </c>
      <c r="D942" s="19" t="s">
        <v>30</v>
      </c>
      <c r="E942" s="12" t="str">
        <f>IFERROR(__xludf.DUMMYFUNCTION("FILTER(colegios!$B$2:$B5618,colegios!$A$2:$A5618=L942)"),"NUESTRA SEÑORA DE LA CANDELARIA")</f>
        <v>NUESTRA SEÑORA DE LA CANDELARIA</v>
      </c>
      <c r="F942" s="14" t="s">
        <v>16</v>
      </c>
      <c r="G942" s="19" t="s">
        <v>17</v>
      </c>
      <c r="H942" s="12" t="s">
        <v>24</v>
      </c>
      <c r="I942" s="15">
        <v>2024.0</v>
      </c>
      <c r="J942" s="16" t="str">
        <f>IFERROR(__xludf.DUMMYFUNCTION("FILTER('CLASFICACIÓN'!$F$3:$F5618,'CLASFICACIÓN'!$G$3:$G5618=M942)"),"2023 Y 2024")</f>
        <v>2023 Y 2024</v>
      </c>
      <c r="K942" s="16"/>
      <c r="L942" s="12" t="s">
        <v>85</v>
      </c>
      <c r="M942" s="16" t="str">
        <f t="shared" si="1"/>
        <v>NUESTRA SEÑORA DE LA CANDELARIA4 Secundaria</v>
      </c>
      <c r="N942" s="17"/>
      <c r="O942" s="17"/>
      <c r="P942" s="17"/>
      <c r="Q942" s="17"/>
      <c r="R942" s="17"/>
      <c r="S942" s="17"/>
      <c r="T942" s="17"/>
    </row>
    <row r="943" ht="15.75" customHeight="1">
      <c r="A943" s="18">
        <v>50.0</v>
      </c>
      <c r="B943" s="12" t="s">
        <v>84</v>
      </c>
      <c r="C943" s="12" t="s">
        <v>27</v>
      </c>
      <c r="D943" s="19" t="s">
        <v>30</v>
      </c>
      <c r="E943" s="12" t="str">
        <f>IFERROR(__xludf.DUMMYFUNCTION("FILTER(colegios!$B$2:$B5618,colegios!$A$2:$A5618=L943)"),"NUESTRA SEÑORA DE LA CANDELARIA")</f>
        <v>NUESTRA SEÑORA DE LA CANDELARIA</v>
      </c>
      <c r="F943" s="14" t="s">
        <v>16</v>
      </c>
      <c r="G943" s="19" t="s">
        <v>21</v>
      </c>
      <c r="H943" s="12" t="s">
        <v>18</v>
      </c>
      <c r="I943" s="15">
        <v>2024.0</v>
      </c>
      <c r="J943" s="16" t="str">
        <f>IFERROR(__xludf.DUMMYFUNCTION("FILTER('CLASFICACIÓN'!$F$3:$F5618,'CLASFICACIÓN'!$G$3:$G5618=M943)"),"2023 Y 2024")</f>
        <v>2023 Y 2024</v>
      </c>
      <c r="K943" s="16"/>
      <c r="L943" s="12" t="s">
        <v>85</v>
      </c>
      <c r="M943" s="16" t="str">
        <f t="shared" si="1"/>
        <v>NUESTRA SEÑORA DE LA CANDELARIA4 Secundaria</v>
      </c>
      <c r="N943" s="17"/>
      <c r="O943" s="17"/>
      <c r="P943" s="17"/>
      <c r="Q943" s="17"/>
      <c r="R943" s="17"/>
      <c r="S943" s="17"/>
      <c r="T943" s="17"/>
    </row>
    <row r="944" ht="15.75" customHeight="1">
      <c r="A944" s="18">
        <v>51.0</v>
      </c>
      <c r="B944" s="12" t="s">
        <v>84</v>
      </c>
      <c r="C944" s="12" t="s">
        <v>27</v>
      </c>
      <c r="D944" s="19" t="s">
        <v>30</v>
      </c>
      <c r="E944" s="12" t="str">
        <f>IFERROR(__xludf.DUMMYFUNCTION("FILTER(colegios!$B$2:$B5618,colegios!$A$2:$A5618=L944)"),"NUESTRA SEÑORA DE LA CANDELARIA")</f>
        <v>NUESTRA SEÑORA DE LA CANDELARIA</v>
      </c>
      <c r="F944" s="14" t="s">
        <v>16</v>
      </c>
      <c r="G944" s="19" t="s">
        <v>17</v>
      </c>
      <c r="H944" s="12" t="s">
        <v>18</v>
      </c>
      <c r="I944" s="15">
        <v>2024.0</v>
      </c>
      <c r="J944" s="16" t="str">
        <f>IFERROR(__xludf.DUMMYFUNCTION("FILTER('CLASFICACIÓN'!$F$3:$F5618,'CLASFICACIÓN'!$G$3:$G5618=M944)"),"2023 Y 2024")</f>
        <v>2023 Y 2024</v>
      </c>
      <c r="K944" s="16"/>
      <c r="L944" s="12" t="s">
        <v>85</v>
      </c>
      <c r="M944" s="16" t="str">
        <f t="shared" si="1"/>
        <v>NUESTRA SEÑORA DE LA CANDELARIA4 Secundaria</v>
      </c>
      <c r="N944" s="17"/>
      <c r="O944" s="17"/>
      <c r="P944" s="17"/>
      <c r="Q944" s="17"/>
      <c r="R944" s="17"/>
      <c r="S944" s="17"/>
      <c r="T944" s="17"/>
    </row>
    <row r="945" ht="15.75" customHeight="1">
      <c r="A945" s="18">
        <v>52.0</v>
      </c>
      <c r="B945" s="12" t="s">
        <v>84</v>
      </c>
      <c r="C945" s="12" t="s">
        <v>27</v>
      </c>
      <c r="D945" s="19" t="s">
        <v>30</v>
      </c>
      <c r="E945" s="12" t="str">
        <f>IFERROR(__xludf.DUMMYFUNCTION("FILTER(colegios!$B$2:$B5618,colegios!$A$2:$A5618=L945)"),"NUESTRA SEÑORA DE LA CANDELARIA")</f>
        <v>NUESTRA SEÑORA DE LA CANDELARIA</v>
      </c>
      <c r="F945" s="14" t="s">
        <v>16</v>
      </c>
      <c r="G945" s="19" t="s">
        <v>21</v>
      </c>
      <c r="H945" s="12" t="s">
        <v>24</v>
      </c>
      <c r="I945" s="15">
        <v>2024.0</v>
      </c>
      <c r="J945" s="16" t="str">
        <f>IFERROR(__xludf.DUMMYFUNCTION("FILTER('CLASFICACIÓN'!$F$3:$F5618,'CLASFICACIÓN'!$G$3:$G5618=M945)"),"2023 Y 2024")</f>
        <v>2023 Y 2024</v>
      </c>
      <c r="K945" s="16"/>
      <c r="L945" s="12" t="s">
        <v>85</v>
      </c>
      <c r="M945" s="16" t="str">
        <f t="shared" si="1"/>
        <v>NUESTRA SEÑORA DE LA CANDELARIA4 Secundaria</v>
      </c>
      <c r="N945" s="17"/>
      <c r="O945" s="17"/>
      <c r="P945" s="17"/>
      <c r="Q945" s="17"/>
      <c r="R945" s="17"/>
      <c r="S945" s="17"/>
      <c r="T945" s="17"/>
    </row>
    <row r="946" ht="15.75" customHeight="1">
      <c r="A946" s="18">
        <v>54.0</v>
      </c>
      <c r="B946" s="12" t="s">
        <v>84</v>
      </c>
      <c r="C946" s="12" t="s">
        <v>27</v>
      </c>
      <c r="D946" s="19" t="s">
        <v>30</v>
      </c>
      <c r="E946" s="12" t="str">
        <f>IFERROR(__xludf.DUMMYFUNCTION("FILTER(colegios!$B$2:$B5618,colegios!$A$2:$A5618=L946)"),"NUESTRA SEÑORA DE LA CANDELARIA")</f>
        <v>NUESTRA SEÑORA DE LA CANDELARIA</v>
      </c>
      <c r="F946" s="14" t="s">
        <v>16</v>
      </c>
      <c r="G946" s="19" t="s">
        <v>17</v>
      </c>
      <c r="H946" s="12" t="s">
        <v>24</v>
      </c>
      <c r="I946" s="15">
        <v>2024.0</v>
      </c>
      <c r="J946" s="16" t="str">
        <f>IFERROR(__xludf.DUMMYFUNCTION("FILTER('CLASFICACIÓN'!$F$3:$F5618,'CLASFICACIÓN'!$G$3:$G5618=M946)"),"2023 Y 2024")</f>
        <v>2023 Y 2024</v>
      </c>
      <c r="K946" s="16"/>
      <c r="L946" s="12" t="s">
        <v>85</v>
      </c>
      <c r="M946" s="16" t="str">
        <f t="shared" si="1"/>
        <v>NUESTRA SEÑORA DE LA CANDELARIA4 Secundaria</v>
      </c>
      <c r="N946" s="17"/>
      <c r="O946" s="17"/>
      <c r="P946" s="17"/>
      <c r="Q946" s="17"/>
      <c r="R946" s="17"/>
      <c r="S946" s="17"/>
      <c r="T946" s="17"/>
    </row>
    <row r="947" ht="15.75" customHeight="1">
      <c r="A947" s="18">
        <v>57.0</v>
      </c>
      <c r="B947" s="12" t="s">
        <v>84</v>
      </c>
      <c r="C947" s="12" t="s">
        <v>27</v>
      </c>
      <c r="D947" s="19" t="s">
        <v>30</v>
      </c>
      <c r="E947" s="12" t="str">
        <f>IFERROR(__xludf.DUMMYFUNCTION("FILTER(colegios!$B$2:$B5618,colegios!$A$2:$A5618=L947)"),"NUESTRA SEÑORA DE LA CANDELARIA")</f>
        <v>NUESTRA SEÑORA DE LA CANDELARIA</v>
      </c>
      <c r="F947" s="14" t="s">
        <v>16</v>
      </c>
      <c r="G947" s="19" t="s">
        <v>17</v>
      </c>
      <c r="H947" s="12" t="s">
        <v>18</v>
      </c>
      <c r="I947" s="15">
        <v>2024.0</v>
      </c>
      <c r="J947" s="16" t="str">
        <f>IFERROR(__xludf.DUMMYFUNCTION("FILTER('CLASFICACIÓN'!$F$3:$F5618,'CLASFICACIÓN'!$G$3:$G5618=M947)"),"2023 Y 2024")</f>
        <v>2023 Y 2024</v>
      </c>
      <c r="K947" s="16"/>
      <c r="L947" s="12" t="s">
        <v>85</v>
      </c>
      <c r="M947" s="16" t="str">
        <f t="shared" si="1"/>
        <v>NUESTRA SEÑORA DE LA CANDELARIA4 Secundaria</v>
      </c>
      <c r="N947" s="17"/>
      <c r="O947" s="17"/>
      <c r="P947" s="17"/>
      <c r="Q947" s="17"/>
      <c r="R947" s="17"/>
      <c r="S947" s="17"/>
      <c r="T947" s="17"/>
    </row>
    <row r="948" ht="15.75" customHeight="1">
      <c r="A948" s="18">
        <v>58.0</v>
      </c>
      <c r="B948" s="12" t="s">
        <v>84</v>
      </c>
      <c r="C948" s="12" t="s">
        <v>27</v>
      </c>
      <c r="D948" s="19" t="s">
        <v>30</v>
      </c>
      <c r="E948" s="12" t="str">
        <f>IFERROR(__xludf.DUMMYFUNCTION("FILTER(colegios!$B$2:$B5618,colegios!$A$2:$A5618=L948)"),"NUESTRA SEÑORA DE LA CANDELARIA")</f>
        <v>NUESTRA SEÑORA DE LA CANDELARIA</v>
      </c>
      <c r="F948" s="14" t="s">
        <v>16</v>
      </c>
      <c r="G948" s="19" t="s">
        <v>17</v>
      </c>
      <c r="H948" s="12" t="s">
        <v>18</v>
      </c>
      <c r="I948" s="15">
        <v>2024.0</v>
      </c>
      <c r="J948" s="16" t="str">
        <f>IFERROR(__xludf.DUMMYFUNCTION("FILTER('CLASFICACIÓN'!$F$3:$F5618,'CLASFICACIÓN'!$G$3:$G5618=M948)"),"2023 Y 2024")</f>
        <v>2023 Y 2024</v>
      </c>
      <c r="K948" s="16"/>
      <c r="L948" s="12" t="s">
        <v>85</v>
      </c>
      <c r="M948" s="16" t="str">
        <f t="shared" si="1"/>
        <v>NUESTRA SEÑORA DE LA CANDELARIA4 Secundaria</v>
      </c>
      <c r="N948" s="17"/>
      <c r="O948" s="17"/>
      <c r="P948" s="17"/>
      <c r="Q948" s="17"/>
      <c r="R948" s="17"/>
      <c r="S948" s="17"/>
      <c r="T948" s="17"/>
    </row>
    <row r="949" ht="15.75" customHeight="1">
      <c r="A949" s="18">
        <v>61.0</v>
      </c>
      <c r="B949" s="12" t="s">
        <v>84</v>
      </c>
      <c r="C949" s="12" t="s">
        <v>27</v>
      </c>
      <c r="D949" s="19" t="s">
        <v>30</v>
      </c>
      <c r="E949" s="12" t="str">
        <f>IFERROR(__xludf.DUMMYFUNCTION("FILTER(colegios!$B$2:$B5618,colegios!$A$2:$A5618=L949)"),"NUESTRA SEÑORA DE LA CANDELARIA")</f>
        <v>NUESTRA SEÑORA DE LA CANDELARIA</v>
      </c>
      <c r="F949" s="14" t="s">
        <v>16</v>
      </c>
      <c r="G949" s="19" t="s">
        <v>17</v>
      </c>
      <c r="H949" s="12" t="s">
        <v>18</v>
      </c>
      <c r="I949" s="15">
        <v>2024.0</v>
      </c>
      <c r="J949" s="16" t="str">
        <f>IFERROR(__xludf.DUMMYFUNCTION("FILTER('CLASFICACIÓN'!$F$3:$F5618,'CLASFICACIÓN'!$G$3:$G5618=M949)"),"2023 Y 2024")</f>
        <v>2023 Y 2024</v>
      </c>
      <c r="K949" s="16"/>
      <c r="L949" s="12" t="s">
        <v>85</v>
      </c>
      <c r="M949" s="16" t="str">
        <f t="shared" si="1"/>
        <v>NUESTRA SEÑORA DE LA CANDELARIA4 Secundaria</v>
      </c>
      <c r="N949" s="17"/>
      <c r="O949" s="17"/>
      <c r="P949" s="17"/>
      <c r="Q949" s="17"/>
      <c r="R949" s="17"/>
      <c r="S949" s="17"/>
      <c r="T949" s="17"/>
    </row>
    <row r="950" ht="15.75" customHeight="1">
      <c r="A950" s="18">
        <v>62.0</v>
      </c>
      <c r="B950" s="12" t="s">
        <v>84</v>
      </c>
      <c r="C950" s="12" t="s">
        <v>27</v>
      </c>
      <c r="D950" s="19" t="s">
        <v>30</v>
      </c>
      <c r="E950" s="12" t="str">
        <f>IFERROR(__xludf.DUMMYFUNCTION("FILTER(colegios!$B$2:$B5618,colegios!$A$2:$A5618=L950)"),"NUESTRA SEÑORA DE LA CANDELARIA")</f>
        <v>NUESTRA SEÑORA DE LA CANDELARIA</v>
      </c>
      <c r="F950" s="14" t="s">
        <v>16</v>
      </c>
      <c r="G950" s="19" t="s">
        <v>17</v>
      </c>
      <c r="H950" s="12" t="s">
        <v>18</v>
      </c>
      <c r="I950" s="15">
        <v>2024.0</v>
      </c>
      <c r="J950" s="16" t="str">
        <f>IFERROR(__xludf.DUMMYFUNCTION("FILTER('CLASFICACIÓN'!$F$3:$F5618,'CLASFICACIÓN'!$G$3:$G5618=M950)"),"2023 Y 2024")</f>
        <v>2023 Y 2024</v>
      </c>
      <c r="K950" s="16"/>
      <c r="L950" s="12" t="s">
        <v>85</v>
      </c>
      <c r="M950" s="16" t="str">
        <f t="shared" si="1"/>
        <v>NUESTRA SEÑORA DE LA CANDELARIA4 Secundaria</v>
      </c>
      <c r="N950" s="17"/>
      <c r="O950" s="17"/>
      <c r="P950" s="17"/>
      <c r="Q950" s="17"/>
      <c r="R950" s="17"/>
      <c r="S950" s="17"/>
      <c r="T950" s="17"/>
    </row>
    <row r="951" ht="15.75" customHeight="1">
      <c r="A951" s="18">
        <v>63.0</v>
      </c>
      <c r="B951" s="12" t="s">
        <v>84</v>
      </c>
      <c r="C951" s="12" t="s">
        <v>27</v>
      </c>
      <c r="D951" s="19" t="s">
        <v>30</v>
      </c>
      <c r="E951" s="12" t="str">
        <f>IFERROR(__xludf.DUMMYFUNCTION("FILTER(colegios!$B$2:$B5618,colegios!$A$2:$A5618=L951)"),"NUESTRA SEÑORA DE LA CANDELARIA")</f>
        <v>NUESTRA SEÑORA DE LA CANDELARIA</v>
      </c>
      <c r="F951" s="14" t="s">
        <v>16</v>
      </c>
      <c r="G951" s="19" t="s">
        <v>17</v>
      </c>
      <c r="H951" s="12" t="s">
        <v>18</v>
      </c>
      <c r="I951" s="15">
        <v>2024.0</v>
      </c>
      <c r="J951" s="16" t="str">
        <f>IFERROR(__xludf.DUMMYFUNCTION("FILTER('CLASFICACIÓN'!$F$3:$F5618,'CLASFICACIÓN'!$G$3:$G5618=M951)"),"2023 Y 2024")</f>
        <v>2023 Y 2024</v>
      </c>
      <c r="K951" s="16"/>
      <c r="L951" s="12" t="s">
        <v>85</v>
      </c>
      <c r="M951" s="16" t="str">
        <f t="shared" si="1"/>
        <v>NUESTRA SEÑORA DE LA CANDELARIA4 Secundaria</v>
      </c>
      <c r="N951" s="17"/>
      <c r="O951" s="17"/>
      <c r="P951" s="17"/>
      <c r="Q951" s="17"/>
      <c r="R951" s="17"/>
      <c r="S951" s="17"/>
      <c r="T951" s="17"/>
    </row>
    <row r="952" ht="15.75" customHeight="1">
      <c r="A952" s="18">
        <v>64.0</v>
      </c>
      <c r="B952" s="12" t="s">
        <v>84</v>
      </c>
      <c r="C952" s="12" t="s">
        <v>27</v>
      </c>
      <c r="D952" s="19" t="s">
        <v>30</v>
      </c>
      <c r="E952" s="12" t="str">
        <f>IFERROR(__xludf.DUMMYFUNCTION("FILTER(colegios!$B$2:$B5618,colegios!$A$2:$A5618=L952)"),"NUESTRA SEÑORA DE LA CANDELARIA")</f>
        <v>NUESTRA SEÑORA DE LA CANDELARIA</v>
      </c>
      <c r="F952" s="14" t="s">
        <v>16</v>
      </c>
      <c r="G952" s="19" t="s">
        <v>17</v>
      </c>
      <c r="H952" s="12" t="s">
        <v>18</v>
      </c>
      <c r="I952" s="15">
        <v>2024.0</v>
      </c>
      <c r="J952" s="16" t="str">
        <f>IFERROR(__xludf.DUMMYFUNCTION("FILTER('CLASFICACIÓN'!$F$3:$F5618,'CLASFICACIÓN'!$G$3:$G5618=M952)"),"2023 Y 2024")</f>
        <v>2023 Y 2024</v>
      </c>
      <c r="K952" s="16"/>
      <c r="L952" s="12" t="s">
        <v>85</v>
      </c>
      <c r="M952" s="16" t="str">
        <f t="shared" si="1"/>
        <v>NUESTRA SEÑORA DE LA CANDELARIA4 Secundaria</v>
      </c>
      <c r="N952" s="17"/>
      <c r="O952" s="17"/>
      <c r="P952" s="17"/>
      <c r="Q952" s="17"/>
      <c r="R952" s="17"/>
      <c r="S952" s="17"/>
      <c r="T952" s="17"/>
    </row>
    <row r="953" ht="15.75" customHeight="1">
      <c r="A953" s="18">
        <v>65.0</v>
      </c>
      <c r="B953" s="12" t="s">
        <v>84</v>
      </c>
      <c r="C953" s="12" t="s">
        <v>27</v>
      </c>
      <c r="D953" s="19" t="s">
        <v>30</v>
      </c>
      <c r="E953" s="12" t="str">
        <f>IFERROR(__xludf.DUMMYFUNCTION("FILTER(colegios!$B$2:$B5618,colegios!$A$2:$A5618=L953)"),"NUESTRA SEÑORA DE LA CANDELARIA")</f>
        <v>NUESTRA SEÑORA DE LA CANDELARIA</v>
      </c>
      <c r="F953" s="14" t="s">
        <v>16</v>
      </c>
      <c r="G953" s="19" t="s">
        <v>17</v>
      </c>
      <c r="H953" s="12" t="s">
        <v>18</v>
      </c>
      <c r="I953" s="15">
        <v>2024.0</v>
      </c>
      <c r="J953" s="16" t="str">
        <f>IFERROR(__xludf.DUMMYFUNCTION("FILTER('CLASFICACIÓN'!$F$3:$F5618,'CLASFICACIÓN'!$G$3:$G5618=M953)"),"2023 Y 2024")</f>
        <v>2023 Y 2024</v>
      </c>
      <c r="K953" s="16"/>
      <c r="L953" s="12" t="s">
        <v>85</v>
      </c>
      <c r="M953" s="16" t="str">
        <f t="shared" si="1"/>
        <v>NUESTRA SEÑORA DE LA CANDELARIA4 Secundaria</v>
      </c>
      <c r="N953" s="17"/>
      <c r="O953" s="17"/>
      <c r="P953" s="17"/>
      <c r="Q953" s="17"/>
      <c r="R953" s="17"/>
      <c r="S953" s="17"/>
      <c r="T953" s="17"/>
    </row>
    <row r="954">
      <c r="A954" s="21">
        <v>1.0</v>
      </c>
      <c r="B954" s="20" t="s">
        <v>90</v>
      </c>
      <c r="C954" s="12" t="s">
        <v>27</v>
      </c>
      <c r="D954" s="20" t="s">
        <v>28</v>
      </c>
      <c r="E954" s="12" t="str">
        <f>IFERROR(__xludf.DUMMYFUNCTION("FILTER(colegios!$B$2:$B5618,colegios!$A$2:$A5618=L954)"),"501432 PAPA FRANCISCO I")</f>
        <v>501432 PAPA FRANCISCO I</v>
      </c>
      <c r="F954" s="14" t="s">
        <v>16</v>
      </c>
      <c r="G954" s="14" t="s">
        <v>17</v>
      </c>
      <c r="H954" s="14" t="s">
        <v>18</v>
      </c>
      <c r="I954" s="15">
        <v>2024.0</v>
      </c>
      <c r="J954" s="16" t="str">
        <f>IFERROR(__xludf.DUMMYFUNCTION("FILTER('CLASFICACIÓN'!$F$3:$F5618,'CLASFICACIÓN'!$G$3:$G5618=M954)"),"SOLO 2022 Y 2024")</f>
        <v>SOLO 2022 Y 2024</v>
      </c>
      <c r="K954" s="16"/>
      <c r="L954" s="14" t="s">
        <v>91</v>
      </c>
      <c r="M954" s="16" t="str">
        <f t="shared" si="1"/>
        <v>501432 PAPA FRANCISCO I2 Secundaria</v>
      </c>
      <c r="N954" s="17"/>
      <c r="O954" s="17"/>
      <c r="P954" s="17"/>
      <c r="Q954" s="17"/>
      <c r="R954" s="17"/>
      <c r="S954" s="17"/>
      <c r="T954" s="17"/>
    </row>
    <row r="955">
      <c r="A955" s="21">
        <v>2.0</v>
      </c>
      <c r="B955" s="20" t="s">
        <v>90</v>
      </c>
      <c r="C955" s="12" t="s">
        <v>27</v>
      </c>
      <c r="D955" s="20" t="s">
        <v>28</v>
      </c>
      <c r="E955" s="12" t="str">
        <f>IFERROR(__xludf.DUMMYFUNCTION("FILTER(colegios!$B$2:$B5618,colegios!$A$2:$A5618=L955)"),"501432 PAPA FRANCISCO I")</f>
        <v>501432 PAPA FRANCISCO I</v>
      </c>
      <c r="F955" s="14" t="s">
        <v>16</v>
      </c>
      <c r="G955" s="14" t="s">
        <v>17</v>
      </c>
      <c r="H955" s="14" t="s">
        <v>18</v>
      </c>
      <c r="I955" s="15">
        <v>2024.0</v>
      </c>
      <c r="J955" s="16" t="str">
        <f>IFERROR(__xludf.DUMMYFUNCTION("FILTER('CLASFICACIÓN'!$F$3:$F5618,'CLASFICACIÓN'!$G$3:$G5618=M955)"),"SOLO 2022 Y 2024")</f>
        <v>SOLO 2022 Y 2024</v>
      </c>
      <c r="K955" s="16"/>
      <c r="L955" s="14" t="s">
        <v>91</v>
      </c>
      <c r="M955" s="16" t="str">
        <f t="shared" si="1"/>
        <v>501432 PAPA FRANCISCO I2 Secundaria</v>
      </c>
      <c r="N955" s="17"/>
      <c r="O955" s="17"/>
      <c r="P955" s="17"/>
      <c r="Q955" s="17"/>
      <c r="R955" s="17"/>
      <c r="S955" s="17"/>
      <c r="T955" s="17"/>
    </row>
    <row r="956">
      <c r="A956" s="21">
        <v>3.0</v>
      </c>
      <c r="B956" s="20" t="s">
        <v>90</v>
      </c>
      <c r="C956" s="12" t="s">
        <v>27</v>
      </c>
      <c r="D956" s="20" t="s">
        <v>28</v>
      </c>
      <c r="E956" s="12" t="str">
        <f>IFERROR(__xludf.DUMMYFUNCTION("FILTER(colegios!$B$2:$B5618,colegios!$A$2:$A5618=L956)"),"501432 PAPA FRANCISCO I")</f>
        <v>501432 PAPA FRANCISCO I</v>
      </c>
      <c r="F956" s="14" t="s">
        <v>16</v>
      </c>
      <c r="G956" s="14" t="s">
        <v>21</v>
      </c>
      <c r="H956" s="14" t="s">
        <v>18</v>
      </c>
      <c r="I956" s="15">
        <v>2024.0</v>
      </c>
      <c r="J956" s="16" t="str">
        <f>IFERROR(__xludf.DUMMYFUNCTION("FILTER('CLASFICACIÓN'!$F$3:$F5618,'CLASFICACIÓN'!$G$3:$G5618=M956)"),"SOLO 2022 Y 2024")</f>
        <v>SOLO 2022 Y 2024</v>
      </c>
      <c r="K956" s="16"/>
      <c r="L956" s="14" t="s">
        <v>91</v>
      </c>
      <c r="M956" s="16" t="str">
        <f t="shared" si="1"/>
        <v>501432 PAPA FRANCISCO I2 Secundaria</v>
      </c>
      <c r="N956" s="17"/>
      <c r="O956" s="17"/>
      <c r="P956" s="17"/>
      <c r="Q956" s="17"/>
      <c r="R956" s="17"/>
      <c r="S956" s="17"/>
      <c r="T956" s="17"/>
    </row>
    <row r="957">
      <c r="A957" s="21">
        <v>4.0</v>
      </c>
      <c r="B957" s="20" t="s">
        <v>90</v>
      </c>
      <c r="C957" s="12" t="s">
        <v>27</v>
      </c>
      <c r="D957" s="20" t="s">
        <v>28</v>
      </c>
      <c r="E957" s="12" t="str">
        <f>IFERROR(__xludf.DUMMYFUNCTION("FILTER(colegios!$B$2:$B5618,colegios!$A$2:$A5618=L957)"),"501432 PAPA FRANCISCO I")</f>
        <v>501432 PAPA FRANCISCO I</v>
      </c>
      <c r="F957" s="14" t="s">
        <v>16</v>
      </c>
      <c r="G957" s="14" t="s">
        <v>17</v>
      </c>
      <c r="H957" s="14" t="s">
        <v>18</v>
      </c>
      <c r="I957" s="15">
        <v>2024.0</v>
      </c>
      <c r="J957" s="16" t="str">
        <f>IFERROR(__xludf.DUMMYFUNCTION("FILTER('CLASFICACIÓN'!$F$3:$F5618,'CLASFICACIÓN'!$G$3:$G5618=M957)"),"SOLO 2022 Y 2024")</f>
        <v>SOLO 2022 Y 2024</v>
      </c>
      <c r="K957" s="16"/>
      <c r="L957" s="14" t="s">
        <v>91</v>
      </c>
      <c r="M957" s="16" t="str">
        <f t="shared" si="1"/>
        <v>501432 PAPA FRANCISCO I2 Secundaria</v>
      </c>
      <c r="N957" s="17"/>
      <c r="O957" s="17"/>
      <c r="P957" s="17"/>
      <c r="Q957" s="17"/>
      <c r="R957" s="17"/>
      <c r="S957" s="17"/>
      <c r="T957" s="17"/>
    </row>
    <row r="958">
      <c r="A958" s="21">
        <v>5.0</v>
      </c>
      <c r="B958" s="20" t="s">
        <v>90</v>
      </c>
      <c r="C958" s="12" t="s">
        <v>27</v>
      </c>
      <c r="D958" s="20" t="s">
        <v>28</v>
      </c>
      <c r="E958" s="12" t="str">
        <f>IFERROR(__xludf.DUMMYFUNCTION("FILTER(colegios!$B$2:$B5618,colegios!$A$2:$A5618=L958)"),"501432 PAPA FRANCISCO I")</f>
        <v>501432 PAPA FRANCISCO I</v>
      </c>
      <c r="F958" s="14" t="s">
        <v>16</v>
      </c>
      <c r="G958" s="14" t="s">
        <v>17</v>
      </c>
      <c r="H958" s="14" t="s">
        <v>18</v>
      </c>
      <c r="I958" s="15">
        <v>2024.0</v>
      </c>
      <c r="J958" s="16" t="str">
        <f>IFERROR(__xludf.DUMMYFUNCTION("FILTER('CLASFICACIÓN'!$F$3:$F5618,'CLASFICACIÓN'!$G$3:$G5618=M958)"),"SOLO 2022 Y 2024")</f>
        <v>SOLO 2022 Y 2024</v>
      </c>
      <c r="K958" s="16"/>
      <c r="L958" s="14" t="s">
        <v>91</v>
      </c>
      <c r="M958" s="16" t="str">
        <f t="shared" si="1"/>
        <v>501432 PAPA FRANCISCO I2 Secundaria</v>
      </c>
      <c r="N958" s="17"/>
      <c r="O958" s="17"/>
      <c r="P958" s="17"/>
      <c r="Q958" s="17"/>
      <c r="R958" s="17"/>
      <c r="S958" s="17"/>
      <c r="T958" s="17"/>
    </row>
    <row r="959">
      <c r="A959" s="21">
        <v>6.0</v>
      </c>
      <c r="B959" s="20" t="s">
        <v>90</v>
      </c>
      <c r="C959" s="12" t="s">
        <v>27</v>
      </c>
      <c r="D959" s="20" t="s">
        <v>28</v>
      </c>
      <c r="E959" s="12" t="str">
        <f>IFERROR(__xludf.DUMMYFUNCTION("FILTER(colegios!$B$2:$B5618,colegios!$A$2:$A5618=L959)"),"501432 PAPA FRANCISCO I")</f>
        <v>501432 PAPA FRANCISCO I</v>
      </c>
      <c r="F959" s="14" t="s">
        <v>16</v>
      </c>
      <c r="G959" s="14" t="s">
        <v>21</v>
      </c>
      <c r="H959" s="14" t="s">
        <v>18</v>
      </c>
      <c r="I959" s="15">
        <v>2024.0</v>
      </c>
      <c r="J959" s="16" t="str">
        <f>IFERROR(__xludf.DUMMYFUNCTION("FILTER('CLASFICACIÓN'!$F$3:$F5618,'CLASFICACIÓN'!$G$3:$G5618=M959)"),"SOLO 2022 Y 2024")</f>
        <v>SOLO 2022 Y 2024</v>
      </c>
      <c r="K959" s="16"/>
      <c r="L959" s="14" t="s">
        <v>91</v>
      </c>
      <c r="M959" s="16" t="str">
        <f t="shared" si="1"/>
        <v>501432 PAPA FRANCISCO I2 Secundaria</v>
      </c>
      <c r="N959" s="17"/>
      <c r="O959" s="17"/>
      <c r="P959" s="17"/>
      <c r="Q959" s="17"/>
      <c r="R959" s="17"/>
      <c r="S959" s="17"/>
      <c r="T959" s="17"/>
    </row>
    <row r="960">
      <c r="A960" s="21">
        <v>7.0</v>
      </c>
      <c r="B960" s="20" t="s">
        <v>90</v>
      </c>
      <c r="C960" s="12" t="s">
        <v>27</v>
      </c>
      <c r="D960" s="20" t="s">
        <v>28</v>
      </c>
      <c r="E960" s="12" t="str">
        <f>IFERROR(__xludf.DUMMYFUNCTION("FILTER(colegios!$B$2:$B5618,colegios!$A$2:$A5618=L960)"),"501432 PAPA FRANCISCO I")</f>
        <v>501432 PAPA FRANCISCO I</v>
      </c>
      <c r="F960" s="14" t="s">
        <v>16</v>
      </c>
      <c r="G960" s="14" t="s">
        <v>21</v>
      </c>
      <c r="H960" s="14" t="s">
        <v>18</v>
      </c>
      <c r="I960" s="15">
        <v>2024.0</v>
      </c>
      <c r="J960" s="16" t="str">
        <f>IFERROR(__xludf.DUMMYFUNCTION("FILTER('CLASFICACIÓN'!$F$3:$F5618,'CLASFICACIÓN'!$G$3:$G5618=M960)"),"SOLO 2022 Y 2024")</f>
        <v>SOLO 2022 Y 2024</v>
      </c>
      <c r="K960" s="16"/>
      <c r="L960" s="14" t="s">
        <v>91</v>
      </c>
      <c r="M960" s="16" t="str">
        <f t="shared" si="1"/>
        <v>501432 PAPA FRANCISCO I2 Secundaria</v>
      </c>
      <c r="N960" s="17"/>
      <c r="O960" s="17"/>
      <c r="P960" s="17"/>
      <c r="Q960" s="17"/>
      <c r="R960" s="17"/>
      <c r="S960" s="17"/>
      <c r="T960" s="17"/>
    </row>
    <row r="961">
      <c r="A961" s="21">
        <v>8.0</v>
      </c>
      <c r="B961" s="20" t="s">
        <v>90</v>
      </c>
      <c r="C961" s="12" t="s">
        <v>27</v>
      </c>
      <c r="D961" s="20" t="s">
        <v>28</v>
      </c>
      <c r="E961" s="12" t="str">
        <f>IFERROR(__xludf.DUMMYFUNCTION("FILTER(colegios!$B$2:$B5618,colegios!$A$2:$A5618=L961)"),"501432 PAPA FRANCISCO I")</f>
        <v>501432 PAPA FRANCISCO I</v>
      </c>
      <c r="F961" s="14" t="s">
        <v>16</v>
      </c>
      <c r="G961" s="14" t="s">
        <v>21</v>
      </c>
      <c r="H961" s="14" t="s">
        <v>18</v>
      </c>
      <c r="I961" s="15">
        <v>2024.0</v>
      </c>
      <c r="J961" s="16" t="str">
        <f>IFERROR(__xludf.DUMMYFUNCTION("FILTER('CLASFICACIÓN'!$F$3:$F5618,'CLASFICACIÓN'!$G$3:$G5618=M961)"),"SOLO 2022 Y 2024")</f>
        <v>SOLO 2022 Y 2024</v>
      </c>
      <c r="K961" s="16"/>
      <c r="L961" s="14" t="s">
        <v>91</v>
      </c>
      <c r="M961" s="16" t="str">
        <f t="shared" si="1"/>
        <v>501432 PAPA FRANCISCO I2 Secundaria</v>
      </c>
      <c r="N961" s="17"/>
      <c r="O961" s="17"/>
      <c r="P961" s="17"/>
      <c r="Q961" s="17"/>
      <c r="R961" s="17"/>
      <c r="S961" s="17"/>
      <c r="T961" s="17"/>
    </row>
    <row r="962">
      <c r="A962" s="21">
        <v>9.0</v>
      </c>
      <c r="B962" s="20" t="s">
        <v>90</v>
      </c>
      <c r="C962" s="12" t="s">
        <v>27</v>
      </c>
      <c r="D962" s="20" t="s">
        <v>28</v>
      </c>
      <c r="E962" s="12" t="str">
        <f>IFERROR(__xludf.DUMMYFUNCTION("FILTER(colegios!$B$2:$B5618,colegios!$A$2:$A5618=L962)"),"501432 PAPA FRANCISCO I")</f>
        <v>501432 PAPA FRANCISCO I</v>
      </c>
      <c r="F962" s="14" t="s">
        <v>16</v>
      </c>
      <c r="G962" s="14" t="s">
        <v>17</v>
      </c>
      <c r="H962" s="14" t="s">
        <v>18</v>
      </c>
      <c r="I962" s="15">
        <v>2024.0</v>
      </c>
      <c r="J962" s="16" t="str">
        <f>IFERROR(__xludf.DUMMYFUNCTION("FILTER('CLASFICACIÓN'!$F$3:$F5618,'CLASFICACIÓN'!$G$3:$G5618=M962)"),"SOLO 2022 Y 2024")</f>
        <v>SOLO 2022 Y 2024</v>
      </c>
      <c r="K962" s="16"/>
      <c r="L962" s="14" t="s">
        <v>91</v>
      </c>
      <c r="M962" s="16" t="str">
        <f t="shared" si="1"/>
        <v>501432 PAPA FRANCISCO I2 Secundaria</v>
      </c>
      <c r="N962" s="17"/>
      <c r="O962" s="17"/>
      <c r="P962" s="17"/>
      <c r="Q962" s="17"/>
      <c r="R962" s="17"/>
      <c r="S962" s="17"/>
      <c r="T962" s="17"/>
    </row>
    <row r="963">
      <c r="A963" s="21">
        <v>10.0</v>
      </c>
      <c r="B963" s="20" t="s">
        <v>90</v>
      </c>
      <c r="C963" s="12" t="s">
        <v>27</v>
      </c>
      <c r="D963" s="20" t="s">
        <v>28</v>
      </c>
      <c r="E963" s="12" t="str">
        <f>IFERROR(__xludf.DUMMYFUNCTION("FILTER(colegios!$B$2:$B5618,colegios!$A$2:$A5618=L963)"),"501432 PAPA FRANCISCO I")</f>
        <v>501432 PAPA FRANCISCO I</v>
      </c>
      <c r="F963" s="14" t="s">
        <v>16</v>
      </c>
      <c r="G963" s="14" t="s">
        <v>17</v>
      </c>
      <c r="H963" s="14" t="s">
        <v>18</v>
      </c>
      <c r="I963" s="15">
        <v>2024.0</v>
      </c>
      <c r="J963" s="16" t="str">
        <f>IFERROR(__xludf.DUMMYFUNCTION("FILTER('CLASFICACIÓN'!$F$3:$F5618,'CLASFICACIÓN'!$G$3:$G5618=M963)"),"SOLO 2022 Y 2024")</f>
        <v>SOLO 2022 Y 2024</v>
      </c>
      <c r="K963" s="16"/>
      <c r="L963" s="14" t="s">
        <v>91</v>
      </c>
      <c r="M963" s="16" t="str">
        <f t="shared" si="1"/>
        <v>501432 PAPA FRANCISCO I2 Secundaria</v>
      </c>
      <c r="N963" s="17"/>
      <c r="O963" s="17"/>
      <c r="P963" s="17"/>
      <c r="Q963" s="17"/>
      <c r="R963" s="17"/>
      <c r="S963" s="17"/>
      <c r="T963" s="17"/>
    </row>
    <row r="964">
      <c r="A964" s="21">
        <v>11.0</v>
      </c>
      <c r="B964" s="20" t="s">
        <v>90</v>
      </c>
      <c r="C964" s="12" t="s">
        <v>27</v>
      </c>
      <c r="D964" s="20" t="s">
        <v>28</v>
      </c>
      <c r="E964" s="12" t="str">
        <f>IFERROR(__xludf.DUMMYFUNCTION("FILTER(colegios!$B$2:$B5618,colegios!$A$2:$A5618=L964)"),"501432 PAPA FRANCISCO I")</f>
        <v>501432 PAPA FRANCISCO I</v>
      </c>
      <c r="F964" s="14" t="s">
        <v>16</v>
      </c>
      <c r="G964" s="14" t="s">
        <v>17</v>
      </c>
      <c r="H964" s="14" t="s">
        <v>18</v>
      </c>
      <c r="I964" s="15">
        <v>2024.0</v>
      </c>
      <c r="J964" s="16" t="str">
        <f>IFERROR(__xludf.DUMMYFUNCTION("FILTER('CLASFICACIÓN'!$F$3:$F5618,'CLASFICACIÓN'!$G$3:$G5618=M964)"),"SOLO 2022 Y 2024")</f>
        <v>SOLO 2022 Y 2024</v>
      </c>
      <c r="K964" s="16"/>
      <c r="L964" s="14" t="s">
        <v>91</v>
      </c>
      <c r="M964" s="16" t="str">
        <f t="shared" si="1"/>
        <v>501432 PAPA FRANCISCO I2 Secundaria</v>
      </c>
      <c r="N964" s="17"/>
      <c r="O964" s="17"/>
      <c r="P964" s="17"/>
      <c r="Q964" s="17"/>
      <c r="R964" s="17"/>
      <c r="S964" s="17"/>
      <c r="T964" s="17"/>
    </row>
    <row r="965">
      <c r="A965" s="21">
        <v>12.0</v>
      </c>
      <c r="B965" s="20" t="s">
        <v>90</v>
      </c>
      <c r="C965" s="12" t="s">
        <v>27</v>
      </c>
      <c r="D965" s="20" t="s">
        <v>30</v>
      </c>
      <c r="E965" s="12" t="str">
        <f>IFERROR(__xludf.DUMMYFUNCTION("FILTER(colegios!$B$2:$B5618,colegios!$A$2:$A5618=L965)"),"501432 PAPA FRANCISCO I")</f>
        <v>501432 PAPA FRANCISCO I</v>
      </c>
      <c r="F965" s="14" t="s">
        <v>16</v>
      </c>
      <c r="G965" s="14" t="s">
        <v>17</v>
      </c>
      <c r="H965" s="14" t="s">
        <v>18</v>
      </c>
      <c r="I965" s="15">
        <v>2024.0</v>
      </c>
      <c r="J965" s="16" t="str">
        <f>IFERROR(__xludf.DUMMYFUNCTION("FILTER('CLASFICACIÓN'!$F$3:$F5618,'CLASFICACIÓN'!$G$3:$G5618=M965)"),"SOLO 2024")</f>
        <v>SOLO 2024</v>
      </c>
      <c r="K965" s="16"/>
      <c r="L965" s="14" t="s">
        <v>91</v>
      </c>
      <c r="M965" s="16" t="str">
        <f t="shared" si="1"/>
        <v>501432 PAPA FRANCISCO I4 Secundaria</v>
      </c>
      <c r="N965" s="17"/>
      <c r="O965" s="17"/>
      <c r="P965" s="17"/>
      <c r="Q965" s="17"/>
      <c r="R965" s="17"/>
      <c r="S965" s="17"/>
      <c r="T965" s="17"/>
    </row>
    <row r="966">
      <c r="A966" s="21">
        <v>13.0</v>
      </c>
      <c r="B966" s="20" t="s">
        <v>90</v>
      </c>
      <c r="C966" s="12" t="s">
        <v>27</v>
      </c>
      <c r="D966" s="20" t="s">
        <v>30</v>
      </c>
      <c r="E966" s="12" t="str">
        <f>IFERROR(__xludf.DUMMYFUNCTION("FILTER(colegios!$B$2:$B5618,colegios!$A$2:$A5618=L966)"),"501432 PAPA FRANCISCO I")</f>
        <v>501432 PAPA FRANCISCO I</v>
      </c>
      <c r="F966" s="14" t="s">
        <v>16</v>
      </c>
      <c r="G966" s="14" t="s">
        <v>17</v>
      </c>
      <c r="H966" s="14" t="s">
        <v>18</v>
      </c>
      <c r="I966" s="15">
        <v>2024.0</v>
      </c>
      <c r="J966" s="16" t="str">
        <f>IFERROR(__xludf.DUMMYFUNCTION("FILTER('CLASFICACIÓN'!$F$3:$F5618,'CLASFICACIÓN'!$G$3:$G5618=M966)"),"SOLO 2024")</f>
        <v>SOLO 2024</v>
      </c>
      <c r="K966" s="16"/>
      <c r="L966" s="14" t="s">
        <v>91</v>
      </c>
      <c r="M966" s="16" t="str">
        <f t="shared" si="1"/>
        <v>501432 PAPA FRANCISCO I4 Secundaria</v>
      </c>
      <c r="N966" s="17"/>
      <c r="O966" s="17"/>
      <c r="P966" s="17"/>
      <c r="Q966" s="17"/>
      <c r="R966" s="17"/>
      <c r="S966" s="17"/>
      <c r="T966" s="17"/>
    </row>
    <row r="967">
      <c r="A967" s="21">
        <v>14.0</v>
      </c>
      <c r="B967" s="20" t="s">
        <v>90</v>
      </c>
      <c r="C967" s="12" t="s">
        <v>27</v>
      </c>
      <c r="D967" s="20" t="s">
        <v>30</v>
      </c>
      <c r="E967" s="12" t="str">
        <f>IFERROR(__xludf.DUMMYFUNCTION("FILTER(colegios!$B$2:$B5618,colegios!$A$2:$A5618=L967)"),"501432 PAPA FRANCISCO I")</f>
        <v>501432 PAPA FRANCISCO I</v>
      </c>
      <c r="F967" s="14" t="s">
        <v>16</v>
      </c>
      <c r="G967" s="14" t="s">
        <v>17</v>
      </c>
      <c r="H967" s="14" t="s">
        <v>18</v>
      </c>
      <c r="I967" s="15">
        <v>2024.0</v>
      </c>
      <c r="J967" s="16" t="str">
        <f>IFERROR(__xludf.DUMMYFUNCTION("FILTER('CLASFICACIÓN'!$F$3:$F5618,'CLASFICACIÓN'!$G$3:$G5618=M967)"),"SOLO 2024")</f>
        <v>SOLO 2024</v>
      </c>
      <c r="K967" s="16"/>
      <c r="L967" s="14" t="s">
        <v>91</v>
      </c>
      <c r="M967" s="16" t="str">
        <f t="shared" si="1"/>
        <v>501432 PAPA FRANCISCO I4 Secundaria</v>
      </c>
      <c r="N967" s="17"/>
      <c r="O967" s="17"/>
      <c r="P967" s="17"/>
      <c r="Q967" s="17"/>
      <c r="R967" s="17"/>
      <c r="S967" s="17"/>
      <c r="T967" s="17"/>
    </row>
    <row r="968">
      <c r="A968" s="21">
        <v>15.0</v>
      </c>
      <c r="B968" s="20" t="s">
        <v>90</v>
      </c>
      <c r="C968" s="12" t="s">
        <v>27</v>
      </c>
      <c r="D968" s="20" t="s">
        <v>30</v>
      </c>
      <c r="E968" s="12" t="str">
        <f>IFERROR(__xludf.DUMMYFUNCTION("FILTER(colegios!$B$2:$B5618,colegios!$A$2:$A5618=L968)"),"501432 PAPA FRANCISCO I")</f>
        <v>501432 PAPA FRANCISCO I</v>
      </c>
      <c r="F968" s="14" t="s">
        <v>16</v>
      </c>
      <c r="G968" s="14" t="s">
        <v>21</v>
      </c>
      <c r="H968" s="14" t="s">
        <v>18</v>
      </c>
      <c r="I968" s="15">
        <v>2024.0</v>
      </c>
      <c r="J968" s="16" t="str">
        <f>IFERROR(__xludf.DUMMYFUNCTION("FILTER('CLASFICACIÓN'!$F$3:$F5618,'CLASFICACIÓN'!$G$3:$G5618=M968)"),"SOLO 2024")</f>
        <v>SOLO 2024</v>
      </c>
      <c r="K968" s="16"/>
      <c r="L968" s="14" t="s">
        <v>91</v>
      </c>
      <c r="M968" s="16" t="str">
        <f t="shared" si="1"/>
        <v>501432 PAPA FRANCISCO I4 Secundaria</v>
      </c>
      <c r="N968" s="17"/>
      <c r="O968" s="17"/>
      <c r="P968" s="17"/>
      <c r="Q968" s="17"/>
      <c r="R968" s="17"/>
      <c r="S968" s="17"/>
      <c r="T968" s="17"/>
    </row>
    <row r="969">
      <c r="A969" s="21">
        <v>16.0</v>
      </c>
      <c r="B969" s="20" t="s">
        <v>90</v>
      </c>
      <c r="C969" s="12" t="s">
        <v>27</v>
      </c>
      <c r="D969" s="20" t="s">
        <v>30</v>
      </c>
      <c r="E969" s="12" t="str">
        <f>IFERROR(__xludf.DUMMYFUNCTION("FILTER(colegios!$B$2:$B5618,colegios!$A$2:$A5618=L969)"),"501432 PAPA FRANCISCO I")</f>
        <v>501432 PAPA FRANCISCO I</v>
      </c>
      <c r="F969" s="14" t="s">
        <v>16</v>
      </c>
      <c r="G969" s="14" t="s">
        <v>17</v>
      </c>
      <c r="H969" s="14" t="s">
        <v>18</v>
      </c>
      <c r="I969" s="15">
        <v>2024.0</v>
      </c>
      <c r="J969" s="16" t="str">
        <f>IFERROR(__xludf.DUMMYFUNCTION("FILTER('CLASFICACIÓN'!$F$3:$F5618,'CLASFICACIÓN'!$G$3:$G5618=M969)"),"SOLO 2024")</f>
        <v>SOLO 2024</v>
      </c>
      <c r="K969" s="16"/>
      <c r="L969" s="14" t="s">
        <v>91</v>
      </c>
      <c r="M969" s="16" t="str">
        <f t="shared" si="1"/>
        <v>501432 PAPA FRANCISCO I4 Secundaria</v>
      </c>
      <c r="N969" s="17"/>
      <c r="O969" s="17"/>
      <c r="P969" s="17"/>
      <c r="Q969" s="17"/>
      <c r="R969" s="17"/>
      <c r="S969" s="17"/>
      <c r="T969" s="17"/>
    </row>
    <row r="970">
      <c r="A970" s="21">
        <v>17.0</v>
      </c>
      <c r="B970" s="20" t="s">
        <v>90</v>
      </c>
      <c r="C970" s="12" t="s">
        <v>27</v>
      </c>
      <c r="D970" s="20" t="s">
        <v>30</v>
      </c>
      <c r="E970" s="12" t="str">
        <f>IFERROR(__xludf.DUMMYFUNCTION("FILTER(colegios!$B$2:$B5618,colegios!$A$2:$A5618=L970)"),"501432 PAPA FRANCISCO I")</f>
        <v>501432 PAPA FRANCISCO I</v>
      </c>
      <c r="F970" s="14" t="s">
        <v>16</v>
      </c>
      <c r="G970" s="14" t="s">
        <v>17</v>
      </c>
      <c r="H970" s="14" t="s">
        <v>18</v>
      </c>
      <c r="I970" s="15">
        <v>2024.0</v>
      </c>
      <c r="J970" s="16" t="str">
        <f>IFERROR(__xludf.DUMMYFUNCTION("FILTER('CLASFICACIÓN'!$F$3:$F5618,'CLASFICACIÓN'!$G$3:$G5618=M970)"),"SOLO 2024")</f>
        <v>SOLO 2024</v>
      </c>
      <c r="K970" s="16"/>
      <c r="L970" s="14" t="s">
        <v>91</v>
      </c>
      <c r="M970" s="16" t="str">
        <f t="shared" si="1"/>
        <v>501432 PAPA FRANCISCO I4 Secundaria</v>
      </c>
      <c r="N970" s="17"/>
      <c r="O970" s="17"/>
      <c r="P970" s="17"/>
      <c r="Q970" s="17"/>
      <c r="R970" s="17"/>
      <c r="S970" s="17"/>
      <c r="T970" s="17"/>
    </row>
    <row r="971">
      <c r="A971" s="21">
        <v>18.0</v>
      </c>
      <c r="B971" s="20" t="s">
        <v>90</v>
      </c>
      <c r="C971" s="12" t="s">
        <v>27</v>
      </c>
      <c r="D971" s="20" t="s">
        <v>30</v>
      </c>
      <c r="E971" s="12" t="str">
        <f>IFERROR(__xludf.DUMMYFUNCTION("FILTER(colegios!$B$2:$B5618,colegios!$A$2:$A5618=L971)"),"501432 PAPA FRANCISCO I")</f>
        <v>501432 PAPA FRANCISCO I</v>
      </c>
      <c r="F971" s="14" t="s">
        <v>16</v>
      </c>
      <c r="G971" s="14" t="s">
        <v>21</v>
      </c>
      <c r="H971" s="14" t="s">
        <v>18</v>
      </c>
      <c r="I971" s="15">
        <v>2024.0</v>
      </c>
      <c r="J971" s="16" t="str">
        <f>IFERROR(__xludf.DUMMYFUNCTION("FILTER('CLASFICACIÓN'!$F$3:$F5618,'CLASFICACIÓN'!$G$3:$G5618=M971)"),"SOLO 2024")</f>
        <v>SOLO 2024</v>
      </c>
      <c r="K971" s="16"/>
      <c r="L971" s="14" t="s">
        <v>91</v>
      </c>
      <c r="M971" s="16" t="str">
        <f t="shared" si="1"/>
        <v>501432 PAPA FRANCISCO I4 Secundaria</v>
      </c>
      <c r="N971" s="17"/>
      <c r="O971" s="17"/>
      <c r="P971" s="17"/>
      <c r="Q971" s="17"/>
      <c r="R971" s="17"/>
      <c r="S971" s="17"/>
      <c r="T971" s="17"/>
    </row>
    <row r="972">
      <c r="A972" s="21">
        <v>19.0</v>
      </c>
      <c r="B972" s="20" t="s">
        <v>90</v>
      </c>
      <c r="C972" s="12" t="s">
        <v>27</v>
      </c>
      <c r="D972" s="20" t="s">
        <v>30</v>
      </c>
      <c r="E972" s="12" t="str">
        <f>IFERROR(__xludf.DUMMYFUNCTION("FILTER(colegios!$B$2:$B5618,colegios!$A$2:$A5618=L972)"),"501432 PAPA FRANCISCO I")</f>
        <v>501432 PAPA FRANCISCO I</v>
      </c>
      <c r="F972" s="14" t="s">
        <v>16</v>
      </c>
      <c r="G972" s="14" t="s">
        <v>17</v>
      </c>
      <c r="H972" s="14" t="s">
        <v>18</v>
      </c>
      <c r="I972" s="15">
        <v>2024.0</v>
      </c>
      <c r="J972" s="16" t="str">
        <f>IFERROR(__xludf.DUMMYFUNCTION("FILTER('CLASFICACIÓN'!$F$3:$F5618,'CLASFICACIÓN'!$G$3:$G5618=M972)"),"SOLO 2024")</f>
        <v>SOLO 2024</v>
      </c>
      <c r="K972" s="16"/>
      <c r="L972" s="14" t="s">
        <v>91</v>
      </c>
      <c r="M972" s="16" t="str">
        <f t="shared" si="1"/>
        <v>501432 PAPA FRANCISCO I4 Secundaria</v>
      </c>
      <c r="N972" s="17"/>
      <c r="O972" s="17"/>
      <c r="P972" s="17"/>
      <c r="Q972" s="17"/>
      <c r="R972" s="17"/>
      <c r="S972" s="17"/>
      <c r="T972" s="17"/>
    </row>
    <row r="973">
      <c r="A973" s="21">
        <v>20.0</v>
      </c>
      <c r="B973" s="20" t="s">
        <v>90</v>
      </c>
      <c r="C973" s="12" t="s">
        <v>27</v>
      </c>
      <c r="D973" s="20" t="s">
        <v>30</v>
      </c>
      <c r="E973" s="12" t="str">
        <f>IFERROR(__xludf.DUMMYFUNCTION("FILTER(colegios!$B$2:$B5618,colegios!$A$2:$A5618=L973)"),"501432 PAPA FRANCISCO I")</f>
        <v>501432 PAPA FRANCISCO I</v>
      </c>
      <c r="F973" s="14" t="s">
        <v>16</v>
      </c>
      <c r="G973" s="14" t="s">
        <v>21</v>
      </c>
      <c r="H973" s="14" t="s">
        <v>18</v>
      </c>
      <c r="I973" s="15">
        <v>2024.0</v>
      </c>
      <c r="J973" s="16" t="str">
        <f>IFERROR(__xludf.DUMMYFUNCTION("FILTER('CLASFICACIÓN'!$F$3:$F5618,'CLASFICACIÓN'!$G$3:$G5618=M973)"),"SOLO 2024")</f>
        <v>SOLO 2024</v>
      </c>
      <c r="K973" s="16"/>
      <c r="L973" s="14" t="s">
        <v>91</v>
      </c>
      <c r="M973" s="16" t="str">
        <f t="shared" si="1"/>
        <v>501432 PAPA FRANCISCO I4 Secundaria</v>
      </c>
      <c r="N973" s="17"/>
      <c r="O973" s="17"/>
      <c r="P973" s="17"/>
      <c r="Q973" s="17"/>
      <c r="R973" s="17"/>
      <c r="S973" s="17"/>
      <c r="T973" s="17"/>
    </row>
    <row r="974">
      <c r="A974" s="21">
        <v>21.0</v>
      </c>
      <c r="B974" s="20" t="s">
        <v>90</v>
      </c>
      <c r="C974" s="12" t="s">
        <v>27</v>
      </c>
      <c r="D974" s="20" t="s">
        <v>30</v>
      </c>
      <c r="E974" s="12" t="str">
        <f>IFERROR(__xludf.DUMMYFUNCTION("FILTER(colegios!$B$2:$B5618,colegios!$A$2:$A5618=L974)"),"501432 PAPA FRANCISCO I")</f>
        <v>501432 PAPA FRANCISCO I</v>
      </c>
      <c r="F974" s="14" t="s">
        <v>16</v>
      </c>
      <c r="G974" s="14" t="s">
        <v>21</v>
      </c>
      <c r="H974" s="14" t="s">
        <v>18</v>
      </c>
      <c r="I974" s="15">
        <v>2024.0</v>
      </c>
      <c r="J974" s="16" t="str">
        <f>IFERROR(__xludf.DUMMYFUNCTION("FILTER('CLASFICACIÓN'!$F$3:$F5618,'CLASFICACIÓN'!$G$3:$G5618=M974)"),"SOLO 2024")</f>
        <v>SOLO 2024</v>
      </c>
      <c r="K974" s="16"/>
      <c r="L974" s="14" t="s">
        <v>91</v>
      </c>
      <c r="M974" s="16" t="str">
        <f t="shared" si="1"/>
        <v>501432 PAPA FRANCISCO I4 Secundaria</v>
      </c>
      <c r="N974" s="17"/>
      <c r="O974" s="17"/>
      <c r="P974" s="17"/>
      <c r="Q974" s="17"/>
      <c r="R974" s="17"/>
      <c r="S974" s="17"/>
      <c r="T974" s="17"/>
    </row>
    <row r="975">
      <c r="A975" s="21">
        <v>22.0</v>
      </c>
      <c r="B975" s="20" t="s">
        <v>90</v>
      </c>
      <c r="C975" s="12" t="s">
        <v>27</v>
      </c>
      <c r="D975" s="20" t="s">
        <v>30</v>
      </c>
      <c r="E975" s="12" t="str">
        <f>IFERROR(__xludf.DUMMYFUNCTION("FILTER(colegios!$B$2:$B5618,colegios!$A$2:$A5618=L975)"),"501432 PAPA FRANCISCO I")</f>
        <v>501432 PAPA FRANCISCO I</v>
      </c>
      <c r="F975" s="14" t="s">
        <v>16</v>
      </c>
      <c r="G975" s="14" t="s">
        <v>21</v>
      </c>
      <c r="H975" s="14" t="s">
        <v>18</v>
      </c>
      <c r="I975" s="15">
        <v>2024.0</v>
      </c>
      <c r="J975" s="16" t="str">
        <f>IFERROR(__xludf.DUMMYFUNCTION("FILTER('CLASFICACIÓN'!$F$3:$F5618,'CLASFICACIÓN'!$G$3:$G5618=M975)"),"SOLO 2024")</f>
        <v>SOLO 2024</v>
      </c>
      <c r="K975" s="16"/>
      <c r="L975" s="14" t="s">
        <v>91</v>
      </c>
      <c r="M975" s="16" t="str">
        <f t="shared" si="1"/>
        <v>501432 PAPA FRANCISCO I4 Secundaria</v>
      </c>
      <c r="N975" s="17"/>
      <c r="O975" s="17"/>
      <c r="P975" s="17"/>
      <c r="Q975" s="17"/>
      <c r="R975" s="17"/>
      <c r="S975" s="17"/>
      <c r="T975" s="17"/>
    </row>
    <row r="976">
      <c r="A976" s="21">
        <v>23.0</v>
      </c>
      <c r="B976" s="20" t="s">
        <v>90</v>
      </c>
      <c r="C976" s="12" t="s">
        <v>27</v>
      </c>
      <c r="D976" s="20" t="s">
        <v>30</v>
      </c>
      <c r="E976" s="12" t="str">
        <f>IFERROR(__xludf.DUMMYFUNCTION("FILTER(colegios!$B$2:$B5618,colegios!$A$2:$A5618=L976)"),"501432 PAPA FRANCISCO I")</f>
        <v>501432 PAPA FRANCISCO I</v>
      </c>
      <c r="F976" s="14" t="s">
        <v>16</v>
      </c>
      <c r="G976" s="14" t="s">
        <v>21</v>
      </c>
      <c r="H976" s="14" t="s">
        <v>18</v>
      </c>
      <c r="I976" s="15">
        <v>2024.0</v>
      </c>
      <c r="J976" s="16" t="str">
        <f>IFERROR(__xludf.DUMMYFUNCTION("FILTER('CLASFICACIÓN'!$F$3:$F5618,'CLASFICACIÓN'!$G$3:$G5618=M976)"),"SOLO 2024")</f>
        <v>SOLO 2024</v>
      </c>
      <c r="K976" s="16"/>
      <c r="L976" s="14" t="s">
        <v>91</v>
      </c>
      <c r="M976" s="16" t="str">
        <f t="shared" si="1"/>
        <v>501432 PAPA FRANCISCO I4 Secundaria</v>
      </c>
      <c r="N976" s="17"/>
      <c r="O976" s="17"/>
      <c r="P976" s="17"/>
      <c r="Q976" s="17"/>
      <c r="R976" s="17"/>
      <c r="S976" s="17"/>
      <c r="T976" s="17"/>
    </row>
    <row r="977">
      <c r="A977" s="21">
        <v>24.0</v>
      </c>
      <c r="B977" s="20" t="s">
        <v>90</v>
      </c>
      <c r="C977" s="12" t="s">
        <v>27</v>
      </c>
      <c r="D977" s="20" t="s">
        <v>30</v>
      </c>
      <c r="E977" s="12" t="str">
        <f>IFERROR(__xludf.DUMMYFUNCTION("FILTER(colegios!$B$2:$B5618,colegios!$A$2:$A5618=L977)"),"501432 PAPA FRANCISCO I")</f>
        <v>501432 PAPA FRANCISCO I</v>
      </c>
      <c r="F977" s="14" t="s">
        <v>16</v>
      </c>
      <c r="G977" s="14" t="s">
        <v>21</v>
      </c>
      <c r="H977" s="14" t="s">
        <v>18</v>
      </c>
      <c r="I977" s="15">
        <v>2024.0</v>
      </c>
      <c r="J977" s="16" t="str">
        <f>IFERROR(__xludf.DUMMYFUNCTION("FILTER('CLASFICACIÓN'!$F$3:$F5618,'CLASFICACIÓN'!$G$3:$G5618=M977)"),"SOLO 2024")</f>
        <v>SOLO 2024</v>
      </c>
      <c r="K977" s="16"/>
      <c r="L977" s="14" t="s">
        <v>91</v>
      </c>
      <c r="M977" s="16" t="str">
        <f t="shared" si="1"/>
        <v>501432 PAPA FRANCISCO I4 Secundaria</v>
      </c>
      <c r="N977" s="17"/>
      <c r="O977" s="17"/>
      <c r="P977" s="17"/>
      <c r="Q977" s="17"/>
      <c r="R977" s="17"/>
      <c r="S977" s="17"/>
      <c r="T977" s="17"/>
    </row>
    <row r="978">
      <c r="A978" s="21">
        <v>25.0</v>
      </c>
      <c r="B978" s="20" t="s">
        <v>90</v>
      </c>
      <c r="C978" s="12" t="s">
        <v>27</v>
      </c>
      <c r="D978" s="20" t="s">
        <v>30</v>
      </c>
      <c r="E978" s="12" t="str">
        <f>IFERROR(__xludf.DUMMYFUNCTION("FILTER(colegios!$B$2:$B5618,colegios!$A$2:$A5618=L978)"),"501432 PAPA FRANCISCO I")</f>
        <v>501432 PAPA FRANCISCO I</v>
      </c>
      <c r="F978" s="14" t="s">
        <v>16</v>
      </c>
      <c r="G978" s="14" t="s">
        <v>17</v>
      </c>
      <c r="H978" s="14" t="s">
        <v>18</v>
      </c>
      <c r="I978" s="15">
        <v>2024.0</v>
      </c>
      <c r="J978" s="16" t="str">
        <f>IFERROR(__xludf.DUMMYFUNCTION("FILTER('CLASFICACIÓN'!$F$3:$F5618,'CLASFICACIÓN'!$G$3:$G5618=M978)"),"SOLO 2024")</f>
        <v>SOLO 2024</v>
      </c>
      <c r="K978" s="16"/>
      <c r="L978" s="14" t="s">
        <v>91</v>
      </c>
      <c r="M978" s="16" t="str">
        <f t="shared" si="1"/>
        <v>501432 PAPA FRANCISCO I4 Secundaria</v>
      </c>
      <c r="N978" s="17"/>
      <c r="O978" s="17"/>
      <c r="P978" s="17"/>
      <c r="Q978" s="17"/>
      <c r="R978" s="17"/>
      <c r="S978" s="17"/>
      <c r="T978" s="17"/>
    </row>
    <row r="979">
      <c r="A979" s="21">
        <v>26.0</v>
      </c>
      <c r="B979" s="20" t="s">
        <v>90</v>
      </c>
      <c r="C979" s="12" t="s">
        <v>27</v>
      </c>
      <c r="D979" s="20" t="s">
        <v>30</v>
      </c>
      <c r="E979" s="12" t="str">
        <f>IFERROR(__xludf.DUMMYFUNCTION("FILTER(colegios!$B$2:$B5618,colegios!$A$2:$A5618=L979)"),"501432 PAPA FRANCISCO I")</f>
        <v>501432 PAPA FRANCISCO I</v>
      </c>
      <c r="F979" s="14" t="s">
        <v>16</v>
      </c>
      <c r="G979" s="14" t="s">
        <v>17</v>
      </c>
      <c r="H979" s="14" t="s">
        <v>18</v>
      </c>
      <c r="I979" s="15">
        <v>2024.0</v>
      </c>
      <c r="J979" s="16" t="str">
        <f>IFERROR(__xludf.DUMMYFUNCTION("FILTER('CLASFICACIÓN'!$F$3:$F5618,'CLASFICACIÓN'!$G$3:$G5618=M979)"),"SOLO 2024")</f>
        <v>SOLO 2024</v>
      </c>
      <c r="K979" s="16"/>
      <c r="L979" s="14" t="s">
        <v>91</v>
      </c>
      <c r="M979" s="16" t="str">
        <f t="shared" si="1"/>
        <v>501432 PAPA FRANCISCO I4 Secundaria</v>
      </c>
      <c r="N979" s="17"/>
      <c r="O979" s="17"/>
      <c r="P979" s="17"/>
      <c r="Q979" s="17"/>
      <c r="R979" s="17"/>
      <c r="S979" s="17"/>
      <c r="T979" s="17"/>
    </row>
    <row r="980">
      <c r="A980" s="21">
        <v>27.0</v>
      </c>
      <c r="B980" s="20" t="s">
        <v>90</v>
      </c>
      <c r="C980" s="12" t="s">
        <v>27</v>
      </c>
      <c r="D980" s="20" t="s">
        <v>30</v>
      </c>
      <c r="E980" s="12" t="str">
        <f>IFERROR(__xludf.DUMMYFUNCTION("FILTER(colegios!$B$2:$B5618,colegios!$A$2:$A5618=L980)"),"501432 PAPA FRANCISCO I")</f>
        <v>501432 PAPA FRANCISCO I</v>
      </c>
      <c r="F980" s="14" t="s">
        <v>16</v>
      </c>
      <c r="G980" s="14" t="s">
        <v>21</v>
      </c>
      <c r="H980" s="14" t="s">
        <v>18</v>
      </c>
      <c r="I980" s="15">
        <v>2024.0</v>
      </c>
      <c r="J980" s="16" t="str">
        <f>IFERROR(__xludf.DUMMYFUNCTION("FILTER('CLASFICACIÓN'!$F$3:$F5618,'CLASFICACIÓN'!$G$3:$G5618=M980)"),"SOLO 2024")</f>
        <v>SOLO 2024</v>
      </c>
      <c r="K980" s="16"/>
      <c r="L980" s="14" t="s">
        <v>91</v>
      </c>
      <c r="M980" s="16" t="str">
        <f t="shared" si="1"/>
        <v>501432 PAPA FRANCISCO I4 Secundaria</v>
      </c>
      <c r="N980" s="17"/>
      <c r="O980" s="17"/>
      <c r="P980" s="17"/>
      <c r="Q980" s="17"/>
      <c r="R980" s="17"/>
      <c r="S980" s="17"/>
      <c r="T980" s="17"/>
    </row>
    <row r="981">
      <c r="A981" s="21">
        <v>1.0</v>
      </c>
      <c r="B981" s="20" t="s">
        <v>90</v>
      </c>
      <c r="C981" s="12" t="s">
        <v>27</v>
      </c>
      <c r="D981" s="20" t="s">
        <v>28</v>
      </c>
      <c r="E981" s="12" t="str">
        <f>IFERROR(__xludf.DUMMYFUNCTION("FILTER(colegios!$B$2:$B5618,colegios!$A$2:$A5618=L981)"),"501432 PAPA FRANCISCO I")</f>
        <v>501432 PAPA FRANCISCO I</v>
      </c>
      <c r="F981" s="14" t="s">
        <v>16</v>
      </c>
      <c r="G981" s="14" t="s">
        <v>17</v>
      </c>
      <c r="H981" s="14" t="s">
        <v>18</v>
      </c>
      <c r="I981" s="15">
        <v>2024.0</v>
      </c>
      <c r="J981" s="16" t="str">
        <f>IFERROR(__xludf.DUMMYFUNCTION("FILTER('CLASFICACIÓN'!$F$3:$F5618,'CLASFICACIÓN'!$G$3:$G5618=M981)"),"SOLO 2022 Y 2024")</f>
        <v>SOLO 2022 Y 2024</v>
      </c>
      <c r="K981" s="16"/>
      <c r="L981" s="14" t="s">
        <v>91</v>
      </c>
      <c r="M981" s="16" t="str">
        <f t="shared" si="1"/>
        <v>501432 PAPA FRANCISCO I2 Secundaria</v>
      </c>
      <c r="N981" s="17"/>
      <c r="O981" s="17"/>
      <c r="P981" s="17"/>
      <c r="Q981" s="17"/>
      <c r="R981" s="17"/>
      <c r="S981" s="17"/>
      <c r="T981" s="17"/>
    </row>
    <row r="982">
      <c r="A982" s="21">
        <v>2.0</v>
      </c>
      <c r="B982" s="20" t="s">
        <v>90</v>
      </c>
      <c r="C982" s="12" t="s">
        <v>27</v>
      </c>
      <c r="D982" s="20" t="s">
        <v>28</v>
      </c>
      <c r="E982" s="12" t="str">
        <f>IFERROR(__xludf.DUMMYFUNCTION("FILTER(colegios!$B$2:$B5618,colegios!$A$2:$A5618=L982)"),"501432 PAPA FRANCISCO I")</f>
        <v>501432 PAPA FRANCISCO I</v>
      </c>
      <c r="F982" s="14" t="s">
        <v>16</v>
      </c>
      <c r="G982" s="14" t="s">
        <v>21</v>
      </c>
      <c r="H982" s="14" t="s">
        <v>18</v>
      </c>
      <c r="I982" s="15">
        <v>2024.0</v>
      </c>
      <c r="J982" s="16" t="str">
        <f>IFERROR(__xludf.DUMMYFUNCTION("FILTER('CLASFICACIÓN'!$F$3:$F5618,'CLASFICACIÓN'!$G$3:$G5618=M982)"),"SOLO 2022 Y 2024")</f>
        <v>SOLO 2022 Y 2024</v>
      </c>
      <c r="K982" s="16"/>
      <c r="L982" s="14" t="s">
        <v>91</v>
      </c>
      <c r="M982" s="16" t="str">
        <f t="shared" si="1"/>
        <v>501432 PAPA FRANCISCO I2 Secundaria</v>
      </c>
      <c r="N982" s="17"/>
      <c r="O982" s="17"/>
      <c r="P982" s="17"/>
      <c r="Q982" s="17"/>
      <c r="R982" s="17"/>
      <c r="S982" s="17"/>
      <c r="T982" s="17"/>
    </row>
    <row r="983">
      <c r="A983" s="21">
        <v>3.0</v>
      </c>
      <c r="B983" s="20" t="s">
        <v>90</v>
      </c>
      <c r="C983" s="12" t="s">
        <v>27</v>
      </c>
      <c r="D983" s="20" t="s">
        <v>28</v>
      </c>
      <c r="E983" s="12" t="str">
        <f>IFERROR(__xludf.DUMMYFUNCTION("FILTER(colegios!$B$2:$B5618,colegios!$A$2:$A5618=L983)"),"501432 PAPA FRANCISCO I")</f>
        <v>501432 PAPA FRANCISCO I</v>
      </c>
      <c r="F983" s="14" t="s">
        <v>16</v>
      </c>
      <c r="G983" s="14" t="s">
        <v>17</v>
      </c>
      <c r="H983" s="14" t="s">
        <v>18</v>
      </c>
      <c r="I983" s="15">
        <v>2024.0</v>
      </c>
      <c r="J983" s="16" t="str">
        <f>IFERROR(__xludf.DUMMYFUNCTION("FILTER('CLASFICACIÓN'!$F$3:$F5618,'CLASFICACIÓN'!$G$3:$G5618=M983)"),"SOLO 2022 Y 2024")</f>
        <v>SOLO 2022 Y 2024</v>
      </c>
      <c r="K983" s="16"/>
      <c r="L983" s="14" t="s">
        <v>91</v>
      </c>
      <c r="M983" s="16" t="str">
        <f t="shared" si="1"/>
        <v>501432 PAPA FRANCISCO I2 Secundaria</v>
      </c>
      <c r="N983" s="17"/>
      <c r="O983" s="17"/>
      <c r="P983" s="17"/>
      <c r="Q983" s="17"/>
      <c r="R983" s="17"/>
      <c r="S983" s="17"/>
      <c r="T983" s="17"/>
    </row>
    <row r="984">
      <c r="A984" s="21">
        <v>4.0</v>
      </c>
      <c r="B984" s="20" t="s">
        <v>90</v>
      </c>
      <c r="C984" s="12" t="s">
        <v>27</v>
      </c>
      <c r="D984" s="20" t="s">
        <v>28</v>
      </c>
      <c r="E984" s="12" t="str">
        <f>IFERROR(__xludf.DUMMYFUNCTION("FILTER(colegios!$B$2:$B5618,colegios!$A$2:$A5618=L984)"),"501432 PAPA FRANCISCO I")</f>
        <v>501432 PAPA FRANCISCO I</v>
      </c>
      <c r="F984" s="14" t="s">
        <v>16</v>
      </c>
      <c r="G984" s="14" t="s">
        <v>21</v>
      </c>
      <c r="H984" s="14" t="s">
        <v>18</v>
      </c>
      <c r="I984" s="15">
        <v>2024.0</v>
      </c>
      <c r="J984" s="16" t="str">
        <f>IFERROR(__xludf.DUMMYFUNCTION("FILTER('CLASFICACIÓN'!$F$3:$F5618,'CLASFICACIÓN'!$G$3:$G5618=M984)"),"SOLO 2022 Y 2024")</f>
        <v>SOLO 2022 Y 2024</v>
      </c>
      <c r="K984" s="16"/>
      <c r="L984" s="14" t="s">
        <v>91</v>
      </c>
      <c r="M984" s="16" t="str">
        <f t="shared" si="1"/>
        <v>501432 PAPA FRANCISCO I2 Secundaria</v>
      </c>
      <c r="N984" s="17"/>
      <c r="O984" s="17"/>
      <c r="P984" s="17"/>
      <c r="Q984" s="17"/>
      <c r="R984" s="17"/>
      <c r="S984" s="17"/>
      <c r="T984" s="17"/>
    </row>
    <row r="985">
      <c r="A985" s="21">
        <v>5.0</v>
      </c>
      <c r="B985" s="20" t="s">
        <v>90</v>
      </c>
      <c r="C985" s="12" t="s">
        <v>27</v>
      </c>
      <c r="D985" s="20" t="s">
        <v>28</v>
      </c>
      <c r="E985" s="12" t="str">
        <f>IFERROR(__xludf.DUMMYFUNCTION("FILTER(colegios!$B$2:$B5618,colegios!$A$2:$A5618=L985)"),"501432 PAPA FRANCISCO I")</f>
        <v>501432 PAPA FRANCISCO I</v>
      </c>
      <c r="F985" s="14" t="s">
        <v>16</v>
      </c>
      <c r="G985" s="14" t="s">
        <v>17</v>
      </c>
      <c r="H985" s="14" t="s">
        <v>18</v>
      </c>
      <c r="I985" s="15">
        <v>2024.0</v>
      </c>
      <c r="J985" s="16" t="str">
        <f>IFERROR(__xludf.DUMMYFUNCTION("FILTER('CLASFICACIÓN'!$F$3:$F5618,'CLASFICACIÓN'!$G$3:$G5618=M985)"),"SOLO 2022 Y 2024")</f>
        <v>SOLO 2022 Y 2024</v>
      </c>
      <c r="K985" s="16"/>
      <c r="L985" s="14" t="s">
        <v>91</v>
      </c>
      <c r="M985" s="16" t="str">
        <f t="shared" si="1"/>
        <v>501432 PAPA FRANCISCO I2 Secundaria</v>
      </c>
      <c r="N985" s="17"/>
      <c r="O985" s="17"/>
      <c r="P985" s="17"/>
      <c r="Q985" s="17"/>
      <c r="R985" s="17"/>
      <c r="S985" s="17"/>
      <c r="T985" s="17"/>
    </row>
    <row r="986">
      <c r="A986" s="21">
        <v>6.0</v>
      </c>
      <c r="B986" s="20" t="s">
        <v>90</v>
      </c>
      <c r="C986" s="12" t="s">
        <v>27</v>
      </c>
      <c r="D986" s="20" t="s">
        <v>28</v>
      </c>
      <c r="E986" s="12" t="str">
        <f>IFERROR(__xludf.DUMMYFUNCTION("FILTER(colegios!$B$2:$B5618,colegios!$A$2:$A5618=L986)"),"501432 PAPA FRANCISCO I")</f>
        <v>501432 PAPA FRANCISCO I</v>
      </c>
      <c r="F986" s="14" t="s">
        <v>16</v>
      </c>
      <c r="G986" s="14" t="s">
        <v>17</v>
      </c>
      <c r="H986" s="14" t="s">
        <v>18</v>
      </c>
      <c r="I986" s="15">
        <v>2024.0</v>
      </c>
      <c r="J986" s="16" t="str">
        <f>IFERROR(__xludf.DUMMYFUNCTION("FILTER('CLASFICACIÓN'!$F$3:$F5618,'CLASFICACIÓN'!$G$3:$G5618=M986)"),"SOLO 2022 Y 2024")</f>
        <v>SOLO 2022 Y 2024</v>
      </c>
      <c r="K986" s="16"/>
      <c r="L986" s="14" t="s">
        <v>91</v>
      </c>
      <c r="M986" s="16" t="str">
        <f t="shared" si="1"/>
        <v>501432 PAPA FRANCISCO I2 Secundaria</v>
      </c>
      <c r="N986" s="17"/>
      <c r="O986" s="17"/>
      <c r="P986" s="17"/>
      <c r="Q986" s="17"/>
      <c r="R986" s="17"/>
      <c r="S986" s="17"/>
      <c r="T986" s="17"/>
    </row>
    <row r="987">
      <c r="A987" s="21">
        <v>7.0</v>
      </c>
      <c r="B987" s="20" t="s">
        <v>90</v>
      </c>
      <c r="C987" s="12" t="s">
        <v>27</v>
      </c>
      <c r="D987" s="20" t="s">
        <v>30</v>
      </c>
      <c r="E987" s="12" t="str">
        <f>IFERROR(__xludf.DUMMYFUNCTION("FILTER(colegios!$B$2:$B5618,colegios!$A$2:$A5618=L987)"),"501432 PAPA FRANCISCO I")</f>
        <v>501432 PAPA FRANCISCO I</v>
      </c>
      <c r="F987" s="14" t="s">
        <v>16</v>
      </c>
      <c r="G987" s="14" t="s">
        <v>17</v>
      </c>
      <c r="H987" s="14" t="s">
        <v>18</v>
      </c>
      <c r="I987" s="15">
        <v>2024.0</v>
      </c>
      <c r="J987" s="16" t="str">
        <f>IFERROR(__xludf.DUMMYFUNCTION("FILTER('CLASFICACIÓN'!$F$3:$F5618,'CLASFICACIÓN'!$G$3:$G5618=M987)"),"SOLO 2024")</f>
        <v>SOLO 2024</v>
      </c>
      <c r="K987" s="16"/>
      <c r="L987" s="14" t="s">
        <v>91</v>
      </c>
      <c r="M987" s="16" t="str">
        <f t="shared" si="1"/>
        <v>501432 PAPA FRANCISCO I4 Secundaria</v>
      </c>
      <c r="N987" s="17"/>
      <c r="O987" s="17"/>
      <c r="P987" s="17"/>
      <c r="Q987" s="17"/>
      <c r="R987" s="17"/>
      <c r="S987" s="17"/>
      <c r="T987" s="17"/>
    </row>
    <row r="988">
      <c r="A988" s="21">
        <v>8.0</v>
      </c>
      <c r="B988" s="20" t="s">
        <v>90</v>
      </c>
      <c r="C988" s="12" t="s">
        <v>27</v>
      </c>
      <c r="D988" s="20" t="s">
        <v>30</v>
      </c>
      <c r="E988" s="12" t="str">
        <f>IFERROR(__xludf.DUMMYFUNCTION("FILTER(colegios!$B$2:$B5618,colegios!$A$2:$A5618=L988)"),"501432 PAPA FRANCISCO I")</f>
        <v>501432 PAPA FRANCISCO I</v>
      </c>
      <c r="F988" s="14" t="s">
        <v>16</v>
      </c>
      <c r="G988" s="14" t="s">
        <v>17</v>
      </c>
      <c r="H988" s="14" t="s">
        <v>18</v>
      </c>
      <c r="I988" s="15">
        <v>2024.0</v>
      </c>
      <c r="J988" s="16" t="str">
        <f>IFERROR(__xludf.DUMMYFUNCTION("FILTER('CLASFICACIÓN'!$F$3:$F5618,'CLASFICACIÓN'!$G$3:$G5618=M988)"),"SOLO 2024")</f>
        <v>SOLO 2024</v>
      </c>
      <c r="K988" s="16"/>
      <c r="L988" s="14" t="s">
        <v>91</v>
      </c>
      <c r="M988" s="16" t="str">
        <f t="shared" si="1"/>
        <v>501432 PAPA FRANCISCO I4 Secundaria</v>
      </c>
      <c r="N988" s="17"/>
      <c r="O988" s="17"/>
      <c r="P988" s="17"/>
      <c r="Q988" s="17"/>
      <c r="R988" s="17"/>
      <c r="S988" s="17"/>
      <c r="T988" s="17"/>
    </row>
    <row r="989">
      <c r="A989" s="21">
        <v>9.0</v>
      </c>
      <c r="B989" s="20" t="s">
        <v>90</v>
      </c>
      <c r="C989" s="12" t="s">
        <v>27</v>
      </c>
      <c r="D989" s="20" t="s">
        <v>30</v>
      </c>
      <c r="E989" s="12" t="str">
        <f>IFERROR(__xludf.DUMMYFUNCTION("FILTER(colegios!$B$2:$B5618,colegios!$A$2:$A5618=L989)"),"501432 PAPA FRANCISCO I")</f>
        <v>501432 PAPA FRANCISCO I</v>
      </c>
      <c r="F989" s="14" t="s">
        <v>16</v>
      </c>
      <c r="G989" s="14" t="s">
        <v>17</v>
      </c>
      <c r="H989" s="14" t="s">
        <v>18</v>
      </c>
      <c r="I989" s="15">
        <v>2024.0</v>
      </c>
      <c r="J989" s="16" t="str">
        <f>IFERROR(__xludf.DUMMYFUNCTION("FILTER('CLASFICACIÓN'!$F$3:$F5618,'CLASFICACIÓN'!$G$3:$G5618=M989)"),"SOLO 2024")</f>
        <v>SOLO 2024</v>
      </c>
      <c r="K989" s="16"/>
      <c r="L989" s="14" t="s">
        <v>91</v>
      </c>
      <c r="M989" s="16" t="str">
        <f t="shared" si="1"/>
        <v>501432 PAPA FRANCISCO I4 Secundaria</v>
      </c>
      <c r="N989" s="17"/>
      <c r="O989" s="17"/>
      <c r="P989" s="17"/>
      <c r="Q989" s="17"/>
      <c r="R989" s="17"/>
      <c r="S989" s="17"/>
      <c r="T989" s="17"/>
    </row>
    <row r="990">
      <c r="A990" s="21">
        <v>10.0</v>
      </c>
      <c r="B990" s="20" t="s">
        <v>90</v>
      </c>
      <c r="C990" s="12" t="s">
        <v>27</v>
      </c>
      <c r="D990" s="20" t="s">
        <v>30</v>
      </c>
      <c r="E990" s="12" t="str">
        <f>IFERROR(__xludf.DUMMYFUNCTION("FILTER(colegios!$B$2:$B5618,colegios!$A$2:$A5618=L990)"),"501432 PAPA FRANCISCO I")</f>
        <v>501432 PAPA FRANCISCO I</v>
      </c>
      <c r="F990" s="14" t="s">
        <v>16</v>
      </c>
      <c r="G990" s="14" t="s">
        <v>17</v>
      </c>
      <c r="H990" s="14" t="s">
        <v>18</v>
      </c>
      <c r="I990" s="15">
        <v>2024.0</v>
      </c>
      <c r="J990" s="16" t="str">
        <f>IFERROR(__xludf.DUMMYFUNCTION("FILTER('CLASFICACIÓN'!$F$3:$F5618,'CLASFICACIÓN'!$G$3:$G5618=M990)"),"SOLO 2024")</f>
        <v>SOLO 2024</v>
      </c>
      <c r="K990" s="16"/>
      <c r="L990" s="14" t="s">
        <v>91</v>
      </c>
      <c r="M990" s="16" t="str">
        <f t="shared" si="1"/>
        <v>501432 PAPA FRANCISCO I4 Secundaria</v>
      </c>
      <c r="N990" s="17"/>
      <c r="O990" s="17"/>
      <c r="P990" s="17"/>
      <c r="Q990" s="17"/>
      <c r="R990" s="17"/>
      <c r="S990" s="17"/>
      <c r="T990" s="17"/>
    </row>
    <row r="991">
      <c r="A991" s="21">
        <v>11.0</v>
      </c>
      <c r="B991" s="20" t="s">
        <v>90</v>
      </c>
      <c r="C991" s="12" t="s">
        <v>27</v>
      </c>
      <c r="D991" s="20" t="s">
        <v>30</v>
      </c>
      <c r="E991" s="12" t="str">
        <f>IFERROR(__xludf.DUMMYFUNCTION("FILTER(colegios!$B$2:$B5618,colegios!$A$2:$A5618=L991)"),"501432 PAPA FRANCISCO I")</f>
        <v>501432 PAPA FRANCISCO I</v>
      </c>
      <c r="F991" s="14" t="s">
        <v>16</v>
      </c>
      <c r="G991" s="14" t="s">
        <v>21</v>
      </c>
      <c r="H991" s="14" t="s">
        <v>18</v>
      </c>
      <c r="I991" s="15">
        <v>2024.0</v>
      </c>
      <c r="J991" s="16" t="str">
        <f>IFERROR(__xludf.DUMMYFUNCTION("FILTER('CLASFICACIÓN'!$F$3:$F5618,'CLASFICACIÓN'!$G$3:$G5618=M991)"),"SOLO 2024")</f>
        <v>SOLO 2024</v>
      </c>
      <c r="K991" s="16"/>
      <c r="L991" s="14" t="s">
        <v>91</v>
      </c>
      <c r="M991" s="16" t="str">
        <f t="shared" si="1"/>
        <v>501432 PAPA FRANCISCO I4 Secundaria</v>
      </c>
      <c r="N991" s="17"/>
      <c r="O991" s="17"/>
      <c r="P991" s="17"/>
      <c r="Q991" s="17"/>
      <c r="R991" s="17"/>
      <c r="S991" s="17"/>
      <c r="T991" s="17"/>
    </row>
    <row r="992">
      <c r="A992" s="21">
        <v>12.0</v>
      </c>
      <c r="B992" s="20" t="s">
        <v>90</v>
      </c>
      <c r="C992" s="12" t="s">
        <v>27</v>
      </c>
      <c r="D992" s="20" t="s">
        <v>30</v>
      </c>
      <c r="E992" s="12" t="str">
        <f>IFERROR(__xludf.DUMMYFUNCTION("FILTER(colegios!$B$2:$B5618,colegios!$A$2:$A5618=L992)"),"501432 PAPA FRANCISCO I")</f>
        <v>501432 PAPA FRANCISCO I</v>
      </c>
      <c r="F992" s="14" t="s">
        <v>16</v>
      </c>
      <c r="G992" s="14" t="s">
        <v>21</v>
      </c>
      <c r="H992" s="14" t="s">
        <v>18</v>
      </c>
      <c r="I992" s="15">
        <v>2024.0</v>
      </c>
      <c r="J992" s="16" t="str">
        <f>IFERROR(__xludf.DUMMYFUNCTION("FILTER('CLASFICACIÓN'!$F$3:$F5618,'CLASFICACIÓN'!$G$3:$G5618=M992)"),"SOLO 2024")</f>
        <v>SOLO 2024</v>
      </c>
      <c r="K992" s="16"/>
      <c r="L992" s="14" t="s">
        <v>91</v>
      </c>
      <c r="M992" s="16" t="str">
        <f t="shared" si="1"/>
        <v>501432 PAPA FRANCISCO I4 Secundaria</v>
      </c>
      <c r="N992" s="17"/>
      <c r="O992" s="17"/>
      <c r="P992" s="17"/>
      <c r="Q992" s="17"/>
      <c r="R992" s="17"/>
      <c r="S992" s="17"/>
      <c r="T992" s="17"/>
    </row>
    <row r="993">
      <c r="A993" s="21">
        <v>13.0</v>
      </c>
      <c r="B993" s="20" t="s">
        <v>90</v>
      </c>
      <c r="C993" s="12" t="s">
        <v>27</v>
      </c>
      <c r="D993" s="20" t="s">
        <v>30</v>
      </c>
      <c r="E993" s="12" t="str">
        <f>IFERROR(__xludf.DUMMYFUNCTION("FILTER(colegios!$B$2:$B5618,colegios!$A$2:$A5618=L993)"),"501432 PAPA FRANCISCO I")</f>
        <v>501432 PAPA FRANCISCO I</v>
      </c>
      <c r="F993" s="14" t="s">
        <v>16</v>
      </c>
      <c r="G993" s="14" t="s">
        <v>21</v>
      </c>
      <c r="H993" s="14" t="s">
        <v>18</v>
      </c>
      <c r="I993" s="15">
        <v>2024.0</v>
      </c>
      <c r="J993" s="16" t="str">
        <f>IFERROR(__xludf.DUMMYFUNCTION("FILTER('CLASFICACIÓN'!$F$3:$F5618,'CLASFICACIÓN'!$G$3:$G5618=M993)"),"SOLO 2024")</f>
        <v>SOLO 2024</v>
      </c>
      <c r="K993" s="16"/>
      <c r="L993" s="14" t="s">
        <v>91</v>
      </c>
      <c r="M993" s="16" t="str">
        <f t="shared" si="1"/>
        <v>501432 PAPA FRANCISCO I4 Secundaria</v>
      </c>
      <c r="N993" s="17"/>
      <c r="O993" s="17"/>
      <c r="P993" s="17"/>
      <c r="Q993" s="17"/>
      <c r="R993" s="17"/>
      <c r="S993" s="17"/>
      <c r="T993" s="17"/>
    </row>
    <row r="994">
      <c r="A994" s="21">
        <v>14.0</v>
      </c>
      <c r="B994" s="20" t="s">
        <v>90</v>
      </c>
      <c r="C994" s="12" t="s">
        <v>27</v>
      </c>
      <c r="D994" s="20" t="s">
        <v>30</v>
      </c>
      <c r="E994" s="12" t="str">
        <f>IFERROR(__xludf.DUMMYFUNCTION("FILTER(colegios!$B$2:$B5618,colegios!$A$2:$A5618=L994)"),"501432 PAPA FRANCISCO I")</f>
        <v>501432 PAPA FRANCISCO I</v>
      </c>
      <c r="F994" s="14" t="s">
        <v>16</v>
      </c>
      <c r="G994" s="14" t="s">
        <v>21</v>
      </c>
      <c r="H994" s="14" t="s">
        <v>18</v>
      </c>
      <c r="I994" s="15">
        <v>2024.0</v>
      </c>
      <c r="J994" s="16" t="str">
        <f>IFERROR(__xludf.DUMMYFUNCTION("FILTER('CLASFICACIÓN'!$F$3:$F5618,'CLASFICACIÓN'!$G$3:$G5618=M994)"),"SOLO 2024")</f>
        <v>SOLO 2024</v>
      </c>
      <c r="K994" s="16"/>
      <c r="L994" s="14" t="s">
        <v>91</v>
      </c>
      <c r="M994" s="16" t="str">
        <f t="shared" si="1"/>
        <v>501432 PAPA FRANCISCO I4 Secundaria</v>
      </c>
      <c r="N994" s="17"/>
      <c r="O994" s="17"/>
      <c r="P994" s="17"/>
      <c r="Q994" s="17"/>
      <c r="R994" s="17"/>
      <c r="S994" s="17"/>
      <c r="T994" s="17"/>
    </row>
    <row r="995">
      <c r="A995" s="21">
        <v>1.0</v>
      </c>
      <c r="B995" s="20" t="s">
        <v>90</v>
      </c>
      <c r="C995" s="20" t="s">
        <v>14</v>
      </c>
      <c r="D995" s="20" t="s">
        <v>15</v>
      </c>
      <c r="E995" s="12" t="str">
        <f>IFERROR(__xludf.DUMMYFUNCTION("FILTER(colegios!$B$2:$B5618,colegios!$A$2:$A5618=L995)"),"50492 CORAZON DE JESUS")</f>
        <v>50492 CORAZON DE JESUS</v>
      </c>
      <c r="F995" s="14" t="s">
        <v>16</v>
      </c>
      <c r="G995" s="20" t="s">
        <v>21</v>
      </c>
      <c r="H995" s="14" t="s">
        <v>24</v>
      </c>
      <c r="I995" s="22">
        <v>2024.0</v>
      </c>
      <c r="J995" s="16" t="str">
        <f>IFERROR(__xludf.DUMMYFUNCTION("FILTER('CLASFICACIÓN'!$F$3:$F5618,'CLASFICACIÓN'!$G$3:$G5618=M995)"),"LOS 3 AÑOS")</f>
        <v>LOS 3 AÑOS</v>
      </c>
      <c r="K995" s="16"/>
      <c r="L995" s="14" t="s">
        <v>92</v>
      </c>
      <c r="M995" s="16" t="str">
        <f t="shared" si="1"/>
        <v>50492 CORAZON DE JESUS2 Primaria</v>
      </c>
      <c r="N995" s="17"/>
      <c r="O995" s="17"/>
      <c r="P995" s="17"/>
      <c r="Q995" s="17"/>
      <c r="R995" s="17"/>
      <c r="S995" s="17"/>
      <c r="T995" s="17"/>
    </row>
    <row r="996">
      <c r="A996" s="21">
        <v>2.0</v>
      </c>
      <c r="B996" s="20" t="s">
        <v>90</v>
      </c>
      <c r="C996" s="20" t="s">
        <v>14</v>
      </c>
      <c r="D996" s="20" t="s">
        <v>15</v>
      </c>
      <c r="E996" s="12" t="str">
        <f>IFERROR(__xludf.DUMMYFUNCTION("FILTER(colegios!$B$2:$B5618,colegios!$A$2:$A5618=L996)"),"50492 CORAZON DE JESUS")</f>
        <v>50492 CORAZON DE JESUS</v>
      </c>
      <c r="F996" s="14" t="s">
        <v>16</v>
      </c>
      <c r="G996" s="20" t="s">
        <v>17</v>
      </c>
      <c r="H996" s="14" t="s">
        <v>24</v>
      </c>
      <c r="I996" s="22">
        <v>2024.0</v>
      </c>
      <c r="J996" s="16" t="str">
        <f>IFERROR(__xludf.DUMMYFUNCTION("FILTER('CLASFICACIÓN'!$F$3:$F5618,'CLASFICACIÓN'!$G$3:$G5618=M996)"),"LOS 3 AÑOS")</f>
        <v>LOS 3 AÑOS</v>
      </c>
      <c r="K996" s="16"/>
      <c r="L996" s="14" t="s">
        <v>92</v>
      </c>
      <c r="M996" s="16" t="str">
        <f t="shared" si="1"/>
        <v>50492 CORAZON DE JESUS2 Primaria</v>
      </c>
      <c r="N996" s="17"/>
      <c r="O996" s="17"/>
      <c r="P996" s="17"/>
      <c r="Q996" s="17"/>
      <c r="R996" s="17"/>
      <c r="S996" s="17"/>
      <c r="T996" s="17"/>
    </row>
    <row r="997">
      <c r="A997" s="21">
        <v>3.0</v>
      </c>
      <c r="B997" s="20" t="s">
        <v>90</v>
      </c>
      <c r="C997" s="20" t="s">
        <v>14</v>
      </c>
      <c r="D997" s="20" t="s">
        <v>15</v>
      </c>
      <c r="E997" s="12" t="str">
        <f>IFERROR(__xludf.DUMMYFUNCTION("FILTER(colegios!$B$2:$B5618,colegios!$A$2:$A5618=L997)"),"50492 CORAZON DE JESUS")</f>
        <v>50492 CORAZON DE JESUS</v>
      </c>
      <c r="F997" s="14" t="s">
        <v>16</v>
      </c>
      <c r="G997" s="20" t="s">
        <v>17</v>
      </c>
      <c r="H997" s="14" t="s">
        <v>32</v>
      </c>
      <c r="I997" s="22">
        <v>2024.0</v>
      </c>
      <c r="J997" s="16" t="str">
        <f>IFERROR(__xludf.DUMMYFUNCTION("FILTER('CLASFICACIÓN'!$F$3:$F5618,'CLASFICACIÓN'!$G$3:$G5618=M997)"),"LOS 3 AÑOS")</f>
        <v>LOS 3 AÑOS</v>
      </c>
      <c r="K997" s="16"/>
      <c r="L997" s="14" t="s">
        <v>92</v>
      </c>
      <c r="M997" s="16" t="str">
        <f t="shared" si="1"/>
        <v>50492 CORAZON DE JESUS2 Primaria</v>
      </c>
      <c r="N997" s="17"/>
      <c r="O997" s="17"/>
      <c r="P997" s="17"/>
      <c r="Q997" s="17"/>
      <c r="R997" s="17"/>
      <c r="S997" s="17"/>
      <c r="T997" s="17"/>
    </row>
    <row r="998">
      <c r="A998" s="21">
        <v>4.0</v>
      </c>
      <c r="B998" s="20" t="s">
        <v>90</v>
      </c>
      <c r="C998" s="20" t="s">
        <v>14</v>
      </c>
      <c r="D998" s="20" t="s">
        <v>15</v>
      </c>
      <c r="E998" s="12" t="str">
        <f>IFERROR(__xludf.DUMMYFUNCTION("FILTER(colegios!$B$2:$B5618,colegios!$A$2:$A5618=L998)"),"50492 CORAZON DE JESUS")</f>
        <v>50492 CORAZON DE JESUS</v>
      </c>
      <c r="F998" s="14" t="s">
        <v>16</v>
      </c>
      <c r="G998" s="20" t="s">
        <v>21</v>
      </c>
      <c r="H998" s="14" t="s">
        <v>24</v>
      </c>
      <c r="I998" s="22">
        <v>2024.0</v>
      </c>
      <c r="J998" s="16" t="str">
        <f>IFERROR(__xludf.DUMMYFUNCTION("FILTER('CLASFICACIÓN'!$F$3:$F5618,'CLASFICACIÓN'!$G$3:$G5618=M998)"),"LOS 3 AÑOS")</f>
        <v>LOS 3 AÑOS</v>
      </c>
      <c r="K998" s="16"/>
      <c r="L998" s="14" t="s">
        <v>92</v>
      </c>
      <c r="M998" s="16" t="str">
        <f t="shared" si="1"/>
        <v>50492 CORAZON DE JESUS2 Primaria</v>
      </c>
      <c r="N998" s="17"/>
      <c r="O998" s="17"/>
      <c r="P998" s="17"/>
      <c r="Q998" s="17"/>
      <c r="R998" s="17"/>
      <c r="S998" s="17"/>
      <c r="T998" s="17"/>
    </row>
    <row r="999">
      <c r="A999" s="21">
        <v>5.0</v>
      </c>
      <c r="B999" s="20" t="s">
        <v>90</v>
      </c>
      <c r="C999" s="20" t="s">
        <v>14</v>
      </c>
      <c r="D999" s="20" t="s">
        <v>15</v>
      </c>
      <c r="E999" s="12" t="str">
        <f>IFERROR(__xludf.DUMMYFUNCTION("FILTER(colegios!$B$2:$B5618,colegios!$A$2:$A5618=L999)"),"50492 CORAZON DE JESUS")</f>
        <v>50492 CORAZON DE JESUS</v>
      </c>
      <c r="F999" s="14" t="s">
        <v>16</v>
      </c>
      <c r="G999" s="20" t="s">
        <v>17</v>
      </c>
      <c r="H999" s="14" t="s">
        <v>24</v>
      </c>
      <c r="I999" s="22">
        <v>2024.0</v>
      </c>
      <c r="J999" s="16" t="str">
        <f>IFERROR(__xludf.DUMMYFUNCTION("FILTER('CLASFICACIÓN'!$F$3:$F5618,'CLASFICACIÓN'!$G$3:$G5618=M999)"),"LOS 3 AÑOS")</f>
        <v>LOS 3 AÑOS</v>
      </c>
      <c r="K999" s="16"/>
      <c r="L999" s="14" t="s">
        <v>92</v>
      </c>
      <c r="M999" s="16" t="str">
        <f t="shared" si="1"/>
        <v>50492 CORAZON DE JESUS2 Primaria</v>
      </c>
      <c r="N999" s="17"/>
      <c r="O999" s="17"/>
      <c r="P999" s="17"/>
      <c r="Q999" s="17"/>
      <c r="R999" s="17"/>
      <c r="S999" s="17"/>
      <c r="T999" s="17"/>
    </row>
    <row r="1000">
      <c r="A1000" s="21">
        <v>6.0</v>
      </c>
      <c r="B1000" s="20" t="s">
        <v>90</v>
      </c>
      <c r="C1000" s="20" t="s">
        <v>14</v>
      </c>
      <c r="D1000" s="20" t="s">
        <v>15</v>
      </c>
      <c r="E1000" s="12" t="str">
        <f>IFERROR(__xludf.DUMMYFUNCTION("FILTER(colegios!$B$2:$B5618,colegios!$A$2:$A5618=L1000)"),"50492 CORAZON DE JESUS")</f>
        <v>50492 CORAZON DE JESUS</v>
      </c>
      <c r="F1000" s="14" t="s">
        <v>16</v>
      </c>
      <c r="G1000" s="20" t="s">
        <v>21</v>
      </c>
      <c r="H1000" s="14" t="s">
        <v>32</v>
      </c>
      <c r="I1000" s="22">
        <v>2024.0</v>
      </c>
      <c r="J1000" s="16" t="str">
        <f>IFERROR(__xludf.DUMMYFUNCTION("FILTER('CLASFICACIÓN'!$F$3:$F5618,'CLASFICACIÓN'!$G$3:$G5618=M1000)"),"LOS 3 AÑOS")</f>
        <v>LOS 3 AÑOS</v>
      </c>
      <c r="K1000" s="16"/>
      <c r="L1000" s="14" t="s">
        <v>92</v>
      </c>
      <c r="M1000" s="16" t="str">
        <f t="shared" si="1"/>
        <v>50492 CORAZON DE JESUS2 Primaria</v>
      </c>
      <c r="N1000" s="17"/>
      <c r="O1000" s="17"/>
      <c r="P1000" s="17"/>
      <c r="Q1000" s="17"/>
      <c r="R1000" s="17"/>
      <c r="S1000" s="17"/>
      <c r="T1000" s="17"/>
    </row>
    <row r="1001">
      <c r="A1001" s="21">
        <v>7.0</v>
      </c>
      <c r="B1001" s="20" t="s">
        <v>90</v>
      </c>
      <c r="C1001" s="20" t="s">
        <v>14</v>
      </c>
      <c r="D1001" s="20" t="s">
        <v>15</v>
      </c>
      <c r="E1001" s="12" t="str">
        <f>IFERROR(__xludf.DUMMYFUNCTION("FILTER(colegios!$B$2:$B5618,colegios!$A$2:$A5618=L1001)"),"50492 CORAZON DE JESUS")</f>
        <v>50492 CORAZON DE JESUS</v>
      </c>
      <c r="F1001" s="14" t="s">
        <v>16</v>
      </c>
      <c r="G1001" s="20" t="s">
        <v>17</v>
      </c>
      <c r="H1001" s="14" t="s">
        <v>18</v>
      </c>
      <c r="I1001" s="22">
        <v>2024.0</v>
      </c>
      <c r="J1001" s="16" t="str">
        <f>IFERROR(__xludf.DUMMYFUNCTION("FILTER('CLASFICACIÓN'!$F$3:$F5618,'CLASFICACIÓN'!$G$3:$G5618=M1001)"),"LOS 3 AÑOS")</f>
        <v>LOS 3 AÑOS</v>
      </c>
      <c r="K1001" s="16"/>
      <c r="L1001" s="14" t="s">
        <v>92</v>
      </c>
      <c r="M1001" s="16" t="str">
        <f t="shared" si="1"/>
        <v>50492 CORAZON DE JESUS2 Primaria</v>
      </c>
      <c r="N1001" s="17"/>
      <c r="O1001" s="17"/>
      <c r="P1001" s="17"/>
      <c r="Q1001" s="17"/>
      <c r="R1001" s="17"/>
      <c r="S1001" s="17"/>
      <c r="T1001" s="17"/>
    </row>
    <row r="1002">
      <c r="A1002" s="21">
        <v>8.0</v>
      </c>
      <c r="B1002" s="20" t="s">
        <v>90</v>
      </c>
      <c r="C1002" s="20" t="s">
        <v>14</v>
      </c>
      <c r="D1002" s="20" t="s">
        <v>15</v>
      </c>
      <c r="E1002" s="12" t="str">
        <f>IFERROR(__xludf.DUMMYFUNCTION("FILTER(colegios!$B$2:$B5618,colegios!$A$2:$A5618=L1002)"),"50492 CORAZON DE JESUS")</f>
        <v>50492 CORAZON DE JESUS</v>
      </c>
      <c r="F1002" s="14" t="s">
        <v>16</v>
      </c>
      <c r="G1002" s="20" t="s">
        <v>21</v>
      </c>
      <c r="H1002" s="14" t="s">
        <v>24</v>
      </c>
      <c r="I1002" s="22">
        <v>2024.0</v>
      </c>
      <c r="J1002" s="16" t="str">
        <f>IFERROR(__xludf.DUMMYFUNCTION("FILTER('CLASFICACIÓN'!$F$3:$F5618,'CLASFICACIÓN'!$G$3:$G5618=M1002)"),"LOS 3 AÑOS")</f>
        <v>LOS 3 AÑOS</v>
      </c>
      <c r="K1002" s="16"/>
      <c r="L1002" s="14" t="s">
        <v>92</v>
      </c>
      <c r="M1002" s="16" t="str">
        <f t="shared" si="1"/>
        <v>50492 CORAZON DE JESUS2 Primaria</v>
      </c>
      <c r="N1002" s="17"/>
      <c r="O1002" s="17"/>
      <c r="P1002" s="17"/>
      <c r="Q1002" s="17"/>
      <c r="R1002" s="17"/>
      <c r="S1002" s="17"/>
      <c r="T1002" s="17"/>
    </row>
    <row r="1003">
      <c r="A1003" s="21">
        <v>9.0</v>
      </c>
      <c r="B1003" s="20" t="s">
        <v>90</v>
      </c>
      <c r="C1003" s="20" t="s">
        <v>14</v>
      </c>
      <c r="D1003" s="20" t="s">
        <v>15</v>
      </c>
      <c r="E1003" s="12" t="str">
        <f>IFERROR(__xludf.DUMMYFUNCTION("FILTER(colegios!$B$2:$B5618,colegios!$A$2:$A5618=L1003)"),"50492 CORAZON DE JESUS")</f>
        <v>50492 CORAZON DE JESUS</v>
      </c>
      <c r="F1003" s="14" t="s">
        <v>16</v>
      </c>
      <c r="G1003" s="20" t="s">
        <v>17</v>
      </c>
      <c r="H1003" s="14" t="s">
        <v>24</v>
      </c>
      <c r="I1003" s="22">
        <v>2024.0</v>
      </c>
      <c r="J1003" s="16" t="str">
        <f>IFERROR(__xludf.DUMMYFUNCTION("FILTER('CLASFICACIÓN'!$F$3:$F5618,'CLASFICACIÓN'!$G$3:$G5618=M1003)"),"LOS 3 AÑOS")</f>
        <v>LOS 3 AÑOS</v>
      </c>
      <c r="K1003" s="16"/>
      <c r="L1003" s="14" t="s">
        <v>92</v>
      </c>
      <c r="M1003" s="16" t="str">
        <f t="shared" si="1"/>
        <v>50492 CORAZON DE JESUS2 Primaria</v>
      </c>
      <c r="N1003" s="17"/>
      <c r="O1003" s="17"/>
      <c r="P1003" s="17"/>
      <c r="Q1003" s="17"/>
      <c r="R1003" s="17"/>
      <c r="S1003" s="17"/>
      <c r="T1003" s="17"/>
    </row>
    <row r="1004">
      <c r="A1004" s="21">
        <v>10.0</v>
      </c>
      <c r="B1004" s="20" t="s">
        <v>90</v>
      </c>
      <c r="C1004" s="20" t="s">
        <v>14</v>
      </c>
      <c r="D1004" s="20" t="s">
        <v>15</v>
      </c>
      <c r="E1004" s="12" t="str">
        <f>IFERROR(__xludf.DUMMYFUNCTION("FILTER(colegios!$B$2:$B5618,colegios!$A$2:$A5618=L1004)"),"50492 CORAZON DE JESUS")</f>
        <v>50492 CORAZON DE JESUS</v>
      </c>
      <c r="F1004" s="14" t="s">
        <v>16</v>
      </c>
      <c r="G1004" s="20" t="s">
        <v>21</v>
      </c>
      <c r="H1004" s="14" t="s">
        <v>32</v>
      </c>
      <c r="I1004" s="22">
        <v>2024.0</v>
      </c>
      <c r="J1004" s="16" t="str">
        <f>IFERROR(__xludf.DUMMYFUNCTION("FILTER('CLASFICACIÓN'!$F$3:$F5618,'CLASFICACIÓN'!$G$3:$G5618=M1004)"),"LOS 3 AÑOS")</f>
        <v>LOS 3 AÑOS</v>
      </c>
      <c r="K1004" s="16"/>
      <c r="L1004" s="14" t="s">
        <v>92</v>
      </c>
      <c r="M1004" s="16" t="str">
        <f t="shared" si="1"/>
        <v>50492 CORAZON DE JESUS2 Primaria</v>
      </c>
      <c r="N1004" s="17"/>
      <c r="O1004" s="17"/>
      <c r="P1004" s="17"/>
      <c r="Q1004" s="17"/>
      <c r="R1004" s="17"/>
      <c r="S1004" s="17"/>
      <c r="T1004" s="17"/>
    </row>
    <row r="1005">
      <c r="A1005" s="21">
        <v>11.0</v>
      </c>
      <c r="B1005" s="20" t="s">
        <v>90</v>
      </c>
      <c r="C1005" s="20" t="s">
        <v>14</v>
      </c>
      <c r="D1005" s="20" t="s">
        <v>15</v>
      </c>
      <c r="E1005" s="12" t="str">
        <f>IFERROR(__xludf.DUMMYFUNCTION("FILTER(colegios!$B$2:$B5618,colegios!$A$2:$A5618=L1005)"),"50492 CORAZON DE JESUS")</f>
        <v>50492 CORAZON DE JESUS</v>
      </c>
      <c r="F1005" s="14" t="s">
        <v>16</v>
      </c>
      <c r="G1005" s="20" t="s">
        <v>17</v>
      </c>
      <c r="H1005" s="14" t="s">
        <v>24</v>
      </c>
      <c r="I1005" s="22">
        <v>2024.0</v>
      </c>
      <c r="J1005" s="16" t="str">
        <f>IFERROR(__xludf.DUMMYFUNCTION("FILTER('CLASFICACIÓN'!$F$3:$F5618,'CLASFICACIÓN'!$G$3:$G5618=M1005)"),"LOS 3 AÑOS")</f>
        <v>LOS 3 AÑOS</v>
      </c>
      <c r="K1005" s="16"/>
      <c r="L1005" s="14" t="s">
        <v>92</v>
      </c>
      <c r="M1005" s="16" t="str">
        <f t="shared" si="1"/>
        <v>50492 CORAZON DE JESUS2 Primaria</v>
      </c>
      <c r="N1005" s="17"/>
      <c r="O1005" s="17"/>
      <c r="P1005" s="17"/>
      <c r="Q1005" s="17"/>
      <c r="R1005" s="17"/>
      <c r="S1005" s="17"/>
      <c r="T1005" s="17"/>
    </row>
    <row r="1006">
      <c r="A1006" s="21">
        <v>12.0</v>
      </c>
      <c r="B1006" s="20" t="s">
        <v>90</v>
      </c>
      <c r="C1006" s="20" t="s">
        <v>14</v>
      </c>
      <c r="D1006" s="20" t="s">
        <v>15</v>
      </c>
      <c r="E1006" s="12" t="str">
        <f>IFERROR(__xludf.DUMMYFUNCTION("FILTER(colegios!$B$2:$B5618,colegios!$A$2:$A5618=L1006)"),"50492 CORAZON DE JESUS")</f>
        <v>50492 CORAZON DE JESUS</v>
      </c>
      <c r="F1006" s="14" t="s">
        <v>16</v>
      </c>
      <c r="G1006" s="20" t="s">
        <v>21</v>
      </c>
      <c r="H1006" s="14" t="s">
        <v>18</v>
      </c>
      <c r="I1006" s="22">
        <v>2024.0</v>
      </c>
      <c r="J1006" s="16" t="str">
        <f>IFERROR(__xludf.DUMMYFUNCTION("FILTER('CLASFICACIÓN'!$F$3:$F5618,'CLASFICACIÓN'!$G$3:$G5618=M1006)"),"LOS 3 AÑOS")</f>
        <v>LOS 3 AÑOS</v>
      </c>
      <c r="K1006" s="16"/>
      <c r="L1006" s="14" t="s">
        <v>92</v>
      </c>
      <c r="M1006" s="16" t="str">
        <f t="shared" si="1"/>
        <v>50492 CORAZON DE JESUS2 Primaria</v>
      </c>
      <c r="N1006" s="17"/>
      <c r="O1006" s="17"/>
      <c r="P1006" s="17"/>
      <c r="Q1006" s="17"/>
      <c r="R1006" s="17"/>
      <c r="S1006" s="17"/>
      <c r="T1006" s="17"/>
    </row>
    <row r="1007">
      <c r="A1007" s="21">
        <v>13.0</v>
      </c>
      <c r="B1007" s="20" t="s">
        <v>90</v>
      </c>
      <c r="C1007" s="20" t="s">
        <v>14</v>
      </c>
      <c r="D1007" s="20" t="s">
        <v>15</v>
      </c>
      <c r="E1007" s="12" t="str">
        <f>IFERROR(__xludf.DUMMYFUNCTION("FILTER(colegios!$B$2:$B5618,colegios!$A$2:$A5618=L1007)"),"50492 CORAZON DE JESUS")</f>
        <v>50492 CORAZON DE JESUS</v>
      </c>
      <c r="F1007" s="14" t="s">
        <v>16</v>
      </c>
      <c r="G1007" s="20" t="s">
        <v>17</v>
      </c>
      <c r="H1007" s="14" t="s">
        <v>32</v>
      </c>
      <c r="I1007" s="22">
        <v>2024.0</v>
      </c>
      <c r="J1007" s="16" t="str">
        <f>IFERROR(__xludf.DUMMYFUNCTION("FILTER('CLASFICACIÓN'!$F$3:$F5618,'CLASFICACIÓN'!$G$3:$G5618=M1007)"),"LOS 3 AÑOS")</f>
        <v>LOS 3 AÑOS</v>
      </c>
      <c r="K1007" s="16"/>
      <c r="L1007" s="14" t="s">
        <v>92</v>
      </c>
      <c r="M1007" s="16" t="str">
        <f t="shared" si="1"/>
        <v>50492 CORAZON DE JESUS2 Primaria</v>
      </c>
      <c r="N1007" s="17"/>
      <c r="O1007" s="17"/>
      <c r="P1007" s="17"/>
      <c r="Q1007" s="17"/>
      <c r="R1007" s="17"/>
      <c r="S1007" s="17"/>
      <c r="T1007" s="17"/>
    </row>
    <row r="1008">
      <c r="A1008" s="21">
        <v>14.0</v>
      </c>
      <c r="B1008" s="20" t="s">
        <v>90</v>
      </c>
      <c r="C1008" s="20" t="s">
        <v>14</v>
      </c>
      <c r="D1008" s="20" t="s">
        <v>15</v>
      </c>
      <c r="E1008" s="12" t="str">
        <f>IFERROR(__xludf.DUMMYFUNCTION("FILTER(colegios!$B$2:$B5618,colegios!$A$2:$A5618=L1008)"),"50492 CORAZON DE JESUS")</f>
        <v>50492 CORAZON DE JESUS</v>
      </c>
      <c r="F1008" s="14" t="s">
        <v>16</v>
      </c>
      <c r="G1008" s="20" t="s">
        <v>21</v>
      </c>
      <c r="H1008" s="14" t="s">
        <v>18</v>
      </c>
      <c r="I1008" s="22">
        <v>2024.0</v>
      </c>
      <c r="J1008" s="16" t="str">
        <f>IFERROR(__xludf.DUMMYFUNCTION("FILTER('CLASFICACIÓN'!$F$3:$F5618,'CLASFICACIÓN'!$G$3:$G5618=M1008)"),"LOS 3 AÑOS")</f>
        <v>LOS 3 AÑOS</v>
      </c>
      <c r="K1008" s="16"/>
      <c r="L1008" s="14" t="s">
        <v>92</v>
      </c>
      <c r="M1008" s="16" t="str">
        <f t="shared" si="1"/>
        <v>50492 CORAZON DE JESUS2 Primaria</v>
      </c>
      <c r="N1008" s="17"/>
      <c r="O1008" s="17"/>
      <c r="P1008" s="17"/>
      <c r="Q1008" s="17"/>
      <c r="R1008" s="17"/>
      <c r="S1008" s="17"/>
      <c r="T1008" s="17"/>
    </row>
    <row r="1009">
      <c r="A1009" s="21">
        <v>15.0</v>
      </c>
      <c r="B1009" s="20" t="s">
        <v>90</v>
      </c>
      <c r="C1009" s="20" t="s">
        <v>14</v>
      </c>
      <c r="D1009" s="20" t="s">
        <v>15</v>
      </c>
      <c r="E1009" s="12" t="str">
        <f>IFERROR(__xludf.DUMMYFUNCTION("FILTER(colegios!$B$2:$B5618,colegios!$A$2:$A5618=L1009)"),"50492 CORAZON DE JESUS")</f>
        <v>50492 CORAZON DE JESUS</v>
      </c>
      <c r="F1009" s="14" t="s">
        <v>16</v>
      </c>
      <c r="G1009" s="20" t="s">
        <v>17</v>
      </c>
      <c r="H1009" s="14" t="s">
        <v>24</v>
      </c>
      <c r="I1009" s="22">
        <v>2024.0</v>
      </c>
      <c r="J1009" s="16" t="str">
        <f>IFERROR(__xludf.DUMMYFUNCTION("FILTER('CLASFICACIÓN'!$F$3:$F5618,'CLASFICACIÓN'!$G$3:$G5618=M1009)"),"LOS 3 AÑOS")</f>
        <v>LOS 3 AÑOS</v>
      </c>
      <c r="K1009" s="16"/>
      <c r="L1009" s="14" t="s">
        <v>92</v>
      </c>
      <c r="M1009" s="16" t="str">
        <f t="shared" si="1"/>
        <v>50492 CORAZON DE JESUS2 Primaria</v>
      </c>
      <c r="N1009" s="17"/>
      <c r="O1009" s="17"/>
      <c r="P1009" s="17"/>
      <c r="Q1009" s="17"/>
      <c r="R1009" s="17"/>
      <c r="S1009" s="17"/>
      <c r="T1009" s="17"/>
    </row>
    <row r="1010">
      <c r="A1010" s="21">
        <v>16.0</v>
      </c>
      <c r="B1010" s="20" t="s">
        <v>90</v>
      </c>
      <c r="C1010" s="20" t="s">
        <v>14</v>
      </c>
      <c r="D1010" s="20" t="s">
        <v>15</v>
      </c>
      <c r="E1010" s="12" t="str">
        <f>IFERROR(__xludf.DUMMYFUNCTION("FILTER(colegios!$B$2:$B5618,colegios!$A$2:$A5618=L1010)"),"50492 CORAZON DE JESUS")</f>
        <v>50492 CORAZON DE JESUS</v>
      </c>
      <c r="F1010" s="14" t="s">
        <v>16</v>
      </c>
      <c r="G1010" s="20" t="s">
        <v>17</v>
      </c>
      <c r="H1010" s="14" t="s">
        <v>18</v>
      </c>
      <c r="I1010" s="22">
        <v>2024.0</v>
      </c>
      <c r="J1010" s="16" t="str">
        <f>IFERROR(__xludf.DUMMYFUNCTION("FILTER('CLASFICACIÓN'!$F$3:$F5618,'CLASFICACIÓN'!$G$3:$G5618=M1010)"),"LOS 3 AÑOS")</f>
        <v>LOS 3 AÑOS</v>
      </c>
      <c r="K1010" s="16"/>
      <c r="L1010" s="14" t="s">
        <v>92</v>
      </c>
      <c r="M1010" s="16" t="str">
        <f t="shared" si="1"/>
        <v>50492 CORAZON DE JESUS2 Primaria</v>
      </c>
      <c r="N1010" s="17"/>
      <c r="O1010" s="17"/>
      <c r="P1010" s="17"/>
      <c r="Q1010" s="17"/>
      <c r="R1010" s="17"/>
      <c r="S1010" s="17"/>
      <c r="T1010" s="17"/>
    </row>
    <row r="1011">
      <c r="A1011" s="21">
        <v>17.0</v>
      </c>
      <c r="B1011" s="20" t="s">
        <v>90</v>
      </c>
      <c r="C1011" s="20" t="s">
        <v>14</v>
      </c>
      <c r="D1011" s="20" t="s">
        <v>15</v>
      </c>
      <c r="E1011" s="12" t="str">
        <f>IFERROR(__xludf.DUMMYFUNCTION("FILTER(colegios!$B$2:$B5618,colegios!$A$2:$A5618=L1011)"),"50492 CORAZON DE JESUS")</f>
        <v>50492 CORAZON DE JESUS</v>
      </c>
      <c r="F1011" s="14" t="s">
        <v>16</v>
      </c>
      <c r="G1011" s="20" t="s">
        <v>21</v>
      </c>
      <c r="H1011" s="14" t="s">
        <v>18</v>
      </c>
      <c r="I1011" s="22">
        <v>2024.0</v>
      </c>
      <c r="J1011" s="16" t="str">
        <f>IFERROR(__xludf.DUMMYFUNCTION("FILTER('CLASFICACIÓN'!$F$3:$F5618,'CLASFICACIÓN'!$G$3:$G5618=M1011)"),"LOS 3 AÑOS")</f>
        <v>LOS 3 AÑOS</v>
      </c>
      <c r="K1011" s="16"/>
      <c r="L1011" s="14" t="s">
        <v>92</v>
      </c>
      <c r="M1011" s="16" t="str">
        <f t="shared" si="1"/>
        <v>50492 CORAZON DE JESUS2 Primaria</v>
      </c>
      <c r="N1011" s="17"/>
      <c r="O1011" s="17"/>
      <c r="P1011" s="17"/>
      <c r="Q1011" s="17"/>
      <c r="R1011" s="17"/>
      <c r="S1011" s="17"/>
      <c r="T1011" s="17"/>
    </row>
    <row r="1012">
      <c r="A1012" s="21">
        <v>18.0</v>
      </c>
      <c r="B1012" s="20" t="s">
        <v>90</v>
      </c>
      <c r="C1012" s="20" t="s">
        <v>14</v>
      </c>
      <c r="D1012" s="20" t="s">
        <v>15</v>
      </c>
      <c r="E1012" s="12" t="str">
        <f>IFERROR(__xludf.DUMMYFUNCTION("FILTER(colegios!$B$2:$B5618,colegios!$A$2:$A5618=L1012)"),"50492 CORAZON DE JESUS")</f>
        <v>50492 CORAZON DE JESUS</v>
      </c>
      <c r="F1012" s="14" t="s">
        <v>16</v>
      </c>
      <c r="G1012" s="20" t="s">
        <v>17</v>
      </c>
      <c r="H1012" s="14" t="s">
        <v>32</v>
      </c>
      <c r="I1012" s="22">
        <v>2024.0</v>
      </c>
      <c r="J1012" s="16" t="str">
        <f>IFERROR(__xludf.DUMMYFUNCTION("FILTER('CLASFICACIÓN'!$F$3:$F5618,'CLASFICACIÓN'!$G$3:$G5618=M1012)"),"LOS 3 AÑOS")</f>
        <v>LOS 3 AÑOS</v>
      </c>
      <c r="K1012" s="16"/>
      <c r="L1012" s="14" t="s">
        <v>92</v>
      </c>
      <c r="M1012" s="16" t="str">
        <f t="shared" si="1"/>
        <v>50492 CORAZON DE JESUS2 Primaria</v>
      </c>
      <c r="N1012" s="17"/>
      <c r="O1012" s="17"/>
      <c r="P1012" s="17"/>
      <c r="Q1012" s="17"/>
      <c r="R1012" s="17"/>
      <c r="S1012" s="17"/>
      <c r="T1012" s="17"/>
    </row>
    <row r="1013">
      <c r="A1013" s="21">
        <v>19.0</v>
      </c>
      <c r="B1013" s="20" t="s">
        <v>90</v>
      </c>
      <c r="C1013" s="20" t="s">
        <v>14</v>
      </c>
      <c r="D1013" s="20" t="s">
        <v>15</v>
      </c>
      <c r="E1013" s="12" t="str">
        <f>IFERROR(__xludf.DUMMYFUNCTION("FILTER(colegios!$B$2:$B5618,colegios!$A$2:$A5618=L1013)"),"50492 CORAZON DE JESUS")</f>
        <v>50492 CORAZON DE JESUS</v>
      </c>
      <c r="F1013" s="14" t="s">
        <v>16</v>
      </c>
      <c r="G1013" s="20" t="s">
        <v>21</v>
      </c>
      <c r="H1013" s="14" t="s">
        <v>32</v>
      </c>
      <c r="I1013" s="22">
        <v>2024.0</v>
      </c>
      <c r="J1013" s="16" t="str">
        <f>IFERROR(__xludf.DUMMYFUNCTION("FILTER('CLASFICACIÓN'!$F$3:$F5618,'CLASFICACIÓN'!$G$3:$G5618=M1013)"),"LOS 3 AÑOS")</f>
        <v>LOS 3 AÑOS</v>
      </c>
      <c r="K1013" s="16"/>
      <c r="L1013" s="14" t="s">
        <v>92</v>
      </c>
      <c r="M1013" s="16" t="str">
        <f t="shared" si="1"/>
        <v>50492 CORAZON DE JESUS2 Primaria</v>
      </c>
      <c r="N1013" s="17"/>
      <c r="O1013" s="17"/>
      <c r="P1013" s="17"/>
      <c r="Q1013" s="17"/>
      <c r="R1013" s="17"/>
      <c r="S1013" s="17"/>
      <c r="T1013" s="17"/>
    </row>
    <row r="1014">
      <c r="A1014" s="21">
        <v>20.0</v>
      </c>
      <c r="B1014" s="20" t="s">
        <v>90</v>
      </c>
      <c r="C1014" s="20" t="s">
        <v>14</v>
      </c>
      <c r="D1014" s="20" t="s">
        <v>15</v>
      </c>
      <c r="E1014" s="12" t="str">
        <f>IFERROR(__xludf.DUMMYFUNCTION("FILTER(colegios!$B$2:$B5618,colegios!$A$2:$A5618=L1014)"),"50492 CORAZON DE JESUS")</f>
        <v>50492 CORAZON DE JESUS</v>
      </c>
      <c r="F1014" s="14" t="s">
        <v>16</v>
      </c>
      <c r="G1014" s="20" t="s">
        <v>17</v>
      </c>
      <c r="H1014" s="14" t="s">
        <v>24</v>
      </c>
      <c r="I1014" s="22">
        <v>2024.0</v>
      </c>
      <c r="J1014" s="16" t="str">
        <f>IFERROR(__xludf.DUMMYFUNCTION("FILTER('CLASFICACIÓN'!$F$3:$F5618,'CLASFICACIÓN'!$G$3:$G5618=M1014)"),"LOS 3 AÑOS")</f>
        <v>LOS 3 AÑOS</v>
      </c>
      <c r="K1014" s="16"/>
      <c r="L1014" s="14" t="s">
        <v>92</v>
      </c>
      <c r="M1014" s="16" t="str">
        <f t="shared" si="1"/>
        <v>50492 CORAZON DE JESUS2 Primaria</v>
      </c>
      <c r="N1014" s="17"/>
      <c r="O1014" s="17"/>
      <c r="P1014" s="17"/>
      <c r="Q1014" s="17"/>
      <c r="R1014" s="17"/>
      <c r="S1014" s="17"/>
      <c r="T1014" s="17"/>
    </row>
    <row r="1015">
      <c r="A1015" s="21">
        <v>22.0</v>
      </c>
      <c r="B1015" s="20" t="s">
        <v>90</v>
      </c>
      <c r="C1015" s="20" t="s">
        <v>14</v>
      </c>
      <c r="D1015" s="20" t="s">
        <v>15</v>
      </c>
      <c r="E1015" s="12" t="str">
        <f>IFERROR(__xludf.DUMMYFUNCTION("FILTER(colegios!$B$2:$B5618,colegios!$A$2:$A5618=L1015)"),"50492 CORAZON DE JESUS")</f>
        <v>50492 CORAZON DE JESUS</v>
      </c>
      <c r="F1015" s="14" t="s">
        <v>16</v>
      </c>
      <c r="G1015" s="20" t="s">
        <v>17</v>
      </c>
      <c r="H1015" s="14" t="s">
        <v>18</v>
      </c>
      <c r="I1015" s="22">
        <v>2024.0</v>
      </c>
      <c r="J1015" s="16" t="str">
        <f>IFERROR(__xludf.DUMMYFUNCTION("FILTER('CLASFICACIÓN'!$F$3:$F5618,'CLASFICACIÓN'!$G$3:$G5618=M1015)"),"LOS 3 AÑOS")</f>
        <v>LOS 3 AÑOS</v>
      </c>
      <c r="K1015" s="16"/>
      <c r="L1015" s="14" t="s">
        <v>92</v>
      </c>
      <c r="M1015" s="16" t="str">
        <f t="shared" si="1"/>
        <v>50492 CORAZON DE JESUS2 Primaria</v>
      </c>
      <c r="N1015" s="17"/>
      <c r="O1015" s="17"/>
      <c r="P1015" s="17"/>
      <c r="Q1015" s="17"/>
      <c r="R1015" s="17"/>
      <c r="S1015" s="17"/>
      <c r="T1015" s="17"/>
    </row>
    <row r="1016">
      <c r="A1016" s="21">
        <v>23.0</v>
      </c>
      <c r="B1016" s="20" t="s">
        <v>90</v>
      </c>
      <c r="C1016" s="20" t="s">
        <v>14</v>
      </c>
      <c r="D1016" s="20" t="s">
        <v>20</v>
      </c>
      <c r="E1016" s="12" t="str">
        <f>IFERROR(__xludf.DUMMYFUNCTION("FILTER(colegios!$B$2:$B5618,colegios!$A$2:$A5618=L1016)"),"50492 CORAZON DE JESUS")</f>
        <v>50492 CORAZON DE JESUS</v>
      </c>
      <c r="F1016" s="14" t="s">
        <v>16</v>
      </c>
      <c r="G1016" s="20" t="s">
        <v>21</v>
      </c>
      <c r="H1016" s="14" t="s">
        <v>32</v>
      </c>
      <c r="I1016" s="22">
        <v>2024.0</v>
      </c>
      <c r="J1016" s="16" t="str">
        <f>IFERROR(__xludf.DUMMYFUNCTION("FILTER('CLASFICACIÓN'!$F$3:$F5618,'CLASFICACIÓN'!$G$3:$G5618=M1016)"),"LOS 3 AÑOS")</f>
        <v>LOS 3 AÑOS</v>
      </c>
      <c r="K1016" s="16"/>
      <c r="L1016" s="14" t="s">
        <v>92</v>
      </c>
      <c r="M1016" s="16" t="str">
        <f t="shared" si="1"/>
        <v>50492 CORAZON DE JESUS4 Primaria</v>
      </c>
      <c r="N1016" s="17"/>
      <c r="O1016" s="17"/>
      <c r="P1016" s="17"/>
      <c r="Q1016" s="17"/>
      <c r="R1016" s="17"/>
      <c r="S1016" s="17"/>
      <c r="T1016" s="17"/>
    </row>
    <row r="1017">
      <c r="A1017" s="21">
        <v>24.0</v>
      </c>
      <c r="B1017" s="20" t="s">
        <v>90</v>
      </c>
      <c r="C1017" s="20" t="s">
        <v>14</v>
      </c>
      <c r="D1017" s="20" t="s">
        <v>20</v>
      </c>
      <c r="E1017" s="12" t="str">
        <f>IFERROR(__xludf.DUMMYFUNCTION("FILTER(colegios!$B$2:$B5618,colegios!$A$2:$A5618=L1017)"),"50492 CORAZON DE JESUS")</f>
        <v>50492 CORAZON DE JESUS</v>
      </c>
      <c r="F1017" s="14" t="s">
        <v>16</v>
      </c>
      <c r="G1017" s="20" t="s">
        <v>17</v>
      </c>
      <c r="H1017" s="14" t="s">
        <v>32</v>
      </c>
      <c r="I1017" s="22">
        <v>2024.0</v>
      </c>
      <c r="J1017" s="16" t="str">
        <f>IFERROR(__xludf.DUMMYFUNCTION("FILTER('CLASFICACIÓN'!$F$3:$F5618,'CLASFICACIÓN'!$G$3:$G5618=M1017)"),"LOS 3 AÑOS")</f>
        <v>LOS 3 AÑOS</v>
      </c>
      <c r="K1017" s="16"/>
      <c r="L1017" s="14" t="s">
        <v>92</v>
      </c>
      <c r="M1017" s="16" t="str">
        <f t="shared" si="1"/>
        <v>50492 CORAZON DE JESUS4 Primaria</v>
      </c>
      <c r="N1017" s="17"/>
      <c r="O1017" s="17"/>
      <c r="P1017" s="17"/>
      <c r="Q1017" s="17"/>
      <c r="R1017" s="17"/>
      <c r="S1017" s="17"/>
      <c r="T1017" s="17"/>
    </row>
    <row r="1018">
      <c r="A1018" s="21">
        <v>25.0</v>
      </c>
      <c r="B1018" s="20" t="s">
        <v>90</v>
      </c>
      <c r="C1018" s="20" t="s">
        <v>14</v>
      </c>
      <c r="D1018" s="20" t="s">
        <v>20</v>
      </c>
      <c r="E1018" s="12" t="str">
        <f>IFERROR(__xludf.DUMMYFUNCTION("FILTER(colegios!$B$2:$B5618,colegios!$A$2:$A5618=L1018)"),"50492 CORAZON DE JESUS")</f>
        <v>50492 CORAZON DE JESUS</v>
      </c>
      <c r="F1018" s="14" t="s">
        <v>16</v>
      </c>
      <c r="G1018" s="20" t="s">
        <v>17</v>
      </c>
      <c r="H1018" s="14" t="s">
        <v>18</v>
      </c>
      <c r="I1018" s="22">
        <v>2024.0</v>
      </c>
      <c r="J1018" s="16" t="str">
        <f>IFERROR(__xludf.DUMMYFUNCTION("FILTER('CLASFICACIÓN'!$F$3:$F5618,'CLASFICACIÓN'!$G$3:$G5618=M1018)"),"LOS 3 AÑOS")</f>
        <v>LOS 3 AÑOS</v>
      </c>
      <c r="K1018" s="16"/>
      <c r="L1018" s="14" t="s">
        <v>92</v>
      </c>
      <c r="M1018" s="16" t="str">
        <f t="shared" si="1"/>
        <v>50492 CORAZON DE JESUS4 Primaria</v>
      </c>
      <c r="N1018" s="17"/>
      <c r="O1018" s="17"/>
      <c r="P1018" s="17"/>
      <c r="Q1018" s="17"/>
      <c r="R1018" s="17"/>
      <c r="S1018" s="17"/>
      <c r="T1018" s="17"/>
    </row>
    <row r="1019">
      <c r="A1019" s="21">
        <v>26.0</v>
      </c>
      <c r="B1019" s="20" t="s">
        <v>90</v>
      </c>
      <c r="C1019" s="20" t="s">
        <v>14</v>
      </c>
      <c r="D1019" s="20" t="s">
        <v>20</v>
      </c>
      <c r="E1019" s="12" t="str">
        <f>IFERROR(__xludf.DUMMYFUNCTION("FILTER(colegios!$B$2:$B5618,colegios!$A$2:$A5618=L1019)"),"50492 CORAZON DE JESUS")</f>
        <v>50492 CORAZON DE JESUS</v>
      </c>
      <c r="F1019" s="14" t="s">
        <v>16</v>
      </c>
      <c r="G1019" s="20" t="s">
        <v>21</v>
      </c>
      <c r="H1019" s="14" t="s">
        <v>24</v>
      </c>
      <c r="I1019" s="22">
        <v>2024.0</v>
      </c>
      <c r="J1019" s="16" t="str">
        <f>IFERROR(__xludf.DUMMYFUNCTION("FILTER('CLASFICACIÓN'!$F$3:$F5618,'CLASFICACIÓN'!$G$3:$G5618=M1019)"),"LOS 3 AÑOS")</f>
        <v>LOS 3 AÑOS</v>
      </c>
      <c r="K1019" s="16"/>
      <c r="L1019" s="14" t="s">
        <v>92</v>
      </c>
      <c r="M1019" s="16" t="str">
        <f t="shared" si="1"/>
        <v>50492 CORAZON DE JESUS4 Primaria</v>
      </c>
      <c r="N1019" s="17"/>
      <c r="O1019" s="17"/>
      <c r="P1019" s="17"/>
      <c r="Q1019" s="17"/>
      <c r="R1019" s="17"/>
      <c r="S1019" s="17"/>
      <c r="T1019" s="17"/>
    </row>
    <row r="1020">
      <c r="A1020" s="21">
        <v>27.0</v>
      </c>
      <c r="B1020" s="20" t="s">
        <v>90</v>
      </c>
      <c r="C1020" s="20" t="s">
        <v>14</v>
      </c>
      <c r="D1020" s="20" t="s">
        <v>20</v>
      </c>
      <c r="E1020" s="12" t="str">
        <f>IFERROR(__xludf.DUMMYFUNCTION("FILTER(colegios!$B$2:$B5618,colegios!$A$2:$A5618=L1020)"),"50492 CORAZON DE JESUS")</f>
        <v>50492 CORAZON DE JESUS</v>
      </c>
      <c r="F1020" s="14" t="s">
        <v>16</v>
      </c>
      <c r="G1020" s="20" t="s">
        <v>17</v>
      </c>
      <c r="H1020" s="14" t="s">
        <v>24</v>
      </c>
      <c r="I1020" s="22">
        <v>2024.0</v>
      </c>
      <c r="J1020" s="16" t="str">
        <f>IFERROR(__xludf.DUMMYFUNCTION("FILTER('CLASFICACIÓN'!$F$3:$F5618,'CLASFICACIÓN'!$G$3:$G5618=M1020)"),"LOS 3 AÑOS")</f>
        <v>LOS 3 AÑOS</v>
      </c>
      <c r="K1020" s="16"/>
      <c r="L1020" s="14" t="s">
        <v>92</v>
      </c>
      <c r="M1020" s="16" t="str">
        <f t="shared" si="1"/>
        <v>50492 CORAZON DE JESUS4 Primaria</v>
      </c>
      <c r="N1020" s="17"/>
      <c r="O1020" s="17"/>
      <c r="P1020" s="17"/>
      <c r="Q1020" s="17"/>
      <c r="R1020" s="17"/>
      <c r="S1020" s="17"/>
      <c r="T1020" s="17"/>
    </row>
    <row r="1021">
      <c r="A1021" s="21">
        <v>28.0</v>
      </c>
      <c r="B1021" s="20" t="s">
        <v>90</v>
      </c>
      <c r="C1021" s="20" t="s">
        <v>14</v>
      </c>
      <c r="D1021" s="20" t="s">
        <v>20</v>
      </c>
      <c r="E1021" s="12" t="str">
        <f>IFERROR(__xludf.DUMMYFUNCTION("FILTER(colegios!$B$2:$B5618,colegios!$A$2:$A5618=L1021)"),"50492 CORAZON DE JESUS")</f>
        <v>50492 CORAZON DE JESUS</v>
      </c>
      <c r="F1021" s="14" t="s">
        <v>16</v>
      </c>
      <c r="G1021" s="20" t="s">
        <v>21</v>
      </c>
      <c r="H1021" s="14" t="s">
        <v>24</v>
      </c>
      <c r="I1021" s="22">
        <v>2024.0</v>
      </c>
      <c r="J1021" s="16" t="str">
        <f>IFERROR(__xludf.DUMMYFUNCTION("FILTER('CLASFICACIÓN'!$F$3:$F5618,'CLASFICACIÓN'!$G$3:$G5618=M1021)"),"LOS 3 AÑOS")</f>
        <v>LOS 3 AÑOS</v>
      </c>
      <c r="K1021" s="16"/>
      <c r="L1021" s="14" t="s">
        <v>92</v>
      </c>
      <c r="M1021" s="16" t="str">
        <f t="shared" si="1"/>
        <v>50492 CORAZON DE JESUS4 Primaria</v>
      </c>
      <c r="N1021" s="17"/>
      <c r="O1021" s="17"/>
      <c r="P1021" s="17"/>
      <c r="Q1021" s="17"/>
      <c r="R1021" s="17"/>
      <c r="S1021" s="17"/>
      <c r="T1021" s="17"/>
    </row>
    <row r="1022">
      <c r="A1022" s="21">
        <v>29.0</v>
      </c>
      <c r="B1022" s="20" t="s">
        <v>90</v>
      </c>
      <c r="C1022" s="20" t="s">
        <v>14</v>
      </c>
      <c r="D1022" s="20" t="s">
        <v>20</v>
      </c>
      <c r="E1022" s="12" t="str">
        <f>IFERROR(__xludf.DUMMYFUNCTION("FILTER(colegios!$B$2:$B5618,colegios!$A$2:$A5618=L1022)"),"50492 CORAZON DE JESUS")</f>
        <v>50492 CORAZON DE JESUS</v>
      </c>
      <c r="F1022" s="14" t="s">
        <v>16</v>
      </c>
      <c r="G1022" s="20" t="s">
        <v>17</v>
      </c>
      <c r="H1022" s="14" t="s">
        <v>24</v>
      </c>
      <c r="I1022" s="22">
        <v>2024.0</v>
      </c>
      <c r="J1022" s="16" t="str">
        <f>IFERROR(__xludf.DUMMYFUNCTION("FILTER('CLASFICACIÓN'!$F$3:$F5618,'CLASFICACIÓN'!$G$3:$G5618=M1022)"),"LOS 3 AÑOS")</f>
        <v>LOS 3 AÑOS</v>
      </c>
      <c r="K1022" s="16"/>
      <c r="L1022" s="14" t="s">
        <v>92</v>
      </c>
      <c r="M1022" s="16" t="str">
        <f t="shared" si="1"/>
        <v>50492 CORAZON DE JESUS4 Primaria</v>
      </c>
      <c r="N1022" s="17"/>
      <c r="O1022" s="17"/>
      <c r="P1022" s="17"/>
      <c r="Q1022" s="17"/>
      <c r="R1022" s="17"/>
      <c r="S1022" s="17"/>
      <c r="T1022" s="17"/>
    </row>
    <row r="1023">
      <c r="A1023" s="21">
        <v>30.0</v>
      </c>
      <c r="B1023" s="20" t="s">
        <v>90</v>
      </c>
      <c r="C1023" s="20" t="s">
        <v>14</v>
      </c>
      <c r="D1023" s="20" t="s">
        <v>20</v>
      </c>
      <c r="E1023" s="12" t="str">
        <f>IFERROR(__xludf.DUMMYFUNCTION("FILTER(colegios!$B$2:$B5618,colegios!$A$2:$A5618=L1023)"),"50492 CORAZON DE JESUS")</f>
        <v>50492 CORAZON DE JESUS</v>
      </c>
      <c r="F1023" s="14" t="s">
        <v>16</v>
      </c>
      <c r="G1023" s="20" t="s">
        <v>17</v>
      </c>
      <c r="H1023" s="14" t="s">
        <v>18</v>
      </c>
      <c r="I1023" s="22">
        <v>2024.0</v>
      </c>
      <c r="J1023" s="16" t="str">
        <f>IFERROR(__xludf.DUMMYFUNCTION("FILTER('CLASFICACIÓN'!$F$3:$F5618,'CLASFICACIÓN'!$G$3:$G5618=M1023)"),"LOS 3 AÑOS")</f>
        <v>LOS 3 AÑOS</v>
      </c>
      <c r="K1023" s="16"/>
      <c r="L1023" s="14" t="s">
        <v>92</v>
      </c>
      <c r="M1023" s="16" t="str">
        <f t="shared" si="1"/>
        <v>50492 CORAZON DE JESUS4 Primaria</v>
      </c>
      <c r="N1023" s="17"/>
      <c r="O1023" s="17"/>
      <c r="P1023" s="17"/>
      <c r="Q1023" s="17"/>
      <c r="R1023" s="17"/>
      <c r="S1023" s="17"/>
      <c r="T1023" s="17"/>
    </row>
    <row r="1024">
      <c r="A1024" s="21">
        <v>31.0</v>
      </c>
      <c r="B1024" s="20" t="s">
        <v>90</v>
      </c>
      <c r="C1024" s="20" t="s">
        <v>14</v>
      </c>
      <c r="D1024" s="20" t="s">
        <v>20</v>
      </c>
      <c r="E1024" s="12" t="str">
        <f>IFERROR(__xludf.DUMMYFUNCTION("FILTER(colegios!$B$2:$B5618,colegios!$A$2:$A5618=L1024)"),"50492 CORAZON DE JESUS")</f>
        <v>50492 CORAZON DE JESUS</v>
      </c>
      <c r="F1024" s="14" t="s">
        <v>16</v>
      </c>
      <c r="G1024" s="20" t="s">
        <v>21</v>
      </c>
      <c r="H1024" s="14" t="s">
        <v>18</v>
      </c>
      <c r="I1024" s="22">
        <v>2024.0</v>
      </c>
      <c r="J1024" s="16" t="str">
        <f>IFERROR(__xludf.DUMMYFUNCTION("FILTER('CLASFICACIÓN'!$F$3:$F5618,'CLASFICACIÓN'!$G$3:$G5618=M1024)"),"LOS 3 AÑOS")</f>
        <v>LOS 3 AÑOS</v>
      </c>
      <c r="K1024" s="16"/>
      <c r="L1024" s="14" t="s">
        <v>92</v>
      </c>
      <c r="M1024" s="16" t="str">
        <f t="shared" si="1"/>
        <v>50492 CORAZON DE JESUS4 Primaria</v>
      </c>
      <c r="N1024" s="17"/>
      <c r="O1024" s="17"/>
      <c r="P1024" s="17"/>
      <c r="Q1024" s="17"/>
      <c r="R1024" s="17"/>
      <c r="S1024" s="17"/>
      <c r="T1024" s="17"/>
    </row>
    <row r="1025">
      <c r="A1025" s="21">
        <v>32.0</v>
      </c>
      <c r="B1025" s="20" t="s">
        <v>90</v>
      </c>
      <c r="C1025" s="20" t="s">
        <v>14</v>
      </c>
      <c r="D1025" s="20" t="s">
        <v>20</v>
      </c>
      <c r="E1025" s="12" t="str">
        <f>IFERROR(__xludf.DUMMYFUNCTION("FILTER(colegios!$B$2:$B5618,colegios!$A$2:$A5618=L1025)"),"50492 CORAZON DE JESUS")</f>
        <v>50492 CORAZON DE JESUS</v>
      </c>
      <c r="F1025" s="14" t="s">
        <v>16</v>
      </c>
      <c r="G1025" s="20" t="s">
        <v>21</v>
      </c>
      <c r="H1025" s="14" t="s">
        <v>18</v>
      </c>
      <c r="I1025" s="22">
        <v>2024.0</v>
      </c>
      <c r="J1025" s="16" t="str">
        <f>IFERROR(__xludf.DUMMYFUNCTION("FILTER('CLASFICACIÓN'!$F$3:$F5618,'CLASFICACIÓN'!$G$3:$G5618=M1025)"),"LOS 3 AÑOS")</f>
        <v>LOS 3 AÑOS</v>
      </c>
      <c r="K1025" s="16"/>
      <c r="L1025" s="14" t="s">
        <v>92</v>
      </c>
      <c r="M1025" s="16" t="str">
        <f t="shared" si="1"/>
        <v>50492 CORAZON DE JESUS4 Primaria</v>
      </c>
      <c r="N1025" s="17"/>
      <c r="O1025" s="17"/>
      <c r="P1025" s="17"/>
      <c r="Q1025" s="17"/>
      <c r="R1025" s="17"/>
      <c r="S1025" s="17"/>
      <c r="T1025" s="17"/>
    </row>
    <row r="1026">
      <c r="A1026" s="21">
        <v>33.0</v>
      </c>
      <c r="B1026" s="20" t="s">
        <v>90</v>
      </c>
      <c r="C1026" s="20" t="s">
        <v>14</v>
      </c>
      <c r="D1026" s="20" t="s">
        <v>20</v>
      </c>
      <c r="E1026" s="12" t="str">
        <f>IFERROR(__xludf.DUMMYFUNCTION("FILTER(colegios!$B$2:$B5618,colegios!$A$2:$A5618=L1026)"),"50492 CORAZON DE JESUS")</f>
        <v>50492 CORAZON DE JESUS</v>
      </c>
      <c r="F1026" s="14" t="s">
        <v>16</v>
      </c>
      <c r="G1026" s="20" t="s">
        <v>17</v>
      </c>
      <c r="H1026" s="14" t="s">
        <v>24</v>
      </c>
      <c r="I1026" s="22">
        <v>2024.0</v>
      </c>
      <c r="J1026" s="16" t="str">
        <f>IFERROR(__xludf.DUMMYFUNCTION("FILTER('CLASFICACIÓN'!$F$3:$F5618,'CLASFICACIÓN'!$G$3:$G5618=M1026)"),"LOS 3 AÑOS")</f>
        <v>LOS 3 AÑOS</v>
      </c>
      <c r="K1026" s="16"/>
      <c r="L1026" s="14" t="s">
        <v>92</v>
      </c>
      <c r="M1026" s="16" t="str">
        <f t="shared" si="1"/>
        <v>50492 CORAZON DE JESUS4 Primaria</v>
      </c>
      <c r="N1026" s="17"/>
      <c r="O1026" s="17"/>
      <c r="P1026" s="17"/>
      <c r="Q1026" s="17"/>
      <c r="R1026" s="17"/>
      <c r="S1026" s="17"/>
      <c r="T1026" s="17"/>
    </row>
    <row r="1027">
      <c r="A1027" s="21">
        <v>34.0</v>
      </c>
      <c r="B1027" s="20" t="s">
        <v>90</v>
      </c>
      <c r="C1027" s="20" t="s">
        <v>14</v>
      </c>
      <c r="D1027" s="20" t="s">
        <v>20</v>
      </c>
      <c r="E1027" s="12" t="str">
        <f>IFERROR(__xludf.DUMMYFUNCTION("FILTER(colegios!$B$2:$B5618,colegios!$A$2:$A5618=L1027)"),"50492 CORAZON DE JESUS")</f>
        <v>50492 CORAZON DE JESUS</v>
      </c>
      <c r="F1027" s="14" t="s">
        <v>16</v>
      </c>
      <c r="G1027" s="20" t="s">
        <v>17</v>
      </c>
      <c r="H1027" s="14" t="s">
        <v>18</v>
      </c>
      <c r="I1027" s="22">
        <v>2024.0</v>
      </c>
      <c r="J1027" s="16" t="str">
        <f>IFERROR(__xludf.DUMMYFUNCTION("FILTER('CLASFICACIÓN'!$F$3:$F5618,'CLASFICACIÓN'!$G$3:$G5618=M1027)"),"LOS 3 AÑOS")</f>
        <v>LOS 3 AÑOS</v>
      </c>
      <c r="K1027" s="16"/>
      <c r="L1027" s="14" t="s">
        <v>92</v>
      </c>
      <c r="M1027" s="16" t="str">
        <f t="shared" si="1"/>
        <v>50492 CORAZON DE JESUS4 Primaria</v>
      </c>
      <c r="N1027" s="17"/>
      <c r="O1027" s="17"/>
      <c r="P1027" s="17"/>
      <c r="Q1027" s="17"/>
      <c r="R1027" s="17"/>
      <c r="S1027" s="17"/>
      <c r="T1027" s="17"/>
    </row>
    <row r="1028">
      <c r="A1028" s="21">
        <v>35.0</v>
      </c>
      <c r="B1028" s="20" t="s">
        <v>90</v>
      </c>
      <c r="C1028" s="20" t="s">
        <v>14</v>
      </c>
      <c r="D1028" s="20" t="s">
        <v>20</v>
      </c>
      <c r="E1028" s="12" t="str">
        <f>IFERROR(__xludf.DUMMYFUNCTION("FILTER(colegios!$B$2:$B5618,colegios!$A$2:$A5618=L1028)"),"50492 CORAZON DE JESUS")</f>
        <v>50492 CORAZON DE JESUS</v>
      </c>
      <c r="F1028" s="14" t="s">
        <v>16</v>
      </c>
      <c r="G1028" s="20" t="s">
        <v>21</v>
      </c>
      <c r="H1028" s="14" t="s">
        <v>18</v>
      </c>
      <c r="I1028" s="22">
        <v>2024.0</v>
      </c>
      <c r="J1028" s="16" t="str">
        <f>IFERROR(__xludf.DUMMYFUNCTION("FILTER('CLASFICACIÓN'!$F$3:$F5618,'CLASFICACIÓN'!$G$3:$G5618=M1028)"),"LOS 3 AÑOS")</f>
        <v>LOS 3 AÑOS</v>
      </c>
      <c r="K1028" s="16"/>
      <c r="L1028" s="14" t="s">
        <v>92</v>
      </c>
      <c r="M1028" s="16" t="str">
        <f t="shared" si="1"/>
        <v>50492 CORAZON DE JESUS4 Primaria</v>
      </c>
      <c r="N1028" s="17"/>
      <c r="O1028" s="17"/>
      <c r="P1028" s="17"/>
      <c r="Q1028" s="17"/>
      <c r="R1028" s="17"/>
      <c r="S1028" s="17"/>
      <c r="T1028" s="17"/>
    </row>
    <row r="1029">
      <c r="A1029" s="21">
        <v>37.0</v>
      </c>
      <c r="B1029" s="20" t="s">
        <v>90</v>
      </c>
      <c r="C1029" s="20" t="s">
        <v>14</v>
      </c>
      <c r="D1029" s="20" t="s">
        <v>20</v>
      </c>
      <c r="E1029" s="12" t="str">
        <f>IFERROR(__xludf.DUMMYFUNCTION("FILTER(colegios!$B$2:$B5618,colegios!$A$2:$A5618=L1029)"),"50492 CORAZON DE JESUS")</f>
        <v>50492 CORAZON DE JESUS</v>
      </c>
      <c r="F1029" s="14" t="s">
        <v>16</v>
      </c>
      <c r="G1029" s="20" t="s">
        <v>21</v>
      </c>
      <c r="H1029" s="14" t="s">
        <v>32</v>
      </c>
      <c r="I1029" s="22">
        <v>2024.0</v>
      </c>
      <c r="J1029" s="16" t="str">
        <f>IFERROR(__xludf.DUMMYFUNCTION("FILTER('CLASFICACIÓN'!$F$3:$F5618,'CLASFICACIÓN'!$G$3:$G5618=M1029)"),"LOS 3 AÑOS")</f>
        <v>LOS 3 AÑOS</v>
      </c>
      <c r="K1029" s="16"/>
      <c r="L1029" s="14" t="s">
        <v>92</v>
      </c>
      <c r="M1029" s="16" t="str">
        <f t="shared" si="1"/>
        <v>50492 CORAZON DE JESUS4 Primaria</v>
      </c>
      <c r="N1029" s="17"/>
      <c r="O1029" s="17"/>
      <c r="P1029" s="17"/>
      <c r="Q1029" s="17"/>
      <c r="R1029" s="17"/>
      <c r="S1029" s="17"/>
      <c r="T1029" s="17"/>
    </row>
    <row r="1030">
      <c r="A1030" s="21">
        <v>38.0</v>
      </c>
      <c r="B1030" s="20" t="s">
        <v>90</v>
      </c>
      <c r="C1030" s="20" t="s">
        <v>14</v>
      </c>
      <c r="D1030" s="20" t="s">
        <v>20</v>
      </c>
      <c r="E1030" s="12" t="str">
        <f>IFERROR(__xludf.DUMMYFUNCTION("FILTER(colegios!$B$2:$B5618,colegios!$A$2:$A5618=L1030)"),"50492 CORAZON DE JESUS")</f>
        <v>50492 CORAZON DE JESUS</v>
      </c>
      <c r="F1030" s="14" t="s">
        <v>16</v>
      </c>
      <c r="G1030" s="20" t="s">
        <v>17</v>
      </c>
      <c r="H1030" s="14" t="s">
        <v>18</v>
      </c>
      <c r="I1030" s="22">
        <v>2024.0</v>
      </c>
      <c r="J1030" s="16" t="str">
        <f>IFERROR(__xludf.DUMMYFUNCTION("FILTER('CLASFICACIÓN'!$F$3:$F5618,'CLASFICACIÓN'!$G$3:$G5618=M1030)"),"LOS 3 AÑOS")</f>
        <v>LOS 3 AÑOS</v>
      </c>
      <c r="K1030" s="16"/>
      <c r="L1030" s="14" t="s">
        <v>92</v>
      </c>
      <c r="M1030" s="16" t="str">
        <f t="shared" si="1"/>
        <v>50492 CORAZON DE JESUS4 Primaria</v>
      </c>
      <c r="N1030" s="17"/>
      <c r="O1030" s="17"/>
      <c r="P1030" s="17"/>
      <c r="Q1030" s="17"/>
      <c r="R1030" s="17"/>
      <c r="S1030" s="17"/>
      <c r="T1030" s="17"/>
    </row>
    <row r="1031">
      <c r="A1031" s="21">
        <v>39.0</v>
      </c>
      <c r="B1031" s="20" t="s">
        <v>90</v>
      </c>
      <c r="C1031" s="20" t="s">
        <v>14</v>
      </c>
      <c r="D1031" s="20" t="s">
        <v>20</v>
      </c>
      <c r="E1031" s="12" t="str">
        <f>IFERROR(__xludf.DUMMYFUNCTION("FILTER(colegios!$B$2:$B5618,colegios!$A$2:$A5618=L1031)"),"50492 CORAZON DE JESUS")</f>
        <v>50492 CORAZON DE JESUS</v>
      </c>
      <c r="F1031" s="14" t="s">
        <v>16</v>
      </c>
      <c r="G1031" s="20" t="s">
        <v>21</v>
      </c>
      <c r="H1031" s="14" t="s">
        <v>24</v>
      </c>
      <c r="I1031" s="22">
        <v>2024.0</v>
      </c>
      <c r="J1031" s="16" t="str">
        <f>IFERROR(__xludf.DUMMYFUNCTION("FILTER('CLASFICACIÓN'!$F$3:$F5618,'CLASFICACIÓN'!$G$3:$G5618=M1031)"),"LOS 3 AÑOS")</f>
        <v>LOS 3 AÑOS</v>
      </c>
      <c r="K1031" s="16"/>
      <c r="L1031" s="14" t="s">
        <v>92</v>
      </c>
      <c r="M1031" s="16" t="str">
        <f t="shared" si="1"/>
        <v>50492 CORAZON DE JESUS4 Primaria</v>
      </c>
      <c r="N1031" s="17"/>
      <c r="O1031" s="17"/>
      <c r="P1031" s="17"/>
      <c r="Q1031" s="17"/>
      <c r="R1031" s="17"/>
      <c r="S1031" s="17"/>
      <c r="T1031" s="17"/>
    </row>
    <row r="1032">
      <c r="A1032" s="21">
        <v>40.0</v>
      </c>
      <c r="B1032" s="20" t="s">
        <v>90</v>
      </c>
      <c r="C1032" s="20" t="s">
        <v>14</v>
      </c>
      <c r="D1032" s="20" t="s">
        <v>20</v>
      </c>
      <c r="E1032" s="12" t="str">
        <f>IFERROR(__xludf.DUMMYFUNCTION("FILTER(colegios!$B$2:$B5618,colegios!$A$2:$A5618=L1032)"),"50492 CORAZON DE JESUS")</f>
        <v>50492 CORAZON DE JESUS</v>
      </c>
      <c r="F1032" s="14" t="s">
        <v>16</v>
      </c>
      <c r="G1032" s="20" t="s">
        <v>21</v>
      </c>
      <c r="H1032" s="14" t="s">
        <v>32</v>
      </c>
      <c r="I1032" s="22">
        <v>2024.0</v>
      </c>
      <c r="J1032" s="16" t="str">
        <f>IFERROR(__xludf.DUMMYFUNCTION("FILTER('CLASFICACIÓN'!$F$3:$F5618,'CLASFICACIÓN'!$G$3:$G5618=M1032)"),"LOS 3 AÑOS")</f>
        <v>LOS 3 AÑOS</v>
      </c>
      <c r="K1032" s="16"/>
      <c r="L1032" s="14" t="s">
        <v>92</v>
      </c>
      <c r="M1032" s="16" t="str">
        <f t="shared" si="1"/>
        <v>50492 CORAZON DE JESUS4 Primaria</v>
      </c>
      <c r="N1032" s="17"/>
      <c r="O1032" s="17"/>
      <c r="P1032" s="17"/>
      <c r="Q1032" s="17"/>
      <c r="R1032" s="17"/>
      <c r="S1032" s="17"/>
      <c r="T1032" s="17"/>
    </row>
    <row r="1033">
      <c r="A1033" s="21">
        <v>41.0</v>
      </c>
      <c r="B1033" s="20" t="s">
        <v>90</v>
      </c>
      <c r="C1033" s="20" t="s">
        <v>14</v>
      </c>
      <c r="D1033" s="20" t="s">
        <v>20</v>
      </c>
      <c r="E1033" s="12" t="str">
        <f>IFERROR(__xludf.DUMMYFUNCTION("FILTER(colegios!$B$2:$B5618,colegios!$A$2:$A5618=L1033)"),"50492 CORAZON DE JESUS")</f>
        <v>50492 CORAZON DE JESUS</v>
      </c>
      <c r="F1033" s="14" t="s">
        <v>16</v>
      </c>
      <c r="G1033" s="20" t="s">
        <v>21</v>
      </c>
      <c r="H1033" s="14" t="s">
        <v>24</v>
      </c>
      <c r="I1033" s="22">
        <v>2024.0</v>
      </c>
      <c r="J1033" s="16" t="str">
        <f>IFERROR(__xludf.DUMMYFUNCTION("FILTER('CLASFICACIÓN'!$F$3:$F5618,'CLASFICACIÓN'!$G$3:$G5618=M1033)"),"LOS 3 AÑOS")</f>
        <v>LOS 3 AÑOS</v>
      </c>
      <c r="K1033" s="16"/>
      <c r="L1033" s="14" t="s">
        <v>92</v>
      </c>
      <c r="M1033" s="16" t="str">
        <f t="shared" si="1"/>
        <v>50492 CORAZON DE JESUS4 Primaria</v>
      </c>
      <c r="N1033" s="17"/>
      <c r="O1033" s="17"/>
      <c r="P1033" s="17"/>
      <c r="Q1033" s="17"/>
      <c r="R1033" s="17"/>
      <c r="S1033" s="17"/>
      <c r="T1033" s="17"/>
    </row>
    <row r="1034">
      <c r="A1034" s="21">
        <v>42.0</v>
      </c>
      <c r="B1034" s="20" t="s">
        <v>90</v>
      </c>
      <c r="C1034" s="20" t="s">
        <v>14</v>
      </c>
      <c r="D1034" s="20" t="s">
        <v>20</v>
      </c>
      <c r="E1034" s="12" t="str">
        <f>IFERROR(__xludf.DUMMYFUNCTION("FILTER(colegios!$B$2:$B5618,colegios!$A$2:$A5618=L1034)"),"50492 CORAZON DE JESUS")</f>
        <v>50492 CORAZON DE JESUS</v>
      </c>
      <c r="F1034" s="14" t="s">
        <v>16</v>
      </c>
      <c r="G1034" s="20" t="s">
        <v>17</v>
      </c>
      <c r="H1034" s="14" t="s">
        <v>24</v>
      </c>
      <c r="I1034" s="22">
        <v>2024.0</v>
      </c>
      <c r="J1034" s="16" t="str">
        <f>IFERROR(__xludf.DUMMYFUNCTION("FILTER('CLASFICACIÓN'!$F$3:$F5618,'CLASFICACIÓN'!$G$3:$G5618=M1034)"),"LOS 3 AÑOS")</f>
        <v>LOS 3 AÑOS</v>
      </c>
      <c r="K1034" s="16"/>
      <c r="L1034" s="14" t="s">
        <v>92</v>
      </c>
      <c r="M1034" s="16" t="str">
        <f t="shared" si="1"/>
        <v>50492 CORAZON DE JESUS4 Primaria</v>
      </c>
      <c r="N1034" s="17"/>
      <c r="O1034" s="17"/>
      <c r="P1034" s="17"/>
      <c r="Q1034" s="17"/>
      <c r="R1034" s="17"/>
      <c r="S1034" s="17"/>
      <c r="T1034" s="17"/>
    </row>
    <row r="1035">
      <c r="A1035" s="21">
        <v>43.0</v>
      </c>
      <c r="B1035" s="20" t="s">
        <v>90</v>
      </c>
      <c r="C1035" s="20" t="s">
        <v>14</v>
      </c>
      <c r="D1035" s="20" t="s">
        <v>20</v>
      </c>
      <c r="E1035" s="12" t="str">
        <f>IFERROR(__xludf.DUMMYFUNCTION("FILTER(colegios!$B$2:$B5618,colegios!$A$2:$A5618=L1035)"),"50492 CORAZON DE JESUS")</f>
        <v>50492 CORAZON DE JESUS</v>
      </c>
      <c r="F1035" s="14" t="s">
        <v>16</v>
      </c>
      <c r="G1035" s="20" t="s">
        <v>17</v>
      </c>
      <c r="H1035" s="14" t="s">
        <v>18</v>
      </c>
      <c r="I1035" s="22">
        <v>2024.0</v>
      </c>
      <c r="J1035" s="16" t="str">
        <f>IFERROR(__xludf.DUMMYFUNCTION("FILTER('CLASFICACIÓN'!$F$3:$F5618,'CLASFICACIÓN'!$G$3:$G5618=M1035)"),"LOS 3 AÑOS")</f>
        <v>LOS 3 AÑOS</v>
      </c>
      <c r="K1035" s="16"/>
      <c r="L1035" s="14" t="s">
        <v>92</v>
      </c>
      <c r="M1035" s="16" t="str">
        <f t="shared" si="1"/>
        <v>50492 CORAZON DE JESUS4 Primaria</v>
      </c>
      <c r="N1035" s="17"/>
      <c r="O1035" s="17"/>
      <c r="P1035" s="17"/>
      <c r="Q1035" s="17"/>
      <c r="R1035" s="17"/>
      <c r="S1035" s="17"/>
      <c r="T1035" s="17"/>
    </row>
    <row r="1036">
      <c r="A1036" s="21">
        <v>44.0</v>
      </c>
      <c r="B1036" s="20" t="s">
        <v>90</v>
      </c>
      <c r="C1036" s="20" t="s">
        <v>14</v>
      </c>
      <c r="D1036" s="20" t="s">
        <v>22</v>
      </c>
      <c r="E1036" s="12" t="str">
        <f>IFERROR(__xludf.DUMMYFUNCTION("FILTER(colegios!$B$2:$B5618,colegios!$A$2:$A5618=L1036)"),"50492 CORAZON DE JESUS")</f>
        <v>50492 CORAZON DE JESUS</v>
      </c>
      <c r="F1036" s="14" t="s">
        <v>16</v>
      </c>
      <c r="G1036" s="20" t="s">
        <v>17</v>
      </c>
      <c r="H1036" s="14" t="s">
        <v>32</v>
      </c>
      <c r="I1036" s="22">
        <v>2024.0</v>
      </c>
      <c r="J1036" s="16" t="str">
        <f>IFERROR(__xludf.DUMMYFUNCTION("FILTER('CLASFICACIÓN'!$F$3:$F5618,'CLASFICACIÓN'!$G$3:$G5618=M1036)"),"LOS 3 AÑOS")</f>
        <v>LOS 3 AÑOS</v>
      </c>
      <c r="K1036" s="16"/>
      <c r="L1036" s="14" t="s">
        <v>92</v>
      </c>
      <c r="M1036" s="16" t="str">
        <f t="shared" si="1"/>
        <v>50492 CORAZON DE JESUS6 Primaria</v>
      </c>
      <c r="N1036" s="17"/>
      <c r="O1036" s="17"/>
      <c r="P1036" s="17"/>
      <c r="Q1036" s="17"/>
      <c r="R1036" s="17"/>
      <c r="S1036" s="17"/>
      <c r="T1036" s="17"/>
    </row>
    <row r="1037">
      <c r="A1037" s="21">
        <v>45.0</v>
      </c>
      <c r="B1037" s="20" t="s">
        <v>90</v>
      </c>
      <c r="C1037" s="20" t="s">
        <v>14</v>
      </c>
      <c r="D1037" s="20" t="s">
        <v>22</v>
      </c>
      <c r="E1037" s="12" t="str">
        <f>IFERROR(__xludf.DUMMYFUNCTION("FILTER(colegios!$B$2:$B5618,colegios!$A$2:$A5618=L1037)"),"50492 CORAZON DE JESUS")</f>
        <v>50492 CORAZON DE JESUS</v>
      </c>
      <c r="F1037" s="14" t="s">
        <v>16</v>
      </c>
      <c r="G1037" s="20" t="s">
        <v>17</v>
      </c>
      <c r="H1037" s="14" t="s">
        <v>24</v>
      </c>
      <c r="I1037" s="22">
        <v>2024.0</v>
      </c>
      <c r="J1037" s="16" t="str">
        <f>IFERROR(__xludf.DUMMYFUNCTION("FILTER('CLASFICACIÓN'!$F$3:$F5618,'CLASFICACIÓN'!$G$3:$G5618=M1037)"),"LOS 3 AÑOS")</f>
        <v>LOS 3 AÑOS</v>
      </c>
      <c r="K1037" s="16"/>
      <c r="L1037" s="14" t="s">
        <v>92</v>
      </c>
      <c r="M1037" s="16" t="str">
        <f t="shared" si="1"/>
        <v>50492 CORAZON DE JESUS6 Primaria</v>
      </c>
      <c r="N1037" s="17"/>
      <c r="O1037" s="17"/>
      <c r="P1037" s="17"/>
      <c r="Q1037" s="17"/>
      <c r="R1037" s="17"/>
      <c r="S1037" s="17"/>
      <c r="T1037" s="17"/>
    </row>
    <row r="1038">
      <c r="A1038" s="21">
        <v>46.0</v>
      </c>
      <c r="B1038" s="20" t="s">
        <v>90</v>
      </c>
      <c r="C1038" s="20" t="s">
        <v>14</v>
      </c>
      <c r="D1038" s="20" t="s">
        <v>22</v>
      </c>
      <c r="E1038" s="12" t="str">
        <f>IFERROR(__xludf.DUMMYFUNCTION("FILTER(colegios!$B$2:$B5618,colegios!$A$2:$A5618=L1038)"),"50492 CORAZON DE JESUS")</f>
        <v>50492 CORAZON DE JESUS</v>
      </c>
      <c r="F1038" s="14" t="s">
        <v>16</v>
      </c>
      <c r="G1038" s="20" t="s">
        <v>21</v>
      </c>
      <c r="H1038" s="14" t="s">
        <v>24</v>
      </c>
      <c r="I1038" s="22">
        <v>2024.0</v>
      </c>
      <c r="J1038" s="16" t="str">
        <f>IFERROR(__xludf.DUMMYFUNCTION("FILTER('CLASFICACIÓN'!$F$3:$F5618,'CLASFICACIÓN'!$G$3:$G5618=M1038)"),"LOS 3 AÑOS")</f>
        <v>LOS 3 AÑOS</v>
      </c>
      <c r="K1038" s="16"/>
      <c r="L1038" s="14" t="s">
        <v>92</v>
      </c>
      <c r="M1038" s="16" t="str">
        <f t="shared" si="1"/>
        <v>50492 CORAZON DE JESUS6 Primaria</v>
      </c>
      <c r="N1038" s="17"/>
      <c r="O1038" s="17"/>
      <c r="P1038" s="17"/>
      <c r="Q1038" s="17"/>
      <c r="R1038" s="17"/>
      <c r="S1038" s="17"/>
      <c r="T1038" s="17"/>
    </row>
    <row r="1039">
      <c r="A1039" s="21">
        <v>47.0</v>
      </c>
      <c r="B1039" s="20" t="s">
        <v>90</v>
      </c>
      <c r="C1039" s="20" t="s">
        <v>14</v>
      </c>
      <c r="D1039" s="20" t="s">
        <v>22</v>
      </c>
      <c r="E1039" s="12" t="str">
        <f>IFERROR(__xludf.DUMMYFUNCTION("FILTER(colegios!$B$2:$B5618,colegios!$A$2:$A5618=L1039)"),"50492 CORAZON DE JESUS")</f>
        <v>50492 CORAZON DE JESUS</v>
      </c>
      <c r="F1039" s="14" t="s">
        <v>16</v>
      </c>
      <c r="G1039" s="20" t="s">
        <v>17</v>
      </c>
      <c r="H1039" s="14" t="s">
        <v>24</v>
      </c>
      <c r="I1039" s="22">
        <v>2024.0</v>
      </c>
      <c r="J1039" s="16" t="str">
        <f>IFERROR(__xludf.DUMMYFUNCTION("FILTER('CLASFICACIÓN'!$F$3:$F5618,'CLASFICACIÓN'!$G$3:$G5618=M1039)"),"LOS 3 AÑOS")</f>
        <v>LOS 3 AÑOS</v>
      </c>
      <c r="K1039" s="16"/>
      <c r="L1039" s="14" t="s">
        <v>92</v>
      </c>
      <c r="M1039" s="16" t="str">
        <f t="shared" si="1"/>
        <v>50492 CORAZON DE JESUS6 Primaria</v>
      </c>
      <c r="N1039" s="17"/>
      <c r="O1039" s="17"/>
      <c r="P1039" s="17"/>
      <c r="Q1039" s="17"/>
      <c r="R1039" s="17"/>
      <c r="S1039" s="17"/>
      <c r="T1039" s="17"/>
    </row>
    <row r="1040">
      <c r="A1040" s="21">
        <v>48.0</v>
      </c>
      <c r="B1040" s="20" t="s">
        <v>90</v>
      </c>
      <c r="C1040" s="20" t="s">
        <v>14</v>
      </c>
      <c r="D1040" s="20" t="s">
        <v>22</v>
      </c>
      <c r="E1040" s="12" t="str">
        <f>IFERROR(__xludf.DUMMYFUNCTION("FILTER(colegios!$B$2:$B5618,colegios!$A$2:$A5618=L1040)"),"50492 CORAZON DE JESUS")</f>
        <v>50492 CORAZON DE JESUS</v>
      </c>
      <c r="F1040" s="14" t="s">
        <v>16</v>
      </c>
      <c r="G1040" s="20" t="s">
        <v>21</v>
      </c>
      <c r="H1040" s="14" t="s">
        <v>24</v>
      </c>
      <c r="I1040" s="22">
        <v>2024.0</v>
      </c>
      <c r="J1040" s="16" t="str">
        <f>IFERROR(__xludf.DUMMYFUNCTION("FILTER('CLASFICACIÓN'!$F$3:$F5618,'CLASFICACIÓN'!$G$3:$G5618=M1040)"),"LOS 3 AÑOS")</f>
        <v>LOS 3 AÑOS</v>
      </c>
      <c r="K1040" s="16"/>
      <c r="L1040" s="14" t="s">
        <v>92</v>
      </c>
      <c r="M1040" s="16" t="str">
        <f t="shared" si="1"/>
        <v>50492 CORAZON DE JESUS6 Primaria</v>
      </c>
      <c r="N1040" s="17"/>
      <c r="O1040" s="17"/>
      <c r="P1040" s="17"/>
      <c r="Q1040" s="17"/>
      <c r="R1040" s="17"/>
      <c r="S1040" s="17"/>
      <c r="T1040" s="17"/>
    </row>
    <row r="1041">
      <c r="A1041" s="21">
        <v>49.0</v>
      </c>
      <c r="B1041" s="20" t="s">
        <v>90</v>
      </c>
      <c r="C1041" s="20" t="s">
        <v>14</v>
      </c>
      <c r="D1041" s="20" t="s">
        <v>22</v>
      </c>
      <c r="E1041" s="12" t="str">
        <f>IFERROR(__xludf.DUMMYFUNCTION("FILTER(colegios!$B$2:$B5618,colegios!$A$2:$A5618=L1041)"),"50492 CORAZON DE JESUS")</f>
        <v>50492 CORAZON DE JESUS</v>
      </c>
      <c r="F1041" s="14" t="s">
        <v>16</v>
      </c>
      <c r="G1041" s="20" t="s">
        <v>17</v>
      </c>
      <c r="H1041" s="14" t="s">
        <v>18</v>
      </c>
      <c r="I1041" s="22">
        <v>2024.0</v>
      </c>
      <c r="J1041" s="16" t="str">
        <f>IFERROR(__xludf.DUMMYFUNCTION("FILTER('CLASFICACIÓN'!$F$3:$F5618,'CLASFICACIÓN'!$G$3:$G5618=M1041)"),"LOS 3 AÑOS")</f>
        <v>LOS 3 AÑOS</v>
      </c>
      <c r="K1041" s="16"/>
      <c r="L1041" s="14" t="s">
        <v>92</v>
      </c>
      <c r="M1041" s="16" t="str">
        <f t="shared" si="1"/>
        <v>50492 CORAZON DE JESUS6 Primaria</v>
      </c>
      <c r="N1041" s="17"/>
      <c r="O1041" s="17"/>
      <c r="P1041" s="17"/>
      <c r="Q1041" s="17"/>
      <c r="R1041" s="17"/>
      <c r="S1041" s="17"/>
      <c r="T1041" s="17"/>
    </row>
    <row r="1042">
      <c r="A1042" s="21">
        <v>50.0</v>
      </c>
      <c r="B1042" s="20" t="s">
        <v>90</v>
      </c>
      <c r="C1042" s="20" t="s">
        <v>14</v>
      </c>
      <c r="D1042" s="20" t="s">
        <v>22</v>
      </c>
      <c r="E1042" s="12" t="str">
        <f>IFERROR(__xludf.DUMMYFUNCTION("FILTER(colegios!$B$2:$B5618,colegios!$A$2:$A5618=L1042)"),"50492 CORAZON DE JESUS")</f>
        <v>50492 CORAZON DE JESUS</v>
      </c>
      <c r="F1042" s="14" t="s">
        <v>16</v>
      </c>
      <c r="G1042" s="20" t="s">
        <v>21</v>
      </c>
      <c r="H1042" s="14" t="s">
        <v>32</v>
      </c>
      <c r="I1042" s="22">
        <v>2024.0</v>
      </c>
      <c r="J1042" s="16" t="str">
        <f>IFERROR(__xludf.DUMMYFUNCTION("FILTER('CLASFICACIÓN'!$F$3:$F5618,'CLASFICACIÓN'!$G$3:$G5618=M1042)"),"LOS 3 AÑOS")</f>
        <v>LOS 3 AÑOS</v>
      </c>
      <c r="K1042" s="16"/>
      <c r="L1042" s="14" t="s">
        <v>92</v>
      </c>
      <c r="M1042" s="16" t="str">
        <f t="shared" si="1"/>
        <v>50492 CORAZON DE JESUS6 Primaria</v>
      </c>
      <c r="N1042" s="17"/>
      <c r="O1042" s="17"/>
      <c r="P1042" s="17"/>
      <c r="Q1042" s="17"/>
      <c r="R1042" s="17"/>
      <c r="S1042" s="17"/>
      <c r="T1042" s="17"/>
    </row>
    <row r="1043">
      <c r="A1043" s="21">
        <v>51.0</v>
      </c>
      <c r="B1043" s="20" t="s">
        <v>90</v>
      </c>
      <c r="C1043" s="20" t="s">
        <v>14</v>
      </c>
      <c r="D1043" s="20" t="s">
        <v>22</v>
      </c>
      <c r="E1043" s="12" t="str">
        <f>IFERROR(__xludf.DUMMYFUNCTION("FILTER(colegios!$B$2:$B5618,colegios!$A$2:$A5618=L1043)"),"50492 CORAZON DE JESUS")</f>
        <v>50492 CORAZON DE JESUS</v>
      </c>
      <c r="F1043" s="14" t="s">
        <v>16</v>
      </c>
      <c r="G1043" s="20" t="s">
        <v>21</v>
      </c>
      <c r="H1043" s="14" t="s">
        <v>32</v>
      </c>
      <c r="I1043" s="22">
        <v>2024.0</v>
      </c>
      <c r="J1043" s="16" t="str">
        <f>IFERROR(__xludf.DUMMYFUNCTION("FILTER('CLASFICACIÓN'!$F$3:$F5618,'CLASFICACIÓN'!$G$3:$G5618=M1043)"),"LOS 3 AÑOS")</f>
        <v>LOS 3 AÑOS</v>
      </c>
      <c r="K1043" s="16"/>
      <c r="L1043" s="14" t="s">
        <v>92</v>
      </c>
      <c r="M1043" s="16" t="str">
        <f t="shared" si="1"/>
        <v>50492 CORAZON DE JESUS6 Primaria</v>
      </c>
      <c r="N1043" s="17"/>
      <c r="O1043" s="17"/>
      <c r="P1043" s="17"/>
      <c r="Q1043" s="17"/>
      <c r="R1043" s="17"/>
      <c r="S1043" s="17"/>
      <c r="T1043" s="17"/>
    </row>
    <row r="1044">
      <c r="A1044" s="21">
        <v>52.0</v>
      </c>
      <c r="B1044" s="20" t="s">
        <v>90</v>
      </c>
      <c r="C1044" s="20" t="s">
        <v>14</v>
      </c>
      <c r="D1044" s="20" t="s">
        <v>22</v>
      </c>
      <c r="E1044" s="12" t="str">
        <f>IFERROR(__xludf.DUMMYFUNCTION("FILTER(colegios!$B$2:$B5618,colegios!$A$2:$A5618=L1044)"),"50492 CORAZON DE JESUS")</f>
        <v>50492 CORAZON DE JESUS</v>
      </c>
      <c r="F1044" s="14" t="s">
        <v>16</v>
      </c>
      <c r="G1044" s="20" t="s">
        <v>17</v>
      </c>
      <c r="H1044" s="14" t="s">
        <v>18</v>
      </c>
      <c r="I1044" s="22">
        <v>2024.0</v>
      </c>
      <c r="J1044" s="16" t="str">
        <f>IFERROR(__xludf.DUMMYFUNCTION("FILTER('CLASFICACIÓN'!$F$3:$F5618,'CLASFICACIÓN'!$G$3:$G5618=M1044)"),"LOS 3 AÑOS")</f>
        <v>LOS 3 AÑOS</v>
      </c>
      <c r="K1044" s="16"/>
      <c r="L1044" s="14" t="s">
        <v>92</v>
      </c>
      <c r="M1044" s="16" t="str">
        <f t="shared" si="1"/>
        <v>50492 CORAZON DE JESUS6 Primaria</v>
      </c>
      <c r="N1044" s="17"/>
      <c r="O1044" s="17"/>
      <c r="P1044" s="17"/>
      <c r="Q1044" s="17"/>
      <c r="R1044" s="17"/>
      <c r="S1044" s="17"/>
      <c r="T1044" s="17"/>
    </row>
    <row r="1045">
      <c r="A1045" s="21">
        <v>54.0</v>
      </c>
      <c r="B1045" s="20" t="s">
        <v>90</v>
      </c>
      <c r="C1045" s="20" t="s">
        <v>14</v>
      </c>
      <c r="D1045" s="20" t="s">
        <v>22</v>
      </c>
      <c r="E1045" s="12" t="str">
        <f>IFERROR(__xludf.DUMMYFUNCTION("FILTER(colegios!$B$2:$B5618,colegios!$A$2:$A5618=L1045)"),"50492 CORAZON DE JESUS")</f>
        <v>50492 CORAZON DE JESUS</v>
      </c>
      <c r="F1045" s="14" t="s">
        <v>16</v>
      </c>
      <c r="G1045" s="20" t="s">
        <v>17</v>
      </c>
      <c r="H1045" s="14" t="s">
        <v>18</v>
      </c>
      <c r="I1045" s="22">
        <v>2024.0</v>
      </c>
      <c r="J1045" s="16" t="str">
        <f>IFERROR(__xludf.DUMMYFUNCTION("FILTER('CLASFICACIÓN'!$F$3:$F5618,'CLASFICACIÓN'!$G$3:$G5618=M1045)"),"LOS 3 AÑOS")</f>
        <v>LOS 3 AÑOS</v>
      </c>
      <c r="K1045" s="16"/>
      <c r="L1045" s="14" t="s">
        <v>92</v>
      </c>
      <c r="M1045" s="16" t="str">
        <f t="shared" si="1"/>
        <v>50492 CORAZON DE JESUS6 Primaria</v>
      </c>
      <c r="N1045" s="17"/>
      <c r="O1045" s="17"/>
      <c r="P1045" s="17"/>
      <c r="Q1045" s="17"/>
      <c r="R1045" s="17"/>
      <c r="S1045" s="17"/>
      <c r="T1045" s="17"/>
    </row>
    <row r="1046">
      <c r="A1046" s="21">
        <v>55.0</v>
      </c>
      <c r="B1046" s="20" t="s">
        <v>90</v>
      </c>
      <c r="C1046" s="20" t="s">
        <v>14</v>
      </c>
      <c r="D1046" s="20" t="s">
        <v>22</v>
      </c>
      <c r="E1046" s="12" t="str">
        <f>IFERROR(__xludf.DUMMYFUNCTION("FILTER(colegios!$B$2:$B5618,colegios!$A$2:$A5618=L1046)"),"50492 CORAZON DE JESUS")</f>
        <v>50492 CORAZON DE JESUS</v>
      </c>
      <c r="F1046" s="14" t="s">
        <v>16</v>
      </c>
      <c r="G1046" s="20" t="s">
        <v>21</v>
      </c>
      <c r="H1046" s="14" t="s">
        <v>24</v>
      </c>
      <c r="I1046" s="22">
        <v>2024.0</v>
      </c>
      <c r="J1046" s="16" t="str">
        <f>IFERROR(__xludf.DUMMYFUNCTION("FILTER('CLASFICACIÓN'!$F$3:$F5618,'CLASFICACIÓN'!$G$3:$G5618=M1046)"),"LOS 3 AÑOS")</f>
        <v>LOS 3 AÑOS</v>
      </c>
      <c r="K1046" s="16"/>
      <c r="L1046" s="14" t="s">
        <v>92</v>
      </c>
      <c r="M1046" s="16" t="str">
        <f t="shared" si="1"/>
        <v>50492 CORAZON DE JESUS6 Primaria</v>
      </c>
      <c r="N1046" s="17"/>
      <c r="O1046" s="17"/>
      <c r="P1046" s="17"/>
      <c r="Q1046" s="17"/>
      <c r="R1046" s="17"/>
      <c r="S1046" s="17"/>
      <c r="T1046" s="17"/>
    </row>
    <row r="1047">
      <c r="A1047" s="21">
        <v>56.0</v>
      </c>
      <c r="B1047" s="20" t="s">
        <v>90</v>
      </c>
      <c r="C1047" s="20" t="s">
        <v>14</v>
      </c>
      <c r="D1047" s="20" t="s">
        <v>22</v>
      </c>
      <c r="E1047" s="12" t="str">
        <f>IFERROR(__xludf.DUMMYFUNCTION("FILTER(colegios!$B$2:$B5618,colegios!$A$2:$A5618=L1047)"),"50492 CORAZON DE JESUS")</f>
        <v>50492 CORAZON DE JESUS</v>
      </c>
      <c r="F1047" s="14" t="s">
        <v>16</v>
      </c>
      <c r="G1047" s="20" t="s">
        <v>17</v>
      </c>
      <c r="H1047" s="14" t="s">
        <v>18</v>
      </c>
      <c r="I1047" s="22">
        <v>2024.0</v>
      </c>
      <c r="J1047" s="16" t="str">
        <f>IFERROR(__xludf.DUMMYFUNCTION("FILTER('CLASFICACIÓN'!$F$3:$F5618,'CLASFICACIÓN'!$G$3:$G5618=M1047)"),"LOS 3 AÑOS")</f>
        <v>LOS 3 AÑOS</v>
      </c>
      <c r="K1047" s="16"/>
      <c r="L1047" s="14" t="s">
        <v>92</v>
      </c>
      <c r="M1047" s="16" t="str">
        <f t="shared" si="1"/>
        <v>50492 CORAZON DE JESUS6 Primaria</v>
      </c>
      <c r="N1047" s="17"/>
      <c r="O1047" s="17"/>
      <c r="P1047" s="17"/>
      <c r="Q1047" s="17"/>
      <c r="R1047" s="17"/>
      <c r="S1047" s="17"/>
      <c r="T1047" s="17"/>
    </row>
    <row r="1048">
      <c r="A1048" s="21">
        <v>57.0</v>
      </c>
      <c r="B1048" s="20" t="s">
        <v>90</v>
      </c>
      <c r="C1048" s="20" t="s">
        <v>14</v>
      </c>
      <c r="D1048" s="20" t="s">
        <v>22</v>
      </c>
      <c r="E1048" s="12" t="str">
        <f>IFERROR(__xludf.DUMMYFUNCTION("FILTER(colegios!$B$2:$B5618,colegios!$A$2:$A5618=L1048)"),"50492 CORAZON DE JESUS")</f>
        <v>50492 CORAZON DE JESUS</v>
      </c>
      <c r="F1048" s="14" t="s">
        <v>16</v>
      </c>
      <c r="G1048" s="20" t="s">
        <v>17</v>
      </c>
      <c r="H1048" s="14" t="s">
        <v>24</v>
      </c>
      <c r="I1048" s="22">
        <v>2024.0</v>
      </c>
      <c r="J1048" s="16" t="str">
        <f>IFERROR(__xludf.DUMMYFUNCTION("FILTER('CLASFICACIÓN'!$F$3:$F5618,'CLASFICACIÓN'!$G$3:$G5618=M1048)"),"LOS 3 AÑOS")</f>
        <v>LOS 3 AÑOS</v>
      </c>
      <c r="K1048" s="16"/>
      <c r="L1048" s="14" t="s">
        <v>92</v>
      </c>
      <c r="M1048" s="16" t="str">
        <f t="shared" si="1"/>
        <v>50492 CORAZON DE JESUS6 Primaria</v>
      </c>
      <c r="N1048" s="17"/>
      <c r="O1048" s="17"/>
      <c r="P1048" s="17"/>
      <c r="Q1048" s="17"/>
      <c r="R1048" s="17"/>
      <c r="S1048" s="17"/>
      <c r="T1048" s="17"/>
    </row>
    <row r="1049">
      <c r="A1049" s="21">
        <v>58.0</v>
      </c>
      <c r="B1049" s="20" t="s">
        <v>90</v>
      </c>
      <c r="C1049" s="20" t="s">
        <v>14</v>
      </c>
      <c r="D1049" s="20" t="s">
        <v>22</v>
      </c>
      <c r="E1049" s="12" t="str">
        <f>IFERROR(__xludf.DUMMYFUNCTION("FILTER(colegios!$B$2:$B5618,colegios!$A$2:$A5618=L1049)"),"50492 CORAZON DE JESUS")</f>
        <v>50492 CORAZON DE JESUS</v>
      </c>
      <c r="F1049" s="14" t="s">
        <v>16</v>
      </c>
      <c r="G1049" s="20" t="s">
        <v>21</v>
      </c>
      <c r="H1049" s="14" t="s">
        <v>24</v>
      </c>
      <c r="I1049" s="22">
        <v>2024.0</v>
      </c>
      <c r="J1049" s="16" t="str">
        <f>IFERROR(__xludf.DUMMYFUNCTION("FILTER('CLASFICACIÓN'!$F$3:$F5618,'CLASFICACIÓN'!$G$3:$G5618=M1049)"),"LOS 3 AÑOS")</f>
        <v>LOS 3 AÑOS</v>
      </c>
      <c r="K1049" s="16"/>
      <c r="L1049" s="14" t="s">
        <v>92</v>
      </c>
      <c r="M1049" s="16" t="str">
        <f t="shared" si="1"/>
        <v>50492 CORAZON DE JESUS6 Primaria</v>
      </c>
      <c r="N1049" s="17"/>
      <c r="O1049" s="17"/>
      <c r="P1049" s="17"/>
      <c r="Q1049" s="17"/>
      <c r="R1049" s="17"/>
      <c r="S1049" s="17"/>
      <c r="T1049" s="17"/>
    </row>
    <row r="1050">
      <c r="A1050" s="21">
        <v>59.0</v>
      </c>
      <c r="B1050" s="20" t="s">
        <v>90</v>
      </c>
      <c r="C1050" s="20" t="s">
        <v>14</v>
      </c>
      <c r="D1050" s="20" t="s">
        <v>22</v>
      </c>
      <c r="E1050" s="12" t="str">
        <f>IFERROR(__xludf.DUMMYFUNCTION("FILTER(colegios!$B$2:$B5618,colegios!$A$2:$A5618=L1050)"),"50492 CORAZON DE JESUS")</f>
        <v>50492 CORAZON DE JESUS</v>
      </c>
      <c r="F1050" s="14" t="s">
        <v>16</v>
      </c>
      <c r="G1050" s="20" t="s">
        <v>17</v>
      </c>
      <c r="H1050" s="14" t="s">
        <v>24</v>
      </c>
      <c r="I1050" s="22">
        <v>2024.0</v>
      </c>
      <c r="J1050" s="16" t="str">
        <f>IFERROR(__xludf.DUMMYFUNCTION("FILTER('CLASFICACIÓN'!$F$3:$F5618,'CLASFICACIÓN'!$G$3:$G5618=M1050)"),"LOS 3 AÑOS")</f>
        <v>LOS 3 AÑOS</v>
      </c>
      <c r="K1050" s="16"/>
      <c r="L1050" s="14" t="s">
        <v>92</v>
      </c>
      <c r="M1050" s="16" t="str">
        <f t="shared" si="1"/>
        <v>50492 CORAZON DE JESUS6 Primaria</v>
      </c>
      <c r="N1050" s="17"/>
      <c r="O1050" s="17"/>
      <c r="P1050" s="17"/>
      <c r="Q1050" s="17"/>
      <c r="R1050" s="17"/>
      <c r="S1050" s="17"/>
      <c r="T1050" s="17"/>
    </row>
    <row r="1051">
      <c r="A1051" s="21">
        <v>60.0</v>
      </c>
      <c r="B1051" s="20" t="s">
        <v>90</v>
      </c>
      <c r="C1051" s="20" t="s">
        <v>14</v>
      </c>
      <c r="D1051" s="20" t="s">
        <v>22</v>
      </c>
      <c r="E1051" s="12" t="str">
        <f>IFERROR(__xludf.DUMMYFUNCTION("FILTER(colegios!$B$2:$B5618,colegios!$A$2:$A5618=L1051)"),"50492 CORAZON DE JESUS")</f>
        <v>50492 CORAZON DE JESUS</v>
      </c>
      <c r="F1051" s="14" t="s">
        <v>16</v>
      </c>
      <c r="G1051" s="20" t="s">
        <v>17</v>
      </c>
      <c r="H1051" s="14" t="s">
        <v>24</v>
      </c>
      <c r="I1051" s="22">
        <v>2024.0</v>
      </c>
      <c r="J1051" s="16" t="str">
        <f>IFERROR(__xludf.DUMMYFUNCTION("FILTER('CLASFICACIÓN'!$F$3:$F5618,'CLASFICACIÓN'!$G$3:$G5618=M1051)"),"LOS 3 AÑOS")</f>
        <v>LOS 3 AÑOS</v>
      </c>
      <c r="K1051" s="16"/>
      <c r="L1051" s="14" t="s">
        <v>92</v>
      </c>
      <c r="M1051" s="16" t="str">
        <f t="shared" si="1"/>
        <v>50492 CORAZON DE JESUS6 Primaria</v>
      </c>
      <c r="N1051" s="17"/>
      <c r="O1051" s="17"/>
      <c r="P1051" s="17"/>
      <c r="Q1051" s="17"/>
      <c r="R1051" s="17"/>
      <c r="S1051" s="17"/>
      <c r="T1051" s="17"/>
    </row>
    <row r="1052">
      <c r="A1052" s="21">
        <v>61.0</v>
      </c>
      <c r="B1052" s="20" t="s">
        <v>90</v>
      </c>
      <c r="C1052" s="20" t="s">
        <v>14</v>
      </c>
      <c r="D1052" s="20" t="s">
        <v>22</v>
      </c>
      <c r="E1052" s="12" t="str">
        <f>IFERROR(__xludf.DUMMYFUNCTION("FILTER(colegios!$B$2:$B5618,colegios!$A$2:$A5618=L1052)"),"50492 CORAZON DE JESUS")</f>
        <v>50492 CORAZON DE JESUS</v>
      </c>
      <c r="F1052" s="14" t="s">
        <v>16</v>
      </c>
      <c r="G1052" s="20" t="s">
        <v>21</v>
      </c>
      <c r="H1052" s="14" t="s">
        <v>32</v>
      </c>
      <c r="I1052" s="22">
        <v>2024.0</v>
      </c>
      <c r="J1052" s="16" t="str">
        <f>IFERROR(__xludf.DUMMYFUNCTION("FILTER('CLASFICACIÓN'!$F$3:$F5618,'CLASFICACIÓN'!$G$3:$G5618=M1052)"),"LOS 3 AÑOS")</f>
        <v>LOS 3 AÑOS</v>
      </c>
      <c r="K1052" s="16"/>
      <c r="L1052" s="14" t="s">
        <v>92</v>
      </c>
      <c r="M1052" s="16" t="str">
        <f t="shared" si="1"/>
        <v>50492 CORAZON DE JESUS6 Primaria</v>
      </c>
      <c r="N1052" s="17"/>
      <c r="O1052" s="17"/>
      <c r="P1052" s="17"/>
      <c r="Q1052" s="17"/>
      <c r="R1052" s="17"/>
      <c r="S1052" s="17"/>
      <c r="T1052" s="17"/>
    </row>
    <row r="1053">
      <c r="A1053" s="21">
        <v>62.0</v>
      </c>
      <c r="B1053" s="20" t="s">
        <v>90</v>
      </c>
      <c r="C1053" s="20" t="s">
        <v>14</v>
      </c>
      <c r="D1053" s="20" t="s">
        <v>22</v>
      </c>
      <c r="E1053" s="12" t="str">
        <f>IFERROR(__xludf.DUMMYFUNCTION("FILTER(colegios!$B$2:$B5618,colegios!$A$2:$A5618=L1053)"),"50492 CORAZON DE JESUS")</f>
        <v>50492 CORAZON DE JESUS</v>
      </c>
      <c r="F1053" s="14" t="s">
        <v>16</v>
      </c>
      <c r="G1053" s="20" t="s">
        <v>17</v>
      </c>
      <c r="H1053" s="14" t="s">
        <v>32</v>
      </c>
      <c r="I1053" s="22">
        <v>2024.0</v>
      </c>
      <c r="J1053" s="16" t="str">
        <f>IFERROR(__xludf.DUMMYFUNCTION("FILTER('CLASFICACIÓN'!$F$3:$F5618,'CLASFICACIÓN'!$G$3:$G5618=M1053)"),"LOS 3 AÑOS")</f>
        <v>LOS 3 AÑOS</v>
      </c>
      <c r="K1053" s="16"/>
      <c r="L1053" s="14" t="s">
        <v>92</v>
      </c>
      <c r="M1053" s="16" t="str">
        <f t="shared" si="1"/>
        <v>50492 CORAZON DE JESUS6 Primaria</v>
      </c>
      <c r="N1053" s="17"/>
      <c r="O1053" s="17"/>
      <c r="P1053" s="17"/>
      <c r="Q1053" s="17"/>
      <c r="R1053" s="17"/>
      <c r="S1053" s="17"/>
      <c r="T1053" s="17"/>
    </row>
    <row r="1054">
      <c r="A1054" s="21">
        <v>63.0</v>
      </c>
      <c r="B1054" s="20" t="s">
        <v>90</v>
      </c>
      <c r="C1054" s="20" t="s">
        <v>14</v>
      </c>
      <c r="D1054" s="20" t="s">
        <v>22</v>
      </c>
      <c r="E1054" s="12" t="str">
        <f>IFERROR(__xludf.DUMMYFUNCTION("FILTER(colegios!$B$2:$B5618,colegios!$A$2:$A5618=L1054)"),"50492 CORAZON DE JESUS")</f>
        <v>50492 CORAZON DE JESUS</v>
      </c>
      <c r="F1054" s="14" t="s">
        <v>16</v>
      </c>
      <c r="G1054" s="20" t="s">
        <v>17</v>
      </c>
      <c r="H1054" s="14" t="s">
        <v>32</v>
      </c>
      <c r="I1054" s="22">
        <v>2024.0</v>
      </c>
      <c r="J1054" s="16" t="str">
        <f>IFERROR(__xludf.DUMMYFUNCTION("FILTER('CLASFICACIÓN'!$F$3:$F5618,'CLASFICACIÓN'!$G$3:$G5618=M1054)"),"LOS 3 AÑOS")</f>
        <v>LOS 3 AÑOS</v>
      </c>
      <c r="K1054" s="16"/>
      <c r="L1054" s="14" t="s">
        <v>92</v>
      </c>
      <c r="M1054" s="16" t="str">
        <f t="shared" si="1"/>
        <v>50492 CORAZON DE JESUS6 Primaria</v>
      </c>
      <c r="N1054" s="17"/>
      <c r="O1054" s="17"/>
      <c r="P1054" s="17"/>
      <c r="Q1054" s="17"/>
      <c r="R1054" s="17"/>
      <c r="S1054" s="17"/>
      <c r="T1054" s="17"/>
    </row>
    <row r="1055">
      <c r="A1055" s="21">
        <v>64.0</v>
      </c>
      <c r="B1055" s="20" t="s">
        <v>90</v>
      </c>
      <c r="C1055" s="20" t="s">
        <v>14</v>
      </c>
      <c r="D1055" s="20" t="s">
        <v>22</v>
      </c>
      <c r="E1055" s="12" t="str">
        <f>IFERROR(__xludf.DUMMYFUNCTION("FILTER(colegios!$B$2:$B5618,colegios!$A$2:$A5618=L1055)"),"50492 CORAZON DE JESUS")</f>
        <v>50492 CORAZON DE JESUS</v>
      </c>
      <c r="F1055" s="14" t="s">
        <v>16</v>
      </c>
      <c r="G1055" s="20" t="s">
        <v>21</v>
      </c>
      <c r="H1055" s="14" t="s">
        <v>24</v>
      </c>
      <c r="I1055" s="22">
        <v>2024.0</v>
      </c>
      <c r="J1055" s="16" t="str">
        <f>IFERROR(__xludf.DUMMYFUNCTION("FILTER('CLASFICACIÓN'!$F$3:$F5618,'CLASFICACIÓN'!$G$3:$G5618=M1055)"),"LOS 3 AÑOS")</f>
        <v>LOS 3 AÑOS</v>
      </c>
      <c r="K1055" s="16"/>
      <c r="L1055" s="14" t="s">
        <v>92</v>
      </c>
      <c r="M1055" s="16" t="str">
        <f t="shared" si="1"/>
        <v>50492 CORAZON DE JESUS6 Primaria</v>
      </c>
      <c r="N1055" s="17"/>
      <c r="O1055" s="17"/>
      <c r="P1055" s="17"/>
      <c r="Q1055" s="17"/>
      <c r="R1055" s="17"/>
      <c r="S1055" s="17"/>
      <c r="T1055" s="17"/>
    </row>
    <row r="1056">
      <c r="A1056" s="21">
        <v>65.0</v>
      </c>
      <c r="B1056" s="20" t="s">
        <v>90</v>
      </c>
      <c r="C1056" s="20" t="s">
        <v>14</v>
      </c>
      <c r="D1056" s="20" t="s">
        <v>22</v>
      </c>
      <c r="E1056" s="12" t="str">
        <f>IFERROR(__xludf.DUMMYFUNCTION("FILTER(colegios!$B$2:$B5618,colegios!$A$2:$A5618=L1056)"),"50492 CORAZON DE JESUS")</f>
        <v>50492 CORAZON DE JESUS</v>
      </c>
      <c r="F1056" s="14" t="s">
        <v>16</v>
      </c>
      <c r="G1056" s="20" t="s">
        <v>17</v>
      </c>
      <c r="H1056" s="14" t="s">
        <v>32</v>
      </c>
      <c r="I1056" s="22">
        <v>2024.0</v>
      </c>
      <c r="J1056" s="16" t="str">
        <f>IFERROR(__xludf.DUMMYFUNCTION("FILTER('CLASFICACIÓN'!$F$3:$F5618,'CLASFICACIÓN'!$G$3:$G5618=M1056)"),"LOS 3 AÑOS")</f>
        <v>LOS 3 AÑOS</v>
      </c>
      <c r="K1056" s="16"/>
      <c r="L1056" s="14" t="s">
        <v>92</v>
      </c>
      <c r="M1056" s="16" t="str">
        <f t="shared" si="1"/>
        <v>50492 CORAZON DE JESUS6 Primaria</v>
      </c>
      <c r="N1056" s="17"/>
      <c r="O1056" s="17"/>
      <c r="P1056" s="17"/>
      <c r="Q1056" s="17"/>
      <c r="R1056" s="17"/>
      <c r="S1056" s="17"/>
      <c r="T1056" s="17"/>
    </row>
    <row r="1057">
      <c r="A1057" s="21">
        <v>66.0</v>
      </c>
      <c r="B1057" s="20" t="s">
        <v>90</v>
      </c>
      <c r="C1057" s="20" t="s">
        <v>14</v>
      </c>
      <c r="D1057" s="20" t="s">
        <v>15</v>
      </c>
      <c r="E1057" s="12" t="str">
        <f>IFERROR(__xludf.DUMMYFUNCTION("FILTER(colegios!$B$2:$B5618,colegios!$A$2:$A5618=L1057)"),"50495")</f>
        <v>50495</v>
      </c>
      <c r="F1057" s="14" t="s">
        <v>16</v>
      </c>
      <c r="G1057" s="20" t="s">
        <v>21</v>
      </c>
      <c r="H1057" s="14" t="s">
        <v>18</v>
      </c>
      <c r="I1057" s="22">
        <v>2024.0</v>
      </c>
      <c r="J1057" s="16" t="str">
        <f>IFERROR(__xludf.DUMMYFUNCTION("FILTER('CLASFICACIÓN'!$F$3:$F5618,'CLASFICACIÓN'!$G$3:$G5618=M1057)"),"LOS 3 AÑOS")</f>
        <v>LOS 3 AÑOS</v>
      </c>
      <c r="K1057" s="16"/>
      <c r="L1057" s="14" t="s">
        <v>93</v>
      </c>
      <c r="M1057" s="16" t="str">
        <f t="shared" si="1"/>
        <v>504952 Primaria</v>
      </c>
      <c r="N1057" s="17"/>
      <c r="O1057" s="17"/>
      <c r="P1057" s="17"/>
      <c r="Q1057" s="17"/>
      <c r="R1057" s="17"/>
      <c r="S1057" s="17"/>
      <c r="T1057" s="17"/>
    </row>
    <row r="1058">
      <c r="A1058" s="21">
        <v>67.0</v>
      </c>
      <c r="B1058" s="20" t="s">
        <v>90</v>
      </c>
      <c r="C1058" s="20" t="s">
        <v>14</v>
      </c>
      <c r="D1058" s="20" t="s">
        <v>20</v>
      </c>
      <c r="E1058" s="12" t="str">
        <f>IFERROR(__xludf.DUMMYFUNCTION("FILTER(colegios!$B$2:$B5618,colegios!$A$2:$A5618=L1058)"),"50495")</f>
        <v>50495</v>
      </c>
      <c r="F1058" s="14" t="s">
        <v>16</v>
      </c>
      <c r="G1058" s="20" t="s">
        <v>21</v>
      </c>
      <c r="H1058" s="14" t="s">
        <v>18</v>
      </c>
      <c r="I1058" s="22">
        <v>2024.0</v>
      </c>
      <c r="J1058" s="16" t="str">
        <f>IFERROR(__xludf.DUMMYFUNCTION("FILTER('CLASFICACIÓN'!$F$3:$F5618,'CLASFICACIÓN'!$G$3:$G5618=M1058)"),"LOS 3 AÑOS")</f>
        <v>LOS 3 AÑOS</v>
      </c>
      <c r="K1058" s="16"/>
      <c r="L1058" s="14" t="s">
        <v>93</v>
      </c>
      <c r="M1058" s="16" t="str">
        <f t="shared" si="1"/>
        <v>504954 Primaria</v>
      </c>
      <c r="N1058" s="17"/>
      <c r="O1058" s="17"/>
      <c r="P1058" s="17"/>
      <c r="Q1058" s="17"/>
      <c r="R1058" s="17"/>
      <c r="S1058" s="17"/>
      <c r="T1058" s="17"/>
    </row>
    <row r="1059">
      <c r="A1059" s="21">
        <v>68.0</v>
      </c>
      <c r="B1059" s="20" t="s">
        <v>90</v>
      </c>
      <c r="C1059" s="20" t="s">
        <v>14</v>
      </c>
      <c r="D1059" s="20" t="s">
        <v>20</v>
      </c>
      <c r="E1059" s="12" t="str">
        <f>IFERROR(__xludf.DUMMYFUNCTION("FILTER(colegios!$B$2:$B5618,colegios!$A$2:$A5618=L1059)"),"50495")</f>
        <v>50495</v>
      </c>
      <c r="F1059" s="14" t="s">
        <v>16</v>
      </c>
      <c r="G1059" s="20" t="s">
        <v>21</v>
      </c>
      <c r="H1059" s="14" t="s">
        <v>18</v>
      </c>
      <c r="I1059" s="22">
        <v>2024.0</v>
      </c>
      <c r="J1059" s="16" t="str">
        <f>IFERROR(__xludf.DUMMYFUNCTION("FILTER('CLASFICACIÓN'!$F$3:$F5618,'CLASFICACIÓN'!$G$3:$G5618=M1059)"),"LOS 3 AÑOS")</f>
        <v>LOS 3 AÑOS</v>
      </c>
      <c r="K1059" s="16"/>
      <c r="L1059" s="14" t="s">
        <v>93</v>
      </c>
      <c r="M1059" s="16" t="str">
        <f t="shared" si="1"/>
        <v>504954 Primaria</v>
      </c>
      <c r="N1059" s="17"/>
      <c r="O1059" s="17"/>
      <c r="P1059" s="17"/>
      <c r="Q1059" s="17"/>
      <c r="R1059" s="17"/>
      <c r="S1059" s="17"/>
      <c r="T1059" s="17"/>
    </row>
    <row r="1060">
      <c r="A1060" s="21">
        <v>69.0</v>
      </c>
      <c r="B1060" s="20" t="s">
        <v>90</v>
      </c>
      <c r="C1060" s="20" t="s">
        <v>14</v>
      </c>
      <c r="D1060" s="20" t="s">
        <v>20</v>
      </c>
      <c r="E1060" s="12" t="str">
        <f>IFERROR(__xludf.DUMMYFUNCTION("FILTER(colegios!$B$2:$B5618,colegios!$A$2:$A5618=L1060)"),"50495")</f>
        <v>50495</v>
      </c>
      <c r="F1060" s="14" t="s">
        <v>16</v>
      </c>
      <c r="G1060" s="20" t="s">
        <v>17</v>
      </c>
      <c r="H1060" s="14" t="s">
        <v>18</v>
      </c>
      <c r="I1060" s="22">
        <v>2024.0</v>
      </c>
      <c r="J1060" s="16" t="str">
        <f>IFERROR(__xludf.DUMMYFUNCTION("FILTER('CLASFICACIÓN'!$F$3:$F5618,'CLASFICACIÓN'!$G$3:$G5618=M1060)"),"LOS 3 AÑOS")</f>
        <v>LOS 3 AÑOS</v>
      </c>
      <c r="K1060" s="16"/>
      <c r="L1060" s="14" t="s">
        <v>93</v>
      </c>
      <c r="M1060" s="16" t="str">
        <f t="shared" si="1"/>
        <v>504954 Primaria</v>
      </c>
      <c r="N1060" s="17"/>
      <c r="O1060" s="17"/>
      <c r="P1060" s="17"/>
      <c r="Q1060" s="17"/>
      <c r="R1060" s="17"/>
      <c r="S1060" s="17"/>
      <c r="T1060" s="17"/>
    </row>
    <row r="1061">
      <c r="A1061" s="21">
        <v>70.0</v>
      </c>
      <c r="B1061" s="20" t="s">
        <v>90</v>
      </c>
      <c r="C1061" s="20" t="s">
        <v>14</v>
      </c>
      <c r="D1061" s="20" t="s">
        <v>22</v>
      </c>
      <c r="E1061" s="12" t="str">
        <f>IFERROR(__xludf.DUMMYFUNCTION("FILTER(colegios!$B$2:$B5618,colegios!$A$2:$A5618=L1061)"),"50495")</f>
        <v>50495</v>
      </c>
      <c r="F1061" s="14" t="s">
        <v>16</v>
      </c>
      <c r="G1061" s="20" t="s">
        <v>21</v>
      </c>
      <c r="H1061" s="14" t="s">
        <v>32</v>
      </c>
      <c r="I1061" s="22">
        <v>2024.0</v>
      </c>
      <c r="J1061" s="16" t="str">
        <f>IFERROR(__xludf.DUMMYFUNCTION("FILTER('CLASFICACIÓN'!$F$3:$F5618,'CLASFICACIÓN'!$G$3:$G5618=M1061)"),"LOS 3 AÑOS")</f>
        <v>LOS 3 AÑOS</v>
      </c>
      <c r="K1061" s="16"/>
      <c r="L1061" s="14" t="s">
        <v>93</v>
      </c>
      <c r="M1061" s="16" t="str">
        <f t="shared" si="1"/>
        <v>504956 Primaria</v>
      </c>
      <c r="N1061" s="17"/>
      <c r="O1061" s="17"/>
      <c r="P1061" s="17"/>
      <c r="Q1061" s="17"/>
      <c r="R1061" s="17"/>
      <c r="S1061" s="17"/>
      <c r="T1061" s="17"/>
    </row>
    <row r="1062">
      <c r="A1062" s="21">
        <v>71.0</v>
      </c>
      <c r="B1062" s="20" t="s">
        <v>90</v>
      </c>
      <c r="C1062" s="20" t="s">
        <v>14</v>
      </c>
      <c r="D1062" s="20" t="s">
        <v>22</v>
      </c>
      <c r="E1062" s="12" t="str">
        <f>IFERROR(__xludf.DUMMYFUNCTION("FILTER(colegios!$B$2:$B5618,colegios!$A$2:$A5618=L1062)"),"50495")</f>
        <v>50495</v>
      </c>
      <c r="F1062" s="14" t="s">
        <v>16</v>
      </c>
      <c r="G1062" s="20" t="s">
        <v>17</v>
      </c>
      <c r="H1062" s="14" t="s">
        <v>24</v>
      </c>
      <c r="I1062" s="22">
        <v>2024.0</v>
      </c>
      <c r="J1062" s="16" t="str">
        <f>IFERROR(__xludf.DUMMYFUNCTION("FILTER('CLASFICACIÓN'!$F$3:$F5618,'CLASFICACIÓN'!$G$3:$G5618=M1062)"),"LOS 3 AÑOS")</f>
        <v>LOS 3 AÑOS</v>
      </c>
      <c r="K1062" s="16"/>
      <c r="L1062" s="14" t="s">
        <v>93</v>
      </c>
      <c r="M1062" s="16" t="str">
        <f t="shared" si="1"/>
        <v>504956 Primaria</v>
      </c>
      <c r="N1062" s="17"/>
      <c r="O1062" s="17"/>
      <c r="P1062" s="17"/>
      <c r="Q1062" s="17"/>
      <c r="R1062" s="17"/>
      <c r="S1062" s="17"/>
      <c r="T1062" s="17"/>
    </row>
    <row r="1063">
      <c r="A1063" s="21">
        <v>72.0</v>
      </c>
      <c r="B1063" s="20" t="s">
        <v>90</v>
      </c>
      <c r="C1063" s="20" t="s">
        <v>14</v>
      </c>
      <c r="D1063" s="20" t="s">
        <v>22</v>
      </c>
      <c r="E1063" s="12" t="str">
        <f>IFERROR(__xludf.DUMMYFUNCTION("FILTER(colegios!$B$2:$B5618,colegios!$A$2:$A5618=L1063)"),"50495")</f>
        <v>50495</v>
      </c>
      <c r="F1063" s="14" t="s">
        <v>16</v>
      </c>
      <c r="G1063" s="20" t="s">
        <v>17</v>
      </c>
      <c r="H1063" s="14" t="s">
        <v>24</v>
      </c>
      <c r="I1063" s="22">
        <v>2024.0</v>
      </c>
      <c r="J1063" s="16" t="str">
        <f>IFERROR(__xludf.DUMMYFUNCTION("FILTER('CLASFICACIÓN'!$F$3:$F5618,'CLASFICACIÓN'!$G$3:$G5618=M1063)"),"LOS 3 AÑOS")</f>
        <v>LOS 3 AÑOS</v>
      </c>
      <c r="K1063" s="16"/>
      <c r="L1063" s="14" t="s">
        <v>93</v>
      </c>
      <c r="M1063" s="16" t="str">
        <f t="shared" si="1"/>
        <v>504956 Primaria</v>
      </c>
      <c r="N1063" s="17"/>
      <c r="O1063" s="17"/>
      <c r="P1063" s="17"/>
      <c r="Q1063" s="17"/>
      <c r="R1063" s="17"/>
      <c r="S1063" s="17"/>
      <c r="T1063" s="17"/>
    </row>
    <row r="1064">
      <c r="A1064" s="21">
        <v>73.0</v>
      </c>
      <c r="B1064" s="20" t="s">
        <v>90</v>
      </c>
      <c r="C1064" s="20" t="s">
        <v>14</v>
      </c>
      <c r="D1064" s="20" t="s">
        <v>15</v>
      </c>
      <c r="E1064" s="12" t="str">
        <f>IFERROR(__xludf.DUMMYFUNCTION("FILTER(colegios!$B$2:$B5618,colegios!$A$2:$A5618=L1064)"),"50547")</f>
        <v>50547</v>
      </c>
      <c r="F1064" s="14" t="s">
        <v>16</v>
      </c>
      <c r="G1064" s="20" t="s">
        <v>17</v>
      </c>
      <c r="H1064" s="14" t="s">
        <v>18</v>
      </c>
      <c r="I1064" s="22">
        <v>2024.0</v>
      </c>
      <c r="J1064" s="16" t="str">
        <f>IFERROR(__xludf.DUMMYFUNCTION("FILTER('CLASFICACIÓN'!$F$3:$F5618,'CLASFICACIÓN'!$G$3:$G5618=M1064)"),"LOS 3 AÑOS")</f>
        <v>LOS 3 AÑOS</v>
      </c>
      <c r="K1064" s="16"/>
      <c r="L1064" s="14" t="s">
        <v>94</v>
      </c>
      <c r="M1064" s="16" t="str">
        <f t="shared" si="1"/>
        <v>505472 Primaria</v>
      </c>
      <c r="N1064" s="17"/>
      <c r="O1064" s="17"/>
      <c r="P1064" s="17"/>
      <c r="Q1064" s="17"/>
      <c r="R1064" s="17"/>
      <c r="S1064" s="17"/>
      <c r="T1064" s="17"/>
    </row>
    <row r="1065">
      <c r="A1065" s="21">
        <v>74.0</v>
      </c>
      <c r="B1065" s="20" t="s">
        <v>90</v>
      </c>
      <c r="C1065" s="20" t="s">
        <v>14</v>
      </c>
      <c r="D1065" s="20" t="s">
        <v>15</v>
      </c>
      <c r="E1065" s="12" t="str">
        <f>IFERROR(__xludf.DUMMYFUNCTION("FILTER(colegios!$B$2:$B5618,colegios!$A$2:$A5618=L1065)"),"50547")</f>
        <v>50547</v>
      </c>
      <c r="F1065" s="14" t="s">
        <v>16</v>
      </c>
      <c r="G1065" s="20" t="s">
        <v>17</v>
      </c>
      <c r="H1065" s="14" t="s">
        <v>24</v>
      </c>
      <c r="I1065" s="22">
        <v>2024.0</v>
      </c>
      <c r="J1065" s="16" t="str">
        <f>IFERROR(__xludf.DUMMYFUNCTION("FILTER('CLASFICACIÓN'!$F$3:$F5618,'CLASFICACIÓN'!$G$3:$G5618=M1065)"),"LOS 3 AÑOS")</f>
        <v>LOS 3 AÑOS</v>
      </c>
      <c r="K1065" s="16"/>
      <c r="L1065" s="14" t="s">
        <v>94</v>
      </c>
      <c r="M1065" s="16" t="str">
        <f t="shared" si="1"/>
        <v>505472 Primaria</v>
      </c>
      <c r="N1065" s="17"/>
      <c r="O1065" s="17"/>
      <c r="P1065" s="17"/>
      <c r="Q1065" s="17"/>
      <c r="R1065" s="17"/>
      <c r="S1065" s="17"/>
      <c r="T1065" s="17"/>
    </row>
    <row r="1066">
      <c r="A1066" s="21">
        <v>75.0</v>
      </c>
      <c r="B1066" s="20" t="s">
        <v>90</v>
      </c>
      <c r="C1066" s="20" t="s">
        <v>14</v>
      </c>
      <c r="D1066" s="20" t="s">
        <v>15</v>
      </c>
      <c r="E1066" s="12" t="str">
        <f>IFERROR(__xludf.DUMMYFUNCTION("FILTER(colegios!$B$2:$B5618,colegios!$A$2:$A5618=L1066)"),"50547")</f>
        <v>50547</v>
      </c>
      <c r="F1066" s="14" t="s">
        <v>16</v>
      </c>
      <c r="G1066" s="20" t="s">
        <v>21</v>
      </c>
      <c r="H1066" s="14" t="s">
        <v>18</v>
      </c>
      <c r="I1066" s="22">
        <v>2024.0</v>
      </c>
      <c r="J1066" s="16" t="str">
        <f>IFERROR(__xludf.DUMMYFUNCTION("FILTER('CLASFICACIÓN'!$F$3:$F5618,'CLASFICACIÓN'!$G$3:$G5618=M1066)"),"LOS 3 AÑOS")</f>
        <v>LOS 3 AÑOS</v>
      </c>
      <c r="K1066" s="16"/>
      <c r="L1066" s="14" t="s">
        <v>94</v>
      </c>
      <c r="M1066" s="16" t="str">
        <f t="shared" si="1"/>
        <v>505472 Primaria</v>
      </c>
      <c r="N1066" s="17"/>
      <c r="O1066" s="17"/>
      <c r="P1066" s="17"/>
      <c r="Q1066" s="17"/>
      <c r="R1066" s="17"/>
      <c r="S1066" s="17"/>
      <c r="T1066" s="17"/>
    </row>
    <row r="1067">
      <c r="A1067" s="21">
        <v>76.0</v>
      </c>
      <c r="B1067" s="20" t="s">
        <v>90</v>
      </c>
      <c r="C1067" s="20" t="s">
        <v>14</v>
      </c>
      <c r="D1067" s="20" t="s">
        <v>20</v>
      </c>
      <c r="E1067" s="12" t="str">
        <f>IFERROR(__xludf.DUMMYFUNCTION("FILTER(colegios!$B$2:$B5618,colegios!$A$2:$A5618=L1067)"),"50547")</f>
        <v>50547</v>
      </c>
      <c r="F1067" s="14" t="s">
        <v>16</v>
      </c>
      <c r="G1067" s="20" t="s">
        <v>17</v>
      </c>
      <c r="H1067" s="14" t="s">
        <v>24</v>
      </c>
      <c r="I1067" s="22">
        <v>2024.0</v>
      </c>
      <c r="J1067" s="16" t="str">
        <f>IFERROR(__xludf.DUMMYFUNCTION("FILTER('CLASFICACIÓN'!$F$3:$F5618,'CLASFICACIÓN'!$G$3:$G5618=M1067)"),"LOS 3 AÑOS")</f>
        <v>LOS 3 AÑOS</v>
      </c>
      <c r="K1067" s="16"/>
      <c r="L1067" s="14" t="s">
        <v>94</v>
      </c>
      <c r="M1067" s="16" t="str">
        <f t="shared" si="1"/>
        <v>505474 Primaria</v>
      </c>
      <c r="N1067" s="17"/>
      <c r="O1067" s="17"/>
      <c r="P1067" s="17"/>
      <c r="Q1067" s="17"/>
      <c r="R1067" s="17"/>
      <c r="S1067" s="17"/>
      <c r="T1067" s="17"/>
    </row>
    <row r="1068">
      <c r="A1068" s="21">
        <v>77.0</v>
      </c>
      <c r="B1068" s="20" t="s">
        <v>90</v>
      </c>
      <c r="C1068" s="20" t="s">
        <v>14</v>
      </c>
      <c r="D1068" s="20" t="s">
        <v>20</v>
      </c>
      <c r="E1068" s="12" t="str">
        <f>IFERROR(__xludf.DUMMYFUNCTION("FILTER(colegios!$B$2:$B5618,colegios!$A$2:$A5618=L1068)"),"50547")</f>
        <v>50547</v>
      </c>
      <c r="F1068" s="14" t="s">
        <v>16</v>
      </c>
      <c r="G1068" s="20" t="s">
        <v>17</v>
      </c>
      <c r="H1068" s="14" t="s">
        <v>24</v>
      </c>
      <c r="I1068" s="22">
        <v>2024.0</v>
      </c>
      <c r="J1068" s="16" t="str">
        <f>IFERROR(__xludf.DUMMYFUNCTION("FILTER('CLASFICACIÓN'!$F$3:$F5618,'CLASFICACIÓN'!$G$3:$G5618=M1068)"),"LOS 3 AÑOS")</f>
        <v>LOS 3 AÑOS</v>
      </c>
      <c r="K1068" s="16"/>
      <c r="L1068" s="14" t="s">
        <v>94</v>
      </c>
      <c r="M1068" s="16" t="str">
        <f t="shared" si="1"/>
        <v>505474 Primaria</v>
      </c>
      <c r="N1068" s="17"/>
      <c r="O1068" s="17"/>
      <c r="P1068" s="17"/>
      <c r="Q1068" s="17"/>
      <c r="R1068" s="17"/>
      <c r="S1068" s="17"/>
      <c r="T1068" s="17"/>
    </row>
    <row r="1069">
      <c r="A1069" s="21">
        <v>78.0</v>
      </c>
      <c r="B1069" s="20" t="s">
        <v>90</v>
      </c>
      <c r="C1069" s="20" t="s">
        <v>14</v>
      </c>
      <c r="D1069" s="20" t="s">
        <v>20</v>
      </c>
      <c r="E1069" s="12" t="str">
        <f>IFERROR(__xludf.DUMMYFUNCTION("FILTER(colegios!$B$2:$B5618,colegios!$A$2:$A5618=L1069)"),"50547")</f>
        <v>50547</v>
      </c>
      <c r="F1069" s="14" t="s">
        <v>16</v>
      </c>
      <c r="G1069" s="20" t="s">
        <v>21</v>
      </c>
      <c r="H1069" s="14" t="s">
        <v>18</v>
      </c>
      <c r="I1069" s="22">
        <v>2024.0</v>
      </c>
      <c r="J1069" s="16" t="str">
        <f>IFERROR(__xludf.DUMMYFUNCTION("FILTER('CLASFICACIÓN'!$F$3:$F5618,'CLASFICACIÓN'!$G$3:$G5618=M1069)"),"LOS 3 AÑOS")</f>
        <v>LOS 3 AÑOS</v>
      </c>
      <c r="K1069" s="16"/>
      <c r="L1069" s="14" t="s">
        <v>94</v>
      </c>
      <c r="M1069" s="16" t="str">
        <f t="shared" si="1"/>
        <v>505474 Primaria</v>
      </c>
      <c r="N1069" s="17"/>
      <c r="O1069" s="17"/>
      <c r="P1069" s="17"/>
      <c r="Q1069" s="17"/>
      <c r="R1069" s="17"/>
      <c r="S1069" s="17"/>
      <c r="T1069" s="17"/>
    </row>
    <row r="1070">
      <c r="A1070" s="21">
        <v>79.0</v>
      </c>
      <c r="B1070" s="20" t="s">
        <v>90</v>
      </c>
      <c r="C1070" s="20" t="s">
        <v>14</v>
      </c>
      <c r="D1070" s="20" t="s">
        <v>22</v>
      </c>
      <c r="E1070" s="12" t="str">
        <f>IFERROR(__xludf.DUMMYFUNCTION("FILTER(colegios!$B$2:$B5618,colegios!$A$2:$A5618=L1070)"),"50547")</f>
        <v>50547</v>
      </c>
      <c r="F1070" s="14" t="s">
        <v>16</v>
      </c>
      <c r="G1070" s="20" t="s">
        <v>17</v>
      </c>
      <c r="H1070" s="14" t="s">
        <v>24</v>
      </c>
      <c r="I1070" s="22">
        <v>2024.0</v>
      </c>
      <c r="J1070" s="16" t="str">
        <f>IFERROR(__xludf.DUMMYFUNCTION("FILTER('CLASFICACIÓN'!$F$3:$F5618,'CLASFICACIÓN'!$G$3:$G5618=M1070)"),"LOS 3 AÑOS")</f>
        <v>LOS 3 AÑOS</v>
      </c>
      <c r="K1070" s="16"/>
      <c r="L1070" s="14" t="s">
        <v>94</v>
      </c>
      <c r="M1070" s="16" t="str">
        <f t="shared" si="1"/>
        <v>505476 Primaria</v>
      </c>
      <c r="N1070" s="17"/>
      <c r="O1070" s="17"/>
      <c r="P1070" s="17"/>
      <c r="Q1070" s="17"/>
      <c r="R1070" s="17"/>
      <c r="S1070" s="17"/>
      <c r="T1070" s="17"/>
    </row>
    <row r="1071">
      <c r="A1071" s="21">
        <v>80.0</v>
      </c>
      <c r="B1071" s="20" t="s">
        <v>90</v>
      </c>
      <c r="C1071" s="20" t="s">
        <v>14</v>
      </c>
      <c r="D1071" s="20" t="s">
        <v>22</v>
      </c>
      <c r="E1071" s="12" t="str">
        <f>IFERROR(__xludf.DUMMYFUNCTION("FILTER(colegios!$B$2:$B5618,colegios!$A$2:$A5618=L1071)"),"50547")</f>
        <v>50547</v>
      </c>
      <c r="F1071" s="14" t="s">
        <v>16</v>
      </c>
      <c r="G1071" s="20" t="s">
        <v>21</v>
      </c>
      <c r="H1071" s="14" t="s">
        <v>18</v>
      </c>
      <c r="I1071" s="22">
        <v>2024.0</v>
      </c>
      <c r="J1071" s="16" t="str">
        <f>IFERROR(__xludf.DUMMYFUNCTION("FILTER('CLASFICACIÓN'!$F$3:$F5618,'CLASFICACIÓN'!$G$3:$G5618=M1071)"),"LOS 3 AÑOS")</f>
        <v>LOS 3 AÑOS</v>
      </c>
      <c r="K1071" s="16"/>
      <c r="L1071" s="14" t="s">
        <v>94</v>
      </c>
      <c r="M1071" s="16" t="str">
        <f t="shared" si="1"/>
        <v>505476 Primaria</v>
      </c>
      <c r="N1071" s="17"/>
      <c r="O1071" s="17"/>
      <c r="P1071" s="17"/>
      <c r="Q1071" s="17"/>
      <c r="R1071" s="17"/>
      <c r="S1071" s="17"/>
      <c r="T1071" s="17"/>
    </row>
    <row r="1072">
      <c r="A1072" s="21">
        <v>81.0</v>
      </c>
      <c r="B1072" s="20" t="s">
        <v>90</v>
      </c>
      <c r="C1072" s="20" t="s">
        <v>14</v>
      </c>
      <c r="D1072" s="20" t="s">
        <v>22</v>
      </c>
      <c r="E1072" s="12" t="str">
        <f>IFERROR(__xludf.DUMMYFUNCTION("FILTER(colegios!$B$2:$B5618,colegios!$A$2:$A5618=L1072)"),"50547")</f>
        <v>50547</v>
      </c>
      <c r="F1072" s="14" t="s">
        <v>16</v>
      </c>
      <c r="G1072" s="20" t="s">
        <v>21</v>
      </c>
      <c r="H1072" s="14" t="s">
        <v>24</v>
      </c>
      <c r="I1072" s="22">
        <v>2024.0</v>
      </c>
      <c r="J1072" s="16" t="str">
        <f>IFERROR(__xludf.DUMMYFUNCTION("FILTER('CLASFICACIÓN'!$F$3:$F5618,'CLASFICACIÓN'!$G$3:$G5618=M1072)"),"LOS 3 AÑOS")</f>
        <v>LOS 3 AÑOS</v>
      </c>
      <c r="K1072" s="16"/>
      <c r="L1072" s="14" t="s">
        <v>94</v>
      </c>
      <c r="M1072" s="16" t="str">
        <f t="shared" si="1"/>
        <v>505476 Primaria</v>
      </c>
      <c r="N1072" s="17"/>
      <c r="O1072" s="17"/>
      <c r="P1072" s="17"/>
      <c r="Q1072" s="17"/>
      <c r="R1072" s="17"/>
      <c r="S1072" s="17"/>
      <c r="T1072" s="17"/>
    </row>
    <row r="1073">
      <c r="A1073" s="21">
        <v>82.0</v>
      </c>
      <c r="B1073" s="20" t="s">
        <v>90</v>
      </c>
      <c r="C1073" s="20" t="s">
        <v>14</v>
      </c>
      <c r="D1073" s="20" t="s">
        <v>15</v>
      </c>
      <c r="E1073" s="12" t="str">
        <f>IFERROR(__xludf.DUMMYFUNCTION("FILTER(colegios!$B$2:$B5618,colegios!$A$2:$A5618=L1073)"),"50550")</f>
        <v>50550</v>
      </c>
      <c r="F1073" s="14" t="s">
        <v>16</v>
      </c>
      <c r="G1073" s="20" t="s">
        <v>21</v>
      </c>
      <c r="H1073" s="14" t="s">
        <v>24</v>
      </c>
      <c r="I1073" s="22">
        <v>2024.0</v>
      </c>
      <c r="J1073" s="16" t="str">
        <f>IFERROR(__xludf.DUMMYFUNCTION("FILTER('CLASFICACIÓN'!$F$3:$F5618,'CLASFICACIÓN'!$G$3:$G5618=M1073)"),"LOS 3 AÑOS")</f>
        <v>LOS 3 AÑOS</v>
      </c>
      <c r="K1073" s="16"/>
      <c r="L1073" s="14" t="s">
        <v>95</v>
      </c>
      <c r="M1073" s="16" t="str">
        <f t="shared" si="1"/>
        <v>505502 Primaria</v>
      </c>
      <c r="N1073" s="17"/>
      <c r="O1073" s="17"/>
      <c r="P1073" s="17"/>
      <c r="Q1073" s="17"/>
      <c r="R1073" s="17"/>
      <c r="S1073" s="17"/>
      <c r="T1073" s="17"/>
    </row>
    <row r="1074">
      <c r="A1074" s="21">
        <v>83.0</v>
      </c>
      <c r="B1074" s="20" t="s">
        <v>90</v>
      </c>
      <c r="C1074" s="20" t="s">
        <v>14</v>
      </c>
      <c r="D1074" s="20" t="s">
        <v>15</v>
      </c>
      <c r="E1074" s="12" t="str">
        <f>IFERROR(__xludf.DUMMYFUNCTION("FILTER(colegios!$B$2:$B5618,colegios!$A$2:$A5618=L1074)"),"50550")</f>
        <v>50550</v>
      </c>
      <c r="F1074" s="14" t="s">
        <v>16</v>
      </c>
      <c r="G1074" s="20" t="s">
        <v>17</v>
      </c>
      <c r="H1074" s="14" t="s">
        <v>24</v>
      </c>
      <c r="I1074" s="22">
        <v>2024.0</v>
      </c>
      <c r="J1074" s="16" t="str">
        <f>IFERROR(__xludf.DUMMYFUNCTION("FILTER('CLASFICACIÓN'!$F$3:$F5618,'CLASFICACIÓN'!$G$3:$G5618=M1074)"),"LOS 3 AÑOS")</f>
        <v>LOS 3 AÑOS</v>
      </c>
      <c r="K1074" s="16"/>
      <c r="L1074" s="14" t="s">
        <v>95</v>
      </c>
      <c r="M1074" s="16" t="str">
        <f t="shared" si="1"/>
        <v>505502 Primaria</v>
      </c>
      <c r="N1074" s="17"/>
      <c r="O1074" s="17"/>
      <c r="P1074" s="17"/>
      <c r="Q1074" s="17"/>
      <c r="R1074" s="17"/>
      <c r="S1074" s="17"/>
      <c r="T1074" s="17"/>
    </row>
    <row r="1075">
      <c r="A1075" s="21">
        <v>84.0</v>
      </c>
      <c r="B1075" s="20" t="s">
        <v>90</v>
      </c>
      <c r="C1075" s="20" t="s">
        <v>14</v>
      </c>
      <c r="D1075" s="20" t="s">
        <v>15</v>
      </c>
      <c r="E1075" s="12" t="str">
        <f>IFERROR(__xludf.DUMMYFUNCTION("FILTER(colegios!$B$2:$B5618,colegios!$A$2:$A5618=L1075)"),"50550")</f>
        <v>50550</v>
      </c>
      <c r="F1075" s="14" t="s">
        <v>16</v>
      </c>
      <c r="G1075" s="20" t="s">
        <v>21</v>
      </c>
      <c r="H1075" s="14" t="s">
        <v>24</v>
      </c>
      <c r="I1075" s="22">
        <v>2024.0</v>
      </c>
      <c r="J1075" s="16" t="str">
        <f>IFERROR(__xludf.DUMMYFUNCTION("FILTER('CLASFICACIÓN'!$F$3:$F5618,'CLASFICACIÓN'!$G$3:$G5618=M1075)"),"LOS 3 AÑOS")</f>
        <v>LOS 3 AÑOS</v>
      </c>
      <c r="K1075" s="16"/>
      <c r="L1075" s="14" t="s">
        <v>95</v>
      </c>
      <c r="M1075" s="16" t="str">
        <f t="shared" si="1"/>
        <v>505502 Primaria</v>
      </c>
      <c r="N1075" s="17"/>
      <c r="O1075" s="17"/>
      <c r="P1075" s="17"/>
      <c r="Q1075" s="17"/>
      <c r="R1075" s="17"/>
      <c r="S1075" s="17"/>
      <c r="T1075" s="17"/>
    </row>
    <row r="1076">
      <c r="A1076" s="21">
        <v>85.0</v>
      </c>
      <c r="B1076" s="20" t="s">
        <v>90</v>
      </c>
      <c r="C1076" s="20" t="s">
        <v>14</v>
      </c>
      <c r="D1076" s="20" t="s">
        <v>20</v>
      </c>
      <c r="E1076" s="12" t="str">
        <f>IFERROR(__xludf.DUMMYFUNCTION("FILTER(colegios!$B$2:$B5618,colegios!$A$2:$A5618=L1076)"),"50550")</f>
        <v>50550</v>
      </c>
      <c r="F1076" s="14" t="s">
        <v>16</v>
      </c>
      <c r="G1076" s="20" t="s">
        <v>21</v>
      </c>
      <c r="H1076" s="14" t="s">
        <v>18</v>
      </c>
      <c r="I1076" s="22">
        <v>2024.0</v>
      </c>
      <c r="J1076" s="16" t="str">
        <f>IFERROR(__xludf.DUMMYFUNCTION("FILTER('CLASFICACIÓN'!$F$3:$F5618,'CLASFICACIÓN'!$G$3:$G5618=M1076)"),"LOS 3 AÑOS")</f>
        <v>LOS 3 AÑOS</v>
      </c>
      <c r="K1076" s="16"/>
      <c r="L1076" s="14" t="s">
        <v>95</v>
      </c>
      <c r="M1076" s="16" t="str">
        <f t="shared" si="1"/>
        <v>505504 Primaria</v>
      </c>
      <c r="N1076" s="17"/>
      <c r="O1076" s="17"/>
      <c r="P1076" s="17"/>
      <c r="Q1076" s="17"/>
      <c r="R1076" s="17"/>
      <c r="S1076" s="17"/>
      <c r="T1076" s="17"/>
    </row>
    <row r="1077">
      <c r="A1077" s="21">
        <v>86.0</v>
      </c>
      <c r="B1077" s="20" t="s">
        <v>90</v>
      </c>
      <c r="C1077" s="20" t="s">
        <v>14</v>
      </c>
      <c r="D1077" s="20" t="s">
        <v>20</v>
      </c>
      <c r="E1077" s="12" t="str">
        <f>IFERROR(__xludf.DUMMYFUNCTION("FILTER(colegios!$B$2:$B5618,colegios!$A$2:$A5618=L1077)"),"50550")</f>
        <v>50550</v>
      </c>
      <c r="F1077" s="14" t="s">
        <v>16</v>
      </c>
      <c r="G1077" s="20" t="s">
        <v>21</v>
      </c>
      <c r="H1077" s="14" t="s">
        <v>18</v>
      </c>
      <c r="I1077" s="22">
        <v>2024.0</v>
      </c>
      <c r="J1077" s="16" t="str">
        <f>IFERROR(__xludf.DUMMYFUNCTION("FILTER('CLASFICACIÓN'!$F$3:$F5618,'CLASFICACIÓN'!$G$3:$G5618=M1077)"),"LOS 3 AÑOS")</f>
        <v>LOS 3 AÑOS</v>
      </c>
      <c r="K1077" s="16"/>
      <c r="L1077" s="14" t="s">
        <v>95</v>
      </c>
      <c r="M1077" s="16" t="str">
        <f t="shared" si="1"/>
        <v>505504 Primaria</v>
      </c>
      <c r="N1077" s="17"/>
      <c r="O1077" s="17"/>
      <c r="P1077" s="17"/>
      <c r="Q1077" s="17"/>
      <c r="R1077" s="17"/>
      <c r="S1077" s="17"/>
      <c r="T1077" s="17"/>
    </row>
    <row r="1078">
      <c r="A1078" s="21">
        <v>87.0</v>
      </c>
      <c r="B1078" s="20" t="s">
        <v>90</v>
      </c>
      <c r="C1078" s="20" t="s">
        <v>14</v>
      </c>
      <c r="D1078" s="20" t="s">
        <v>22</v>
      </c>
      <c r="E1078" s="12" t="str">
        <f>IFERROR(__xludf.DUMMYFUNCTION("FILTER(colegios!$B$2:$B5618,colegios!$A$2:$A5618=L1078)"),"50550")</f>
        <v>50550</v>
      </c>
      <c r="F1078" s="14" t="s">
        <v>16</v>
      </c>
      <c r="G1078" s="20" t="s">
        <v>21</v>
      </c>
      <c r="H1078" s="14" t="s">
        <v>24</v>
      </c>
      <c r="I1078" s="22">
        <v>2024.0</v>
      </c>
      <c r="J1078" s="16" t="str">
        <f>IFERROR(__xludf.DUMMYFUNCTION("FILTER('CLASFICACIÓN'!$F$3:$F5618,'CLASFICACIÓN'!$G$3:$G5618=M1078)"),"LOS 3 AÑOS")</f>
        <v>LOS 3 AÑOS</v>
      </c>
      <c r="K1078" s="16"/>
      <c r="L1078" s="14" t="s">
        <v>95</v>
      </c>
      <c r="M1078" s="16" t="str">
        <f t="shared" si="1"/>
        <v>505506 Primaria</v>
      </c>
      <c r="N1078" s="17"/>
      <c r="O1078" s="17"/>
      <c r="P1078" s="17"/>
      <c r="Q1078" s="17"/>
      <c r="R1078" s="17"/>
      <c r="S1078" s="17"/>
      <c r="T1078" s="17"/>
    </row>
    <row r="1079">
      <c r="A1079" s="21">
        <v>88.0</v>
      </c>
      <c r="B1079" s="20" t="s">
        <v>90</v>
      </c>
      <c r="C1079" s="20" t="s">
        <v>14</v>
      </c>
      <c r="D1079" s="20" t="s">
        <v>15</v>
      </c>
      <c r="E1079" s="12" t="str">
        <f>IFERROR(__xludf.DUMMYFUNCTION("FILTER(colegios!$B$2:$B5618,colegios!$A$2:$A5618=L1079)"),"50552 TUPAC AMARU II")</f>
        <v>50552 TUPAC AMARU II</v>
      </c>
      <c r="F1079" s="14" t="s">
        <v>16</v>
      </c>
      <c r="G1079" s="20" t="s">
        <v>21</v>
      </c>
      <c r="H1079" s="14" t="s">
        <v>18</v>
      </c>
      <c r="I1079" s="22">
        <v>2024.0</v>
      </c>
      <c r="J1079" s="16" t="str">
        <f>IFERROR(__xludf.DUMMYFUNCTION("FILTER('CLASFICACIÓN'!$F$3:$F5618,'CLASFICACIÓN'!$G$3:$G5618=M1079)"),"SOLO 2022 Y 2024")</f>
        <v>SOLO 2022 Y 2024</v>
      </c>
      <c r="K1079" s="16"/>
      <c r="L1079" s="14" t="s">
        <v>96</v>
      </c>
      <c r="M1079" s="16" t="str">
        <f t="shared" si="1"/>
        <v>50552 TUPAC AMARU II2 Primaria</v>
      </c>
      <c r="N1079" s="17"/>
      <c r="O1079" s="17"/>
      <c r="P1079" s="17"/>
      <c r="Q1079" s="17"/>
      <c r="R1079" s="17"/>
      <c r="S1079" s="17"/>
      <c r="T1079" s="17"/>
    </row>
    <row r="1080">
      <c r="A1080" s="21">
        <v>89.0</v>
      </c>
      <c r="B1080" s="20" t="s">
        <v>90</v>
      </c>
      <c r="C1080" s="20" t="s">
        <v>14</v>
      </c>
      <c r="D1080" s="20" t="s">
        <v>15</v>
      </c>
      <c r="E1080" s="12" t="str">
        <f>IFERROR(__xludf.DUMMYFUNCTION("FILTER(colegios!$B$2:$B5618,colegios!$A$2:$A5618=L1080)"),"50552 TUPAC AMARU II")</f>
        <v>50552 TUPAC AMARU II</v>
      </c>
      <c r="F1080" s="14" t="s">
        <v>16</v>
      </c>
      <c r="G1080" s="20" t="s">
        <v>17</v>
      </c>
      <c r="H1080" s="14" t="s">
        <v>18</v>
      </c>
      <c r="I1080" s="22">
        <v>2024.0</v>
      </c>
      <c r="J1080" s="16" t="str">
        <f>IFERROR(__xludf.DUMMYFUNCTION("FILTER('CLASFICACIÓN'!$F$3:$F5618,'CLASFICACIÓN'!$G$3:$G5618=M1080)"),"SOLO 2022 Y 2024")</f>
        <v>SOLO 2022 Y 2024</v>
      </c>
      <c r="K1080" s="16"/>
      <c r="L1080" s="14" t="s">
        <v>96</v>
      </c>
      <c r="M1080" s="16" t="str">
        <f t="shared" si="1"/>
        <v>50552 TUPAC AMARU II2 Primaria</v>
      </c>
      <c r="N1080" s="17"/>
      <c r="O1080" s="17"/>
      <c r="P1080" s="17"/>
      <c r="Q1080" s="17"/>
      <c r="R1080" s="17"/>
      <c r="S1080" s="17"/>
      <c r="T1080" s="17"/>
    </row>
    <row r="1081">
      <c r="A1081" s="21">
        <v>90.0</v>
      </c>
      <c r="B1081" s="20" t="s">
        <v>90</v>
      </c>
      <c r="C1081" s="20" t="s">
        <v>14</v>
      </c>
      <c r="D1081" s="20" t="s">
        <v>15</v>
      </c>
      <c r="E1081" s="12" t="str">
        <f>IFERROR(__xludf.DUMMYFUNCTION("FILTER(colegios!$B$2:$B5618,colegios!$A$2:$A5618=L1081)"),"50552 TUPAC AMARU II")</f>
        <v>50552 TUPAC AMARU II</v>
      </c>
      <c r="F1081" s="14" t="s">
        <v>16</v>
      </c>
      <c r="G1081" s="20" t="s">
        <v>17</v>
      </c>
      <c r="H1081" s="14" t="s">
        <v>24</v>
      </c>
      <c r="I1081" s="22">
        <v>2024.0</v>
      </c>
      <c r="J1081" s="16" t="str">
        <f>IFERROR(__xludf.DUMMYFUNCTION("FILTER('CLASFICACIÓN'!$F$3:$F5618,'CLASFICACIÓN'!$G$3:$G5618=M1081)"),"SOLO 2022 Y 2024")</f>
        <v>SOLO 2022 Y 2024</v>
      </c>
      <c r="K1081" s="16"/>
      <c r="L1081" s="14" t="s">
        <v>96</v>
      </c>
      <c r="M1081" s="16" t="str">
        <f t="shared" si="1"/>
        <v>50552 TUPAC AMARU II2 Primaria</v>
      </c>
      <c r="N1081" s="17"/>
      <c r="O1081" s="17"/>
      <c r="P1081" s="17"/>
      <c r="Q1081" s="17"/>
      <c r="R1081" s="17"/>
      <c r="S1081" s="17"/>
      <c r="T1081" s="17"/>
    </row>
    <row r="1082">
      <c r="A1082" s="21">
        <v>91.0</v>
      </c>
      <c r="B1082" s="20" t="s">
        <v>90</v>
      </c>
      <c r="C1082" s="20" t="s">
        <v>14</v>
      </c>
      <c r="D1082" s="20" t="s">
        <v>15</v>
      </c>
      <c r="E1082" s="12" t="str">
        <f>IFERROR(__xludf.DUMMYFUNCTION("FILTER(colegios!$B$2:$B5618,colegios!$A$2:$A5618=L1082)"),"50552 TUPAC AMARU II")</f>
        <v>50552 TUPAC AMARU II</v>
      </c>
      <c r="F1082" s="14" t="s">
        <v>16</v>
      </c>
      <c r="G1082" s="20" t="s">
        <v>21</v>
      </c>
      <c r="H1082" s="14" t="s">
        <v>24</v>
      </c>
      <c r="I1082" s="22">
        <v>2024.0</v>
      </c>
      <c r="J1082" s="16" t="str">
        <f>IFERROR(__xludf.DUMMYFUNCTION("FILTER('CLASFICACIÓN'!$F$3:$F5618,'CLASFICACIÓN'!$G$3:$G5618=M1082)"),"SOLO 2022 Y 2024")</f>
        <v>SOLO 2022 Y 2024</v>
      </c>
      <c r="K1082" s="16"/>
      <c r="L1082" s="14" t="s">
        <v>96</v>
      </c>
      <c r="M1082" s="16" t="str">
        <f t="shared" si="1"/>
        <v>50552 TUPAC AMARU II2 Primaria</v>
      </c>
      <c r="N1082" s="17"/>
      <c r="O1082" s="17"/>
      <c r="P1082" s="17"/>
      <c r="Q1082" s="17"/>
      <c r="R1082" s="17"/>
      <c r="S1082" s="17"/>
      <c r="T1082" s="17"/>
    </row>
    <row r="1083">
      <c r="A1083" s="21">
        <v>92.0</v>
      </c>
      <c r="B1083" s="20" t="s">
        <v>90</v>
      </c>
      <c r="C1083" s="20" t="s">
        <v>14</v>
      </c>
      <c r="D1083" s="20" t="s">
        <v>20</v>
      </c>
      <c r="E1083" s="12" t="str">
        <f>IFERROR(__xludf.DUMMYFUNCTION("FILTER(colegios!$B$2:$B5618,colegios!$A$2:$A5618=L1083)"),"50552 TUPAC AMARU II")</f>
        <v>50552 TUPAC AMARU II</v>
      </c>
      <c r="F1083" s="14" t="s">
        <v>16</v>
      </c>
      <c r="G1083" s="20" t="s">
        <v>21</v>
      </c>
      <c r="H1083" s="14" t="s">
        <v>24</v>
      </c>
      <c r="I1083" s="22">
        <v>2024.0</v>
      </c>
      <c r="J1083" s="16" t="str">
        <f>IFERROR(__xludf.DUMMYFUNCTION("FILTER('CLASFICACIÓN'!$F$3:$F5618,'CLASFICACIÓN'!$G$3:$G5618=M1083)"),"SOLO 2022 Y 2024")</f>
        <v>SOLO 2022 Y 2024</v>
      </c>
      <c r="K1083" s="16"/>
      <c r="L1083" s="14" t="s">
        <v>96</v>
      </c>
      <c r="M1083" s="16" t="str">
        <f t="shared" si="1"/>
        <v>50552 TUPAC AMARU II4 Primaria</v>
      </c>
      <c r="N1083" s="17"/>
      <c r="O1083" s="17"/>
      <c r="P1083" s="17"/>
      <c r="Q1083" s="17"/>
      <c r="R1083" s="17"/>
      <c r="S1083" s="17"/>
      <c r="T1083" s="17"/>
    </row>
    <row r="1084">
      <c r="A1084" s="21">
        <v>93.0</v>
      </c>
      <c r="B1084" s="20" t="s">
        <v>90</v>
      </c>
      <c r="C1084" s="20" t="s">
        <v>14</v>
      </c>
      <c r="D1084" s="20" t="s">
        <v>20</v>
      </c>
      <c r="E1084" s="12" t="str">
        <f>IFERROR(__xludf.DUMMYFUNCTION("FILTER(colegios!$B$2:$B5618,colegios!$A$2:$A5618=L1084)"),"50552 TUPAC AMARU II")</f>
        <v>50552 TUPAC AMARU II</v>
      </c>
      <c r="F1084" s="14" t="s">
        <v>16</v>
      </c>
      <c r="G1084" s="20" t="s">
        <v>17</v>
      </c>
      <c r="H1084" s="14" t="s">
        <v>32</v>
      </c>
      <c r="I1084" s="22">
        <v>2024.0</v>
      </c>
      <c r="J1084" s="16" t="str">
        <f>IFERROR(__xludf.DUMMYFUNCTION("FILTER('CLASFICACIÓN'!$F$3:$F5618,'CLASFICACIÓN'!$G$3:$G5618=M1084)"),"SOLO 2022 Y 2024")</f>
        <v>SOLO 2022 Y 2024</v>
      </c>
      <c r="K1084" s="16"/>
      <c r="L1084" s="14" t="s">
        <v>96</v>
      </c>
      <c r="M1084" s="16" t="str">
        <f t="shared" si="1"/>
        <v>50552 TUPAC AMARU II4 Primaria</v>
      </c>
      <c r="N1084" s="17"/>
      <c r="O1084" s="17"/>
      <c r="P1084" s="17"/>
      <c r="Q1084" s="17"/>
      <c r="R1084" s="17"/>
      <c r="S1084" s="17"/>
      <c r="T1084" s="17"/>
    </row>
    <row r="1085">
      <c r="A1085" s="21">
        <v>94.0</v>
      </c>
      <c r="B1085" s="20" t="s">
        <v>90</v>
      </c>
      <c r="C1085" s="20" t="s">
        <v>14</v>
      </c>
      <c r="D1085" s="20" t="s">
        <v>20</v>
      </c>
      <c r="E1085" s="12" t="str">
        <f>IFERROR(__xludf.DUMMYFUNCTION("FILTER(colegios!$B$2:$B5618,colegios!$A$2:$A5618=L1085)"),"50552 TUPAC AMARU II")</f>
        <v>50552 TUPAC AMARU II</v>
      </c>
      <c r="F1085" s="14" t="s">
        <v>16</v>
      </c>
      <c r="G1085" s="20" t="s">
        <v>21</v>
      </c>
      <c r="H1085" s="14" t="s">
        <v>24</v>
      </c>
      <c r="I1085" s="22">
        <v>2024.0</v>
      </c>
      <c r="J1085" s="16" t="str">
        <f>IFERROR(__xludf.DUMMYFUNCTION("FILTER('CLASFICACIÓN'!$F$3:$F5618,'CLASFICACIÓN'!$G$3:$G5618=M1085)"),"SOLO 2022 Y 2024")</f>
        <v>SOLO 2022 Y 2024</v>
      </c>
      <c r="K1085" s="16"/>
      <c r="L1085" s="14" t="s">
        <v>96</v>
      </c>
      <c r="M1085" s="16" t="str">
        <f t="shared" si="1"/>
        <v>50552 TUPAC AMARU II4 Primaria</v>
      </c>
      <c r="N1085" s="17"/>
      <c r="O1085" s="17"/>
      <c r="P1085" s="17"/>
      <c r="Q1085" s="17"/>
      <c r="R1085" s="17"/>
      <c r="S1085" s="17"/>
      <c r="T1085" s="17"/>
    </row>
    <row r="1086">
      <c r="A1086" s="21">
        <v>95.0</v>
      </c>
      <c r="B1086" s="20" t="s">
        <v>90</v>
      </c>
      <c r="C1086" s="20" t="s">
        <v>14</v>
      </c>
      <c r="D1086" s="20" t="s">
        <v>20</v>
      </c>
      <c r="E1086" s="12" t="str">
        <f>IFERROR(__xludf.DUMMYFUNCTION("FILTER(colegios!$B$2:$B5618,colegios!$A$2:$A5618=L1086)"),"50552 TUPAC AMARU II")</f>
        <v>50552 TUPAC AMARU II</v>
      </c>
      <c r="F1086" s="14" t="s">
        <v>16</v>
      </c>
      <c r="G1086" s="20" t="s">
        <v>17</v>
      </c>
      <c r="H1086" s="14" t="s">
        <v>32</v>
      </c>
      <c r="I1086" s="22">
        <v>2024.0</v>
      </c>
      <c r="J1086" s="16" t="str">
        <f>IFERROR(__xludf.DUMMYFUNCTION("FILTER('CLASFICACIÓN'!$F$3:$F5618,'CLASFICACIÓN'!$G$3:$G5618=M1086)"),"SOLO 2022 Y 2024")</f>
        <v>SOLO 2022 Y 2024</v>
      </c>
      <c r="K1086" s="16"/>
      <c r="L1086" s="14" t="s">
        <v>96</v>
      </c>
      <c r="M1086" s="16" t="str">
        <f t="shared" si="1"/>
        <v>50552 TUPAC AMARU II4 Primaria</v>
      </c>
      <c r="N1086" s="17"/>
      <c r="O1086" s="17"/>
      <c r="P1086" s="17"/>
      <c r="Q1086" s="17"/>
      <c r="R1086" s="17"/>
      <c r="S1086" s="17"/>
      <c r="T1086" s="17"/>
    </row>
    <row r="1087">
      <c r="A1087" s="21">
        <v>96.0</v>
      </c>
      <c r="B1087" s="20" t="s">
        <v>90</v>
      </c>
      <c r="C1087" s="20" t="s">
        <v>14</v>
      </c>
      <c r="D1087" s="20" t="s">
        <v>20</v>
      </c>
      <c r="E1087" s="12" t="str">
        <f>IFERROR(__xludf.DUMMYFUNCTION("FILTER(colegios!$B$2:$B5618,colegios!$A$2:$A5618=L1087)"),"50552 TUPAC AMARU II")</f>
        <v>50552 TUPAC AMARU II</v>
      </c>
      <c r="F1087" s="14" t="s">
        <v>16</v>
      </c>
      <c r="G1087" s="20" t="s">
        <v>21</v>
      </c>
      <c r="H1087" s="14" t="s">
        <v>24</v>
      </c>
      <c r="I1087" s="22">
        <v>2024.0</v>
      </c>
      <c r="J1087" s="16" t="str">
        <f>IFERROR(__xludf.DUMMYFUNCTION("FILTER('CLASFICACIÓN'!$F$3:$F5618,'CLASFICACIÓN'!$G$3:$G5618=M1087)"),"SOLO 2022 Y 2024")</f>
        <v>SOLO 2022 Y 2024</v>
      </c>
      <c r="K1087" s="16"/>
      <c r="L1087" s="14" t="s">
        <v>96</v>
      </c>
      <c r="M1087" s="16" t="str">
        <f t="shared" si="1"/>
        <v>50552 TUPAC AMARU II4 Primaria</v>
      </c>
      <c r="N1087" s="17"/>
      <c r="O1087" s="17"/>
      <c r="P1087" s="17"/>
      <c r="Q1087" s="17"/>
      <c r="R1087" s="17"/>
      <c r="S1087" s="17"/>
      <c r="T1087" s="17"/>
    </row>
    <row r="1088">
      <c r="A1088" s="21">
        <v>97.0</v>
      </c>
      <c r="B1088" s="20" t="s">
        <v>90</v>
      </c>
      <c r="C1088" s="20" t="s">
        <v>14</v>
      </c>
      <c r="D1088" s="20" t="s">
        <v>20</v>
      </c>
      <c r="E1088" s="12" t="str">
        <f>IFERROR(__xludf.DUMMYFUNCTION("FILTER(colegios!$B$2:$B5618,colegios!$A$2:$A5618=L1088)"),"50552 TUPAC AMARU II")</f>
        <v>50552 TUPAC AMARU II</v>
      </c>
      <c r="F1088" s="14" t="s">
        <v>16</v>
      </c>
      <c r="G1088" s="20" t="s">
        <v>21</v>
      </c>
      <c r="H1088" s="14" t="s">
        <v>18</v>
      </c>
      <c r="I1088" s="22">
        <v>2024.0</v>
      </c>
      <c r="J1088" s="16" t="str">
        <f>IFERROR(__xludf.DUMMYFUNCTION("FILTER('CLASFICACIÓN'!$F$3:$F5618,'CLASFICACIÓN'!$G$3:$G5618=M1088)"),"SOLO 2022 Y 2024")</f>
        <v>SOLO 2022 Y 2024</v>
      </c>
      <c r="K1088" s="16"/>
      <c r="L1088" s="14" t="s">
        <v>96</v>
      </c>
      <c r="M1088" s="16" t="str">
        <f t="shared" si="1"/>
        <v>50552 TUPAC AMARU II4 Primaria</v>
      </c>
      <c r="N1088" s="17"/>
      <c r="O1088" s="17"/>
      <c r="P1088" s="17"/>
      <c r="Q1088" s="17"/>
      <c r="R1088" s="17"/>
      <c r="S1088" s="17"/>
      <c r="T1088" s="17"/>
    </row>
    <row r="1089">
      <c r="A1089" s="21">
        <v>98.0</v>
      </c>
      <c r="B1089" s="20" t="s">
        <v>90</v>
      </c>
      <c r="C1089" s="20" t="s">
        <v>14</v>
      </c>
      <c r="D1089" s="20" t="s">
        <v>20</v>
      </c>
      <c r="E1089" s="12" t="str">
        <f>IFERROR(__xludf.DUMMYFUNCTION("FILTER(colegios!$B$2:$B5618,colegios!$A$2:$A5618=L1089)"),"50552 TUPAC AMARU II")</f>
        <v>50552 TUPAC AMARU II</v>
      </c>
      <c r="F1089" s="14" t="s">
        <v>16</v>
      </c>
      <c r="G1089" s="20" t="s">
        <v>21</v>
      </c>
      <c r="H1089" s="14" t="s">
        <v>18</v>
      </c>
      <c r="I1089" s="22">
        <v>2024.0</v>
      </c>
      <c r="J1089" s="16" t="str">
        <f>IFERROR(__xludf.DUMMYFUNCTION("FILTER('CLASFICACIÓN'!$F$3:$F5618,'CLASFICACIÓN'!$G$3:$G5618=M1089)"),"SOLO 2022 Y 2024")</f>
        <v>SOLO 2022 Y 2024</v>
      </c>
      <c r="K1089" s="16"/>
      <c r="L1089" s="14" t="s">
        <v>96</v>
      </c>
      <c r="M1089" s="16" t="str">
        <f t="shared" si="1"/>
        <v>50552 TUPAC AMARU II4 Primaria</v>
      </c>
      <c r="N1089" s="17"/>
      <c r="O1089" s="17"/>
      <c r="P1089" s="17"/>
      <c r="Q1089" s="17"/>
      <c r="R1089" s="17"/>
      <c r="S1089" s="17"/>
      <c r="T1089" s="17"/>
    </row>
    <row r="1090">
      <c r="A1090" s="21">
        <v>99.0</v>
      </c>
      <c r="B1090" s="20" t="s">
        <v>90</v>
      </c>
      <c r="C1090" s="20" t="s">
        <v>14</v>
      </c>
      <c r="D1090" s="20" t="s">
        <v>20</v>
      </c>
      <c r="E1090" s="12" t="str">
        <f>IFERROR(__xludf.DUMMYFUNCTION("FILTER(colegios!$B$2:$B5618,colegios!$A$2:$A5618=L1090)"),"50552 TUPAC AMARU II")</f>
        <v>50552 TUPAC AMARU II</v>
      </c>
      <c r="F1090" s="14" t="s">
        <v>16</v>
      </c>
      <c r="G1090" s="20" t="s">
        <v>17</v>
      </c>
      <c r="H1090" s="14" t="s">
        <v>18</v>
      </c>
      <c r="I1090" s="22">
        <v>2024.0</v>
      </c>
      <c r="J1090" s="16" t="str">
        <f>IFERROR(__xludf.DUMMYFUNCTION("FILTER('CLASFICACIÓN'!$F$3:$F5618,'CLASFICACIÓN'!$G$3:$G5618=M1090)"),"SOLO 2022 Y 2024")</f>
        <v>SOLO 2022 Y 2024</v>
      </c>
      <c r="K1090" s="16"/>
      <c r="L1090" s="14" t="s">
        <v>96</v>
      </c>
      <c r="M1090" s="16" t="str">
        <f t="shared" si="1"/>
        <v>50552 TUPAC AMARU II4 Primaria</v>
      </c>
      <c r="N1090" s="17"/>
      <c r="O1090" s="17"/>
      <c r="P1090" s="17"/>
      <c r="Q1090" s="17"/>
      <c r="R1090" s="17"/>
      <c r="S1090" s="17"/>
      <c r="T1090" s="17"/>
    </row>
    <row r="1091">
      <c r="A1091" s="21">
        <v>100.0</v>
      </c>
      <c r="B1091" s="20" t="s">
        <v>90</v>
      </c>
      <c r="C1091" s="20" t="s">
        <v>14</v>
      </c>
      <c r="D1091" s="20" t="s">
        <v>22</v>
      </c>
      <c r="E1091" s="12" t="str">
        <f>IFERROR(__xludf.DUMMYFUNCTION("FILTER(colegios!$B$2:$B5618,colegios!$A$2:$A5618=L1091)"),"50552 TUPAC AMARU II")</f>
        <v>50552 TUPAC AMARU II</v>
      </c>
      <c r="F1091" s="14" t="s">
        <v>16</v>
      </c>
      <c r="G1091" s="20" t="s">
        <v>21</v>
      </c>
      <c r="H1091" s="14" t="s">
        <v>32</v>
      </c>
      <c r="I1091" s="22">
        <v>2024.0</v>
      </c>
      <c r="J1091" s="16" t="str">
        <f>IFERROR(__xludf.DUMMYFUNCTION("FILTER('CLASFICACIÓN'!$F$3:$F5618,'CLASFICACIÓN'!$G$3:$G5618=M1091)"),"SOLO 2022 Y 2024")</f>
        <v>SOLO 2022 Y 2024</v>
      </c>
      <c r="K1091" s="16"/>
      <c r="L1091" s="14" t="s">
        <v>96</v>
      </c>
      <c r="M1091" s="16" t="str">
        <f t="shared" si="1"/>
        <v>50552 TUPAC AMARU II6 Primaria</v>
      </c>
      <c r="N1091" s="17"/>
      <c r="O1091" s="17"/>
      <c r="P1091" s="17"/>
      <c r="Q1091" s="17"/>
      <c r="R1091" s="17"/>
      <c r="S1091" s="17"/>
      <c r="T1091" s="17"/>
    </row>
    <row r="1092">
      <c r="A1092" s="21">
        <v>101.0</v>
      </c>
      <c r="B1092" s="20" t="s">
        <v>90</v>
      </c>
      <c r="C1092" s="20" t="s">
        <v>14</v>
      </c>
      <c r="D1092" s="20" t="s">
        <v>22</v>
      </c>
      <c r="E1092" s="12" t="str">
        <f>IFERROR(__xludf.DUMMYFUNCTION("FILTER(colegios!$B$2:$B5618,colegios!$A$2:$A5618=L1092)"),"50552 TUPAC AMARU II")</f>
        <v>50552 TUPAC AMARU II</v>
      </c>
      <c r="F1092" s="14" t="s">
        <v>16</v>
      </c>
      <c r="G1092" s="20" t="s">
        <v>17</v>
      </c>
      <c r="H1092" s="14" t="s">
        <v>24</v>
      </c>
      <c r="I1092" s="22">
        <v>2024.0</v>
      </c>
      <c r="J1092" s="16" t="str">
        <f>IFERROR(__xludf.DUMMYFUNCTION("FILTER('CLASFICACIÓN'!$F$3:$F5618,'CLASFICACIÓN'!$G$3:$G5618=M1092)"),"SOLO 2022 Y 2024")</f>
        <v>SOLO 2022 Y 2024</v>
      </c>
      <c r="K1092" s="16"/>
      <c r="L1092" s="14" t="s">
        <v>96</v>
      </c>
      <c r="M1092" s="16" t="str">
        <f t="shared" si="1"/>
        <v>50552 TUPAC AMARU II6 Primaria</v>
      </c>
      <c r="N1092" s="17"/>
      <c r="O1092" s="17"/>
      <c r="P1092" s="17"/>
      <c r="Q1092" s="17"/>
      <c r="R1092" s="17"/>
      <c r="S1092" s="17"/>
      <c r="T1092" s="17"/>
    </row>
    <row r="1093">
      <c r="A1093" s="21">
        <v>102.0</v>
      </c>
      <c r="B1093" s="20" t="s">
        <v>90</v>
      </c>
      <c r="C1093" s="20" t="s">
        <v>14</v>
      </c>
      <c r="D1093" s="20" t="s">
        <v>22</v>
      </c>
      <c r="E1093" s="12" t="str">
        <f>IFERROR(__xludf.DUMMYFUNCTION("FILTER(colegios!$B$2:$B5618,colegios!$A$2:$A5618=L1093)"),"50552 TUPAC AMARU II")</f>
        <v>50552 TUPAC AMARU II</v>
      </c>
      <c r="F1093" s="14" t="s">
        <v>16</v>
      </c>
      <c r="G1093" s="20" t="s">
        <v>17</v>
      </c>
      <c r="H1093" s="14" t="s">
        <v>24</v>
      </c>
      <c r="I1093" s="22">
        <v>2024.0</v>
      </c>
      <c r="J1093" s="16" t="str">
        <f>IFERROR(__xludf.DUMMYFUNCTION("FILTER('CLASFICACIÓN'!$F$3:$F5618,'CLASFICACIÓN'!$G$3:$G5618=M1093)"),"SOLO 2022 Y 2024")</f>
        <v>SOLO 2022 Y 2024</v>
      </c>
      <c r="K1093" s="16"/>
      <c r="L1093" s="14" t="s">
        <v>96</v>
      </c>
      <c r="M1093" s="16" t="str">
        <f t="shared" si="1"/>
        <v>50552 TUPAC AMARU II6 Primaria</v>
      </c>
      <c r="N1093" s="17"/>
      <c r="O1093" s="17"/>
      <c r="P1093" s="17"/>
      <c r="Q1093" s="17"/>
      <c r="R1093" s="17"/>
      <c r="S1093" s="17"/>
      <c r="T1093" s="17"/>
    </row>
    <row r="1094">
      <c r="A1094" s="21">
        <v>103.0</v>
      </c>
      <c r="B1094" s="20" t="s">
        <v>90</v>
      </c>
      <c r="C1094" s="20" t="s">
        <v>14</v>
      </c>
      <c r="D1094" s="20" t="s">
        <v>22</v>
      </c>
      <c r="E1094" s="12" t="str">
        <f>IFERROR(__xludf.DUMMYFUNCTION("FILTER(colegios!$B$2:$B5618,colegios!$A$2:$A5618=L1094)"),"50552 TUPAC AMARU II")</f>
        <v>50552 TUPAC AMARU II</v>
      </c>
      <c r="F1094" s="14" t="s">
        <v>16</v>
      </c>
      <c r="G1094" s="20" t="s">
        <v>17</v>
      </c>
      <c r="H1094" s="14" t="s">
        <v>18</v>
      </c>
      <c r="I1094" s="22">
        <v>2024.0</v>
      </c>
      <c r="J1094" s="16" t="str">
        <f>IFERROR(__xludf.DUMMYFUNCTION("FILTER('CLASFICACIÓN'!$F$3:$F5618,'CLASFICACIÓN'!$G$3:$G5618=M1094)"),"SOLO 2022 Y 2024")</f>
        <v>SOLO 2022 Y 2024</v>
      </c>
      <c r="K1094" s="16"/>
      <c r="L1094" s="14" t="s">
        <v>96</v>
      </c>
      <c r="M1094" s="16" t="str">
        <f t="shared" si="1"/>
        <v>50552 TUPAC AMARU II6 Primaria</v>
      </c>
      <c r="N1094" s="17"/>
      <c r="O1094" s="17"/>
      <c r="P1094" s="17"/>
      <c r="Q1094" s="17"/>
      <c r="R1094" s="17"/>
      <c r="S1094" s="17"/>
      <c r="T1094" s="17"/>
    </row>
    <row r="1095">
      <c r="A1095" s="21">
        <v>104.0</v>
      </c>
      <c r="B1095" s="20" t="s">
        <v>90</v>
      </c>
      <c r="C1095" s="20" t="s">
        <v>14</v>
      </c>
      <c r="D1095" s="20" t="s">
        <v>22</v>
      </c>
      <c r="E1095" s="12" t="str">
        <f>IFERROR(__xludf.DUMMYFUNCTION("FILTER(colegios!$B$2:$B5618,colegios!$A$2:$A5618=L1095)"),"50552 TUPAC AMARU II")</f>
        <v>50552 TUPAC AMARU II</v>
      </c>
      <c r="F1095" s="14" t="s">
        <v>16</v>
      </c>
      <c r="G1095" s="20" t="s">
        <v>21</v>
      </c>
      <c r="H1095" s="14" t="s">
        <v>24</v>
      </c>
      <c r="I1095" s="22">
        <v>2024.0</v>
      </c>
      <c r="J1095" s="16" t="str">
        <f>IFERROR(__xludf.DUMMYFUNCTION("FILTER('CLASFICACIÓN'!$F$3:$F5618,'CLASFICACIÓN'!$G$3:$G5618=M1095)"),"SOLO 2022 Y 2024")</f>
        <v>SOLO 2022 Y 2024</v>
      </c>
      <c r="K1095" s="16"/>
      <c r="L1095" s="14" t="s">
        <v>96</v>
      </c>
      <c r="M1095" s="16" t="str">
        <f t="shared" si="1"/>
        <v>50552 TUPAC AMARU II6 Primaria</v>
      </c>
      <c r="N1095" s="17"/>
      <c r="O1095" s="17"/>
      <c r="P1095" s="17"/>
      <c r="Q1095" s="17"/>
      <c r="R1095" s="17"/>
      <c r="S1095" s="17"/>
      <c r="T1095" s="17"/>
    </row>
    <row r="1096">
      <c r="A1096" s="21">
        <v>105.0</v>
      </c>
      <c r="B1096" s="20" t="s">
        <v>90</v>
      </c>
      <c r="C1096" s="20" t="s">
        <v>14</v>
      </c>
      <c r="D1096" s="20" t="s">
        <v>15</v>
      </c>
      <c r="E1096" s="12" t="str">
        <f>IFERROR(__xludf.DUMMYFUNCTION("FILTER(colegios!$B$2:$B5618,colegios!$A$2:$A5618=L1096)"),"50553")</f>
        <v>50553</v>
      </c>
      <c r="F1096" s="14" t="s">
        <v>16</v>
      </c>
      <c r="G1096" s="20" t="s">
        <v>21</v>
      </c>
      <c r="H1096" s="14" t="s">
        <v>18</v>
      </c>
      <c r="I1096" s="22">
        <v>2024.0</v>
      </c>
      <c r="J1096" s="16" t="str">
        <f>IFERROR(__xludf.DUMMYFUNCTION("FILTER('CLASFICACIÓN'!$F$3:$F5618,'CLASFICACIÓN'!$G$3:$G5618=M1096)"),"LOS 3 AÑOS")</f>
        <v>LOS 3 AÑOS</v>
      </c>
      <c r="K1096" s="16"/>
      <c r="L1096" s="14" t="s">
        <v>97</v>
      </c>
      <c r="M1096" s="16" t="str">
        <f t="shared" si="1"/>
        <v>505532 Primaria</v>
      </c>
      <c r="N1096" s="17"/>
      <c r="O1096" s="17"/>
      <c r="P1096" s="17"/>
      <c r="Q1096" s="17"/>
      <c r="R1096" s="17"/>
      <c r="S1096" s="17"/>
      <c r="T1096" s="17"/>
    </row>
    <row r="1097">
      <c r="A1097" s="21">
        <v>106.0</v>
      </c>
      <c r="B1097" s="20" t="s">
        <v>90</v>
      </c>
      <c r="C1097" s="20" t="s">
        <v>14</v>
      </c>
      <c r="D1097" s="20" t="s">
        <v>20</v>
      </c>
      <c r="E1097" s="12" t="str">
        <f>IFERROR(__xludf.DUMMYFUNCTION("FILTER(colegios!$B$2:$B5618,colegios!$A$2:$A5618=L1097)"),"50553")</f>
        <v>50553</v>
      </c>
      <c r="F1097" s="14" t="s">
        <v>16</v>
      </c>
      <c r="G1097" s="20" t="s">
        <v>17</v>
      </c>
      <c r="H1097" s="14" t="s">
        <v>18</v>
      </c>
      <c r="I1097" s="22">
        <v>2024.0</v>
      </c>
      <c r="J1097" s="16" t="str">
        <f>IFERROR(__xludf.DUMMYFUNCTION("FILTER('CLASFICACIÓN'!$F$3:$F5618,'CLASFICACIÓN'!$G$3:$G5618=M1097)"),"LOS 3 AÑOS")</f>
        <v>LOS 3 AÑOS</v>
      </c>
      <c r="K1097" s="16"/>
      <c r="L1097" s="14" t="s">
        <v>97</v>
      </c>
      <c r="M1097" s="16" t="str">
        <f t="shared" si="1"/>
        <v>505534 Primaria</v>
      </c>
      <c r="N1097" s="17"/>
      <c r="O1097" s="17"/>
      <c r="P1097" s="17"/>
      <c r="Q1097" s="17"/>
      <c r="R1097" s="17"/>
      <c r="S1097" s="17"/>
      <c r="T1097" s="17"/>
    </row>
    <row r="1098">
      <c r="A1098" s="21">
        <v>107.0</v>
      </c>
      <c r="B1098" s="20" t="s">
        <v>90</v>
      </c>
      <c r="C1098" s="20" t="s">
        <v>14</v>
      </c>
      <c r="D1098" s="20" t="s">
        <v>22</v>
      </c>
      <c r="E1098" s="12" t="str">
        <f>IFERROR(__xludf.DUMMYFUNCTION("FILTER(colegios!$B$2:$B5618,colegios!$A$2:$A5618=L1098)"),"50553")</f>
        <v>50553</v>
      </c>
      <c r="F1098" s="14" t="s">
        <v>16</v>
      </c>
      <c r="G1098" s="20" t="s">
        <v>17</v>
      </c>
      <c r="H1098" s="14" t="s">
        <v>24</v>
      </c>
      <c r="I1098" s="22">
        <v>2024.0</v>
      </c>
      <c r="J1098" s="16" t="str">
        <f>IFERROR(__xludf.DUMMYFUNCTION("FILTER('CLASFICACIÓN'!$F$3:$F5618,'CLASFICACIÓN'!$G$3:$G5618=M1098)"),"LOS 3 AÑOS")</f>
        <v>LOS 3 AÑOS</v>
      </c>
      <c r="K1098" s="16"/>
      <c r="L1098" s="14" t="s">
        <v>97</v>
      </c>
      <c r="M1098" s="16" t="str">
        <f t="shared" si="1"/>
        <v>505536 Primaria</v>
      </c>
      <c r="N1098" s="17"/>
      <c r="O1098" s="17"/>
      <c r="P1098" s="17"/>
      <c r="Q1098" s="17"/>
      <c r="R1098" s="17"/>
      <c r="S1098" s="17"/>
      <c r="T1098" s="17"/>
    </row>
    <row r="1099">
      <c r="A1099" s="21">
        <v>109.0</v>
      </c>
      <c r="B1099" s="20" t="s">
        <v>90</v>
      </c>
      <c r="C1099" s="20" t="s">
        <v>14</v>
      </c>
      <c r="D1099" s="20" t="s">
        <v>20</v>
      </c>
      <c r="E1099" s="12" t="str">
        <f>IFERROR(__xludf.DUMMYFUNCTION("FILTER(colegios!$B$2:$B5618,colegios!$A$2:$A5618=L1099)"),"50558")</f>
        <v>50558</v>
      </c>
      <c r="F1099" s="14" t="s">
        <v>16</v>
      </c>
      <c r="G1099" s="20" t="s">
        <v>21</v>
      </c>
      <c r="H1099" s="14" t="s">
        <v>24</v>
      </c>
      <c r="I1099" s="22">
        <v>2024.0</v>
      </c>
      <c r="J1099" s="16" t="str">
        <f>IFERROR(__xludf.DUMMYFUNCTION("FILTER('CLASFICACIÓN'!$F$3:$F5618,'CLASFICACIÓN'!$G$3:$G5618=M1099)"),"SOLO 2022 Y 2024")</f>
        <v>SOLO 2022 Y 2024</v>
      </c>
      <c r="K1099" s="16"/>
      <c r="L1099" s="14" t="s">
        <v>98</v>
      </c>
      <c r="M1099" s="16" t="str">
        <f t="shared" si="1"/>
        <v>505584 Primaria</v>
      </c>
      <c r="N1099" s="17"/>
      <c r="O1099" s="17"/>
      <c r="P1099" s="17"/>
      <c r="Q1099" s="17"/>
      <c r="R1099" s="17"/>
      <c r="S1099" s="17"/>
      <c r="T1099" s="17"/>
    </row>
    <row r="1100">
      <c r="A1100" s="21">
        <v>110.0</v>
      </c>
      <c r="B1100" s="20" t="s">
        <v>90</v>
      </c>
      <c r="C1100" s="20" t="s">
        <v>14</v>
      </c>
      <c r="D1100" s="20" t="s">
        <v>20</v>
      </c>
      <c r="E1100" s="12" t="str">
        <f>IFERROR(__xludf.DUMMYFUNCTION("FILTER(colegios!$B$2:$B5618,colegios!$A$2:$A5618=L1100)"),"50558")</f>
        <v>50558</v>
      </c>
      <c r="F1100" s="14" t="s">
        <v>16</v>
      </c>
      <c r="G1100" s="20" t="s">
        <v>17</v>
      </c>
      <c r="H1100" s="14" t="s">
        <v>24</v>
      </c>
      <c r="I1100" s="22">
        <v>2024.0</v>
      </c>
      <c r="J1100" s="16" t="str">
        <f>IFERROR(__xludf.DUMMYFUNCTION("FILTER('CLASFICACIÓN'!$F$3:$F5618,'CLASFICACIÓN'!$G$3:$G5618=M1100)"),"SOLO 2022 Y 2024")</f>
        <v>SOLO 2022 Y 2024</v>
      </c>
      <c r="K1100" s="16"/>
      <c r="L1100" s="14" t="s">
        <v>98</v>
      </c>
      <c r="M1100" s="16" t="str">
        <f t="shared" si="1"/>
        <v>505584 Primaria</v>
      </c>
      <c r="N1100" s="17"/>
      <c r="O1100" s="17"/>
      <c r="P1100" s="17"/>
      <c r="Q1100" s="17"/>
      <c r="R1100" s="17"/>
      <c r="S1100" s="17"/>
      <c r="T1100" s="17"/>
    </row>
    <row r="1101">
      <c r="A1101" s="21">
        <v>111.0</v>
      </c>
      <c r="B1101" s="20" t="s">
        <v>90</v>
      </c>
      <c r="C1101" s="20" t="s">
        <v>14</v>
      </c>
      <c r="D1101" s="20" t="s">
        <v>22</v>
      </c>
      <c r="E1101" s="12" t="str">
        <f>IFERROR(__xludf.DUMMYFUNCTION("FILTER(colegios!$B$2:$B5618,colegios!$A$2:$A5618=L1101)"),"50558")</f>
        <v>50558</v>
      </c>
      <c r="F1101" s="14" t="s">
        <v>16</v>
      </c>
      <c r="G1101" s="20" t="s">
        <v>17</v>
      </c>
      <c r="H1101" s="14" t="s">
        <v>24</v>
      </c>
      <c r="I1101" s="22">
        <v>2024.0</v>
      </c>
      <c r="J1101" s="16" t="str">
        <f>IFERROR(__xludf.DUMMYFUNCTION("FILTER('CLASFICACIÓN'!$F$3:$F5618,'CLASFICACIÓN'!$G$3:$G5618=M1101)"),"SOLO 2022 Y 2024")</f>
        <v>SOLO 2022 Y 2024</v>
      </c>
      <c r="K1101" s="16"/>
      <c r="L1101" s="14" t="s">
        <v>98</v>
      </c>
      <c r="M1101" s="16" t="str">
        <f t="shared" si="1"/>
        <v>505586 Primaria</v>
      </c>
      <c r="N1101" s="17"/>
      <c r="O1101" s="17"/>
      <c r="P1101" s="17"/>
      <c r="Q1101" s="17"/>
      <c r="R1101" s="17"/>
      <c r="S1101" s="17"/>
      <c r="T1101" s="17"/>
    </row>
    <row r="1102">
      <c r="A1102" s="21">
        <v>112.0</v>
      </c>
      <c r="B1102" s="20" t="s">
        <v>90</v>
      </c>
      <c r="C1102" s="20" t="s">
        <v>14</v>
      </c>
      <c r="D1102" s="20" t="s">
        <v>22</v>
      </c>
      <c r="E1102" s="12" t="str">
        <f>IFERROR(__xludf.DUMMYFUNCTION("FILTER(colegios!$B$2:$B5618,colegios!$A$2:$A5618=L1102)"),"50558")</f>
        <v>50558</v>
      </c>
      <c r="F1102" s="14" t="s">
        <v>16</v>
      </c>
      <c r="G1102" s="20" t="s">
        <v>21</v>
      </c>
      <c r="H1102" s="14" t="s">
        <v>32</v>
      </c>
      <c r="I1102" s="22">
        <v>2024.0</v>
      </c>
      <c r="J1102" s="16" t="str">
        <f>IFERROR(__xludf.DUMMYFUNCTION("FILTER('CLASFICACIÓN'!$F$3:$F5618,'CLASFICACIÓN'!$G$3:$G5618=M1102)"),"SOLO 2022 Y 2024")</f>
        <v>SOLO 2022 Y 2024</v>
      </c>
      <c r="K1102" s="16"/>
      <c r="L1102" s="14" t="s">
        <v>98</v>
      </c>
      <c r="M1102" s="16" t="str">
        <f t="shared" si="1"/>
        <v>505586 Primaria</v>
      </c>
      <c r="N1102" s="17"/>
      <c r="O1102" s="17"/>
      <c r="P1102" s="17"/>
      <c r="Q1102" s="17"/>
      <c r="R1102" s="17"/>
      <c r="S1102" s="17"/>
      <c r="T1102" s="17"/>
    </row>
    <row r="1103">
      <c r="A1103" s="21">
        <v>113.0</v>
      </c>
      <c r="B1103" s="20" t="s">
        <v>90</v>
      </c>
      <c r="C1103" s="20" t="s">
        <v>14</v>
      </c>
      <c r="D1103" s="20" t="s">
        <v>22</v>
      </c>
      <c r="E1103" s="12" t="str">
        <f>IFERROR(__xludf.DUMMYFUNCTION("FILTER(colegios!$B$2:$B5618,colegios!$A$2:$A5618=L1103)"),"50558")</f>
        <v>50558</v>
      </c>
      <c r="F1103" s="14" t="s">
        <v>16</v>
      </c>
      <c r="G1103" s="20" t="s">
        <v>21</v>
      </c>
      <c r="H1103" s="14" t="s">
        <v>32</v>
      </c>
      <c r="I1103" s="22">
        <v>2024.0</v>
      </c>
      <c r="J1103" s="16" t="str">
        <f>IFERROR(__xludf.DUMMYFUNCTION("FILTER('CLASFICACIÓN'!$F$3:$F5618,'CLASFICACIÓN'!$G$3:$G5618=M1103)"),"SOLO 2022 Y 2024")</f>
        <v>SOLO 2022 Y 2024</v>
      </c>
      <c r="K1103" s="16"/>
      <c r="L1103" s="14" t="s">
        <v>98</v>
      </c>
      <c r="M1103" s="16" t="str">
        <f t="shared" si="1"/>
        <v>505586 Primaria</v>
      </c>
      <c r="N1103" s="17"/>
      <c r="O1103" s="17"/>
      <c r="P1103" s="17"/>
      <c r="Q1103" s="17"/>
      <c r="R1103" s="17"/>
      <c r="S1103" s="17"/>
      <c r="T1103" s="17"/>
    </row>
    <row r="1104">
      <c r="A1104" s="21">
        <v>115.0</v>
      </c>
      <c r="B1104" s="20" t="s">
        <v>90</v>
      </c>
      <c r="C1104" s="20" t="s">
        <v>14</v>
      </c>
      <c r="D1104" s="20" t="s">
        <v>22</v>
      </c>
      <c r="E1104" s="12" t="str">
        <f>IFERROR(__xludf.DUMMYFUNCTION("FILTER(colegios!$B$2:$B5618,colegios!$A$2:$A5618=L1104)"),"50558")</f>
        <v>50558</v>
      </c>
      <c r="F1104" s="14" t="s">
        <v>16</v>
      </c>
      <c r="G1104" s="20" t="s">
        <v>21</v>
      </c>
      <c r="H1104" s="14" t="s">
        <v>18</v>
      </c>
      <c r="I1104" s="22">
        <v>2024.0</v>
      </c>
      <c r="J1104" s="16" t="str">
        <f>IFERROR(__xludf.DUMMYFUNCTION("FILTER('CLASFICACIÓN'!$F$3:$F5618,'CLASFICACIÓN'!$G$3:$G5618=M1104)"),"SOLO 2022 Y 2024")</f>
        <v>SOLO 2022 Y 2024</v>
      </c>
      <c r="K1104" s="16"/>
      <c r="L1104" s="14" t="s">
        <v>98</v>
      </c>
      <c r="M1104" s="16" t="str">
        <f t="shared" si="1"/>
        <v>505586 Primaria</v>
      </c>
      <c r="N1104" s="17"/>
      <c r="O1104" s="17"/>
      <c r="P1104" s="17"/>
      <c r="Q1104" s="17"/>
      <c r="R1104" s="17"/>
      <c r="S1104" s="17"/>
      <c r="T1104" s="17"/>
    </row>
    <row r="1105">
      <c r="A1105" s="21">
        <v>116.0</v>
      </c>
      <c r="B1105" s="20" t="s">
        <v>90</v>
      </c>
      <c r="C1105" s="20" t="s">
        <v>14</v>
      </c>
      <c r="D1105" s="20" t="s">
        <v>15</v>
      </c>
      <c r="E1105" s="12" t="str">
        <f>IFERROR(__xludf.DUMMYFUNCTION("FILTER(colegios!$B$2:$B5618,colegios!$A$2:$A5618=L1105)"),"50715")</f>
        <v>50715</v>
      </c>
      <c r="F1105" s="14" t="s">
        <v>16</v>
      </c>
      <c r="G1105" s="20" t="s">
        <v>21</v>
      </c>
      <c r="H1105" s="14" t="s">
        <v>24</v>
      </c>
      <c r="I1105" s="22">
        <v>2024.0</v>
      </c>
      <c r="J1105" s="16" t="str">
        <f>IFERROR(__xludf.DUMMYFUNCTION("FILTER('CLASFICACIÓN'!$F$3:$F5618,'CLASFICACIÓN'!$G$3:$G5618=M1105)"),"LOS 3 AÑOS")</f>
        <v>LOS 3 AÑOS</v>
      </c>
      <c r="K1105" s="16"/>
      <c r="L1105" s="14" t="s">
        <v>99</v>
      </c>
      <c r="M1105" s="16" t="str">
        <f t="shared" si="1"/>
        <v>507152 Primaria</v>
      </c>
      <c r="N1105" s="17"/>
      <c r="O1105" s="17"/>
      <c r="P1105" s="17"/>
      <c r="Q1105" s="17"/>
      <c r="R1105" s="17"/>
      <c r="S1105" s="17"/>
      <c r="T1105" s="17"/>
    </row>
    <row r="1106">
      <c r="A1106" s="21">
        <v>117.0</v>
      </c>
      <c r="B1106" s="20" t="s">
        <v>90</v>
      </c>
      <c r="C1106" s="20" t="s">
        <v>14</v>
      </c>
      <c r="D1106" s="20" t="s">
        <v>20</v>
      </c>
      <c r="E1106" s="12" t="str">
        <f>IFERROR(__xludf.DUMMYFUNCTION("FILTER(colegios!$B$2:$B5618,colegios!$A$2:$A5618=L1106)"),"50715")</f>
        <v>50715</v>
      </c>
      <c r="F1106" s="14" t="s">
        <v>16</v>
      </c>
      <c r="G1106" s="20" t="s">
        <v>21</v>
      </c>
      <c r="H1106" s="14" t="s">
        <v>24</v>
      </c>
      <c r="I1106" s="22">
        <v>2024.0</v>
      </c>
      <c r="J1106" s="16" t="str">
        <f>IFERROR(__xludf.DUMMYFUNCTION("FILTER('CLASFICACIÓN'!$F$3:$F5618,'CLASFICACIÓN'!$G$3:$G5618=M1106)"),"LOS 3 AÑOS")</f>
        <v>LOS 3 AÑOS</v>
      </c>
      <c r="K1106" s="16"/>
      <c r="L1106" s="14" t="s">
        <v>99</v>
      </c>
      <c r="M1106" s="16" t="str">
        <f t="shared" si="1"/>
        <v>507154 Primaria</v>
      </c>
      <c r="N1106" s="17"/>
      <c r="O1106" s="17"/>
      <c r="P1106" s="17"/>
      <c r="Q1106" s="17"/>
      <c r="R1106" s="17"/>
      <c r="S1106" s="17"/>
      <c r="T1106" s="17"/>
    </row>
    <row r="1107">
      <c r="A1107" s="21">
        <v>118.0</v>
      </c>
      <c r="B1107" s="20" t="s">
        <v>90</v>
      </c>
      <c r="C1107" s="20" t="s">
        <v>14</v>
      </c>
      <c r="D1107" s="20" t="s">
        <v>22</v>
      </c>
      <c r="E1107" s="12" t="str">
        <f>IFERROR(__xludf.DUMMYFUNCTION("FILTER(colegios!$B$2:$B5618,colegios!$A$2:$A5618=L1107)"),"50715")</f>
        <v>50715</v>
      </c>
      <c r="F1107" s="14" t="s">
        <v>16</v>
      </c>
      <c r="G1107" s="20" t="s">
        <v>17</v>
      </c>
      <c r="H1107" s="14" t="s">
        <v>24</v>
      </c>
      <c r="I1107" s="22">
        <v>2024.0</v>
      </c>
      <c r="J1107" s="16" t="str">
        <f>IFERROR(__xludf.DUMMYFUNCTION("FILTER('CLASFICACIÓN'!$F$3:$F5618,'CLASFICACIÓN'!$G$3:$G5618=M1107)"),"LOS 3 AÑOS")</f>
        <v>LOS 3 AÑOS</v>
      </c>
      <c r="K1107" s="16"/>
      <c r="L1107" s="14" t="s">
        <v>99</v>
      </c>
      <c r="M1107" s="16" t="str">
        <f t="shared" si="1"/>
        <v>507156 Primaria</v>
      </c>
      <c r="N1107" s="17"/>
      <c r="O1107" s="17"/>
      <c r="P1107" s="17"/>
      <c r="Q1107" s="17"/>
      <c r="R1107" s="17"/>
      <c r="S1107" s="17"/>
      <c r="T1107" s="17"/>
    </row>
    <row r="1108">
      <c r="A1108" s="21">
        <v>119.0</v>
      </c>
      <c r="B1108" s="20" t="s">
        <v>90</v>
      </c>
      <c r="C1108" s="20" t="s">
        <v>14</v>
      </c>
      <c r="D1108" s="20" t="s">
        <v>15</v>
      </c>
      <c r="E1108" s="12" t="str">
        <f>IFERROR(__xludf.DUMMYFUNCTION("FILTER(colegios!$B$2:$B5618,colegios!$A$2:$A5618=L1108)"),"50719 VIRGEN DEL CARMEN")</f>
        <v>50719 VIRGEN DEL CARMEN</v>
      </c>
      <c r="F1108" s="14" t="s">
        <v>16</v>
      </c>
      <c r="G1108" s="20" t="s">
        <v>21</v>
      </c>
      <c r="H1108" s="14" t="s">
        <v>18</v>
      </c>
      <c r="I1108" s="22">
        <v>2024.0</v>
      </c>
      <c r="J1108" s="16" t="str">
        <f>IFERROR(__xludf.DUMMYFUNCTION("FILTER('CLASFICACIÓN'!$F$3:$F5618,'CLASFICACIÓN'!$G$3:$G5618=M1108)"),"SOLO 2022 Y 2024")</f>
        <v>SOLO 2022 Y 2024</v>
      </c>
      <c r="K1108" s="16"/>
      <c r="L1108" s="14" t="s">
        <v>100</v>
      </c>
      <c r="M1108" s="16" t="str">
        <f t="shared" si="1"/>
        <v>50719 VIRGEN DEL CARMEN2 Primaria</v>
      </c>
      <c r="N1108" s="17"/>
      <c r="O1108" s="17"/>
      <c r="P1108" s="17"/>
      <c r="Q1108" s="17"/>
      <c r="R1108" s="17"/>
      <c r="S1108" s="17"/>
      <c r="T1108" s="17"/>
    </row>
    <row r="1109">
      <c r="A1109" s="21">
        <v>120.0</v>
      </c>
      <c r="B1109" s="20" t="s">
        <v>90</v>
      </c>
      <c r="C1109" s="20" t="s">
        <v>14</v>
      </c>
      <c r="D1109" s="20" t="s">
        <v>15</v>
      </c>
      <c r="E1109" s="12" t="str">
        <f>IFERROR(__xludf.DUMMYFUNCTION("FILTER(colegios!$B$2:$B5618,colegios!$A$2:$A5618=L1109)"),"50719 VIRGEN DEL CARMEN")</f>
        <v>50719 VIRGEN DEL CARMEN</v>
      </c>
      <c r="F1109" s="14" t="s">
        <v>16</v>
      </c>
      <c r="G1109" s="20" t="s">
        <v>21</v>
      </c>
      <c r="H1109" s="14" t="s">
        <v>32</v>
      </c>
      <c r="I1109" s="22">
        <v>2024.0</v>
      </c>
      <c r="J1109" s="16" t="str">
        <f>IFERROR(__xludf.DUMMYFUNCTION("FILTER('CLASFICACIÓN'!$F$3:$F5618,'CLASFICACIÓN'!$G$3:$G5618=M1109)"),"SOLO 2022 Y 2024")</f>
        <v>SOLO 2022 Y 2024</v>
      </c>
      <c r="K1109" s="16"/>
      <c r="L1109" s="14" t="s">
        <v>100</v>
      </c>
      <c r="M1109" s="16" t="str">
        <f t="shared" si="1"/>
        <v>50719 VIRGEN DEL CARMEN2 Primaria</v>
      </c>
      <c r="N1109" s="17"/>
      <c r="O1109" s="17"/>
      <c r="P1109" s="17"/>
      <c r="Q1109" s="17"/>
      <c r="R1109" s="17"/>
      <c r="S1109" s="17"/>
      <c r="T1109" s="17"/>
    </row>
    <row r="1110">
      <c r="A1110" s="21">
        <v>121.0</v>
      </c>
      <c r="B1110" s="20" t="s">
        <v>90</v>
      </c>
      <c r="C1110" s="20" t="s">
        <v>14</v>
      </c>
      <c r="D1110" s="20" t="s">
        <v>15</v>
      </c>
      <c r="E1110" s="12" t="str">
        <f>IFERROR(__xludf.DUMMYFUNCTION("FILTER(colegios!$B$2:$B5618,colegios!$A$2:$A5618=L1110)"),"50719 VIRGEN DEL CARMEN")</f>
        <v>50719 VIRGEN DEL CARMEN</v>
      </c>
      <c r="F1110" s="14" t="s">
        <v>16</v>
      </c>
      <c r="G1110" s="20" t="s">
        <v>17</v>
      </c>
      <c r="H1110" s="14" t="s">
        <v>24</v>
      </c>
      <c r="I1110" s="22">
        <v>2024.0</v>
      </c>
      <c r="J1110" s="16" t="str">
        <f>IFERROR(__xludf.DUMMYFUNCTION("FILTER('CLASFICACIÓN'!$F$3:$F5618,'CLASFICACIÓN'!$G$3:$G5618=M1110)"),"SOLO 2022 Y 2024")</f>
        <v>SOLO 2022 Y 2024</v>
      </c>
      <c r="K1110" s="16"/>
      <c r="L1110" s="14" t="s">
        <v>100</v>
      </c>
      <c r="M1110" s="16" t="str">
        <f t="shared" si="1"/>
        <v>50719 VIRGEN DEL CARMEN2 Primaria</v>
      </c>
      <c r="N1110" s="17"/>
      <c r="O1110" s="17"/>
      <c r="P1110" s="17"/>
      <c r="Q1110" s="17"/>
      <c r="R1110" s="17"/>
      <c r="S1110" s="17"/>
      <c r="T1110" s="17"/>
    </row>
    <row r="1111">
      <c r="A1111" s="21">
        <v>122.0</v>
      </c>
      <c r="B1111" s="20" t="s">
        <v>90</v>
      </c>
      <c r="C1111" s="20" t="s">
        <v>14</v>
      </c>
      <c r="D1111" s="20" t="s">
        <v>15</v>
      </c>
      <c r="E1111" s="12" t="str">
        <f>IFERROR(__xludf.DUMMYFUNCTION("FILTER(colegios!$B$2:$B5618,colegios!$A$2:$A5618=L1111)"),"50719 VIRGEN DEL CARMEN")</f>
        <v>50719 VIRGEN DEL CARMEN</v>
      </c>
      <c r="F1111" s="14" t="s">
        <v>16</v>
      </c>
      <c r="G1111" s="20" t="s">
        <v>21</v>
      </c>
      <c r="H1111" s="14" t="s">
        <v>24</v>
      </c>
      <c r="I1111" s="22">
        <v>2024.0</v>
      </c>
      <c r="J1111" s="16" t="str">
        <f>IFERROR(__xludf.DUMMYFUNCTION("FILTER('CLASFICACIÓN'!$F$3:$F5618,'CLASFICACIÓN'!$G$3:$G5618=M1111)"),"SOLO 2022 Y 2024")</f>
        <v>SOLO 2022 Y 2024</v>
      </c>
      <c r="K1111" s="16"/>
      <c r="L1111" s="14" t="s">
        <v>100</v>
      </c>
      <c r="M1111" s="16" t="str">
        <f t="shared" si="1"/>
        <v>50719 VIRGEN DEL CARMEN2 Primaria</v>
      </c>
      <c r="N1111" s="17"/>
      <c r="O1111" s="17"/>
      <c r="P1111" s="17"/>
      <c r="Q1111" s="17"/>
      <c r="R1111" s="17"/>
      <c r="S1111" s="17"/>
      <c r="T1111" s="17"/>
    </row>
    <row r="1112">
      <c r="A1112" s="21">
        <v>123.0</v>
      </c>
      <c r="B1112" s="20" t="s">
        <v>90</v>
      </c>
      <c r="C1112" s="20" t="s">
        <v>14</v>
      </c>
      <c r="D1112" s="20" t="s">
        <v>15</v>
      </c>
      <c r="E1112" s="12" t="str">
        <f>IFERROR(__xludf.DUMMYFUNCTION("FILTER(colegios!$B$2:$B5618,colegios!$A$2:$A5618=L1112)"),"50719 VIRGEN DEL CARMEN")</f>
        <v>50719 VIRGEN DEL CARMEN</v>
      </c>
      <c r="F1112" s="14" t="s">
        <v>16</v>
      </c>
      <c r="G1112" s="20" t="s">
        <v>21</v>
      </c>
      <c r="H1112" s="14" t="s">
        <v>32</v>
      </c>
      <c r="I1112" s="22">
        <v>2024.0</v>
      </c>
      <c r="J1112" s="16" t="str">
        <f>IFERROR(__xludf.DUMMYFUNCTION("FILTER('CLASFICACIÓN'!$F$3:$F5618,'CLASFICACIÓN'!$G$3:$G5618=M1112)"),"SOLO 2022 Y 2024")</f>
        <v>SOLO 2022 Y 2024</v>
      </c>
      <c r="K1112" s="16"/>
      <c r="L1112" s="14" t="s">
        <v>100</v>
      </c>
      <c r="M1112" s="16" t="str">
        <f t="shared" si="1"/>
        <v>50719 VIRGEN DEL CARMEN2 Primaria</v>
      </c>
      <c r="N1112" s="17"/>
      <c r="O1112" s="17"/>
      <c r="P1112" s="17"/>
      <c r="Q1112" s="17"/>
      <c r="R1112" s="17"/>
      <c r="S1112" s="17"/>
      <c r="T1112" s="17"/>
    </row>
    <row r="1113">
      <c r="A1113" s="21">
        <v>124.0</v>
      </c>
      <c r="B1113" s="20" t="s">
        <v>90</v>
      </c>
      <c r="C1113" s="20" t="s">
        <v>14</v>
      </c>
      <c r="D1113" s="20" t="s">
        <v>15</v>
      </c>
      <c r="E1113" s="12" t="str">
        <f>IFERROR(__xludf.DUMMYFUNCTION("FILTER(colegios!$B$2:$B5618,colegios!$A$2:$A5618=L1113)"),"50719 VIRGEN DEL CARMEN")</f>
        <v>50719 VIRGEN DEL CARMEN</v>
      </c>
      <c r="F1113" s="14" t="s">
        <v>16</v>
      </c>
      <c r="G1113" s="20" t="s">
        <v>17</v>
      </c>
      <c r="H1113" s="14" t="s">
        <v>32</v>
      </c>
      <c r="I1113" s="22">
        <v>2024.0</v>
      </c>
      <c r="J1113" s="16" t="str">
        <f>IFERROR(__xludf.DUMMYFUNCTION("FILTER('CLASFICACIÓN'!$F$3:$F5618,'CLASFICACIÓN'!$G$3:$G5618=M1113)"),"SOLO 2022 Y 2024")</f>
        <v>SOLO 2022 Y 2024</v>
      </c>
      <c r="K1113" s="16"/>
      <c r="L1113" s="14" t="s">
        <v>100</v>
      </c>
      <c r="M1113" s="16" t="str">
        <f t="shared" si="1"/>
        <v>50719 VIRGEN DEL CARMEN2 Primaria</v>
      </c>
      <c r="N1113" s="17"/>
      <c r="O1113" s="17"/>
      <c r="P1113" s="17"/>
      <c r="Q1113" s="17"/>
      <c r="R1113" s="17"/>
      <c r="S1113" s="17"/>
      <c r="T1113" s="17"/>
    </row>
    <row r="1114">
      <c r="A1114" s="21">
        <v>125.0</v>
      </c>
      <c r="B1114" s="20" t="s">
        <v>90</v>
      </c>
      <c r="C1114" s="20" t="s">
        <v>14</v>
      </c>
      <c r="D1114" s="20" t="s">
        <v>15</v>
      </c>
      <c r="E1114" s="12" t="str">
        <f>IFERROR(__xludf.DUMMYFUNCTION("FILTER(colegios!$B$2:$B5618,colegios!$A$2:$A5618=L1114)"),"50719 VIRGEN DEL CARMEN")</f>
        <v>50719 VIRGEN DEL CARMEN</v>
      </c>
      <c r="F1114" s="14" t="s">
        <v>16</v>
      </c>
      <c r="G1114" s="20" t="s">
        <v>21</v>
      </c>
      <c r="H1114" s="14" t="s">
        <v>32</v>
      </c>
      <c r="I1114" s="22">
        <v>2024.0</v>
      </c>
      <c r="J1114" s="16" t="str">
        <f>IFERROR(__xludf.DUMMYFUNCTION("FILTER('CLASFICACIÓN'!$F$3:$F5618,'CLASFICACIÓN'!$G$3:$G5618=M1114)"),"SOLO 2022 Y 2024")</f>
        <v>SOLO 2022 Y 2024</v>
      </c>
      <c r="K1114" s="16"/>
      <c r="L1114" s="14" t="s">
        <v>100</v>
      </c>
      <c r="M1114" s="16" t="str">
        <f t="shared" si="1"/>
        <v>50719 VIRGEN DEL CARMEN2 Primaria</v>
      </c>
      <c r="N1114" s="17"/>
      <c r="O1114" s="17"/>
      <c r="P1114" s="17"/>
      <c r="Q1114" s="17"/>
      <c r="R1114" s="17"/>
      <c r="S1114" s="17"/>
      <c r="T1114" s="17"/>
    </row>
    <row r="1115">
      <c r="A1115" s="21">
        <v>126.0</v>
      </c>
      <c r="B1115" s="20" t="s">
        <v>90</v>
      </c>
      <c r="C1115" s="20" t="s">
        <v>14</v>
      </c>
      <c r="D1115" s="20" t="s">
        <v>15</v>
      </c>
      <c r="E1115" s="12" t="str">
        <f>IFERROR(__xludf.DUMMYFUNCTION("FILTER(colegios!$B$2:$B5618,colegios!$A$2:$A5618=L1115)"),"50719 VIRGEN DEL CARMEN")</f>
        <v>50719 VIRGEN DEL CARMEN</v>
      </c>
      <c r="F1115" s="14" t="s">
        <v>16</v>
      </c>
      <c r="G1115" s="20" t="s">
        <v>17</v>
      </c>
      <c r="H1115" s="14" t="s">
        <v>32</v>
      </c>
      <c r="I1115" s="22">
        <v>2024.0</v>
      </c>
      <c r="J1115" s="16" t="str">
        <f>IFERROR(__xludf.DUMMYFUNCTION("FILTER('CLASFICACIÓN'!$F$3:$F5618,'CLASFICACIÓN'!$G$3:$G5618=M1115)"),"SOLO 2022 Y 2024")</f>
        <v>SOLO 2022 Y 2024</v>
      </c>
      <c r="K1115" s="16"/>
      <c r="L1115" s="14" t="s">
        <v>100</v>
      </c>
      <c r="M1115" s="16" t="str">
        <f t="shared" si="1"/>
        <v>50719 VIRGEN DEL CARMEN2 Primaria</v>
      </c>
      <c r="N1115" s="17"/>
      <c r="O1115" s="17"/>
      <c r="P1115" s="17"/>
      <c r="Q1115" s="17"/>
      <c r="R1115" s="17"/>
      <c r="S1115" s="17"/>
      <c r="T1115" s="17"/>
    </row>
    <row r="1116">
      <c r="A1116" s="21">
        <v>127.0</v>
      </c>
      <c r="B1116" s="20" t="s">
        <v>90</v>
      </c>
      <c r="C1116" s="20" t="s">
        <v>14</v>
      </c>
      <c r="D1116" s="20" t="s">
        <v>15</v>
      </c>
      <c r="E1116" s="12" t="str">
        <f>IFERROR(__xludf.DUMMYFUNCTION("FILTER(colegios!$B$2:$B5618,colegios!$A$2:$A5618=L1116)"),"50719 VIRGEN DEL CARMEN")</f>
        <v>50719 VIRGEN DEL CARMEN</v>
      </c>
      <c r="F1116" s="14" t="s">
        <v>16</v>
      </c>
      <c r="G1116" s="20" t="s">
        <v>21</v>
      </c>
      <c r="H1116" s="14" t="s">
        <v>18</v>
      </c>
      <c r="I1116" s="22">
        <v>2024.0</v>
      </c>
      <c r="J1116" s="16" t="str">
        <f>IFERROR(__xludf.DUMMYFUNCTION("FILTER('CLASFICACIÓN'!$F$3:$F5618,'CLASFICACIÓN'!$G$3:$G5618=M1116)"),"SOLO 2022 Y 2024")</f>
        <v>SOLO 2022 Y 2024</v>
      </c>
      <c r="K1116" s="16"/>
      <c r="L1116" s="14" t="s">
        <v>100</v>
      </c>
      <c r="M1116" s="16" t="str">
        <f t="shared" si="1"/>
        <v>50719 VIRGEN DEL CARMEN2 Primaria</v>
      </c>
      <c r="N1116" s="17"/>
      <c r="O1116" s="17"/>
      <c r="P1116" s="17"/>
      <c r="Q1116" s="17"/>
      <c r="R1116" s="17"/>
      <c r="S1116" s="17"/>
      <c r="T1116" s="17"/>
    </row>
    <row r="1117">
      <c r="A1117" s="21">
        <v>128.0</v>
      </c>
      <c r="B1117" s="20" t="s">
        <v>90</v>
      </c>
      <c r="C1117" s="20" t="s">
        <v>14</v>
      </c>
      <c r="D1117" s="20" t="s">
        <v>15</v>
      </c>
      <c r="E1117" s="12" t="str">
        <f>IFERROR(__xludf.DUMMYFUNCTION("FILTER(colegios!$B$2:$B5618,colegios!$A$2:$A5618=L1117)"),"50719 VIRGEN DEL CARMEN")</f>
        <v>50719 VIRGEN DEL CARMEN</v>
      </c>
      <c r="F1117" s="14" t="s">
        <v>16</v>
      </c>
      <c r="G1117" s="20" t="s">
        <v>17</v>
      </c>
      <c r="H1117" s="14" t="s">
        <v>18</v>
      </c>
      <c r="I1117" s="22">
        <v>2024.0</v>
      </c>
      <c r="J1117" s="16" t="str">
        <f>IFERROR(__xludf.DUMMYFUNCTION("FILTER('CLASFICACIÓN'!$F$3:$F5618,'CLASFICACIÓN'!$G$3:$G5618=M1117)"),"SOLO 2022 Y 2024")</f>
        <v>SOLO 2022 Y 2024</v>
      </c>
      <c r="K1117" s="16"/>
      <c r="L1117" s="14" t="s">
        <v>100</v>
      </c>
      <c r="M1117" s="16" t="str">
        <f t="shared" si="1"/>
        <v>50719 VIRGEN DEL CARMEN2 Primaria</v>
      </c>
      <c r="N1117" s="17"/>
      <c r="O1117" s="17"/>
      <c r="P1117" s="17"/>
      <c r="Q1117" s="17"/>
      <c r="R1117" s="17"/>
      <c r="S1117" s="17"/>
      <c r="T1117" s="17"/>
    </row>
    <row r="1118">
      <c r="A1118" s="21">
        <v>129.0</v>
      </c>
      <c r="B1118" s="20" t="s">
        <v>90</v>
      </c>
      <c r="C1118" s="20" t="s">
        <v>14</v>
      </c>
      <c r="D1118" s="20" t="s">
        <v>15</v>
      </c>
      <c r="E1118" s="12" t="str">
        <f>IFERROR(__xludf.DUMMYFUNCTION("FILTER(colegios!$B$2:$B5618,colegios!$A$2:$A5618=L1118)"),"50719 VIRGEN DEL CARMEN")</f>
        <v>50719 VIRGEN DEL CARMEN</v>
      </c>
      <c r="F1118" s="14" t="s">
        <v>16</v>
      </c>
      <c r="G1118" s="20" t="s">
        <v>21</v>
      </c>
      <c r="H1118" s="14" t="s">
        <v>24</v>
      </c>
      <c r="I1118" s="22">
        <v>2024.0</v>
      </c>
      <c r="J1118" s="16" t="str">
        <f>IFERROR(__xludf.DUMMYFUNCTION("FILTER('CLASFICACIÓN'!$F$3:$F5618,'CLASFICACIÓN'!$G$3:$G5618=M1118)"),"SOLO 2022 Y 2024")</f>
        <v>SOLO 2022 Y 2024</v>
      </c>
      <c r="K1118" s="16"/>
      <c r="L1118" s="14" t="s">
        <v>100</v>
      </c>
      <c r="M1118" s="16" t="str">
        <f t="shared" si="1"/>
        <v>50719 VIRGEN DEL CARMEN2 Primaria</v>
      </c>
      <c r="N1118" s="17"/>
      <c r="O1118" s="17"/>
      <c r="P1118" s="17"/>
      <c r="Q1118" s="17"/>
      <c r="R1118" s="17"/>
      <c r="S1118" s="17"/>
      <c r="T1118" s="17"/>
    </row>
    <row r="1119">
      <c r="A1119" s="21">
        <v>130.0</v>
      </c>
      <c r="B1119" s="20" t="s">
        <v>90</v>
      </c>
      <c r="C1119" s="20" t="s">
        <v>14</v>
      </c>
      <c r="D1119" s="20" t="s">
        <v>15</v>
      </c>
      <c r="E1119" s="12" t="str">
        <f>IFERROR(__xludf.DUMMYFUNCTION("FILTER(colegios!$B$2:$B5618,colegios!$A$2:$A5618=L1119)"),"50719 VIRGEN DEL CARMEN")</f>
        <v>50719 VIRGEN DEL CARMEN</v>
      </c>
      <c r="F1119" s="14" t="s">
        <v>16</v>
      </c>
      <c r="G1119" s="20" t="s">
        <v>21</v>
      </c>
      <c r="H1119" s="14" t="s">
        <v>24</v>
      </c>
      <c r="I1119" s="22">
        <v>2024.0</v>
      </c>
      <c r="J1119" s="16" t="str">
        <f>IFERROR(__xludf.DUMMYFUNCTION("FILTER('CLASFICACIÓN'!$F$3:$F5618,'CLASFICACIÓN'!$G$3:$G5618=M1119)"),"SOLO 2022 Y 2024")</f>
        <v>SOLO 2022 Y 2024</v>
      </c>
      <c r="K1119" s="16"/>
      <c r="L1119" s="14" t="s">
        <v>100</v>
      </c>
      <c r="M1119" s="16" t="str">
        <f t="shared" si="1"/>
        <v>50719 VIRGEN DEL CARMEN2 Primaria</v>
      </c>
      <c r="N1119" s="17"/>
      <c r="O1119" s="17"/>
      <c r="P1119" s="17"/>
      <c r="Q1119" s="17"/>
      <c r="R1119" s="17"/>
      <c r="S1119" s="17"/>
      <c r="T1119" s="17"/>
    </row>
    <row r="1120">
      <c r="A1120" s="21">
        <v>133.0</v>
      </c>
      <c r="B1120" s="20" t="s">
        <v>90</v>
      </c>
      <c r="C1120" s="20" t="s">
        <v>14</v>
      </c>
      <c r="D1120" s="20" t="s">
        <v>15</v>
      </c>
      <c r="E1120" s="12" t="str">
        <f>IFERROR(__xludf.DUMMYFUNCTION("FILTER(colegios!$B$2:$B5618,colegios!$A$2:$A5618=L1120)"),"50719 VIRGEN DEL CARMEN")</f>
        <v>50719 VIRGEN DEL CARMEN</v>
      </c>
      <c r="F1120" s="14" t="s">
        <v>16</v>
      </c>
      <c r="G1120" s="20" t="s">
        <v>17</v>
      </c>
      <c r="H1120" s="14" t="s">
        <v>24</v>
      </c>
      <c r="I1120" s="22">
        <v>2024.0</v>
      </c>
      <c r="J1120" s="16" t="str">
        <f>IFERROR(__xludf.DUMMYFUNCTION("FILTER('CLASFICACIÓN'!$F$3:$F5618,'CLASFICACIÓN'!$G$3:$G5618=M1120)"),"SOLO 2022 Y 2024")</f>
        <v>SOLO 2022 Y 2024</v>
      </c>
      <c r="K1120" s="16"/>
      <c r="L1120" s="14" t="s">
        <v>100</v>
      </c>
      <c r="M1120" s="16" t="str">
        <f t="shared" si="1"/>
        <v>50719 VIRGEN DEL CARMEN2 Primaria</v>
      </c>
      <c r="N1120" s="17"/>
      <c r="O1120" s="17"/>
      <c r="P1120" s="17"/>
      <c r="Q1120" s="17"/>
      <c r="R1120" s="17"/>
      <c r="S1120" s="17"/>
      <c r="T1120" s="17"/>
    </row>
    <row r="1121">
      <c r="A1121" s="21">
        <v>134.0</v>
      </c>
      <c r="B1121" s="20" t="s">
        <v>90</v>
      </c>
      <c r="C1121" s="20" t="s">
        <v>14</v>
      </c>
      <c r="D1121" s="20" t="s">
        <v>15</v>
      </c>
      <c r="E1121" s="12" t="str">
        <f>IFERROR(__xludf.DUMMYFUNCTION("FILTER(colegios!$B$2:$B5618,colegios!$A$2:$A5618=L1121)"),"50719 VIRGEN DEL CARMEN")</f>
        <v>50719 VIRGEN DEL CARMEN</v>
      </c>
      <c r="F1121" s="14" t="s">
        <v>16</v>
      </c>
      <c r="G1121" s="20" t="s">
        <v>21</v>
      </c>
      <c r="H1121" s="14" t="s">
        <v>32</v>
      </c>
      <c r="I1121" s="22">
        <v>2024.0</v>
      </c>
      <c r="J1121" s="16" t="str">
        <f>IFERROR(__xludf.DUMMYFUNCTION("FILTER('CLASFICACIÓN'!$F$3:$F5618,'CLASFICACIÓN'!$G$3:$G5618=M1121)"),"SOLO 2022 Y 2024")</f>
        <v>SOLO 2022 Y 2024</v>
      </c>
      <c r="K1121" s="16"/>
      <c r="L1121" s="14" t="s">
        <v>100</v>
      </c>
      <c r="M1121" s="16" t="str">
        <f t="shared" si="1"/>
        <v>50719 VIRGEN DEL CARMEN2 Primaria</v>
      </c>
      <c r="N1121" s="17"/>
      <c r="O1121" s="17"/>
      <c r="P1121" s="17"/>
      <c r="Q1121" s="17"/>
      <c r="R1121" s="17"/>
      <c r="S1121" s="17"/>
      <c r="T1121" s="17"/>
    </row>
    <row r="1122">
      <c r="A1122" s="21">
        <v>136.0</v>
      </c>
      <c r="B1122" s="20" t="s">
        <v>90</v>
      </c>
      <c r="C1122" s="20" t="s">
        <v>14</v>
      </c>
      <c r="D1122" s="20" t="s">
        <v>20</v>
      </c>
      <c r="E1122" s="12" t="str">
        <f>IFERROR(__xludf.DUMMYFUNCTION("FILTER(colegios!$B$2:$B5618,colegios!$A$2:$A5618=L1122)"),"50719 VIRGEN DEL CARMEN")</f>
        <v>50719 VIRGEN DEL CARMEN</v>
      </c>
      <c r="F1122" s="14" t="s">
        <v>16</v>
      </c>
      <c r="G1122" s="20" t="s">
        <v>17</v>
      </c>
      <c r="H1122" s="14" t="s">
        <v>18</v>
      </c>
      <c r="I1122" s="22">
        <v>2024.0</v>
      </c>
      <c r="J1122" s="16" t="str">
        <f>IFERROR(__xludf.DUMMYFUNCTION("FILTER('CLASFICACIÓN'!$F$3:$F5618,'CLASFICACIÓN'!$G$3:$G5618=M1122)"),"SOLO 2022 Y 2024")</f>
        <v>SOLO 2022 Y 2024</v>
      </c>
      <c r="K1122" s="16"/>
      <c r="L1122" s="14" t="s">
        <v>100</v>
      </c>
      <c r="M1122" s="16" t="str">
        <f t="shared" si="1"/>
        <v>50719 VIRGEN DEL CARMEN4 Primaria</v>
      </c>
      <c r="N1122" s="17"/>
      <c r="O1122" s="17"/>
      <c r="P1122" s="17"/>
      <c r="Q1122" s="17"/>
      <c r="R1122" s="17"/>
      <c r="S1122" s="17"/>
      <c r="T1122" s="17"/>
    </row>
    <row r="1123">
      <c r="A1123" s="21">
        <v>137.0</v>
      </c>
      <c r="B1123" s="20" t="s">
        <v>90</v>
      </c>
      <c r="C1123" s="20" t="s">
        <v>14</v>
      </c>
      <c r="D1123" s="20" t="s">
        <v>20</v>
      </c>
      <c r="E1123" s="12" t="str">
        <f>IFERROR(__xludf.DUMMYFUNCTION("FILTER(colegios!$B$2:$B5618,colegios!$A$2:$A5618=L1123)"),"50719 VIRGEN DEL CARMEN")</f>
        <v>50719 VIRGEN DEL CARMEN</v>
      </c>
      <c r="F1123" s="14" t="s">
        <v>16</v>
      </c>
      <c r="G1123" s="20" t="s">
        <v>17</v>
      </c>
      <c r="H1123" s="14" t="s">
        <v>18</v>
      </c>
      <c r="I1123" s="22">
        <v>2024.0</v>
      </c>
      <c r="J1123" s="16" t="str">
        <f>IFERROR(__xludf.DUMMYFUNCTION("FILTER('CLASFICACIÓN'!$F$3:$F5618,'CLASFICACIÓN'!$G$3:$G5618=M1123)"),"SOLO 2022 Y 2024")</f>
        <v>SOLO 2022 Y 2024</v>
      </c>
      <c r="K1123" s="16"/>
      <c r="L1123" s="14" t="s">
        <v>100</v>
      </c>
      <c r="M1123" s="16" t="str">
        <f t="shared" si="1"/>
        <v>50719 VIRGEN DEL CARMEN4 Primaria</v>
      </c>
      <c r="N1123" s="17"/>
      <c r="O1123" s="17"/>
      <c r="P1123" s="17"/>
      <c r="Q1123" s="17"/>
      <c r="R1123" s="17"/>
      <c r="S1123" s="17"/>
      <c r="T1123" s="17"/>
    </row>
    <row r="1124">
      <c r="A1124" s="21">
        <v>138.0</v>
      </c>
      <c r="B1124" s="20" t="s">
        <v>90</v>
      </c>
      <c r="C1124" s="20" t="s">
        <v>14</v>
      </c>
      <c r="D1124" s="20" t="s">
        <v>20</v>
      </c>
      <c r="E1124" s="12" t="str">
        <f>IFERROR(__xludf.DUMMYFUNCTION("FILTER(colegios!$B$2:$B5618,colegios!$A$2:$A5618=L1124)"),"50719 VIRGEN DEL CARMEN")</f>
        <v>50719 VIRGEN DEL CARMEN</v>
      </c>
      <c r="F1124" s="14" t="s">
        <v>16</v>
      </c>
      <c r="G1124" s="20" t="s">
        <v>21</v>
      </c>
      <c r="H1124" s="14" t="s">
        <v>18</v>
      </c>
      <c r="I1124" s="22">
        <v>2024.0</v>
      </c>
      <c r="J1124" s="16" t="str">
        <f>IFERROR(__xludf.DUMMYFUNCTION("FILTER('CLASFICACIÓN'!$F$3:$F5618,'CLASFICACIÓN'!$G$3:$G5618=M1124)"),"SOLO 2022 Y 2024")</f>
        <v>SOLO 2022 Y 2024</v>
      </c>
      <c r="K1124" s="16"/>
      <c r="L1124" s="14" t="s">
        <v>100</v>
      </c>
      <c r="M1124" s="16" t="str">
        <f t="shared" si="1"/>
        <v>50719 VIRGEN DEL CARMEN4 Primaria</v>
      </c>
      <c r="N1124" s="17"/>
      <c r="O1124" s="17"/>
      <c r="P1124" s="17"/>
      <c r="Q1124" s="17"/>
      <c r="R1124" s="17"/>
      <c r="S1124" s="17"/>
      <c r="T1124" s="17"/>
    </row>
    <row r="1125">
      <c r="A1125" s="21">
        <v>139.0</v>
      </c>
      <c r="B1125" s="20" t="s">
        <v>90</v>
      </c>
      <c r="C1125" s="20" t="s">
        <v>14</v>
      </c>
      <c r="D1125" s="20" t="s">
        <v>20</v>
      </c>
      <c r="E1125" s="12" t="str">
        <f>IFERROR(__xludf.DUMMYFUNCTION("FILTER(colegios!$B$2:$B5618,colegios!$A$2:$A5618=L1125)"),"50719 VIRGEN DEL CARMEN")</f>
        <v>50719 VIRGEN DEL CARMEN</v>
      </c>
      <c r="F1125" s="14" t="s">
        <v>16</v>
      </c>
      <c r="G1125" s="20" t="s">
        <v>17</v>
      </c>
      <c r="H1125" s="14" t="s">
        <v>18</v>
      </c>
      <c r="I1125" s="22">
        <v>2024.0</v>
      </c>
      <c r="J1125" s="16" t="str">
        <f>IFERROR(__xludf.DUMMYFUNCTION("FILTER('CLASFICACIÓN'!$F$3:$F5618,'CLASFICACIÓN'!$G$3:$G5618=M1125)"),"SOLO 2022 Y 2024")</f>
        <v>SOLO 2022 Y 2024</v>
      </c>
      <c r="K1125" s="16"/>
      <c r="L1125" s="14" t="s">
        <v>100</v>
      </c>
      <c r="M1125" s="16" t="str">
        <f t="shared" si="1"/>
        <v>50719 VIRGEN DEL CARMEN4 Primaria</v>
      </c>
      <c r="N1125" s="17"/>
      <c r="O1125" s="17"/>
      <c r="P1125" s="17"/>
      <c r="Q1125" s="17"/>
      <c r="R1125" s="17"/>
      <c r="S1125" s="17"/>
      <c r="T1125" s="17"/>
    </row>
    <row r="1126">
      <c r="A1126" s="21">
        <v>140.0</v>
      </c>
      <c r="B1126" s="20" t="s">
        <v>90</v>
      </c>
      <c r="C1126" s="20" t="s">
        <v>14</v>
      </c>
      <c r="D1126" s="20" t="s">
        <v>20</v>
      </c>
      <c r="E1126" s="12" t="str">
        <f>IFERROR(__xludf.DUMMYFUNCTION("FILTER(colegios!$B$2:$B5618,colegios!$A$2:$A5618=L1126)"),"50719 VIRGEN DEL CARMEN")</f>
        <v>50719 VIRGEN DEL CARMEN</v>
      </c>
      <c r="F1126" s="14" t="s">
        <v>16</v>
      </c>
      <c r="G1126" s="20" t="s">
        <v>21</v>
      </c>
      <c r="H1126" s="14" t="s">
        <v>32</v>
      </c>
      <c r="I1126" s="22">
        <v>2024.0</v>
      </c>
      <c r="J1126" s="16" t="str">
        <f>IFERROR(__xludf.DUMMYFUNCTION("FILTER('CLASFICACIÓN'!$F$3:$F5618,'CLASFICACIÓN'!$G$3:$G5618=M1126)"),"SOLO 2022 Y 2024")</f>
        <v>SOLO 2022 Y 2024</v>
      </c>
      <c r="K1126" s="16"/>
      <c r="L1126" s="14" t="s">
        <v>100</v>
      </c>
      <c r="M1126" s="16" t="str">
        <f t="shared" si="1"/>
        <v>50719 VIRGEN DEL CARMEN4 Primaria</v>
      </c>
      <c r="N1126" s="17"/>
      <c r="O1126" s="17"/>
      <c r="P1126" s="17"/>
      <c r="Q1126" s="17"/>
      <c r="R1126" s="17"/>
      <c r="S1126" s="17"/>
      <c r="T1126" s="17"/>
    </row>
    <row r="1127">
      <c r="A1127" s="21">
        <v>141.0</v>
      </c>
      <c r="B1127" s="20" t="s">
        <v>90</v>
      </c>
      <c r="C1127" s="20" t="s">
        <v>14</v>
      </c>
      <c r="D1127" s="20" t="s">
        <v>20</v>
      </c>
      <c r="E1127" s="12" t="str">
        <f>IFERROR(__xludf.DUMMYFUNCTION("FILTER(colegios!$B$2:$B5618,colegios!$A$2:$A5618=L1127)"),"50719 VIRGEN DEL CARMEN")</f>
        <v>50719 VIRGEN DEL CARMEN</v>
      </c>
      <c r="F1127" s="14" t="s">
        <v>16</v>
      </c>
      <c r="G1127" s="20" t="s">
        <v>17</v>
      </c>
      <c r="H1127" s="14" t="s">
        <v>18</v>
      </c>
      <c r="I1127" s="22">
        <v>2024.0</v>
      </c>
      <c r="J1127" s="16" t="str">
        <f>IFERROR(__xludf.DUMMYFUNCTION("FILTER('CLASFICACIÓN'!$F$3:$F5618,'CLASFICACIÓN'!$G$3:$G5618=M1127)"),"SOLO 2022 Y 2024")</f>
        <v>SOLO 2022 Y 2024</v>
      </c>
      <c r="K1127" s="16"/>
      <c r="L1127" s="14" t="s">
        <v>100</v>
      </c>
      <c r="M1127" s="16" t="str">
        <f t="shared" si="1"/>
        <v>50719 VIRGEN DEL CARMEN4 Primaria</v>
      </c>
      <c r="N1127" s="17"/>
      <c r="O1127" s="17"/>
      <c r="P1127" s="17"/>
      <c r="Q1127" s="17"/>
      <c r="R1127" s="17"/>
      <c r="S1127" s="17"/>
      <c r="T1127" s="17"/>
    </row>
    <row r="1128">
      <c r="A1128" s="21">
        <v>142.0</v>
      </c>
      <c r="B1128" s="20" t="s">
        <v>90</v>
      </c>
      <c r="C1128" s="20" t="s">
        <v>14</v>
      </c>
      <c r="D1128" s="20" t="s">
        <v>20</v>
      </c>
      <c r="E1128" s="12" t="str">
        <f>IFERROR(__xludf.DUMMYFUNCTION("FILTER(colegios!$B$2:$B5618,colegios!$A$2:$A5618=L1128)"),"50719 VIRGEN DEL CARMEN")</f>
        <v>50719 VIRGEN DEL CARMEN</v>
      </c>
      <c r="F1128" s="14" t="s">
        <v>16</v>
      </c>
      <c r="G1128" s="20" t="s">
        <v>21</v>
      </c>
      <c r="H1128" s="14" t="s">
        <v>24</v>
      </c>
      <c r="I1128" s="22">
        <v>2024.0</v>
      </c>
      <c r="J1128" s="16" t="str">
        <f>IFERROR(__xludf.DUMMYFUNCTION("FILTER('CLASFICACIÓN'!$F$3:$F5618,'CLASFICACIÓN'!$G$3:$G5618=M1128)"),"SOLO 2022 Y 2024")</f>
        <v>SOLO 2022 Y 2024</v>
      </c>
      <c r="K1128" s="16"/>
      <c r="L1128" s="14" t="s">
        <v>100</v>
      </c>
      <c r="M1128" s="16" t="str">
        <f t="shared" si="1"/>
        <v>50719 VIRGEN DEL CARMEN4 Primaria</v>
      </c>
      <c r="N1128" s="17"/>
      <c r="O1128" s="17"/>
      <c r="P1128" s="17"/>
      <c r="Q1128" s="17"/>
      <c r="R1128" s="17"/>
      <c r="S1128" s="17"/>
      <c r="T1128" s="17"/>
    </row>
    <row r="1129">
      <c r="A1129" s="21">
        <v>143.0</v>
      </c>
      <c r="B1129" s="20" t="s">
        <v>90</v>
      </c>
      <c r="C1129" s="20" t="s">
        <v>14</v>
      </c>
      <c r="D1129" s="20" t="s">
        <v>20</v>
      </c>
      <c r="E1129" s="12" t="str">
        <f>IFERROR(__xludf.DUMMYFUNCTION("FILTER(colegios!$B$2:$B5618,colegios!$A$2:$A5618=L1129)"),"50719 VIRGEN DEL CARMEN")</f>
        <v>50719 VIRGEN DEL CARMEN</v>
      </c>
      <c r="F1129" s="14" t="s">
        <v>16</v>
      </c>
      <c r="G1129" s="20" t="s">
        <v>17</v>
      </c>
      <c r="H1129" s="14" t="s">
        <v>18</v>
      </c>
      <c r="I1129" s="22">
        <v>2024.0</v>
      </c>
      <c r="J1129" s="16" t="str">
        <f>IFERROR(__xludf.DUMMYFUNCTION("FILTER('CLASFICACIÓN'!$F$3:$F5618,'CLASFICACIÓN'!$G$3:$G5618=M1129)"),"SOLO 2022 Y 2024")</f>
        <v>SOLO 2022 Y 2024</v>
      </c>
      <c r="K1129" s="16"/>
      <c r="L1129" s="14" t="s">
        <v>100</v>
      </c>
      <c r="M1129" s="16" t="str">
        <f t="shared" si="1"/>
        <v>50719 VIRGEN DEL CARMEN4 Primaria</v>
      </c>
      <c r="N1129" s="17"/>
      <c r="O1129" s="17"/>
      <c r="P1129" s="17"/>
      <c r="Q1129" s="17"/>
      <c r="R1129" s="17"/>
      <c r="S1129" s="17"/>
      <c r="T1129" s="17"/>
    </row>
    <row r="1130">
      <c r="A1130" s="21">
        <v>144.0</v>
      </c>
      <c r="B1130" s="20" t="s">
        <v>90</v>
      </c>
      <c r="C1130" s="20" t="s">
        <v>14</v>
      </c>
      <c r="D1130" s="20" t="s">
        <v>20</v>
      </c>
      <c r="E1130" s="12" t="str">
        <f>IFERROR(__xludf.DUMMYFUNCTION("FILTER(colegios!$B$2:$B5618,colegios!$A$2:$A5618=L1130)"),"50719 VIRGEN DEL CARMEN")</f>
        <v>50719 VIRGEN DEL CARMEN</v>
      </c>
      <c r="F1130" s="14" t="s">
        <v>16</v>
      </c>
      <c r="G1130" s="20" t="s">
        <v>21</v>
      </c>
      <c r="H1130" s="14" t="s">
        <v>18</v>
      </c>
      <c r="I1130" s="22">
        <v>2024.0</v>
      </c>
      <c r="J1130" s="16" t="str">
        <f>IFERROR(__xludf.DUMMYFUNCTION("FILTER('CLASFICACIÓN'!$F$3:$F5618,'CLASFICACIÓN'!$G$3:$G5618=M1130)"),"SOLO 2022 Y 2024")</f>
        <v>SOLO 2022 Y 2024</v>
      </c>
      <c r="K1130" s="16"/>
      <c r="L1130" s="14" t="s">
        <v>100</v>
      </c>
      <c r="M1130" s="16" t="str">
        <f t="shared" si="1"/>
        <v>50719 VIRGEN DEL CARMEN4 Primaria</v>
      </c>
      <c r="N1130" s="17"/>
      <c r="O1130" s="17"/>
      <c r="P1130" s="17"/>
      <c r="Q1130" s="17"/>
      <c r="R1130" s="17"/>
      <c r="S1130" s="17"/>
      <c r="T1130" s="17"/>
    </row>
    <row r="1131">
      <c r="A1131" s="21">
        <v>145.0</v>
      </c>
      <c r="B1131" s="20" t="s">
        <v>90</v>
      </c>
      <c r="C1131" s="20" t="s">
        <v>14</v>
      </c>
      <c r="D1131" s="20" t="s">
        <v>20</v>
      </c>
      <c r="E1131" s="12" t="str">
        <f>IFERROR(__xludf.DUMMYFUNCTION("FILTER(colegios!$B$2:$B5618,colegios!$A$2:$A5618=L1131)"),"50719 VIRGEN DEL CARMEN")</f>
        <v>50719 VIRGEN DEL CARMEN</v>
      </c>
      <c r="F1131" s="14" t="s">
        <v>16</v>
      </c>
      <c r="G1131" s="20" t="s">
        <v>21</v>
      </c>
      <c r="H1131" s="14" t="s">
        <v>24</v>
      </c>
      <c r="I1131" s="22">
        <v>2024.0</v>
      </c>
      <c r="J1131" s="16" t="str">
        <f>IFERROR(__xludf.DUMMYFUNCTION("FILTER('CLASFICACIÓN'!$F$3:$F5618,'CLASFICACIÓN'!$G$3:$G5618=M1131)"),"SOLO 2022 Y 2024")</f>
        <v>SOLO 2022 Y 2024</v>
      </c>
      <c r="K1131" s="16"/>
      <c r="L1131" s="14" t="s">
        <v>100</v>
      </c>
      <c r="M1131" s="16" t="str">
        <f t="shared" si="1"/>
        <v>50719 VIRGEN DEL CARMEN4 Primaria</v>
      </c>
      <c r="N1131" s="17"/>
      <c r="O1131" s="17"/>
      <c r="P1131" s="17"/>
      <c r="Q1131" s="17"/>
      <c r="R1131" s="17"/>
      <c r="S1131" s="17"/>
      <c r="T1131" s="17"/>
    </row>
    <row r="1132">
      <c r="A1132" s="21">
        <v>146.0</v>
      </c>
      <c r="B1132" s="20" t="s">
        <v>90</v>
      </c>
      <c r="C1132" s="20" t="s">
        <v>14</v>
      </c>
      <c r="D1132" s="20" t="s">
        <v>20</v>
      </c>
      <c r="E1132" s="12" t="str">
        <f>IFERROR(__xludf.DUMMYFUNCTION("FILTER(colegios!$B$2:$B5618,colegios!$A$2:$A5618=L1132)"),"50719 VIRGEN DEL CARMEN")</f>
        <v>50719 VIRGEN DEL CARMEN</v>
      </c>
      <c r="F1132" s="14" t="s">
        <v>16</v>
      </c>
      <c r="G1132" s="20" t="s">
        <v>17</v>
      </c>
      <c r="H1132" s="14" t="s">
        <v>24</v>
      </c>
      <c r="I1132" s="22">
        <v>2024.0</v>
      </c>
      <c r="J1132" s="16" t="str">
        <f>IFERROR(__xludf.DUMMYFUNCTION("FILTER('CLASFICACIÓN'!$F$3:$F5618,'CLASFICACIÓN'!$G$3:$G5618=M1132)"),"SOLO 2022 Y 2024")</f>
        <v>SOLO 2022 Y 2024</v>
      </c>
      <c r="K1132" s="16"/>
      <c r="L1132" s="14" t="s">
        <v>100</v>
      </c>
      <c r="M1132" s="16" t="str">
        <f t="shared" si="1"/>
        <v>50719 VIRGEN DEL CARMEN4 Primaria</v>
      </c>
      <c r="N1132" s="17"/>
      <c r="O1132" s="17"/>
      <c r="P1132" s="17"/>
      <c r="Q1132" s="17"/>
      <c r="R1132" s="17"/>
      <c r="S1132" s="17"/>
      <c r="T1132" s="17"/>
    </row>
    <row r="1133">
      <c r="A1133" s="21">
        <v>147.0</v>
      </c>
      <c r="B1133" s="20" t="s">
        <v>90</v>
      </c>
      <c r="C1133" s="20" t="s">
        <v>14</v>
      </c>
      <c r="D1133" s="20" t="s">
        <v>20</v>
      </c>
      <c r="E1133" s="12" t="str">
        <f>IFERROR(__xludf.DUMMYFUNCTION("FILTER(colegios!$B$2:$B5618,colegios!$A$2:$A5618=L1133)"),"50719 VIRGEN DEL CARMEN")</f>
        <v>50719 VIRGEN DEL CARMEN</v>
      </c>
      <c r="F1133" s="14" t="s">
        <v>16</v>
      </c>
      <c r="G1133" s="20" t="s">
        <v>17</v>
      </c>
      <c r="H1133" s="14" t="s">
        <v>24</v>
      </c>
      <c r="I1133" s="22">
        <v>2024.0</v>
      </c>
      <c r="J1133" s="16" t="str">
        <f>IFERROR(__xludf.DUMMYFUNCTION("FILTER('CLASFICACIÓN'!$F$3:$F5618,'CLASFICACIÓN'!$G$3:$G5618=M1133)"),"SOLO 2022 Y 2024")</f>
        <v>SOLO 2022 Y 2024</v>
      </c>
      <c r="K1133" s="16"/>
      <c r="L1133" s="14" t="s">
        <v>100</v>
      </c>
      <c r="M1133" s="16" t="str">
        <f t="shared" si="1"/>
        <v>50719 VIRGEN DEL CARMEN4 Primaria</v>
      </c>
      <c r="N1133" s="17"/>
      <c r="O1133" s="17"/>
      <c r="P1133" s="17"/>
      <c r="Q1133" s="17"/>
      <c r="R1133" s="17"/>
      <c r="S1133" s="17"/>
      <c r="T1133" s="17"/>
    </row>
    <row r="1134">
      <c r="A1134" s="21">
        <v>148.0</v>
      </c>
      <c r="B1134" s="20" t="s">
        <v>90</v>
      </c>
      <c r="C1134" s="20" t="s">
        <v>14</v>
      </c>
      <c r="D1134" s="20" t="s">
        <v>20</v>
      </c>
      <c r="E1134" s="12" t="str">
        <f>IFERROR(__xludf.DUMMYFUNCTION("FILTER(colegios!$B$2:$B5618,colegios!$A$2:$A5618=L1134)"),"50719 VIRGEN DEL CARMEN")</f>
        <v>50719 VIRGEN DEL CARMEN</v>
      </c>
      <c r="F1134" s="14" t="s">
        <v>16</v>
      </c>
      <c r="G1134" s="20" t="s">
        <v>21</v>
      </c>
      <c r="H1134" s="14" t="s">
        <v>18</v>
      </c>
      <c r="I1134" s="22">
        <v>2024.0</v>
      </c>
      <c r="J1134" s="16" t="str">
        <f>IFERROR(__xludf.DUMMYFUNCTION("FILTER('CLASFICACIÓN'!$F$3:$F5618,'CLASFICACIÓN'!$G$3:$G5618=M1134)"),"SOLO 2022 Y 2024")</f>
        <v>SOLO 2022 Y 2024</v>
      </c>
      <c r="K1134" s="16"/>
      <c r="L1134" s="14" t="s">
        <v>100</v>
      </c>
      <c r="M1134" s="16" t="str">
        <f t="shared" si="1"/>
        <v>50719 VIRGEN DEL CARMEN4 Primaria</v>
      </c>
      <c r="N1134" s="17"/>
      <c r="O1134" s="17"/>
      <c r="P1134" s="17"/>
      <c r="Q1134" s="17"/>
      <c r="R1134" s="17"/>
      <c r="S1134" s="17"/>
      <c r="T1134" s="17"/>
    </row>
    <row r="1135">
      <c r="A1135" s="21">
        <v>149.0</v>
      </c>
      <c r="B1135" s="20" t="s">
        <v>90</v>
      </c>
      <c r="C1135" s="20" t="s">
        <v>14</v>
      </c>
      <c r="D1135" s="20" t="s">
        <v>20</v>
      </c>
      <c r="E1135" s="12" t="str">
        <f>IFERROR(__xludf.DUMMYFUNCTION("FILTER(colegios!$B$2:$B5618,colegios!$A$2:$A5618=L1135)"),"50719 VIRGEN DEL CARMEN")</f>
        <v>50719 VIRGEN DEL CARMEN</v>
      </c>
      <c r="F1135" s="14" t="s">
        <v>16</v>
      </c>
      <c r="G1135" s="20" t="s">
        <v>17</v>
      </c>
      <c r="H1135" s="14" t="s">
        <v>32</v>
      </c>
      <c r="I1135" s="22">
        <v>2024.0</v>
      </c>
      <c r="J1135" s="16" t="str">
        <f>IFERROR(__xludf.DUMMYFUNCTION("FILTER('CLASFICACIÓN'!$F$3:$F5618,'CLASFICACIÓN'!$G$3:$G5618=M1135)"),"SOLO 2022 Y 2024")</f>
        <v>SOLO 2022 Y 2024</v>
      </c>
      <c r="K1135" s="16"/>
      <c r="L1135" s="14" t="s">
        <v>100</v>
      </c>
      <c r="M1135" s="16" t="str">
        <f t="shared" si="1"/>
        <v>50719 VIRGEN DEL CARMEN4 Primaria</v>
      </c>
      <c r="N1135" s="17"/>
      <c r="O1135" s="17"/>
      <c r="P1135" s="17"/>
      <c r="Q1135" s="17"/>
      <c r="R1135" s="17"/>
      <c r="S1135" s="17"/>
      <c r="T1135" s="17"/>
    </row>
    <row r="1136">
      <c r="A1136" s="21">
        <v>150.0</v>
      </c>
      <c r="B1136" s="20" t="s">
        <v>90</v>
      </c>
      <c r="C1136" s="20" t="s">
        <v>14</v>
      </c>
      <c r="D1136" s="20" t="s">
        <v>20</v>
      </c>
      <c r="E1136" s="12" t="str">
        <f>IFERROR(__xludf.DUMMYFUNCTION("FILTER(colegios!$B$2:$B5618,colegios!$A$2:$A5618=L1136)"),"50719 VIRGEN DEL CARMEN")</f>
        <v>50719 VIRGEN DEL CARMEN</v>
      </c>
      <c r="F1136" s="14" t="s">
        <v>16</v>
      </c>
      <c r="G1136" s="20" t="s">
        <v>17</v>
      </c>
      <c r="H1136" s="14" t="s">
        <v>32</v>
      </c>
      <c r="I1136" s="22">
        <v>2024.0</v>
      </c>
      <c r="J1136" s="16" t="str">
        <f>IFERROR(__xludf.DUMMYFUNCTION("FILTER('CLASFICACIÓN'!$F$3:$F5618,'CLASFICACIÓN'!$G$3:$G5618=M1136)"),"SOLO 2022 Y 2024")</f>
        <v>SOLO 2022 Y 2024</v>
      </c>
      <c r="K1136" s="16"/>
      <c r="L1136" s="14" t="s">
        <v>100</v>
      </c>
      <c r="M1136" s="16" t="str">
        <f t="shared" si="1"/>
        <v>50719 VIRGEN DEL CARMEN4 Primaria</v>
      </c>
      <c r="N1136" s="17"/>
      <c r="O1136" s="17"/>
      <c r="P1136" s="17"/>
      <c r="Q1136" s="17"/>
      <c r="R1136" s="17"/>
      <c r="S1136" s="17"/>
      <c r="T1136" s="17"/>
    </row>
    <row r="1137">
      <c r="A1137" s="21">
        <v>151.0</v>
      </c>
      <c r="B1137" s="20" t="s">
        <v>90</v>
      </c>
      <c r="C1137" s="20" t="s">
        <v>14</v>
      </c>
      <c r="D1137" s="20" t="s">
        <v>20</v>
      </c>
      <c r="E1137" s="12" t="str">
        <f>IFERROR(__xludf.DUMMYFUNCTION("FILTER(colegios!$B$2:$B5618,colegios!$A$2:$A5618=L1137)"),"50719 VIRGEN DEL CARMEN")</f>
        <v>50719 VIRGEN DEL CARMEN</v>
      </c>
      <c r="F1137" s="14" t="s">
        <v>16</v>
      </c>
      <c r="G1137" s="20" t="s">
        <v>17</v>
      </c>
      <c r="H1137" s="14" t="s">
        <v>18</v>
      </c>
      <c r="I1137" s="22">
        <v>2024.0</v>
      </c>
      <c r="J1137" s="16" t="str">
        <f>IFERROR(__xludf.DUMMYFUNCTION("FILTER('CLASFICACIÓN'!$F$3:$F5618,'CLASFICACIÓN'!$G$3:$G5618=M1137)"),"SOLO 2022 Y 2024")</f>
        <v>SOLO 2022 Y 2024</v>
      </c>
      <c r="K1137" s="16"/>
      <c r="L1137" s="14" t="s">
        <v>100</v>
      </c>
      <c r="M1137" s="16" t="str">
        <f t="shared" si="1"/>
        <v>50719 VIRGEN DEL CARMEN4 Primaria</v>
      </c>
      <c r="N1137" s="17"/>
      <c r="O1137" s="17"/>
      <c r="P1137" s="17"/>
      <c r="Q1137" s="17"/>
      <c r="R1137" s="17"/>
      <c r="S1137" s="17"/>
      <c r="T1137" s="17"/>
    </row>
    <row r="1138">
      <c r="A1138" s="21">
        <v>152.0</v>
      </c>
      <c r="B1138" s="20" t="s">
        <v>90</v>
      </c>
      <c r="C1138" s="20" t="s">
        <v>14</v>
      </c>
      <c r="D1138" s="20" t="s">
        <v>20</v>
      </c>
      <c r="E1138" s="12" t="str">
        <f>IFERROR(__xludf.DUMMYFUNCTION("FILTER(colegios!$B$2:$B5618,colegios!$A$2:$A5618=L1138)"),"50719 VIRGEN DEL CARMEN")</f>
        <v>50719 VIRGEN DEL CARMEN</v>
      </c>
      <c r="F1138" s="14" t="s">
        <v>16</v>
      </c>
      <c r="G1138" s="20" t="s">
        <v>17</v>
      </c>
      <c r="H1138" s="14" t="s">
        <v>18</v>
      </c>
      <c r="I1138" s="22">
        <v>2024.0</v>
      </c>
      <c r="J1138" s="16" t="str">
        <f>IFERROR(__xludf.DUMMYFUNCTION("FILTER('CLASFICACIÓN'!$F$3:$F5618,'CLASFICACIÓN'!$G$3:$G5618=M1138)"),"SOLO 2022 Y 2024")</f>
        <v>SOLO 2022 Y 2024</v>
      </c>
      <c r="K1138" s="16"/>
      <c r="L1138" s="14" t="s">
        <v>100</v>
      </c>
      <c r="M1138" s="16" t="str">
        <f t="shared" si="1"/>
        <v>50719 VIRGEN DEL CARMEN4 Primaria</v>
      </c>
      <c r="N1138" s="17"/>
      <c r="O1138" s="17"/>
      <c r="P1138" s="17"/>
      <c r="Q1138" s="17"/>
      <c r="R1138" s="17"/>
      <c r="S1138" s="17"/>
      <c r="T1138" s="17"/>
    </row>
    <row r="1139">
      <c r="A1139" s="21">
        <v>153.0</v>
      </c>
      <c r="B1139" s="20" t="s">
        <v>90</v>
      </c>
      <c r="C1139" s="20" t="s">
        <v>14</v>
      </c>
      <c r="D1139" s="20" t="s">
        <v>22</v>
      </c>
      <c r="E1139" s="12" t="str">
        <f>IFERROR(__xludf.DUMMYFUNCTION("FILTER(colegios!$B$2:$B5618,colegios!$A$2:$A5618=L1139)"),"50719 VIRGEN DEL CARMEN")</f>
        <v>50719 VIRGEN DEL CARMEN</v>
      </c>
      <c r="F1139" s="14" t="s">
        <v>16</v>
      </c>
      <c r="G1139" s="20" t="s">
        <v>21</v>
      </c>
      <c r="H1139" s="14" t="s">
        <v>24</v>
      </c>
      <c r="I1139" s="22">
        <v>2024.0</v>
      </c>
      <c r="J1139" s="16" t="str">
        <f>IFERROR(__xludf.DUMMYFUNCTION("FILTER('CLASFICACIÓN'!$F$3:$F5618,'CLASFICACIÓN'!$G$3:$G5618=M1139)"),"SOLO 2022 Y 2024")</f>
        <v>SOLO 2022 Y 2024</v>
      </c>
      <c r="K1139" s="16"/>
      <c r="L1139" s="14" t="s">
        <v>100</v>
      </c>
      <c r="M1139" s="16" t="str">
        <f t="shared" si="1"/>
        <v>50719 VIRGEN DEL CARMEN6 Primaria</v>
      </c>
      <c r="N1139" s="17"/>
      <c r="O1139" s="17"/>
      <c r="P1139" s="17"/>
      <c r="Q1139" s="17"/>
      <c r="R1139" s="17"/>
      <c r="S1139" s="17"/>
      <c r="T1139" s="17"/>
    </row>
    <row r="1140">
      <c r="A1140" s="21">
        <v>154.0</v>
      </c>
      <c r="B1140" s="20" t="s">
        <v>90</v>
      </c>
      <c r="C1140" s="20" t="s">
        <v>14</v>
      </c>
      <c r="D1140" s="20" t="s">
        <v>22</v>
      </c>
      <c r="E1140" s="12" t="str">
        <f>IFERROR(__xludf.DUMMYFUNCTION("FILTER(colegios!$B$2:$B5618,colegios!$A$2:$A5618=L1140)"),"50719 VIRGEN DEL CARMEN")</f>
        <v>50719 VIRGEN DEL CARMEN</v>
      </c>
      <c r="F1140" s="14" t="s">
        <v>16</v>
      </c>
      <c r="G1140" s="20" t="s">
        <v>21</v>
      </c>
      <c r="H1140" s="14" t="s">
        <v>24</v>
      </c>
      <c r="I1140" s="22">
        <v>2024.0</v>
      </c>
      <c r="J1140" s="16" t="str">
        <f>IFERROR(__xludf.DUMMYFUNCTION("FILTER('CLASFICACIÓN'!$F$3:$F5618,'CLASFICACIÓN'!$G$3:$G5618=M1140)"),"SOLO 2022 Y 2024")</f>
        <v>SOLO 2022 Y 2024</v>
      </c>
      <c r="K1140" s="16"/>
      <c r="L1140" s="14" t="s">
        <v>100</v>
      </c>
      <c r="M1140" s="16" t="str">
        <f t="shared" si="1"/>
        <v>50719 VIRGEN DEL CARMEN6 Primaria</v>
      </c>
      <c r="N1140" s="17"/>
      <c r="O1140" s="17"/>
      <c r="P1140" s="17"/>
      <c r="Q1140" s="17"/>
      <c r="R1140" s="17"/>
      <c r="S1140" s="17"/>
      <c r="T1140" s="17"/>
    </row>
    <row r="1141">
      <c r="A1141" s="21">
        <v>155.0</v>
      </c>
      <c r="B1141" s="20" t="s">
        <v>90</v>
      </c>
      <c r="C1141" s="20" t="s">
        <v>14</v>
      </c>
      <c r="D1141" s="20" t="s">
        <v>22</v>
      </c>
      <c r="E1141" s="12" t="str">
        <f>IFERROR(__xludf.DUMMYFUNCTION("FILTER(colegios!$B$2:$B5618,colegios!$A$2:$A5618=L1141)"),"50719 VIRGEN DEL CARMEN")</f>
        <v>50719 VIRGEN DEL CARMEN</v>
      </c>
      <c r="F1141" s="14" t="s">
        <v>16</v>
      </c>
      <c r="G1141" s="20" t="s">
        <v>17</v>
      </c>
      <c r="H1141" s="14" t="s">
        <v>18</v>
      </c>
      <c r="I1141" s="22">
        <v>2024.0</v>
      </c>
      <c r="J1141" s="16" t="str">
        <f>IFERROR(__xludf.DUMMYFUNCTION("FILTER('CLASFICACIÓN'!$F$3:$F5618,'CLASFICACIÓN'!$G$3:$G5618=M1141)"),"SOLO 2022 Y 2024")</f>
        <v>SOLO 2022 Y 2024</v>
      </c>
      <c r="K1141" s="16"/>
      <c r="L1141" s="14" t="s">
        <v>100</v>
      </c>
      <c r="M1141" s="16" t="str">
        <f t="shared" si="1"/>
        <v>50719 VIRGEN DEL CARMEN6 Primaria</v>
      </c>
      <c r="N1141" s="17"/>
      <c r="O1141" s="17"/>
      <c r="P1141" s="17"/>
      <c r="Q1141" s="17"/>
      <c r="R1141" s="17"/>
      <c r="S1141" s="17"/>
      <c r="T1141" s="17"/>
    </row>
    <row r="1142">
      <c r="A1142" s="21">
        <v>156.0</v>
      </c>
      <c r="B1142" s="20" t="s">
        <v>90</v>
      </c>
      <c r="C1142" s="20" t="s">
        <v>14</v>
      </c>
      <c r="D1142" s="20" t="s">
        <v>22</v>
      </c>
      <c r="E1142" s="12" t="str">
        <f>IFERROR(__xludf.DUMMYFUNCTION("FILTER(colegios!$B$2:$B5618,colegios!$A$2:$A5618=L1142)"),"50719 VIRGEN DEL CARMEN")</f>
        <v>50719 VIRGEN DEL CARMEN</v>
      </c>
      <c r="F1142" s="14" t="s">
        <v>16</v>
      </c>
      <c r="G1142" s="20" t="s">
        <v>21</v>
      </c>
      <c r="H1142" s="14" t="s">
        <v>24</v>
      </c>
      <c r="I1142" s="22">
        <v>2024.0</v>
      </c>
      <c r="J1142" s="16" t="str">
        <f>IFERROR(__xludf.DUMMYFUNCTION("FILTER('CLASFICACIÓN'!$F$3:$F5618,'CLASFICACIÓN'!$G$3:$G5618=M1142)"),"SOLO 2022 Y 2024")</f>
        <v>SOLO 2022 Y 2024</v>
      </c>
      <c r="K1142" s="16"/>
      <c r="L1142" s="14" t="s">
        <v>100</v>
      </c>
      <c r="M1142" s="16" t="str">
        <f t="shared" si="1"/>
        <v>50719 VIRGEN DEL CARMEN6 Primaria</v>
      </c>
      <c r="N1142" s="17"/>
      <c r="O1142" s="17"/>
      <c r="P1142" s="17"/>
      <c r="Q1142" s="17"/>
      <c r="R1142" s="17"/>
      <c r="S1142" s="17"/>
      <c r="T1142" s="17"/>
    </row>
    <row r="1143">
      <c r="A1143" s="21">
        <v>157.0</v>
      </c>
      <c r="B1143" s="20" t="s">
        <v>90</v>
      </c>
      <c r="C1143" s="20" t="s">
        <v>14</v>
      </c>
      <c r="D1143" s="20" t="s">
        <v>22</v>
      </c>
      <c r="E1143" s="12" t="str">
        <f>IFERROR(__xludf.DUMMYFUNCTION("FILTER(colegios!$B$2:$B5618,colegios!$A$2:$A5618=L1143)"),"50719 VIRGEN DEL CARMEN")</f>
        <v>50719 VIRGEN DEL CARMEN</v>
      </c>
      <c r="F1143" s="14" t="s">
        <v>16</v>
      </c>
      <c r="G1143" s="20" t="s">
        <v>21</v>
      </c>
      <c r="H1143" s="14" t="s">
        <v>32</v>
      </c>
      <c r="I1143" s="22">
        <v>2024.0</v>
      </c>
      <c r="J1143" s="16" t="str">
        <f>IFERROR(__xludf.DUMMYFUNCTION("FILTER('CLASFICACIÓN'!$F$3:$F5618,'CLASFICACIÓN'!$G$3:$G5618=M1143)"),"SOLO 2022 Y 2024")</f>
        <v>SOLO 2022 Y 2024</v>
      </c>
      <c r="K1143" s="16"/>
      <c r="L1143" s="14" t="s">
        <v>100</v>
      </c>
      <c r="M1143" s="16" t="str">
        <f t="shared" si="1"/>
        <v>50719 VIRGEN DEL CARMEN6 Primaria</v>
      </c>
      <c r="N1143" s="17"/>
      <c r="O1143" s="17"/>
      <c r="P1143" s="17"/>
      <c r="Q1143" s="17"/>
      <c r="R1143" s="17"/>
      <c r="S1143" s="17"/>
      <c r="T1143" s="17"/>
    </row>
    <row r="1144">
      <c r="A1144" s="21">
        <v>158.0</v>
      </c>
      <c r="B1144" s="20" t="s">
        <v>90</v>
      </c>
      <c r="C1144" s="20" t="s">
        <v>14</v>
      </c>
      <c r="D1144" s="20" t="s">
        <v>22</v>
      </c>
      <c r="E1144" s="12" t="str">
        <f>IFERROR(__xludf.DUMMYFUNCTION("FILTER(colegios!$B$2:$B5618,colegios!$A$2:$A5618=L1144)"),"50719 VIRGEN DEL CARMEN")</f>
        <v>50719 VIRGEN DEL CARMEN</v>
      </c>
      <c r="F1144" s="14" t="s">
        <v>16</v>
      </c>
      <c r="G1144" s="20" t="s">
        <v>17</v>
      </c>
      <c r="H1144" s="14" t="s">
        <v>24</v>
      </c>
      <c r="I1144" s="22">
        <v>2024.0</v>
      </c>
      <c r="J1144" s="16" t="str">
        <f>IFERROR(__xludf.DUMMYFUNCTION("FILTER('CLASFICACIÓN'!$F$3:$F5618,'CLASFICACIÓN'!$G$3:$G5618=M1144)"),"SOLO 2022 Y 2024")</f>
        <v>SOLO 2022 Y 2024</v>
      </c>
      <c r="K1144" s="16"/>
      <c r="L1144" s="14" t="s">
        <v>100</v>
      </c>
      <c r="M1144" s="16" t="str">
        <f t="shared" si="1"/>
        <v>50719 VIRGEN DEL CARMEN6 Primaria</v>
      </c>
      <c r="N1144" s="17"/>
      <c r="O1144" s="17"/>
      <c r="P1144" s="17"/>
      <c r="Q1144" s="17"/>
      <c r="R1144" s="17"/>
      <c r="S1144" s="17"/>
      <c r="T1144" s="17"/>
    </row>
    <row r="1145">
      <c r="A1145" s="21">
        <v>159.0</v>
      </c>
      <c r="B1145" s="20" t="s">
        <v>90</v>
      </c>
      <c r="C1145" s="20" t="s">
        <v>14</v>
      </c>
      <c r="D1145" s="20" t="s">
        <v>22</v>
      </c>
      <c r="E1145" s="12" t="str">
        <f>IFERROR(__xludf.DUMMYFUNCTION("FILTER(colegios!$B$2:$B5618,colegios!$A$2:$A5618=L1145)"),"50719 VIRGEN DEL CARMEN")</f>
        <v>50719 VIRGEN DEL CARMEN</v>
      </c>
      <c r="F1145" s="14" t="s">
        <v>16</v>
      </c>
      <c r="G1145" s="20" t="s">
        <v>21</v>
      </c>
      <c r="H1145" s="14" t="s">
        <v>24</v>
      </c>
      <c r="I1145" s="22">
        <v>2024.0</v>
      </c>
      <c r="J1145" s="16" t="str">
        <f>IFERROR(__xludf.DUMMYFUNCTION("FILTER('CLASFICACIÓN'!$F$3:$F5618,'CLASFICACIÓN'!$G$3:$G5618=M1145)"),"SOLO 2022 Y 2024")</f>
        <v>SOLO 2022 Y 2024</v>
      </c>
      <c r="K1145" s="16"/>
      <c r="L1145" s="14" t="s">
        <v>100</v>
      </c>
      <c r="M1145" s="16" t="str">
        <f t="shared" si="1"/>
        <v>50719 VIRGEN DEL CARMEN6 Primaria</v>
      </c>
      <c r="N1145" s="17"/>
      <c r="O1145" s="17"/>
      <c r="P1145" s="17"/>
      <c r="Q1145" s="17"/>
      <c r="R1145" s="17"/>
      <c r="S1145" s="17"/>
      <c r="T1145" s="17"/>
    </row>
    <row r="1146">
      <c r="A1146" s="21">
        <v>160.0</v>
      </c>
      <c r="B1146" s="20" t="s">
        <v>90</v>
      </c>
      <c r="C1146" s="20" t="s">
        <v>14</v>
      </c>
      <c r="D1146" s="20" t="s">
        <v>22</v>
      </c>
      <c r="E1146" s="12" t="str">
        <f>IFERROR(__xludf.DUMMYFUNCTION("FILTER(colegios!$B$2:$B5618,colegios!$A$2:$A5618=L1146)"),"50719 VIRGEN DEL CARMEN")</f>
        <v>50719 VIRGEN DEL CARMEN</v>
      </c>
      <c r="F1146" s="14" t="s">
        <v>16</v>
      </c>
      <c r="G1146" s="20" t="s">
        <v>17</v>
      </c>
      <c r="H1146" s="14" t="s">
        <v>18</v>
      </c>
      <c r="I1146" s="22">
        <v>2024.0</v>
      </c>
      <c r="J1146" s="16" t="str">
        <f>IFERROR(__xludf.DUMMYFUNCTION("FILTER('CLASFICACIÓN'!$F$3:$F5618,'CLASFICACIÓN'!$G$3:$G5618=M1146)"),"SOLO 2022 Y 2024")</f>
        <v>SOLO 2022 Y 2024</v>
      </c>
      <c r="K1146" s="16"/>
      <c r="L1146" s="14" t="s">
        <v>100</v>
      </c>
      <c r="M1146" s="16" t="str">
        <f t="shared" si="1"/>
        <v>50719 VIRGEN DEL CARMEN6 Primaria</v>
      </c>
      <c r="N1146" s="17"/>
      <c r="O1146" s="17"/>
      <c r="P1146" s="17"/>
      <c r="Q1146" s="17"/>
      <c r="R1146" s="17"/>
      <c r="S1146" s="17"/>
      <c r="T1146" s="17"/>
    </row>
    <row r="1147">
      <c r="A1147" s="21">
        <v>161.0</v>
      </c>
      <c r="B1147" s="20" t="s">
        <v>90</v>
      </c>
      <c r="C1147" s="20" t="s">
        <v>14</v>
      </c>
      <c r="D1147" s="20" t="s">
        <v>22</v>
      </c>
      <c r="E1147" s="12" t="str">
        <f>IFERROR(__xludf.DUMMYFUNCTION("FILTER(colegios!$B$2:$B5618,colegios!$A$2:$A5618=L1147)"),"50719 VIRGEN DEL CARMEN")</f>
        <v>50719 VIRGEN DEL CARMEN</v>
      </c>
      <c r="F1147" s="14" t="s">
        <v>16</v>
      </c>
      <c r="G1147" s="20" t="s">
        <v>17</v>
      </c>
      <c r="H1147" s="14" t="s">
        <v>24</v>
      </c>
      <c r="I1147" s="22">
        <v>2024.0</v>
      </c>
      <c r="J1147" s="16" t="str">
        <f>IFERROR(__xludf.DUMMYFUNCTION("FILTER('CLASFICACIÓN'!$F$3:$F5618,'CLASFICACIÓN'!$G$3:$G5618=M1147)"),"SOLO 2022 Y 2024")</f>
        <v>SOLO 2022 Y 2024</v>
      </c>
      <c r="K1147" s="16"/>
      <c r="L1147" s="14" t="s">
        <v>100</v>
      </c>
      <c r="M1147" s="16" t="str">
        <f t="shared" si="1"/>
        <v>50719 VIRGEN DEL CARMEN6 Primaria</v>
      </c>
      <c r="N1147" s="17"/>
      <c r="O1147" s="17"/>
      <c r="P1147" s="17"/>
      <c r="Q1147" s="17"/>
      <c r="R1147" s="17"/>
      <c r="S1147" s="17"/>
      <c r="T1147" s="17"/>
    </row>
    <row r="1148">
      <c r="A1148" s="21">
        <v>162.0</v>
      </c>
      <c r="B1148" s="20" t="s">
        <v>90</v>
      </c>
      <c r="C1148" s="20" t="s">
        <v>14</v>
      </c>
      <c r="D1148" s="20" t="s">
        <v>22</v>
      </c>
      <c r="E1148" s="12" t="str">
        <f>IFERROR(__xludf.DUMMYFUNCTION("FILTER(colegios!$B$2:$B5618,colegios!$A$2:$A5618=L1148)"),"50719 VIRGEN DEL CARMEN")</f>
        <v>50719 VIRGEN DEL CARMEN</v>
      </c>
      <c r="F1148" s="14" t="s">
        <v>16</v>
      </c>
      <c r="G1148" s="20" t="s">
        <v>21</v>
      </c>
      <c r="H1148" s="14" t="s">
        <v>32</v>
      </c>
      <c r="I1148" s="22">
        <v>2024.0</v>
      </c>
      <c r="J1148" s="16" t="str">
        <f>IFERROR(__xludf.DUMMYFUNCTION("FILTER('CLASFICACIÓN'!$F$3:$F5618,'CLASFICACIÓN'!$G$3:$G5618=M1148)"),"SOLO 2022 Y 2024")</f>
        <v>SOLO 2022 Y 2024</v>
      </c>
      <c r="K1148" s="16"/>
      <c r="L1148" s="14" t="s">
        <v>100</v>
      </c>
      <c r="M1148" s="16" t="str">
        <f t="shared" si="1"/>
        <v>50719 VIRGEN DEL CARMEN6 Primaria</v>
      </c>
      <c r="N1148" s="17"/>
      <c r="O1148" s="17"/>
      <c r="P1148" s="17"/>
      <c r="Q1148" s="17"/>
      <c r="R1148" s="17"/>
      <c r="S1148" s="17"/>
      <c r="T1148" s="17"/>
    </row>
    <row r="1149">
      <c r="A1149" s="21">
        <v>163.0</v>
      </c>
      <c r="B1149" s="20" t="s">
        <v>90</v>
      </c>
      <c r="C1149" s="20" t="s">
        <v>14</v>
      </c>
      <c r="D1149" s="20" t="s">
        <v>22</v>
      </c>
      <c r="E1149" s="12" t="str">
        <f>IFERROR(__xludf.DUMMYFUNCTION("FILTER(colegios!$B$2:$B5618,colegios!$A$2:$A5618=L1149)"),"50719 VIRGEN DEL CARMEN")</f>
        <v>50719 VIRGEN DEL CARMEN</v>
      </c>
      <c r="F1149" s="14" t="s">
        <v>16</v>
      </c>
      <c r="G1149" s="20" t="s">
        <v>21</v>
      </c>
      <c r="H1149" s="14" t="s">
        <v>32</v>
      </c>
      <c r="I1149" s="22">
        <v>2024.0</v>
      </c>
      <c r="J1149" s="16" t="str">
        <f>IFERROR(__xludf.DUMMYFUNCTION("FILTER('CLASFICACIÓN'!$F$3:$F5618,'CLASFICACIÓN'!$G$3:$G5618=M1149)"),"SOLO 2022 Y 2024")</f>
        <v>SOLO 2022 Y 2024</v>
      </c>
      <c r="K1149" s="16"/>
      <c r="L1149" s="14" t="s">
        <v>100</v>
      </c>
      <c r="M1149" s="16" t="str">
        <f t="shared" si="1"/>
        <v>50719 VIRGEN DEL CARMEN6 Primaria</v>
      </c>
      <c r="N1149" s="17"/>
      <c r="O1149" s="17"/>
      <c r="P1149" s="17"/>
      <c r="Q1149" s="17"/>
      <c r="R1149" s="17"/>
      <c r="S1149" s="17"/>
      <c r="T1149" s="17"/>
    </row>
    <row r="1150">
      <c r="A1150" s="21">
        <v>164.0</v>
      </c>
      <c r="B1150" s="20" t="s">
        <v>90</v>
      </c>
      <c r="C1150" s="20" t="s">
        <v>14</v>
      </c>
      <c r="D1150" s="20" t="s">
        <v>22</v>
      </c>
      <c r="E1150" s="12" t="str">
        <f>IFERROR(__xludf.DUMMYFUNCTION("FILTER(colegios!$B$2:$B5618,colegios!$A$2:$A5618=L1150)"),"50719 VIRGEN DEL CARMEN")</f>
        <v>50719 VIRGEN DEL CARMEN</v>
      </c>
      <c r="F1150" s="14" t="s">
        <v>16</v>
      </c>
      <c r="G1150" s="20" t="s">
        <v>21</v>
      </c>
      <c r="H1150" s="14" t="s">
        <v>32</v>
      </c>
      <c r="I1150" s="22">
        <v>2024.0</v>
      </c>
      <c r="J1150" s="16" t="str">
        <f>IFERROR(__xludf.DUMMYFUNCTION("FILTER('CLASFICACIÓN'!$F$3:$F5618,'CLASFICACIÓN'!$G$3:$G5618=M1150)"),"SOLO 2022 Y 2024")</f>
        <v>SOLO 2022 Y 2024</v>
      </c>
      <c r="K1150" s="16"/>
      <c r="L1150" s="14" t="s">
        <v>100</v>
      </c>
      <c r="M1150" s="16" t="str">
        <f t="shared" si="1"/>
        <v>50719 VIRGEN DEL CARMEN6 Primaria</v>
      </c>
      <c r="N1150" s="17"/>
      <c r="O1150" s="17"/>
      <c r="P1150" s="17"/>
      <c r="Q1150" s="17"/>
      <c r="R1150" s="17"/>
      <c r="S1150" s="17"/>
      <c r="T1150" s="17"/>
    </row>
    <row r="1151">
      <c r="A1151" s="21">
        <v>165.0</v>
      </c>
      <c r="B1151" s="20" t="s">
        <v>90</v>
      </c>
      <c r="C1151" s="20" t="s">
        <v>14</v>
      </c>
      <c r="D1151" s="20" t="s">
        <v>22</v>
      </c>
      <c r="E1151" s="12" t="str">
        <f>IFERROR(__xludf.DUMMYFUNCTION("FILTER(colegios!$B$2:$B5618,colegios!$A$2:$A5618=L1151)"),"50719 VIRGEN DEL CARMEN")</f>
        <v>50719 VIRGEN DEL CARMEN</v>
      </c>
      <c r="F1151" s="14" t="s">
        <v>16</v>
      </c>
      <c r="G1151" s="20" t="s">
        <v>17</v>
      </c>
      <c r="H1151" s="14" t="s">
        <v>24</v>
      </c>
      <c r="I1151" s="22">
        <v>2024.0</v>
      </c>
      <c r="J1151" s="16" t="str">
        <f>IFERROR(__xludf.DUMMYFUNCTION("FILTER('CLASFICACIÓN'!$F$3:$F5618,'CLASFICACIÓN'!$G$3:$G5618=M1151)"),"SOLO 2022 Y 2024")</f>
        <v>SOLO 2022 Y 2024</v>
      </c>
      <c r="K1151" s="16"/>
      <c r="L1151" s="14" t="s">
        <v>100</v>
      </c>
      <c r="M1151" s="16" t="str">
        <f t="shared" si="1"/>
        <v>50719 VIRGEN DEL CARMEN6 Primaria</v>
      </c>
      <c r="N1151" s="17"/>
      <c r="O1151" s="17"/>
      <c r="P1151" s="17"/>
      <c r="Q1151" s="17"/>
      <c r="R1151" s="17"/>
      <c r="S1151" s="17"/>
      <c r="T1151" s="17"/>
    </row>
    <row r="1152">
      <c r="A1152" s="21">
        <v>166.0</v>
      </c>
      <c r="B1152" s="20" t="s">
        <v>90</v>
      </c>
      <c r="C1152" s="20" t="s">
        <v>14</v>
      </c>
      <c r="D1152" s="20" t="s">
        <v>22</v>
      </c>
      <c r="E1152" s="12" t="str">
        <f>IFERROR(__xludf.DUMMYFUNCTION("FILTER(colegios!$B$2:$B5618,colegios!$A$2:$A5618=L1152)"),"50719 VIRGEN DEL CARMEN")</f>
        <v>50719 VIRGEN DEL CARMEN</v>
      </c>
      <c r="F1152" s="14" t="s">
        <v>16</v>
      </c>
      <c r="G1152" s="20" t="s">
        <v>21</v>
      </c>
      <c r="H1152" s="14" t="s">
        <v>32</v>
      </c>
      <c r="I1152" s="22">
        <v>2024.0</v>
      </c>
      <c r="J1152" s="16" t="str">
        <f>IFERROR(__xludf.DUMMYFUNCTION("FILTER('CLASFICACIÓN'!$F$3:$F5618,'CLASFICACIÓN'!$G$3:$G5618=M1152)"),"SOLO 2022 Y 2024")</f>
        <v>SOLO 2022 Y 2024</v>
      </c>
      <c r="K1152" s="16"/>
      <c r="L1152" s="14" t="s">
        <v>100</v>
      </c>
      <c r="M1152" s="16" t="str">
        <f t="shared" si="1"/>
        <v>50719 VIRGEN DEL CARMEN6 Primaria</v>
      </c>
      <c r="N1152" s="17"/>
      <c r="O1152" s="17"/>
      <c r="P1152" s="17"/>
      <c r="Q1152" s="17"/>
      <c r="R1152" s="17"/>
      <c r="S1152" s="17"/>
      <c r="T1152" s="17"/>
    </row>
    <row r="1153">
      <c r="A1153" s="21">
        <v>167.0</v>
      </c>
      <c r="B1153" s="20" t="s">
        <v>90</v>
      </c>
      <c r="C1153" s="20" t="s">
        <v>14</v>
      </c>
      <c r="D1153" s="20" t="s">
        <v>15</v>
      </c>
      <c r="E1153" s="12" t="str">
        <f>IFERROR(__xludf.DUMMYFUNCTION("FILTER(colegios!$B$2:$B5618,colegios!$A$2:$A5618=L1153)"),"50765")</f>
        <v>50765</v>
      </c>
      <c r="F1153" s="14" t="s">
        <v>16</v>
      </c>
      <c r="G1153" s="20" t="s">
        <v>17</v>
      </c>
      <c r="H1153" s="14" t="s">
        <v>24</v>
      </c>
      <c r="I1153" s="22">
        <v>2024.0</v>
      </c>
      <c r="J1153" s="16" t="str">
        <f>IFERROR(__xludf.DUMMYFUNCTION("FILTER('CLASFICACIÓN'!$F$3:$F5618,'CLASFICACIÓN'!$G$3:$G5618=M1153)"),"LOS 3 AÑOS")</f>
        <v>LOS 3 AÑOS</v>
      </c>
      <c r="K1153" s="16"/>
      <c r="L1153" s="14" t="s">
        <v>101</v>
      </c>
      <c r="M1153" s="16" t="str">
        <f t="shared" si="1"/>
        <v>507652 Primaria</v>
      </c>
      <c r="N1153" s="17"/>
      <c r="O1153" s="17"/>
      <c r="P1153" s="17"/>
      <c r="Q1153" s="17"/>
      <c r="R1153" s="17"/>
      <c r="S1153" s="17"/>
      <c r="T1153" s="17"/>
    </row>
    <row r="1154">
      <c r="A1154" s="21">
        <v>168.0</v>
      </c>
      <c r="B1154" s="20" t="s">
        <v>90</v>
      </c>
      <c r="C1154" s="20" t="s">
        <v>14</v>
      </c>
      <c r="D1154" s="20" t="s">
        <v>20</v>
      </c>
      <c r="E1154" s="12" t="str">
        <f>IFERROR(__xludf.DUMMYFUNCTION("FILTER(colegios!$B$2:$B5618,colegios!$A$2:$A5618=L1154)"),"50765")</f>
        <v>50765</v>
      </c>
      <c r="F1154" s="14" t="s">
        <v>16</v>
      </c>
      <c r="G1154" s="20" t="s">
        <v>17</v>
      </c>
      <c r="H1154" s="14" t="s">
        <v>24</v>
      </c>
      <c r="I1154" s="22">
        <v>2024.0</v>
      </c>
      <c r="J1154" s="16" t="str">
        <f>IFERROR(__xludf.DUMMYFUNCTION("FILTER('CLASFICACIÓN'!$F$3:$F5618,'CLASFICACIÓN'!$G$3:$G5618=M1154)"),"LOS 3 AÑOS")</f>
        <v>LOS 3 AÑOS</v>
      </c>
      <c r="K1154" s="16"/>
      <c r="L1154" s="14" t="s">
        <v>101</v>
      </c>
      <c r="M1154" s="16" t="str">
        <f t="shared" si="1"/>
        <v>507654 Primaria</v>
      </c>
      <c r="N1154" s="17"/>
      <c r="O1154" s="17"/>
      <c r="P1154" s="17"/>
      <c r="Q1154" s="17"/>
      <c r="R1154" s="17"/>
      <c r="S1154" s="17"/>
      <c r="T1154" s="17"/>
    </row>
    <row r="1155">
      <c r="A1155" s="21">
        <v>169.0</v>
      </c>
      <c r="B1155" s="20" t="s">
        <v>90</v>
      </c>
      <c r="C1155" s="20" t="s">
        <v>14</v>
      </c>
      <c r="D1155" s="20" t="s">
        <v>20</v>
      </c>
      <c r="E1155" s="12" t="str">
        <f>IFERROR(__xludf.DUMMYFUNCTION("FILTER(colegios!$B$2:$B5618,colegios!$A$2:$A5618=L1155)"),"50765")</f>
        <v>50765</v>
      </c>
      <c r="F1155" s="14" t="s">
        <v>16</v>
      </c>
      <c r="G1155" s="20" t="s">
        <v>21</v>
      </c>
      <c r="H1155" s="14" t="s">
        <v>18</v>
      </c>
      <c r="I1155" s="22">
        <v>2024.0</v>
      </c>
      <c r="J1155" s="16" t="str">
        <f>IFERROR(__xludf.DUMMYFUNCTION("FILTER('CLASFICACIÓN'!$F$3:$F5618,'CLASFICACIÓN'!$G$3:$G5618=M1155)"),"LOS 3 AÑOS")</f>
        <v>LOS 3 AÑOS</v>
      </c>
      <c r="K1155" s="16"/>
      <c r="L1155" s="14" t="s">
        <v>101</v>
      </c>
      <c r="M1155" s="16" t="str">
        <f t="shared" si="1"/>
        <v>507654 Primaria</v>
      </c>
      <c r="N1155" s="17"/>
      <c r="O1155" s="17"/>
      <c r="P1155" s="17"/>
      <c r="Q1155" s="17"/>
      <c r="R1155" s="17"/>
      <c r="S1155" s="17"/>
      <c r="T1155" s="17"/>
    </row>
    <row r="1156">
      <c r="A1156" s="21">
        <v>170.0</v>
      </c>
      <c r="B1156" s="20" t="s">
        <v>90</v>
      </c>
      <c r="C1156" s="20" t="s">
        <v>14</v>
      </c>
      <c r="D1156" s="20" t="s">
        <v>22</v>
      </c>
      <c r="E1156" s="12" t="str">
        <f>IFERROR(__xludf.DUMMYFUNCTION("FILTER(colegios!$B$2:$B5618,colegios!$A$2:$A5618=L1156)"),"50765")</f>
        <v>50765</v>
      </c>
      <c r="F1156" s="14" t="s">
        <v>16</v>
      </c>
      <c r="G1156" s="20" t="s">
        <v>17</v>
      </c>
      <c r="H1156" s="14" t="s">
        <v>18</v>
      </c>
      <c r="I1156" s="22">
        <v>2024.0</v>
      </c>
      <c r="J1156" s="16" t="str">
        <f>IFERROR(__xludf.DUMMYFUNCTION("FILTER('CLASFICACIÓN'!$F$3:$F5618,'CLASFICACIÓN'!$G$3:$G5618=M1156)"),"LOS 3 AÑOS")</f>
        <v>LOS 3 AÑOS</v>
      </c>
      <c r="K1156" s="16"/>
      <c r="L1156" s="14" t="s">
        <v>101</v>
      </c>
      <c r="M1156" s="16" t="str">
        <f t="shared" si="1"/>
        <v>507656 Primaria</v>
      </c>
      <c r="N1156" s="17"/>
      <c r="O1156" s="17"/>
      <c r="P1156" s="17"/>
      <c r="Q1156" s="17"/>
      <c r="R1156" s="17"/>
      <c r="S1156" s="17"/>
      <c r="T1156" s="17"/>
    </row>
    <row r="1157">
      <c r="A1157" s="21">
        <v>171.0</v>
      </c>
      <c r="B1157" s="20" t="s">
        <v>90</v>
      </c>
      <c r="C1157" s="20" t="s">
        <v>14</v>
      </c>
      <c r="D1157" s="20" t="s">
        <v>22</v>
      </c>
      <c r="E1157" s="12" t="str">
        <f>IFERROR(__xludf.DUMMYFUNCTION("FILTER(colegios!$B$2:$B5618,colegios!$A$2:$A5618=L1157)"),"50765")</f>
        <v>50765</v>
      </c>
      <c r="F1157" s="14" t="s">
        <v>16</v>
      </c>
      <c r="G1157" s="20" t="s">
        <v>21</v>
      </c>
      <c r="H1157" s="14" t="s">
        <v>24</v>
      </c>
      <c r="I1157" s="22">
        <v>2024.0</v>
      </c>
      <c r="J1157" s="16" t="str">
        <f>IFERROR(__xludf.DUMMYFUNCTION("FILTER('CLASFICACIÓN'!$F$3:$F5618,'CLASFICACIÓN'!$G$3:$G5618=M1157)"),"LOS 3 AÑOS")</f>
        <v>LOS 3 AÑOS</v>
      </c>
      <c r="K1157" s="16"/>
      <c r="L1157" s="14" t="s">
        <v>101</v>
      </c>
      <c r="M1157" s="16" t="str">
        <f t="shared" si="1"/>
        <v>507656 Primaria</v>
      </c>
      <c r="N1157" s="17"/>
      <c r="O1157" s="17"/>
      <c r="P1157" s="17"/>
      <c r="Q1157" s="17"/>
      <c r="R1157" s="17"/>
      <c r="S1157" s="17"/>
      <c r="T1157" s="17"/>
    </row>
    <row r="1158">
      <c r="A1158" s="21">
        <v>172.0</v>
      </c>
      <c r="B1158" s="20" t="s">
        <v>90</v>
      </c>
      <c r="C1158" s="20" t="s">
        <v>14</v>
      </c>
      <c r="D1158" s="20" t="s">
        <v>15</v>
      </c>
      <c r="E1158" s="12" t="str">
        <f>IFERROR(__xludf.DUMMYFUNCTION("FILTER(colegios!$B$2:$B5618,colegios!$A$2:$A5618=L1158)"),"50696 YANACANCHA")</f>
        <v>50696 YANACANCHA</v>
      </c>
      <c r="F1158" s="14" t="s">
        <v>16</v>
      </c>
      <c r="G1158" s="20" t="s">
        <v>17</v>
      </c>
      <c r="H1158" s="14" t="s">
        <v>24</v>
      </c>
      <c r="I1158" s="22">
        <v>2024.0</v>
      </c>
      <c r="J1158" s="16" t="str">
        <f>IFERROR(__xludf.DUMMYFUNCTION("FILTER('CLASFICACIÓN'!$F$3:$F5618,'CLASFICACIÓN'!$G$3:$G5618=M1158)"),"2023 Y 2024")</f>
        <v>2023 Y 2024</v>
      </c>
      <c r="K1158" s="16"/>
      <c r="L1158" s="14" t="s">
        <v>102</v>
      </c>
      <c r="M1158" s="16" t="str">
        <f t="shared" si="1"/>
        <v>50696 YANACANCHA2 Primaria</v>
      </c>
      <c r="N1158" s="17"/>
      <c r="O1158" s="17"/>
      <c r="P1158" s="17"/>
      <c r="Q1158" s="17"/>
      <c r="R1158" s="17"/>
      <c r="S1158" s="17"/>
      <c r="T1158" s="17"/>
    </row>
    <row r="1159">
      <c r="A1159" s="21">
        <v>173.0</v>
      </c>
      <c r="B1159" s="20" t="s">
        <v>90</v>
      </c>
      <c r="C1159" s="20" t="s">
        <v>14</v>
      </c>
      <c r="D1159" s="20" t="s">
        <v>15</v>
      </c>
      <c r="E1159" s="12" t="str">
        <f>IFERROR(__xludf.DUMMYFUNCTION("FILTER(colegios!$B$2:$B5618,colegios!$A$2:$A5618=L1159)"),"50696 YANACANCHA")</f>
        <v>50696 YANACANCHA</v>
      </c>
      <c r="F1159" s="14" t="s">
        <v>16</v>
      </c>
      <c r="G1159" s="20" t="s">
        <v>21</v>
      </c>
      <c r="H1159" s="14" t="s">
        <v>24</v>
      </c>
      <c r="I1159" s="22">
        <v>2024.0</v>
      </c>
      <c r="J1159" s="16" t="str">
        <f>IFERROR(__xludf.DUMMYFUNCTION("FILTER('CLASFICACIÓN'!$F$3:$F5618,'CLASFICACIÓN'!$G$3:$G5618=M1159)"),"2023 Y 2024")</f>
        <v>2023 Y 2024</v>
      </c>
      <c r="K1159" s="16"/>
      <c r="L1159" s="14" t="s">
        <v>102</v>
      </c>
      <c r="M1159" s="16" t="str">
        <f t="shared" si="1"/>
        <v>50696 YANACANCHA2 Primaria</v>
      </c>
      <c r="N1159" s="17"/>
      <c r="O1159" s="17"/>
      <c r="P1159" s="17"/>
      <c r="Q1159" s="17"/>
      <c r="R1159" s="17"/>
      <c r="S1159" s="17"/>
      <c r="T1159" s="17"/>
    </row>
    <row r="1160">
      <c r="A1160" s="21">
        <v>174.0</v>
      </c>
      <c r="B1160" s="20" t="s">
        <v>90</v>
      </c>
      <c r="C1160" s="20" t="s">
        <v>14</v>
      </c>
      <c r="D1160" s="20" t="s">
        <v>20</v>
      </c>
      <c r="E1160" s="12" t="str">
        <f>IFERROR(__xludf.DUMMYFUNCTION("FILTER(colegios!$B$2:$B5618,colegios!$A$2:$A5618=L1160)"),"50696 YANACANCHA")</f>
        <v>50696 YANACANCHA</v>
      </c>
      <c r="F1160" s="14" t="s">
        <v>16</v>
      </c>
      <c r="G1160" s="20" t="s">
        <v>21</v>
      </c>
      <c r="H1160" s="14" t="s">
        <v>18</v>
      </c>
      <c r="I1160" s="22">
        <v>2024.0</v>
      </c>
      <c r="J1160" s="16" t="str">
        <f>IFERROR(__xludf.DUMMYFUNCTION("FILTER('CLASFICACIÓN'!$F$3:$F5618,'CLASFICACIÓN'!$G$3:$G5618=M1160)"),"2023 Y 2024")</f>
        <v>2023 Y 2024</v>
      </c>
      <c r="K1160" s="16"/>
      <c r="L1160" s="14" t="s">
        <v>102</v>
      </c>
      <c r="M1160" s="16" t="str">
        <f t="shared" si="1"/>
        <v>50696 YANACANCHA4 Primaria</v>
      </c>
      <c r="N1160" s="17"/>
      <c r="O1160" s="17"/>
      <c r="P1160" s="17"/>
      <c r="Q1160" s="17"/>
      <c r="R1160" s="17"/>
      <c r="S1160" s="17"/>
      <c r="T1160" s="17"/>
    </row>
    <row r="1161">
      <c r="A1161" s="21">
        <v>175.0</v>
      </c>
      <c r="B1161" s="20" t="s">
        <v>90</v>
      </c>
      <c r="C1161" s="20" t="s">
        <v>14</v>
      </c>
      <c r="D1161" s="20" t="s">
        <v>20</v>
      </c>
      <c r="E1161" s="12" t="str">
        <f>IFERROR(__xludf.DUMMYFUNCTION("FILTER(colegios!$B$2:$B5618,colegios!$A$2:$A5618=L1161)"),"50696 YANACANCHA")</f>
        <v>50696 YANACANCHA</v>
      </c>
      <c r="F1161" s="14" t="s">
        <v>16</v>
      </c>
      <c r="G1161" s="20" t="s">
        <v>21</v>
      </c>
      <c r="H1161" s="14" t="s">
        <v>18</v>
      </c>
      <c r="I1161" s="22">
        <v>2024.0</v>
      </c>
      <c r="J1161" s="16" t="str">
        <f>IFERROR(__xludf.DUMMYFUNCTION("FILTER('CLASFICACIÓN'!$F$3:$F5618,'CLASFICACIÓN'!$G$3:$G5618=M1161)"),"2023 Y 2024")</f>
        <v>2023 Y 2024</v>
      </c>
      <c r="K1161" s="16"/>
      <c r="L1161" s="14" t="s">
        <v>102</v>
      </c>
      <c r="M1161" s="16" t="str">
        <f t="shared" si="1"/>
        <v>50696 YANACANCHA4 Primaria</v>
      </c>
      <c r="N1161" s="17"/>
      <c r="O1161" s="17"/>
      <c r="P1161" s="17"/>
      <c r="Q1161" s="17"/>
      <c r="R1161" s="17"/>
      <c r="S1161" s="17"/>
      <c r="T1161" s="17"/>
    </row>
    <row r="1162">
      <c r="A1162" s="21">
        <v>176.0</v>
      </c>
      <c r="B1162" s="20" t="s">
        <v>90</v>
      </c>
      <c r="C1162" s="20" t="s">
        <v>14</v>
      </c>
      <c r="D1162" s="20" t="s">
        <v>22</v>
      </c>
      <c r="E1162" s="12" t="str">
        <f>IFERROR(__xludf.DUMMYFUNCTION("FILTER(colegios!$B$2:$B5618,colegios!$A$2:$A5618=L1162)"),"50696 YANACANCHA")</f>
        <v>50696 YANACANCHA</v>
      </c>
      <c r="F1162" s="14" t="s">
        <v>16</v>
      </c>
      <c r="G1162" s="20" t="s">
        <v>21</v>
      </c>
      <c r="H1162" s="14" t="s">
        <v>18</v>
      </c>
      <c r="I1162" s="22">
        <v>2024.0</v>
      </c>
      <c r="J1162" s="16" t="str">
        <f>IFERROR(__xludf.DUMMYFUNCTION("FILTER('CLASFICACIÓN'!$F$3:$F5618,'CLASFICACIÓN'!$G$3:$G5618=M1162)"),"2023 Y 2024")</f>
        <v>2023 Y 2024</v>
      </c>
      <c r="K1162" s="16"/>
      <c r="L1162" s="14" t="s">
        <v>102</v>
      </c>
      <c r="M1162" s="16" t="str">
        <f t="shared" si="1"/>
        <v>50696 YANACANCHA6 Primaria</v>
      </c>
      <c r="N1162" s="17"/>
      <c r="O1162" s="17"/>
      <c r="P1162" s="17"/>
      <c r="Q1162" s="17"/>
      <c r="R1162" s="17"/>
      <c r="S1162" s="17"/>
      <c r="T1162" s="17"/>
    </row>
    <row r="1163">
      <c r="A1163" s="21">
        <v>177.0</v>
      </c>
      <c r="B1163" s="20" t="s">
        <v>90</v>
      </c>
      <c r="C1163" s="20" t="s">
        <v>14</v>
      </c>
      <c r="D1163" s="20" t="s">
        <v>22</v>
      </c>
      <c r="E1163" s="12" t="str">
        <f>IFERROR(__xludf.DUMMYFUNCTION("FILTER(colegios!$B$2:$B5618,colegios!$A$2:$A5618=L1163)"),"50696 YANACANCHA")</f>
        <v>50696 YANACANCHA</v>
      </c>
      <c r="F1163" s="14" t="s">
        <v>16</v>
      </c>
      <c r="G1163" s="20" t="s">
        <v>17</v>
      </c>
      <c r="H1163" s="14" t="s">
        <v>18</v>
      </c>
      <c r="I1163" s="22">
        <v>2024.0</v>
      </c>
      <c r="J1163" s="16" t="str">
        <f>IFERROR(__xludf.DUMMYFUNCTION("FILTER('CLASFICACIÓN'!$F$3:$F5618,'CLASFICACIÓN'!$G$3:$G5618=M1163)"),"2023 Y 2024")</f>
        <v>2023 Y 2024</v>
      </c>
      <c r="K1163" s="16"/>
      <c r="L1163" s="14" t="s">
        <v>102</v>
      </c>
      <c r="M1163" s="16" t="str">
        <f t="shared" si="1"/>
        <v>50696 YANACANCHA6 Primaria</v>
      </c>
      <c r="N1163" s="17"/>
      <c r="O1163" s="17"/>
      <c r="P1163" s="17"/>
      <c r="Q1163" s="17"/>
      <c r="R1163" s="17"/>
      <c r="S1163" s="17"/>
      <c r="T1163" s="17"/>
    </row>
    <row r="1164">
      <c r="A1164" s="21">
        <v>178.0</v>
      </c>
      <c r="B1164" s="20" t="s">
        <v>90</v>
      </c>
      <c r="C1164" s="20" t="s">
        <v>14</v>
      </c>
      <c r="D1164" s="20" t="s">
        <v>22</v>
      </c>
      <c r="E1164" s="12" t="str">
        <f>IFERROR(__xludf.DUMMYFUNCTION("FILTER(colegios!$B$2:$B5618,colegios!$A$2:$A5618=L1164)"),"50696 YANACANCHA")</f>
        <v>50696 YANACANCHA</v>
      </c>
      <c r="F1164" s="14" t="s">
        <v>16</v>
      </c>
      <c r="G1164" s="20" t="s">
        <v>21</v>
      </c>
      <c r="H1164" s="14" t="s">
        <v>18</v>
      </c>
      <c r="I1164" s="22">
        <v>2024.0</v>
      </c>
      <c r="J1164" s="16" t="str">
        <f>IFERROR(__xludf.DUMMYFUNCTION("FILTER('CLASFICACIÓN'!$F$3:$F5618,'CLASFICACIÓN'!$G$3:$G5618=M1164)"),"2023 Y 2024")</f>
        <v>2023 Y 2024</v>
      </c>
      <c r="K1164" s="16"/>
      <c r="L1164" s="14" t="s">
        <v>102</v>
      </c>
      <c r="M1164" s="16" t="str">
        <f t="shared" si="1"/>
        <v>50696 YANACANCHA6 Primaria</v>
      </c>
      <c r="N1164" s="17"/>
      <c r="O1164" s="17"/>
      <c r="P1164" s="17"/>
      <c r="Q1164" s="17"/>
      <c r="R1164" s="17"/>
      <c r="S1164" s="17"/>
      <c r="T1164" s="17"/>
    </row>
    <row r="1165">
      <c r="A1165" s="21">
        <v>179.0</v>
      </c>
      <c r="B1165" s="20" t="s">
        <v>90</v>
      </c>
      <c r="C1165" s="20" t="s">
        <v>14</v>
      </c>
      <c r="D1165" s="20" t="s">
        <v>22</v>
      </c>
      <c r="E1165" s="12" t="str">
        <f>IFERROR(__xludf.DUMMYFUNCTION("FILTER(colegios!$B$2:$B5618,colegios!$A$2:$A5618=L1165)"),"50696 YANACANCHA")</f>
        <v>50696 YANACANCHA</v>
      </c>
      <c r="F1165" s="14" t="s">
        <v>16</v>
      </c>
      <c r="G1165" s="20" t="s">
        <v>17</v>
      </c>
      <c r="H1165" s="14" t="s">
        <v>18</v>
      </c>
      <c r="I1165" s="22">
        <v>2024.0</v>
      </c>
      <c r="J1165" s="16" t="str">
        <f>IFERROR(__xludf.DUMMYFUNCTION("FILTER('CLASFICACIÓN'!$F$3:$F5618,'CLASFICACIÓN'!$G$3:$G5618=M1165)"),"2023 Y 2024")</f>
        <v>2023 Y 2024</v>
      </c>
      <c r="K1165" s="16"/>
      <c r="L1165" s="14" t="s">
        <v>102</v>
      </c>
      <c r="M1165" s="16" t="str">
        <f t="shared" si="1"/>
        <v>50696 YANACANCHA6 Primaria</v>
      </c>
      <c r="N1165" s="17"/>
      <c r="O1165" s="17"/>
      <c r="P1165" s="17"/>
      <c r="Q1165" s="17"/>
      <c r="R1165" s="17"/>
      <c r="S1165" s="17"/>
      <c r="T1165" s="17"/>
    </row>
    <row r="1166">
      <c r="A1166" s="21">
        <v>180.0</v>
      </c>
      <c r="B1166" s="20" t="s">
        <v>90</v>
      </c>
      <c r="C1166" s="20" t="s">
        <v>14</v>
      </c>
      <c r="D1166" s="20" t="s">
        <v>15</v>
      </c>
      <c r="E1166" s="12" t="str">
        <f>IFERROR(__xludf.DUMMYFUNCTION("FILTER(colegios!$B$2:$B5618,colegios!$A$2:$A5618=L1166)"),"50854")</f>
        <v>50854</v>
      </c>
      <c r="F1166" s="14" t="s">
        <v>16</v>
      </c>
      <c r="G1166" s="20" t="s">
        <v>21</v>
      </c>
      <c r="H1166" s="14" t="s">
        <v>24</v>
      </c>
      <c r="I1166" s="22">
        <v>2024.0</v>
      </c>
      <c r="J1166" s="16" t="str">
        <f>IFERROR(__xludf.DUMMYFUNCTION("FILTER('CLASFICACIÓN'!$F$3:$F5618,'CLASFICACIÓN'!$G$3:$G5618=M1166)"),"SOLO 2024")</f>
        <v>SOLO 2024</v>
      </c>
      <c r="K1166" s="16"/>
      <c r="L1166" s="14" t="s">
        <v>103</v>
      </c>
      <c r="M1166" s="16" t="str">
        <f t="shared" si="1"/>
        <v>508542 Primaria</v>
      </c>
      <c r="N1166" s="17"/>
      <c r="O1166" s="17"/>
      <c r="P1166" s="17"/>
      <c r="Q1166" s="17"/>
      <c r="R1166" s="17"/>
      <c r="S1166" s="17"/>
      <c r="T1166" s="17"/>
    </row>
    <row r="1167">
      <c r="A1167" s="21">
        <v>181.0</v>
      </c>
      <c r="B1167" s="20" t="s">
        <v>90</v>
      </c>
      <c r="C1167" s="20" t="s">
        <v>14</v>
      </c>
      <c r="D1167" s="20" t="s">
        <v>20</v>
      </c>
      <c r="E1167" s="12" t="str">
        <f>IFERROR(__xludf.DUMMYFUNCTION("FILTER(colegios!$B$2:$B5618,colegios!$A$2:$A5618=L1167)"),"50854")</f>
        <v>50854</v>
      </c>
      <c r="F1167" s="14" t="s">
        <v>16</v>
      </c>
      <c r="G1167" s="20" t="s">
        <v>17</v>
      </c>
      <c r="H1167" s="14" t="s">
        <v>24</v>
      </c>
      <c r="I1167" s="22">
        <v>2024.0</v>
      </c>
      <c r="J1167" s="16" t="str">
        <f>IFERROR(__xludf.DUMMYFUNCTION("FILTER('CLASFICACIÓN'!$F$3:$F5618,'CLASFICACIÓN'!$G$3:$G5618=M1167)"),"SOLO 2022 Y 2024")</f>
        <v>SOLO 2022 Y 2024</v>
      </c>
      <c r="K1167" s="16"/>
      <c r="L1167" s="14" t="s">
        <v>103</v>
      </c>
      <c r="M1167" s="16" t="str">
        <f t="shared" si="1"/>
        <v>508544 Primaria</v>
      </c>
      <c r="N1167" s="17"/>
      <c r="O1167" s="17"/>
      <c r="P1167" s="17"/>
      <c r="Q1167" s="17"/>
      <c r="R1167" s="17"/>
      <c r="S1167" s="17"/>
      <c r="T1167" s="17"/>
    </row>
    <row r="1168">
      <c r="A1168" s="21">
        <v>182.0</v>
      </c>
      <c r="B1168" s="20" t="s">
        <v>90</v>
      </c>
      <c r="C1168" s="20" t="s">
        <v>14</v>
      </c>
      <c r="D1168" s="20" t="s">
        <v>22</v>
      </c>
      <c r="E1168" s="12" t="str">
        <f>IFERROR(__xludf.DUMMYFUNCTION("FILTER(colegios!$B$2:$B5618,colegios!$A$2:$A5618=L1168)"),"50854")</f>
        <v>50854</v>
      </c>
      <c r="F1168" s="14" t="s">
        <v>16</v>
      </c>
      <c r="G1168" s="20" t="s">
        <v>21</v>
      </c>
      <c r="H1168" s="14" t="s">
        <v>32</v>
      </c>
      <c r="I1168" s="22">
        <v>2024.0</v>
      </c>
      <c r="J1168" s="16" t="str">
        <f>IFERROR(__xludf.DUMMYFUNCTION("FILTER('CLASFICACIÓN'!$F$3:$F5618,'CLASFICACIÓN'!$G$3:$G5618=M1168)"),"SOLO 2022 Y 2024")</f>
        <v>SOLO 2022 Y 2024</v>
      </c>
      <c r="K1168" s="16"/>
      <c r="L1168" s="14" t="s">
        <v>103</v>
      </c>
      <c r="M1168" s="16" t="str">
        <f t="shared" si="1"/>
        <v>508546 Primaria</v>
      </c>
      <c r="N1168" s="17"/>
      <c r="O1168" s="17"/>
      <c r="P1168" s="17"/>
      <c r="Q1168" s="17"/>
      <c r="R1168" s="17"/>
      <c r="S1168" s="17"/>
      <c r="T1168" s="17"/>
    </row>
    <row r="1169">
      <c r="A1169" s="21">
        <v>183.0</v>
      </c>
      <c r="B1169" s="20" t="s">
        <v>90</v>
      </c>
      <c r="C1169" s="20" t="s">
        <v>14</v>
      </c>
      <c r="D1169" s="20" t="s">
        <v>15</v>
      </c>
      <c r="E1169" s="12" t="str">
        <f>IFERROR(__xludf.DUMMYFUNCTION("FILTER(colegios!$B$2:$B5618,colegios!$A$2:$A5618=L1169)"),"50977")</f>
        <v>50977</v>
      </c>
      <c r="F1169" s="14" t="s">
        <v>16</v>
      </c>
      <c r="G1169" s="20" t="s">
        <v>21</v>
      </c>
      <c r="H1169" s="14" t="s">
        <v>24</v>
      </c>
      <c r="I1169" s="22">
        <v>2024.0</v>
      </c>
      <c r="J1169" s="16" t="str">
        <f>IFERROR(__xludf.DUMMYFUNCTION("FILTER('CLASFICACIÓN'!$F$3:$F5618,'CLASFICACIÓN'!$G$3:$G5618=M1169)"),"LOS 3 AÑOS")</f>
        <v>LOS 3 AÑOS</v>
      </c>
      <c r="K1169" s="16"/>
      <c r="L1169" s="14" t="s">
        <v>104</v>
      </c>
      <c r="M1169" s="16" t="str">
        <f t="shared" si="1"/>
        <v>509772 Primaria</v>
      </c>
      <c r="N1169" s="17"/>
      <c r="O1169" s="17"/>
      <c r="P1169" s="17"/>
      <c r="Q1169" s="17"/>
      <c r="R1169" s="17"/>
      <c r="S1169" s="17"/>
      <c r="T1169" s="17"/>
    </row>
    <row r="1170">
      <c r="A1170" s="21">
        <v>184.0</v>
      </c>
      <c r="B1170" s="20" t="s">
        <v>90</v>
      </c>
      <c r="C1170" s="20" t="s">
        <v>14</v>
      </c>
      <c r="D1170" s="20" t="s">
        <v>20</v>
      </c>
      <c r="E1170" s="12" t="str">
        <f>IFERROR(__xludf.DUMMYFUNCTION("FILTER(colegios!$B$2:$B5618,colegios!$A$2:$A5618=L1170)"),"50977")</f>
        <v>50977</v>
      </c>
      <c r="F1170" s="14" t="s">
        <v>16</v>
      </c>
      <c r="G1170" s="20" t="s">
        <v>21</v>
      </c>
      <c r="H1170" s="14" t="s">
        <v>18</v>
      </c>
      <c r="I1170" s="22">
        <v>2024.0</v>
      </c>
      <c r="J1170" s="16" t="str">
        <f>IFERROR(__xludf.DUMMYFUNCTION("FILTER('CLASFICACIÓN'!$F$3:$F5618,'CLASFICACIÓN'!$G$3:$G5618=M1170)"),"LOS 3 AÑOS")</f>
        <v>LOS 3 AÑOS</v>
      </c>
      <c r="K1170" s="16"/>
      <c r="L1170" s="14" t="s">
        <v>104</v>
      </c>
      <c r="M1170" s="16" t="str">
        <f t="shared" si="1"/>
        <v>509774 Primaria</v>
      </c>
      <c r="N1170" s="17"/>
      <c r="O1170" s="17"/>
      <c r="P1170" s="17"/>
      <c r="Q1170" s="17"/>
      <c r="R1170" s="17"/>
      <c r="S1170" s="17"/>
      <c r="T1170" s="17"/>
    </row>
    <row r="1171">
      <c r="A1171" s="21">
        <v>185.0</v>
      </c>
      <c r="B1171" s="20" t="s">
        <v>90</v>
      </c>
      <c r="C1171" s="20" t="s">
        <v>14</v>
      </c>
      <c r="D1171" s="20" t="s">
        <v>20</v>
      </c>
      <c r="E1171" s="12" t="str">
        <f>IFERROR(__xludf.DUMMYFUNCTION("FILTER(colegios!$B$2:$B5618,colegios!$A$2:$A5618=L1171)"),"50977")</f>
        <v>50977</v>
      </c>
      <c r="F1171" s="14" t="s">
        <v>16</v>
      </c>
      <c r="G1171" s="20" t="s">
        <v>17</v>
      </c>
      <c r="H1171" s="14" t="s">
        <v>18</v>
      </c>
      <c r="I1171" s="22">
        <v>2024.0</v>
      </c>
      <c r="J1171" s="16" t="str">
        <f>IFERROR(__xludf.DUMMYFUNCTION("FILTER('CLASFICACIÓN'!$F$3:$F5618,'CLASFICACIÓN'!$G$3:$G5618=M1171)"),"LOS 3 AÑOS")</f>
        <v>LOS 3 AÑOS</v>
      </c>
      <c r="K1171" s="16"/>
      <c r="L1171" s="14" t="s">
        <v>104</v>
      </c>
      <c r="M1171" s="16" t="str">
        <f t="shared" si="1"/>
        <v>509774 Primaria</v>
      </c>
      <c r="N1171" s="17"/>
      <c r="O1171" s="17"/>
      <c r="P1171" s="17"/>
      <c r="Q1171" s="17"/>
      <c r="R1171" s="17"/>
      <c r="S1171" s="17"/>
      <c r="T1171" s="17"/>
    </row>
    <row r="1172">
      <c r="A1172" s="21">
        <v>186.0</v>
      </c>
      <c r="B1172" s="20" t="s">
        <v>90</v>
      </c>
      <c r="C1172" s="20" t="s">
        <v>14</v>
      </c>
      <c r="D1172" s="20" t="s">
        <v>20</v>
      </c>
      <c r="E1172" s="12" t="str">
        <f>IFERROR(__xludf.DUMMYFUNCTION("FILTER(colegios!$B$2:$B5618,colegios!$A$2:$A5618=L1172)"),"50977")</f>
        <v>50977</v>
      </c>
      <c r="F1172" s="14" t="s">
        <v>16</v>
      </c>
      <c r="G1172" s="20" t="s">
        <v>21</v>
      </c>
      <c r="H1172" s="14" t="s">
        <v>18</v>
      </c>
      <c r="I1172" s="22">
        <v>2024.0</v>
      </c>
      <c r="J1172" s="16" t="str">
        <f>IFERROR(__xludf.DUMMYFUNCTION("FILTER('CLASFICACIÓN'!$F$3:$F5618,'CLASFICACIÓN'!$G$3:$G5618=M1172)"),"LOS 3 AÑOS")</f>
        <v>LOS 3 AÑOS</v>
      </c>
      <c r="K1172" s="16"/>
      <c r="L1172" s="14" t="s">
        <v>104</v>
      </c>
      <c r="M1172" s="16" t="str">
        <f t="shared" si="1"/>
        <v>509774 Primaria</v>
      </c>
      <c r="N1172" s="17"/>
      <c r="O1172" s="17"/>
      <c r="P1172" s="17"/>
      <c r="Q1172" s="17"/>
      <c r="R1172" s="17"/>
      <c r="S1172" s="17"/>
      <c r="T1172" s="17"/>
    </row>
    <row r="1173">
      <c r="A1173" s="21">
        <v>187.0</v>
      </c>
      <c r="B1173" s="20" t="s">
        <v>90</v>
      </c>
      <c r="C1173" s="20" t="s">
        <v>14</v>
      </c>
      <c r="D1173" s="20" t="s">
        <v>22</v>
      </c>
      <c r="E1173" s="12" t="str">
        <f>IFERROR(__xludf.DUMMYFUNCTION("FILTER(colegios!$B$2:$B5618,colegios!$A$2:$A5618=L1173)"),"50977")</f>
        <v>50977</v>
      </c>
      <c r="F1173" s="14" t="s">
        <v>16</v>
      </c>
      <c r="G1173" s="20" t="s">
        <v>21</v>
      </c>
      <c r="H1173" s="14" t="s">
        <v>24</v>
      </c>
      <c r="I1173" s="22">
        <v>2024.0</v>
      </c>
      <c r="J1173" s="16" t="str">
        <f>IFERROR(__xludf.DUMMYFUNCTION("FILTER('CLASFICACIÓN'!$F$3:$F5618,'CLASFICACIÓN'!$G$3:$G5618=M1173)"),"LOS 3 AÑOS")</f>
        <v>LOS 3 AÑOS</v>
      </c>
      <c r="K1173" s="16"/>
      <c r="L1173" s="14" t="s">
        <v>104</v>
      </c>
      <c r="M1173" s="16" t="str">
        <f t="shared" si="1"/>
        <v>509776 Primaria</v>
      </c>
      <c r="N1173" s="17"/>
      <c r="O1173" s="17"/>
      <c r="P1173" s="17"/>
      <c r="Q1173" s="17"/>
      <c r="R1173" s="17"/>
      <c r="S1173" s="17"/>
      <c r="T1173" s="17"/>
    </row>
    <row r="1174">
      <c r="A1174" s="21">
        <v>188.0</v>
      </c>
      <c r="B1174" s="20" t="s">
        <v>90</v>
      </c>
      <c r="C1174" s="20" t="s">
        <v>14</v>
      </c>
      <c r="D1174" s="20" t="s">
        <v>22</v>
      </c>
      <c r="E1174" s="12" t="str">
        <f>IFERROR(__xludf.DUMMYFUNCTION("FILTER(colegios!$B$2:$B5618,colegios!$A$2:$A5618=L1174)"),"50977")</f>
        <v>50977</v>
      </c>
      <c r="F1174" s="14" t="s">
        <v>16</v>
      </c>
      <c r="G1174" s="20" t="s">
        <v>17</v>
      </c>
      <c r="H1174" s="14" t="s">
        <v>24</v>
      </c>
      <c r="I1174" s="22">
        <v>2024.0</v>
      </c>
      <c r="J1174" s="16" t="str">
        <f>IFERROR(__xludf.DUMMYFUNCTION("FILTER('CLASFICACIÓN'!$F$3:$F5618,'CLASFICACIÓN'!$G$3:$G5618=M1174)"),"LOS 3 AÑOS")</f>
        <v>LOS 3 AÑOS</v>
      </c>
      <c r="K1174" s="16"/>
      <c r="L1174" s="14" t="s">
        <v>104</v>
      </c>
      <c r="M1174" s="16" t="str">
        <f t="shared" si="1"/>
        <v>509776 Primaria</v>
      </c>
      <c r="N1174" s="17"/>
      <c r="O1174" s="17"/>
      <c r="P1174" s="17"/>
      <c r="Q1174" s="17"/>
      <c r="R1174" s="17"/>
      <c r="S1174" s="17"/>
      <c r="T1174" s="17"/>
    </row>
    <row r="1175">
      <c r="A1175" s="21">
        <v>189.0</v>
      </c>
      <c r="B1175" s="20" t="s">
        <v>90</v>
      </c>
      <c r="C1175" s="20" t="s">
        <v>14</v>
      </c>
      <c r="D1175" s="20" t="s">
        <v>22</v>
      </c>
      <c r="E1175" s="12" t="str">
        <f>IFERROR(__xludf.DUMMYFUNCTION("FILTER(colegios!$B$2:$B5618,colegios!$A$2:$A5618=L1175)"),"50977")</f>
        <v>50977</v>
      </c>
      <c r="F1175" s="14" t="s">
        <v>16</v>
      </c>
      <c r="G1175" s="20" t="s">
        <v>21</v>
      </c>
      <c r="H1175" s="14" t="s">
        <v>24</v>
      </c>
      <c r="I1175" s="22">
        <v>2024.0</v>
      </c>
      <c r="J1175" s="16" t="str">
        <f>IFERROR(__xludf.DUMMYFUNCTION("FILTER('CLASFICACIÓN'!$F$3:$F5618,'CLASFICACIÓN'!$G$3:$G5618=M1175)"),"LOS 3 AÑOS")</f>
        <v>LOS 3 AÑOS</v>
      </c>
      <c r="K1175" s="16"/>
      <c r="L1175" s="14" t="s">
        <v>104</v>
      </c>
      <c r="M1175" s="16" t="str">
        <f t="shared" si="1"/>
        <v>509776 Primaria</v>
      </c>
      <c r="N1175" s="17"/>
      <c r="O1175" s="17"/>
      <c r="P1175" s="17"/>
      <c r="Q1175" s="17"/>
      <c r="R1175" s="17"/>
      <c r="S1175" s="17"/>
      <c r="T1175" s="17"/>
    </row>
    <row r="1176">
      <c r="A1176" s="21">
        <v>193.0</v>
      </c>
      <c r="B1176" s="20" t="s">
        <v>90</v>
      </c>
      <c r="C1176" s="20" t="s">
        <v>14</v>
      </c>
      <c r="D1176" s="20" t="s">
        <v>20</v>
      </c>
      <c r="E1176" s="12" t="str">
        <f>IFERROR(__xludf.DUMMYFUNCTION("FILTER(colegios!$B$2:$B5618,colegios!$A$2:$A5618=L1176)"),"501344")</f>
        <v>501344</v>
      </c>
      <c r="F1176" s="14" t="s">
        <v>16</v>
      </c>
      <c r="G1176" s="20" t="s">
        <v>21</v>
      </c>
      <c r="H1176" s="14" t="s">
        <v>24</v>
      </c>
      <c r="I1176" s="22">
        <v>2024.0</v>
      </c>
      <c r="J1176" s="16" t="str">
        <f>IFERROR(__xludf.DUMMYFUNCTION("FILTER('CLASFICACIÓN'!$F$3:$F5618,'CLASFICACIÓN'!$G$3:$G5618=M1176)"),"SOLO 2022 Y 2024")</f>
        <v>SOLO 2022 Y 2024</v>
      </c>
      <c r="K1176" s="16"/>
      <c r="L1176" s="14" t="s">
        <v>105</v>
      </c>
      <c r="M1176" s="16" t="str">
        <f t="shared" si="1"/>
        <v>5013444 Primaria</v>
      </c>
      <c r="N1176" s="17"/>
      <c r="O1176" s="17"/>
      <c r="P1176" s="17"/>
      <c r="Q1176" s="17"/>
      <c r="R1176" s="17"/>
      <c r="S1176" s="17"/>
      <c r="T1176" s="17"/>
    </row>
    <row r="1177">
      <c r="A1177" s="21">
        <v>194.0</v>
      </c>
      <c r="B1177" s="20" t="s">
        <v>90</v>
      </c>
      <c r="C1177" s="20" t="s">
        <v>14</v>
      </c>
      <c r="D1177" s="20" t="s">
        <v>20</v>
      </c>
      <c r="E1177" s="12" t="str">
        <f>IFERROR(__xludf.DUMMYFUNCTION("FILTER(colegios!$B$2:$B5618,colegios!$A$2:$A5618=L1177)"),"501344")</f>
        <v>501344</v>
      </c>
      <c r="F1177" s="14" t="s">
        <v>16</v>
      </c>
      <c r="G1177" s="20" t="s">
        <v>17</v>
      </c>
      <c r="H1177" s="14" t="s">
        <v>18</v>
      </c>
      <c r="I1177" s="22">
        <v>2024.0</v>
      </c>
      <c r="J1177" s="16" t="str">
        <f>IFERROR(__xludf.DUMMYFUNCTION("FILTER('CLASFICACIÓN'!$F$3:$F5618,'CLASFICACIÓN'!$G$3:$G5618=M1177)"),"SOLO 2022 Y 2024")</f>
        <v>SOLO 2022 Y 2024</v>
      </c>
      <c r="K1177" s="16"/>
      <c r="L1177" s="14" t="s">
        <v>105</v>
      </c>
      <c r="M1177" s="16" t="str">
        <f t="shared" si="1"/>
        <v>5013444 Primaria</v>
      </c>
      <c r="N1177" s="17"/>
      <c r="O1177" s="17"/>
      <c r="P1177" s="17"/>
      <c r="Q1177" s="17"/>
      <c r="R1177" s="17"/>
      <c r="S1177" s="17"/>
      <c r="T1177" s="17"/>
    </row>
    <row r="1178">
      <c r="A1178" s="21">
        <v>195.0</v>
      </c>
      <c r="B1178" s="20" t="s">
        <v>90</v>
      </c>
      <c r="C1178" s="20" t="s">
        <v>14</v>
      </c>
      <c r="D1178" s="20" t="s">
        <v>22</v>
      </c>
      <c r="E1178" s="12" t="str">
        <f>IFERROR(__xludf.DUMMYFUNCTION("FILTER(colegios!$B$2:$B5618,colegios!$A$2:$A5618=L1178)"),"501344")</f>
        <v>501344</v>
      </c>
      <c r="F1178" s="14" t="s">
        <v>16</v>
      </c>
      <c r="G1178" s="20" t="s">
        <v>17</v>
      </c>
      <c r="H1178" s="14" t="s">
        <v>32</v>
      </c>
      <c r="I1178" s="22">
        <v>2024.0</v>
      </c>
      <c r="J1178" s="16" t="str">
        <f>IFERROR(__xludf.DUMMYFUNCTION("FILTER('CLASFICACIÓN'!$F$3:$F5618,'CLASFICACIÓN'!$G$3:$G5618=M1178)"),"SOLO 2022 Y 2024")</f>
        <v>SOLO 2022 Y 2024</v>
      </c>
      <c r="K1178" s="16"/>
      <c r="L1178" s="14" t="s">
        <v>105</v>
      </c>
      <c r="M1178" s="16" t="str">
        <f t="shared" si="1"/>
        <v>5013446 Primaria</v>
      </c>
      <c r="N1178" s="17"/>
      <c r="O1178" s="17"/>
      <c r="P1178" s="17"/>
      <c r="Q1178" s="17"/>
      <c r="R1178" s="17"/>
      <c r="S1178" s="17"/>
      <c r="T1178" s="17"/>
    </row>
    <row r="1179">
      <c r="A1179" s="21">
        <v>196.0</v>
      </c>
      <c r="B1179" s="20" t="s">
        <v>90</v>
      </c>
      <c r="C1179" s="20" t="s">
        <v>14</v>
      </c>
      <c r="D1179" s="20" t="s">
        <v>15</v>
      </c>
      <c r="E1179" s="12" t="str">
        <f>IFERROR(__xludf.DUMMYFUNCTION("FILTER(colegios!$B$2:$B5618,colegios!$A$2:$A5618=L1179)"),"501432 PAPA FRANCISCO I")</f>
        <v>501432 PAPA FRANCISCO I</v>
      </c>
      <c r="F1179" s="14" t="s">
        <v>16</v>
      </c>
      <c r="G1179" s="20" t="s">
        <v>21</v>
      </c>
      <c r="H1179" s="14" t="s">
        <v>24</v>
      </c>
      <c r="I1179" s="22">
        <v>2024.0</v>
      </c>
      <c r="J1179" s="16" t="str">
        <f>IFERROR(__xludf.DUMMYFUNCTION("FILTER('CLASFICACIÓN'!$F$3:$F5618,'CLASFICACIÓN'!$G$3:$G5618=M1179)"),"LOS 3 AÑOS")</f>
        <v>LOS 3 AÑOS</v>
      </c>
      <c r="K1179" s="16"/>
      <c r="L1179" s="14" t="s">
        <v>106</v>
      </c>
      <c r="M1179" s="16" t="str">
        <f t="shared" si="1"/>
        <v>501432 PAPA FRANCISCO I2 Primaria</v>
      </c>
      <c r="N1179" s="17"/>
      <c r="O1179" s="17"/>
      <c r="P1179" s="17"/>
      <c r="Q1179" s="17"/>
      <c r="R1179" s="17"/>
      <c r="S1179" s="17"/>
      <c r="T1179" s="17"/>
    </row>
    <row r="1180">
      <c r="A1180" s="21">
        <v>197.0</v>
      </c>
      <c r="B1180" s="20" t="s">
        <v>90</v>
      </c>
      <c r="C1180" s="20" t="s">
        <v>14</v>
      </c>
      <c r="D1180" s="20" t="s">
        <v>15</v>
      </c>
      <c r="E1180" s="12" t="str">
        <f>IFERROR(__xludf.DUMMYFUNCTION("FILTER(colegios!$B$2:$B5618,colegios!$A$2:$A5618=L1180)"),"501432 PAPA FRANCISCO I")</f>
        <v>501432 PAPA FRANCISCO I</v>
      </c>
      <c r="F1180" s="14" t="s">
        <v>16</v>
      </c>
      <c r="G1180" s="20" t="s">
        <v>17</v>
      </c>
      <c r="H1180" s="14" t="s">
        <v>24</v>
      </c>
      <c r="I1180" s="22">
        <v>2024.0</v>
      </c>
      <c r="J1180" s="16" t="str">
        <f>IFERROR(__xludf.DUMMYFUNCTION("FILTER('CLASFICACIÓN'!$F$3:$F5618,'CLASFICACIÓN'!$G$3:$G5618=M1180)"),"LOS 3 AÑOS")</f>
        <v>LOS 3 AÑOS</v>
      </c>
      <c r="K1180" s="16"/>
      <c r="L1180" s="14" t="s">
        <v>106</v>
      </c>
      <c r="M1180" s="16" t="str">
        <f t="shared" si="1"/>
        <v>501432 PAPA FRANCISCO I2 Primaria</v>
      </c>
      <c r="N1180" s="17"/>
      <c r="O1180" s="17"/>
      <c r="P1180" s="17"/>
      <c r="Q1180" s="17"/>
      <c r="R1180" s="17"/>
      <c r="S1180" s="17"/>
      <c r="T1180" s="17"/>
    </row>
    <row r="1181">
      <c r="A1181" s="21">
        <v>198.0</v>
      </c>
      <c r="B1181" s="20" t="s">
        <v>90</v>
      </c>
      <c r="C1181" s="20" t="s">
        <v>14</v>
      </c>
      <c r="D1181" s="20" t="s">
        <v>15</v>
      </c>
      <c r="E1181" s="12" t="str">
        <f>IFERROR(__xludf.DUMMYFUNCTION("FILTER(colegios!$B$2:$B5618,colegios!$A$2:$A5618=L1181)"),"501432 PAPA FRANCISCO I")</f>
        <v>501432 PAPA FRANCISCO I</v>
      </c>
      <c r="F1181" s="14" t="s">
        <v>16</v>
      </c>
      <c r="G1181" s="20" t="s">
        <v>17</v>
      </c>
      <c r="H1181" s="14" t="s">
        <v>18</v>
      </c>
      <c r="I1181" s="22">
        <v>2024.0</v>
      </c>
      <c r="J1181" s="16" t="str">
        <f>IFERROR(__xludf.DUMMYFUNCTION("FILTER('CLASFICACIÓN'!$F$3:$F5618,'CLASFICACIÓN'!$G$3:$G5618=M1181)"),"LOS 3 AÑOS")</f>
        <v>LOS 3 AÑOS</v>
      </c>
      <c r="K1181" s="16"/>
      <c r="L1181" s="14" t="s">
        <v>106</v>
      </c>
      <c r="M1181" s="16" t="str">
        <f t="shared" si="1"/>
        <v>501432 PAPA FRANCISCO I2 Primaria</v>
      </c>
      <c r="N1181" s="17"/>
      <c r="O1181" s="17"/>
      <c r="P1181" s="17"/>
      <c r="Q1181" s="17"/>
      <c r="R1181" s="17"/>
      <c r="S1181" s="17"/>
      <c r="T1181" s="17"/>
    </row>
    <row r="1182">
      <c r="A1182" s="21">
        <v>199.0</v>
      </c>
      <c r="B1182" s="20" t="s">
        <v>90</v>
      </c>
      <c r="C1182" s="20" t="s">
        <v>14</v>
      </c>
      <c r="D1182" s="20" t="s">
        <v>20</v>
      </c>
      <c r="E1182" s="12" t="str">
        <f>IFERROR(__xludf.DUMMYFUNCTION("FILTER(colegios!$B$2:$B5618,colegios!$A$2:$A5618=L1182)"),"501432 PAPA FRANCISCO I")</f>
        <v>501432 PAPA FRANCISCO I</v>
      </c>
      <c r="F1182" s="14" t="s">
        <v>16</v>
      </c>
      <c r="G1182" s="20" t="s">
        <v>21</v>
      </c>
      <c r="H1182" s="14" t="s">
        <v>24</v>
      </c>
      <c r="I1182" s="22">
        <v>2024.0</v>
      </c>
      <c r="J1182" s="16" t="str">
        <f>IFERROR(__xludf.DUMMYFUNCTION("FILTER('CLASFICACIÓN'!$F$3:$F5618,'CLASFICACIÓN'!$G$3:$G5618=M1182)"),"LOS 3 AÑOS")</f>
        <v>LOS 3 AÑOS</v>
      </c>
      <c r="K1182" s="16"/>
      <c r="L1182" s="14" t="s">
        <v>106</v>
      </c>
      <c r="M1182" s="16" t="str">
        <f t="shared" si="1"/>
        <v>501432 PAPA FRANCISCO I4 Primaria</v>
      </c>
      <c r="N1182" s="17"/>
      <c r="O1182" s="17"/>
      <c r="P1182" s="17"/>
      <c r="Q1182" s="17"/>
      <c r="R1182" s="17"/>
      <c r="S1182" s="17"/>
      <c r="T1182" s="17"/>
    </row>
    <row r="1183">
      <c r="A1183" s="21">
        <v>200.0</v>
      </c>
      <c r="B1183" s="20" t="s">
        <v>90</v>
      </c>
      <c r="C1183" s="20" t="s">
        <v>14</v>
      </c>
      <c r="D1183" s="20" t="s">
        <v>20</v>
      </c>
      <c r="E1183" s="12" t="str">
        <f>IFERROR(__xludf.DUMMYFUNCTION("FILTER(colegios!$B$2:$B5618,colegios!$A$2:$A5618=L1183)"),"501432 PAPA FRANCISCO I")</f>
        <v>501432 PAPA FRANCISCO I</v>
      </c>
      <c r="F1183" s="14" t="s">
        <v>16</v>
      </c>
      <c r="G1183" s="20" t="s">
        <v>17</v>
      </c>
      <c r="H1183" s="14" t="s">
        <v>18</v>
      </c>
      <c r="I1183" s="22">
        <v>2024.0</v>
      </c>
      <c r="J1183" s="16" t="str">
        <f>IFERROR(__xludf.DUMMYFUNCTION("FILTER('CLASFICACIÓN'!$F$3:$F5618,'CLASFICACIÓN'!$G$3:$G5618=M1183)"),"LOS 3 AÑOS")</f>
        <v>LOS 3 AÑOS</v>
      </c>
      <c r="K1183" s="16"/>
      <c r="L1183" s="14" t="s">
        <v>106</v>
      </c>
      <c r="M1183" s="16" t="str">
        <f t="shared" si="1"/>
        <v>501432 PAPA FRANCISCO I4 Primaria</v>
      </c>
      <c r="N1183" s="17"/>
      <c r="O1183" s="17"/>
      <c r="P1183" s="17"/>
      <c r="Q1183" s="17"/>
      <c r="R1183" s="17"/>
      <c r="S1183" s="17"/>
      <c r="T1183" s="17"/>
    </row>
    <row r="1184">
      <c r="A1184" s="21">
        <v>201.0</v>
      </c>
      <c r="B1184" s="20" t="s">
        <v>90</v>
      </c>
      <c r="C1184" s="20" t="s">
        <v>14</v>
      </c>
      <c r="D1184" s="20" t="s">
        <v>20</v>
      </c>
      <c r="E1184" s="12" t="str">
        <f>IFERROR(__xludf.DUMMYFUNCTION("FILTER(colegios!$B$2:$B5618,colegios!$A$2:$A5618=L1184)"),"501432 PAPA FRANCISCO I")</f>
        <v>501432 PAPA FRANCISCO I</v>
      </c>
      <c r="F1184" s="14" t="s">
        <v>16</v>
      </c>
      <c r="G1184" s="20" t="s">
        <v>21</v>
      </c>
      <c r="H1184" s="14" t="s">
        <v>18</v>
      </c>
      <c r="I1184" s="22">
        <v>2024.0</v>
      </c>
      <c r="J1184" s="16" t="str">
        <f>IFERROR(__xludf.DUMMYFUNCTION("FILTER('CLASFICACIÓN'!$F$3:$F5618,'CLASFICACIÓN'!$G$3:$G5618=M1184)"),"LOS 3 AÑOS")</f>
        <v>LOS 3 AÑOS</v>
      </c>
      <c r="K1184" s="16"/>
      <c r="L1184" s="14" t="s">
        <v>106</v>
      </c>
      <c r="M1184" s="16" t="str">
        <f t="shared" si="1"/>
        <v>501432 PAPA FRANCISCO I4 Primaria</v>
      </c>
      <c r="N1184" s="17"/>
      <c r="O1184" s="17"/>
      <c r="P1184" s="17"/>
      <c r="Q1184" s="17"/>
      <c r="R1184" s="17"/>
      <c r="S1184" s="17"/>
      <c r="T1184" s="17"/>
    </row>
    <row r="1185">
      <c r="A1185" s="21">
        <v>202.0</v>
      </c>
      <c r="B1185" s="20" t="s">
        <v>90</v>
      </c>
      <c r="C1185" s="20" t="s">
        <v>14</v>
      </c>
      <c r="D1185" s="20" t="s">
        <v>20</v>
      </c>
      <c r="E1185" s="12" t="str">
        <f>IFERROR(__xludf.DUMMYFUNCTION("FILTER(colegios!$B$2:$B5618,colegios!$A$2:$A5618=L1185)"),"501432 PAPA FRANCISCO I")</f>
        <v>501432 PAPA FRANCISCO I</v>
      </c>
      <c r="F1185" s="14" t="s">
        <v>16</v>
      </c>
      <c r="G1185" s="20" t="s">
        <v>21</v>
      </c>
      <c r="H1185" s="14" t="s">
        <v>24</v>
      </c>
      <c r="I1185" s="22">
        <v>2024.0</v>
      </c>
      <c r="J1185" s="16" t="str">
        <f>IFERROR(__xludf.DUMMYFUNCTION("FILTER('CLASFICACIÓN'!$F$3:$F5618,'CLASFICACIÓN'!$G$3:$G5618=M1185)"),"LOS 3 AÑOS")</f>
        <v>LOS 3 AÑOS</v>
      </c>
      <c r="K1185" s="16"/>
      <c r="L1185" s="14" t="s">
        <v>106</v>
      </c>
      <c r="M1185" s="16" t="str">
        <f t="shared" si="1"/>
        <v>501432 PAPA FRANCISCO I4 Primaria</v>
      </c>
      <c r="N1185" s="17"/>
      <c r="O1185" s="17"/>
      <c r="P1185" s="17"/>
      <c r="Q1185" s="17"/>
      <c r="R1185" s="17"/>
      <c r="S1185" s="17"/>
      <c r="T1185" s="17"/>
    </row>
    <row r="1186">
      <c r="A1186" s="21">
        <v>203.0</v>
      </c>
      <c r="B1186" s="20" t="s">
        <v>90</v>
      </c>
      <c r="C1186" s="20" t="s">
        <v>14</v>
      </c>
      <c r="D1186" s="20" t="s">
        <v>22</v>
      </c>
      <c r="E1186" s="12" t="str">
        <f>IFERROR(__xludf.DUMMYFUNCTION("FILTER(colegios!$B$2:$B5618,colegios!$A$2:$A5618=L1186)"),"501432 PAPA FRANCISCO I")</f>
        <v>501432 PAPA FRANCISCO I</v>
      </c>
      <c r="F1186" s="14" t="s">
        <v>16</v>
      </c>
      <c r="G1186" s="20" t="s">
        <v>21</v>
      </c>
      <c r="H1186" s="14" t="s">
        <v>18</v>
      </c>
      <c r="I1186" s="22">
        <v>2024.0</v>
      </c>
      <c r="J1186" s="16" t="str">
        <f>IFERROR(__xludf.DUMMYFUNCTION("FILTER('CLASFICACIÓN'!$F$3:$F5618,'CLASFICACIÓN'!$G$3:$G5618=M1186)"),"LOS 3 AÑOS")</f>
        <v>LOS 3 AÑOS</v>
      </c>
      <c r="K1186" s="16"/>
      <c r="L1186" s="14" t="s">
        <v>106</v>
      </c>
      <c r="M1186" s="16" t="str">
        <f t="shared" si="1"/>
        <v>501432 PAPA FRANCISCO I6 Primaria</v>
      </c>
      <c r="N1186" s="17"/>
      <c r="O1186" s="17"/>
      <c r="P1186" s="17"/>
      <c r="Q1186" s="17"/>
      <c r="R1186" s="17"/>
      <c r="S1186" s="17"/>
      <c r="T1186" s="17"/>
    </row>
    <row r="1187">
      <c r="A1187" s="21">
        <v>204.0</v>
      </c>
      <c r="B1187" s="20" t="s">
        <v>90</v>
      </c>
      <c r="C1187" s="20" t="s">
        <v>14</v>
      </c>
      <c r="D1187" s="20" t="s">
        <v>22</v>
      </c>
      <c r="E1187" s="12" t="str">
        <f>IFERROR(__xludf.DUMMYFUNCTION("FILTER(colegios!$B$2:$B5618,colegios!$A$2:$A5618=L1187)"),"501432 PAPA FRANCISCO I")</f>
        <v>501432 PAPA FRANCISCO I</v>
      </c>
      <c r="F1187" s="14" t="s">
        <v>16</v>
      </c>
      <c r="G1187" s="20" t="s">
        <v>17</v>
      </c>
      <c r="H1187" s="14" t="s">
        <v>18</v>
      </c>
      <c r="I1187" s="22">
        <v>2024.0</v>
      </c>
      <c r="J1187" s="16" t="str">
        <f>IFERROR(__xludf.DUMMYFUNCTION("FILTER('CLASFICACIÓN'!$F$3:$F5618,'CLASFICACIÓN'!$G$3:$G5618=M1187)"),"LOS 3 AÑOS")</f>
        <v>LOS 3 AÑOS</v>
      </c>
      <c r="K1187" s="16"/>
      <c r="L1187" s="14" t="s">
        <v>106</v>
      </c>
      <c r="M1187" s="16" t="str">
        <f t="shared" si="1"/>
        <v>501432 PAPA FRANCISCO I6 Primaria</v>
      </c>
      <c r="N1187" s="17"/>
      <c r="O1187" s="17"/>
      <c r="P1187" s="17"/>
      <c r="Q1187" s="17"/>
      <c r="R1187" s="17"/>
      <c r="S1187" s="17"/>
      <c r="T1187" s="17"/>
    </row>
    <row r="1188">
      <c r="A1188" s="21">
        <v>205.0</v>
      </c>
      <c r="B1188" s="20" t="s">
        <v>90</v>
      </c>
      <c r="C1188" s="20" t="s">
        <v>14</v>
      </c>
      <c r="D1188" s="20" t="s">
        <v>22</v>
      </c>
      <c r="E1188" s="12" t="str">
        <f>IFERROR(__xludf.DUMMYFUNCTION("FILTER(colegios!$B$2:$B5618,colegios!$A$2:$A5618=L1188)"),"501432 PAPA FRANCISCO I")</f>
        <v>501432 PAPA FRANCISCO I</v>
      </c>
      <c r="F1188" s="14" t="s">
        <v>16</v>
      </c>
      <c r="G1188" s="20" t="s">
        <v>21</v>
      </c>
      <c r="H1188" s="14" t="s">
        <v>24</v>
      </c>
      <c r="I1188" s="22">
        <v>2024.0</v>
      </c>
      <c r="J1188" s="16" t="str">
        <f>IFERROR(__xludf.DUMMYFUNCTION("FILTER('CLASFICACIÓN'!$F$3:$F5618,'CLASFICACIÓN'!$G$3:$G5618=M1188)"),"LOS 3 AÑOS")</f>
        <v>LOS 3 AÑOS</v>
      </c>
      <c r="K1188" s="16"/>
      <c r="L1188" s="14" t="s">
        <v>106</v>
      </c>
      <c r="M1188" s="16" t="str">
        <f t="shared" si="1"/>
        <v>501432 PAPA FRANCISCO I6 Primaria</v>
      </c>
      <c r="N1188" s="17"/>
      <c r="O1188" s="17"/>
      <c r="P1188" s="17"/>
      <c r="Q1188" s="17"/>
      <c r="R1188" s="17"/>
      <c r="S1188" s="17"/>
      <c r="T1188" s="17"/>
    </row>
    <row r="1189">
      <c r="A1189" s="21">
        <v>206.0</v>
      </c>
      <c r="B1189" s="20" t="s">
        <v>90</v>
      </c>
      <c r="C1189" s="20" t="s">
        <v>14</v>
      </c>
      <c r="D1189" s="20" t="s">
        <v>15</v>
      </c>
      <c r="E1189" s="12" t="str">
        <f>IFERROR(__xludf.DUMMYFUNCTION("FILTER(colegios!$B$2:$B5618,colegios!$A$2:$A5618=L1189)"),"501455 CRISTO REY TTIKARIY")</f>
        <v>501455 CRISTO REY TTIKARIY</v>
      </c>
      <c r="F1189" s="14" t="s">
        <v>16</v>
      </c>
      <c r="G1189" s="20" t="s">
        <v>21</v>
      </c>
      <c r="H1189" s="14" t="s">
        <v>18</v>
      </c>
      <c r="I1189" s="22">
        <v>2024.0</v>
      </c>
      <c r="J1189" s="16" t="str">
        <f>IFERROR(__xludf.DUMMYFUNCTION("FILTER('CLASFICACIÓN'!$F$3:$F5618,'CLASFICACIÓN'!$G$3:$G5618=M1189)"),"LOS 3 AÑOS")</f>
        <v>LOS 3 AÑOS</v>
      </c>
      <c r="K1189" s="16"/>
      <c r="L1189" s="14" t="s">
        <v>107</v>
      </c>
      <c r="M1189" s="16" t="str">
        <f t="shared" si="1"/>
        <v>501455 CRISTO REY TTIKARIY2 Primaria</v>
      </c>
      <c r="N1189" s="17"/>
      <c r="O1189" s="17"/>
      <c r="P1189" s="17"/>
      <c r="Q1189" s="17"/>
      <c r="R1189" s="17"/>
      <c r="S1189" s="17"/>
      <c r="T1189" s="17"/>
    </row>
    <row r="1190">
      <c r="A1190" s="21">
        <v>207.0</v>
      </c>
      <c r="B1190" s="20" t="s">
        <v>90</v>
      </c>
      <c r="C1190" s="20" t="s">
        <v>14</v>
      </c>
      <c r="D1190" s="20" t="s">
        <v>15</v>
      </c>
      <c r="E1190" s="12" t="str">
        <f>IFERROR(__xludf.DUMMYFUNCTION("FILTER(colegios!$B$2:$B5618,colegios!$A$2:$A5618=L1190)"),"501455 CRISTO REY TTIKARIY")</f>
        <v>501455 CRISTO REY TTIKARIY</v>
      </c>
      <c r="F1190" s="14" t="s">
        <v>16</v>
      </c>
      <c r="G1190" s="20" t="s">
        <v>21</v>
      </c>
      <c r="H1190" s="14" t="s">
        <v>24</v>
      </c>
      <c r="I1190" s="22">
        <v>2024.0</v>
      </c>
      <c r="J1190" s="16" t="str">
        <f>IFERROR(__xludf.DUMMYFUNCTION("FILTER('CLASFICACIÓN'!$F$3:$F5618,'CLASFICACIÓN'!$G$3:$G5618=M1190)"),"LOS 3 AÑOS")</f>
        <v>LOS 3 AÑOS</v>
      </c>
      <c r="K1190" s="16"/>
      <c r="L1190" s="14" t="s">
        <v>107</v>
      </c>
      <c r="M1190" s="16" t="str">
        <f t="shared" si="1"/>
        <v>501455 CRISTO REY TTIKARIY2 Primaria</v>
      </c>
      <c r="N1190" s="17"/>
      <c r="O1190" s="17"/>
      <c r="P1190" s="17"/>
      <c r="Q1190" s="17"/>
      <c r="R1190" s="17"/>
      <c r="S1190" s="17"/>
      <c r="T1190" s="17"/>
    </row>
    <row r="1191">
      <c r="A1191" s="21">
        <v>208.0</v>
      </c>
      <c r="B1191" s="20" t="s">
        <v>90</v>
      </c>
      <c r="C1191" s="20" t="s">
        <v>14</v>
      </c>
      <c r="D1191" s="20" t="s">
        <v>15</v>
      </c>
      <c r="E1191" s="12" t="str">
        <f>IFERROR(__xludf.DUMMYFUNCTION("FILTER(colegios!$B$2:$B5618,colegios!$A$2:$A5618=L1191)"),"501455 CRISTO REY TTIKARIY")</f>
        <v>501455 CRISTO REY TTIKARIY</v>
      </c>
      <c r="F1191" s="14" t="s">
        <v>16</v>
      </c>
      <c r="G1191" s="20" t="s">
        <v>17</v>
      </c>
      <c r="H1191" s="14" t="s">
        <v>24</v>
      </c>
      <c r="I1191" s="22">
        <v>2024.0</v>
      </c>
      <c r="J1191" s="16" t="str">
        <f>IFERROR(__xludf.DUMMYFUNCTION("FILTER('CLASFICACIÓN'!$F$3:$F5618,'CLASFICACIÓN'!$G$3:$G5618=M1191)"),"LOS 3 AÑOS")</f>
        <v>LOS 3 AÑOS</v>
      </c>
      <c r="K1191" s="16"/>
      <c r="L1191" s="14" t="s">
        <v>107</v>
      </c>
      <c r="M1191" s="16" t="str">
        <f t="shared" si="1"/>
        <v>501455 CRISTO REY TTIKARIY2 Primaria</v>
      </c>
      <c r="N1191" s="17"/>
      <c r="O1191" s="17"/>
      <c r="P1191" s="17"/>
      <c r="Q1191" s="17"/>
      <c r="R1191" s="17"/>
      <c r="S1191" s="17"/>
      <c r="T1191" s="17"/>
    </row>
    <row r="1192">
      <c r="A1192" s="21">
        <v>209.0</v>
      </c>
      <c r="B1192" s="20" t="s">
        <v>90</v>
      </c>
      <c r="C1192" s="20" t="s">
        <v>14</v>
      </c>
      <c r="D1192" s="20" t="s">
        <v>20</v>
      </c>
      <c r="E1192" s="12" t="str">
        <f>IFERROR(__xludf.DUMMYFUNCTION("FILTER(colegios!$B$2:$B5618,colegios!$A$2:$A5618=L1192)"),"501455 CRISTO REY TTIKARIY")</f>
        <v>501455 CRISTO REY TTIKARIY</v>
      </c>
      <c r="F1192" s="14" t="s">
        <v>16</v>
      </c>
      <c r="G1192" s="20" t="s">
        <v>21</v>
      </c>
      <c r="H1192" s="14" t="s">
        <v>18</v>
      </c>
      <c r="I1192" s="22">
        <v>2024.0</v>
      </c>
      <c r="J1192" s="16" t="str">
        <f>IFERROR(__xludf.DUMMYFUNCTION("FILTER('CLASFICACIÓN'!$F$3:$F5618,'CLASFICACIÓN'!$G$3:$G5618=M1192)"),"LOS 3 AÑOS")</f>
        <v>LOS 3 AÑOS</v>
      </c>
      <c r="K1192" s="16"/>
      <c r="L1192" s="14" t="s">
        <v>107</v>
      </c>
      <c r="M1192" s="16" t="str">
        <f t="shared" si="1"/>
        <v>501455 CRISTO REY TTIKARIY4 Primaria</v>
      </c>
      <c r="N1192" s="17"/>
      <c r="O1192" s="17"/>
      <c r="P1192" s="17"/>
      <c r="Q1192" s="17"/>
      <c r="R1192" s="17"/>
      <c r="S1192" s="17"/>
      <c r="T1192" s="17"/>
    </row>
    <row r="1193">
      <c r="A1193" s="21">
        <v>210.0</v>
      </c>
      <c r="B1193" s="20" t="s">
        <v>90</v>
      </c>
      <c r="C1193" s="20" t="s">
        <v>14</v>
      </c>
      <c r="D1193" s="20" t="s">
        <v>20</v>
      </c>
      <c r="E1193" s="12" t="str">
        <f>IFERROR(__xludf.DUMMYFUNCTION("FILTER(colegios!$B$2:$B5618,colegios!$A$2:$A5618=L1193)"),"501455 CRISTO REY TTIKARIY")</f>
        <v>501455 CRISTO REY TTIKARIY</v>
      </c>
      <c r="F1193" s="14" t="s">
        <v>16</v>
      </c>
      <c r="G1193" s="20" t="s">
        <v>21</v>
      </c>
      <c r="H1193" s="14" t="s">
        <v>24</v>
      </c>
      <c r="I1193" s="22">
        <v>2024.0</v>
      </c>
      <c r="J1193" s="16" t="str">
        <f>IFERROR(__xludf.DUMMYFUNCTION("FILTER('CLASFICACIÓN'!$F$3:$F5618,'CLASFICACIÓN'!$G$3:$G5618=M1193)"),"LOS 3 AÑOS")</f>
        <v>LOS 3 AÑOS</v>
      </c>
      <c r="K1193" s="16"/>
      <c r="L1193" s="14" t="s">
        <v>107</v>
      </c>
      <c r="M1193" s="16" t="str">
        <f t="shared" si="1"/>
        <v>501455 CRISTO REY TTIKARIY4 Primaria</v>
      </c>
      <c r="N1193" s="17"/>
      <c r="O1193" s="17"/>
      <c r="P1193" s="17"/>
      <c r="Q1193" s="17"/>
      <c r="R1193" s="17"/>
      <c r="S1193" s="17"/>
      <c r="T1193" s="17"/>
    </row>
    <row r="1194">
      <c r="A1194" s="21">
        <v>211.0</v>
      </c>
      <c r="B1194" s="20" t="s">
        <v>90</v>
      </c>
      <c r="C1194" s="20" t="s">
        <v>14</v>
      </c>
      <c r="D1194" s="20" t="s">
        <v>20</v>
      </c>
      <c r="E1194" s="12" t="str">
        <f>IFERROR(__xludf.DUMMYFUNCTION("FILTER(colegios!$B$2:$B5618,colegios!$A$2:$A5618=L1194)"),"501455 CRISTO REY TTIKARIY")</f>
        <v>501455 CRISTO REY TTIKARIY</v>
      </c>
      <c r="F1194" s="14" t="s">
        <v>16</v>
      </c>
      <c r="G1194" s="20" t="s">
        <v>17</v>
      </c>
      <c r="H1194" s="14" t="s">
        <v>24</v>
      </c>
      <c r="I1194" s="22">
        <v>2024.0</v>
      </c>
      <c r="J1194" s="16" t="str">
        <f>IFERROR(__xludf.DUMMYFUNCTION("FILTER('CLASFICACIÓN'!$F$3:$F5618,'CLASFICACIÓN'!$G$3:$G5618=M1194)"),"LOS 3 AÑOS")</f>
        <v>LOS 3 AÑOS</v>
      </c>
      <c r="K1194" s="16"/>
      <c r="L1194" s="14" t="s">
        <v>107</v>
      </c>
      <c r="M1194" s="16" t="str">
        <f t="shared" si="1"/>
        <v>501455 CRISTO REY TTIKARIY4 Primaria</v>
      </c>
      <c r="N1194" s="17"/>
      <c r="O1194" s="17"/>
      <c r="P1194" s="17"/>
      <c r="Q1194" s="17"/>
      <c r="R1194" s="17"/>
      <c r="S1194" s="17"/>
      <c r="T1194" s="17"/>
    </row>
    <row r="1195">
      <c r="A1195" s="21">
        <v>212.0</v>
      </c>
      <c r="B1195" s="20" t="s">
        <v>90</v>
      </c>
      <c r="C1195" s="20" t="s">
        <v>14</v>
      </c>
      <c r="D1195" s="20" t="s">
        <v>22</v>
      </c>
      <c r="E1195" s="12" t="str">
        <f>IFERROR(__xludf.DUMMYFUNCTION("FILTER(colegios!$B$2:$B5618,colegios!$A$2:$A5618=L1195)"),"501455 CRISTO REY TTIKARIY")</f>
        <v>501455 CRISTO REY TTIKARIY</v>
      </c>
      <c r="F1195" s="14" t="s">
        <v>16</v>
      </c>
      <c r="G1195" s="20" t="s">
        <v>21</v>
      </c>
      <c r="H1195" s="14" t="s">
        <v>24</v>
      </c>
      <c r="I1195" s="22">
        <v>2024.0</v>
      </c>
      <c r="J1195" s="16" t="str">
        <f>IFERROR(__xludf.DUMMYFUNCTION("FILTER('CLASFICACIÓN'!$F$3:$F5618,'CLASFICACIÓN'!$G$3:$G5618=M1195)"),"LOS 3 AÑOS")</f>
        <v>LOS 3 AÑOS</v>
      </c>
      <c r="K1195" s="16"/>
      <c r="L1195" s="14" t="s">
        <v>107</v>
      </c>
      <c r="M1195" s="16" t="str">
        <f t="shared" si="1"/>
        <v>501455 CRISTO REY TTIKARIY6 Primaria</v>
      </c>
      <c r="N1195" s="17"/>
      <c r="O1195" s="17"/>
      <c r="P1195" s="17"/>
      <c r="Q1195" s="17"/>
      <c r="R1195" s="17"/>
      <c r="S1195" s="17"/>
      <c r="T1195" s="17"/>
    </row>
    <row r="1196">
      <c r="A1196" s="21">
        <v>213.0</v>
      </c>
      <c r="B1196" s="20" t="s">
        <v>90</v>
      </c>
      <c r="C1196" s="20" t="s">
        <v>14</v>
      </c>
      <c r="D1196" s="20" t="s">
        <v>22</v>
      </c>
      <c r="E1196" s="12" t="str">
        <f>IFERROR(__xludf.DUMMYFUNCTION("FILTER(colegios!$B$2:$B5618,colegios!$A$2:$A5618=L1196)"),"501455 CRISTO REY TTIKARIY")</f>
        <v>501455 CRISTO REY TTIKARIY</v>
      </c>
      <c r="F1196" s="14" t="s">
        <v>16</v>
      </c>
      <c r="G1196" s="20" t="s">
        <v>17</v>
      </c>
      <c r="H1196" s="14" t="s">
        <v>18</v>
      </c>
      <c r="I1196" s="22">
        <v>2024.0</v>
      </c>
      <c r="J1196" s="16" t="str">
        <f>IFERROR(__xludf.DUMMYFUNCTION("FILTER('CLASFICACIÓN'!$F$3:$F5618,'CLASFICACIÓN'!$G$3:$G5618=M1196)"),"LOS 3 AÑOS")</f>
        <v>LOS 3 AÑOS</v>
      </c>
      <c r="K1196" s="16"/>
      <c r="L1196" s="14" t="s">
        <v>107</v>
      </c>
      <c r="M1196" s="16" t="str">
        <f t="shared" si="1"/>
        <v>501455 CRISTO REY TTIKARIY6 Primaria</v>
      </c>
      <c r="N1196" s="17"/>
      <c r="O1196" s="17"/>
      <c r="P1196" s="17"/>
      <c r="Q1196" s="17"/>
      <c r="R1196" s="17"/>
      <c r="S1196" s="17"/>
      <c r="T1196" s="17"/>
    </row>
    <row r="1197">
      <c r="A1197" s="21">
        <v>214.0</v>
      </c>
      <c r="B1197" s="20" t="s">
        <v>90</v>
      </c>
      <c r="C1197" s="20" t="s">
        <v>14</v>
      </c>
      <c r="D1197" s="20" t="s">
        <v>22</v>
      </c>
      <c r="E1197" s="12" t="str">
        <f>IFERROR(__xludf.DUMMYFUNCTION("FILTER(colegios!$B$2:$B5618,colegios!$A$2:$A5618=L1197)"),"501455 CRISTO REY TTIKARIY")</f>
        <v>501455 CRISTO REY TTIKARIY</v>
      </c>
      <c r="F1197" s="14" t="s">
        <v>16</v>
      </c>
      <c r="G1197" s="20" t="s">
        <v>17</v>
      </c>
      <c r="H1197" s="14" t="s">
        <v>24</v>
      </c>
      <c r="I1197" s="22">
        <v>2024.0</v>
      </c>
      <c r="J1197" s="16" t="str">
        <f>IFERROR(__xludf.DUMMYFUNCTION("FILTER('CLASFICACIÓN'!$F$3:$F5618,'CLASFICACIÓN'!$G$3:$G5618=M1197)"),"LOS 3 AÑOS")</f>
        <v>LOS 3 AÑOS</v>
      </c>
      <c r="K1197" s="16"/>
      <c r="L1197" s="14" t="s">
        <v>107</v>
      </c>
      <c r="M1197" s="16" t="str">
        <f t="shared" si="1"/>
        <v>501455 CRISTO REY TTIKARIY6 Primaria</v>
      </c>
      <c r="N1197" s="17"/>
      <c r="O1197" s="17"/>
      <c r="P1197" s="17"/>
      <c r="Q1197" s="17"/>
      <c r="R1197" s="17"/>
      <c r="S1197" s="17"/>
      <c r="T1197" s="17"/>
    </row>
    <row r="1198">
      <c r="A1198" s="21">
        <v>1.0</v>
      </c>
      <c r="B1198" s="20" t="s">
        <v>84</v>
      </c>
      <c r="C1198" s="14" t="s">
        <v>27</v>
      </c>
      <c r="D1198" s="20" t="s">
        <v>28</v>
      </c>
      <c r="E1198" s="12" t="str">
        <f>IFERROR(__xludf.DUMMYFUNCTION("FILTER(colegios!$B$2:$B5618,colegios!$A$2:$A5618=L1198)"),"NUESTRA SEÑORA DE LA CANDELARIA")</f>
        <v>NUESTRA SEÑORA DE LA CANDELARIA</v>
      </c>
      <c r="F1198" s="14" t="s">
        <v>16</v>
      </c>
      <c r="G1198" s="20" t="s">
        <v>17</v>
      </c>
      <c r="H1198" s="14" t="s">
        <v>18</v>
      </c>
      <c r="I1198" s="22">
        <v>2023.0</v>
      </c>
      <c r="J1198" s="16" t="str">
        <f>IFERROR(__xludf.DUMMYFUNCTION("FILTER('CLASFICACIÓN'!$F$3:$F5618,'CLASFICACIÓN'!$G$3:$G5618=M1198)"),"2023 Y 2024")</f>
        <v>2023 Y 2024</v>
      </c>
      <c r="K1198" s="16"/>
      <c r="L1198" s="14" t="s">
        <v>108</v>
      </c>
      <c r="M1198" s="16" t="str">
        <f t="shared" si="1"/>
        <v>NUESTRA SEÑORA DE LA CANDELARIA2 Secundaria</v>
      </c>
      <c r="N1198" s="17"/>
      <c r="O1198" s="17"/>
      <c r="P1198" s="17"/>
      <c r="Q1198" s="17"/>
      <c r="R1198" s="17"/>
      <c r="S1198" s="17"/>
      <c r="T1198" s="17"/>
    </row>
    <row r="1199">
      <c r="A1199" s="21">
        <v>2.0</v>
      </c>
      <c r="B1199" s="20" t="s">
        <v>84</v>
      </c>
      <c r="C1199" s="14" t="s">
        <v>27</v>
      </c>
      <c r="D1199" s="20" t="s">
        <v>28</v>
      </c>
      <c r="E1199" s="12" t="str">
        <f>IFERROR(__xludf.DUMMYFUNCTION("FILTER(colegios!$B$2:$B5618,colegios!$A$2:$A5618=L1199)"),"NUESTRA SEÑORA DE LA CANDELARIA")</f>
        <v>NUESTRA SEÑORA DE LA CANDELARIA</v>
      </c>
      <c r="F1199" s="14" t="s">
        <v>16</v>
      </c>
      <c r="G1199" s="20" t="s">
        <v>21</v>
      </c>
      <c r="H1199" s="14" t="s">
        <v>24</v>
      </c>
      <c r="I1199" s="22">
        <v>2023.0</v>
      </c>
      <c r="J1199" s="16" t="str">
        <f>IFERROR(__xludf.DUMMYFUNCTION("FILTER('CLASFICACIÓN'!$F$3:$F5618,'CLASFICACIÓN'!$G$3:$G5618=M1199)"),"2023 Y 2024")</f>
        <v>2023 Y 2024</v>
      </c>
      <c r="K1199" s="16"/>
      <c r="L1199" s="14" t="s">
        <v>108</v>
      </c>
      <c r="M1199" s="16" t="str">
        <f t="shared" si="1"/>
        <v>NUESTRA SEÑORA DE LA CANDELARIA2 Secundaria</v>
      </c>
      <c r="N1199" s="17"/>
      <c r="O1199" s="17"/>
      <c r="P1199" s="17"/>
      <c r="Q1199" s="17"/>
      <c r="R1199" s="17"/>
      <c r="S1199" s="17"/>
      <c r="T1199" s="17"/>
    </row>
    <row r="1200">
      <c r="A1200" s="21">
        <v>3.0</v>
      </c>
      <c r="B1200" s="20" t="s">
        <v>84</v>
      </c>
      <c r="C1200" s="14" t="s">
        <v>27</v>
      </c>
      <c r="D1200" s="20" t="s">
        <v>28</v>
      </c>
      <c r="E1200" s="12" t="str">
        <f>IFERROR(__xludf.DUMMYFUNCTION("FILTER(colegios!$B$2:$B5618,colegios!$A$2:$A5618=L1200)"),"NUESTRA SEÑORA DE LA CANDELARIA")</f>
        <v>NUESTRA SEÑORA DE LA CANDELARIA</v>
      </c>
      <c r="F1200" s="14" t="s">
        <v>16</v>
      </c>
      <c r="G1200" s="20" t="s">
        <v>21</v>
      </c>
      <c r="H1200" s="14" t="s">
        <v>18</v>
      </c>
      <c r="I1200" s="22">
        <v>2023.0</v>
      </c>
      <c r="J1200" s="16" t="str">
        <f>IFERROR(__xludf.DUMMYFUNCTION("FILTER('CLASFICACIÓN'!$F$3:$F5618,'CLASFICACIÓN'!$G$3:$G5618=M1200)"),"2023 Y 2024")</f>
        <v>2023 Y 2024</v>
      </c>
      <c r="K1200" s="16"/>
      <c r="L1200" s="14" t="s">
        <v>108</v>
      </c>
      <c r="M1200" s="16" t="str">
        <f t="shared" si="1"/>
        <v>NUESTRA SEÑORA DE LA CANDELARIA2 Secundaria</v>
      </c>
      <c r="N1200" s="17"/>
      <c r="O1200" s="17"/>
      <c r="P1200" s="17"/>
      <c r="Q1200" s="17"/>
      <c r="R1200" s="17"/>
      <c r="S1200" s="17"/>
      <c r="T1200" s="17"/>
    </row>
    <row r="1201">
      <c r="A1201" s="21">
        <v>4.0</v>
      </c>
      <c r="B1201" s="20" t="s">
        <v>84</v>
      </c>
      <c r="C1201" s="14" t="s">
        <v>27</v>
      </c>
      <c r="D1201" s="20" t="s">
        <v>28</v>
      </c>
      <c r="E1201" s="12" t="str">
        <f>IFERROR(__xludf.DUMMYFUNCTION("FILTER(colegios!$B$2:$B5618,colegios!$A$2:$A5618=L1201)"),"NUESTRA SEÑORA DE LA CANDELARIA")</f>
        <v>NUESTRA SEÑORA DE LA CANDELARIA</v>
      </c>
      <c r="F1201" s="14" t="s">
        <v>16</v>
      </c>
      <c r="G1201" s="20" t="s">
        <v>17</v>
      </c>
      <c r="H1201" s="14" t="s">
        <v>24</v>
      </c>
      <c r="I1201" s="22">
        <v>2023.0</v>
      </c>
      <c r="J1201" s="16" t="str">
        <f>IFERROR(__xludf.DUMMYFUNCTION("FILTER('CLASFICACIÓN'!$F$3:$F5618,'CLASFICACIÓN'!$G$3:$G5618=M1201)"),"2023 Y 2024")</f>
        <v>2023 Y 2024</v>
      </c>
      <c r="K1201" s="16"/>
      <c r="L1201" s="14" t="s">
        <v>108</v>
      </c>
      <c r="M1201" s="16" t="str">
        <f t="shared" si="1"/>
        <v>NUESTRA SEÑORA DE LA CANDELARIA2 Secundaria</v>
      </c>
      <c r="N1201" s="17"/>
      <c r="O1201" s="17"/>
      <c r="P1201" s="17"/>
      <c r="Q1201" s="17"/>
      <c r="R1201" s="17"/>
      <c r="S1201" s="17"/>
      <c r="T1201" s="17"/>
    </row>
    <row r="1202">
      <c r="A1202" s="21">
        <v>5.0</v>
      </c>
      <c r="B1202" s="20" t="s">
        <v>84</v>
      </c>
      <c r="C1202" s="14" t="s">
        <v>27</v>
      </c>
      <c r="D1202" s="20" t="s">
        <v>28</v>
      </c>
      <c r="E1202" s="12" t="str">
        <f>IFERROR(__xludf.DUMMYFUNCTION("FILTER(colegios!$B$2:$B5618,colegios!$A$2:$A5618=L1202)"),"NUESTRA SEÑORA DE LA CANDELARIA")</f>
        <v>NUESTRA SEÑORA DE LA CANDELARIA</v>
      </c>
      <c r="F1202" s="14" t="s">
        <v>16</v>
      </c>
      <c r="G1202" s="20" t="s">
        <v>17</v>
      </c>
      <c r="H1202" s="14" t="s">
        <v>18</v>
      </c>
      <c r="I1202" s="22">
        <v>2023.0</v>
      </c>
      <c r="J1202" s="16" t="str">
        <f>IFERROR(__xludf.DUMMYFUNCTION("FILTER('CLASFICACIÓN'!$F$3:$F5618,'CLASFICACIÓN'!$G$3:$G5618=M1202)"),"2023 Y 2024")</f>
        <v>2023 Y 2024</v>
      </c>
      <c r="K1202" s="16"/>
      <c r="L1202" s="14" t="s">
        <v>108</v>
      </c>
      <c r="M1202" s="16" t="str">
        <f t="shared" si="1"/>
        <v>NUESTRA SEÑORA DE LA CANDELARIA2 Secundaria</v>
      </c>
      <c r="N1202" s="17"/>
      <c r="O1202" s="17"/>
      <c r="P1202" s="17"/>
      <c r="Q1202" s="17"/>
      <c r="R1202" s="17"/>
      <c r="S1202" s="17"/>
      <c r="T1202" s="17"/>
    </row>
    <row r="1203">
      <c r="A1203" s="21">
        <v>6.0</v>
      </c>
      <c r="B1203" s="20" t="s">
        <v>84</v>
      </c>
      <c r="C1203" s="14" t="s">
        <v>27</v>
      </c>
      <c r="D1203" s="20" t="s">
        <v>28</v>
      </c>
      <c r="E1203" s="12" t="str">
        <f>IFERROR(__xludf.DUMMYFUNCTION("FILTER(colegios!$B$2:$B5618,colegios!$A$2:$A5618=L1203)"),"NUESTRA SEÑORA DE LA CANDELARIA")</f>
        <v>NUESTRA SEÑORA DE LA CANDELARIA</v>
      </c>
      <c r="F1203" s="14" t="s">
        <v>16</v>
      </c>
      <c r="G1203" s="20" t="s">
        <v>21</v>
      </c>
      <c r="H1203" s="14" t="s">
        <v>24</v>
      </c>
      <c r="I1203" s="22">
        <v>2023.0</v>
      </c>
      <c r="J1203" s="16" t="str">
        <f>IFERROR(__xludf.DUMMYFUNCTION("FILTER('CLASFICACIÓN'!$F$3:$F5618,'CLASFICACIÓN'!$G$3:$G5618=M1203)"),"2023 Y 2024")</f>
        <v>2023 Y 2024</v>
      </c>
      <c r="K1203" s="16"/>
      <c r="L1203" s="14" t="s">
        <v>108</v>
      </c>
      <c r="M1203" s="16" t="str">
        <f t="shared" si="1"/>
        <v>NUESTRA SEÑORA DE LA CANDELARIA2 Secundaria</v>
      </c>
      <c r="N1203" s="17"/>
      <c r="O1203" s="17"/>
      <c r="P1203" s="17"/>
      <c r="Q1203" s="17"/>
      <c r="R1203" s="17"/>
      <c r="S1203" s="17"/>
      <c r="T1203" s="17"/>
    </row>
    <row r="1204">
      <c r="A1204" s="21">
        <v>7.0</v>
      </c>
      <c r="B1204" s="20" t="s">
        <v>84</v>
      </c>
      <c r="C1204" s="14" t="s">
        <v>27</v>
      </c>
      <c r="D1204" s="20" t="s">
        <v>28</v>
      </c>
      <c r="E1204" s="12" t="str">
        <f>IFERROR(__xludf.DUMMYFUNCTION("FILTER(colegios!$B$2:$B5618,colegios!$A$2:$A5618=L1204)"),"NUESTRA SEÑORA DE LA CANDELARIA")</f>
        <v>NUESTRA SEÑORA DE LA CANDELARIA</v>
      </c>
      <c r="F1204" s="14" t="s">
        <v>16</v>
      </c>
      <c r="G1204" s="20" t="s">
        <v>21</v>
      </c>
      <c r="H1204" s="14" t="s">
        <v>24</v>
      </c>
      <c r="I1204" s="22">
        <v>2023.0</v>
      </c>
      <c r="J1204" s="16" t="str">
        <f>IFERROR(__xludf.DUMMYFUNCTION("FILTER('CLASFICACIÓN'!$F$3:$F5618,'CLASFICACIÓN'!$G$3:$G5618=M1204)"),"2023 Y 2024")</f>
        <v>2023 Y 2024</v>
      </c>
      <c r="K1204" s="16"/>
      <c r="L1204" s="14" t="s">
        <v>108</v>
      </c>
      <c r="M1204" s="16" t="str">
        <f t="shared" si="1"/>
        <v>NUESTRA SEÑORA DE LA CANDELARIA2 Secundaria</v>
      </c>
      <c r="N1204" s="17"/>
      <c r="O1204" s="17"/>
      <c r="P1204" s="17"/>
      <c r="Q1204" s="17"/>
      <c r="R1204" s="17"/>
      <c r="S1204" s="17"/>
      <c r="T1204" s="17"/>
    </row>
    <row r="1205">
      <c r="A1205" s="21">
        <v>8.0</v>
      </c>
      <c r="B1205" s="20" t="s">
        <v>84</v>
      </c>
      <c r="C1205" s="14" t="s">
        <v>27</v>
      </c>
      <c r="D1205" s="20" t="s">
        <v>28</v>
      </c>
      <c r="E1205" s="12" t="str">
        <f>IFERROR(__xludf.DUMMYFUNCTION("FILTER(colegios!$B$2:$B5618,colegios!$A$2:$A5618=L1205)"),"NUESTRA SEÑORA DE LA CANDELARIA")</f>
        <v>NUESTRA SEÑORA DE LA CANDELARIA</v>
      </c>
      <c r="F1205" s="14" t="s">
        <v>16</v>
      </c>
      <c r="G1205" s="20" t="s">
        <v>17</v>
      </c>
      <c r="H1205" s="14" t="s">
        <v>24</v>
      </c>
      <c r="I1205" s="22">
        <v>2023.0</v>
      </c>
      <c r="J1205" s="16" t="str">
        <f>IFERROR(__xludf.DUMMYFUNCTION("FILTER('CLASFICACIÓN'!$F$3:$F5618,'CLASFICACIÓN'!$G$3:$G5618=M1205)"),"2023 Y 2024")</f>
        <v>2023 Y 2024</v>
      </c>
      <c r="K1205" s="16"/>
      <c r="L1205" s="14" t="s">
        <v>108</v>
      </c>
      <c r="M1205" s="16" t="str">
        <f t="shared" si="1"/>
        <v>NUESTRA SEÑORA DE LA CANDELARIA2 Secundaria</v>
      </c>
      <c r="N1205" s="17"/>
      <c r="O1205" s="17"/>
      <c r="P1205" s="17"/>
      <c r="Q1205" s="17"/>
      <c r="R1205" s="17"/>
      <c r="S1205" s="17"/>
      <c r="T1205" s="17"/>
    </row>
    <row r="1206">
      <c r="A1206" s="21">
        <v>9.0</v>
      </c>
      <c r="B1206" s="20" t="s">
        <v>84</v>
      </c>
      <c r="C1206" s="14" t="s">
        <v>27</v>
      </c>
      <c r="D1206" s="20" t="s">
        <v>28</v>
      </c>
      <c r="E1206" s="12" t="str">
        <f>IFERROR(__xludf.DUMMYFUNCTION("FILTER(colegios!$B$2:$B5618,colegios!$A$2:$A5618=L1206)"),"NUESTRA SEÑORA DE LA CANDELARIA")</f>
        <v>NUESTRA SEÑORA DE LA CANDELARIA</v>
      </c>
      <c r="F1206" s="14" t="s">
        <v>16</v>
      </c>
      <c r="G1206" s="20" t="s">
        <v>21</v>
      </c>
      <c r="H1206" s="14" t="s">
        <v>24</v>
      </c>
      <c r="I1206" s="22">
        <v>2023.0</v>
      </c>
      <c r="J1206" s="16" t="str">
        <f>IFERROR(__xludf.DUMMYFUNCTION("FILTER('CLASFICACIÓN'!$F$3:$F5618,'CLASFICACIÓN'!$G$3:$G5618=M1206)"),"2023 Y 2024")</f>
        <v>2023 Y 2024</v>
      </c>
      <c r="K1206" s="16"/>
      <c r="L1206" s="14" t="s">
        <v>108</v>
      </c>
      <c r="M1206" s="16" t="str">
        <f t="shared" si="1"/>
        <v>NUESTRA SEÑORA DE LA CANDELARIA2 Secundaria</v>
      </c>
      <c r="N1206" s="17"/>
      <c r="O1206" s="17"/>
      <c r="P1206" s="17"/>
      <c r="Q1206" s="17"/>
      <c r="R1206" s="17"/>
      <c r="S1206" s="17"/>
      <c r="T1206" s="17"/>
    </row>
    <row r="1207">
      <c r="A1207" s="21">
        <v>10.0</v>
      </c>
      <c r="B1207" s="20" t="s">
        <v>84</v>
      </c>
      <c r="C1207" s="14" t="s">
        <v>27</v>
      </c>
      <c r="D1207" s="20" t="s">
        <v>28</v>
      </c>
      <c r="E1207" s="12" t="str">
        <f>IFERROR(__xludf.DUMMYFUNCTION("FILTER(colegios!$B$2:$B5618,colegios!$A$2:$A5618=L1207)"),"NUESTRA SEÑORA DE LA CANDELARIA")</f>
        <v>NUESTRA SEÑORA DE LA CANDELARIA</v>
      </c>
      <c r="F1207" s="14" t="s">
        <v>16</v>
      </c>
      <c r="G1207" s="20" t="s">
        <v>21</v>
      </c>
      <c r="H1207" s="14" t="s">
        <v>24</v>
      </c>
      <c r="I1207" s="22">
        <v>2023.0</v>
      </c>
      <c r="J1207" s="16" t="str">
        <f>IFERROR(__xludf.DUMMYFUNCTION("FILTER('CLASFICACIÓN'!$F$3:$F5618,'CLASFICACIÓN'!$G$3:$G5618=M1207)"),"2023 Y 2024")</f>
        <v>2023 Y 2024</v>
      </c>
      <c r="K1207" s="16"/>
      <c r="L1207" s="14" t="s">
        <v>108</v>
      </c>
      <c r="M1207" s="16" t="str">
        <f t="shared" si="1"/>
        <v>NUESTRA SEÑORA DE LA CANDELARIA2 Secundaria</v>
      </c>
      <c r="N1207" s="17"/>
      <c r="O1207" s="17"/>
      <c r="P1207" s="17"/>
      <c r="Q1207" s="17"/>
      <c r="R1207" s="17"/>
      <c r="S1207" s="17"/>
      <c r="T1207" s="17"/>
    </row>
    <row r="1208">
      <c r="A1208" s="21">
        <v>11.0</v>
      </c>
      <c r="B1208" s="20" t="s">
        <v>84</v>
      </c>
      <c r="C1208" s="14" t="s">
        <v>27</v>
      </c>
      <c r="D1208" s="20" t="s">
        <v>28</v>
      </c>
      <c r="E1208" s="12" t="str">
        <f>IFERROR(__xludf.DUMMYFUNCTION("FILTER(colegios!$B$2:$B5618,colegios!$A$2:$A5618=L1208)"),"NUESTRA SEÑORA DE LA CANDELARIA")</f>
        <v>NUESTRA SEÑORA DE LA CANDELARIA</v>
      </c>
      <c r="F1208" s="14" t="s">
        <v>16</v>
      </c>
      <c r="G1208" s="20" t="s">
        <v>17</v>
      </c>
      <c r="H1208" s="14" t="s">
        <v>18</v>
      </c>
      <c r="I1208" s="22">
        <v>2023.0</v>
      </c>
      <c r="J1208" s="16" t="str">
        <f>IFERROR(__xludf.DUMMYFUNCTION("FILTER('CLASFICACIÓN'!$F$3:$F5618,'CLASFICACIÓN'!$G$3:$G5618=M1208)"),"2023 Y 2024")</f>
        <v>2023 Y 2024</v>
      </c>
      <c r="K1208" s="16"/>
      <c r="L1208" s="14" t="s">
        <v>108</v>
      </c>
      <c r="M1208" s="16" t="str">
        <f t="shared" si="1"/>
        <v>NUESTRA SEÑORA DE LA CANDELARIA2 Secundaria</v>
      </c>
      <c r="N1208" s="17"/>
      <c r="O1208" s="17"/>
      <c r="P1208" s="17"/>
      <c r="Q1208" s="17"/>
      <c r="R1208" s="17"/>
      <c r="S1208" s="17"/>
      <c r="T1208" s="17"/>
    </row>
    <row r="1209">
      <c r="A1209" s="21">
        <v>12.0</v>
      </c>
      <c r="B1209" s="20" t="s">
        <v>84</v>
      </c>
      <c r="C1209" s="14" t="s">
        <v>27</v>
      </c>
      <c r="D1209" s="20" t="s">
        <v>28</v>
      </c>
      <c r="E1209" s="12" t="str">
        <f>IFERROR(__xludf.DUMMYFUNCTION("FILTER(colegios!$B$2:$B5618,colegios!$A$2:$A5618=L1209)"),"NUESTRA SEÑORA DE LA CANDELARIA")</f>
        <v>NUESTRA SEÑORA DE LA CANDELARIA</v>
      </c>
      <c r="F1209" s="14" t="s">
        <v>16</v>
      </c>
      <c r="G1209" s="20" t="s">
        <v>21</v>
      </c>
      <c r="H1209" s="14" t="s">
        <v>24</v>
      </c>
      <c r="I1209" s="22">
        <v>2023.0</v>
      </c>
      <c r="J1209" s="16" t="str">
        <f>IFERROR(__xludf.DUMMYFUNCTION("FILTER('CLASFICACIÓN'!$F$3:$F5618,'CLASFICACIÓN'!$G$3:$G5618=M1209)"),"2023 Y 2024")</f>
        <v>2023 Y 2024</v>
      </c>
      <c r="K1209" s="16"/>
      <c r="L1209" s="14" t="s">
        <v>108</v>
      </c>
      <c r="M1209" s="16" t="str">
        <f t="shared" si="1"/>
        <v>NUESTRA SEÑORA DE LA CANDELARIA2 Secundaria</v>
      </c>
      <c r="N1209" s="17"/>
      <c r="O1209" s="17"/>
      <c r="P1209" s="17"/>
      <c r="Q1209" s="17"/>
      <c r="R1209" s="17"/>
      <c r="S1209" s="17"/>
      <c r="T1209" s="17"/>
    </row>
    <row r="1210">
      <c r="A1210" s="21">
        <v>13.0</v>
      </c>
      <c r="B1210" s="20" t="s">
        <v>84</v>
      </c>
      <c r="C1210" s="14" t="s">
        <v>27</v>
      </c>
      <c r="D1210" s="20" t="s">
        <v>28</v>
      </c>
      <c r="E1210" s="12" t="str">
        <f>IFERROR(__xludf.DUMMYFUNCTION("FILTER(colegios!$B$2:$B5618,colegios!$A$2:$A5618=L1210)"),"NUESTRA SEÑORA DE LA CANDELARIA")</f>
        <v>NUESTRA SEÑORA DE LA CANDELARIA</v>
      </c>
      <c r="F1210" s="14" t="s">
        <v>16</v>
      </c>
      <c r="G1210" s="20" t="s">
        <v>17</v>
      </c>
      <c r="H1210" s="14" t="s">
        <v>24</v>
      </c>
      <c r="I1210" s="22">
        <v>2023.0</v>
      </c>
      <c r="J1210" s="16" t="str">
        <f>IFERROR(__xludf.DUMMYFUNCTION("FILTER('CLASFICACIÓN'!$F$3:$F5618,'CLASFICACIÓN'!$G$3:$G5618=M1210)"),"2023 Y 2024")</f>
        <v>2023 Y 2024</v>
      </c>
      <c r="K1210" s="16"/>
      <c r="L1210" s="14" t="s">
        <v>108</v>
      </c>
      <c r="M1210" s="16" t="str">
        <f t="shared" si="1"/>
        <v>NUESTRA SEÑORA DE LA CANDELARIA2 Secundaria</v>
      </c>
      <c r="N1210" s="17"/>
      <c r="O1210" s="17"/>
      <c r="P1210" s="17"/>
      <c r="Q1210" s="17"/>
      <c r="R1210" s="17"/>
      <c r="S1210" s="17"/>
      <c r="T1210" s="17"/>
    </row>
    <row r="1211">
      <c r="A1211" s="21">
        <v>14.0</v>
      </c>
      <c r="B1211" s="20" t="s">
        <v>84</v>
      </c>
      <c r="C1211" s="14" t="s">
        <v>27</v>
      </c>
      <c r="D1211" s="20" t="s">
        <v>28</v>
      </c>
      <c r="E1211" s="12" t="str">
        <f>IFERROR(__xludf.DUMMYFUNCTION("FILTER(colegios!$B$2:$B5618,colegios!$A$2:$A5618=L1211)"),"NUESTRA SEÑORA DE LA CANDELARIA")</f>
        <v>NUESTRA SEÑORA DE LA CANDELARIA</v>
      </c>
      <c r="F1211" s="14" t="s">
        <v>16</v>
      </c>
      <c r="G1211" s="20" t="s">
        <v>17</v>
      </c>
      <c r="H1211" s="14" t="s">
        <v>24</v>
      </c>
      <c r="I1211" s="22">
        <v>2023.0</v>
      </c>
      <c r="J1211" s="16" t="str">
        <f>IFERROR(__xludf.DUMMYFUNCTION("FILTER('CLASFICACIÓN'!$F$3:$F5618,'CLASFICACIÓN'!$G$3:$G5618=M1211)"),"2023 Y 2024")</f>
        <v>2023 Y 2024</v>
      </c>
      <c r="K1211" s="16"/>
      <c r="L1211" s="14" t="s">
        <v>108</v>
      </c>
      <c r="M1211" s="16" t="str">
        <f t="shared" si="1"/>
        <v>NUESTRA SEÑORA DE LA CANDELARIA2 Secundaria</v>
      </c>
      <c r="N1211" s="17"/>
      <c r="O1211" s="17"/>
      <c r="P1211" s="17"/>
      <c r="Q1211" s="17"/>
      <c r="R1211" s="17"/>
      <c r="S1211" s="17"/>
      <c r="T1211" s="17"/>
    </row>
    <row r="1212">
      <c r="A1212" s="21">
        <v>15.0</v>
      </c>
      <c r="B1212" s="20" t="s">
        <v>84</v>
      </c>
      <c r="C1212" s="14" t="s">
        <v>27</v>
      </c>
      <c r="D1212" s="20" t="s">
        <v>28</v>
      </c>
      <c r="E1212" s="12" t="str">
        <f>IFERROR(__xludf.DUMMYFUNCTION("FILTER(colegios!$B$2:$B5618,colegios!$A$2:$A5618=L1212)"),"NUESTRA SEÑORA DE LA CANDELARIA")</f>
        <v>NUESTRA SEÑORA DE LA CANDELARIA</v>
      </c>
      <c r="F1212" s="14" t="s">
        <v>16</v>
      </c>
      <c r="G1212" s="20" t="s">
        <v>21</v>
      </c>
      <c r="H1212" s="14" t="s">
        <v>24</v>
      </c>
      <c r="I1212" s="22">
        <v>2023.0</v>
      </c>
      <c r="J1212" s="16" t="str">
        <f>IFERROR(__xludf.DUMMYFUNCTION("FILTER('CLASFICACIÓN'!$F$3:$F5618,'CLASFICACIÓN'!$G$3:$G5618=M1212)"),"2023 Y 2024")</f>
        <v>2023 Y 2024</v>
      </c>
      <c r="K1212" s="16"/>
      <c r="L1212" s="14" t="s">
        <v>108</v>
      </c>
      <c r="M1212" s="16" t="str">
        <f t="shared" si="1"/>
        <v>NUESTRA SEÑORA DE LA CANDELARIA2 Secundaria</v>
      </c>
      <c r="N1212" s="17"/>
      <c r="O1212" s="17"/>
      <c r="P1212" s="17"/>
      <c r="Q1212" s="17"/>
      <c r="R1212" s="17"/>
      <c r="S1212" s="17"/>
      <c r="T1212" s="17"/>
    </row>
    <row r="1213">
      <c r="A1213" s="21">
        <v>16.0</v>
      </c>
      <c r="B1213" s="20" t="s">
        <v>84</v>
      </c>
      <c r="C1213" s="14" t="s">
        <v>27</v>
      </c>
      <c r="D1213" s="20" t="s">
        <v>28</v>
      </c>
      <c r="E1213" s="12" t="str">
        <f>IFERROR(__xludf.DUMMYFUNCTION("FILTER(colegios!$B$2:$B5618,colegios!$A$2:$A5618=L1213)"),"NUESTRA SEÑORA DE LA CANDELARIA")</f>
        <v>NUESTRA SEÑORA DE LA CANDELARIA</v>
      </c>
      <c r="F1213" s="14" t="s">
        <v>16</v>
      </c>
      <c r="G1213" s="20" t="s">
        <v>17</v>
      </c>
      <c r="H1213" s="14" t="s">
        <v>24</v>
      </c>
      <c r="I1213" s="22">
        <v>2023.0</v>
      </c>
      <c r="J1213" s="16" t="str">
        <f>IFERROR(__xludf.DUMMYFUNCTION("FILTER('CLASFICACIÓN'!$F$3:$F5618,'CLASFICACIÓN'!$G$3:$G5618=M1213)"),"2023 Y 2024")</f>
        <v>2023 Y 2024</v>
      </c>
      <c r="K1213" s="16"/>
      <c r="L1213" s="14" t="s">
        <v>108</v>
      </c>
      <c r="M1213" s="16" t="str">
        <f t="shared" si="1"/>
        <v>NUESTRA SEÑORA DE LA CANDELARIA2 Secundaria</v>
      </c>
      <c r="N1213" s="17"/>
      <c r="O1213" s="17"/>
      <c r="P1213" s="17"/>
      <c r="Q1213" s="17"/>
      <c r="R1213" s="17"/>
      <c r="S1213" s="17"/>
      <c r="T1213" s="17"/>
    </row>
    <row r="1214">
      <c r="A1214" s="21">
        <v>17.0</v>
      </c>
      <c r="B1214" s="20" t="s">
        <v>84</v>
      </c>
      <c r="C1214" s="14" t="s">
        <v>27</v>
      </c>
      <c r="D1214" s="20" t="s">
        <v>28</v>
      </c>
      <c r="E1214" s="12" t="str">
        <f>IFERROR(__xludf.DUMMYFUNCTION("FILTER(colegios!$B$2:$B5618,colegios!$A$2:$A5618=L1214)"),"NUESTRA SEÑORA DE LA CANDELARIA")</f>
        <v>NUESTRA SEÑORA DE LA CANDELARIA</v>
      </c>
      <c r="F1214" s="14" t="s">
        <v>16</v>
      </c>
      <c r="G1214" s="20" t="s">
        <v>21</v>
      </c>
      <c r="H1214" s="14" t="s">
        <v>24</v>
      </c>
      <c r="I1214" s="22">
        <v>2023.0</v>
      </c>
      <c r="J1214" s="16" t="str">
        <f>IFERROR(__xludf.DUMMYFUNCTION("FILTER('CLASFICACIÓN'!$F$3:$F5618,'CLASFICACIÓN'!$G$3:$G5618=M1214)"),"2023 Y 2024")</f>
        <v>2023 Y 2024</v>
      </c>
      <c r="K1214" s="16"/>
      <c r="L1214" s="14" t="s">
        <v>108</v>
      </c>
      <c r="M1214" s="16" t="str">
        <f t="shared" si="1"/>
        <v>NUESTRA SEÑORA DE LA CANDELARIA2 Secundaria</v>
      </c>
      <c r="N1214" s="17"/>
      <c r="O1214" s="17"/>
      <c r="P1214" s="17"/>
      <c r="Q1214" s="17"/>
      <c r="R1214" s="17"/>
      <c r="S1214" s="17"/>
      <c r="T1214" s="17"/>
    </row>
    <row r="1215">
      <c r="A1215" s="21">
        <v>18.0</v>
      </c>
      <c r="B1215" s="20" t="s">
        <v>84</v>
      </c>
      <c r="C1215" s="14" t="s">
        <v>27</v>
      </c>
      <c r="D1215" s="20" t="s">
        <v>28</v>
      </c>
      <c r="E1215" s="12" t="str">
        <f>IFERROR(__xludf.DUMMYFUNCTION("FILTER(colegios!$B$2:$B5618,colegios!$A$2:$A5618=L1215)"),"NUESTRA SEÑORA DE LA CANDELARIA")</f>
        <v>NUESTRA SEÑORA DE LA CANDELARIA</v>
      </c>
      <c r="F1215" s="14" t="s">
        <v>16</v>
      </c>
      <c r="G1215" s="20" t="s">
        <v>17</v>
      </c>
      <c r="H1215" s="14" t="s">
        <v>24</v>
      </c>
      <c r="I1215" s="22">
        <v>2023.0</v>
      </c>
      <c r="J1215" s="16" t="str">
        <f>IFERROR(__xludf.DUMMYFUNCTION("FILTER('CLASFICACIÓN'!$F$3:$F5618,'CLASFICACIÓN'!$G$3:$G5618=M1215)"),"2023 Y 2024")</f>
        <v>2023 Y 2024</v>
      </c>
      <c r="K1215" s="16"/>
      <c r="L1215" s="14" t="s">
        <v>108</v>
      </c>
      <c r="M1215" s="16" t="str">
        <f t="shared" si="1"/>
        <v>NUESTRA SEÑORA DE LA CANDELARIA2 Secundaria</v>
      </c>
      <c r="N1215" s="17"/>
      <c r="O1215" s="17"/>
      <c r="P1215" s="17"/>
      <c r="Q1215" s="17"/>
      <c r="R1215" s="17"/>
      <c r="S1215" s="17"/>
      <c r="T1215" s="17"/>
    </row>
    <row r="1216">
      <c r="A1216" s="21">
        <v>19.0</v>
      </c>
      <c r="B1216" s="20" t="s">
        <v>84</v>
      </c>
      <c r="C1216" s="14" t="s">
        <v>27</v>
      </c>
      <c r="D1216" s="20" t="s">
        <v>28</v>
      </c>
      <c r="E1216" s="12" t="str">
        <f>IFERROR(__xludf.DUMMYFUNCTION("FILTER(colegios!$B$2:$B5618,colegios!$A$2:$A5618=L1216)"),"NUESTRA SEÑORA DE LA CANDELARIA")</f>
        <v>NUESTRA SEÑORA DE LA CANDELARIA</v>
      </c>
      <c r="F1216" s="14" t="s">
        <v>16</v>
      </c>
      <c r="G1216" s="20" t="s">
        <v>17</v>
      </c>
      <c r="H1216" s="14" t="s">
        <v>24</v>
      </c>
      <c r="I1216" s="22">
        <v>2023.0</v>
      </c>
      <c r="J1216" s="16" t="str">
        <f>IFERROR(__xludf.DUMMYFUNCTION("FILTER('CLASFICACIÓN'!$F$3:$F5618,'CLASFICACIÓN'!$G$3:$G5618=M1216)"),"2023 Y 2024")</f>
        <v>2023 Y 2024</v>
      </c>
      <c r="K1216" s="16"/>
      <c r="L1216" s="14" t="s">
        <v>108</v>
      </c>
      <c r="M1216" s="16" t="str">
        <f t="shared" si="1"/>
        <v>NUESTRA SEÑORA DE LA CANDELARIA2 Secundaria</v>
      </c>
      <c r="N1216" s="17"/>
      <c r="O1216" s="17"/>
      <c r="P1216" s="17"/>
      <c r="Q1216" s="17"/>
      <c r="R1216" s="17"/>
      <c r="S1216" s="17"/>
      <c r="T1216" s="17"/>
    </row>
    <row r="1217">
      <c r="A1217" s="21">
        <v>20.0</v>
      </c>
      <c r="B1217" s="20" t="s">
        <v>84</v>
      </c>
      <c r="C1217" s="14" t="s">
        <v>27</v>
      </c>
      <c r="D1217" s="20" t="s">
        <v>28</v>
      </c>
      <c r="E1217" s="12" t="str">
        <f>IFERROR(__xludf.DUMMYFUNCTION("FILTER(colegios!$B$2:$B5618,colegios!$A$2:$A5618=L1217)"),"NUESTRA SEÑORA DE LA CANDELARIA")</f>
        <v>NUESTRA SEÑORA DE LA CANDELARIA</v>
      </c>
      <c r="F1217" s="14" t="s">
        <v>16</v>
      </c>
      <c r="G1217" s="20" t="s">
        <v>17</v>
      </c>
      <c r="H1217" s="14" t="s">
        <v>24</v>
      </c>
      <c r="I1217" s="22">
        <v>2023.0</v>
      </c>
      <c r="J1217" s="16" t="str">
        <f>IFERROR(__xludf.DUMMYFUNCTION("FILTER('CLASFICACIÓN'!$F$3:$F5618,'CLASFICACIÓN'!$G$3:$G5618=M1217)"),"2023 Y 2024")</f>
        <v>2023 Y 2024</v>
      </c>
      <c r="K1217" s="16"/>
      <c r="L1217" s="14" t="s">
        <v>108</v>
      </c>
      <c r="M1217" s="16" t="str">
        <f t="shared" si="1"/>
        <v>NUESTRA SEÑORA DE LA CANDELARIA2 Secundaria</v>
      </c>
      <c r="N1217" s="17"/>
      <c r="O1217" s="17"/>
      <c r="P1217" s="17"/>
      <c r="Q1217" s="17"/>
      <c r="R1217" s="17"/>
      <c r="S1217" s="17"/>
      <c r="T1217" s="17"/>
    </row>
    <row r="1218">
      <c r="A1218" s="21">
        <v>21.0</v>
      </c>
      <c r="B1218" s="20" t="s">
        <v>84</v>
      </c>
      <c r="C1218" s="14" t="s">
        <v>27</v>
      </c>
      <c r="D1218" s="20" t="s">
        <v>28</v>
      </c>
      <c r="E1218" s="12" t="str">
        <f>IFERROR(__xludf.DUMMYFUNCTION("FILTER(colegios!$B$2:$B5618,colegios!$A$2:$A5618=L1218)"),"NUESTRA SEÑORA DE LA CANDELARIA")</f>
        <v>NUESTRA SEÑORA DE LA CANDELARIA</v>
      </c>
      <c r="F1218" s="14" t="s">
        <v>16</v>
      </c>
      <c r="G1218" s="20" t="s">
        <v>21</v>
      </c>
      <c r="H1218" s="14" t="s">
        <v>24</v>
      </c>
      <c r="I1218" s="22">
        <v>2023.0</v>
      </c>
      <c r="J1218" s="16" t="str">
        <f>IFERROR(__xludf.DUMMYFUNCTION("FILTER('CLASFICACIÓN'!$F$3:$F5618,'CLASFICACIÓN'!$G$3:$G5618=M1218)"),"2023 Y 2024")</f>
        <v>2023 Y 2024</v>
      </c>
      <c r="K1218" s="16"/>
      <c r="L1218" s="14" t="s">
        <v>108</v>
      </c>
      <c r="M1218" s="16" t="str">
        <f t="shared" si="1"/>
        <v>NUESTRA SEÑORA DE LA CANDELARIA2 Secundaria</v>
      </c>
      <c r="N1218" s="17"/>
      <c r="O1218" s="17"/>
      <c r="P1218" s="17"/>
      <c r="Q1218" s="17"/>
      <c r="R1218" s="17"/>
      <c r="S1218" s="17"/>
      <c r="T1218" s="17"/>
    </row>
    <row r="1219">
      <c r="A1219" s="21">
        <v>22.0</v>
      </c>
      <c r="B1219" s="20" t="s">
        <v>84</v>
      </c>
      <c r="C1219" s="14" t="s">
        <v>27</v>
      </c>
      <c r="D1219" s="20" t="s">
        <v>28</v>
      </c>
      <c r="E1219" s="12" t="str">
        <f>IFERROR(__xludf.DUMMYFUNCTION("FILTER(colegios!$B$2:$B5618,colegios!$A$2:$A5618=L1219)"),"NUESTRA SEÑORA DE LA CANDELARIA")</f>
        <v>NUESTRA SEÑORA DE LA CANDELARIA</v>
      </c>
      <c r="F1219" s="14" t="s">
        <v>16</v>
      </c>
      <c r="G1219" s="20" t="s">
        <v>21</v>
      </c>
      <c r="H1219" s="14" t="s">
        <v>24</v>
      </c>
      <c r="I1219" s="22">
        <v>2023.0</v>
      </c>
      <c r="J1219" s="16" t="str">
        <f>IFERROR(__xludf.DUMMYFUNCTION("FILTER('CLASFICACIÓN'!$F$3:$F5618,'CLASFICACIÓN'!$G$3:$G5618=M1219)"),"2023 Y 2024")</f>
        <v>2023 Y 2024</v>
      </c>
      <c r="K1219" s="16"/>
      <c r="L1219" s="14" t="s">
        <v>108</v>
      </c>
      <c r="M1219" s="16" t="str">
        <f t="shared" si="1"/>
        <v>NUESTRA SEÑORA DE LA CANDELARIA2 Secundaria</v>
      </c>
      <c r="N1219" s="17"/>
      <c r="O1219" s="17"/>
      <c r="P1219" s="17"/>
      <c r="Q1219" s="17"/>
      <c r="R1219" s="17"/>
      <c r="S1219" s="17"/>
      <c r="T1219" s="17"/>
    </row>
    <row r="1220">
      <c r="A1220" s="21">
        <v>23.0</v>
      </c>
      <c r="B1220" s="20" t="s">
        <v>84</v>
      </c>
      <c r="C1220" s="14" t="s">
        <v>27</v>
      </c>
      <c r="D1220" s="20" t="s">
        <v>28</v>
      </c>
      <c r="E1220" s="12" t="str">
        <f>IFERROR(__xludf.DUMMYFUNCTION("FILTER(colegios!$B$2:$B5618,colegios!$A$2:$A5618=L1220)"),"NUESTRA SEÑORA DE LA CANDELARIA")</f>
        <v>NUESTRA SEÑORA DE LA CANDELARIA</v>
      </c>
      <c r="F1220" s="14" t="s">
        <v>16</v>
      </c>
      <c r="G1220" s="20" t="s">
        <v>17</v>
      </c>
      <c r="H1220" s="14" t="s">
        <v>24</v>
      </c>
      <c r="I1220" s="22">
        <v>2023.0</v>
      </c>
      <c r="J1220" s="16" t="str">
        <f>IFERROR(__xludf.DUMMYFUNCTION("FILTER('CLASFICACIÓN'!$F$3:$F5618,'CLASFICACIÓN'!$G$3:$G5618=M1220)"),"2023 Y 2024")</f>
        <v>2023 Y 2024</v>
      </c>
      <c r="K1220" s="16"/>
      <c r="L1220" s="14" t="s">
        <v>108</v>
      </c>
      <c r="M1220" s="16" t="str">
        <f t="shared" si="1"/>
        <v>NUESTRA SEÑORA DE LA CANDELARIA2 Secundaria</v>
      </c>
      <c r="N1220" s="17"/>
      <c r="O1220" s="17"/>
      <c r="P1220" s="17"/>
      <c r="Q1220" s="17"/>
      <c r="R1220" s="17"/>
      <c r="S1220" s="17"/>
      <c r="T1220" s="17"/>
    </row>
    <row r="1221">
      <c r="A1221" s="21">
        <v>24.0</v>
      </c>
      <c r="B1221" s="20" t="s">
        <v>84</v>
      </c>
      <c r="C1221" s="14" t="s">
        <v>27</v>
      </c>
      <c r="D1221" s="20" t="s">
        <v>28</v>
      </c>
      <c r="E1221" s="12" t="str">
        <f>IFERROR(__xludf.DUMMYFUNCTION("FILTER(colegios!$B$2:$B5618,colegios!$A$2:$A5618=L1221)"),"NUESTRA SEÑORA DE LA CANDELARIA")</f>
        <v>NUESTRA SEÑORA DE LA CANDELARIA</v>
      </c>
      <c r="F1221" s="14" t="s">
        <v>16</v>
      </c>
      <c r="G1221" s="20" t="s">
        <v>21</v>
      </c>
      <c r="H1221" s="14" t="s">
        <v>24</v>
      </c>
      <c r="I1221" s="22">
        <v>2023.0</v>
      </c>
      <c r="J1221" s="16" t="str">
        <f>IFERROR(__xludf.DUMMYFUNCTION("FILTER('CLASFICACIÓN'!$F$3:$F5618,'CLASFICACIÓN'!$G$3:$G5618=M1221)"),"2023 Y 2024")</f>
        <v>2023 Y 2024</v>
      </c>
      <c r="K1221" s="16"/>
      <c r="L1221" s="14" t="s">
        <v>108</v>
      </c>
      <c r="M1221" s="16" t="str">
        <f t="shared" si="1"/>
        <v>NUESTRA SEÑORA DE LA CANDELARIA2 Secundaria</v>
      </c>
      <c r="N1221" s="17"/>
      <c r="O1221" s="17"/>
      <c r="P1221" s="17"/>
      <c r="Q1221" s="17"/>
      <c r="R1221" s="17"/>
      <c r="S1221" s="17"/>
      <c r="T1221" s="17"/>
    </row>
    <row r="1222">
      <c r="A1222" s="21">
        <v>25.0</v>
      </c>
      <c r="B1222" s="20" t="s">
        <v>84</v>
      </c>
      <c r="C1222" s="14" t="s">
        <v>27</v>
      </c>
      <c r="D1222" s="20" t="s">
        <v>28</v>
      </c>
      <c r="E1222" s="12" t="str">
        <f>IFERROR(__xludf.DUMMYFUNCTION("FILTER(colegios!$B$2:$B5618,colegios!$A$2:$A5618=L1222)"),"NUESTRA SEÑORA DE LA CANDELARIA")</f>
        <v>NUESTRA SEÑORA DE LA CANDELARIA</v>
      </c>
      <c r="F1222" s="14" t="s">
        <v>16</v>
      </c>
      <c r="G1222" s="20" t="s">
        <v>21</v>
      </c>
      <c r="H1222" s="14" t="s">
        <v>24</v>
      </c>
      <c r="I1222" s="22">
        <v>2023.0</v>
      </c>
      <c r="J1222" s="16" t="str">
        <f>IFERROR(__xludf.DUMMYFUNCTION("FILTER('CLASFICACIÓN'!$F$3:$F5618,'CLASFICACIÓN'!$G$3:$G5618=M1222)"),"2023 Y 2024")</f>
        <v>2023 Y 2024</v>
      </c>
      <c r="K1222" s="16"/>
      <c r="L1222" s="14" t="s">
        <v>108</v>
      </c>
      <c r="M1222" s="16" t="str">
        <f t="shared" si="1"/>
        <v>NUESTRA SEÑORA DE LA CANDELARIA2 Secundaria</v>
      </c>
      <c r="N1222" s="17"/>
      <c r="O1222" s="17"/>
      <c r="P1222" s="17"/>
      <c r="Q1222" s="17"/>
      <c r="R1222" s="17"/>
      <c r="S1222" s="17"/>
      <c r="T1222" s="17"/>
    </row>
    <row r="1223">
      <c r="A1223" s="21">
        <v>26.0</v>
      </c>
      <c r="B1223" s="20" t="s">
        <v>84</v>
      </c>
      <c r="C1223" s="14" t="s">
        <v>27</v>
      </c>
      <c r="D1223" s="20" t="s">
        <v>28</v>
      </c>
      <c r="E1223" s="12" t="str">
        <f>IFERROR(__xludf.DUMMYFUNCTION("FILTER(colegios!$B$2:$B5618,colegios!$A$2:$A5618=L1223)"),"NUESTRA SEÑORA DE LA CANDELARIA")</f>
        <v>NUESTRA SEÑORA DE LA CANDELARIA</v>
      </c>
      <c r="F1223" s="14" t="s">
        <v>16</v>
      </c>
      <c r="G1223" s="20" t="s">
        <v>17</v>
      </c>
      <c r="H1223" s="14" t="s">
        <v>24</v>
      </c>
      <c r="I1223" s="22">
        <v>2023.0</v>
      </c>
      <c r="J1223" s="16" t="str">
        <f>IFERROR(__xludf.DUMMYFUNCTION("FILTER('CLASFICACIÓN'!$F$3:$F5618,'CLASFICACIÓN'!$G$3:$G5618=M1223)"),"2023 Y 2024")</f>
        <v>2023 Y 2024</v>
      </c>
      <c r="K1223" s="16"/>
      <c r="L1223" s="14" t="s">
        <v>108</v>
      </c>
      <c r="M1223" s="16" t="str">
        <f t="shared" si="1"/>
        <v>NUESTRA SEÑORA DE LA CANDELARIA2 Secundaria</v>
      </c>
      <c r="N1223" s="17"/>
      <c r="O1223" s="17"/>
      <c r="P1223" s="17"/>
      <c r="Q1223" s="17"/>
      <c r="R1223" s="17"/>
      <c r="S1223" s="17"/>
      <c r="T1223" s="17"/>
    </row>
    <row r="1224">
      <c r="A1224" s="21">
        <v>27.0</v>
      </c>
      <c r="B1224" s="20" t="s">
        <v>84</v>
      </c>
      <c r="C1224" s="14" t="s">
        <v>27</v>
      </c>
      <c r="D1224" s="20" t="s">
        <v>28</v>
      </c>
      <c r="E1224" s="12" t="str">
        <f>IFERROR(__xludf.DUMMYFUNCTION("FILTER(colegios!$B$2:$B5618,colegios!$A$2:$A5618=L1224)"),"NUESTRA SEÑORA DE LA CANDELARIA")</f>
        <v>NUESTRA SEÑORA DE LA CANDELARIA</v>
      </c>
      <c r="F1224" s="14" t="s">
        <v>16</v>
      </c>
      <c r="G1224" s="20" t="s">
        <v>21</v>
      </c>
      <c r="H1224" s="14" t="s">
        <v>24</v>
      </c>
      <c r="I1224" s="22">
        <v>2023.0</v>
      </c>
      <c r="J1224" s="16" t="str">
        <f>IFERROR(__xludf.DUMMYFUNCTION("FILTER('CLASFICACIÓN'!$F$3:$F5618,'CLASFICACIÓN'!$G$3:$G5618=M1224)"),"2023 Y 2024")</f>
        <v>2023 Y 2024</v>
      </c>
      <c r="K1224" s="16"/>
      <c r="L1224" s="14" t="s">
        <v>108</v>
      </c>
      <c r="M1224" s="16" t="str">
        <f t="shared" si="1"/>
        <v>NUESTRA SEÑORA DE LA CANDELARIA2 Secundaria</v>
      </c>
      <c r="N1224" s="17"/>
      <c r="O1224" s="17"/>
      <c r="P1224" s="17"/>
      <c r="Q1224" s="17"/>
      <c r="R1224" s="17"/>
      <c r="S1224" s="17"/>
      <c r="T1224" s="17"/>
    </row>
    <row r="1225">
      <c r="A1225" s="21">
        <v>28.0</v>
      </c>
      <c r="B1225" s="20" t="s">
        <v>84</v>
      </c>
      <c r="C1225" s="14" t="s">
        <v>27</v>
      </c>
      <c r="D1225" s="20" t="s">
        <v>28</v>
      </c>
      <c r="E1225" s="12" t="str">
        <f>IFERROR(__xludf.DUMMYFUNCTION("FILTER(colegios!$B$2:$B5618,colegios!$A$2:$A5618=L1225)"),"NUESTRA SEÑORA DE LA CANDELARIA")</f>
        <v>NUESTRA SEÑORA DE LA CANDELARIA</v>
      </c>
      <c r="F1225" s="14" t="s">
        <v>16</v>
      </c>
      <c r="G1225" s="20" t="s">
        <v>21</v>
      </c>
      <c r="H1225" s="14" t="s">
        <v>24</v>
      </c>
      <c r="I1225" s="22">
        <v>2023.0</v>
      </c>
      <c r="J1225" s="16" t="str">
        <f>IFERROR(__xludf.DUMMYFUNCTION("FILTER('CLASFICACIÓN'!$F$3:$F5618,'CLASFICACIÓN'!$G$3:$G5618=M1225)"),"2023 Y 2024")</f>
        <v>2023 Y 2024</v>
      </c>
      <c r="K1225" s="16"/>
      <c r="L1225" s="14" t="s">
        <v>108</v>
      </c>
      <c r="M1225" s="16" t="str">
        <f t="shared" si="1"/>
        <v>NUESTRA SEÑORA DE LA CANDELARIA2 Secundaria</v>
      </c>
      <c r="N1225" s="17"/>
      <c r="O1225" s="17"/>
      <c r="P1225" s="17"/>
      <c r="Q1225" s="17"/>
      <c r="R1225" s="17"/>
      <c r="S1225" s="17"/>
      <c r="T1225" s="17"/>
    </row>
    <row r="1226">
      <c r="A1226" s="21">
        <v>29.0</v>
      </c>
      <c r="B1226" s="20" t="s">
        <v>84</v>
      </c>
      <c r="C1226" s="14" t="s">
        <v>27</v>
      </c>
      <c r="D1226" s="20" t="s">
        <v>28</v>
      </c>
      <c r="E1226" s="12" t="str">
        <f>IFERROR(__xludf.DUMMYFUNCTION("FILTER(colegios!$B$2:$B5618,colegios!$A$2:$A5618=L1226)"),"NUESTRA SEÑORA DE LA CANDELARIA")</f>
        <v>NUESTRA SEÑORA DE LA CANDELARIA</v>
      </c>
      <c r="F1226" s="14" t="s">
        <v>16</v>
      </c>
      <c r="G1226" s="20" t="s">
        <v>17</v>
      </c>
      <c r="H1226" s="14" t="s">
        <v>18</v>
      </c>
      <c r="I1226" s="22">
        <v>2023.0</v>
      </c>
      <c r="J1226" s="16" t="str">
        <f>IFERROR(__xludf.DUMMYFUNCTION("FILTER('CLASFICACIÓN'!$F$3:$F5618,'CLASFICACIÓN'!$G$3:$G5618=M1226)"),"2023 Y 2024")</f>
        <v>2023 Y 2024</v>
      </c>
      <c r="K1226" s="16"/>
      <c r="L1226" s="14" t="s">
        <v>108</v>
      </c>
      <c r="M1226" s="16" t="str">
        <f t="shared" si="1"/>
        <v>NUESTRA SEÑORA DE LA CANDELARIA2 Secundaria</v>
      </c>
      <c r="N1226" s="17"/>
      <c r="O1226" s="17"/>
      <c r="P1226" s="17"/>
      <c r="Q1226" s="17"/>
      <c r="R1226" s="17"/>
      <c r="S1226" s="17"/>
      <c r="T1226" s="17"/>
    </row>
    <row r="1227">
      <c r="A1227" s="21">
        <v>30.0</v>
      </c>
      <c r="B1227" s="20" t="s">
        <v>84</v>
      </c>
      <c r="C1227" s="14" t="s">
        <v>27</v>
      </c>
      <c r="D1227" s="20" t="s">
        <v>28</v>
      </c>
      <c r="E1227" s="12" t="str">
        <f>IFERROR(__xludf.DUMMYFUNCTION("FILTER(colegios!$B$2:$B5618,colegios!$A$2:$A5618=L1227)"),"NUESTRA SEÑORA DE LA CANDELARIA")</f>
        <v>NUESTRA SEÑORA DE LA CANDELARIA</v>
      </c>
      <c r="F1227" s="14" t="s">
        <v>16</v>
      </c>
      <c r="G1227" s="20" t="s">
        <v>21</v>
      </c>
      <c r="H1227" s="14" t="s">
        <v>32</v>
      </c>
      <c r="I1227" s="22">
        <v>2023.0</v>
      </c>
      <c r="J1227" s="16" t="str">
        <f>IFERROR(__xludf.DUMMYFUNCTION("FILTER('CLASFICACIÓN'!$F$3:$F5618,'CLASFICACIÓN'!$G$3:$G5618=M1227)"),"2023 Y 2024")</f>
        <v>2023 Y 2024</v>
      </c>
      <c r="K1227" s="16"/>
      <c r="L1227" s="14" t="s">
        <v>108</v>
      </c>
      <c r="M1227" s="16" t="str">
        <f t="shared" si="1"/>
        <v>NUESTRA SEÑORA DE LA CANDELARIA2 Secundaria</v>
      </c>
      <c r="N1227" s="17"/>
      <c r="O1227" s="17"/>
      <c r="P1227" s="17"/>
      <c r="Q1227" s="17"/>
      <c r="R1227" s="17"/>
      <c r="S1227" s="17"/>
      <c r="T1227" s="17"/>
    </row>
    <row r="1228">
      <c r="A1228" s="21">
        <v>31.0</v>
      </c>
      <c r="B1228" s="20" t="s">
        <v>84</v>
      </c>
      <c r="C1228" s="14" t="s">
        <v>27</v>
      </c>
      <c r="D1228" s="20" t="s">
        <v>28</v>
      </c>
      <c r="E1228" s="12" t="str">
        <f>IFERROR(__xludf.DUMMYFUNCTION("FILTER(colegios!$B$2:$B5618,colegios!$A$2:$A5618=L1228)"),"NUESTRA SEÑORA DE LA CANDELARIA")</f>
        <v>NUESTRA SEÑORA DE LA CANDELARIA</v>
      </c>
      <c r="F1228" s="14" t="s">
        <v>16</v>
      </c>
      <c r="G1228" s="20" t="s">
        <v>17</v>
      </c>
      <c r="H1228" s="14" t="s">
        <v>24</v>
      </c>
      <c r="I1228" s="22">
        <v>2023.0</v>
      </c>
      <c r="J1228" s="16" t="str">
        <f>IFERROR(__xludf.DUMMYFUNCTION("FILTER('CLASFICACIÓN'!$F$3:$F5618,'CLASFICACIÓN'!$G$3:$G5618=M1228)"),"2023 Y 2024")</f>
        <v>2023 Y 2024</v>
      </c>
      <c r="K1228" s="16"/>
      <c r="L1228" s="14" t="s">
        <v>108</v>
      </c>
      <c r="M1228" s="16" t="str">
        <f t="shared" si="1"/>
        <v>NUESTRA SEÑORA DE LA CANDELARIA2 Secundaria</v>
      </c>
      <c r="N1228" s="17"/>
      <c r="O1228" s="17"/>
      <c r="P1228" s="17"/>
      <c r="Q1228" s="17"/>
      <c r="R1228" s="17"/>
      <c r="S1228" s="17"/>
      <c r="T1228" s="17"/>
    </row>
    <row r="1229">
      <c r="A1229" s="21">
        <v>32.0</v>
      </c>
      <c r="B1229" s="20" t="s">
        <v>84</v>
      </c>
      <c r="C1229" s="14" t="s">
        <v>27</v>
      </c>
      <c r="D1229" s="20" t="s">
        <v>28</v>
      </c>
      <c r="E1229" s="12" t="str">
        <f>IFERROR(__xludf.DUMMYFUNCTION("FILTER(colegios!$B$2:$B5618,colegios!$A$2:$A5618=L1229)"),"NUESTRA SEÑORA DE LA CANDELARIA")</f>
        <v>NUESTRA SEÑORA DE LA CANDELARIA</v>
      </c>
      <c r="F1229" s="14" t="s">
        <v>16</v>
      </c>
      <c r="G1229" s="20" t="s">
        <v>21</v>
      </c>
      <c r="H1229" s="14" t="s">
        <v>18</v>
      </c>
      <c r="I1229" s="22">
        <v>2023.0</v>
      </c>
      <c r="J1229" s="16" t="str">
        <f>IFERROR(__xludf.DUMMYFUNCTION("FILTER('CLASFICACIÓN'!$F$3:$F5618,'CLASFICACIÓN'!$G$3:$G5618=M1229)"),"2023 Y 2024")</f>
        <v>2023 Y 2024</v>
      </c>
      <c r="K1229" s="16"/>
      <c r="L1229" s="14" t="s">
        <v>108</v>
      </c>
      <c r="M1229" s="16" t="str">
        <f t="shared" si="1"/>
        <v>NUESTRA SEÑORA DE LA CANDELARIA2 Secundaria</v>
      </c>
      <c r="N1229" s="17"/>
      <c r="O1229" s="17"/>
      <c r="P1229" s="17"/>
      <c r="Q1229" s="17"/>
      <c r="R1229" s="17"/>
      <c r="S1229" s="17"/>
      <c r="T1229" s="17"/>
    </row>
    <row r="1230">
      <c r="A1230" s="21">
        <v>33.0</v>
      </c>
      <c r="B1230" s="20" t="s">
        <v>84</v>
      </c>
      <c r="C1230" s="14" t="s">
        <v>27</v>
      </c>
      <c r="D1230" s="20" t="s">
        <v>28</v>
      </c>
      <c r="E1230" s="12" t="str">
        <f>IFERROR(__xludf.DUMMYFUNCTION("FILTER(colegios!$B$2:$B5618,colegios!$A$2:$A5618=L1230)"),"NUESTRA SEÑORA DE LA CANDELARIA")</f>
        <v>NUESTRA SEÑORA DE LA CANDELARIA</v>
      </c>
      <c r="F1230" s="14" t="s">
        <v>16</v>
      </c>
      <c r="G1230" s="20" t="s">
        <v>21</v>
      </c>
      <c r="H1230" s="14" t="s">
        <v>24</v>
      </c>
      <c r="I1230" s="22">
        <v>2023.0</v>
      </c>
      <c r="J1230" s="16" t="str">
        <f>IFERROR(__xludf.DUMMYFUNCTION("FILTER('CLASFICACIÓN'!$F$3:$F5618,'CLASFICACIÓN'!$G$3:$G5618=M1230)"),"2023 Y 2024")</f>
        <v>2023 Y 2024</v>
      </c>
      <c r="K1230" s="16"/>
      <c r="L1230" s="14" t="s">
        <v>108</v>
      </c>
      <c r="M1230" s="16" t="str">
        <f t="shared" si="1"/>
        <v>NUESTRA SEÑORA DE LA CANDELARIA2 Secundaria</v>
      </c>
      <c r="N1230" s="17"/>
      <c r="O1230" s="17"/>
      <c r="P1230" s="17"/>
      <c r="Q1230" s="17"/>
      <c r="R1230" s="17"/>
      <c r="S1230" s="17"/>
      <c r="T1230" s="17"/>
    </row>
    <row r="1231">
      <c r="A1231" s="21">
        <v>34.0</v>
      </c>
      <c r="B1231" s="20" t="s">
        <v>84</v>
      </c>
      <c r="C1231" s="14" t="s">
        <v>27</v>
      </c>
      <c r="D1231" s="20" t="s">
        <v>28</v>
      </c>
      <c r="E1231" s="12" t="str">
        <f>IFERROR(__xludf.DUMMYFUNCTION("FILTER(colegios!$B$2:$B5618,colegios!$A$2:$A5618=L1231)"),"NUESTRA SEÑORA DE LA CANDELARIA")</f>
        <v>NUESTRA SEÑORA DE LA CANDELARIA</v>
      </c>
      <c r="F1231" s="14" t="s">
        <v>16</v>
      </c>
      <c r="G1231" s="20" t="s">
        <v>17</v>
      </c>
      <c r="H1231" s="14" t="s">
        <v>24</v>
      </c>
      <c r="I1231" s="22">
        <v>2023.0</v>
      </c>
      <c r="J1231" s="16" t="str">
        <f>IFERROR(__xludf.DUMMYFUNCTION("FILTER('CLASFICACIÓN'!$F$3:$F5618,'CLASFICACIÓN'!$G$3:$G5618=M1231)"),"2023 Y 2024")</f>
        <v>2023 Y 2024</v>
      </c>
      <c r="K1231" s="16"/>
      <c r="L1231" s="14" t="s">
        <v>108</v>
      </c>
      <c r="M1231" s="16" t="str">
        <f t="shared" si="1"/>
        <v>NUESTRA SEÑORA DE LA CANDELARIA2 Secundaria</v>
      </c>
      <c r="N1231" s="17"/>
      <c r="O1231" s="17"/>
      <c r="P1231" s="17"/>
      <c r="Q1231" s="17"/>
      <c r="R1231" s="17"/>
      <c r="S1231" s="17"/>
      <c r="T1231" s="17"/>
    </row>
    <row r="1232">
      <c r="A1232" s="21">
        <v>35.0</v>
      </c>
      <c r="B1232" s="20" t="s">
        <v>84</v>
      </c>
      <c r="C1232" s="14" t="s">
        <v>27</v>
      </c>
      <c r="D1232" s="20" t="s">
        <v>28</v>
      </c>
      <c r="E1232" s="12" t="str">
        <f>IFERROR(__xludf.DUMMYFUNCTION("FILTER(colegios!$B$2:$B5618,colegios!$A$2:$A5618=L1232)"),"NUESTRA SEÑORA DE LA CANDELARIA")</f>
        <v>NUESTRA SEÑORA DE LA CANDELARIA</v>
      </c>
      <c r="F1232" s="14" t="s">
        <v>16</v>
      </c>
      <c r="G1232" s="20" t="s">
        <v>21</v>
      </c>
      <c r="H1232" s="14" t="s">
        <v>24</v>
      </c>
      <c r="I1232" s="22">
        <v>2023.0</v>
      </c>
      <c r="J1232" s="16" t="str">
        <f>IFERROR(__xludf.DUMMYFUNCTION("FILTER('CLASFICACIÓN'!$F$3:$F5618,'CLASFICACIÓN'!$G$3:$G5618=M1232)"),"2023 Y 2024")</f>
        <v>2023 Y 2024</v>
      </c>
      <c r="K1232" s="16"/>
      <c r="L1232" s="14" t="s">
        <v>108</v>
      </c>
      <c r="M1232" s="16" t="str">
        <f t="shared" si="1"/>
        <v>NUESTRA SEÑORA DE LA CANDELARIA2 Secundaria</v>
      </c>
      <c r="N1232" s="17"/>
      <c r="O1232" s="17"/>
      <c r="P1232" s="17"/>
      <c r="Q1232" s="17"/>
      <c r="R1232" s="17"/>
      <c r="S1232" s="17"/>
      <c r="T1232" s="17"/>
    </row>
    <row r="1233">
      <c r="A1233" s="21">
        <v>36.0</v>
      </c>
      <c r="B1233" s="20" t="s">
        <v>84</v>
      </c>
      <c r="C1233" s="14" t="s">
        <v>27</v>
      </c>
      <c r="D1233" s="20" t="s">
        <v>28</v>
      </c>
      <c r="E1233" s="12" t="str">
        <f>IFERROR(__xludf.DUMMYFUNCTION("FILTER(colegios!$B$2:$B5618,colegios!$A$2:$A5618=L1233)"),"NUESTRA SEÑORA DE LA CANDELARIA")</f>
        <v>NUESTRA SEÑORA DE LA CANDELARIA</v>
      </c>
      <c r="F1233" s="14" t="s">
        <v>16</v>
      </c>
      <c r="G1233" s="20" t="s">
        <v>17</v>
      </c>
      <c r="H1233" s="14" t="s">
        <v>24</v>
      </c>
      <c r="I1233" s="22">
        <v>2023.0</v>
      </c>
      <c r="J1233" s="16" t="str">
        <f>IFERROR(__xludf.DUMMYFUNCTION("FILTER('CLASFICACIÓN'!$F$3:$F5618,'CLASFICACIÓN'!$G$3:$G5618=M1233)"),"2023 Y 2024")</f>
        <v>2023 Y 2024</v>
      </c>
      <c r="K1233" s="16"/>
      <c r="L1233" s="14" t="s">
        <v>108</v>
      </c>
      <c r="M1233" s="16" t="str">
        <f t="shared" si="1"/>
        <v>NUESTRA SEÑORA DE LA CANDELARIA2 Secundaria</v>
      </c>
      <c r="N1233" s="17"/>
      <c r="O1233" s="17"/>
      <c r="P1233" s="17"/>
      <c r="Q1233" s="17"/>
      <c r="R1233" s="17"/>
      <c r="S1233" s="17"/>
      <c r="T1233" s="17"/>
    </row>
    <row r="1234">
      <c r="A1234" s="21">
        <v>37.0</v>
      </c>
      <c r="B1234" s="20" t="s">
        <v>84</v>
      </c>
      <c r="C1234" s="14" t="s">
        <v>27</v>
      </c>
      <c r="D1234" s="20" t="s">
        <v>28</v>
      </c>
      <c r="E1234" s="12" t="str">
        <f>IFERROR(__xludf.DUMMYFUNCTION("FILTER(colegios!$B$2:$B5618,colegios!$A$2:$A5618=L1234)"),"NUESTRA SEÑORA DE LA CANDELARIA")</f>
        <v>NUESTRA SEÑORA DE LA CANDELARIA</v>
      </c>
      <c r="F1234" s="14" t="s">
        <v>16</v>
      </c>
      <c r="G1234" s="20" t="s">
        <v>21</v>
      </c>
      <c r="H1234" s="14" t="s">
        <v>18</v>
      </c>
      <c r="I1234" s="22">
        <v>2023.0</v>
      </c>
      <c r="J1234" s="16" t="str">
        <f>IFERROR(__xludf.DUMMYFUNCTION("FILTER('CLASFICACIÓN'!$F$3:$F5618,'CLASFICACIÓN'!$G$3:$G5618=M1234)"),"2023 Y 2024")</f>
        <v>2023 Y 2024</v>
      </c>
      <c r="K1234" s="16"/>
      <c r="L1234" s="14" t="s">
        <v>108</v>
      </c>
      <c r="M1234" s="16" t="str">
        <f t="shared" si="1"/>
        <v>NUESTRA SEÑORA DE LA CANDELARIA2 Secundaria</v>
      </c>
      <c r="N1234" s="17"/>
      <c r="O1234" s="17"/>
      <c r="P1234" s="17"/>
      <c r="Q1234" s="17"/>
      <c r="R1234" s="17"/>
      <c r="S1234" s="17"/>
      <c r="T1234" s="17"/>
    </row>
    <row r="1235">
      <c r="A1235" s="21">
        <v>38.0</v>
      </c>
      <c r="B1235" s="20" t="s">
        <v>84</v>
      </c>
      <c r="C1235" s="14" t="s">
        <v>27</v>
      </c>
      <c r="D1235" s="20" t="s">
        <v>28</v>
      </c>
      <c r="E1235" s="12" t="str">
        <f>IFERROR(__xludf.DUMMYFUNCTION("FILTER(colegios!$B$2:$B5618,colegios!$A$2:$A5618=L1235)"),"NUESTRA SEÑORA DE LA CANDELARIA")</f>
        <v>NUESTRA SEÑORA DE LA CANDELARIA</v>
      </c>
      <c r="F1235" s="14" t="s">
        <v>16</v>
      </c>
      <c r="G1235" s="20" t="s">
        <v>17</v>
      </c>
      <c r="H1235" s="14" t="s">
        <v>24</v>
      </c>
      <c r="I1235" s="22">
        <v>2023.0</v>
      </c>
      <c r="J1235" s="16" t="str">
        <f>IFERROR(__xludf.DUMMYFUNCTION("FILTER('CLASFICACIÓN'!$F$3:$F5618,'CLASFICACIÓN'!$G$3:$G5618=M1235)"),"2023 Y 2024")</f>
        <v>2023 Y 2024</v>
      </c>
      <c r="K1235" s="16"/>
      <c r="L1235" s="14" t="s">
        <v>108</v>
      </c>
      <c r="M1235" s="16" t="str">
        <f t="shared" si="1"/>
        <v>NUESTRA SEÑORA DE LA CANDELARIA2 Secundaria</v>
      </c>
      <c r="N1235" s="17"/>
      <c r="O1235" s="17"/>
      <c r="P1235" s="17"/>
      <c r="Q1235" s="17"/>
      <c r="R1235" s="17"/>
      <c r="S1235" s="17"/>
      <c r="T1235" s="17"/>
    </row>
    <row r="1236">
      <c r="A1236" s="21">
        <v>39.0</v>
      </c>
      <c r="B1236" s="20" t="s">
        <v>84</v>
      </c>
      <c r="C1236" s="14" t="s">
        <v>27</v>
      </c>
      <c r="D1236" s="20" t="s">
        <v>28</v>
      </c>
      <c r="E1236" s="12" t="str">
        <f>IFERROR(__xludf.DUMMYFUNCTION("FILTER(colegios!$B$2:$B5618,colegios!$A$2:$A5618=L1236)"),"NUESTRA SEÑORA DE LA CANDELARIA")</f>
        <v>NUESTRA SEÑORA DE LA CANDELARIA</v>
      </c>
      <c r="F1236" s="14" t="s">
        <v>16</v>
      </c>
      <c r="G1236" s="20" t="s">
        <v>21</v>
      </c>
      <c r="H1236" s="14" t="s">
        <v>18</v>
      </c>
      <c r="I1236" s="22">
        <v>2023.0</v>
      </c>
      <c r="J1236" s="16" t="str">
        <f>IFERROR(__xludf.DUMMYFUNCTION("FILTER('CLASFICACIÓN'!$F$3:$F5618,'CLASFICACIÓN'!$G$3:$G5618=M1236)"),"2023 Y 2024")</f>
        <v>2023 Y 2024</v>
      </c>
      <c r="K1236" s="16"/>
      <c r="L1236" s="14" t="s">
        <v>108</v>
      </c>
      <c r="M1236" s="16" t="str">
        <f t="shared" si="1"/>
        <v>NUESTRA SEÑORA DE LA CANDELARIA2 Secundaria</v>
      </c>
      <c r="N1236" s="17"/>
      <c r="O1236" s="17"/>
      <c r="P1236" s="17"/>
      <c r="Q1236" s="17"/>
      <c r="R1236" s="17"/>
      <c r="S1236" s="17"/>
      <c r="T1236" s="17"/>
    </row>
    <row r="1237">
      <c r="A1237" s="21">
        <v>40.0</v>
      </c>
      <c r="B1237" s="20" t="s">
        <v>84</v>
      </c>
      <c r="C1237" s="14" t="s">
        <v>27</v>
      </c>
      <c r="D1237" s="20" t="s">
        <v>28</v>
      </c>
      <c r="E1237" s="12" t="str">
        <f>IFERROR(__xludf.DUMMYFUNCTION("FILTER(colegios!$B$2:$B5618,colegios!$A$2:$A5618=L1237)"),"NUESTRA SEÑORA DE LA CANDELARIA")</f>
        <v>NUESTRA SEÑORA DE LA CANDELARIA</v>
      </c>
      <c r="F1237" s="14" t="s">
        <v>16</v>
      </c>
      <c r="G1237" s="20" t="s">
        <v>17</v>
      </c>
      <c r="H1237" s="14" t="s">
        <v>18</v>
      </c>
      <c r="I1237" s="22">
        <v>2023.0</v>
      </c>
      <c r="J1237" s="16" t="str">
        <f>IFERROR(__xludf.DUMMYFUNCTION("FILTER('CLASFICACIÓN'!$F$3:$F5618,'CLASFICACIÓN'!$G$3:$G5618=M1237)"),"2023 Y 2024")</f>
        <v>2023 Y 2024</v>
      </c>
      <c r="K1237" s="16"/>
      <c r="L1237" s="14" t="s">
        <v>108</v>
      </c>
      <c r="M1237" s="16" t="str">
        <f t="shared" si="1"/>
        <v>NUESTRA SEÑORA DE LA CANDELARIA2 Secundaria</v>
      </c>
      <c r="N1237" s="17"/>
      <c r="O1237" s="17"/>
      <c r="P1237" s="17"/>
      <c r="Q1237" s="17"/>
      <c r="R1237" s="17"/>
      <c r="S1237" s="17"/>
      <c r="T1237" s="17"/>
    </row>
    <row r="1238">
      <c r="A1238" s="21">
        <v>41.0</v>
      </c>
      <c r="B1238" s="20" t="s">
        <v>84</v>
      </c>
      <c r="C1238" s="14" t="s">
        <v>27</v>
      </c>
      <c r="D1238" s="20" t="s">
        <v>28</v>
      </c>
      <c r="E1238" s="12" t="str">
        <f>IFERROR(__xludf.DUMMYFUNCTION("FILTER(colegios!$B$2:$B5618,colegios!$A$2:$A5618=L1238)"),"NUESTRA SEÑORA DE LA CANDELARIA")</f>
        <v>NUESTRA SEÑORA DE LA CANDELARIA</v>
      </c>
      <c r="F1238" s="14" t="s">
        <v>16</v>
      </c>
      <c r="G1238" s="20" t="s">
        <v>17</v>
      </c>
      <c r="H1238" s="14" t="s">
        <v>24</v>
      </c>
      <c r="I1238" s="22">
        <v>2023.0</v>
      </c>
      <c r="J1238" s="16" t="str">
        <f>IFERROR(__xludf.DUMMYFUNCTION("FILTER('CLASFICACIÓN'!$F$3:$F5618,'CLASFICACIÓN'!$G$3:$G5618=M1238)"),"2023 Y 2024")</f>
        <v>2023 Y 2024</v>
      </c>
      <c r="K1238" s="16"/>
      <c r="L1238" s="14" t="s">
        <v>108</v>
      </c>
      <c r="M1238" s="16" t="str">
        <f t="shared" si="1"/>
        <v>NUESTRA SEÑORA DE LA CANDELARIA2 Secundaria</v>
      </c>
      <c r="N1238" s="17"/>
      <c r="O1238" s="17"/>
      <c r="P1238" s="17"/>
      <c r="Q1238" s="17"/>
      <c r="R1238" s="17"/>
      <c r="S1238" s="17"/>
      <c r="T1238" s="17"/>
    </row>
    <row r="1239">
      <c r="A1239" s="21">
        <v>42.0</v>
      </c>
      <c r="B1239" s="20" t="s">
        <v>84</v>
      </c>
      <c r="C1239" s="14" t="s">
        <v>27</v>
      </c>
      <c r="D1239" s="20" t="s">
        <v>28</v>
      </c>
      <c r="E1239" s="12" t="str">
        <f>IFERROR(__xludf.DUMMYFUNCTION("FILTER(colegios!$B$2:$B5618,colegios!$A$2:$A5618=L1239)"),"NUESTRA SEÑORA DE LA CANDELARIA")</f>
        <v>NUESTRA SEÑORA DE LA CANDELARIA</v>
      </c>
      <c r="F1239" s="14" t="s">
        <v>16</v>
      </c>
      <c r="G1239" s="20" t="s">
        <v>17</v>
      </c>
      <c r="H1239" s="14" t="s">
        <v>24</v>
      </c>
      <c r="I1239" s="22">
        <v>2023.0</v>
      </c>
      <c r="J1239" s="16" t="str">
        <f>IFERROR(__xludf.DUMMYFUNCTION("FILTER('CLASFICACIÓN'!$F$3:$F5618,'CLASFICACIÓN'!$G$3:$G5618=M1239)"),"2023 Y 2024")</f>
        <v>2023 Y 2024</v>
      </c>
      <c r="K1239" s="16"/>
      <c r="L1239" s="14" t="s">
        <v>108</v>
      </c>
      <c r="M1239" s="16" t="str">
        <f t="shared" si="1"/>
        <v>NUESTRA SEÑORA DE LA CANDELARIA2 Secundaria</v>
      </c>
      <c r="N1239" s="17"/>
      <c r="O1239" s="17"/>
      <c r="P1239" s="17"/>
      <c r="Q1239" s="17"/>
      <c r="R1239" s="17"/>
      <c r="S1239" s="17"/>
      <c r="T1239" s="17"/>
    </row>
    <row r="1240">
      <c r="A1240" s="21">
        <v>43.0</v>
      </c>
      <c r="B1240" s="20" t="s">
        <v>84</v>
      </c>
      <c r="C1240" s="14" t="s">
        <v>27</v>
      </c>
      <c r="D1240" s="20" t="s">
        <v>28</v>
      </c>
      <c r="E1240" s="12" t="str">
        <f>IFERROR(__xludf.DUMMYFUNCTION("FILTER(colegios!$B$2:$B5618,colegios!$A$2:$A5618=L1240)"),"NUESTRA SEÑORA DE LA CANDELARIA")</f>
        <v>NUESTRA SEÑORA DE LA CANDELARIA</v>
      </c>
      <c r="F1240" s="14" t="s">
        <v>16</v>
      </c>
      <c r="G1240" s="20" t="s">
        <v>17</v>
      </c>
      <c r="H1240" s="14" t="s">
        <v>24</v>
      </c>
      <c r="I1240" s="22">
        <v>2023.0</v>
      </c>
      <c r="J1240" s="16" t="str">
        <f>IFERROR(__xludf.DUMMYFUNCTION("FILTER('CLASFICACIÓN'!$F$3:$F5618,'CLASFICACIÓN'!$G$3:$G5618=M1240)"),"2023 Y 2024")</f>
        <v>2023 Y 2024</v>
      </c>
      <c r="K1240" s="16"/>
      <c r="L1240" s="14" t="s">
        <v>108</v>
      </c>
      <c r="M1240" s="16" t="str">
        <f t="shared" si="1"/>
        <v>NUESTRA SEÑORA DE LA CANDELARIA2 Secundaria</v>
      </c>
      <c r="N1240" s="17"/>
      <c r="O1240" s="17"/>
      <c r="P1240" s="17"/>
      <c r="Q1240" s="17"/>
      <c r="R1240" s="17"/>
      <c r="S1240" s="17"/>
      <c r="T1240" s="17"/>
    </row>
    <row r="1241">
      <c r="A1241" s="21">
        <v>44.0</v>
      </c>
      <c r="B1241" s="20" t="s">
        <v>84</v>
      </c>
      <c r="C1241" s="14" t="s">
        <v>27</v>
      </c>
      <c r="D1241" s="20" t="s">
        <v>28</v>
      </c>
      <c r="E1241" s="12" t="str">
        <f>IFERROR(__xludf.DUMMYFUNCTION("FILTER(colegios!$B$2:$B5618,colegios!$A$2:$A5618=L1241)"),"NUESTRA SEÑORA DE LA CANDELARIA")</f>
        <v>NUESTRA SEÑORA DE LA CANDELARIA</v>
      </c>
      <c r="F1241" s="14" t="s">
        <v>16</v>
      </c>
      <c r="G1241" s="20" t="s">
        <v>21</v>
      </c>
      <c r="H1241" s="14" t="s">
        <v>24</v>
      </c>
      <c r="I1241" s="22">
        <v>2023.0</v>
      </c>
      <c r="J1241" s="16" t="str">
        <f>IFERROR(__xludf.DUMMYFUNCTION("FILTER('CLASFICACIÓN'!$F$3:$F5618,'CLASFICACIÓN'!$G$3:$G5618=M1241)"),"2023 Y 2024")</f>
        <v>2023 Y 2024</v>
      </c>
      <c r="K1241" s="16"/>
      <c r="L1241" s="14" t="s">
        <v>108</v>
      </c>
      <c r="M1241" s="16" t="str">
        <f t="shared" si="1"/>
        <v>NUESTRA SEÑORA DE LA CANDELARIA2 Secundaria</v>
      </c>
      <c r="N1241" s="17"/>
      <c r="O1241" s="17"/>
      <c r="P1241" s="17"/>
      <c r="Q1241" s="17"/>
      <c r="R1241" s="17"/>
      <c r="S1241" s="17"/>
      <c r="T1241" s="17"/>
    </row>
    <row r="1242">
      <c r="A1242" s="21">
        <v>45.0</v>
      </c>
      <c r="B1242" s="20" t="s">
        <v>84</v>
      </c>
      <c r="C1242" s="14" t="s">
        <v>27</v>
      </c>
      <c r="D1242" s="20" t="s">
        <v>28</v>
      </c>
      <c r="E1242" s="12" t="str">
        <f>IFERROR(__xludf.DUMMYFUNCTION("FILTER(colegios!$B$2:$B5618,colegios!$A$2:$A5618=L1242)"),"NUESTRA SEÑORA DE LA CANDELARIA")</f>
        <v>NUESTRA SEÑORA DE LA CANDELARIA</v>
      </c>
      <c r="F1242" s="14" t="s">
        <v>16</v>
      </c>
      <c r="G1242" s="20" t="s">
        <v>21</v>
      </c>
      <c r="H1242" s="14" t="s">
        <v>18</v>
      </c>
      <c r="I1242" s="22">
        <v>2023.0</v>
      </c>
      <c r="J1242" s="16" t="str">
        <f>IFERROR(__xludf.DUMMYFUNCTION("FILTER('CLASFICACIÓN'!$F$3:$F5618,'CLASFICACIÓN'!$G$3:$G5618=M1242)"),"2023 Y 2024")</f>
        <v>2023 Y 2024</v>
      </c>
      <c r="K1242" s="16"/>
      <c r="L1242" s="14" t="s">
        <v>108</v>
      </c>
      <c r="M1242" s="16" t="str">
        <f t="shared" si="1"/>
        <v>NUESTRA SEÑORA DE LA CANDELARIA2 Secundaria</v>
      </c>
      <c r="N1242" s="17"/>
      <c r="O1242" s="17"/>
      <c r="P1242" s="17"/>
      <c r="Q1242" s="17"/>
      <c r="R1242" s="17"/>
      <c r="S1242" s="17"/>
      <c r="T1242" s="17"/>
    </row>
    <row r="1243">
      <c r="A1243" s="21">
        <v>46.0</v>
      </c>
      <c r="B1243" s="20" t="s">
        <v>84</v>
      </c>
      <c r="C1243" s="14" t="s">
        <v>27</v>
      </c>
      <c r="D1243" s="20" t="s">
        <v>28</v>
      </c>
      <c r="E1243" s="12" t="str">
        <f>IFERROR(__xludf.DUMMYFUNCTION("FILTER(colegios!$B$2:$B5618,colegios!$A$2:$A5618=L1243)"),"NUESTRA SEÑORA DE LA CANDELARIA")</f>
        <v>NUESTRA SEÑORA DE LA CANDELARIA</v>
      </c>
      <c r="F1243" s="14" t="s">
        <v>16</v>
      </c>
      <c r="G1243" s="20" t="s">
        <v>17</v>
      </c>
      <c r="H1243" s="14" t="s">
        <v>18</v>
      </c>
      <c r="I1243" s="22">
        <v>2023.0</v>
      </c>
      <c r="J1243" s="16" t="str">
        <f>IFERROR(__xludf.DUMMYFUNCTION("FILTER('CLASFICACIÓN'!$F$3:$F5618,'CLASFICACIÓN'!$G$3:$G5618=M1243)"),"2023 Y 2024")</f>
        <v>2023 Y 2024</v>
      </c>
      <c r="K1243" s="16"/>
      <c r="L1243" s="14" t="s">
        <v>108</v>
      </c>
      <c r="M1243" s="16" t="str">
        <f t="shared" si="1"/>
        <v>NUESTRA SEÑORA DE LA CANDELARIA2 Secundaria</v>
      </c>
      <c r="N1243" s="17"/>
      <c r="O1243" s="17"/>
      <c r="P1243" s="17"/>
      <c r="Q1243" s="17"/>
      <c r="R1243" s="17"/>
      <c r="S1243" s="17"/>
      <c r="T1243" s="17"/>
    </row>
    <row r="1244">
      <c r="A1244" s="21">
        <v>47.0</v>
      </c>
      <c r="B1244" s="20" t="s">
        <v>84</v>
      </c>
      <c r="C1244" s="14" t="s">
        <v>27</v>
      </c>
      <c r="D1244" s="20" t="s">
        <v>28</v>
      </c>
      <c r="E1244" s="12" t="str">
        <f>IFERROR(__xludf.DUMMYFUNCTION("FILTER(colegios!$B$2:$B5618,colegios!$A$2:$A5618=L1244)"),"NUESTRA SEÑORA DE LA CANDELARIA")</f>
        <v>NUESTRA SEÑORA DE LA CANDELARIA</v>
      </c>
      <c r="F1244" s="14" t="s">
        <v>16</v>
      </c>
      <c r="G1244" s="20" t="s">
        <v>17</v>
      </c>
      <c r="H1244" s="14" t="s">
        <v>24</v>
      </c>
      <c r="I1244" s="22">
        <v>2023.0</v>
      </c>
      <c r="J1244" s="16" t="str">
        <f>IFERROR(__xludf.DUMMYFUNCTION("FILTER('CLASFICACIÓN'!$F$3:$F5618,'CLASFICACIÓN'!$G$3:$G5618=M1244)"),"2023 Y 2024")</f>
        <v>2023 Y 2024</v>
      </c>
      <c r="K1244" s="16"/>
      <c r="L1244" s="14" t="s">
        <v>108</v>
      </c>
      <c r="M1244" s="16" t="str">
        <f t="shared" si="1"/>
        <v>NUESTRA SEÑORA DE LA CANDELARIA2 Secundaria</v>
      </c>
      <c r="N1244" s="17"/>
      <c r="O1244" s="17"/>
      <c r="P1244" s="17"/>
      <c r="Q1244" s="17"/>
      <c r="R1244" s="17"/>
      <c r="S1244" s="17"/>
      <c r="T1244" s="17"/>
    </row>
    <row r="1245">
      <c r="A1245" s="21">
        <v>48.0</v>
      </c>
      <c r="B1245" s="20" t="s">
        <v>84</v>
      </c>
      <c r="C1245" s="14" t="s">
        <v>27</v>
      </c>
      <c r="D1245" s="20" t="s">
        <v>28</v>
      </c>
      <c r="E1245" s="12" t="str">
        <f>IFERROR(__xludf.DUMMYFUNCTION("FILTER(colegios!$B$2:$B5618,colegios!$A$2:$A5618=L1245)"),"NUESTRA SEÑORA DE LA CANDELARIA")</f>
        <v>NUESTRA SEÑORA DE LA CANDELARIA</v>
      </c>
      <c r="F1245" s="14" t="s">
        <v>16</v>
      </c>
      <c r="G1245" s="20" t="s">
        <v>17</v>
      </c>
      <c r="H1245" s="14" t="s">
        <v>18</v>
      </c>
      <c r="I1245" s="22">
        <v>2023.0</v>
      </c>
      <c r="J1245" s="16" t="str">
        <f>IFERROR(__xludf.DUMMYFUNCTION("FILTER('CLASFICACIÓN'!$F$3:$F5618,'CLASFICACIÓN'!$G$3:$G5618=M1245)"),"2023 Y 2024")</f>
        <v>2023 Y 2024</v>
      </c>
      <c r="K1245" s="16"/>
      <c r="L1245" s="14" t="s">
        <v>108</v>
      </c>
      <c r="M1245" s="16" t="str">
        <f t="shared" si="1"/>
        <v>NUESTRA SEÑORA DE LA CANDELARIA2 Secundaria</v>
      </c>
      <c r="N1245" s="17"/>
      <c r="O1245" s="17"/>
      <c r="P1245" s="17"/>
      <c r="Q1245" s="17"/>
      <c r="R1245" s="17"/>
      <c r="S1245" s="17"/>
      <c r="T1245" s="17"/>
    </row>
    <row r="1246">
      <c r="A1246" s="21">
        <v>49.0</v>
      </c>
      <c r="B1246" s="20" t="s">
        <v>84</v>
      </c>
      <c r="C1246" s="14" t="s">
        <v>27</v>
      </c>
      <c r="D1246" s="20" t="s">
        <v>28</v>
      </c>
      <c r="E1246" s="12" t="str">
        <f>IFERROR(__xludf.DUMMYFUNCTION("FILTER(colegios!$B$2:$B5618,colegios!$A$2:$A5618=L1246)"),"NUESTRA SEÑORA DE LA CANDELARIA")</f>
        <v>NUESTRA SEÑORA DE LA CANDELARIA</v>
      </c>
      <c r="F1246" s="14" t="s">
        <v>16</v>
      </c>
      <c r="G1246" s="20" t="s">
        <v>17</v>
      </c>
      <c r="H1246" s="14" t="s">
        <v>18</v>
      </c>
      <c r="I1246" s="22">
        <v>2023.0</v>
      </c>
      <c r="J1246" s="16" t="str">
        <f>IFERROR(__xludf.DUMMYFUNCTION("FILTER('CLASFICACIÓN'!$F$3:$F5618,'CLASFICACIÓN'!$G$3:$G5618=M1246)"),"2023 Y 2024")</f>
        <v>2023 Y 2024</v>
      </c>
      <c r="K1246" s="16"/>
      <c r="L1246" s="14" t="s">
        <v>108</v>
      </c>
      <c r="M1246" s="16" t="str">
        <f t="shared" si="1"/>
        <v>NUESTRA SEÑORA DE LA CANDELARIA2 Secundaria</v>
      </c>
      <c r="N1246" s="17"/>
      <c r="O1246" s="17"/>
      <c r="P1246" s="17"/>
      <c r="Q1246" s="17"/>
      <c r="R1246" s="17"/>
      <c r="S1246" s="17"/>
      <c r="T1246" s="17"/>
    </row>
    <row r="1247">
      <c r="A1247" s="21">
        <v>50.0</v>
      </c>
      <c r="B1247" s="20" t="s">
        <v>84</v>
      </c>
      <c r="C1247" s="14" t="s">
        <v>27</v>
      </c>
      <c r="D1247" s="20" t="s">
        <v>28</v>
      </c>
      <c r="E1247" s="12" t="str">
        <f>IFERROR(__xludf.DUMMYFUNCTION("FILTER(colegios!$B$2:$B5618,colegios!$A$2:$A5618=L1247)"),"NUESTRA SEÑORA DE LA CANDELARIA")</f>
        <v>NUESTRA SEÑORA DE LA CANDELARIA</v>
      </c>
      <c r="F1247" s="14" t="s">
        <v>16</v>
      </c>
      <c r="G1247" s="20" t="s">
        <v>21</v>
      </c>
      <c r="H1247" s="14" t="s">
        <v>24</v>
      </c>
      <c r="I1247" s="22">
        <v>2023.0</v>
      </c>
      <c r="J1247" s="16" t="str">
        <f>IFERROR(__xludf.DUMMYFUNCTION("FILTER('CLASFICACIÓN'!$F$3:$F5618,'CLASFICACIÓN'!$G$3:$G5618=M1247)"),"2023 Y 2024")</f>
        <v>2023 Y 2024</v>
      </c>
      <c r="K1247" s="16"/>
      <c r="L1247" s="14" t="s">
        <v>108</v>
      </c>
      <c r="M1247" s="16" t="str">
        <f t="shared" si="1"/>
        <v>NUESTRA SEÑORA DE LA CANDELARIA2 Secundaria</v>
      </c>
      <c r="N1247" s="17"/>
      <c r="O1247" s="17"/>
      <c r="P1247" s="17"/>
      <c r="Q1247" s="17"/>
      <c r="R1247" s="17"/>
      <c r="S1247" s="17"/>
      <c r="T1247" s="17"/>
    </row>
    <row r="1248">
      <c r="A1248" s="21">
        <v>51.0</v>
      </c>
      <c r="B1248" s="20" t="s">
        <v>84</v>
      </c>
      <c r="C1248" s="14" t="s">
        <v>27</v>
      </c>
      <c r="D1248" s="20" t="s">
        <v>28</v>
      </c>
      <c r="E1248" s="12" t="str">
        <f>IFERROR(__xludf.DUMMYFUNCTION("FILTER(colegios!$B$2:$B5618,colegios!$A$2:$A5618=L1248)"),"NUESTRA SEÑORA DE LA CANDELARIA")</f>
        <v>NUESTRA SEÑORA DE LA CANDELARIA</v>
      </c>
      <c r="F1248" s="14" t="s">
        <v>16</v>
      </c>
      <c r="G1248" s="20" t="s">
        <v>21</v>
      </c>
      <c r="H1248" s="14" t="s">
        <v>24</v>
      </c>
      <c r="I1248" s="22">
        <v>2023.0</v>
      </c>
      <c r="J1248" s="16" t="str">
        <f>IFERROR(__xludf.DUMMYFUNCTION("FILTER('CLASFICACIÓN'!$F$3:$F5618,'CLASFICACIÓN'!$G$3:$G5618=M1248)"),"2023 Y 2024")</f>
        <v>2023 Y 2024</v>
      </c>
      <c r="K1248" s="16"/>
      <c r="L1248" s="14" t="s">
        <v>108</v>
      </c>
      <c r="M1248" s="16" t="str">
        <f t="shared" si="1"/>
        <v>NUESTRA SEÑORA DE LA CANDELARIA2 Secundaria</v>
      </c>
      <c r="N1248" s="17"/>
      <c r="O1248" s="17"/>
      <c r="P1248" s="17"/>
      <c r="Q1248" s="17"/>
      <c r="R1248" s="17"/>
      <c r="S1248" s="17"/>
      <c r="T1248" s="17"/>
    </row>
    <row r="1249">
      <c r="A1249" s="21">
        <v>52.0</v>
      </c>
      <c r="B1249" s="20" t="s">
        <v>84</v>
      </c>
      <c r="C1249" s="14" t="s">
        <v>27</v>
      </c>
      <c r="D1249" s="20" t="s">
        <v>28</v>
      </c>
      <c r="E1249" s="12" t="str">
        <f>IFERROR(__xludf.DUMMYFUNCTION("FILTER(colegios!$B$2:$B5618,colegios!$A$2:$A5618=L1249)"),"NUESTRA SEÑORA DE LA CANDELARIA")</f>
        <v>NUESTRA SEÑORA DE LA CANDELARIA</v>
      </c>
      <c r="F1249" s="14" t="s">
        <v>16</v>
      </c>
      <c r="G1249" s="20" t="s">
        <v>17</v>
      </c>
      <c r="H1249" s="14" t="s">
        <v>24</v>
      </c>
      <c r="I1249" s="22">
        <v>2023.0</v>
      </c>
      <c r="J1249" s="16" t="str">
        <f>IFERROR(__xludf.DUMMYFUNCTION("FILTER('CLASFICACIÓN'!$F$3:$F5618,'CLASFICACIÓN'!$G$3:$G5618=M1249)"),"2023 Y 2024")</f>
        <v>2023 Y 2024</v>
      </c>
      <c r="K1249" s="16"/>
      <c r="L1249" s="14" t="s">
        <v>108</v>
      </c>
      <c r="M1249" s="16" t="str">
        <f t="shared" si="1"/>
        <v>NUESTRA SEÑORA DE LA CANDELARIA2 Secundaria</v>
      </c>
      <c r="N1249" s="17"/>
      <c r="O1249" s="17"/>
      <c r="P1249" s="17"/>
      <c r="Q1249" s="17"/>
      <c r="R1249" s="17"/>
      <c r="S1249" s="17"/>
      <c r="T1249" s="17"/>
    </row>
    <row r="1250">
      <c r="A1250" s="21">
        <v>53.0</v>
      </c>
      <c r="B1250" s="20" t="s">
        <v>84</v>
      </c>
      <c r="C1250" s="14" t="s">
        <v>27</v>
      </c>
      <c r="D1250" s="20" t="s">
        <v>28</v>
      </c>
      <c r="E1250" s="12" t="str">
        <f>IFERROR(__xludf.DUMMYFUNCTION("FILTER(colegios!$B$2:$B5618,colegios!$A$2:$A5618=L1250)"),"NUESTRA SEÑORA DE LA CANDELARIA")</f>
        <v>NUESTRA SEÑORA DE LA CANDELARIA</v>
      </c>
      <c r="F1250" s="14" t="s">
        <v>16</v>
      </c>
      <c r="G1250" s="20" t="s">
        <v>21</v>
      </c>
      <c r="H1250" s="14" t="s">
        <v>18</v>
      </c>
      <c r="I1250" s="22">
        <v>2023.0</v>
      </c>
      <c r="J1250" s="16" t="str">
        <f>IFERROR(__xludf.DUMMYFUNCTION("FILTER('CLASFICACIÓN'!$F$3:$F5618,'CLASFICACIÓN'!$G$3:$G5618=M1250)"),"2023 Y 2024")</f>
        <v>2023 Y 2024</v>
      </c>
      <c r="K1250" s="16"/>
      <c r="L1250" s="14" t="s">
        <v>108</v>
      </c>
      <c r="M1250" s="16" t="str">
        <f t="shared" si="1"/>
        <v>NUESTRA SEÑORA DE LA CANDELARIA2 Secundaria</v>
      </c>
      <c r="N1250" s="17"/>
      <c r="O1250" s="17"/>
      <c r="P1250" s="17"/>
      <c r="Q1250" s="17"/>
      <c r="R1250" s="17"/>
      <c r="S1250" s="17"/>
      <c r="T1250" s="17"/>
    </row>
    <row r="1251">
      <c r="A1251" s="21">
        <v>54.0</v>
      </c>
      <c r="B1251" s="20" t="s">
        <v>84</v>
      </c>
      <c r="C1251" s="14" t="s">
        <v>27</v>
      </c>
      <c r="D1251" s="20" t="s">
        <v>28</v>
      </c>
      <c r="E1251" s="12" t="str">
        <f>IFERROR(__xludf.DUMMYFUNCTION("FILTER(colegios!$B$2:$B5618,colegios!$A$2:$A5618=L1251)"),"NUESTRA SEÑORA DE LA CANDELARIA")</f>
        <v>NUESTRA SEÑORA DE LA CANDELARIA</v>
      </c>
      <c r="F1251" s="14" t="s">
        <v>16</v>
      </c>
      <c r="G1251" s="20" t="s">
        <v>17</v>
      </c>
      <c r="H1251" s="14" t="s">
        <v>24</v>
      </c>
      <c r="I1251" s="22">
        <v>2023.0</v>
      </c>
      <c r="J1251" s="16" t="str">
        <f>IFERROR(__xludf.DUMMYFUNCTION("FILTER('CLASFICACIÓN'!$F$3:$F5618,'CLASFICACIÓN'!$G$3:$G5618=M1251)"),"2023 Y 2024")</f>
        <v>2023 Y 2024</v>
      </c>
      <c r="K1251" s="16"/>
      <c r="L1251" s="14" t="s">
        <v>108</v>
      </c>
      <c r="M1251" s="16" t="str">
        <f t="shared" si="1"/>
        <v>NUESTRA SEÑORA DE LA CANDELARIA2 Secundaria</v>
      </c>
      <c r="N1251" s="17"/>
      <c r="O1251" s="17"/>
      <c r="P1251" s="17"/>
      <c r="Q1251" s="17"/>
      <c r="R1251" s="17"/>
      <c r="S1251" s="17"/>
      <c r="T1251" s="17"/>
    </row>
    <row r="1252">
      <c r="A1252" s="21">
        <v>55.0</v>
      </c>
      <c r="B1252" s="20" t="s">
        <v>84</v>
      </c>
      <c r="C1252" s="14" t="s">
        <v>27</v>
      </c>
      <c r="D1252" s="20" t="s">
        <v>28</v>
      </c>
      <c r="E1252" s="12" t="str">
        <f>IFERROR(__xludf.DUMMYFUNCTION("FILTER(colegios!$B$2:$B5618,colegios!$A$2:$A5618=L1252)"),"NUESTRA SEÑORA DE LA CANDELARIA")</f>
        <v>NUESTRA SEÑORA DE LA CANDELARIA</v>
      </c>
      <c r="F1252" s="14" t="s">
        <v>16</v>
      </c>
      <c r="G1252" s="20" t="s">
        <v>21</v>
      </c>
      <c r="H1252" s="14" t="s">
        <v>24</v>
      </c>
      <c r="I1252" s="22">
        <v>2023.0</v>
      </c>
      <c r="J1252" s="16" t="str">
        <f>IFERROR(__xludf.DUMMYFUNCTION("FILTER('CLASFICACIÓN'!$F$3:$F5618,'CLASFICACIÓN'!$G$3:$G5618=M1252)"),"2023 Y 2024")</f>
        <v>2023 Y 2024</v>
      </c>
      <c r="K1252" s="16"/>
      <c r="L1252" s="14" t="s">
        <v>108</v>
      </c>
      <c r="M1252" s="16" t="str">
        <f t="shared" si="1"/>
        <v>NUESTRA SEÑORA DE LA CANDELARIA2 Secundaria</v>
      </c>
      <c r="N1252" s="17"/>
      <c r="O1252" s="17"/>
      <c r="P1252" s="17"/>
      <c r="Q1252" s="17"/>
      <c r="R1252" s="17"/>
      <c r="S1252" s="17"/>
      <c r="T1252" s="17"/>
    </row>
    <row r="1253">
      <c r="A1253" s="21">
        <v>56.0</v>
      </c>
      <c r="B1253" s="20" t="s">
        <v>84</v>
      </c>
      <c r="C1253" s="14" t="s">
        <v>27</v>
      </c>
      <c r="D1253" s="20" t="s">
        <v>28</v>
      </c>
      <c r="E1253" s="12" t="str">
        <f>IFERROR(__xludf.DUMMYFUNCTION("FILTER(colegios!$B$2:$B5618,colegios!$A$2:$A5618=L1253)"),"NUESTRA SEÑORA DE LA CANDELARIA")</f>
        <v>NUESTRA SEÑORA DE LA CANDELARIA</v>
      </c>
      <c r="F1253" s="14" t="s">
        <v>16</v>
      </c>
      <c r="G1253" s="20" t="s">
        <v>21</v>
      </c>
      <c r="H1253" s="14" t="s">
        <v>24</v>
      </c>
      <c r="I1253" s="22">
        <v>2023.0</v>
      </c>
      <c r="J1253" s="16" t="str">
        <f>IFERROR(__xludf.DUMMYFUNCTION("FILTER('CLASFICACIÓN'!$F$3:$F5618,'CLASFICACIÓN'!$G$3:$G5618=M1253)"),"2023 Y 2024")</f>
        <v>2023 Y 2024</v>
      </c>
      <c r="K1253" s="16"/>
      <c r="L1253" s="14" t="s">
        <v>108</v>
      </c>
      <c r="M1253" s="16" t="str">
        <f t="shared" si="1"/>
        <v>NUESTRA SEÑORA DE LA CANDELARIA2 Secundaria</v>
      </c>
      <c r="N1253" s="17"/>
      <c r="O1253" s="17"/>
      <c r="P1253" s="17"/>
      <c r="Q1253" s="17"/>
      <c r="R1253" s="17"/>
      <c r="S1253" s="17"/>
      <c r="T1253" s="17"/>
    </row>
    <row r="1254">
      <c r="A1254" s="21">
        <v>57.0</v>
      </c>
      <c r="B1254" s="20" t="s">
        <v>84</v>
      </c>
      <c r="C1254" s="14" t="s">
        <v>27</v>
      </c>
      <c r="D1254" s="20" t="s">
        <v>30</v>
      </c>
      <c r="E1254" s="12" t="str">
        <f>IFERROR(__xludf.DUMMYFUNCTION("FILTER(colegios!$B$2:$B5618,colegios!$A$2:$A5618=L1254)"),"NUESTRA SEÑORA DE LA CANDELARIA")</f>
        <v>NUESTRA SEÑORA DE LA CANDELARIA</v>
      </c>
      <c r="F1254" s="14" t="s">
        <v>16</v>
      </c>
      <c r="G1254" s="20" t="s">
        <v>17</v>
      </c>
      <c r="H1254" s="14" t="s">
        <v>18</v>
      </c>
      <c r="I1254" s="22">
        <v>2023.0</v>
      </c>
      <c r="J1254" s="16" t="str">
        <f>IFERROR(__xludf.DUMMYFUNCTION("FILTER('CLASFICACIÓN'!$F$3:$F5618,'CLASFICACIÓN'!$G$3:$G5618=M1254)"),"2023 Y 2024")</f>
        <v>2023 Y 2024</v>
      </c>
      <c r="K1254" s="16"/>
      <c r="L1254" s="14" t="s">
        <v>108</v>
      </c>
      <c r="M1254" s="16" t="str">
        <f t="shared" si="1"/>
        <v>NUESTRA SEÑORA DE LA CANDELARIA4 Secundaria</v>
      </c>
      <c r="N1254" s="17"/>
      <c r="O1254" s="17"/>
      <c r="P1254" s="17"/>
      <c r="Q1254" s="17"/>
      <c r="R1254" s="17"/>
      <c r="S1254" s="17"/>
      <c r="T1254" s="17"/>
    </row>
    <row r="1255">
      <c r="A1255" s="21">
        <v>58.0</v>
      </c>
      <c r="B1255" s="20" t="s">
        <v>84</v>
      </c>
      <c r="C1255" s="14" t="s">
        <v>27</v>
      </c>
      <c r="D1255" s="20" t="s">
        <v>30</v>
      </c>
      <c r="E1255" s="12" t="str">
        <f>IFERROR(__xludf.DUMMYFUNCTION("FILTER(colegios!$B$2:$B5618,colegios!$A$2:$A5618=L1255)"),"NUESTRA SEÑORA DE LA CANDELARIA")</f>
        <v>NUESTRA SEÑORA DE LA CANDELARIA</v>
      </c>
      <c r="F1255" s="14" t="s">
        <v>16</v>
      </c>
      <c r="G1255" s="20" t="s">
        <v>21</v>
      </c>
      <c r="H1255" s="14" t="s">
        <v>18</v>
      </c>
      <c r="I1255" s="22">
        <v>2023.0</v>
      </c>
      <c r="J1255" s="16" t="str">
        <f>IFERROR(__xludf.DUMMYFUNCTION("FILTER('CLASFICACIÓN'!$F$3:$F5618,'CLASFICACIÓN'!$G$3:$G5618=M1255)"),"2023 Y 2024")</f>
        <v>2023 Y 2024</v>
      </c>
      <c r="K1255" s="16"/>
      <c r="L1255" s="14" t="s">
        <v>108</v>
      </c>
      <c r="M1255" s="16" t="str">
        <f t="shared" si="1"/>
        <v>NUESTRA SEÑORA DE LA CANDELARIA4 Secundaria</v>
      </c>
      <c r="N1255" s="17"/>
      <c r="O1255" s="17"/>
      <c r="P1255" s="17"/>
      <c r="Q1255" s="17"/>
      <c r="R1255" s="17"/>
      <c r="S1255" s="17"/>
      <c r="T1255" s="17"/>
    </row>
    <row r="1256">
      <c r="A1256" s="21">
        <v>59.0</v>
      </c>
      <c r="B1256" s="20" t="s">
        <v>84</v>
      </c>
      <c r="C1256" s="14" t="s">
        <v>27</v>
      </c>
      <c r="D1256" s="20" t="s">
        <v>30</v>
      </c>
      <c r="E1256" s="12" t="str">
        <f>IFERROR(__xludf.DUMMYFUNCTION("FILTER(colegios!$B$2:$B5618,colegios!$A$2:$A5618=L1256)"),"NUESTRA SEÑORA DE LA CANDELARIA")</f>
        <v>NUESTRA SEÑORA DE LA CANDELARIA</v>
      </c>
      <c r="F1256" s="14" t="s">
        <v>16</v>
      </c>
      <c r="G1256" s="20" t="s">
        <v>17</v>
      </c>
      <c r="H1256" s="14" t="s">
        <v>18</v>
      </c>
      <c r="I1256" s="22">
        <v>2023.0</v>
      </c>
      <c r="J1256" s="16" t="str">
        <f>IFERROR(__xludf.DUMMYFUNCTION("FILTER('CLASFICACIÓN'!$F$3:$F5618,'CLASFICACIÓN'!$G$3:$G5618=M1256)"),"2023 Y 2024")</f>
        <v>2023 Y 2024</v>
      </c>
      <c r="K1256" s="16"/>
      <c r="L1256" s="14" t="s">
        <v>108</v>
      </c>
      <c r="M1256" s="16" t="str">
        <f t="shared" si="1"/>
        <v>NUESTRA SEÑORA DE LA CANDELARIA4 Secundaria</v>
      </c>
      <c r="N1256" s="17"/>
      <c r="O1256" s="17"/>
      <c r="P1256" s="17"/>
      <c r="Q1256" s="17"/>
      <c r="R1256" s="17"/>
      <c r="S1256" s="17"/>
      <c r="T1256" s="17"/>
    </row>
    <row r="1257">
      <c r="A1257" s="21">
        <v>60.0</v>
      </c>
      <c r="B1257" s="20" t="s">
        <v>84</v>
      </c>
      <c r="C1257" s="14" t="s">
        <v>27</v>
      </c>
      <c r="D1257" s="20" t="s">
        <v>30</v>
      </c>
      <c r="E1257" s="12" t="str">
        <f>IFERROR(__xludf.DUMMYFUNCTION("FILTER(colegios!$B$2:$B5618,colegios!$A$2:$A5618=L1257)"),"NUESTRA SEÑORA DE LA CANDELARIA")</f>
        <v>NUESTRA SEÑORA DE LA CANDELARIA</v>
      </c>
      <c r="F1257" s="14" t="s">
        <v>16</v>
      </c>
      <c r="G1257" s="20" t="s">
        <v>21</v>
      </c>
      <c r="H1257" s="14" t="s">
        <v>18</v>
      </c>
      <c r="I1257" s="22">
        <v>2023.0</v>
      </c>
      <c r="J1257" s="16" t="str">
        <f>IFERROR(__xludf.DUMMYFUNCTION("FILTER('CLASFICACIÓN'!$F$3:$F5618,'CLASFICACIÓN'!$G$3:$G5618=M1257)"),"2023 Y 2024")</f>
        <v>2023 Y 2024</v>
      </c>
      <c r="K1257" s="16"/>
      <c r="L1257" s="14" t="s">
        <v>108</v>
      </c>
      <c r="M1257" s="16" t="str">
        <f t="shared" si="1"/>
        <v>NUESTRA SEÑORA DE LA CANDELARIA4 Secundaria</v>
      </c>
      <c r="N1257" s="17"/>
      <c r="O1257" s="17"/>
      <c r="P1257" s="17"/>
      <c r="Q1257" s="17"/>
      <c r="R1257" s="17"/>
      <c r="S1257" s="17"/>
      <c r="T1257" s="17"/>
    </row>
    <row r="1258">
      <c r="A1258" s="21">
        <v>61.0</v>
      </c>
      <c r="B1258" s="20" t="s">
        <v>84</v>
      </c>
      <c r="C1258" s="14" t="s">
        <v>27</v>
      </c>
      <c r="D1258" s="20" t="s">
        <v>30</v>
      </c>
      <c r="E1258" s="12" t="str">
        <f>IFERROR(__xludf.DUMMYFUNCTION("FILTER(colegios!$B$2:$B5618,colegios!$A$2:$A5618=L1258)"),"NUESTRA SEÑORA DE LA CANDELARIA")</f>
        <v>NUESTRA SEÑORA DE LA CANDELARIA</v>
      </c>
      <c r="F1258" s="14" t="s">
        <v>16</v>
      </c>
      <c r="G1258" s="20" t="s">
        <v>17</v>
      </c>
      <c r="H1258" s="14" t="s">
        <v>18</v>
      </c>
      <c r="I1258" s="22">
        <v>2023.0</v>
      </c>
      <c r="J1258" s="16" t="str">
        <f>IFERROR(__xludf.DUMMYFUNCTION("FILTER('CLASFICACIÓN'!$F$3:$F5618,'CLASFICACIÓN'!$G$3:$G5618=M1258)"),"2023 Y 2024")</f>
        <v>2023 Y 2024</v>
      </c>
      <c r="K1258" s="16"/>
      <c r="L1258" s="14" t="s">
        <v>108</v>
      </c>
      <c r="M1258" s="16" t="str">
        <f t="shared" si="1"/>
        <v>NUESTRA SEÑORA DE LA CANDELARIA4 Secundaria</v>
      </c>
      <c r="N1258" s="17"/>
      <c r="O1258" s="17"/>
      <c r="P1258" s="17"/>
      <c r="Q1258" s="17"/>
      <c r="R1258" s="17"/>
      <c r="S1258" s="17"/>
      <c r="T1258" s="17"/>
    </row>
    <row r="1259">
      <c r="A1259" s="21">
        <v>62.0</v>
      </c>
      <c r="B1259" s="20" t="s">
        <v>84</v>
      </c>
      <c r="C1259" s="14" t="s">
        <v>27</v>
      </c>
      <c r="D1259" s="20" t="s">
        <v>30</v>
      </c>
      <c r="E1259" s="12" t="str">
        <f>IFERROR(__xludf.DUMMYFUNCTION("FILTER(colegios!$B$2:$B5618,colegios!$A$2:$A5618=L1259)"),"NUESTRA SEÑORA DE LA CANDELARIA")</f>
        <v>NUESTRA SEÑORA DE LA CANDELARIA</v>
      </c>
      <c r="F1259" s="14" t="s">
        <v>16</v>
      </c>
      <c r="G1259" s="20" t="s">
        <v>17</v>
      </c>
      <c r="H1259" s="14" t="s">
        <v>18</v>
      </c>
      <c r="I1259" s="22">
        <v>2023.0</v>
      </c>
      <c r="J1259" s="16" t="str">
        <f>IFERROR(__xludf.DUMMYFUNCTION("FILTER('CLASFICACIÓN'!$F$3:$F5618,'CLASFICACIÓN'!$G$3:$G5618=M1259)"),"2023 Y 2024")</f>
        <v>2023 Y 2024</v>
      </c>
      <c r="K1259" s="16"/>
      <c r="L1259" s="14" t="s">
        <v>108</v>
      </c>
      <c r="M1259" s="16" t="str">
        <f t="shared" si="1"/>
        <v>NUESTRA SEÑORA DE LA CANDELARIA4 Secundaria</v>
      </c>
      <c r="N1259" s="17"/>
      <c r="O1259" s="17"/>
      <c r="P1259" s="17"/>
      <c r="Q1259" s="17"/>
      <c r="R1259" s="17"/>
      <c r="S1259" s="17"/>
      <c r="T1259" s="17"/>
    </row>
    <row r="1260">
      <c r="A1260" s="21">
        <v>63.0</v>
      </c>
      <c r="B1260" s="20" t="s">
        <v>84</v>
      </c>
      <c r="C1260" s="14" t="s">
        <v>27</v>
      </c>
      <c r="D1260" s="20" t="s">
        <v>30</v>
      </c>
      <c r="E1260" s="12" t="str">
        <f>IFERROR(__xludf.DUMMYFUNCTION("FILTER(colegios!$B$2:$B5618,colegios!$A$2:$A5618=L1260)"),"NUESTRA SEÑORA DE LA CANDELARIA")</f>
        <v>NUESTRA SEÑORA DE LA CANDELARIA</v>
      </c>
      <c r="F1260" s="14" t="s">
        <v>16</v>
      </c>
      <c r="G1260" s="20" t="s">
        <v>17</v>
      </c>
      <c r="H1260" s="14" t="s">
        <v>18</v>
      </c>
      <c r="I1260" s="22">
        <v>2023.0</v>
      </c>
      <c r="J1260" s="16" t="str">
        <f>IFERROR(__xludf.DUMMYFUNCTION("FILTER('CLASFICACIÓN'!$F$3:$F5618,'CLASFICACIÓN'!$G$3:$G5618=M1260)"),"2023 Y 2024")</f>
        <v>2023 Y 2024</v>
      </c>
      <c r="K1260" s="16"/>
      <c r="L1260" s="14" t="s">
        <v>108</v>
      </c>
      <c r="M1260" s="16" t="str">
        <f t="shared" si="1"/>
        <v>NUESTRA SEÑORA DE LA CANDELARIA4 Secundaria</v>
      </c>
      <c r="N1260" s="17"/>
      <c r="O1260" s="17"/>
      <c r="P1260" s="17"/>
      <c r="Q1260" s="17"/>
      <c r="R1260" s="17"/>
      <c r="S1260" s="17"/>
      <c r="T1260" s="17"/>
    </row>
    <row r="1261">
      <c r="A1261" s="21">
        <v>64.0</v>
      </c>
      <c r="B1261" s="20" t="s">
        <v>84</v>
      </c>
      <c r="C1261" s="14" t="s">
        <v>27</v>
      </c>
      <c r="D1261" s="20" t="s">
        <v>30</v>
      </c>
      <c r="E1261" s="12" t="str">
        <f>IFERROR(__xludf.DUMMYFUNCTION("FILTER(colegios!$B$2:$B5618,colegios!$A$2:$A5618=L1261)"),"NUESTRA SEÑORA DE LA CANDELARIA")</f>
        <v>NUESTRA SEÑORA DE LA CANDELARIA</v>
      </c>
      <c r="F1261" s="14" t="s">
        <v>16</v>
      </c>
      <c r="G1261" s="20" t="s">
        <v>21</v>
      </c>
      <c r="H1261" s="14" t="s">
        <v>18</v>
      </c>
      <c r="I1261" s="22">
        <v>2023.0</v>
      </c>
      <c r="J1261" s="16" t="str">
        <f>IFERROR(__xludf.DUMMYFUNCTION("FILTER('CLASFICACIÓN'!$F$3:$F5618,'CLASFICACIÓN'!$G$3:$G5618=M1261)"),"2023 Y 2024")</f>
        <v>2023 Y 2024</v>
      </c>
      <c r="K1261" s="16"/>
      <c r="L1261" s="14" t="s">
        <v>108</v>
      </c>
      <c r="M1261" s="16" t="str">
        <f t="shared" si="1"/>
        <v>NUESTRA SEÑORA DE LA CANDELARIA4 Secundaria</v>
      </c>
      <c r="N1261" s="17"/>
      <c r="O1261" s="17"/>
      <c r="P1261" s="17"/>
      <c r="Q1261" s="17"/>
      <c r="R1261" s="17"/>
      <c r="S1261" s="17"/>
      <c r="T1261" s="17"/>
    </row>
    <row r="1262">
      <c r="A1262" s="21">
        <v>65.0</v>
      </c>
      <c r="B1262" s="20" t="s">
        <v>84</v>
      </c>
      <c r="C1262" s="14" t="s">
        <v>27</v>
      </c>
      <c r="D1262" s="20" t="s">
        <v>30</v>
      </c>
      <c r="E1262" s="12" t="str">
        <f>IFERROR(__xludf.DUMMYFUNCTION("FILTER(colegios!$B$2:$B5618,colegios!$A$2:$A5618=L1262)"),"NUESTRA SEÑORA DE LA CANDELARIA")</f>
        <v>NUESTRA SEÑORA DE LA CANDELARIA</v>
      </c>
      <c r="F1262" s="14" t="s">
        <v>16</v>
      </c>
      <c r="G1262" s="20" t="s">
        <v>17</v>
      </c>
      <c r="H1262" s="14" t="s">
        <v>18</v>
      </c>
      <c r="I1262" s="22">
        <v>2023.0</v>
      </c>
      <c r="J1262" s="16" t="str">
        <f>IFERROR(__xludf.DUMMYFUNCTION("FILTER('CLASFICACIÓN'!$F$3:$F5618,'CLASFICACIÓN'!$G$3:$G5618=M1262)"),"2023 Y 2024")</f>
        <v>2023 Y 2024</v>
      </c>
      <c r="K1262" s="16"/>
      <c r="L1262" s="14" t="s">
        <v>108</v>
      </c>
      <c r="M1262" s="16" t="str">
        <f t="shared" si="1"/>
        <v>NUESTRA SEÑORA DE LA CANDELARIA4 Secundaria</v>
      </c>
      <c r="N1262" s="17"/>
      <c r="O1262" s="17"/>
      <c r="P1262" s="17"/>
      <c r="Q1262" s="17"/>
      <c r="R1262" s="17"/>
      <c r="S1262" s="17"/>
      <c r="T1262" s="17"/>
    </row>
    <row r="1263">
      <c r="A1263" s="21">
        <v>66.0</v>
      </c>
      <c r="B1263" s="20" t="s">
        <v>84</v>
      </c>
      <c r="C1263" s="14" t="s">
        <v>27</v>
      </c>
      <c r="D1263" s="20" t="s">
        <v>30</v>
      </c>
      <c r="E1263" s="12" t="str">
        <f>IFERROR(__xludf.DUMMYFUNCTION("FILTER(colegios!$B$2:$B5618,colegios!$A$2:$A5618=L1263)"),"NUESTRA SEÑORA DE LA CANDELARIA")</f>
        <v>NUESTRA SEÑORA DE LA CANDELARIA</v>
      </c>
      <c r="F1263" s="14" t="s">
        <v>16</v>
      </c>
      <c r="G1263" s="20" t="s">
        <v>21</v>
      </c>
      <c r="H1263" s="14" t="s">
        <v>18</v>
      </c>
      <c r="I1263" s="22">
        <v>2023.0</v>
      </c>
      <c r="J1263" s="16" t="str">
        <f>IFERROR(__xludf.DUMMYFUNCTION("FILTER('CLASFICACIÓN'!$F$3:$F5618,'CLASFICACIÓN'!$G$3:$G5618=M1263)"),"2023 Y 2024")</f>
        <v>2023 Y 2024</v>
      </c>
      <c r="K1263" s="16"/>
      <c r="L1263" s="14" t="s">
        <v>108</v>
      </c>
      <c r="M1263" s="16" t="str">
        <f t="shared" si="1"/>
        <v>NUESTRA SEÑORA DE LA CANDELARIA4 Secundaria</v>
      </c>
      <c r="N1263" s="17"/>
      <c r="O1263" s="17"/>
      <c r="P1263" s="17"/>
      <c r="Q1263" s="17"/>
      <c r="R1263" s="17"/>
      <c r="S1263" s="17"/>
      <c r="T1263" s="17"/>
    </row>
    <row r="1264">
      <c r="A1264" s="21">
        <v>67.0</v>
      </c>
      <c r="B1264" s="20" t="s">
        <v>84</v>
      </c>
      <c r="C1264" s="14" t="s">
        <v>27</v>
      </c>
      <c r="D1264" s="20" t="s">
        <v>30</v>
      </c>
      <c r="E1264" s="12" t="str">
        <f>IFERROR(__xludf.DUMMYFUNCTION("FILTER(colegios!$B$2:$B5618,colegios!$A$2:$A5618=L1264)"),"NUESTRA SEÑORA DE LA CANDELARIA")</f>
        <v>NUESTRA SEÑORA DE LA CANDELARIA</v>
      </c>
      <c r="F1264" s="14" t="s">
        <v>16</v>
      </c>
      <c r="G1264" s="20" t="s">
        <v>17</v>
      </c>
      <c r="H1264" s="14" t="s">
        <v>18</v>
      </c>
      <c r="I1264" s="22">
        <v>2023.0</v>
      </c>
      <c r="J1264" s="16" t="str">
        <f>IFERROR(__xludf.DUMMYFUNCTION("FILTER('CLASFICACIÓN'!$F$3:$F5618,'CLASFICACIÓN'!$G$3:$G5618=M1264)"),"2023 Y 2024")</f>
        <v>2023 Y 2024</v>
      </c>
      <c r="K1264" s="16"/>
      <c r="L1264" s="14" t="s">
        <v>108</v>
      </c>
      <c r="M1264" s="16" t="str">
        <f t="shared" si="1"/>
        <v>NUESTRA SEÑORA DE LA CANDELARIA4 Secundaria</v>
      </c>
      <c r="N1264" s="17"/>
      <c r="O1264" s="17"/>
      <c r="P1264" s="17"/>
      <c r="Q1264" s="17"/>
      <c r="R1264" s="17"/>
      <c r="S1264" s="17"/>
      <c r="T1264" s="17"/>
    </row>
    <row r="1265">
      <c r="A1265" s="21">
        <v>68.0</v>
      </c>
      <c r="B1265" s="20" t="s">
        <v>84</v>
      </c>
      <c r="C1265" s="14" t="s">
        <v>27</v>
      </c>
      <c r="D1265" s="20" t="s">
        <v>30</v>
      </c>
      <c r="E1265" s="12" t="str">
        <f>IFERROR(__xludf.DUMMYFUNCTION("FILTER(colegios!$B$2:$B5618,colegios!$A$2:$A5618=L1265)"),"NUESTRA SEÑORA DE LA CANDELARIA")</f>
        <v>NUESTRA SEÑORA DE LA CANDELARIA</v>
      </c>
      <c r="F1265" s="14" t="s">
        <v>16</v>
      </c>
      <c r="G1265" s="20" t="s">
        <v>17</v>
      </c>
      <c r="H1265" s="14" t="s">
        <v>18</v>
      </c>
      <c r="I1265" s="22">
        <v>2023.0</v>
      </c>
      <c r="J1265" s="16" t="str">
        <f>IFERROR(__xludf.DUMMYFUNCTION("FILTER('CLASFICACIÓN'!$F$3:$F5618,'CLASFICACIÓN'!$G$3:$G5618=M1265)"),"2023 Y 2024")</f>
        <v>2023 Y 2024</v>
      </c>
      <c r="K1265" s="16"/>
      <c r="L1265" s="14" t="s">
        <v>108</v>
      </c>
      <c r="M1265" s="16" t="str">
        <f t="shared" si="1"/>
        <v>NUESTRA SEÑORA DE LA CANDELARIA4 Secundaria</v>
      </c>
      <c r="N1265" s="17"/>
      <c r="O1265" s="17"/>
      <c r="P1265" s="17"/>
      <c r="Q1265" s="17"/>
      <c r="R1265" s="17"/>
      <c r="S1265" s="17"/>
      <c r="T1265" s="17"/>
    </row>
    <row r="1266">
      <c r="A1266" s="21">
        <v>69.0</v>
      </c>
      <c r="B1266" s="20" t="s">
        <v>84</v>
      </c>
      <c r="C1266" s="14" t="s">
        <v>27</v>
      </c>
      <c r="D1266" s="20" t="s">
        <v>30</v>
      </c>
      <c r="E1266" s="12" t="str">
        <f>IFERROR(__xludf.DUMMYFUNCTION("FILTER(colegios!$B$2:$B5618,colegios!$A$2:$A5618=L1266)"),"NUESTRA SEÑORA DE LA CANDELARIA")</f>
        <v>NUESTRA SEÑORA DE LA CANDELARIA</v>
      </c>
      <c r="F1266" s="14" t="s">
        <v>16</v>
      </c>
      <c r="G1266" s="20" t="s">
        <v>21</v>
      </c>
      <c r="H1266" s="14" t="s">
        <v>24</v>
      </c>
      <c r="I1266" s="22">
        <v>2023.0</v>
      </c>
      <c r="J1266" s="16" t="str">
        <f>IFERROR(__xludf.DUMMYFUNCTION("FILTER('CLASFICACIÓN'!$F$3:$F5618,'CLASFICACIÓN'!$G$3:$G5618=M1266)"),"2023 Y 2024")</f>
        <v>2023 Y 2024</v>
      </c>
      <c r="K1266" s="16"/>
      <c r="L1266" s="14" t="s">
        <v>108</v>
      </c>
      <c r="M1266" s="16" t="str">
        <f t="shared" si="1"/>
        <v>NUESTRA SEÑORA DE LA CANDELARIA4 Secundaria</v>
      </c>
      <c r="N1266" s="17"/>
      <c r="O1266" s="17"/>
      <c r="P1266" s="17"/>
      <c r="Q1266" s="17"/>
      <c r="R1266" s="17"/>
      <c r="S1266" s="17"/>
      <c r="T1266" s="17"/>
    </row>
    <row r="1267">
      <c r="A1267" s="21">
        <v>70.0</v>
      </c>
      <c r="B1267" s="20" t="s">
        <v>84</v>
      </c>
      <c r="C1267" s="14" t="s">
        <v>27</v>
      </c>
      <c r="D1267" s="20" t="s">
        <v>30</v>
      </c>
      <c r="E1267" s="12" t="str">
        <f>IFERROR(__xludf.DUMMYFUNCTION("FILTER(colegios!$B$2:$B5618,colegios!$A$2:$A5618=L1267)"),"NUESTRA SEÑORA DE LA CANDELARIA")</f>
        <v>NUESTRA SEÑORA DE LA CANDELARIA</v>
      </c>
      <c r="F1267" s="14" t="s">
        <v>16</v>
      </c>
      <c r="G1267" s="20" t="s">
        <v>21</v>
      </c>
      <c r="H1267" s="14" t="s">
        <v>18</v>
      </c>
      <c r="I1267" s="22">
        <v>2023.0</v>
      </c>
      <c r="J1267" s="16" t="str">
        <f>IFERROR(__xludf.DUMMYFUNCTION("FILTER('CLASFICACIÓN'!$F$3:$F5618,'CLASFICACIÓN'!$G$3:$G5618=M1267)"),"2023 Y 2024")</f>
        <v>2023 Y 2024</v>
      </c>
      <c r="K1267" s="16"/>
      <c r="L1267" s="14" t="s">
        <v>108</v>
      </c>
      <c r="M1267" s="16" t="str">
        <f t="shared" si="1"/>
        <v>NUESTRA SEÑORA DE LA CANDELARIA4 Secundaria</v>
      </c>
      <c r="N1267" s="17"/>
      <c r="O1267" s="17"/>
      <c r="P1267" s="17"/>
      <c r="Q1267" s="17"/>
      <c r="R1267" s="17"/>
      <c r="S1267" s="17"/>
      <c r="T1267" s="17"/>
    </row>
    <row r="1268">
      <c r="A1268" s="21">
        <v>71.0</v>
      </c>
      <c r="B1268" s="20" t="s">
        <v>84</v>
      </c>
      <c r="C1268" s="14" t="s">
        <v>27</v>
      </c>
      <c r="D1268" s="20" t="s">
        <v>30</v>
      </c>
      <c r="E1268" s="12" t="str">
        <f>IFERROR(__xludf.DUMMYFUNCTION("FILTER(colegios!$B$2:$B5618,colegios!$A$2:$A5618=L1268)"),"NUESTRA SEÑORA DE LA CANDELARIA")</f>
        <v>NUESTRA SEÑORA DE LA CANDELARIA</v>
      </c>
      <c r="F1268" s="14" t="s">
        <v>16</v>
      </c>
      <c r="G1268" s="20" t="s">
        <v>21</v>
      </c>
      <c r="H1268" s="14" t="s">
        <v>18</v>
      </c>
      <c r="I1268" s="22">
        <v>2023.0</v>
      </c>
      <c r="J1268" s="16" t="str">
        <f>IFERROR(__xludf.DUMMYFUNCTION("FILTER('CLASFICACIÓN'!$F$3:$F5618,'CLASFICACIÓN'!$G$3:$G5618=M1268)"),"2023 Y 2024")</f>
        <v>2023 Y 2024</v>
      </c>
      <c r="K1268" s="16"/>
      <c r="L1268" s="14" t="s">
        <v>108</v>
      </c>
      <c r="M1268" s="16" t="str">
        <f t="shared" si="1"/>
        <v>NUESTRA SEÑORA DE LA CANDELARIA4 Secundaria</v>
      </c>
      <c r="N1268" s="17"/>
      <c r="O1268" s="17"/>
      <c r="P1268" s="17"/>
      <c r="Q1268" s="17"/>
      <c r="R1268" s="17"/>
      <c r="S1268" s="17"/>
      <c r="T1268" s="17"/>
    </row>
    <row r="1269">
      <c r="A1269" s="21">
        <v>72.0</v>
      </c>
      <c r="B1269" s="20" t="s">
        <v>84</v>
      </c>
      <c r="C1269" s="14" t="s">
        <v>27</v>
      </c>
      <c r="D1269" s="20" t="s">
        <v>30</v>
      </c>
      <c r="E1269" s="12" t="str">
        <f>IFERROR(__xludf.DUMMYFUNCTION("FILTER(colegios!$B$2:$B5618,colegios!$A$2:$A5618=L1269)"),"NUESTRA SEÑORA DE LA CANDELARIA")</f>
        <v>NUESTRA SEÑORA DE LA CANDELARIA</v>
      </c>
      <c r="F1269" s="14" t="s">
        <v>16</v>
      </c>
      <c r="G1269" s="20" t="s">
        <v>17</v>
      </c>
      <c r="H1269" s="14" t="s">
        <v>18</v>
      </c>
      <c r="I1269" s="22">
        <v>2023.0</v>
      </c>
      <c r="J1269" s="16" t="str">
        <f>IFERROR(__xludf.DUMMYFUNCTION("FILTER('CLASFICACIÓN'!$F$3:$F5618,'CLASFICACIÓN'!$G$3:$G5618=M1269)"),"2023 Y 2024")</f>
        <v>2023 Y 2024</v>
      </c>
      <c r="K1269" s="16"/>
      <c r="L1269" s="14" t="s">
        <v>108</v>
      </c>
      <c r="M1269" s="16" t="str">
        <f t="shared" si="1"/>
        <v>NUESTRA SEÑORA DE LA CANDELARIA4 Secundaria</v>
      </c>
      <c r="N1269" s="17"/>
      <c r="O1269" s="17"/>
      <c r="P1269" s="17"/>
      <c r="Q1269" s="17"/>
      <c r="R1269" s="17"/>
      <c r="S1269" s="17"/>
      <c r="T1269" s="17"/>
    </row>
    <row r="1270">
      <c r="A1270" s="21">
        <v>73.0</v>
      </c>
      <c r="B1270" s="20" t="s">
        <v>84</v>
      </c>
      <c r="C1270" s="14" t="s">
        <v>27</v>
      </c>
      <c r="D1270" s="20" t="s">
        <v>30</v>
      </c>
      <c r="E1270" s="12" t="str">
        <f>IFERROR(__xludf.DUMMYFUNCTION("FILTER(colegios!$B$2:$B5618,colegios!$A$2:$A5618=L1270)"),"NUESTRA SEÑORA DE LA CANDELARIA")</f>
        <v>NUESTRA SEÑORA DE LA CANDELARIA</v>
      </c>
      <c r="F1270" s="14" t="s">
        <v>16</v>
      </c>
      <c r="G1270" s="20" t="s">
        <v>17</v>
      </c>
      <c r="H1270" s="14" t="s">
        <v>18</v>
      </c>
      <c r="I1270" s="22">
        <v>2023.0</v>
      </c>
      <c r="J1270" s="16" t="str">
        <f>IFERROR(__xludf.DUMMYFUNCTION("FILTER('CLASFICACIÓN'!$F$3:$F5618,'CLASFICACIÓN'!$G$3:$G5618=M1270)"),"2023 Y 2024")</f>
        <v>2023 Y 2024</v>
      </c>
      <c r="K1270" s="16"/>
      <c r="L1270" s="14" t="s">
        <v>108</v>
      </c>
      <c r="M1270" s="16" t="str">
        <f t="shared" si="1"/>
        <v>NUESTRA SEÑORA DE LA CANDELARIA4 Secundaria</v>
      </c>
      <c r="N1270" s="17"/>
      <c r="O1270" s="17"/>
      <c r="P1270" s="17"/>
      <c r="Q1270" s="17"/>
      <c r="R1270" s="17"/>
      <c r="S1270" s="17"/>
      <c r="T1270" s="17"/>
    </row>
    <row r="1271">
      <c r="A1271" s="21">
        <v>74.0</v>
      </c>
      <c r="B1271" s="20" t="s">
        <v>84</v>
      </c>
      <c r="C1271" s="14" t="s">
        <v>27</v>
      </c>
      <c r="D1271" s="20" t="s">
        <v>30</v>
      </c>
      <c r="E1271" s="12" t="str">
        <f>IFERROR(__xludf.DUMMYFUNCTION("FILTER(colegios!$B$2:$B5618,colegios!$A$2:$A5618=L1271)"),"NUESTRA SEÑORA DE LA CANDELARIA")</f>
        <v>NUESTRA SEÑORA DE LA CANDELARIA</v>
      </c>
      <c r="F1271" s="14" t="s">
        <v>16</v>
      </c>
      <c r="G1271" s="20" t="s">
        <v>21</v>
      </c>
      <c r="H1271" s="14" t="s">
        <v>18</v>
      </c>
      <c r="I1271" s="22">
        <v>2023.0</v>
      </c>
      <c r="J1271" s="16" t="str">
        <f>IFERROR(__xludf.DUMMYFUNCTION("FILTER('CLASFICACIÓN'!$F$3:$F5618,'CLASFICACIÓN'!$G$3:$G5618=M1271)"),"2023 Y 2024")</f>
        <v>2023 Y 2024</v>
      </c>
      <c r="K1271" s="16"/>
      <c r="L1271" s="14" t="s">
        <v>108</v>
      </c>
      <c r="M1271" s="16" t="str">
        <f t="shared" si="1"/>
        <v>NUESTRA SEÑORA DE LA CANDELARIA4 Secundaria</v>
      </c>
      <c r="N1271" s="17"/>
      <c r="O1271" s="17"/>
      <c r="P1271" s="17"/>
      <c r="Q1271" s="17"/>
      <c r="R1271" s="17"/>
      <c r="S1271" s="17"/>
      <c r="T1271" s="17"/>
    </row>
    <row r="1272">
      <c r="A1272" s="21">
        <v>75.0</v>
      </c>
      <c r="B1272" s="20" t="s">
        <v>84</v>
      </c>
      <c r="C1272" s="14" t="s">
        <v>27</v>
      </c>
      <c r="D1272" s="20" t="s">
        <v>30</v>
      </c>
      <c r="E1272" s="12" t="str">
        <f>IFERROR(__xludf.DUMMYFUNCTION("FILTER(colegios!$B$2:$B5618,colegios!$A$2:$A5618=L1272)"),"NUESTRA SEÑORA DE LA CANDELARIA")</f>
        <v>NUESTRA SEÑORA DE LA CANDELARIA</v>
      </c>
      <c r="F1272" s="14" t="s">
        <v>16</v>
      </c>
      <c r="G1272" s="20" t="s">
        <v>21</v>
      </c>
      <c r="H1272" s="14" t="s">
        <v>18</v>
      </c>
      <c r="I1272" s="22">
        <v>2023.0</v>
      </c>
      <c r="J1272" s="16" t="str">
        <f>IFERROR(__xludf.DUMMYFUNCTION("FILTER('CLASFICACIÓN'!$F$3:$F5618,'CLASFICACIÓN'!$G$3:$G5618=M1272)"),"2023 Y 2024")</f>
        <v>2023 Y 2024</v>
      </c>
      <c r="K1272" s="16"/>
      <c r="L1272" s="14" t="s">
        <v>108</v>
      </c>
      <c r="M1272" s="16" t="str">
        <f t="shared" si="1"/>
        <v>NUESTRA SEÑORA DE LA CANDELARIA4 Secundaria</v>
      </c>
      <c r="N1272" s="17"/>
      <c r="O1272" s="17"/>
      <c r="P1272" s="17"/>
      <c r="Q1272" s="17"/>
      <c r="R1272" s="17"/>
      <c r="S1272" s="17"/>
      <c r="T1272" s="17"/>
    </row>
    <row r="1273">
      <c r="A1273" s="21">
        <v>76.0</v>
      </c>
      <c r="B1273" s="20" t="s">
        <v>84</v>
      </c>
      <c r="C1273" s="14" t="s">
        <v>27</v>
      </c>
      <c r="D1273" s="20" t="s">
        <v>30</v>
      </c>
      <c r="E1273" s="12" t="str">
        <f>IFERROR(__xludf.DUMMYFUNCTION("FILTER(colegios!$B$2:$B5618,colegios!$A$2:$A5618=L1273)"),"NUESTRA SEÑORA DE LA CANDELARIA")</f>
        <v>NUESTRA SEÑORA DE LA CANDELARIA</v>
      </c>
      <c r="F1273" s="14" t="s">
        <v>16</v>
      </c>
      <c r="G1273" s="20" t="s">
        <v>21</v>
      </c>
      <c r="H1273" s="14" t="s">
        <v>18</v>
      </c>
      <c r="I1273" s="22">
        <v>2023.0</v>
      </c>
      <c r="J1273" s="16" t="str">
        <f>IFERROR(__xludf.DUMMYFUNCTION("FILTER('CLASFICACIÓN'!$F$3:$F5618,'CLASFICACIÓN'!$G$3:$G5618=M1273)"),"2023 Y 2024")</f>
        <v>2023 Y 2024</v>
      </c>
      <c r="K1273" s="16"/>
      <c r="L1273" s="14" t="s">
        <v>108</v>
      </c>
      <c r="M1273" s="16" t="str">
        <f t="shared" si="1"/>
        <v>NUESTRA SEÑORA DE LA CANDELARIA4 Secundaria</v>
      </c>
      <c r="N1273" s="17"/>
      <c r="O1273" s="17"/>
      <c r="P1273" s="17"/>
      <c r="Q1273" s="17"/>
      <c r="R1273" s="17"/>
      <c r="S1273" s="17"/>
      <c r="T1273" s="17"/>
    </row>
    <row r="1274">
      <c r="A1274" s="21">
        <v>77.0</v>
      </c>
      <c r="B1274" s="20" t="s">
        <v>84</v>
      </c>
      <c r="C1274" s="14" t="s">
        <v>27</v>
      </c>
      <c r="D1274" s="20" t="s">
        <v>30</v>
      </c>
      <c r="E1274" s="12" t="str">
        <f>IFERROR(__xludf.DUMMYFUNCTION("FILTER(colegios!$B$2:$B5618,colegios!$A$2:$A5618=L1274)"),"NUESTRA SEÑORA DE LA CANDELARIA")</f>
        <v>NUESTRA SEÑORA DE LA CANDELARIA</v>
      </c>
      <c r="F1274" s="14" t="s">
        <v>16</v>
      </c>
      <c r="G1274" s="20" t="s">
        <v>21</v>
      </c>
      <c r="H1274" s="14" t="s">
        <v>18</v>
      </c>
      <c r="I1274" s="22">
        <v>2023.0</v>
      </c>
      <c r="J1274" s="16" t="str">
        <f>IFERROR(__xludf.DUMMYFUNCTION("FILTER('CLASFICACIÓN'!$F$3:$F5618,'CLASFICACIÓN'!$G$3:$G5618=M1274)"),"2023 Y 2024")</f>
        <v>2023 Y 2024</v>
      </c>
      <c r="K1274" s="16"/>
      <c r="L1274" s="14" t="s">
        <v>108</v>
      </c>
      <c r="M1274" s="16" t="str">
        <f t="shared" si="1"/>
        <v>NUESTRA SEÑORA DE LA CANDELARIA4 Secundaria</v>
      </c>
      <c r="N1274" s="17"/>
      <c r="O1274" s="17"/>
      <c r="P1274" s="17"/>
      <c r="Q1274" s="17"/>
      <c r="R1274" s="17"/>
      <c r="S1274" s="17"/>
      <c r="T1274" s="17"/>
    </row>
    <row r="1275">
      <c r="A1275" s="21">
        <v>78.0</v>
      </c>
      <c r="B1275" s="20" t="s">
        <v>84</v>
      </c>
      <c r="C1275" s="14" t="s">
        <v>27</v>
      </c>
      <c r="D1275" s="20" t="s">
        <v>30</v>
      </c>
      <c r="E1275" s="12" t="str">
        <f>IFERROR(__xludf.DUMMYFUNCTION("FILTER(colegios!$B$2:$B5618,colegios!$A$2:$A5618=L1275)"),"NUESTRA SEÑORA DE LA CANDELARIA")</f>
        <v>NUESTRA SEÑORA DE LA CANDELARIA</v>
      </c>
      <c r="F1275" s="14" t="s">
        <v>16</v>
      </c>
      <c r="G1275" s="20" t="s">
        <v>21</v>
      </c>
      <c r="H1275" s="14" t="s">
        <v>18</v>
      </c>
      <c r="I1275" s="22">
        <v>2023.0</v>
      </c>
      <c r="J1275" s="16" t="str">
        <f>IFERROR(__xludf.DUMMYFUNCTION("FILTER('CLASFICACIÓN'!$F$3:$F5618,'CLASFICACIÓN'!$G$3:$G5618=M1275)"),"2023 Y 2024")</f>
        <v>2023 Y 2024</v>
      </c>
      <c r="K1275" s="16"/>
      <c r="L1275" s="14" t="s">
        <v>108</v>
      </c>
      <c r="M1275" s="16" t="str">
        <f t="shared" si="1"/>
        <v>NUESTRA SEÑORA DE LA CANDELARIA4 Secundaria</v>
      </c>
      <c r="N1275" s="17"/>
      <c r="O1275" s="17"/>
      <c r="P1275" s="17"/>
      <c r="Q1275" s="17"/>
      <c r="R1275" s="17"/>
      <c r="S1275" s="17"/>
      <c r="T1275" s="17"/>
    </row>
    <row r="1276">
      <c r="A1276" s="21">
        <v>79.0</v>
      </c>
      <c r="B1276" s="20" t="s">
        <v>84</v>
      </c>
      <c r="C1276" s="14" t="s">
        <v>27</v>
      </c>
      <c r="D1276" s="20" t="s">
        <v>30</v>
      </c>
      <c r="E1276" s="12" t="str">
        <f>IFERROR(__xludf.DUMMYFUNCTION("FILTER(colegios!$B$2:$B5618,colegios!$A$2:$A5618=L1276)"),"NUESTRA SEÑORA DE LA CANDELARIA")</f>
        <v>NUESTRA SEÑORA DE LA CANDELARIA</v>
      </c>
      <c r="F1276" s="14" t="s">
        <v>16</v>
      </c>
      <c r="G1276" s="20" t="s">
        <v>21</v>
      </c>
      <c r="H1276" s="14" t="s">
        <v>18</v>
      </c>
      <c r="I1276" s="22">
        <v>2023.0</v>
      </c>
      <c r="J1276" s="16" t="str">
        <f>IFERROR(__xludf.DUMMYFUNCTION("FILTER('CLASFICACIÓN'!$F$3:$F5618,'CLASFICACIÓN'!$G$3:$G5618=M1276)"),"2023 Y 2024")</f>
        <v>2023 Y 2024</v>
      </c>
      <c r="K1276" s="16"/>
      <c r="L1276" s="14" t="s">
        <v>108</v>
      </c>
      <c r="M1276" s="16" t="str">
        <f t="shared" si="1"/>
        <v>NUESTRA SEÑORA DE LA CANDELARIA4 Secundaria</v>
      </c>
      <c r="N1276" s="17"/>
      <c r="O1276" s="17"/>
      <c r="P1276" s="17"/>
      <c r="Q1276" s="17"/>
      <c r="R1276" s="17"/>
      <c r="S1276" s="17"/>
      <c r="T1276" s="17"/>
    </row>
    <row r="1277">
      <c r="A1277" s="21">
        <v>80.0</v>
      </c>
      <c r="B1277" s="20" t="s">
        <v>84</v>
      </c>
      <c r="C1277" s="14" t="s">
        <v>27</v>
      </c>
      <c r="D1277" s="20" t="s">
        <v>30</v>
      </c>
      <c r="E1277" s="12" t="str">
        <f>IFERROR(__xludf.DUMMYFUNCTION("FILTER(colegios!$B$2:$B5618,colegios!$A$2:$A5618=L1277)"),"NUESTRA SEÑORA DE LA CANDELARIA")</f>
        <v>NUESTRA SEÑORA DE LA CANDELARIA</v>
      </c>
      <c r="F1277" s="14" t="s">
        <v>16</v>
      </c>
      <c r="G1277" s="20" t="s">
        <v>21</v>
      </c>
      <c r="H1277" s="14" t="s">
        <v>18</v>
      </c>
      <c r="I1277" s="22">
        <v>2023.0</v>
      </c>
      <c r="J1277" s="16" t="str">
        <f>IFERROR(__xludf.DUMMYFUNCTION("FILTER('CLASFICACIÓN'!$F$3:$F5618,'CLASFICACIÓN'!$G$3:$G5618=M1277)"),"2023 Y 2024")</f>
        <v>2023 Y 2024</v>
      </c>
      <c r="K1277" s="16"/>
      <c r="L1277" s="14" t="s">
        <v>108</v>
      </c>
      <c r="M1277" s="16" t="str">
        <f t="shared" si="1"/>
        <v>NUESTRA SEÑORA DE LA CANDELARIA4 Secundaria</v>
      </c>
      <c r="N1277" s="17"/>
      <c r="O1277" s="17"/>
      <c r="P1277" s="17"/>
      <c r="Q1277" s="17"/>
      <c r="R1277" s="17"/>
      <c r="S1277" s="17"/>
      <c r="T1277" s="17"/>
    </row>
    <row r="1278">
      <c r="A1278" s="21">
        <v>81.0</v>
      </c>
      <c r="B1278" s="20" t="s">
        <v>84</v>
      </c>
      <c r="C1278" s="14" t="s">
        <v>27</v>
      </c>
      <c r="D1278" s="20" t="s">
        <v>30</v>
      </c>
      <c r="E1278" s="12" t="str">
        <f>IFERROR(__xludf.DUMMYFUNCTION("FILTER(colegios!$B$2:$B5618,colegios!$A$2:$A5618=L1278)"),"NUESTRA SEÑORA DE LA CANDELARIA")</f>
        <v>NUESTRA SEÑORA DE LA CANDELARIA</v>
      </c>
      <c r="F1278" s="14" t="s">
        <v>16</v>
      </c>
      <c r="G1278" s="20" t="s">
        <v>17</v>
      </c>
      <c r="H1278" s="14" t="s">
        <v>18</v>
      </c>
      <c r="I1278" s="22">
        <v>2023.0</v>
      </c>
      <c r="J1278" s="16" t="str">
        <f>IFERROR(__xludf.DUMMYFUNCTION("FILTER('CLASFICACIÓN'!$F$3:$F5618,'CLASFICACIÓN'!$G$3:$G5618=M1278)"),"2023 Y 2024")</f>
        <v>2023 Y 2024</v>
      </c>
      <c r="K1278" s="16"/>
      <c r="L1278" s="14" t="s">
        <v>108</v>
      </c>
      <c r="M1278" s="16" t="str">
        <f t="shared" si="1"/>
        <v>NUESTRA SEÑORA DE LA CANDELARIA4 Secundaria</v>
      </c>
      <c r="N1278" s="17"/>
      <c r="O1278" s="17"/>
      <c r="P1278" s="17"/>
      <c r="Q1278" s="17"/>
      <c r="R1278" s="17"/>
      <c r="S1278" s="17"/>
      <c r="T1278" s="17"/>
    </row>
    <row r="1279">
      <c r="A1279" s="21">
        <v>82.0</v>
      </c>
      <c r="B1279" s="20" t="s">
        <v>84</v>
      </c>
      <c r="C1279" s="14" t="s">
        <v>27</v>
      </c>
      <c r="D1279" s="20" t="s">
        <v>30</v>
      </c>
      <c r="E1279" s="12" t="str">
        <f>IFERROR(__xludf.DUMMYFUNCTION("FILTER(colegios!$B$2:$B5618,colegios!$A$2:$A5618=L1279)"),"NUESTRA SEÑORA DE LA CANDELARIA")</f>
        <v>NUESTRA SEÑORA DE LA CANDELARIA</v>
      </c>
      <c r="F1279" s="14" t="s">
        <v>16</v>
      </c>
      <c r="G1279" s="20" t="s">
        <v>17</v>
      </c>
      <c r="H1279" s="14" t="s">
        <v>24</v>
      </c>
      <c r="I1279" s="22">
        <v>2023.0</v>
      </c>
      <c r="J1279" s="16" t="str">
        <f>IFERROR(__xludf.DUMMYFUNCTION("FILTER('CLASFICACIÓN'!$F$3:$F5618,'CLASFICACIÓN'!$G$3:$G5618=M1279)"),"2023 Y 2024")</f>
        <v>2023 Y 2024</v>
      </c>
      <c r="K1279" s="16"/>
      <c r="L1279" s="14" t="s">
        <v>108</v>
      </c>
      <c r="M1279" s="16" t="str">
        <f t="shared" si="1"/>
        <v>NUESTRA SEÑORA DE LA CANDELARIA4 Secundaria</v>
      </c>
      <c r="N1279" s="17"/>
      <c r="O1279" s="17"/>
      <c r="P1279" s="17"/>
      <c r="Q1279" s="17"/>
      <c r="R1279" s="17"/>
      <c r="S1279" s="17"/>
      <c r="T1279" s="17"/>
    </row>
    <row r="1280">
      <c r="A1280" s="21">
        <v>83.0</v>
      </c>
      <c r="B1280" s="20" t="s">
        <v>84</v>
      </c>
      <c r="C1280" s="14" t="s">
        <v>27</v>
      </c>
      <c r="D1280" s="20" t="s">
        <v>30</v>
      </c>
      <c r="E1280" s="12" t="str">
        <f>IFERROR(__xludf.DUMMYFUNCTION("FILTER(colegios!$B$2:$B5618,colegios!$A$2:$A5618=L1280)"),"NUESTRA SEÑORA DE LA CANDELARIA")</f>
        <v>NUESTRA SEÑORA DE LA CANDELARIA</v>
      </c>
      <c r="F1280" s="14" t="s">
        <v>16</v>
      </c>
      <c r="G1280" s="20" t="s">
        <v>17</v>
      </c>
      <c r="H1280" s="14" t="s">
        <v>18</v>
      </c>
      <c r="I1280" s="22">
        <v>2023.0</v>
      </c>
      <c r="J1280" s="16" t="str">
        <f>IFERROR(__xludf.DUMMYFUNCTION("FILTER('CLASFICACIÓN'!$F$3:$F5618,'CLASFICACIÓN'!$G$3:$G5618=M1280)"),"2023 Y 2024")</f>
        <v>2023 Y 2024</v>
      </c>
      <c r="K1280" s="16"/>
      <c r="L1280" s="14" t="s">
        <v>108</v>
      </c>
      <c r="M1280" s="16" t="str">
        <f t="shared" si="1"/>
        <v>NUESTRA SEÑORA DE LA CANDELARIA4 Secundaria</v>
      </c>
      <c r="N1280" s="17"/>
      <c r="O1280" s="17"/>
      <c r="P1280" s="17"/>
      <c r="Q1280" s="17"/>
      <c r="R1280" s="17"/>
      <c r="S1280" s="17"/>
      <c r="T1280" s="17"/>
    </row>
    <row r="1281">
      <c r="A1281" s="21">
        <v>84.0</v>
      </c>
      <c r="B1281" s="20" t="s">
        <v>84</v>
      </c>
      <c r="C1281" s="14" t="s">
        <v>27</v>
      </c>
      <c r="D1281" s="20" t="s">
        <v>30</v>
      </c>
      <c r="E1281" s="12" t="str">
        <f>IFERROR(__xludf.DUMMYFUNCTION("FILTER(colegios!$B$2:$B5618,colegios!$A$2:$A5618=L1281)"),"NUESTRA SEÑORA DE LA CANDELARIA")</f>
        <v>NUESTRA SEÑORA DE LA CANDELARIA</v>
      </c>
      <c r="F1281" s="14" t="s">
        <v>16</v>
      </c>
      <c r="G1281" s="20" t="s">
        <v>21</v>
      </c>
      <c r="H1281" s="14" t="s">
        <v>18</v>
      </c>
      <c r="I1281" s="22">
        <v>2023.0</v>
      </c>
      <c r="J1281" s="16" t="str">
        <f>IFERROR(__xludf.DUMMYFUNCTION("FILTER('CLASFICACIÓN'!$F$3:$F5618,'CLASFICACIÓN'!$G$3:$G5618=M1281)"),"2023 Y 2024")</f>
        <v>2023 Y 2024</v>
      </c>
      <c r="K1281" s="16"/>
      <c r="L1281" s="14" t="s">
        <v>108</v>
      </c>
      <c r="M1281" s="16" t="str">
        <f t="shared" si="1"/>
        <v>NUESTRA SEÑORA DE LA CANDELARIA4 Secundaria</v>
      </c>
      <c r="N1281" s="17"/>
      <c r="O1281" s="17"/>
      <c r="P1281" s="17"/>
      <c r="Q1281" s="17"/>
      <c r="R1281" s="17"/>
      <c r="S1281" s="17"/>
      <c r="T1281" s="17"/>
    </row>
    <row r="1282">
      <c r="A1282" s="21">
        <v>85.0</v>
      </c>
      <c r="B1282" s="20" t="s">
        <v>84</v>
      </c>
      <c r="C1282" s="14" t="s">
        <v>27</v>
      </c>
      <c r="D1282" s="20" t="s">
        <v>30</v>
      </c>
      <c r="E1282" s="12" t="str">
        <f>IFERROR(__xludf.DUMMYFUNCTION("FILTER(colegios!$B$2:$B5618,colegios!$A$2:$A5618=L1282)"),"NUESTRA SEÑORA DE LA CANDELARIA")</f>
        <v>NUESTRA SEÑORA DE LA CANDELARIA</v>
      </c>
      <c r="F1282" s="14" t="s">
        <v>16</v>
      </c>
      <c r="G1282" s="20" t="s">
        <v>21</v>
      </c>
      <c r="H1282" s="14" t="s">
        <v>18</v>
      </c>
      <c r="I1282" s="22">
        <v>2023.0</v>
      </c>
      <c r="J1282" s="16" t="str">
        <f>IFERROR(__xludf.DUMMYFUNCTION("FILTER('CLASFICACIÓN'!$F$3:$F5618,'CLASFICACIÓN'!$G$3:$G5618=M1282)"),"2023 Y 2024")</f>
        <v>2023 Y 2024</v>
      </c>
      <c r="K1282" s="16"/>
      <c r="L1282" s="14" t="s">
        <v>108</v>
      </c>
      <c r="M1282" s="16" t="str">
        <f t="shared" si="1"/>
        <v>NUESTRA SEÑORA DE LA CANDELARIA4 Secundaria</v>
      </c>
      <c r="N1282" s="17"/>
      <c r="O1282" s="17"/>
      <c r="P1282" s="17"/>
      <c r="Q1282" s="17"/>
      <c r="R1282" s="17"/>
      <c r="S1282" s="17"/>
      <c r="T1282" s="17"/>
    </row>
    <row r="1283">
      <c r="A1283" s="21">
        <v>86.0</v>
      </c>
      <c r="B1283" s="20" t="s">
        <v>84</v>
      </c>
      <c r="C1283" s="14" t="s">
        <v>27</v>
      </c>
      <c r="D1283" s="20" t="s">
        <v>30</v>
      </c>
      <c r="E1283" s="12" t="str">
        <f>IFERROR(__xludf.DUMMYFUNCTION("FILTER(colegios!$B$2:$B5618,colegios!$A$2:$A5618=L1283)"),"NUESTRA SEÑORA DE LA CANDELARIA")</f>
        <v>NUESTRA SEÑORA DE LA CANDELARIA</v>
      </c>
      <c r="F1283" s="14" t="s">
        <v>16</v>
      </c>
      <c r="G1283" s="20" t="s">
        <v>21</v>
      </c>
      <c r="H1283" s="14" t="s">
        <v>18</v>
      </c>
      <c r="I1283" s="22">
        <v>2023.0</v>
      </c>
      <c r="J1283" s="16" t="str">
        <f>IFERROR(__xludf.DUMMYFUNCTION("FILTER('CLASFICACIÓN'!$F$3:$F5618,'CLASFICACIÓN'!$G$3:$G5618=M1283)"),"2023 Y 2024")</f>
        <v>2023 Y 2024</v>
      </c>
      <c r="K1283" s="16"/>
      <c r="L1283" s="14" t="s">
        <v>108</v>
      </c>
      <c r="M1283" s="16" t="str">
        <f t="shared" si="1"/>
        <v>NUESTRA SEÑORA DE LA CANDELARIA4 Secundaria</v>
      </c>
      <c r="N1283" s="17"/>
      <c r="O1283" s="17"/>
      <c r="P1283" s="17"/>
      <c r="Q1283" s="17"/>
      <c r="R1283" s="17"/>
      <c r="S1283" s="17"/>
      <c r="T1283" s="17"/>
    </row>
    <row r="1284">
      <c r="A1284" s="21">
        <v>87.0</v>
      </c>
      <c r="B1284" s="20" t="s">
        <v>84</v>
      </c>
      <c r="C1284" s="14" t="s">
        <v>27</v>
      </c>
      <c r="D1284" s="20" t="s">
        <v>30</v>
      </c>
      <c r="E1284" s="12" t="str">
        <f>IFERROR(__xludf.DUMMYFUNCTION("FILTER(colegios!$B$2:$B5618,colegios!$A$2:$A5618=L1284)"),"NUESTRA SEÑORA DE LA CANDELARIA")</f>
        <v>NUESTRA SEÑORA DE LA CANDELARIA</v>
      </c>
      <c r="F1284" s="14" t="s">
        <v>16</v>
      </c>
      <c r="G1284" s="20" t="s">
        <v>21</v>
      </c>
      <c r="H1284" s="14" t="s">
        <v>18</v>
      </c>
      <c r="I1284" s="22">
        <v>2023.0</v>
      </c>
      <c r="J1284" s="16" t="str">
        <f>IFERROR(__xludf.DUMMYFUNCTION("FILTER('CLASFICACIÓN'!$F$3:$F5618,'CLASFICACIÓN'!$G$3:$G5618=M1284)"),"2023 Y 2024")</f>
        <v>2023 Y 2024</v>
      </c>
      <c r="K1284" s="16"/>
      <c r="L1284" s="14" t="s">
        <v>108</v>
      </c>
      <c r="M1284" s="16" t="str">
        <f t="shared" si="1"/>
        <v>NUESTRA SEÑORA DE LA CANDELARIA4 Secundaria</v>
      </c>
      <c r="N1284" s="17"/>
      <c r="O1284" s="17"/>
      <c r="P1284" s="17"/>
      <c r="Q1284" s="17"/>
      <c r="R1284" s="17"/>
      <c r="S1284" s="17"/>
      <c r="T1284" s="17"/>
    </row>
    <row r="1285">
      <c r="A1285" s="21">
        <v>88.0</v>
      </c>
      <c r="B1285" s="20" t="s">
        <v>84</v>
      </c>
      <c r="C1285" s="14" t="s">
        <v>27</v>
      </c>
      <c r="D1285" s="20" t="s">
        <v>30</v>
      </c>
      <c r="E1285" s="12" t="str">
        <f>IFERROR(__xludf.DUMMYFUNCTION("FILTER(colegios!$B$2:$B5618,colegios!$A$2:$A5618=L1285)"),"NUESTRA SEÑORA DE LA CANDELARIA")</f>
        <v>NUESTRA SEÑORA DE LA CANDELARIA</v>
      </c>
      <c r="F1285" s="14" t="s">
        <v>16</v>
      </c>
      <c r="G1285" s="20" t="s">
        <v>17</v>
      </c>
      <c r="H1285" s="14" t="s">
        <v>18</v>
      </c>
      <c r="I1285" s="22">
        <v>2023.0</v>
      </c>
      <c r="J1285" s="16" t="str">
        <f>IFERROR(__xludf.DUMMYFUNCTION("FILTER('CLASFICACIÓN'!$F$3:$F5618,'CLASFICACIÓN'!$G$3:$G5618=M1285)"),"2023 Y 2024")</f>
        <v>2023 Y 2024</v>
      </c>
      <c r="K1285" s="16"/>
      <c r="L1285" s="14" t="s">
        <v>108</v>
      </c>
      <c r="M1285" s="16" t="str">
        <f t="shared" si="1"/>
        <v>NUESTRA SEÑORA DE LA CANDELARIA4 Secundaria</v>
      </c>
      <c r="N1285" s="17"/>
      <c r="O1285" s="17"/>
      <c r="P1285" s="17"/>
      <c r="Q1285" s="17"/>
      <c r="R1285" s="17"/>
      <c r="S1285" s="17"/>
      <c r="T1285" s="17"/>
    </row>
    <row r="1286">
      <c r="A1286" s="21">
        <v>89.0</v>
      </c>
      <c r="B1286" s="20" t="s">
        <v>84</v>
      </c>
      <c r="C1286" s="14" t="s">
        <v>27</v>
      </c>
      <c r="D1286" s="20" t="s">
        <v>30</v>
      </c>
      <c r="E1286" s="12" t="str">
        <f>IFERROR(__xludf.DUMMYFUNCTION("FILTER(colegios!$B$2:$B5618,colegios!$A$2:$A5618=L1286)"),"NUESTRA SEÑORA DE LA CANDELARIA")</f>
        <v>NUESTRA SEÑORA DE LA CANDELARIA</v>
      </c>
      <c r="F1286" s="14" t="s">
        <v>16</v>
      </c>
      <c r="G1286" s="20" t="s">
        <v>21</v>
      </c>
      <c r="H1286" s="14" t="s">
        <v>18</v>
      </c>
      <c r="I1286" s="22">
        <v>2023.0</v>
      </c>
      <c r="J1286" s="16" t="str">
        <f>IFERROR(__xludf.DUMMYFUNCTION("FILTER('CLASFICACIÓN'!$F$3:$F5618,'CLASFICACIÓN'!$G$3:$G5618=M1286)"),"2023 Y 2024")</f>
        <v>2023 Y 2024</v>
      </c>
      <c r="K1286" s="16"/>
      <c r="L1286" s="14" t="s">
        <v>108</v>
      </c>
      <c r="M1286" s="16" t="str">
        <f t="shared" si="1"/>
        <v>NUESTRA SEÑORA DE LA CANDELARIA4 Secundaria</v>
      </c>
      <c r="N1286" s="17"/>
      <c r="O1286" s="17"/>
      <c r="P1286" s="17"/>
      <c r="Q1286" s="17"/>
      <c r="R1286" s="17"/>
      <c r="S1286" s="17"/>
      <c r="T1286" s="17"/>
    </row>
    <row r="1287">
      <c r="A1287" s="21">
        <v>90.0</v>
      </c>
      <c r="B1287" s="20" t="s">
        <v>84</v>
      </c>
      <c r="C1287" s="14" t="s">
        <v>27</v>
      </c>
      <c r="D1287" s="20" t="s">
        <v>30</v>
      </c>
      <c r="E1287" s="12" t="str">
        <f>IFERROR(__xludf.DUMMYFUNCTION("FILTER(colegios!$B$2:$B5618,colegios!$A$2:$A5618=L1287)"),"NUESTRA SEÑORA DE LA CANDELARIA")</f>
        <v>NUESTRA SEÑORA DE LA CANDELARIA</v>
      </c>
      <c r="F1287" s="14" t="s">
        <v>16</v>
      </c>
      <c r="G1287" s="20" t="s">
        <v>21</v>
      </c>
      <c r="H1287" s="14" t="s">
        <v>18</v>
      </c>
      <c r="I1287" s="22">
        <v>2023.0</v>
      </c>
      <c r="J1287" s="16" t="str">
        <f>IFERROR(__xludf.DUMMYFUNCTION("FILTER('CLASFICACIÓN'!$F$3:$F5618,'CLASFICACIÓN'!$G$3:$G5618=M1287)"),"2023 Y 2024")</f>
        <v>2023 Y 2024</v>
      </c>
      <c r="K1287" s="16"/>
      <c r="L1287" s="14" t="s">
        <v>108</v>
      </c>
      <c r="M1287" s="16" t="str">
        <f t="shared" si="1"/>
        <v>NUESTRA SEÑORA DE LA CANDELARIA4 Secundaria</v>
      </c>
      <c r="N1287" s="17"/>
      <c r="O1287" s="17"/>
      <c r="P1287" s="17"/>
      <c r="Q1287" s="17"/>
      <c r="R1287" s="17"/>
      <c r="S1287" s="17"/>
      <c r="T1287" s="17"/>
    </row>
    <row r="1288">
      <c r="A1288" s="21">
        <v>91.0</v>
      </c>
      <c r="B1288" s="20" t="s">
        <v>84</v>
      </c>
      <c r="C1288" s="14" t="s">
        <v>27</v>
      </c>
      <c r="D1288" s="20" t="s">
        <v>30</v>
      </c>
      <c r="E1288" s="12" t="str">
        <f>IFERROR(__xludf.DUMMYFUNCTION("FILTER(colegios!$B$2:$B5618,colegios!$A$2:$A5618=L1288)"),"NUESTRA SEÑORA DE LA CANDELARIA")</f>
        <v>NUESTRA SEÑORA DE LA CANDELARIA</v>
      </c>
      <c r="F1288" s="14" t="s">
        <v>16</v>
      </c>
      <c r="G1288" s="20" t="s">
        <v>17</v>
      </c>
      <c r="H1288" s="14" t="s">
        <v>18</v>
      </c>
      <c r="I1288" s="22">
        <v>2023.0</v>
      </c>
      <c r="J1288" s="16" t="str">
        <f>IFERROR(__xludf.DUMMYFUNCTION("FILTER('CLASFICACIÓN'!$F$3:$F5618,'CLASFICACIÓN'!$G$3:$G5618=M1288)"),"2023 Y 2024")</f>
        <v>2023 Y 2024</v>
      </c>
      <c r="K1288" s="16"/>
      <c r="L1288" s="14" t="s">
        <v>108</v>
      </c>
      <c r="M1288" s="16" t="str">
        <f t="shared" si="1"/>
        <v>NUESTRA SEÑORA DE LA CANDELARIA4 Secundaria</v>
      </c>
      <c r="N1288" s="17"/>
      <c r="O1288" s="17"/>
      <c r="P1288" s="17"/>
      <c r="Q1288" s="17"/>
      <c r="R1288" s="17"/>
      <c r="S1288" s="17"/>
      <c r="T1288" s="17"/>
    </row>
    <row r="1289">
      <c r="A1289" s="21">
        <v>92.0</v>
      </c>
      <c r="B1289" s="20" t="s">
        <v>84</v>
      </c>
      <c r="C1289" s="14" t="s">
        <v>27</v>
      </c>
      <c r="D1289" s="20" t="s">
        <v>30</v>
      </c>
      <c r="E1289" s="12" t="str">
        <f>IFERROR(__xludf.DUMMYFUNCTION("FILTER(colegios!$B$2:$B5618,colegios!$A$2:$A5618=L1289)"),"NUESTRA SEÑORA DE LA CANDELARIA")</f>
        <v>NUESTRA SEÑORA DE LA CANDELARIA</v>
      </c>
      <c r="F1289" s="14" t="s">
        <v>16</v>
      </c>
      <c r="G1289" s="20" t="s">
        <v>17</v>
      </c>
      <c r="H1289" s="14" t="s">
        <v>18</v>
      </c>
      <c r="I1289" s="22">
        <v>2023.0</v>
      </c>
      <c r="J1289" s="16" t="str">
        <f>IFERROR(__xludf.DUMMYFUNCTION("FILTER('CLASFICACIÓN'!$F$3:$F5618,'CLASFICACIÓN'!$G$3:$G5618=M1289)"),"2023 Y 2024")</f>
        <v>2023 Y 2024</v>
      </c>
      <c r="K1289" s="16"/>
      <c r="L1289" s="14" t="s">
        <v>108</v>
      </c>
      <c r="M1289" s="16" t="str">
        <f t="shared" si="1"/>
        <v>NUESTRA SEÑORA DE LA CANDELARIA4 Secundaria</v>
      </c>
      <c r="N1289" s="17"/>
      <c r="O1289" s="17"/>
      <c r="P1289" s="17"/>
      <c r="Q1289" s="17"/>
      <c r="R1289" s="17"/>
      <c r="S1289" s="17"/>
      <c r="T1289" s="17"/>
    </row>
    <row r="1290">
      <c r="A1290" s="21">
        <v>93.0</v>
      </c>
      <c r="B1290" s="20" t="s">
        <v>84</v>
      </c>
      <c r="C1290" s="14" t="s">
        <v>27</v>
      </c>
      <c r="D1290" s="20" t="s">
        <v>30</v>
      </c>
      <c r="E1290" s="12" t="str">
        <f>IFERROR(__xludf.DUMMYFUNCTION("FILTER(colegios!$B$2:$B5618,colegios!$A$2:$A5618=L1290)"),"NUESTRA SEÑORA DE LA CANDELARIA")</f>
        <v>NUESTRA SEÑORA DE LA CANDELARIA</v>
      </c>
      <c r="F1290" s="14" t="s">
        <v>16</v>
      </c>
      <c r="G1290" s="20" t="s">
        <v>17</v>
      </c>
      <c r="H1290" s="14" t="s">
        <v>18</v>
      </c>
      <c r="I1290" s="22">
        <v>2023.0</v>
      </c>
      <c r="J1290" s="16" t="str">
        <f>IFERROR(__xludf.DUMMYFUNCTION("FILTER('CLASFICACIÓN'!$F$3:$F5618,'CLASFICACIÓN'!$G$3:$G5618=M1290)"),"2023 Y 2024")</f>
        <v>2023 Y 2024</v>
      </c>
      <c r="K1290" s="16"/>
      <c r="L1290" s="14" t="s">
        <v>108</v>
      </c>
      <c r="M1290" s="16" t="str">
        <f t="shared" si="1"/>
        <v>NUESTRA SEÑORA DE LA CANDELARIA4 Secundaria</v>
      </c>
      <c r="N1290" s="17"/>
      <c r="O1290" s="17"/>
      <c r="P1290" s="17"/>
      <c r="Q1290" s="17"/>
      <c r="R1290" s="17"/>
      <c r="S1290" s="17"/>
      <c r="T1290" s="17"/>
    </row>
    <row r="1291">
      <c r="A1291" s="21">
        <v>94.0</v>
      </c>
      <c r="B1291" s="20" t="s">
        <v>84</v>
      </c>
      <c r="C1291" s="14" t="s">
        <v>27</v>
      </c>
      <c r="D1291" s="20" t="s">
        <v>30</v>
      </c>
      <c r="E1291" s="12" t="str">
        <f>IFERROR(__xludf.DUMMYFUNCTION("FILTER(colegios!$B$2:$B5618,colegios!$A$2:$A5618=L1291)"),"NUESTRA SEÑORA DE LA CANDELARIA")</f>
        <v>NUESTRA SEÑORA DE LA CANDELARIA</v>
      </c>
      <c r="F1291" s="14" t="s">
        <v>16</v>
      </c>
      <c r="G1291" s="20" t="s">
        <v>21</v>
      </c>
      <c r="H1291" s="14" t="s">
        <v>18</v>
      </c>
      <c r="I1291" s="22">
        <v>2023.0</v>
      </c>
      <c r="J1291" s="16" t="str">
        <f>IFERROR(__xludf.DUMMYFUNCTION("FILTER('CLASFICACIÓN'!$F$3:$F5618,'CLASFICACIÓN'!$G$3:$G5618=M1291)"),"2023 Y 2024")</f>
        <v>2023 Y 2024</v>
      </c>
      <c r="K1291" s="16"/>
      <c r="L1291" s="14" t="s">
        <v>108</v>
      </c>
      <c r="M1291" s="16" t="str">
        <f t="shared" si="1"/>
        <v>NUESTRA SEÑORA DE LA CANDELARIA4 Secundaria</v>
      </c>
      <c r="N1291" s="17"/>
      <c r="O1291" s="17"/>
      <c r="P1291" s="17"/>
      <c r="Q1291" s="17"/>
      <c r="R1291" s="17"/>
      <c r="S1291" s="17"/>
      <c r="T1291" s="17"/>
    </row>
    <row r="1292">
      <c r="A1292" s="21">
        <v>95.0</v>
      </c>
      <c r="B1292" s="20" t="s">
        <v>84</v>
      </c>
      <c r="C1292" s="14" t="s">
        <v>27</v>
      </c>
      <c r="D1292" s="20" t="s">
        <v>30</v>
      </c>
      <c r="E1292" s="12" t="str">
        <f>IFERROR(__xludf.DUMMYFUNCTION("FILTER(colegios!$B$2:$B5618,colegios!$A$2:$A5618=L1292)"),"NUESTRA SEÑORA DE LA CANDELARIA")</f>
        <v>NUESTRA SEÑORA DE LA CANDELARIA</v>
      </c>
      <c r="F1292" s="14" t="s">
        <v>16</v>
      </c>
      <c r="G1292" s="20" t="s">
        <v>21</v>
      </c>
      <c r="H1292" s="14" t="s">
        <v>18</v>
      </c>
      <c r="I1292" s="22">
        <v>2023.0</v>
      </c>
      <c r="J1292" s="16" t="str">
        <f>IFERROR(__xludf.DUMMYFUNCTION("FILTER('CLASFICACIÓN'!$F$3:$F5618,'CLASFICACIÓN'!$G$3:$G5618=M1292)"),"2023 Y 2024")</f>
        <v>2023 Y 2024</v>
      </c>
      <c r="K1292" s="16"/>
      <c r="L1292" s="14" t="s">
        <v>108</v>
      </c>
      <c r="M1292" s="16" t="str">
        <f t="shared" si="1"/>
        <v>NUESTRA SEÑORA DE LA CANDELARIA4 Secundaria</v>
      </c>
      <c r="N1292" s="17"/>
      <c r="O1292" s="17"/>
      <c r="P1292" s="17"/>
      <c r="Q1292" s="17"/>
      <c r="R1292" s="17"/>
      <c r="S1292" s="17"/>
      <c r="T1292" s="17"/>
    </row>
    <row r="1293">
      <c r="A1293" s="21">
        <v>96.0</v>
      </c>
      <c r="B1293" s="20" t="s">
        <v>84</v>
      </c>
      <c r="C1293" s="14" t="s">
        <v>27</v>
      </c>
      <c r="D1293" s="20" t="s">
        <v>30</v>
      </c>
      <c r="E1293" s="12" t="str">
        <f>IFERROR(__xludf.DUMMYFUNCTION("FILTER(colegios!$B$2:$B5618,colegios!$A$2:$A5618=L1293)"),"NUESTRA SEÑORA DE LA CANDELARIA")</f>
        <v>NUESTRA SEÑORA DE LA CANDELARIA</v>
      </c>
      <c r="F1293" s="14" t="s">
        <v>16</v>
      </c>
      <c r="G1293" s="20" t="s">
        <v>21</v>
      </c>
      <c r="H1293" s="14" t="s">
        <v>18</v>
      </c>
      <c r="I1293" s="22">
        <v>2023.0</v>
      </c>
      <c r="J1293" s="16" t="str">
        <f>IFERROR(__xludf.DUMMYFUNCTION("FILTER('CLASFICACIÓN'!$F$3:$F5618,'CLASFICACIÓN'!$G$3:$G5618=M1293)"),"2023 Y 2024")</f>
        <v>2023 Y 2024</v>
      </c>
      <c r="K1293" s="16"/>
      <c r="L1293" s="14" t="s">
        <v>108</v>
      </c>
      <c r="M1293" s="16" t="str">
        <f t="shared" si="1"/>
        <v>NUESTRA SEÑORA DE LA CANDELARIA4 Secundaria</v>
      </c>
      <c r="N1293" s="17"/>
      <c r="O1293" s="17"/>
      <c r="P1293" s="17"/>
      <c r="Q1293" s="17"/>
      <c r="R1293" s="17"/>
      <c r="S1293" s="17"/>
      <c r="T1293" s="17"/>
    </row>
    <row r="1294">
      <c r="A1294" s="21">
        <v>97.0</v>
      </c>
      <c r="B1294" s="20" t="s">
        <v>84</v>
      </c>
      <c r="C1294" s="14" t="s">
        <v>27</v>
      </c>
      <c r="D1294" s="20" t="s">
        <v>30</v>
      </c>
      <c r="E1294" s="12" t="str">
        <f>IFERROR(__xludf.DUMMYFUNCTION("FILTER(colegios!$B$2:$B5618,colegios!$A$2:$A5618=L1294)"),"NUESTRA SEÑORA DE LA CANDELARIA")</f>
        <v>NUESTRA SEÑORA DE LA CANDELARIA</v>
      </c>
      <c r="F1294" s="14" t="s">
        <v>16</v>
      </c>
      <c r="G1294" s="20" t="s">
        <v>17</v>
      </c>
      <c r="H1294" s="14" t="s">
        <v>18</v>
      </c>
      <c r="I1294" s="22">
        <v>2023.0</v>
      </c>
      <c r="J1294" s="16" t="str">
        <f>IFERROR(__xludf.DUMMYFUNCTION("FILTER('CLASFICACIÓN'!$F$3:$F5618,'CLASFICACIÓN'!$G$3:$G5618=M1294)"),"2023 Y 2024")</f>
        <v>2023 Y 2024</v>
      </c>
      <c r="K1294" s="16"/>
      <c r="L1294" s="14" t="s">
        <v>108</v>
      </c>
      <c r="M1294" s="16" t="str">
        <f t="shared" si="1"/>
        <v>NUESTRA SEÑORA DE LA CANDELARIA4 Secundaria</v>
      </c>
      <c r="N1294" s="17"/>
      <c r="O1294" s="17"/>
      <c r="P1294" s="17"/>
      <c r="Q1294" s="17"/>
      <c r="R1294" s="17"/>
      <c r="S1294" s="17"/>
      <c r="T1294" s="17"/>
    </row>
    <row r="1295">
      <c r="A1295" s="21">
        <v>98.0</v>
      </c>
      <c r="B1295" s="20" t="s">
        <v>84</v>
      </c>
      <c r="C1295" s="14" t="s">
        <v>27</v>
      </c>
      <c r="D1295" s="20" t="s">
        <v>30</v>
      </c>
      <c r="E1295" s="12" t="str">
        <f>IFERROR(__xludf.DUMMYFUNCTION("FILTER(colegios!$B$2:$B5618,colegios!$A$2:$A5618=L1295)"),"NUESTRA SEÑORA DE LA CANDELARIA")</f>
        <v>NUESTRA SEÑORA DE LA CANDELARIA</v>
      </c>
      <c r="F1295" s="14" t="s">
        <v>16</v>
      </c>
      <c r="G1295" s="20" t="s">
        <v>21</v>
      </c>
      <c r="H1295" s="14" t="s">
        <v>18</v>
      </c>
      <c r="I1295" s="22">
        <v>2023.0</v>
      </c>
      <c r="J1295" s="16" t="str">
        <f>IFERROR(__xludf.DUMMYFUNCTION("FILTER('CLASFICACIÓN'!$F$3:$F5618,'CLASFICACIÓN'!$G$3:$G5618=M1295)"),"2023 Y 2024")</f>
        <v>2023 Y 2024</v>
      </c>
      <c r="K1295" s="16"/>
      <c r="L1295" s="14" t="s">
        <v>108</v>
      </c>
      <c r="M1295" s="16" t="str">
        <f t="shared" si="1"/>
        <v>NUESTRA SEÑORA DE LA CANDELARIA4 Secundaria</v>
      </c>
      <c r="N1295" s="17"/>
      <c r="O1295" s="17"/>
      <c r="P1295" s="17"/>
      <c r="Q1295" s="17"/>
      <c r="R1295" s="17"/>
      <c r="S1295" s="17"/>
      <c r="T1295" s="17"/>
    </row>
    <row r="1296">
      <c r="A1296" s="21">
        <v>99.0</v>
      </c>
      <c r="B1296" s="20" t="s">
        <v>84</v>
      </c>
      <c r="C1296" s="14" t="s">
        <v>27</v>
      </c>
      <c r="D1296" s="20" t="s">
        <v>30</v>
      </c>
      <c r="E1296" s="12" t="str">
        <f>IFERROR(__xludf.DUMMYFUNCTION("FILTER(colegios!$B$2:$B5618,colegios!$A$2:$A5618=L1296)"),"NUESTRA SEÑORA DE LA CANDELARIA")</f>
        <v>NUESTRA SEÑORA DE LA CANDELARIA</v>
      </c>
      <c r="F1296" s="14" t="s">
        <v>16</v>
      </c>
      <c r="G1296" s="20" t="s">
        <v>21</v>
      </c>
      <c r="H1296" s="14" t="s">
        <v>18</v>
      </c>
      <c r="I1296" s="22">
        <v>2023.0</v>
      </c>
      <c r="J1296" s="16" t="str">
        <f>IFERROR(__xludf.DUMMYFUNCTION("FILTER('CLASFICACIÓN'!$F$3:$F5618,'CLASFICACIÓN'!$G$3:$G5618=M1296)"),"2023 Y 2024")</f>
        <v>2023 Y 2024</v>
      </c>
      <c r="K1296" s="16"/>
      <c r="L1296" s="14" t="s">
        <v>108</v>
      </c>
      <c r="M1296" s="16" t="str">
        <f t="shared" si="1"/>
        <v>NUESTRA SEÑORA DE LA CANDELARIA4 Secundaria</v>
      </c>
      <c r="N1296" s="17"/>
      <c r="O1296" s="17"/>
      <c r="P1296" s="17"/>
      <c r="Q1296" s="17"/>
      <c r="R1296" s="17"/>
      <c r="S1296" s="17"/>
      <c r="T1296" s="17"/>
    </row>
    <row r="1297">
      <c r="A1297" s="21">
        <v>100.0</v>
      </c>
      <c r="B1297" s="20" t="s">
        <v>84</v>
      </c>
      <c r="C1297" s="14" t="s">
        <v>27</v>
      </c>
      <c r="D1297" s="20" t="s">
        <v>30</v>
      </c>
      <c r="E1297" s="12" t="str">
        <f>IFERROR(__xludf.DUMMYFUNCTION("FILTER(colegios!$B$2:$B5618,colegios!$A$2:$A5618=L1297)"),"NUESTRA SEÑORA DE LA CANDELARIA")</f>
        <v>NUESTRA SEÑORA DE LA CANDELARIA</v>
      </c>
      <c r="F1297" s="14" t="s">
        <v>16</v>
      </c>
      <c r="G1297" s="20" t="s">
        <v>17</v>
      </c>
      <c r="H1297" s="14" t="s">
        <v>18</v>
      </c>
      <c r="I1297" s="22">
        <v>2023.0</v>
      </c>
      <c r="J1297" s="16" t="str">
        <f>IFERROR(__xludf.DUMMYFUNCTION("FILTER('CLASFICACIÓN'!$F$3:$F5618,'CLASFICACIÓN'!$G$3:$G5618=M1297)"),"2023 Y 2024")</f>
        <v>2023 Y 2024</v>
      </c>
      <c r="K1297" s="16"/>
      <c r="L1297" s="14" t="s">
        <v>108</v>
      </c>
      <c r="M1297" s="16" t="str">
        <f t="shared" si="1"/>
        <v>NUESTRA SEÑORA DE LA CANDELARIA4 Secundaria</v>
      </c>
      <c r="N1297" s="17"/>
      <c r="O1297" s="17"/>
      <c r="P1297" s="17"/>
      <c r="Q1297" s="17"/>
      <c r="R1297" s="17"/>
      <c r="S1297" s="17"/>
      <c r="T1297" s="17"/>
    </row>
    <row r="1298">
      <c r="A1298" s="21">
        <v>101.0</v>
      </c>
      <c r="B1298" s="20" t="s">
        <v>84</v>
      </c>
      <c r="C1298" s="14" t="s">
        <v>27</v>
      </c>
      <c r="D1298" s="20" t="s">
        <v>30</v>
      </c>
      <c r="E1298" s="12" t="str">
        <f>IFERROR(__xludf.DUMMYFUNCTION("FILTER(colegios!$B$2:$B5618,colegios!$A$2:$A5618=L1298)"),"NUESTRA SEÑORA DE LA CANDELARIA")</f>
        <v>NUESTRA SEÑORA DE LA CANDELARIA</v>
      </c>
      <c r="F1298" s="14" t="s">
        <v>16</v>
      </c>
      <c r="G1298" s="20" t="s">
        <v>21</v>
      </c>
      <c r="H1298" s="14" t="s">
        <v>18</v>
      </c>
      <c r="I1298" s="22">
        <v>2023.0</v>
      </c>
      <c r="J1298" s="16" t="str">
        <f>IFERROR(__xludf.DUMMYFUNCTION("FILTER('CLASFICACIÓN'!$F$3:$F5618,'CLASFICACIÓN'!$G$3:$G5618=M1298)"),"2023 Y 2024")</f>
        <v>2023 Y 2024</v>
      </c>
      <c r="K1298" s="16"/>
      <c r="L1298" s="14" t="s">
        <v>108</v>
      </c>
      <c r="M1298" s="16" t="str">
        <f t="shared" si="1"/>
        <v>NUESTRA SEÑORA DE LA CANDELARIA4 Secundaria</v>
      </c>
      <c r="N1298" s="17"/>
      <c r="O1298" s="17"/>
      <c r="P1298" s="17"/>
      <c r="Q1298" s="17"/>
      <c r="R1298" s="17"/>
      <c r="S1298" s="17"/>
      <c r="T1298" s="17"/>
    </row>
    <row r="1299">
      <c r="A1299" s="21">
        <v>102.0</v>
      </c>
      <c r="B1299" s="20" t="s">
        <v>84</v>
      </c>
      <c r="C1299" s="14" t="s">
        <v>27</v>
      </c>
      <c r="D1299" s="20" t="s">
        <v>30</v>
      </c>
      <c r="E1299" s="12" t="str">
        <f>IFERROR(__xludf.DUMMYFUNCTION("FILTER(colegios!$B$2:$B5618,colegios!$A$2:$A5618=L1299)"),"NUESTRA SEÑORA DE LA CANDELARIA")</f>
        <v>NUESTRA SEÑORA DE LA CANDELARIA</v>
      </c>
      <c r="F1299" s="14" t="s">
        <v>16</v>
      </c>
      <c r="G1299" s="20" t="s">
        <v>17</v>
      </c>
      <c r="H1299" s="14" t="s">
        <v>18</v>
      </c>
      <c r="I1299" s="22">
        <v>2023.0</v>
      </c>
      <c r="J1299" s="16" t="str">
        <f>IFERROR(__xludf.DUMMYFUNCTION("FILTER('CLASFICACIÓN'!$F$3:$F5618,'CLASFICACIÓN'!$G$3:$G5618=M1299)"),"2023 Y 2024")</f>
        <v>2023 Y 2024</v>
      </c>
      <c r="K1299" s="16"/>
      <c r="L1299" s="14" t="s">
        <v>108</v>
      </c>
      <c r="M1299" s="16" t="str">
        <f t="shared" si="1"/>
        <v>NUESTRA SEÑORA DE LA CANDELARIA4 Secundaria</v>
      </c>
      <c r="N1299" s="17"/>
      <c r="O1299" s="17"/>
      <c r="P1299" s="17"/>
      <c r="Q1299" s="17"/>
      <c r="R1299" s="17"/>
      <c r="S1299" s="17"/>
      <c r="T1299" s="17"/>
    </row>
    <row r="1300">
      <c r="A1300" s="21">
        <v>103.0</v>
      </c>
      <c r="B1300" s="20" t="s">
        <v>84</v>
      </c>
      <c r="C1300" s="14" t="s">
        <v>14</v>
      </c>
      <c r="D1300" s="20" t="s">
        <v>20</v>
      </c>
      <c r="E1300" s="12" t="str">
        <f>IFERROR(__xludf.DUMMYFUNCTION("FILTER(colegios!$B$2:$B5618,colegios!$A$2:$A5618=L1300)"),"36163 JAVIER HERAUD PEREZ")</f>
        <v>36163 JAVIER HERAUD PEREZ</v>
      </c>
      <c r="F1300" s="14" t="s">
        <v>16</v>
      </c>
      <c r="G1300" s="20" t="s">
        <v>21</v>
      </c>
      <c r="H1300" s="14" t="s">
        <v>24</v>
      </c>
      <c r="I1300" s="22">
        <v>2023.0</v>
      </c>
      <c r="J1300" s="16" t="str">
        <f>IFERROR(__xludf.DUMMYFUNCTION("FILTER('CLASFICACIÓN'!$F$3:$F5618,'CLASFICACIÓN'!$G$3:$G5618=M1300)"),"SOLO 2023")</f>
        <v>SOLO 2023</v>
      </c>
      <c r="K1300" s="16"/>
      <c r="L1300" s="14" t="s">
        <v>109</v>
      </c>
      <c r="M1300" s="16" t="str">
        <f t="shared" si="1"/>
        <v>36163 JAVIER HERAUD PEREZ4 Primaria</v>
      </c>
      <c r="N1300" s="17"/>
      <c r="O1300" s="17"/>
      <c r="P1300" s="17"/>
      <c r="Q1300" s="17"/>
      <c r="R1300" s="17"/>
      <c r="S1300" s="17"/>
      <c r="T1300" s="17"/>
    </row>
    <row r="1301">
      <c r="A1301" s="21">
        <v>104.0</v>
      </c>
      <c r="B1301" s="20" t="s">
        <v>84</v>
      </c>
      <c r="C1301" s="14" t="s">
        <v>14</v>
      </c>
      <c r="D1301" s="20" t="s">
        <v>20</v>
      </c>
      <c r="E1301" s="12" t="str">
        <f>IFERROR(__xludf.DUMMYFUNCTION("FILTER(colegios!$B$2:$B5618,colegios!$A$2:$A5618=L1301)"),"36163 JAVIER HERAUD PEREZ")</f>
        <v>36163 JAVIER HERAUD PEREZ</v>
      </c>
      <c r="F1301" s="14" t="s">
        <v>16</v>
      </c>
      <c r="G1301" s="20" t="s">
        <v>21</v>
      </c>
      <c r="H1301" s="14" t="s">
        <v>24</v>
      </c>
      <c r="I1301" s="22">
        <v>2023.0</v>
      </c>
      <c r="J1301" s="16" t="str">
        <f>IFERROR(__xludf.DUMMYFUNCTION("FILTER('CLASFICACIÓN'!$F$3:$F5618,'CLASFICACIÓN'!$G$3:$G5618=M1301)"),"SOLO 2023")</f>
        <v>SOLO 2023</v>
      </c>
      <c r="K1301" s="16"/>
      <c r="L1301" s="14" t="s">
        <v>109</v>
      </c>
      <c r="M1301" s="16" t="str">
        <f t="shared" si="1"/>
        <v>36163 JAVIER HERAUD PEREZ4 Primaria</v>
      </c>
      <c r="N1301" s="17"/>
      <c r="O1301" s="17"/>
      <c r="P1301" s="17"/>
      <c r="Q1301" s="17"/>
      <c r="R1301" s="17"/>
      <c r="S1301" s="17"/>
      <c r="T1301" s="17"/>
    </row>
    <row r="1302">
      <c r="A1302" s="21">
        <v>105.0</v>
      </c>
      <c r="B1302" s="20" t="s">
        <v>84</v>
      </c>
      <c r="C1302" s="14" t="s">
        <v>14</v>
      </c>
      <c r="D1302" s="20" t="s">
        <v>20</v>
      </c>
      <c r="E1302" s="12" t="str">
        <f>IFERROR(__xludf.DUMMYFUNCTION("FILTER(colegios!$B$2:$B5618,colegios!$A$2:$A5618=L1302)"),"36163 JAVIER HERAUD PEREZ")</f>
        <v>36163 JAVIER HERAUD PEREZ</v>
      </c>
      <c r="F1302" s="14" t="s">
        <v>16</v>
      </c>
      <c r="G1302" s="20" t="s">
        <v>17</v>
      </c>
      <c r="H1302" s="14" t="s">
        <v>18</v>
      </c>
      <c r="I1302" s="22">
        <v>2023.0</v>
      </c>
      <c r="J1302" s="16" t="str">
        <f>IFERROR(__xludf.DUMMYFUNCTION("FILTER('CLASFICACIÓN'!$F$3:$F5618,'CLASFICACIÓN'!$G$3:$G5618=M1302)"),"SOLO 2023")</f>
        <v>SOLO 2023</v>
      </c>
      <c r="K1302" s="16"/>
      <c r="L1302" s="14" t="s">
        <v>109</v>
      </c>
      <c r="M1302" s="16" t="str">
        <f t="shared" si="1"/>
        <v>36163 JAVIER HERAUD PEREZ4 Primaria</v>
      </c>
      <c r="N1302" s="17"/>
      <c r="O1302" s="17"/>
      <c r="P1302" s="17"/>
      <c r="Q1302" s="17"/>
      <c r="R1302" s="17"/>
      <c r="S1302" s="17"/>
      <c r="T1302" s="17"/>
    </row>
    <row r="1303">
      <c r="A1303" s="21">
        <v>106.0</v>
      </c>
      <c r="B1303" s="20" t="s">
        <v>84</v>
      </c>
      <c r="C1303" s="14" t="s">
        <v>14</v>
      </c>
      <c r="D1303" s="20" t="s">
        <v>20</v>
      </c>
      <c r="E1303" s="12" t="str">
        <f>IFERROR(__xludf.DUMMYFUNCTION("FILTER(colegios!$B$2:$B5618,colegios!$A$2:$A5618=L1303)"),"36163 JAVIER HERAUD PEREZ")</f>
        <v>36163 JAVIER HERAUD PEREZ</v>
      </c>
      <c r="F1303" s="14" t="s">
        <v>16</v>
      </c>
      <c r="G1303" s="20" t="s">
        <v>17</v>
      </c>
      <c r="H1303" s="14" t="s">
        <v>18</v>
      </c>
      <c r="I1303" s="22">
        <v>2023.0</v>
      </c>
      <c r="J1303" s="16" t="str">
        <f>IFERROR(__xludf.DUMMYFUNCTION("FILTER('CLASFICACIÓN'!$F$3:$F5618,'CLASFICACIÓN'!$G$3:$G5618=M1303)"),"SOLO 2023")</f>
        <v>SOLO 2023</v>
      </c>
      <c r="K1303" s="16"/>
      <c r="L1303" s="14" t="s">
        <v>109</v>
      </c>
      <c r="M1303" s="16" t="str">
        <f t="shared" si="1"/>
        <v>36163 JAVIER HERAUD PEREZ4 Primaria</v>
      </c>
      <c r="N1303" s="17"/>
      <c r="O1303" s="17"/>
      <c r="P1303" s="17"/>
      <c r="Q1303" s="17"/>
      <c r="R1303" s="17"/>
      <c r="S1303" s="17"/>
      <c r="T1303" s="17"/>
    </row>
    <row r="1304">
      <c r="A1304" s="21">
        <v>107.0</v>
      </c>
      <c r="B1304" s="20" t="s">
        <v>84</v>
      </c>
      <c r="C1304" s="14" t="s">
        <v>14</v>
      </c>
      <c r="D1304" s="20" t="s">
        <v>15</v>
      </c>
      <c r="E1304" s="12" t="str">
        <f>IFERROR(__xludf.DUMMYFUNCTION("FILTER(colegios!$B$2:$B5618,colegios!$A$2:$A5618=L1304)"),"36163 JAVIER HERAUD PEREZ")</f>
        <v>36163 JAVIER HERAUD PEREZ</v>
      </c>
      <c r="F1304" s="14" t="s">
        <v>16</v>
      </c>
      <c r="G1304" s="20" t="s">
        <v>21</v>
      </c>
      <c r="H1304" s="14" t="s">
        <v>18</v>
      </c>
      <c r="I1304" s="22">
        <v>2023.0</v>
      </c>
      <c r="J1304" s="16" t="str">
        <f>IFERROR(__xludf.DUMMYFUNCTION("FILTER('CLASFICACIÓN'!$F$3:$F5618,'CLASFICACIÓN'!$G$3:$G5618=M1304)"),"SOLO 2023")</f>
        <v>SOLO 2023</v>
      </c>
      <c r="K1304" s="16"/>
      <c r="L1304" s="14" t="s">
        <v>109</v>
      </c>
      <c r="M1304" s="16" t="str">
        <f t="shared" si="1"/>
        <v>36163 JAVIER HERAUD PEREZ2 Primaria</v>
      </c>
      <c r="N1304" s="17"/>
      <c r="O1304" s="17"/>
      <c r="P1304" s="17"/>
      <c r="Q1304" s="17"/>
      <c r="R1304" s="17"/>
      <c r="S1304" s="17"/>
      <c r="T1304" s="17"/>
    </row>
    <row r="1305">
      <c r="A1305" s="21">
        <v>108.0</v>
      </c>
      <c r="B1305" s="20" t="s">
        <v>84</v>
      </c>
      <c r="C1305" s="14" t="s">
        <v>14</v>
      </c>
      <c r="D1305" s="20" t="s">
        <v>15</v>
      </c>
      <c r="E1305" s="12" t="str">
        <f>IFERROR(__xludf.DUMMYFUNCTION("FILTER(colegios!$B$2:$B5618,colegios!$A$2:$A5618=L1305)"),"36163 JAVIER HERAUD PEREZ")</f>
        <v>36163 JAVIER HERAUD PEREZ</v>
      </c>
      <c r="F1305" s="14" t="s">
        <v>16</v>
      </c>
      <c r="G1305" s="20" t="s">
        <v>17</v>
      </c>
      <c r="H1305" s="14" t="s">
        <v>18</v>
      </c>
      <c r="I1305" s="22">
        <v>2023.0</v>
      </c>
      <c r="J1305" s="16" t="str">
        <f>IFERROR(__xludf.DUMMYFUNCTION("FILTER('CLASFICACIÓN'!$F$3:$F5618,'CLASFICACIÓN'!$G$3:$G5618=M1305)"),"SOLO 2023")</f>
        <v>SOLO 2023</v>
      </c>
      <c r="K1305" s="16"/>
      <c r="L1305" s="14" t="s">
        <v>109</v>
      </c>
      <c r="M1305" s="16" t="str">
        <f t="shared" si="1"/>
        <v>36163 JAVIER HERAUD PEREZ2 Primaria</v>
      </c>
      <c r="N1305" s="17"/>
      <c r="O1305" s="17"/>
      <c r="P1305" s="17"/>
      <c r="Q1305" s="17"/>
      <c r="R1305" s="17"/>
      <c r="S1305" s="17"/>
      <c r="T1305" s="17"/>
    </row>
    <row r="1306">
      <c r="A1306" s="21">
        <v>109.0</v>
      </c>
      <c r="B1306" s="20" t="s">
        <v>84</v>
      </c>
      <c r="C1306" s="14" t="s">
        <v>14</v>
      </c>
      <c r="D1306" s="20" t="s">
        <v>15</v>
      </c>
      <c r="E1306" s="12" t="str">
        <f>IFERROR(__xludf.DUMMYFUNCTION("FILTER(colegios!$B$2:$B5618,colegios!$A$2:$A5618=L1306)"),"36163 JAVIER HERAUD PEREZ")</f>
        <v>36163 JAVIER HERAUD PEREZ</v>
      </c>
      <c r="F1306" s="14" t="s">
        <v>16</v>
      </c>
      <c r="G1306" s="20" t="s">
        <v>17</v>
      </c>
      <c r="H1306" s="14" t="s">
        <v>18</v>
      </c>
      <c r="I1306" s="22">
        <v>2023.0</v>
      </c>
      <c r="J1306" s="16" t="str">
        <f>IFERROR(__xludf.DUMMYFUNCTION("FILTER('CLASFICACIÓN'!$F$3:$F5618,'CLASFICACIÓN'!$G$3:$G5618=M1306)"),"SOLO 2023")</f>
        <v>SOLO 2023</v>
      </c>
      <c r="K1306" s="16"/>
      <c r="L1306" s="14" t="s">
        <v>109</v>
      </c>
      <c r="M1306" s="16" t="str">
        <f t="shared" si="1"/>
        <v>36163 JAVIER HERAUD PEREZ2 Primaria</v>
      </c>
      <c r="N1306" s="17"/>
      <c r="O1306" s="17"/>
      <c r="P1306" s="17"/>
      <c r="Q1306" s="17"/>
      <c r="R1306" s="17"/>
      <c r="S1306" s="17"/>
      <c r="T1306" s="17"/>
    </row>
    <row r="1307">
      <c r="A1307" s="21">
        <v>110.0</v>
      </c>
      <c r="B1307" s="20" t="s">
        <v>84</v>
      </c>
      <c r="C1307" s="14" t="s">
        <v>14</v>
      </c>
      <c r="D1307" s="20" t="s">
        <v>15</v>
      </c>
      <c r="E1307" s="12" t="str">
        <f>IFERROR(__xludf.DUMMYFUNCTION("FILTER(colegios!$B$2:$B5618,colegios!$A$2:$A5618=L1307)"),"36163 JAVIER HERAUD PEREZ")</f>
        <v>36163 JAVIER HERAUD PEREZ</v>
      </c>
      <c r="F1307" s="14" t="s">
        <v>16</v>
      </c>
      <c r="G1307" s="20" t="s">
        <v>21</v>
      </c>
      <c r="H1307" s="14" t="s">
        <v>18</v>
      </c>
      <c r="I1307" s="22">
        <v>2023.0</v>
      </c>
      <c r="J1307" s="16" t="str">
        <f>IFERROR(__xludf.DUMMYFUNCTION("FILTER('CLASFICACIÓN'!$F$3:$F5618,'CLASFICACIÓN'!$G$3:$G5618=M1307)"),"SOLO 2023")</f>
        <v>SOLO 2023</v>
      </c>
      <c r="K1307" s="16"/>
      <c r="L1307" s="14" t="s">
        <v>109</v>
      </c>
      <c r="M1307" s="16" t="str">
        <f t="shared" si="1"/>
        <v>36163 JAVIER HERAUD PEREZ2 Primaria</v>
      </c>
      <c r="N1307" s="17"/>
      <c r="O1307" s="17"/>
      <c r="P1307" s="17"/>
      <c r="Q1307" s="17"/>
      <c r="R1307" s="17"/>
      <c r="S1307" s="17"/>
      <c r="T1307" s="17"/>
    </row>
    <row r="1308">
      <c r="A1308" s="21">
        <v>111.0</v>
      </c>
      <c r="B1308" s="20" t="s">
        <v>84</v>
      </c>
      <c r="C1308" s="14" t="s">
        <v>14</v>
      </c>
      <c r="D1308" s="20" t="s">
        <v>22</v>
      </c>
      <c r="E1308" s="12" t="str">
        <f>IFERROR(__xludf.DUMMYFUNCTION("FILTER(colegios!$B$2:$B5618,colegios!$A$2:$A5618=L1308)"),"36163 JAVIER HERAUD PEREZ")</f>
        <v>36163 JAVIER HERAUD PEREZ</v>
      </c>
      <c r="F1308" s="14" t="s">
        <v>16</v>
      </c>
      <c r="G1308" s="20" t="s">
        <v>21</v>
      </c>
      <c r="H1308" s="14" t="s">
        <v>18</v>
      </c>
      <c r="I1308" s="22">
        <v>2023.0</v>
      </c>
      <c r="J1308" s="16" t="str">
        <f>IFERROR(__xludf.DUMMYFUNCTION("FILTER('CLASFICACIÓN'!$F$3:$F5618,'CLASFICACIÓN'!$G$3:$G5618=M1308)"),"SOLO 2023")</f>
        <v>SOLO 2023</v>
      </c>
      <c r="K1308" s="16"/>
      <c r="L1308" s="14" t="s">
        <v>109</v>
      </c>
      <c r="M1308" s="16" t="str">
        <f t="shared" si="1"/>
        <v>36163 JAVIER HERAUD PEREZ6 Primaria</v>
      </c>
      <c r="N1308" s="17"/>
      <c r="O1308" s="17"/>
      <c r="P1308" s="17"/>
      <c r="Q1308" s="17"/>
      <c r="R1308" s="17"/>
      <c r="S1308" s="17"/>
      <c r="T1308" s="17"/>
    </row>
    <row r="1309">
      <c r="A1309" s="21">
        <v>112.0</v>
      </c>
      <c r="B1309" s="20" t="s">
        <v>84</v>
      </c>
      <c r="C1309" s="14" t="s">
        <v>14</v>
      </c>
      <c r="D1309" s="20" t="s">
        <v>22</v>
      </c>
      <c r="E1309" s="12" t="str">
        <f>IFERROR(__xludf.DUMMYFUNCTION("FILTER(colegios!$B$2:$B5618,colegios!$A$2:$A5618=L1309)"),"36163 JAVIER HERAUD PEREZ")</f>
        <v>36163 JAVIER HERAUD PEREZ</v>
      </c>
      <c r="F1309" s="14" t="s">
        <v>16</v>
      </c>
      <c r="G1309" s="20" t="s">
        <v>17</v>
      </c>
      <c r="H1309" s="14" t="s">
        <v>18</v>
      </c>
      <c r="I1309" s="22">
        <v>2023.0</v>
      </c>
      <c r="J1309" s="16" t="str">
        <f>IFERROR(__xludf.DUMMYFUNCTION("FILTER('CLASFICACIÓN'!$F$3:$F5618,'CLASFICACIÓN'!$G$3:$G5618=M1309)"),"SOLO 2023")</f>
        <v>SOLO 2023</v>
      </c>
      <c r="K1309" s="16"/>
      <c r="L1309" s="14" t="s">
        <v>109</v>
      </c>
      <c r="M1309" s="16" t="str">
        <f t="shared" si="1"/>
        <v>36163 JAVIER HERAUD PEREZ6 Primaria</v>
      </c>
      <c r="N1309" s="17"/>
      <c r="O1309" s="17"/>
      <c r="P1309" s="17"/>
      <c r="Q1309" s="17"/>
      <c r="R1309" s="17"/>
      <c r="S1309" s="17"/>
      <c r="T1309" s="17"/>
    </row>
    <row r="1310">
      <c r="A1310" s="21">
        <v>113.0</v>
      </c>
      <c r="B1310" s="20" t="s">
        <v>84</v>
      </c>
      <c r="C1310" s="14" t="s">
        <v>14</v>
      </c>
      <c r="D1310" s="20" t="s">
        <v>22</v>
      </c>
      <c r="E1310" s="12" t="str">
        <f>IFERROR(__xludf.DUMMYFUNCTION("FILTER(colegios!$B$2:$B5618,colegios!$A$2:$A5618=L1310)"),"36163 JAVIER HERAUD PEREZ")</f>
        <v>36163 JAVIER HERAUD PEREZ</v>
      </c>
      <c r="F1310" s="14" t="s">
        <v>16</v>
      </c>
      <c r="G1310" s="20" t="s">
        <v>17</v>
      </c>
      <c r="H1310" s="14" t="s">
        <v>18</v>
      </c>
      <c r="I1310" s="22">
        <v>2023.0</v>
      </c>
      <c r="J1310" s="16" t="str">
        <f>IFERROR(__xludf.DUMMYFUNCTION("FILTER('CLASFICACIÓN'!$F$3:$F5618,'CLASFICACIÓN'!$G$3:$G5618=M1310)"),"SOLO 2023")</f>
        <v>SOLO 2023</v>
      </c>
      <c r="K1310" s="16"/>
      <c r="L1310" s="14" t="s">
        <v>109</v>
      </c>
      <c r="M1310" s="16" t="str">
        <f t="shared" si="1"/>
        <v>36163 JAVIER HERAUD PEREZ6 Primaria</v>
      </c>
      <c r="N1310" s="17"/>
      <c r="O1310" s="17"/>
      <c r="P1310" s="17"/>
      <c r="Q1310" s="17"/>
      <c r="R1310" s="17"/>
      <c r="S1310" s="17"/>
      <c r="T1310" s="17"/>
    </row>
    <row r="1311">
      <c r="A1311" s="21">
        <v>114.0</v>
      </c>
      <c r="B1311" s="20" t="s">
        <v>84</v>
      </c>
      <c r="C1311" s="14" t="s">
        <v>14</v>
      </c>
      <c r="D1311" s="20" t="s">
        <v>15</v>
      </c>
      <c r="E1311" s="12" t="str">
        <f>IFERROR(__xludf.DUMMYFUNCTION("FILTER(colegios!$B$2:$B5618,colegios!$A$2:$A5618=L1311)"),"SANTIAGO ANTUNEZ DE MAYOLO")</f>
        <v>SANTIAGO ANTUNEZ DE MAYOLO</v>
      </c>
      <c r="F1311" s="14" t="s">
        <v>16</v>
      </c>
      <c r="G1311" s="20" t="s">
        <v>21</v>
      </c>
      <c r="H1311" s="14" t="s">
        <v>24</v>
      </c>
      <c r="I1311" s="22">
        <v>2023.0</v>
      </c>
      <c r="J1311" s="16" t="str">
        <f>IFERROR(__xludf.DUMMYFUNCTION("FILTER('CLASFICACIÓN'!$F$3:$F5618,'CLASFICACIÓN'!$G$3:$G5618=M1311)"),"SOLO 2023")</f>
        <v>SOLO 2023</v>
      </c>
      <c r="K1311" s="16"/>
      <c r="L1311" s="14" t="s">
        <v>110</v>
      </c>
      <c r="M1311" s="16" t="str">
        <f t="shared" si="1"/>
        <v>SANTIAGO ANTUNEZ DE MAYOLO2 Primaria</v>
      </c>
      <c r="N1311" s="17"/>
      <c r="O1311" s="17"/>
      <c r="P1311" s="17"/>
      <c r="Q1311" s="17"/>
      <c r="R1311" s="17"/>
      <c r="S1311" s="17"/>
      <c r="T1311" s="17"/>
    </row>
    <row r="1312">
      <c r="A1312" s="21">
        <v>115.0</v>
      </c>
      <c r="B1312" s="20" t="s">
        <v>84</v>
      </c>
      <c r="C1312" s="14" t="s">
        <v>14</v>
      </c>
      <c r="D1312" s="20" t="s">
        <v>15</v>
      </c>
      <c r="E1312" s="12" t="str">
        <f>IFERROR(__xludf.DUMMYFUNCTION("FILTER(colegios!$B$2:$B5618,colegios!$A$2:$A5618=L1312)"),"SANTIAGO ANTUNEZ DE MAYOLO")</f>
        <v>SANTIAGO ANTUNEZ DE MAYOLO</v>
      </c>
      <c r="F1312" s="14" t="s">
        <v>16</v>
      </c>
      <c r="G1312" s="20" t="s">
        <v>17</v>
      </c>
      <c r="H1312" s="14" t="s">
        <v>24</v>
      </c>
      <c r="I1312" s="22">
        <v>2023.0</v>
      </c>
      <c r="J1312" s="16" t="str">
        <f>IFERROR(__xludf.DUMMYFUNCTION("FILTER('CLASFICACIÓN'!$F$3:$F5618,'CLASFICACIÓN'!$G$3:$G5618=M1312)"),"SOLO 2023")</f>
        <v>SOLO 2023</v>
      </c>
      <c r="K1312" s="16"/>
      <c r="L1312" s="14" t="s">
        <v>110</v>
      </c>
      <c r="M1312" s="16" t="str">
        <f t="shared" si="1"/>
        <v>SANTIAGO ANTUNEZ DE MAYOLO2 Primaria</v>
      </c>
      <c r="N1312" s="17"/>
      <c r="O1312" s="17"/>
      <c r="P1312" s="17"/>
      <c r="Q1312" s="17"/>
      <c r="R1312" s="17"/>
      <c r="S1312" s="17"/>
      <c r="T1312" s="17"/>
    </row>
    <row r="1313">
      <c r="A1313" s="21">
        <v>116.0</v>
      </c>
      <c r="B1313" s="20" t="s">
        <v>84</v>
      </c>
      <c r="C1313" s="14" t="s">
        <v>14</v>
      </c>
      <c r="D1313" s="20" t="s">
        <v>15</v>
      </c>
      <c r="E1313" s="12" t="str">
        <f>IFERROR(__xludf.DUMMYFUNCTION("FILTER(colegios!$B$2:$B5618,colegios!$A$2:$A5618=L1313)"),"SANTIAGO ANTUNEZ DE MAYOLO")</f>
        <v>SANTIAGO ANTUNEZ DE MAYOLO</v>
      </c>
      <c r="F1313" s="14" t="s">
        <v>16</v>
      </c>
      <c r="G1313" s="20" t="s">
        <v>21</v>
      </c>
      <c r="H1313" s="14" t="s">
        <v>24</v>
      </c>
      <c r="I1313" s="22">
        <v>2023.0</v>
      </c>
      <c r="J1313" s="16" t="str">
        <f>IFERROR(__xludf.DUMMYFUNCTION("FILTER('CLASFICACIÓN'!$F$3:$F5618,'CLASFICACIÓN'!$G$3:$G5618=M1313)"),"SOLO 2023")</f>
        <v>SOLO 2023</v>
      </c>
      <c r="K1313" s="16"/>
      <c r="L1313" s="14" t="s">
        <v>110</v>
      </c>
      <c r="M1313" s="16" t="str">
        <f t="shared" si="1"/>
        <v>SANTIAGO ANTUNEZ DE MAYOLO2 Primaria</v>
      </c>
      <c r="N1313" s="17"/>
      <c r="O1313" s="17"/>
      <c r="P1313" s="17"/>
      <c r="Q1313" s="17"/>
      <c r="R1313" s="17"/>
      <c r="S1313" s="17"/>
      <c r="T1313" s="17"/>
    </row>
    <row r="1314">
      <c r="A1314" s="21">
        <v>117.0</v>
      </c>
      <c r="B1314" s="20" t="s">
        <v>84</v>
      </c>
      <c r="C1314" s="14" t="s">
        <v>14</v>
      </c>
      <c r="D1314" s="20" t="s">
        <v>15</v>
      </c>
      <c r="E1314" s="12" t="str">
        <f>IFERROR(__xludf.DUMMYFUNCTION("FILTER(colegios!$B$2:$B5618,colegios!$A$2:$A5618=L1314)"),"SANTIAGO ANTUNEZ DE MAYOLO")</f>
        <v>SANTIAGO ANTUNEZ DE MAYOLO</v>
      </c>
      <c r="F1314" s="14" t="s">
        <v>16</v>
      </c>
      <c r="G1314" s="20" t="s">
        <v>21</v>
      </c>
      <c r="H1314" s="14" t="s">
        <v>24</v>
      </c>
      <c r="I1314" s="22">
        <v>2023.0</v>
      </c>
      <c r="J1314" s="16" t="str">
        <f>IFERROR(__xludf.DUMMYFUNCTION("FILTER('CLASFICACIÓN'!$F$3:$F5618,'CLASFICACIÓN'!$G$3:$G5618=M1314)"),"SOLO 2023")</f>
        <v>SOLO 2023</v>
      </c>
      <c r="K1314" s="16"/>
      <c r="L1314" s="14" t="s">
        <v>110</v>
      </c>
      <c r="M1314" s="16" t="str">
        <f t="shared" si="1"/>
        <v>SANTIAGO ANTUNEZ DE MAYOLO2 Primaria</v>
      </c>
      <c r="N1314" s="17"/>
      <c r="O1314" s="17"/>
      <c r="P1314" s="17"/>
      <c r="Q1314" s="17"/>
      <c r="R1314" s="17"/>
      <c r="S1314" s="17"/>
      <c r="T1314" s="17"/>
    </row>
    <row r="1315">
      <c r="A1315" s="21">
        <v>118.0</v>
      </c>
      <c r="B1315" s="20" t="s">
        <v>84</v>
      </c>
      <c r="C1315" s="14" t="s">
        <v>14</v>
      </c>
      <c r="D1315" s="20" t="s">
        <v>15</v>
      </c>
      <c r="E1315" s="12" t="str">
        <f>IFERROR(__xludf.DUMMYFUNCTION("FILTER(colegios!$B$2:$B5618,colegios!$A$2:$A5618=L1315)"),"SANTIAGO ANTUNEZ DE MAYOLO")</f>
        <v>SANTIAGO ANTUNEZ DE MAYOLO</v>
      </c>
      <c r="F1315" s="14" t="s">
        <v>16</v>
      </c>
      <c r="G1315" s="20" t="s">
        <v>21</v>
      </c>
      <c r="H1315" s="14" t="s">
        <v>24</v>
      </c>
      <c r="I1315" s="22">
        <v>2023.0</v>
      </c>
      <c r="J1315" s="16" t="str">
        <f>IFERROR(__xludf.DUMMYFUNCTION("FILTER('CLASFICACIÓN'!$F$3:$F5618,'CLASFICACIÓN'!$G$3:$G5618=M1315)"),"SOLO 2023")</f>
        <v>SOLO 2023</v>
      </c>
      <c r="K1315" s="16"/>
      <c r="L1315" s="14" t="s">
        <v>110</v>
      </c>
      <c r="M1315" s="16" t="str">
        <f t="shared" si="1"/>
        <v>SANTIAGO ANTUNEZ DE MAYOLO2 Primaria</v>
      </c>
      <c r="N1315" s="17"/>
      <c r="O1315" s="17"/>
      <c r="P1315" s="17"/>
      <c r="Q1315" s="17"/>
      <c r="R1315" s="17"/>
      <c r="S1315" s="17"/>
      <c r="T1315" s="17"/>
    </row>
    <row r="1316">
      <c r="A1316" s="21">
        <v>119.0</v>
      </c>
      <c r="B1316" s="20" t="s">
        <v>84</v>
      </c>
      <c r="C1316" s="14" t="s">
        <v>14</v>
      </c>
      <c r="D1316" s="20" t="s">
        <v>15</v>
      </c>
      <c r="E1316" s="12" t="str">
        <f>IFERROR(__xludf.DUMMYFUNCTION("FILTER(colegios!$B$2:$B5618,colegios!$A$2:$A5618=L1316)"),"SANTIAGO ANTUNEZ DE MAYOLO")</f>
        <v>SANTIAGO ANTUNEZ DE MAYOLO</v>
      </c>
      <c r="F1316" s="14" t="s">
        <v>16</v>
      </c>
      <c r="G1316" s="20" t="s">
        <v>21</v>
      </c>
      <c r="H1316" s="14" t="s">
        <v>18</v>
      </c>
      <c r="I1316" s="22">
        <v>2023.0</v>
      </c>
      <c r="J1316" s="16" t="str">
        <f>IFERROR(__xludf.DUMMYFUNCTION("FILTER('CLASFICACIÓN'!$F$3:$F5618,'CLASFICACIÓN'!$G$3:$G5618=M1316)"),"SOLO 2023")</f>
        <v>SOLO 2023</v>
      </c>
      <c r="K1316" s="16"/>
      <c r="L1316" s="14" t="s">
        <v>110</v>
      </c>
      <c r="M1316" s="16" t="str">
        <f t="shared" si="1"/>
        <v>SANTIAGO ANTUNEZ DE MAYOLO2 Primaria</v>
      </c>
      <c r="N1316" s="17"/>
      <c r="O1316" s="17"/>
      <c r="P1316" s="17"/>
      <c r="Q1316" s="17"/>
      <c r="R1316" s="17"/>
      <c r="S1316" s="17"/>
      <c r="T1316" s="17"/>
    </row>
    <row r="1317">
      <c r="A1317" s="21">
        <v>120.0</v>
      </c>
      <c r="B1317" s="20" t="s">
        <v>84</v>
      </c>
      <c r="C1317" s="14" t="s">
        <v>14</v>
      </c>
      <c r="D1317" s="20" t="s">
        <v>15</v>
      </c>
      <c r="E1317" s="12" t="str">
        <f>IFERROR(__xludf.DUMMYFUNCTION("FILTER(colegios!$B$2:$B5618,colegios!$A$2:$A5618=L1317)"),"SANTIAGO ANTUNEZ DE MAYOLO")</f>
        <v>SANTIAGO ANTUNEZ DE MAYOLO</v>
      </c>
      <c r="F1317" s="14" t="s">
        <v>16</v>
      </c>
      <c r="G1317" s="20" t="s">
        <v>17</v>
      </c>
      <c r="H1317" s="14" t="s">
        <v>24</v>
      </c>
      <c r="I1317" s="22">
        <v>2023.0</v>
      </c>
      <c r="J1317" s="16" t="str">
        <f>IFERROR(__xludf.DUMMYFUNCTION("FILTER('CLASFICACIÓN'!$F$3:$F5618,'CLASFICACIÓN'!$G$3:$G5618=M1317)"),"SOLO 2023")</f>
        <v>SOLO 2023</v>
      </c>
      <c r="K1317" s="16"/>
      <c r="L1317" s="14" t="s">
        <v>110</v>
      </c>
      <c r="M1317" s="16" t="str">
        <f t="shared" si="1"/>
        <v>SANTIAGO ANTUNEZ DE MAYOLO2 Primaria</v>
      </c>
      <c r="N1317" s="17"/>
      <c r="O1317" s="17"/>
      <c r="P1317" s="17"/>
      <c r="Q1317" s="17"/>
      <c r="R1317" s="17"/>
      <c r="S1317" s="17"/>
      <c r="T1317" s="17"/>
    </row>
    <row r="1318">
      <c r="A1318" s="21">
        <v>121.0</v>
      </c>
      <c r="B1318" s="20" t="s">
        <v>84</v>
      </c>
      <c r="C1318" s="14" t="s">
        <v>14</v>
      </c>
      <c r="D1318" s="20" t="s">
        <v>15</v>
      </c>
      <c r="E1318" s="12" t="str">
        <f>IFERROR(__xludf.DUMMYFUNCTION("FILTER(colegios!$B$2:$B5618,colegios!$A$2:$A5618=L1318)"),"SANTIAGO ANTUNEZ DE MAYOLO")</f>
        <v>SANTIAGO ANTUNEZ DE MAYOLO</v>
      </c>
      <c r="F1318" s="14" t="s">
        <v>16</v>
      </c>
      <c r="G1318" s="20" t="s">
        <v>21</v>
      </c>
      <c r="H1318" s="14" t="s">
        <v>24</v>
      </c>
      <c r="I1318" s="22">
        <v>2023.0</v>
      </c>
      <c r="J1318" s="16" t="str">
        <f>IFERROR(__xludf.DUMMYFUNCTION("FILTER('CLASFICACIÓN'!$F$3:$F5618,'CLASFICACIÓN'!$G$3:$G5618=M1318)"),"SOLO 2023")</f>
        <v>SOLO 2023</v>
      </c>
      <c r="K1318" s="16"/>
      <c r="L1318" s="14" t="s">
        <v>110</v>
      </c>
      <c r="M1318" s="16" t="str">
        <f t="shared" si="1"/>
        <v>SANTIAGO ANTUNEZ DE MAYOLO2 Primaria</v>
      </c>
      <c r="N1318" s="17"/>
      <c r="O1318" s="17"/>
      <c r="P1318" s="17"/>
      <c r="Q1318" s="17"/>
      <c r="R1318" s="17"/>
      <c r="S1318" s="17"/>
      <c r="T1318" s="17"/>
    </row>
    <row r="1319">
      <c r="A1319" s="21">
        <v>122.0</v>
      </c>
      <c r="B1319" s="20" t="s">
        <v>84</v>
      </c>
      <c r="C1319" s="14" t="s">
        <v>14</v>
      </c>
      <c r="D1319" s="20" t="s">
        <v>15</v>
      </c>
      <c r="E1319" s="12" t="str">
        <f>IFERROR(__xludf.DUMMYFUNCTION("FILTER(colegios!$B$2:$B5618,colegios!$A$2:$A5618=L1319)"),"SANTIAGO ANTUNEZ DE MAYOLO")</f>
        <v>SANTIAGO ANTUNEZ DE MAYOLO</v>
      </c>
      <c r="F1319" s="14" t="s">
        <v>16</v>
      </c>
      <c r="G1319" s="20" t="s">
        <v>21</v>
      </c>
      <c r="H1319" s="14" t="s">
        <v>24</v>
      </c>
      <c r="I1319" s="22">
        <v>2023.0</v>
      </c>
      <c r="J1319" s="16" t="str">
        <f>IFERROR(__xludf.DUMMYFUNCTION("FILTER('CLASFICACIÓN'!$F$3:$F5618,'CLASFICACIÓN'!$G$3:$G5618=M1319)"),"SOLO 2023")</f>
        <v>SOLO 2023</v>
      </c>
      <c r="K1319" s="16"/>
      <c r="L1319" s="14" t="s">
        <v>110</v>
      </c>
      <c r="M1319" s="16" t="str">
        <f t="shared" si="1"/>
        <v>SANTIAGO ANTUNEZ DE MAYOLO2 Primaria</v>
      </c>
      <c r="N1319" s="17"/>
      <c r="O1319" s="17"/>
      <c r="P1319" s="17"/>
      <c r="Q1319" s="17"/>
      <c r="R1319" s="17"/>
      <c r="S1319" s="17"/>
      <c r="T1319" s="17"/>
    </row>
    <row r="1320">
      <c r="A1320" s="21">
        <v>123.0</v>
      </c>
      <c r="B1320" s="20" t="s">
        <v>84</v>
      </c>
      <c r="C1320" s="14" t="s">
        <v>14</v>
      </c>
      <c r="D1320" s="20" t="s">
        <v>15</v>
      </c>
      <c r="E1320" s="12" t="str">
        <f>IFERROR(__xludf.DUMMYFUNCTION("FILTER(colegios!$B$2:$B5618,colegios!$A$2:$A5618=L1320)"),"SANTIAGO ANTUNEZ DE MAYOLO")</f>
        <v>SANTIAGO ANTUNEZ DE MAYOLO</v>
      </c>
      <c r="F1320" s="14" t="s">
        <v>16</v>
      </c>
      <c r="G1320" s="20" t="s">
        <v>21</v>
      </c>
      <c r="H1320" s="14" t="s">
        <v>18</v>
      </c>
      <c r="I1320" s="22">
        <v>2023.0</v>
      </c>
      <c r="J1320" s="16" t="str">
        <f>IFERROR(__xludf.DUMMYFUNCTION("FILTER('CLASFICACIÓN'!$F$3:$F5618,'CLASFICACIÓN'!$G$3:$G5618=M1320)"),"SOLO 2023")</f>
        <v>SOLO 2023</v>
      </c>
      <c r="K1320" s="16"/>
      <c r="L1320" s="14" t="s">
        <v>110</v>
      </c>
      <c r="M1320" s="16" t="str">
        <f t="shared" si="1"/>
        <v>SANTIAGO ANTUNEZ DE MAYOLO2 Primaria</v>
      </c>
      <c r="N1320" s="17"/>
      <c r="O1320" s="17"/>
      <c r="P1320" s="17"/>
      <c r="Q1320" s="17"/>
      <c r="R1320" s="17"/>
      <c r="S1320" s="17"/>
      <c r="T1320" s="17"/>
    </row>
    <row r="1321">
      <c r="A1321" s="21">
        <v>124.0</v>
      </c>
      <c r="B1321" s="20" t="s">
        <v>84</v>
      </c>
      <c r="C1321" s="14" t="s">
        <v>14</v>
      </c>
      <c r="D1321" s="20" t="s">
        <v>20</v>
      </c>
      <c r="E1321" s="12" t="str">
        <f>IFERROR(__xludf.DUMMYFUNCTION("FILTER(colegios!$B$2:$B5618,colegios!$A$2:$A5618=L1321)"),"SANTIAGO ANTUNEZ DE MAYOLO")</f>
        <v>SANTIAGO ANTUNEZ DE MAYOLO</v>
      </c>
      <c r="F1321" s="14" t="s">
        <v>16</v>
      </c>
      <c r="G1321" s="20" t="s">
        <v>21</v>
      </c>
      <c r="H1321" s="14" t="s">
        <v>18</v>
      </c>
      <c r="I1321" s="22">
        <v>2023.0</v>
      </c>
      <c r="J1321" s="16" t="str">
        <f>IFERROR(__xludf.DUMMYFUNCTION("FILTER('CLASFICACIÓN'!$F$3:$F5618,'CLASFICACIÓN'!$G$3:$G5618=M1321)"),"SOLO 2023")</f>
        <v>SOLO 2023</v>
      </c>
      <c r="K1321" s="16"/>
      <c r="L1321" s="14" t="s">
        <v>110</v>
      </c>
      <c r="M1321" s="16" t="str">
        <f t="shared" si="1"/>
        <v>SANTIAGO ANTUNEZ DE MAYOLO4 Primaria</v>
      </c>
      <c r="N1321" s="17"/>
      <c r="O1321" s="17"/>
      <c r="P1321" s="17"/>
      <c r="Q1321" s="17"/>
      <c r="R1321" s="17"/>
      <c r="S1321" s="17"/>
      <c r="T1321" s="17"/>
    </row>
    <row r="1322">
      <c r="A1322" s="21">
        <v>125.0</v>
      </c>
      <c r="B1322" s="20" t="s">
        <v>84</v>
      </c>
      <c r="C1322" s="14" t="s">
        <v>14</v>
      </c>
      <c r="D1322" s="20" t="s">
        <v>20</v>
      </c>
      <c r="E1322" s="12" t="str">
        <f>IFERROR(__xludf.DUMMYFUNCTION("FILTER(colegios!$B$2:$B5618,colegios!$A$2:$A5618=L1322)"),"SANTIAGO ANTUNEZ DE MAYOLO")</f>
        <v>SANTIAGO ANTUNEZ DE MAYOLO</v>
      </c>
      <c r="F1322" s="14" t="s">
        <v>16</v>
      </c>
      <c r="G1322" s="20" t="s">
        <v>17</v>
      </c>
      <c r="H1322" s="14" t="s">
        <v>18</v>
      </c>
      <c r="I1322" s="22">
        <v>2023.0</v>
      </c>
      <c r="J1322" s="16" t="str">
        <f>IFERROR(__xludf.DUMMYFUNCTION("FILTER('CLASFICACIÓN'!$F$3:$F5618,'CLASFICACIÓN'!$G$3:$G5618=M1322)"),"SOLO 2023")</f>
        <v>SOLO 2023</v>
      </c>
      <c r="K1322" s="16"/>
      <c r="L1322" s="14" t="s">
        <v>110</v>
      </c>
      <c r="M1322" s="16" t="str">
        <f t="shared" si="1"/>
        <v>SANTIAGO ANTUNEZ DE MAYOLO4 Primaria</v>
      </c>
      <c r="N1322" s="17"/>
      <c r="O1322" s="17"/>
      <c r="P1322" s="17"/>
      <c r="Q1322" s="17"/>
      <c r="R1322" s="17"/>
      <c r="S1322" s="17"/>
      <c r="T1322" s="17"/>
    </row>
    <row r="1323">
      <c r="A1323" s="21">
        <v>126.0</v>
      </c>
      <c r="B1323" s="20" t="s">
        <v>84</v>
      </c>
      <c r="C1323" s="14" t="s">
        <v>14</v>
      </c>
      <c r="D1323" s="20" t="s">
        <v>20</v>
      </c>
      <c r="E1323" s="12" t="str">
        <f>IFERROR(__xludf.DUMMYFUNCTION("FILTER(colegios!$B$2:$B5618,colegios!$A$2:$A5618=L1323)"),"SANTIAGO ANTUNEZ DE MAYOLO")</f>
        <v>SANTIAGO ANTUNEZ DE MAYOLO</v>
      </c>
      <c r="F1323" s="14" t="s">
        <v>16</v>
      </c>
      <c r="G1323" s="20" t="s">
        <v>21</v>
      </c>
      <c r="H1323" s="14" t="s">
        <v>24</v>
      </c>
      <c r="I1323" s="22">
        <v>2023.0</v>
      </c>
      <c r="J1323" s="16" t="str">
        <f>IFERROR(__xludf.DUMMYFUNCTION("FILTER('CLASFICACIÓN'!$F$3:$F5618,'CLASFICACIÓN'!$G$3:$G5618=M1323)"),"SOLO 2023")</f>
        <v>SOLO 2023</v>
      </c>
      <c r="K1323" s="16"/>
      <c r="L1323" s="14" t="s">
        <v>110</v>
      </c>
      <c r="M1323" s="16" t="str">
        <f t="shared" si="1"/>
        <v>SANTIAGO ANTUNEZ DE MAYOLO4 Primaria</v>
      </c>
      <c r="N1323" s="17"/>
      <c r="O1323" s="17"/>
      <c r="P1323" s="17"/>
      <c r="Q1323" s="17"/>
      <c r="R1323" s="17"/>
      <c r="S1323" s="17"/>
      <c r="T1323" s="17"/>
    </row>
    <row r="1324">
      <c r="A1324" s="21">
        <v>127.0</v>
      </c>
      <c r="B1324" s="20" t="s">
        <v>84</v>
      </c>
      <c r="C1324" s="14" t="s">
        <v>14</v>
      </c>
      <c r="D1324" s="20" t="s">
        <v>20</v>
      </c>
      <c r="E1324" s="12" t="str">
        <f>IFERROR(__xludf.DUMMYFUNCTION("FILTER(colegios!$B$2:$B5618,colegios!$A$2:$A5618=L1324)"),"SANTIAGO ANTUNEZ DE MAYOLO")</f>
        <v>SANTIAGO ANTUNEZ DE MAYOLO</v>
      </c>
      <c r="F1324" s="14" t="s">
        <v>16</v>
      </c>
      <c r="G1324" s="20" t="s">
        <v>21</v>
      </c>
      <c r="H1324" s="14" t="s">
        <v>18</v>
      </c>
      <c r="I1324" s="22">
        <v>2023.0</v>
      </c>
      <c r="J1324" s="16" t="str">
        <f>IFERROR(__xludf.DUMMYFUNCTION("FILTER('CLASFICACIÓN'!$F$3:$F5618,'CLASFICACIÓN'!$G$3:$G5618=M1324)"),"SOLO 2023")</f>
        <v>SOLO 2023</v>
      </c>
      <c r="K1324" s="16"/>
      <c r="L1324" s="14" t="s">
        <v>110</v>
      </c>
      <c r="M1324" s="16" t="str">
        <f t="shared" si="1"/>
        <v>SANTIAGO ANTUNEZ DE MAYOLO4 Primaria</v>
      </c>
      <c r="N1324" s="17"/>
      <c r="O1324" s="17"/>
      <c r="P1324" s="17"/>
      <c r="Q1324" s="17"/>
      <c r="R1324" s="17"/>
      <c r="S1324" s="17"/>
      <c r="T1324" s="17"/>
    </row>
    <row r="1325">
      <c r="A1325" s="21">
        <v>128.0</v>
      </c>
      <c r="B1325" s="20" t="s">
        <v>84</v>
      </c>
      <c r="C1325" s="14" t="s">
        <v>14</v>
      </c>
      <c r="D1325" s="20" t="s">
        <v>20</v>
      </c>
      <c r="E1325" s="12" t="str">
        <f>IFERROR(__xludf.DUMMYFUNCTION("FILTER(colegios!$B$2:$B5618,colegios!$A$2:$A5618=L1325)"),"SANTIAGO ANTUNEZ DE MAYOLO")</f>
        <v>SANTIAGO ANTUNEZ DE MAYOLO</v>
      </c>
      <c r="F1325" s="14" t="s">
        <v>16</v>
      </c>
      <c r="G1325" s="20" t="s">
        <v>17</v>
      </c>
      <c r="H1325" s="14" t="s">
        <v>24</v>
      </c>
      <c r="I1325" s="22">
        <v>2023.0</v>
      </c>
      <c r="J1325" s="16" t="str">
        <f>IFERROR(__xludf.DUMMYFUNCTION("FILTER('CLASFICACIÓN'!$F$3:$F5618,'CLASFICACIÓN'!$G$3:$G5618=M1325)"),"SOLO 2023")</f>
        <v>SOLO 2023</v>
      </c>
      <c r="K1325" s="16"/>
      <c r="L1325" s="14" t="s">
        <v>110</v>
      </c>
      <c r="M1325" s="16" t="str">
        <f t="shared" si="1"/>
        <v>SANTIAGO ANTUNEZ DE MAYOLO4 Primaria</v>
      </c>
      <c r="N1325" s="17"/>
      <c r="O1325" s="17"/>
      <c r="P1325" s="17"/>
      <c r="Q1325" s="17"/>
      <c r="R1325" s="17"/>
      <c r="S1325" s="17"/>
      <c r="T1325" s="17"/>
    </row>
    <row r="1326">
      <c r="A1326" s="21">
        <v>129.0</v>
      </c>
      <c r="B1326" s="20" t="s">
        <v>84</v>
      </c>
      <c r="C1326" s="14" t="s">
        <v>14</v>
      </c>
      <c r="D1326" s="20" t="s">
        <v>20</v>
      </c>
      <c r="E1326" s="12" t="str">
        <f>IFERROR(__xludf.DUMMYFUNCTION("FILTER(colegios!$B$2:$B5618,colegios!$A$2:$A5618=L1326)"),"SANTIAGO ANTUNEZ DE MAYOLO")</f>
        <v>SANTIAGO ANTUNEZ DE MAYOLO</v>
      </c>
      <c r="F1326" s="14" t="s">
        <v>16</v>
      </c>
      <c r="G1326" s="20" t="s">
        <v>17</v>
      </c>
      <c r="H1326" s="14" t="s">
        <v>18</v>
      </c>
      <c r="I1326" s="22">
        <v>2023.0</v>
      </c>
      <c r="J1326" s="16" t="str">
        <f>IFERROR(__xludf.DUMMYFUNCTION("FILTER('CLASFICACIÓN'!$F$3:$F5618,'CLASFICACIÓN'!$G$3:$G5618=M1326)"),"SOLO 2023")</f>
        <v>SOLO 2023</v>
      </c>
      <c r="K1326" s="16"/>
      <c r="L1326" s="14" t="s">
        <v>110</v>
      </c>
      <c r="M1326" s="16" t="str">
        <f t="shared" si="1"/>
        <v>SANTIAGO ANTUNEZ DE MAYOLO4 Primaria</v>
      </c>
      <c r="N1326" s="17"/>
      <c r="O1326" s="17"/>
      <c r="P1326" s="17"/>
      <c r="Q1326" s="17"/>
      <c r="R1326" s="17"/>
      <c r="S1326" s="17"/>
      <c r="T1326" s="17"/>
    </row>
    <row r="1327">
      <c r="A1327" s="21">
        <v>130.0</v>
      </c>
      <c r="B1327" s="20" t="s">
        <v>84</v>
      </c>
      <c r="C1327" s="14" t="s">
        <v>14</v>
      </c>
      <c r="D1327" s="20" t="s">
        <v>20</v>
      </c>
      <c r="E1327" s="12" t="str">
        <f>IFERROR(__xludf.DUMMYFUNCTION("FILTER(colegios!$B$2:$B5618,colegios!$A$2:$A5618=L1327)"),"SANTIAGO ANTUNEZ DE MAYOLO")</f>
        <v>SANTIAGO ANTUNEZ DE MAYOLO</v>
      </c>
      <c r="F1327" s="14" t="s">
        <v>16</v>
      </c>
      <c r="G1327" s="20" t="s">
        <v>17</v>
      </c>
      <c r="H1327" s="14" t="s">
        <v>18</v>
      </c>
      <c r="I1327" s="22">
        <v>2023.0</v>
      </c>
      <c r="J1327" s="16" t="str">
        <f>IFERROR(__xludf.DUMMYFUNCTION("FILTER('CLASFICACIÓN'!$F$3:$F5618,'CLASFICACIÓN'!$G$3:$G5618=M1327)"),"SOLO 2023")</f>
        <v>SOLO 2023</v>
      </c>
      <c r="K1327" s="16"/>
      <c r="L1327" s="14" t="s">
        <v>110</v>
      </c>
      <c r="M1327" s="16" t="str">
        <f t="shared" si="1"/>
        <v>SANTIAGO ANTUNEZ DE MAYOLO4 Primaria</v>
      </c>
      <c r="N1327" s="17"/>
      <c r="O1327" s="17"/>
      <c r="P1327" s="17"/>
      <c r="Q1327" s="17"/>
      <c r="R1327" s="17"/>
      <c r="S1327" s="17"/>
      <c r="T1327" s="17"/>
    </row>
    <row r="1328">
      <c r="A1328" s="21">
        <v>131.0</v>
      </c>
      <c r="B1328" s="20" t="s">
        <v>84</v>
      </c>
      <c r="C1328" s="14" t="s">
        <v>14</v>
      </c>
      <c r="D1328" s="20" t="s">
        <v>20</v>
      </c>
      <c r="E1328" s="12" t="str">
        <f>IFERROR(__xludf.DUMMYFUNCTION("FILTER(colegios!$B$2:$B5618,colegios!$A$2:$A5618=L1328)"),"SANTIAGO ANTUNEZ DE MAYOLO")</f>
        <v>SANTIAGO ANTUNEZ DE MAYOLO</v>
      </c>
      <c r="F1328" s="14" t="s">
        <v>16</v>
      </c>
      <c r="G1328" s="20" t="s">
        <v>17</v>
      </c>
      <c r="H1328" s="14" t="s">
        <v>18</v>
      </c>
      <c r="I1328" s="22">
        <v>2023.0</v>
      </c>
      <c r="J1328" s="16" t="str">
        <f>IFERROR(__xludf.DUMMYFUNCTION("FILTER('CLASFICACIÓN'!$F$3:$F5618,'CLASFICACIÓN'!$G$3:$G5618=M1328)"),"SOLO 2023")</f>
        <v>SOLO 2023</v>
      </c>
      <c r="K1328" s="16"/>
      <c r="L1328" s="14" t="s">
        <v>110</v>
      </c>
      <c r="M1328" s="16" t="str">
        <f t="shared" si="1"/>
        <v>SANTIAGO ANTUNEZ DE MAYOLO4 Primaria</v>
      </c>
      <c r="N1328" s="17"/>
      <c r="O1328" s="17"/>
      <c r="P1328" s="17"/>
      <c r="Q1328" s="17"/>
      <c r="R1328" s="17"/>
      <c r="S1328" s="17"/>
      <c r="T1328" s="17"/>
    </row>
    <row r="1329">
      <c r="A1329" s="21">
        <v>132.0</v>
      </c>
      <c r="B1329" s="20" t="s">
        <v>84</v>
      </c>
      <c r="C1329" s="14" t="s">
        <v>14</v>
      </c>
      <c r="D1329" s="20" t="s">
        <v>20</v>
      </c>
      <c r="E1329" s="12" t="str">
        <f>IFERROR(__xludf.DUMMYFUNCTION("FILTER(colegios!$B$2:$B5618,colegios!$A$2:$A5618=L1329)"),"SANTIAGO ANTUNEZ DE MAYOLO")</f>
        <v>SANTIAGO ANTUNEZ DE MAYOLO</v>
      </c>
      <c r="F1329" s="14" t="s">
        <v>16</v>
      </c>
      <c r="G1329" s="20" t="s">
        <v>17</v>
      </c>
      <c r="H1329" s="14" t="s">
        <v>24</v>
      </c>
      <c r="I1329" s="22">
        <v>2023.0</v>
      </c>
      <c r="J1329" s="16" t="str">
        <f>IFERROR(__xludf.DUMMYFUNCTION("FILTER('CLASFICACIÓN'!$F$3:$F5618,'CLASFICACIÓN'!$G$3:$G5618=M1329)"),"SOLO 2023")</f>
        <v>SOLO 2023</v>
      </c>
      <c r="K1329" s="16"/>
      <c r="L1329" s="14" t="s">
        <v>110</v>
      </c>
      <c r="M1329" s="16" t="str">
        <f t="shared" si="1"/>
        <v>SANTIAGO ANTUNEZ DE MAYOLO4 Primaria</v>
      </c>
      <c r="N1329" s="17"/>
      <c r="O1329" s="17"/>
      <c r="P1329" s="17"/>
      <c r="Q1329" s="17"/>
      <c r="R1329" s="17"/>
      <c r="S1329" s="17"/>
      <c r="T1329" s="17"/>
    </row>
    <row r="1330">
      <c r="A1330" s="21">
        <v>133.0</v>
      </c>
      <c r="B1330" s="20" t="s">
        <v>84</v>
      </c>
      <c r="C1330" s="14" t="s">
        <v>14</v>
      </c>
      <c r="D1330" s="20" t="s">
        <v>20</v>
      </c>
      <c r="E1330" s="12" t="str">
        <f>IFERROR(__xludf.DUMMYFUNCTION("FILTER(colegios!$B$2:$B5618,colegios!$A$2:$A5618=L1330)"),"SANTIAGO ANTUNEZ DE MAYOLO")</f>
        <v>SANTIAGO ANTUNEZ DE MAYOLO</v>
      </c>
      <c r="F1330" s="14" t="s">
        <v>16</v>
      </c>
      <c r="G1330" s="20" t="s">
        <v>21</v>
      </c>
      <c r="H1330" s="14" t="s">
        <v>24</v>
      </c>
      <c r="I1330" s="22">
        <v>2023.0</v>
      </c>
      <c r="J1330" s="16" t="str">
        <f>IFERROR(__xludf.DUMMYFUNCTION("FILTER('CLASFICACIÓN'!$F$3:$F5618,'CLASFICACIÓN'!$G$3:$G5618=M1330)"),"SOLO 2023")</f>
        <v>SOLO 2023</v>
      </c>
      <c r="K1330" s="16"/>
      <c r="L1330" s="14" t="s">
        <v>110</v>
      </c>
      <c r="M1330" s="16" t="str">
        <f t="shared" si="1"/>
        <v>SANTIAGO ANTUNEZ DE MAYOLO4 Primaria</v>
      </c>
      <c r="N1330" s="17"/>
      <c r="O1330" s="17"/>
      <c r="P1330" s="17"/>
      <c r="Q1330" s="17"/>
      <c r="R1330" s="17"/>
      <c r="S1330" s="17"/>
      <c r="T1330" s="17"/>
    </row>
    <row r="1331">
      <c r="A1331" s="21">
        <v>134.0</v>
      </c>
      <c r="B1331" s="20" t="s">
        <v>84</v>
      </c>
      <c r="C1331" s="14" t="s">
        <v>14</v>
      </c>
      <c r="D1331" s="20" t="s">
        <v>20</v>
      </c>
      <c r="E1331" s="12" t="str">
        <f>IFERROR(__xludf.DUMMYFUNCTION("FILTER(colegios!$B$2:$B5618,colegios!$A$2:$A5618=L1331)"),"SANTIAGO ANTUNEZ DE MAYOLO")</f>
        <v>SANTIAGO ANTUNEZ DE MAYOLO</v>
      </c>
      <c r="F1331" s="14" t="s">
        <v>16</v>
      </c>
      <c r="G1331" s="20" t="s">
        <v>21</v>
      </c>
      <c r="H1331" s="14" t="s">
        <v>18</v>
      </c>
      <c r="I1331" s="22">
        <v>2023.0</v>
      </c>
      <c r="J1331" s="16" t="str">
        <f>IFERROR(__xludf.DUMMYFUNCTION("FILTER('CLASFICACIÓN'!$F$3:$F5618,'CLASFICACIÓN'!$G$3:$G5618=M1331)"),"SOLO 2023")</f>
        <v>SOLO 2023</v>
      </c>
      <c r="K1331" s="16"/>
      <c r="L1331" s="14" t="s">
        <v>110</v>
      </c>
      <c r="M1331" s="16" t="str">
        <f t="shared" si="1"/>
        <v>SANTIAGO ANTUNEZ DE MAYOLO4 Primaria</v>
      </c>
      <c r="N1331" s="17"/>
      <c r="O1331" s="17"/>
      <c r="P1331" s="17"/>
      <c r="Q1331" s="17"/>
      <c r="R1331" s="17"/>
      <c r="S1331" s="17"/>
      <c r="T1331" s="17"/>
    </row>
    <row r="1332">
      <c r="A1332" s="21">
        <v>135.0</v>
      </c>
      <c r="B1332" s="20" t="s">
        <v>84</v>
      </c>
      <c r="C1332" s="14" t="s">
        <v>14</v>
      </c>
      <c r="D1332" s="20" t="s">
        <v>20</v>
      </c>
      <c r="E1332" s="12" t="str">
        <f>IFERROR(__xludf.DUMMYFUNCTION("FILTER(colegios!$B$2:$B5618,colegios!$A$2:$A5618=L1332)"),"SANTIAGO ANTUNEZ DE MAYOLO")</f>
        <v>SANTIAGO ANTUNEZ DE MAYOLO</v>
      </c>
      <c r="F1332" s="14" t="s">
        <v>16</v>
      </c>
      <c r="G1332" s="20" t="s">
        <v>21</v>
      </c>
      <c r="H1332" s="14" t="s">
        <v>18</v>
      </c>
      <c r="I1332" s="22">
        <v>2023.0</v>
      </c>
      <c r="J1332" s="16" t="str">
        <f>IFERROR(__xludf.DUMMYFUNCTION("FILTER('CLASFICACIÓN'!$F$3:$F5618,'CLASFICACIÓN'!$G$3:$G5618=M1332)"),"SOLO 2023")</f>
        <v>SOLO 2023</v>
      </c>
      <c r="K1332" s="16"/>
      <c r="L1332" s="14" t="s">
        <v>110</v>
      </c>
      <c r="M1332" s="16" t="str">
        <f t="shared" si="1"/>
        <v>SANTIAGO ANTUNEZ DE MAYOLO4 Primaria</v>
      </c>
      <c r="N1332" s="17"/>
      <c r="O1332" s="17"/>
      <c r="P1332" s="17"/>
      <c r="Q1332" s="17"/>
      <c r="R1332" s="17"/>
      <c r="S1332" s="17"/>
      <c r="T1332" s="17"/>
    </row>
    <row r="1333">
      <c r="A1333" s="21">
        <v>136.0</v>
      </c>
      <c r="B1333" s="20" t="s">
        <v>84</v>
      </c>
      <c r="C1333" s="14" t="s">
        <v>14</v>
      </c>
      <c r="D1333" s="20" t="s">
        <v>20</v>
      </c>
      <c r="E1333" s="12" t="str">
        <f>IFERROR(__xludf.DUMMYFUNCTION("FILTER(colegios!$B$2:$B5618,colegios!$A$2:$A5618=L1333)"),"SANTIAGO ANTUNEZ DE MAYOLO")</f>
        <v>SANTIAGO ANTUNEZ DE MAYOLO</v>
      </c>
      <c r="F1333" s="14" t="s">
        <v>16</v>
      </c>
      <c r="G1333" s="20" t="s">
        <v>21</v>
      </c>
      <c r="H1333" s="14" t="s">
        <v>24</v>
      </c>
      <c r="I1333" s="22">
        <v>2023.0</v>
      </c>
      <c r="J1333" s="16" t="str">
        <f>IFERROR(__xludf.DUMMYFUNCTION("FILTER('CLASFICACIÓN'!$F$3:$F5618,'CLASFICACIÓN'!$G$3:$G5618=M1333)"),"SOLO 2023")</f>
        <v>SOLO 2023</v>
      </c>
      <c r="K1333" s="16"/>
      <c r="L1333" s="14" t="s">
        <v>110</v>
      </c>
      <c r="M1333" s="16" t="str">
        <f t="shared" si="1"/>
        <v>SANTIAGO ANTUNEZ DE MAYOLO4 Primaria</v>
      </c>
      <c r="N1333" s="17"/>
      <c r="O1333" s="17"/>
      <c r="P1333" s="17"/>
      <c r="Q1333" s="17"/>
      <c r="R1333" s="17"/>
      <c r="S1333" s="17"/>
      <c r="T1333" s="17"/>
    </row>
    <row r="1334">
      <c r="A1334" s="21">
        <v>137.0</v>
      </c>
      <c r="B1334" s="20" t="s">
        <v>84</v>
      </c>
      <c r="C1334" s="14" t="s">
        <v>14</v>
      </c>
      <c r="D1334" s="20" t="s">
        <v>20</v>
      </c>
      <c r="E1334" s="12" t="str">
        <f>IFERROR(__xludf.DUMMYFUNCTION("FILTER(colegios!$B$2:$B5618,colegios!$A$2:$A5618=L1334)"),"SANTIAGO ANTUNEZ DE MAYOLO")</f>
        <v>SANTIAGO ANTUNEZ DE MAYOLO</v>
      </c>
      <c r="F1334" s="14" t="s">
        <v>16</v>
      </c>
      <c r="G1334" s="20" t="s">
        <v>21</v>
      </c>
      <c r="H1334" s="14" t="s">
        <v>24</v>
      </c>
      <c r="I1334" s="22">
        <v>2023.0</v>
      </c>
      <c r="J1334" s="16" t="str">
        <f>IFERROR(__xludf.DUMMYFUNCTION("FILTER('CLASFICACIÓN'!$F$3:$F5618,'CLASFICACIÓN'!$G$3:$G5618=M1334)"),"SOLO 2023")</f>
        <v>SOLO 2023</v>
      </c>
      <c r="K1334" s="16"/>
      <c r="L1334" s="14" t="s">
        <v>110</v>
      </c>
      <c r="M1334" s="16" t="str">
        <f t="shared" si="1"/>
        <v>SANTIAGO ANTUNEZ DE MAYOLO4 Primaria</v>
      </c>
      <c r="N1334" s="17"/>
      <c r="O1334" s="17"/>
      <c r="P1334" s="17"/>
      <c r="Q1334" s="17"/>
      <c r="R1334" s="17"/>
      <c r="S1334" s="17"/>
      <c r="T1334" s="17"/>
    </row>
    <row r="1335">
      <c r="A1335" s="21">
        <v>138.0</v>
      </c>
      <c r="B1335" s="20" t="s">
        <v>84</v>
      </c>
      <c r="C1335" s="14" t="s">
        <v>14</v>
      </c>
      <c r="D1335" s="20" t="s">
        <v>22</v>
      </c>
      <c r="E1335" s="12" t="str">
        <f>IFERROR(__xludf.DUMMYFUNCTION("FILTER(colegios!$B$2:$B5618,colegios!$A$2:$A5618=L1335)"),"SANTIAGO ANTUNEZ DE MAYOLO")</f>
        <v>SANTIAGO ANTUNEZ DE MAYOLO</v>
      </c>
      <c r="F1335" s="14" t="s">
        <v>16</v>
      </c>
      <c r="G1335" s="20" t="s">
        <v>21</v>
      </c>
      <c r="H1335" s="14" t="s">
        <v>24</v>
      </c>
      <c r="I1335" s="22">
        <v>2023.0</v>
      </c>
      <c r="J1335" s="16" t="str">
        <f>IFERROR(__xludf.DUMMYFUNCTION("FILTER('CLASFICACIÓN'!$F$3:$F5618,'CLASFICACIÓN'!$G$3:$G5618=M1335)"),"SOLO 2023")</f>
        <v>SOLO 2023</v>
      </c>
      <c r="K1335" s="16"/>
      <c r="L1335" s="14" t="s">
        <v>110</v>
      </c>
      <c r="M1335" s="16" t="str">
        <f t="shared" si="1"/>
        <v>SANTIAGO ANTUNEZ DE MAYOLO6 Primaria</v>
      </c>
      <c r="N1335" s="17"/>
      <c r="O1335" s="17"/>
      <c r="P1335" s="17"/>
      <c r="Q1335" s="17"/>
      <c r="R1335" s="17"/>
      <c r="S1335" s="17"/>
      <c r="T1335" s="17"/>
    </row>
    <row r="1336">
      <c r="A1336" s="21">
        <v>139.0</v>
      </c>
      <c r="B1336" s="20" t="s">
        <v>84</v>
      </c>
      <c r="C1336" s="14" t="s">
        <v>14</v>
      </c>
      <c r="D1336" s="20" t="s">
        <v>22</v>
      </c>
      <c r="E1336" s="12" t="str">
        <f>IFERROR(__xludf.DUMMYFUNCTION("FILTER(colegios!$B$2:$B5618,colegios!$A$2:$A5618=L1336)"),"SANTIAGO ANTUNEZ DE MAYOLO")</f>
        <v>SANTIAGO ANTUNEZ DE MAYOLO</v>
      </c>
      <c r="F1336" s="14" t="s">
        <v>16</v>
      </c>
      <c r="G1336" s="20" t="s">
        <v>17</v>
      </c>
      <c r="H1336" s="14" t="s">
        <v>24</v>
      </c>
      <c r="I1336" s="22">
        <v>2023.0</v>
      </c>
      <c r="J1336" s="16" t="str">
        <f>IFERROR(__xludf.DUMMYFUNCTION("FILTER('CLASFICACIÓN'!$F$3:$F5618,'CLASFICACIÓN'!$G$3:$G5618=M1336)"),"SOLO 2023")</f>
        <v>SOLO 2023</v>
      </c>
      <c r="K1336" s="16"/>
      <c r="L1336" s="14" t="s">
        <v>110</v>
      </c>
      <c r="M1336" s="16" t="str">
        <f t="shared" si="1"/>
        <v>SANTIAGO ANTUNEZ DE MAYOLO6 Primaria</v>
      </c>
      <c r="N1336" s="17"/>
      <c r="O1336" s="17"/>
      <c r="P1336" s="17"/>
      <c r="Q1336" s="17"/>
      <c r="R1336" s="17"/>
      <c r="S1336" s="17"/>
      <c r="T1336" s="17"/>
    </row>
    <row r="1337">
      <c r="A1337" s="21">
        <v>140.0</v>
      </c>
      <c r="B1337" s="20" t="s">
        <v>84</v>
      </c>
      <c r="C1337" s="14" t="s">
        <v>14</v>
      </c>
      <c r="D1337" s="20" t="s">
        <v>22</v>
      </c>
      <c r="E1337" s="12" t="str">
        <f>IFERROR(__xludf.DUMMYFUNCTION("FILTER(colegios!$B$2:$B5618,colegios!$A$2:$A5618=L1337)"),"SANTIAGO ANTUNEZ DE MAYOLO")</f>
        <v>SANTIAGO ANTUNEZ DE MAYOLO</v>
      </c>
      <c r="F1337" s="14" t="s">
        <v>16</v>
      </c>
      <c r="G1337" s="20" t="s">
        <v>21</v>
      </c>
      <c r="H1337" s="14" t="s">
        <v>18</v>
      </c>
      <c r="I1337" s="22">
        <v>2023.0</v>
      </c>
      <c r="J1337" s="16" t="str">
        <f>IFERROR(__xludf.DUMMYFUNCTION("FILTER('CLASFICACIÓN'!$F$3:$F5618,'CLASFICACIÓN'!$G$3:$G5618=M1337)"),"SOLO 2023")</f>
        <v>SOLO 2023</v>
      </c>
      <c r="K1337" s="16"/>
      <c r="L1337" s="14" t="s">
        <v>110</v>
      </c>
      <c r="M1337" s="16" t="str">
        <f t="shared" si="1"/>
        <v>SANTIAGO ANTUNEZ DE MAYOLO6 Primaria</v>
      </c>
      <c r="N1337" s="17"/>
      <c r="O1337" s="17"/>
      <c r="P1337" s="17"/>
      <c r="Q1337" s="17"/>
      <c r="R1337" s="17"/>
      <c r="S1337" s="17"/>
      <c r="T1337" s="17"/>
    </row>
    <row r="1338">
      <c r="A1338" s="21">
        <v>141.0</v>
      </c>
      <c r="B1338" s="20" t="s">
        <v>84</v>
      </c>
      <c r="C1338" s="14" t="s">
        <v>14</v>
      </c>
      <c r="D1338" s="20" t="s">
        <v>22</v>
      </c>
      <c r="E1338" s="12" t="str">
        <f>IFERROR(__xludf.DUMMYFUNCTION("FILTER(colegios!$B$2:$B5618,colegios!$A$2:$A5618=L1338)"),"SANTIAGO ANTUNEZ DE MAYOLO")</f>
        <v>SANTIAGO ANTUNEZ DE MAYOLO</v>
      </c>
      <c r="F1338" s="14" t="s">
        <v>16</v>
      </c>
      <c r="G1338" s="20" t="s">
        <v>17</v>
      </c>
      <c r="H1338" s="14" t="s">
        <v>24</v>
      </c>
      <c r="I1338" s="22">
        <v>2023.0</v>
      </c>
      <c r="J1338" s="16" t="str">
        <f>IFERROR(__xludf.DUMMYFUNCTION("FILTER('CLASFICACIÓN'!$F$3:$F5618,'CLASFICACIÓN'!$G$3:$G5618=M1338)"),"SOLO 2023")</f>
        <v>SOLO 2023</v>
      </c>
      <c r="K1338" s="16"/>
      <c r="L1338" s="14" t="s">
        <v>110</v>
      </c>
      <c r="M1338" s="16" t="str">
        <f t="shared" si="1"/>
        <v>SANTIAGO ANTUNEZ DE MAYOLO6 Primaria</v>
      </c>
      <c r="N1338" s="17"/>
      <c r="O1338" s="17"/>
      <c r="P1338" s="17"/>
      <c r="Q1338" s="17"/>
      <c r="R1338" s="17"/>
      <c r="S1338" s="17"/>
      <c r="T1338" s="17"/>
    </row>
    <row r="1339">
      <c r="A1339" s="21">
        <v>142.0</v>
      </c>
      <c r="B1339" s="20" t="s">
        <v>84</v>
      </c>
      <c r="C1339" s="14" t="s">
        <v>14</v>
      </c>
      <c r="D1339" s="20" t="s">
        <v>22</v>
      </c>
      <c r="E1339" s="12" t="str">
        <f>IFERROR(__xludf.DUMMYFUNCTION("FILTER(colegios!$B$2:$B5618,colegios!$A$2:$A5618=L1339)"),"SANTIAGO ANTUNEZ DE MAYOLO")</f>
        <v>SANTIAGO ANTUNEZ DE MAYOLO</v>
      </c>
      <c r="F1339" s="14" t="s">
        <v>16</v>
      </c>
      <c r="G1339" s="20" t="s">
        <v>21</v>
      </c>
      <c r="H1339" s="14" t="s">
        <v>24</v>
      </c>
      <c r="I1339" s="22">
        <v>2023.0</v>
      </c>
      <c r="J1339" s="16" t="str">
        <f>IFERROR(__xludf.DUMMYFUNCTION("FILTER('CLASFICACIÓN'!$F$3:$F5618,'CLASFICACIÓN'!$G$3:$G5618=M1339)"),"SOLO 2023")</f>
        <v>SOLO 2023</v>
      </c>
      <c r="K1339" s="16"/>
      <c r="L1339" s="14" t="s">
        <v>110</v>
      </c>
      <c r="M1339" s="16" t="str">
        <f t="shared" si="1"/>
        <v>SANTIAGO ANTUNEZ DE MAYOLO6 Primaria</v>
      </c>
      <c r="N1339" s="17"/>
      <c r="O1339" s="17"/>
      <c r="P1339" s="17"/>
      <c r="Q1339" s="17"/>
      <c r="R1339" s="17"/>
      <c r="S1339" s="17"/>
      <c r="T1339" s="17"/>
    </row>
    <row r="1340">
      <c r="A1340" s="21">
        <v>143.0</v>
      </c>
      <c r="B1340" s="20" t="s">
        <v>84</v>
      </c>
      <c r="C1340" s="14" t="s">
        <v>14</v>
      </c>
      <c r="D1340" s="20" t="s">
        <v>22</v>
      </c>
      <c r="E1340" s="12" t="str">
        <f>IFERROR(__xludf.DUMMYFUNCTION("FILTER(colegios!$B$2:$B5618,colegios!$A$2:$A5618=L1340)"),"SANTIAGO ANTUNEZ DE MAYOLO")</f>
        <v>SANTIAGO ANTUNEZ DE MAYOLO</v>
      </c>
      <c r="F1340" s="14" t="s">
        <v>16</v>
      </c>
      <c r="G1340" s="20" t="s">
        <v>17</v>
      </c>
      <c r="H1340" s="14" t="s">
        <v>18</v>
      </c>
      <c r="I1340" s="22">
        <v>2023.0</v>
      </c>
      <c r="J1340" s="16" t="str">
        <f>IFERROR(__xludf.DUMMYFUNCTION("FILTER('CLASFICACIÓN'!$F$3:$F5618,'CLASFICACIÓN'!$G$3:$G5618=M1340)"),"SOLO 2023")</f>
        <v>SOLO 2023</v>
      </c>
      <c r="K1340" s="16"/>
      <c r="L1340" s="14" t="s">
        <v>110</v>
      </c>
      <c r="M1340" s="16" t="str">
        <f t="shared" si="1"/>
        <v>SANTIAGO ANTUNEZ DE MAYOLO6 Primaria</v>
      </c>
      <c r="N1340" s="17"/>
      <c r="O1340" s="17"/>
      <c r="P1340" s="17"/>
      <c r="Q1340" s="17"/>
      <c r="R1340" s="17"/>
      <c r="S1340" s="17"/>
      <c r="T1340" s="17"/>
    </row>
    <row r="1341">
      <c r="A1341" s="21">
        <v>144.0</v>
      </c>
      <c r="B1341" s="20" t="s">
        <v>84</v>
      </c>
      <c r="C1341" s="14" t="s">
        <v>14</v>
      </c>
      <c r="D1341" s="20" t="s">
        <v>22</v>
      </c>
      <c r="E1341" s="12" t="str">
        <f>IFERROR(__xludf.DUMMYFUNCTION("FILTER(colegios!$B$2:$B5618,colegios!$A$2:$A5618=L1341)"),"SANTIAGO ANTUNEZ DE MAYOLO")</f>
        <v>SANTIAGO ANTUNEZ DE MAYOLO</v>
      </c>
      <c r="F1341" s="14" t="s">
        <v>16</v>
      </c>
      <c r="G1341" s="20" t="s">
        <v>17</v>
      </c>
      <c r="H1341" s="14" t="s">
        <v>18</v>
      </c>
      <c r="I1341" s="22">
        <v>2023.0</v>
      </c>
      <c r="J1341" s="16" t="str">
        <f>IFERROR(__xludf.DUMMYFUNCTION("FILTER('CLASFICACIÓN'!$F$3:$F5618,'CLASFICACIÓN'!$G$3:$G5618=M1341)"),"SOLO 2023")</f>
        <v>SOLO 2023</v>
      </c>
      <c r="K1341" s="16"/>
      <c r="L1341" s="14" t="s">
        <v>110</v>
      </c>
      <c r="M1341" s="16" t="str">
        <f t="shared" si="1"/>
        <v>SANTIAGO ANTUNEZ DE MAYOLO6 Primaria</v>
      </c>
      <c r="N1341" s="17"/>
      <c r="O1341" s="17"/>
      <c r="P1341" s="17"/>
      <c r="Q1341" s="17"/>
      <c r="R1341" s="17"/>
      <c r="S1341" s="17"/>
      <c r="T1341" s="17"/>
    </row>
    <row r="1342">
      <c r="A1342" s="21">
        <v>145.0</v>
      </c>
      <c r="B1342" s="20" t="s">
        <v>84</v>
      </c>
      <c r="C1342" s="14" t="s">
        <v>14</v>
      </c>
      <c r="D1342" s="20" t="s">
        <v>22</v>
      </c>
      <c r="E1342" s="12" t="str">
        <f>IFERROR(__xludf.DUMMYFUNCTION("FILTER(colegios!$B$2:$B5618,colegios!$A$2:$A5618=L1342)"),"SANTIAGO ANTUNEZ DE MAYOLO")</f>
        <v>SANTIAGO ANTUNEZ DE MAYOLO</v>
      </c>
      <c r="F1342" s="14" t="s">
        <v>16</v>
      </c>
      <c r="G1342" s="20" t="s">
        <v>21</v>
      </c>
      <c r="H1342" s="14" t="s">
        <v>18</v>
      </c>
      <c r="I1342" s="22">
        <v>2023.0</v>
      </c>
      <c r="J1342" s="16" t="str">
        <f>IFERROR(__xludf.DUMMYFUNCTION("FILTER('CLASFICACIÓN'!$F$3:$F5618,'CLASFICACIÓN'!$G$3:$G5618=M1342)"),"SOLO 2023")</f>
        <v>SOLO 2023</v>
      </c>
      <c r="K1342" s="16"/>
      <c r="L1342" s="14" t="s">
        <v>110</v>
      </c>
      <c r="M1342" s="16" t="str">
        <f t="shared" si="1"/>
        <v>SANTIAGO ANTUNEZ DE MAYOLO6 Primaria</v>
      </c>
      <c r="N1342" s="17"/>
      <c r="O1342" s="17"/>
      <c r="P1342" s="17"/>
      <c r="Q1342" s="17"/>
      <c r="R1342" s="17"/>
      <c r="S1342" s="17"/>
      <c r="T1342" s="17"/>
    </row>
    <row r="1343">
      <c r="A1343" s="21">
        <v>146.0</v>
      </c>
      <c r="B1343" s="20" t="s">
        <v>84</v>
      </c>
      <c r="C1343" s="14" t="s">
        <v>14</v>
      </c>
      <c r="D1343" s="20" t="s">
        <v>22</v>
      </c>
      <c r="E1343" s="12" t="str">
        <f>IFERROR(__xludf.DUMMYFUNCTION("FILTER(colegios!$B$2:$B5618,colegios!$A$2:$A5618=L1343)"),"SANTIAGO ANTUNEZ DE MAYOLO")</f>
        <v>SANTIAGO ANTUNEZ DE MAYOLO</v>
      </c>
      <c r="F1343" s="14" t="s">
        <v>16</v>
      </c>
      <c r="G1343" s="20" t="s">
        <v>17</v>
      </c>
      <c r="H1343" s="14" t="s">
        <v>24</v>
      </c>
      <c r="I1343" s="22">
        <v>2023.0</v>
      </c>
      <c r="J1343" s="16" t="str">
        <f>IFERROR(__xludf.DUMMYFUNCTION("FILTER('CLASFICACIÓN'!$F$3:$F5618,'CLASFICACIÓN'!$G$3:$G5618=M1343)"),"SOLO 2023")</f>
        <v>SOLO 2023</v>
      </c>
      <c r="K1343" s="16"/>
      <c r="L1343" s="14" t="s">
        <v>110</v>
      </c>
      <c r="M1343" s="16" t="str">
        <f t="shared" si="1"/>
        <v>SANTIAGO ANTUNEZ DE MAYOLO6 Primaria</v>
      </c>
      <c r="N1343" s="17"/>
      <c r="O1343" s="17"/>
      <c r="P1343" s="17"/>
      <c r="Q1343" s="17"/>
      <c r="R1343" s="17"/>
      <c r="S1343" s="17"/>
      <c r="T1343" s="17"/>
    </row>
    <row r="1344">
      <c r="A1344" s="21">
        <v>147.0</v>
      </c>
      <c r="B1344" s="20" t="s">
        <v>84</v>
      </c>
      <c r="C1344" s="14" t="s">
        <v>14</v>
      </c>
      <c r="D1344" s="20" t="s">
        <v>22</v>
      </c>
      <c r="E1344" s="12" t="str">
        <f>IFERROR(__xludf.DUMMYFUNCTION("FILTER(colegios!$B$2:$B5618,colegios!$A$2:$A5618=L1344)"),"SANTIAGO ANTUNEZ DE MAYOLO")</f>
        <v>SANTIAGO ANTUNEZ DE MAYOLO</v>
      </c>
      <c r="F1344" s="14" t="s">
        <v>16</v>
      </c>
      <c r="G1344" s="20" t="s">
        <v>17</v>
      </c>
      <c r="H1344" s="14" t="s">
        <v>18</v>
      </c>
      <c r="I1344" s="22">
        <v>2023.0</v>
      </c>
      <c r="J1344" s="16" t="str">
        <f>IFERROR(__xludf.DUMMYFUNCTION("FILTER('CLASFICACIÓN'!$F$3:$F5618,'CLASFICACIÓN'!$G$3:$G5618=M1344)"),"SOLO 2023")</f>
        <v>SOLO 2023</v>
      </c>
      <c r="K1344" s="16"/>
      <c r="L1344" s="14" t="s">
        <v>110</v>
      </c>
      <c r="M1344" s="16" t="str">
        <f t="shared" si="1"/>
        <v>SANTIAGO ANTUNEZ DE MAYOLO6 Primaria</v>
      </c>
      <c r="N1344" s="17"/>
      <c r="O1344" s="17"/>
      <c r="P1344" s="17"/>
      <c r="Q1344" s="17"/>
      <c r="R1344" s="17"/>
      <c r="S1344" s="17"/>
      <c r="T1344" s="17"/>
    </row>
    <row r="1345">
      <c r="A1345" s="21">
        <v>148.0</v>
      </c>
      <c r="B1345" s="20" t="s">
        <v>84</v>
      </c>
      <c r="C1345" s="14" t="s">
        <v>14</v>
      </c>
      <c r="D1345" s="20" t="s">
        <v>22</v>
      </c>
      <c r="E1345" s="12" t="str">
        <f>IFERROR(__xludf.DUMMYFUNCTION("FILTER(colegios!$B$2:$B5618,colegios!$A$2:$A5618=L1345)"),"SANTIAGO ANTUNEZ DE MAYOLO")</f>
        <v>SANTIAGO ANTUNEZ DE MAYOLO</v>
      </c>
      <c r="F1345" s="14" t="s">
        <v>16</v>
      </c>
      <c r="G1345" s="20" t="s">
        <v>17</v>
      </c>
      <c r="H1345" s="14" t="s">
        <v>18</v>
      </c>
      <c r="I1345" s="22">
        <v>2023.0</v>
      </c>
      <c r="J1345" s="16" t="str">
        <f>IFERROR(__xludf.DUMMYFUNCTION("FILTER('CLASFICACIÓN'!$F$3:$F5618,'CLASFICACIÓN'!$G$3:$G5618=M1345)"),"SOLO 2023")</f>
        <v>SOLO 2023</v>
      </c>
      <c r="K1345" s="16"/>
      <c r="L1345" s="14" t="s">
        <v>110</v>
      </c>
      <c r="M1345" s="16" t="str">
        <f t="shared" si="1"/>
        <v>SANTIAGO ANTUNEZ DE MAYOLO6 Primaria</v>
      </c>
      <c r="N1345" s="17"/>
      <c r="O1345" s="17"/>
      <c r="P1345" s="17"/>
      <c r="Q1345" s="17"/>
      <c r="R1345" s="17"/>
      <c r="S1345" s="17"/>
      <c r="T1345" s="17"/>
    </row>
    <row r="1346">
      <c r="A1346" s="21">
        <v>149.0</v>
      </c>
      <c r="B1346" s="20" t="s">
        <v>84</v>
      </c>
      <c r="C1346" s="14" t="s">
        <v>14</v>
      </c>
      <c r="D1346" s="20" t="s">
        <v>22</v>
      </c>
      <c r="E1346" s="12" t="str">
        <f>IFERROR(__xludf.DUMMYFUNCTION("FILTER(colegios!$B$2:$B5618,colegios!$A$2:$A5618=L1346)"),"SANTIAGO ANTUNEZ DE MAYOLO")</f>
        <v>SANTIAGO ANTUNEZ DE MAYOLO</v>
      </c>
      <c r="F1346" s="14" t="s">
        <v>16</v>
      </c>
      <c r="G1346" s="20" t="s">
        <v>21</v>
      </c>
      <c r="H1346" s="14" t="s">
        <v>24</v>
      </c>
      <c r="I1346" s="22">
        <v>2023.0</v>
      </c>
      <c r="J1346" s="16" t="str">
        <f>IFERROR(__xludf.DUMMYFUNCTION("FILTER('CLASFICACIÓN'!$F$3:$F5618,'CLASFICACIÓN'!$G$3:$G5618=M1346)"),"SOLO 2023")</f>
        <v>SOLO 2023</v>
      </c>
      <c r="K1346" s="16"/>
      <c r="L1346" s="14" t="s">
        <v>110</v>
      </c>
      <c r="M1346" s="16" t="str">
        <f t="shared" si="1"/>
        <v>SANTIAGO ANTUNEZ DE MAYOLO6 Primaria</v>
      </c>
      <c r="N1346" s="17"/>
      <c r="O1346" s="17"/>
      <c r="P1346" s="17"/>
      <c r="Q1346" s="17"/>
      <c r="R1346" s="17"/>
      <c r="S1346" s="17"/>
      <c r="T1346" s="17"/>
    </row>
    <row r="1347">
      <c r="A1347" s="21">
        <v>150.0</v>
      </c>
      <c r="B1347" s="20" t="s">
        <v>84</v>
      </c>
      <c r="C1347" s="14" t="s">
        <v>14</v>
      </c>
      <c r="D1347" s="20" t="s">
        <v>15</v>
      </c>
      <c r="E1347" s="12" t="str">
        <f>IFERROR(__xludf.DUMMYFUNCTION("FILTER(colegios!$B$2:$B5618,colegios!$A$2:$A5618=L1347)"),"SAYRI TUPAC")</f>
        <v>SAYRI TUPAC</v>
      </c>
      <c r="F1347" s="14" t="s">
        <v>16</v>
      </c>
      <c r="G1347" s="20" t="s">
        <v>17</v>
      </c>
      <c r="H1347" s="14" t="s">
        <v>18</v>
      </c>
      <c r="I1347" s="22">
        <v>2023.0</v>
      </c>
      <c r="J1347" s="16" t="str">
        <f>IFERROR(__xludf.DUMMYFUNCTION("FILTER('CLASFICACIÓN'!$F$3:$F5618,'CLASFICACIÓN'!$G$3:$G5618=M1347)"),"SOLO 2023")</f>
        <v>SOLO 2023</v>
      </c>
      <c r="K1347" s="16"/>
      <c r="L1347" s="14" t="s">
        <v>111</v>
      </c>
      <c r="M1347" s="16" t="str">
        <f t="shared" si="1"/>
        <v>SAYRI TUPAC2 Primaria</v>
      </c>
      <c r="N1347" s="17"/>
      <c r="O1347" s="17"/>
      <c r="P1347" s="17"/>
      <c r="Q1347" s="17"/>
      <c r="R1347" s="17"/>
      <c r="S1347" s="17"/>
      <c r="T1347" s="17"/>
    </row>
    <row r="1348">
      <c r="A1348" s="21">
        <v>151.0</v>
      </c>
      <c r="B1348" s="20" t="s">
        <v>84</v>
      </c>
      <c r="C1348" s="14" t="s">
        <v>14</v>
      </c>
      <c r="D1348" s="20" t="s">
        <v>15</v>
      </c>
      <c r="E1348" s="12" t="str">
        <f>IFERROR(__xludf.DUMMYFUNCTION("FILTER(colegios!$B$2:$B5618,colegios!$A$2:$A5618=L1348)"),"SAYRI TUPAC")</f>
        <v>SAYRI TUPAC</v>
      </c>
      <c r="F1348" s="14" t="s">
        <v>16</v>
      </c>
      <c r="G1348" s="20" t="s">
        <v>17</v>
      </c>
      <c r="H1348" s="14" t="s">
        <v>18</v>
      </c>
      <c r="I1348" s="22">
        <v>2023.0</v>
      </c>
      <c r="J1348" s="16" t="str">
        <f>IFERROR(__xludf.DUMMYFUNCTION("FILTER('CLASFICACIÓN'!$F$3:$F5618,'CLASFICACIÓN'!$G$3:$G5618=M1348)"),"SOLO 2023")</f>
        <v>SOLO 2023</v>
      </c>
      <c r="K1348" s="16"/>
      <c r="L1348" s="14" t="s">
        <v>111</v>
      </c>
      <c r="M1348" s="16" t="str">
        <f t="shared" si="1"/>
        <v>SAYRI TUPAC2 Primaria</v>
      </c>
      <c r="N1348" s="17"/>
      <c r="O1348" s="17"/>
      <c r="P1348" s="17"/>
      <c r="Q1348" s="17"/>
      <c r="R1348" s="17"/>
      <c r="S1348" s="17"/>
      <c r="T1348" s="17"/>
    </row>
    <row r="1349">
      <c r="A1349" s="21">
        <v>152.0</v>
      </c>
      <c r="B1349" s="20" t="s">
        <v>84</v>
      </c>
      <c r="C1349" s="14" t="s">
        <v>14</v>
      </c>
      <c r="D1349" s="20" t="s">
        <v>15</v>
      </c>
      <c r="E1349" s="12" t="str">
        <f>IFERROR(__xludf.DUMMYFUNCTION("FILTER(colegios!$B$2:$B5618,colegios!$A$2:$A5618=L1349)"),"SAYRI TUPAC")</f>
        <v>SAYRI TUPAC</v>
      </c>
      <c r="F1349" s="14" t="s">
        <v>16</v>
      </c>
      <c r="G1349" s="20" t="s">
        <v>21</v>
      </c>
      <c r="H1349" s="14" t="s">
        <v>24</v>
      </c>
      <c r="I1349" s="22">
        <v>2023.0</v>
      </c>
      <c r="J1349" s="16" t="str">
        <f>IFERROR(__xludf.DUMMYFUNCTION("FILTER('CLASFICACIÓN'!$F$3:$F5618,'CLASFICACIÓN'!$G$3:$G5618=M1349)"),"SOLO 2023")</f>
        <v>SOLO 2023</v>
      </c>
      <c r="K1349" s="16"/>
      <c r="L1349" s="14" t="s">
        <v>111</v>
      </c>
      <c r="M1349" s="16" t="str">
        <f t="shared" si="1"/>
        <v>SAYRI TUPAC2 Primaria</v>
      </c>
      <c r="N1349" s="17"/>
      <c r="O1349" s="17"/>
      <c r="P1349" s="17"/>
      <c r="Q1349" s="17"/>
      <c r="R1349" s="17"/>
      <c r="S1349" s="17"/>
      <c r="T1349" s="17"/>
    </row>
    <row r="1350">
      <c r="A1350" s="21">
        <v>153.0</v>
      </c>
      <c r="B1350" s="20" t="s">
        <v>84</v>
      </c>
      <c r="C1350" s="14" t="s">
        <v>14</v>
      </c>
      <c r="D1350" s="20" t="s">
        <v>15</v>
      </c>
      <c r="E1350" s="12" t="str">
        <f>IFERROR(__xludf.DUMMYFUNCTION("FILTER(colegios!$B$2:$B5618,colegios!$A$2:$A5618=L1350)"),"SAYRI TUPAC")</f>
        <v>SAYRI TUPAC</v>
      </c>
      <c r="F1350" s="14" t="s">
        <v>16</v>
      </c>
      <c r="G1350" s="20" t="s">
        <v>21</v>
      </c>
      <c r="H1350" s="14" t="s">
        <v>24</v>
      </c>
      <c r="I1350" s="22">
        <v>2023.0</v>
      </c>
      <c r="J1350" s="16" t="str">
        <f>IFERROR(__xludf.DUMMYFUNCTION("FILTER('CLASFICACIÓN'!$F$3:$F5618,'CLASFICACIÓN'!$G$3:$G5618=M1350)"),"SOLO 2023")</f>
        <v>SOLO 2023</v>
      </c>
      <c r="K1350" s="16"/>
      <c r="L1350" s="14" t="s">
        <v>111</v>
      </c>
      <c r="M1350" s="16" t="str">
        <f t="shared" si="1"/>
        <v>SAYRI TUPAC2 Primaria</v>
      </c>
      <c r="N1350" s="17"/>
      <c r="O1350" s="17"/>
      <c r="P1350" s="17"/>
      <c r="Q1350" s="17"/>
      <c r="R1350" s="17"/>
      <c r="S1350" s="17"/>
      <c r="T1350" s="17"/>
    </row>
    <row r="1351">
      <c r="A1351" s="21">
        <v>154.0</v>
      </c>
      <c r="B1351" s="20" t="s">
        <v>84</v>
      </c>
      <c r="C1351" s="14" t="s">
        <v>14</v>
      </c>
      <c r="D1351" s="20" t="s">
        <v>22</v>
      </c>
      <c r="E1351" s="12" t="str">
        <f>IFERROR(__xludf.DUMMYFUNCTION("FILTER(colegios!$B$2:$B5618,colegios!$A$2:$A5618=L1351)"),"SAYRI TUPAC")</f>
        <v>SAYRI TUPAC</v>
      </c>
      <c r="F1351" s="14" t="s">
        <v>16</v>
      </c>
      <c r="G1351" s="20" t="s">
        <v>21</v>
      </c>
      <c r="H1351" s="14" t="s">
        <v>18</v>
      </c>
      <c r="I1351" s="22">
        <v>2023.0</v>
      </c>
      <c r="J1351" s="16" t="str">
        <f>IFERROR(__xludf.DUMMYFUNCTION("FILTER('CLASFICACIÓN'!$F$3:$F5618,'CLASFICACIÓN'!$G$3:$G5618=M1351)"),"SOLO 2023")</f>
        <v>SOLO 2023</v>
      </c>
      <c r="K1351" s="16"/>
      <c r="L1351" s="14" t="s">
        <v>111</v>
      </c>
      <c r="M1351" s="16" t="str">
        <f t="shared" si="1"/>
        <v>SAYRI TUPAC6 Primaria</v>
      </c>
      <c r="N1351" s="17"/>
      <c r="O1351" s="17"/>
      <c r="P1351" s="17"/>
      <c r="Q1351" s="17"/>
      <c r="R1351" s="17"/>
      <c r="S1351" s="17"/>
      <c r="T1351" s="17"/>
    </row>
    <row r="1352">
      <c r="A1352" s="21">
        <v>155.0</v>
      </c>
      <c r="B1352" s="20" t="s">
        <v>84</v>
      </c>
      <c r="C1352" s="14" t="s">
        <v>14</v>
      </c>
      <c r="D1352" s="20" t="s">
        <v>22</v>
      </c>
      <c r="E1352" s="12" t="str">
        <f>IFERROR(__xludf.DUMMYFUNCTION("FILTER(colegios!$B$2:$B5618,colegios!$A$2:$A5618=L1352)"),"SAYRI TUPAC")</f>
        <v>SAYRI TUPAC</v>
      </c>
      <c r="F1352" s="14" t="s">
        <v>16</v>
      </c>
      <c r="G1352" s="20" t="s">
        <v>21</v>
      </c>
      <c r="H1352" s="14" t="s">
        <v>18</v>
      </c>
      <c r="I1352" s="22">
        <v>2023.0</v>
      </c>
      <c r="J1352" s="16" t="str">
        <f>IFERROR(__xludf.DUMMYFUNCTION("FILTER('CLASFICACIÓN'!$F$3:$F5618,'CLASFICACIÓN'!$G$3:$G5618=M1352)"),"SOLO 2023")</f>
        <v>SOLO 2023</v>
      </c>
      <c r="K1352" s="16"/>
      <c r="L1352" s="14" t="s">
        <v>111</v>
      </c>
      <c r="M1352" s="16" t="str">
        <f t="shared" si="1"/>
        <v>SAYRI TUPAC6 Primaria</v>
      </c>
      <c r="N1352" s="17"/>
      <c r="O1352" s="17"/>
      <c r="P1352" s="17"/>
      <c r="Q1352" s="17"/>
      <c r="R1352" s="17"/>
      <c r="S1352" s="17"/>
      <c r="T1352" s="17"/>
    </row>
    <row r="1353">
      <c r="A1353" s="21">
        <v>156.0</v>
      </c>
      <c r="B1353" s="20" t="s">
        <v>84</v>
      </c>
      <c r="C1353" s="14" t="s">
        <v>14</v>
      </c>
      <c r="D1353" s="20" t="s">
        <v>22</v>
      </c>
      <c r="E1353" s="12" t="str">
        <f>IFERROR(__xludf.DUMMYFUNCTION("FILTER(colegios!$B$2:$B5618,colegios!$A$2:$A5618=L1353)"),"SAYRI TUPAC")</f>
        <v>SAYRI TUPAC</v>
      </c>
      <c r="F1353" s="14" t="s">
        <v>16</v>
      </c>
      <c r="G1353" s="20" t="s">
        <v>17</v>
      </c>
      <c r="H1353" s="14" t="s">
        <v>18</v>
      </c>
      <c r="I1353" s="22">
        <v>2023.0</v>
      </c>
      <c r="J1353" s="16" t="str">
        <f>IFERROR(__xludf.DUMMYFUNCTION("FILTER('CLASFICACIÓN'!$F$3:$F5618,'CLASFICACIÓN'!$G$3:$G5618=M1353)"),"SOLO 2023")</f>
        <v>SOLO 2023</v>
      </c>
      <c r="K1353" s="16"/>
      <c r="L1353" s="14" t="s">
        <v>111</v>
      </c>
      <c r="M1353" s="16" t="str">
        <f t="shared" si="1"/>
        <v>SAYRI TUPAC6 Primaria</v>
      </c>
      <c r="N1353" s="17"/>
      <c r="O1353" s="17"/>
      <c r="P1353" s="17"/>
      <c r="Q1353" s="17"/>
      <c r="R1353" s="17"/>
      <c r="S1353" s="17"/>
      <c r="T1353" s="17"/>
    </row>
    <row r="1354">
      <c r="A1354" s="21">
        <v>157.0</v>
      </c>
      <c r="B1354" s="20" t="s">
        <v>70</v>
      </c>
      <c r="C1354" s="14" t="s">
        <v>14</v>
      </c>
      <c r="D1354" s="20" t="s">
        <v>15</v>
      </c>
      <c r="E1354" s="12" t="str">
        <f>IFERROR(__xludf.DUMMYFUNCTION("FILTER(colegios!$B$2:$B5618,colegios!$A$2:$A5618=L1354)"),"64155")</f>
        <v>64155</v>
      </c>
      <c r="F1354" s="14" t="s">
        <v>16</v>
      </c>
      <c r="G1354" s="20" t="s">
        <v>21</v>
      </c>
      <c r="H1354" s="14" t="s">
        <v>24</v>
      </c>
      <c r="I1354" s="22">
        <v>2023.0</v>
      </c>
      <c r="J1354" s="16" t="str">
        <f>IFERROR(__xludf.DUMMYFUNCTION("FILTER('CLASFICACIÓN'!$F$3:$F5618,'CLASFICACIÓN'!$G$3:$G5618=M1354)"),"SOLO 2023")</f>
        <v>SOLO 2023</v>
      </c>
      <c r="K1354" s="16"/>
      <c r="L1354" s="14" t="s">
        <v>112</v>
      </c>
      <c r="M1354" s="16" t="str">
        <f t="shared" si="1"/>
        <v>641552 Primaria</v>
      </c>
      <c r="N1354" s="17"/>
      <c r="O1354" s="17"/>
      <c r="P1354" s="17"/>
      <c r="Q1354" s="17"/>
      <c r="R1354" s="17"/>
      <c r="S1354" s="17"/>
      <c r="T1354" s="17"/>
    </row>
    <row r="1355">
      <c r="A1355" s="21">
        <v>158.0</v>
      </c>
      <c r="B1355" s="20" t="s">
        <v>70</v>
      </c>
      <c r="C1355" s="14" t="s">
        <v>14</v>
      </c>
      <c r="D1355" s="20" t="s">
        <v>15</v>
      </c>
      <c r="E1355" s="12" t="str">
        <f>IFERROR(__xludf.DUMMYFUNCTION("FILTER(colegios!$B$2:$B5618,colegios!$A$2:$A5618=L1355)"),"64155")</f>
        <v>64155</v>
      </c>
      <c r="F1355" s="14" t="s">
        <v>16</v>
      </c>
      <c r="G1355" s="20" t="s">
        <v>17</v>
      </c>
      <c r="H1355" s="14" t="s">
        <v>18</v>
      </c>
      <c r="I1355" s="22">
        <v>2023.0</v>
      </c>
      <c r="J1355" s="16" t="str">
        <f>IFERROR(__xludf.DUMMYFUNCTION("FILTER('CLASFICACIÓN'!$F$3:$F5618,'CLASFICACIÓN'!$G$3:$G5618=M1355)"),"SOLO 2023")</f>
        <v>SOLO 2023</v>
      </c>
      <c r="K1355" s="16"/>
      <c r="L1355" s="14" t="s">
        <v>112</v>
      </c>
      <c r="M1355" s="16" t="str">
        <f t="shared" si="1"/>
        <v>641552 Primaria</v>
      </c>
      <c r="N1355" s="17"/>
      <c r="O1355" s="17"/>
      <c r="P1355" s="17"/>
      <c r="Q1355" s="17"/>
      <c r="R1355" s="17"/>
      <c r="S1355" s="17"/>
      <c r="T1355" s="17"/>
    </row>
    <row r="1356">
      <c r="A1356" s="21">
        <v>159.0</v>
      </c>
      <c r="B1356" s="20" t="s">
        <v>70</v>
      </c>
      <c r="C1356" s="14" t="s">
        <v>14</v>
      </c>
      <c r="D1356" s="20" t="s">
        <v>15</v>
      </c>
      <c r="E1356" s="12" t="str">
        <f>IFERROR(__xludf.DUMMYFUNCTION("FILTER(colegios!$B$2:$B5618,colegios!$A$2:$A5618=L1356)"),"64346")</f>
        <v>64346</v>
      </c>
      <c r="F1356" s="14" t="s">
        <v>16</v>
      </c>
      <c r="G1356" s="20" t="s">
        <v>17</v>
      </c>
      <c r="H1356" s="14" t="s">
        <v>18</v>
      </c>
      <c r="I1356" s="22">
        <v>2023.0</v>
      </c>
      <c r="J1356" s="16" t="str">
        <f>IFERROR(__xludf.DUMMYFUNCTION("FILTER('CLASFICACIÓN'!$F$3:$F5618,'CLASFICACIÓN'!$G$3:$G5618=M1356)"),"LOS 3 AÑOS")</f>
        <v>LOS 3 AÑOS</v>
      </c>
      <c r="K1356" s="16"/>
      <c r="L1356" s="14" t="s">
        <v>83</v>
      </c>
      <c r="M1356" s="16" t="str">
        <f t="shared" si="1"/>
        <v>643462 Primaria</v>
      </c>
      <c r="N1356" s="17"/>
      <c r="O1356" s="17"/>
      <c r="P1356" s="17"/>
      <c r="Q1356" s="17"/>
      <c r="R1356" s="17"/>
      <c r="S1356" s="17"/>
      <c r="T1356" s="17"/>
    </row>
    <row r="1357">
      <c r="A1357" s="21">
        <v>160.0</v>
      </c>
      <c r="B1357" s="20" t="s">
        <v>70</v>
      </c>
      <c r="C1357" s="14" t="s">
        <v>14</v>
      </c>
      <c r="D1357" s="20" t="s">
        <v>15</v>
      </c>
      <c r="E1357" s="12" t="str">
        <f>IFERROR(__xludf.DUMMYFUNCTION("FILTER(colegios!$B$2:$B5618,colegios!$A$2:$A5618=L1357)"),"64346")</f>
        <v>64346</v>
      </c>
      <c r="F1357" s="14" t="s">
        <v>16</v>
      </c>
      <c r="G1357" s="20" t="s">
        <v>21</v>
      </c>
      <c r="H1357" s="14" t="s">
        <v>18</v>
      </c>
      <c r="I1357" s="22">
        <v>2023.0</v>
      </c>
      <c r="J1357" s="16" t="str">
        <f>IFERROR(__xludf.DUMMYFUNCTION("FILTER('CLASFICACIÓN'!$F$3:$F5618,'CLASFICACIÓN'!$G$3:$G5618=M1357)"),"LOS 3 AÑOS")</f>
        <v>LOS 3 AÑOS</v>
      </c>
      <c r="K1357" s="16"/>
      <c r="L1357" s="14" t="s">
        <v>83</v>
      </c>
      <c r="M1357" s="16" t="str">
        <f t="shared" si="1"/>
        <v>643462 Primaria</v>
      </c>
      <c r="N1357" s="17"/>
      <c r="O1357" s="17"/>
      <c r="P1357" s="17"/>
      <c r="Q1357" s="17"/>
      <c r="R1357" s="17"/>
      <c r="S1357" s="17"/>
      <c r="T1357" s="17"/>
    </row>
    <row r="1358">
      <c r="A1358" s="21">
        <v>161.0</v>
      </c>
      <c r="B1358" s="20" t="s">
        <v>70</v>
      </c>
      <c r="C1358" s="14" t="s">
        <v>14</v>
      </c>
      <c r="D1358" s="20" t="s">
        <v>22</v>
      </c>
      <c r="E1358" s="12" t="str">
        <f>IFERROR(__xludf.DUMMYFUNCTION("FILTER(colegios!$B$2:$B5618,colegios!$A$2:$A5618=L1358)"),"64346")</f>
        <v>64346</v>
      </c>
      <c r="F1358" s="14" t="s">
        <v>16</v>
      </c>
      <c r="G1358" s="20" t="s">
        <v>17</v>
      </c>
      <c r="H1358" s="14" t="s">
        <v>18</v>
      </c>
      <c r="I1358" s="22">
        <v>2023.0</v>
      </c>
      <c r="J1358" s="16" t="str">
        <f>IFERROR(__xludf.DUMMYFUNCTION("FILTER('CLASFICACIÓN'!$F$3:$F5618,'CLASFICACIÓN'!$G$3:$G5618=M1358)"),"LOS 3 AÑOS")</f>
        <v>LOS 3 AÑOS</v>
      </c>
      <c r="K1358" s="16"/>
      <c r="L1358" s="14" t="s">
        <v>83</v>
      </c>
      <c r="M1358" s="16" t="str">
        <f t="shared" si="1"/>
        <v>643466 Primaria</v>
      </c>
      <c r="N1358" s="17"/>
      <c r="O1358" s="17"/>
      <c r="P1358" s="17"/>
      <c r="Q1358" s="17"/>
      <c r="R1358" s="17"/>
      <c r="S1358" s="17"/>
      <c r="T1358" s="17"/>
    </row>
    <row r="1359">
      <c r="A1359" s="21">
        <v>162.0</v>
      </c>
      <c r="B1359" s="20" t="s">
        <v>70</v>
      </c>
      <c r="C1359" s="14" t="s">
        <v>14</v>
      </c>
      <c r="D1359" s="20" t="s">
        <v>22</v>
      </c>
      <c r="E1359" s="12" t="str">
        <f>IFERROR(__xludf.DUMMYFUNCTION("FILTER(colegios!$B$2:$B5618,colegios!$A$2:$A5618=L1359)"),"64346")</f>
        <v>64346</v>
      </c>
      <c r="F1359" s="14" t="s">
        <v>16</v>
      </c>
      <c r="G1359" s="20" t="s">
        <v>21</v>
      </c>
      <c r="H1359" s="14" t="s">
        <v>18</v>
      </c>
      <c r="I1359" s="22">
        <v>2023.0</v>
      </c>
      <c r="J1359" s="16" t="str">
        <f>IFERROR(__xludf.DUMMYFUNCTION("FILTER('CLASFICACIÓN'!$F$3:$F5618,'CLASFICACIÓN'!$G$3:$G5618=M1359)"),"LOS 3 AÑOS")</f>
        <v>LOS 3 AÑOS</v>
      </c>
      <c r="K1359" s="16"/>
      <c r="L1359" s="14" t="s">
        <v>83</v>
      </c>
      <c r="M1359" s="16" t="str">
        <f t="shared" si="1"/>
        <v>643466 Primaria</v>
      </c>
      <c r="N1359" s="17"/>
      <c r="O1359" s="17"/>
      <c r="P1359" s="17"/>
      <c r="Q1359" s="17"/>
      <c r="R1359" s="17"/>
      <c r="S1359" s="17"/>
      <c r="T1359" s="17"/>
    </row>
    <row r="1360">
      <c r="A1360" s="21">
        <v>163.0</v>
      </c>
      <c r="B1360" s="20" t="s">
        <v>70</v>
      </c>
      <c r="C1360" s="14" t="s">
        <v>14</v>
      </c>
      <c r="D1360" s="20" t="s">
        <v>22</v>
      </c>
      <c r="E1360" s="12" t="str">
        <f>IFERROR(__xludf.DUMMYFUNCTION("FILTER(colegios!$B$2:$B5618,colegios!$A$2:$A5618=L1360)"),"64346")</f>
        <v>64346</v>
      </c>
      <c r="F1360" s="14" t="s">
        <v>16</v>
      </c>
      <c r="G1360" s="20" t="s">
        <v>21</v>
      </c>
      <c r="H1360" s="14" t="s">
        <v>18</v>
      </c>
      <c r="I1360" s="22">
        <v>2023.0</v>
      </c>
      <c r="J1360" s="16" t="str">
        <f>IFERROR(__xludf.DUMMYFUNCTION("FILTER('CLASFICACIÓN'!$F$3:$F5618,'CLASFICACIÓN'!$G$3:$G5618=M1360)"),"LOS 3 AÑOS")</f>
        <v>LOS 3 AÑOS</v>
      </c>
      <c r="K1360" s="16"/>
      <c r="L1360" s="14" t="s">
        <v>83</v>
      </c>
      <c r="M1360" s="16" t="str">
        <f t="shared" si="1"/>
        <v>643466 Primaria</v>
      </c>
      <c r="N1360" s="17"/>
      <c r="O1360" s="17"/>
      <c r="P1360" s="17"/>
      <c r="Q1360" s="17"/>
      <c r="R1360" s="17"/>
      <c r="S1360" s="17"/>
      <c r="T1360" s="17"/>
    </row>
    <row r="1361">
      <c r="A1361" s="21">
        <v>164.0</v>
      </c>
      <c r="B1361" s="20" t="s">
        <v>70</v>
      </c>
      <c r="C1361" s="14" t="s">
        <v>14</v>
      </c>
      <c r="D1361" s="20" t="s">
        <v>22</v>
      </c>
      <c r="E1361" s="12" t="str">
        <f>IFERROR(__xludf.DUMMYFUNCTION("FILTER(colegios!$B$2:$B5618,colegios!$A$2:$A5618=L1361)"),"64346")</f>
        <v>64346</v>
      </c>
      <c r="F1361" s="14" t="s">
        <v>16</v>
      </c>
      <c r="G1361" s="20" t="s">
        <v>17</v>
      </c>
      <c r="H1361" s="14" t="s">
        <v>18</v>
      </c>
      <c r="I1361" s="22">
        <v>2023.0</v>
      </c>
      <c r="J1361" s="16" t="str">
        <f>IFERROR(__xludf.DUMMYFUNCTION("FILTER('CLASFICACIÓN'!$F$3:$F5618,'CLASFICACIÓN'!$G$3:$G5618=M1361)"),"LOS 3 AÑOS")</f>
        <v>LOS 3 AÑOS</v>
      </c>
      <c r="K1361" s="16"/>
      <c r="L1361" s="14" t="s">
        <v>83</v>
      </c>
      <c r="M1361" s="16" t="str">
        <f t="shared" si="1"/>
        <v>643466 Primaria</v>
      </c>
      <c r="N1361" s="17"/>
      <c r="O1361" s="17"/>
      <c r="P1361" s="17"/>
      <c r="Q1361" s="17"/>
      <c r="R1361" s="17"/>
      <c r="S1361" s="17"/>
      <c r="T1361" s="17"/>
    </row>
    <row r="1362">
      <c r="A1362" s="21">
        <v>165.0</v>
      </c>
      <c r="B1362" s="20" t="s">
        <v>70</v>
      </c>
      <c r="C1362" s="14" t="s">
        <v>14</v>
      </c>
      <c r="D1362" s="20" t="s">
        <v>20</v>
      </c>
      <c r="E1362" s="12" t="str">
        <f>IFERROR(__xludf.DUMMYFUNCTION("FILTER(colegios!$B$2:$B5618,colegios!$A$2:$A5618=L1362)"),"64641")</f>
        <v>64641</v>
      </c>
      <c r="F1362" s="14" t="s">
        <v>16</v>
      </c>
      <c r="G1362" s="20" t="s">
        <v>21</v>
      </c>
      <c r="H1362" s="14" t="s">
        <v>18</v>
      </c>
      <c r="I1362" s="22">
        <v>2023.0</v>
      </c>
      <c r="J1362" s="16" t="str">
        <f>IFERROR(__xludf.DUMMYFUNCTION("FILTER('CLASFICACIÓN'!$F$3:$F5618,'CLASFICACIÓN'!$G$3:$G5618=M1362)"),"2023 Y 2024")</f>
        <v>2023 Y 2024</v>
      </c>
      <c r="K1362" s="16"/>
      <c r="L1362" s="14" t="s">
        <v>82</v>
      </c>
      <c r="M1362" s="16" t="str">
        <f t="shared" si="1"/>
        <v>646414 Primaria</v>
      </c>
      <c r="N1362" s="17"/>
      <c r="O1362" s="17"/>
      <c r="P1362" s="17"/>
      <c r="Q1362" s="17"/>
      <c r="R1362" s="17"/>
      <c r="S1362" s="17"/>
      <c r="T1362" s="17"/>
    </row>
    <row r="1363">
      <c r="A1363" s="21">
        <v>166.0</v>
      </c>
      <c r="B1363" s="20" t="s">
        <v>70</v>
      </c>
      <c r="C1363" s="14" t="s">
        <v>14</v>
      </c>
      <c r="D1363" s="20" t="s">
        <v>20</v>
      </c>
      <c r="E1363" s="12" t="str">
        <f>IFERROR(__xludf.DUMMYFUNCTION("FILTER(colegios!$B$2:$B5618,colegios!$A$2:$A5618=L1363)"),"64641")</f>
        <v>64641</v>
      </c>
      <c r="F1363" s="14" t="s">
        <v>16</v>
      </c>
      <c r="G1363" s="20" t="s">
        <v>21</v>
      </c>
      <c r="H1363" s="14" t="s">
        <v>18</v>
      </c>
      <c r="I1363" s="22">
        <v>2023.0</v>
      </c>
      <c r="J1363" s="16" t="str">
        <f>IFERROR(__xludf.DUMMYFUNCTION("FILTER('CLASFICACIÓN'!$F$3:$F5618,'CLASFICACIÓN'!$G$3:$G5618=M1363)"),"2023 Y 2024")</f>
        <v>2023 Y 2024</v>
      </c>
      <c r="K1363" s="16"/>
      <c r="L1363" s="14" t="s">
        <v>82</v>
      </c>
      <c r="M1363" s="16" t="str">
        <f t="shared" si="1"/>
        <v>646414 Primaria</v>
      </c>
      <c r="N1363" s="17"/>
      <c r="O1363" s="17"/>
      <c r="P1363" s="17"/>
      <c r="Q1363" s="17"/>
      <c r="R1363" s="17"/>
      <c r="S1363" s="17"/>
      <c r="T1363" s="17"/>
    </row>
    <row r="1364">
      <c r="A1364" s="21">
        <v>167.0</v>
      </c>
      <c r="B1364" s="20" t="s">
        <v>70</v>
      </c>
      <c r="C1364" s="14" t="s">
        <v>14</v>
      </c>
      <c r="D1364" s="20" t="s">
        <v>22</v>
      </c>
      <c r="E1364" s="12" t="str">
        <f>IFERROR(__xludf.DUMMYFUNCTION("FILTER(colegios!$B$2:$B5618,colegios!$A$2:$A5618=L1364)"),"64641")</f>
        <v>64641</v>
      </c>
      <c r="F1364" s="14" t="s">
        <v>16</v>
      </c>
      <c r="G1364" s="20" t="s">
        <v>17</v>
      </c>
      <c r="H1364" s="14" t="s">
        <v>18</v>
      </c>
      <c r="I1364" s="22">
        <v>2023.0</v>
      </c>
      <c r="J1364" s="16" t="str">
        <f>IFERROR(__xludf.DUMMYFUNCTION("FILTER('CLASFICACIÓN'!$F$3:$F5618,'CLASFICACIÓN'!$G$3:$G5618=M1364)"),"SOLO 2023")</f>
        <v>SOLO 2023</v>
      </c>
      <c r="K1364" s="16"/>
      <c r="L1364" s="14" t="s">
        <v>82</v>
      </c>
      <c r="M1364" s="16" t="str">
        <f t="shared" si="1"/>
        <v>646416 Primaria</v>
      </c>
      <c r="N1364" s="17"/>
      <c r="O1364" s="17"/>
      <c r="P1364" s="17"/>
      <c r="Q1364" s="17"/>
      <c r="R1364" s="17"/>
      <c r="S1364" s="17"/>
      <c r="T1364" s="17"/>
    </row>
    <row r="1365">
      <c r="A1365" s="21">
        <v>168.0</v>
      </c>
      <c r="B1365" s="20" t="s">
        <v>70</v>
      </c>
      <c r="C1365" s="14" t="s">
        <v>14</v>
      </c>
      <c r="D1365" s="20" t="s">
        <v>22</v>
      </c>
      <c r="E1365" s="12" t="str">
        <f>IFERROR(__xludf.DUMMYFUNCTION("FILTER(colegios!$B$2:$B5618,colegios!$A$2:$A5618=L1365)"),"64641")</f>
        <v>64641</v>
      </c>
      <c r="F1365" s="14" t="s">
        <v>16</v>
      </c>
      <c r="G1365" s="20" t="s">
        <v>17</v>
      </c>
      <c r="H1365" s="14" t="s">
        <v>18</v>
      </c>
      <c r="I1365" s="22">
        <v>2023.0</v>
      </c>
      <c r="J1365" s="16" t="str">
        <f>IFERROR(__xludf.DUMMYFUNCTION("FILTER('CLASFICACIÓN'!$F$3:$F5618,'CLASFICACIÓN'!$G$3:$G5618=M1365)"),"SOLO 2023")</f>
        <v>SOLO 2023</v>
      </c>
      <c r="K1365" s="16"/>
      <c r="L1365" s="14" t="s">
        <v>82</v>
      </c>
      <c r="M1365" s="16" t="str">
        <f t="shared" si="1"/>
        <v>646416 Primaria</v>
      </c>
      <c r="N1365" s="17"/>
      <c r="O1365" s="17"/>
      <c r="P1365" s="17"/>
      <c r="Q1365" s="17"/>
      <c r="R1365" s="17"/>
      <c r="S1365" s="17"/>
      <c r="T1365" s="17"/>
    </row>
    <row r="1366">
      <c r="A1366" s="21">
        <v>169.0</v>
      </c>
      <c r="B1366" s="20" t="s">
        <v>70</v>
      </c>
      <c r="C1366" s="14" t="s">
        <v>14</v>
      </c>
      <c r="D1366" s="20" t="s">
        <v>22</v>
      </c>
      <c r="E1366" s="12" t="str">
        <f>IFERROR(__xludf.DUMMYFUNCTION("FILTER(colegios!$B$2:$B5618,colegios!$A$2:$A5618=L1366)"),"64641")</f>
        <v>64641</v>
      </c>
      <c r="F1366" s="14" t="s">
        <v>16</v>
      </c>
      <c r="G1366" s="20" t="s">
        <v>21</v>
      </c>
      <c r="H1366" s="14" t="s">
        <v>18</v>
      </c>
      <c r="I1366" s="22">
        <v>2023.0</v>
      </c>
      <c r="J1366" s="16" t="str">
        <f>IFERROR(__xludf.DUMMYFUNCTION("FILTER('CLASFICACIÓN'!$F$3:$F5618,'CLASFICACIÓN'!$G$3:$G5618=M1366)"),"SOLO 2023")</f>
        <v>SOLO 2023</v>
      </c>
      <c r="K1366" s="16"/>
      <c r="L1366" s="14" t="s">
        <v>82</v>
      </c>
      <c r="M1366" s="16" t="str">
        <f t="shared" si="1"/>
        <v>646416 Primaria</v>
      </c>
      <c r="N1366" s="17"/>
      <c r="O1366" s="17"/>
      <c r="P1366" s="17"/>
      <c r="Q1366" s="17"/>
      <c r="R1366" s="17"/>
      <c r="S1366" s="17"/>
      <c r="T1366" s="17"/>
    </row>
    <row r="1367">
      <c r="A1367" s="21">
        <v>170.0</v>
      </c>
      <c r="B1367" s="20" t="s">
        <v>70</v>
      </c>
      <c r="C1367" s="14" t="s">
        <v>14</v>
      </c>
      <c r="D1367" s="20" t="s">
        <v>22</v>
      </c>
      <c r="E1367" s="12" t="str">
        <f>IFERROR(__xludf.DUMMYFUNCTION("FILTER(colegios!$B$2:$B5618,colegios!$A$2:$A5618=L1367)"),"64641")</f>
        <v>64641</v>
      </c>
      <c r="F1367" s="14" t="s">
        <v>16</v>
      </c>
      <c r="G1367" s="20" t="s">
        <v>21</v>
      </c>
      <c r="H1367" s="14" t="s">
        <v>18</v>
      </c>
      <c r="I1367" s="22">
        <v>2023.0</v>
      </c>
      <c r="J1367" s="16" t="str">
        <f>IFERROR(__xludf.DUMMYFUNCTION("FILTER('CLASFICACIÓN'!$F$3:$F5618,'CLASFICACIÓN'!$G$3:$G5618=M1367)"),"SOLO 2023")</f>
        <v>SOLO 2023</v>
      </c>
      <c r="K1367" s="16"/>
      <c r="L1367" s="14" t="s">
        <v>82</v>
      </c>
      <c r="M1367" s="16" t="str">
        <f t="shared" si="1"/>
        <v>646416 Primaria</v>
      </c>
      <c r="N1367" s="17"/>
      <c r="O1367" s="17"/>
      <c r="P1367" s="17"/>
      <c r="Q1367" s="17"/>
      <c r="R1367" s="17"/>
      <c r="S1367" s="17"/>
      <c r="T1367" s="17"/>
    </row>
    <row r="1368">
      <c r="A1368" s="21">
        <v>171.0</v>
      </c>
      <c r="B1368" s="20" t="s">
        <v>70</v>
      </c>
      <c r="C1368" s="14" t="s">
        <v>14</v>
      </c>
      <c r="D1368" s="20" t="s">
        <v>20</v>
      </c>
      <c r="E1368" s="12" t="str">
        <f>IFERROR(__xludf.DUMMYFUNCTION("FILTER(colegios!$B$2:$B5618,colegios!$A$2:$A5618=L1368)"),"64871-B")</f>
        <v>64871-B</v>
      </c>
      <c r="F1368" s="14" t="s">
        <v>16</v>
      </c>
      <c r="G1368" s="20" t="s">
        <v>17</v>
      </c>
      <c r="H1368" s="14" t="s">
        <v>24</v>
      </c>
      <c r="I1368" s="22">
        <v>2023.0</v>
      </c>
      <c r="J1368" s="16" t="str">
        <f>IFERROR(__xludf.DUMMYFUNCTION("FILTER('CLASFICACIÓN'!$F$3:$F5618,'CLASFICACIÓN'!$G$3:$G5618=M1368)"),"2023 Y 2024")</f>
        <v>2023 Y 2024</v>
      </c>
      <c r="K1368" s="16"/>
      <c r="L1368" s="14" t="s">
        <v>113</v>
      </c>
      <c r="M1368" s="16" t="str">
        <f t="shared" si="1"/>
        <v>64871-B4 Primaria</v>
      </c>
      <c r="N1368" s="17"/>
      <c r="O1368" s="17"/>
      <c r="P1368" s="17"/>
      <c r="Q1368" s="17"/>
      <c r="R1368" s="17"/>
      <c r="S1368" s="17"/>
      <c r="T1368" s="17"/>
    </row>
    <row r="1369">
      <c r="A1369" s="21">
        <v>172.0</v>
      </c>
      <c r="B1369" s="20" t="s">
        <v>70</v>
      </c>
      <c r="C1369" s="14" t="s">
        <v>14</v>
      </c>
      <c r="D1369" s="20" t="s">
        <v>20</v>
      </c>
      <c r="E1369" s="12" t="str">
        <f>IFERROR(__xludf.DUMMYFUNCTION("FILTER(colegios!$B$2:$B5618,colegios!$A$2:$A5618=L1369)"),"64871-B")</f>
        <v>64871-B</v>
      </c>
      <c r="F1369" s="14" t="s">
        <v>16</v>
      </c>
      <c r="G1369" s="20" t="s">
        <v>17</v>
      </c>
      <c r="H1369" s="14" t="s">
        <v>18</v>
      </c>
      <c r="I1369" s="22">
        <v>2023.0</v>
      </c>
      <c r="J1369" s="16" t="str">
        <f>IFERROR(__xludf.DUMMYFUNCTION("FILTER('CLASFICACIÓN'!$F$3:$F5618,'CLASFICACIÓN'!$G$3:$G5618=M1369)"),"2023 Y 2024")</f>
        <v>2023 Y 2024</v>
      </c>
      <c r="K1369" s="16"/>
      <c r="L1369" s="14" t="s">
        <v>113</v>
      </c>
      <c r="M1369" s="16" t="str">
        <f t="shared" si="1"/>
        <v>64871-B4 Primaria</v>
      </c>
      <c r="N1369" s="17"/>
      <c r="O1369" s="17"/>
      <c r="P1369" s="17"/>
      <c r="Q1369" s="17"/>
      <c r="R1369" s="17"/>
      <c r="S1369" s="17"/>
      <c r="T1369" s="17"/>
    </row>
    <row r="1370">
      <c r="A1370" s="21">
        <v>173.0</v>
      </c>
      <c r="B1370" s="20" t="s">
        <v>70</v>
      </c>
      <c r="C1370" s="14" t="s">
        <v>14</v>
      </c>
      <c r="D1370" s="20" t="s">
        <v>20</v>
      </c>
      <c r="E1370" s="12" t="str">
        <f>IFERROR(__xludf.DUMMYFUNCTION("FILTER(colegios!$B$2:$B5618,colegios!$A$2:$A5618=L1370)"),"64871-B")</f>
        <v>64871-B</v>
      </c>
      <c r="F1370" s="14" t="s">
        <v>16</v>
      </c>
      <c r="G1370" s="20" t="s">
        <v>21</v>
      </c>
      <c r="H1370" s="14" t="s">
        <v>24</v>
      </c>
      <c r="I1370" s="22">
        <v>2023.0</v>
      </c>
      <c r="J1370" s="16" t="str">
        <f>IFERROR(__xludf.DUMMYFUNCTION("FILTER('CLASFICACIÓN'!$F$3:$F5618,'CLASFICACIÓN'!$G$3:$G5618=M1370)"),"2023 Y 2024")</f>
        <v>2023 Y 2024</v>
      </c>
      <c r="K1370" s="16"/>
      <c r="L1370" s="14" t="s">
        <v>113</v>
      </c>
      <c r="M1370" s="16" t="str">
        <f t="shared" si="1"/>
        <v>64871-B4 Primaria</v>
      </c>
      <c r="N1370" s="17"/>
      <c r="O1370" s="17"/>
      <c r="P1370" s="17"/>
      <c r="Q1370" s="17"/>
      <c r="R1370" s="17"/>
      <c r="S1370" s="17"/>
      <c r="T1370" s="17"/>
    </row>
    <row r="1371">
      <c r="A1371" s="21">
        <v>174.0</v>
      </c>
      <c r="B1371" s="20" t="s">
        <v>70</v>
      </c>
      <c r="C1371" s="14" t="s">
        <v>14</v>
      </c>
      <c r="D1371" s="20" t="s">
        <v>20</v>
      </c>
      <c r="E1371" s="12" t="str">
        <f>IFERROR(__xludf.DUMMYFUNCTION("FILTER(colegios!$B$2:$B5618,colegios!$A$2:$A5618=L1371)"),"64871-B")</f>
        <v>64871-B</v>
      </c>
      <c r="F1371" s="14" t="s">
        <v>16</v>
      </c>
      <c r="G1371" s="20" t="s">
        <v>21</v>
      </c>
      <c r="H1371" s="14" t="s">
        <v>24</v>
      </c>
      <c r="I1371" s="22">
        <v>2023.0</v>
      </c>
      <c r="J1371" s="16" t="str">
        <f>IFERROR(__xludf.DUMMYFUNCTION("FILTER('CLASFICACIÓN'!$F$3:$F5618,'CLASFICACIÓN'!$G$3:$G5618=M1371)"),"2023 Y 2024")</f>
        <v>2023 Y 2024</v>
      </c>
      <c r="K1371" s="16"/>
      <c r="L1371" s="14" t="s">
        <v>113</v>
      </c>
      <c r="M1371" s="16" t="str">
        <f t="shared" si="1"/>
        <v>64871-B4 Primaria</v>
      </c>
      <c r="N1371" s="17"/>
      <c r="O1371" s="17"/>
      <c r="P1371" s="17"/>
      <c r="Q1371" s="17"/>
      <c r="R1371" s="17"/>
      <c r="S1371" s="17"/>
      <c r="T1371" s="17"/>
    </row>
    <row r="1372">
      <c r="A1372" s="21">
        <v>175.0</v>
      </c>
      <c r="B1372" s="20" t="s">
        <v>70</v>
      </c>
      <c r="C1372" s="14" t="s">
        <v>14</v>
      </c>
      <c r="D1372" s="20" t="s">
        <v>20</v>
      </c>
      <c r="E1372" s="12" t="str">
        <f>IFERROR(__xludf.DUMMYFUNCTION("FILTER(colegios!$B$2:$B5618,colegios!$A$2:$A5618=L1372)"),"64871-B")</f>
        <v>64871-B</v>
      </c>
      <c r="F1372" s="14" t="s">
        <v>16</v>
      </c>
      <c r="G1372" s="20" t="s">
        <v>17</v>
      </c>
      <c r="H1372" s="14" t="s">
        <v>24</v>
      </c>
      <c r="I1372" s="22">
        <v>2023.0</v>
      </c>
      <c r="J1372" s="16" t="str">
        <f>IFERROR(__xludf.DUMMYFUNCTION("FILTER('CLASFICACIÓN'!$F$3:$F5618,'CLASFICACIÓN'!$G$3:$G5618=M1372)"),"2023 Y 2024")</f>
        <v>2023 Y 2024</v>
      </c>
      <c r="K1372" s="16"/>
      <c r="L1372" s="14" t="s">
        <v>113</v>
      </c>
      <c r="M1372" s="16" t="str">
        <f t="shared" si="1"/>
        <v>64871-B4 Primaria</v>
      </c>
      <c r="N1372" s="17"/>
      <c r="O1372" s="17"/>
      <c r="P1372" s="17"/>
      <c r="Q1372" s="17"/>
      <c r="R1372" s="17"/>
      <c r="S1372" s="17"/>
      <c r="T1372" s="17"/>
    </row>
    <row r="1373">
      <c r="A1373" s="21">
        <v>176.0</v>
      </c>
      <c r="B1373" s="20" t="s">
        <v>70</v>
      </c>
      <c r="C1373" s="14" t="s">
        <v>14</v>
      </c>
      <c r="D1373" s="20" t="s">
        <v>20</v>
      </c>
      <c r="E1373" s="12" t="str">
        <f>IFERROR(__xludf.DUMMYFUNCTION("FILTER(colegios!$B$2:$B5618,colegios!$A$2:$A5618=L1373)"),"64871-B")</f>
        <v>64871-B</v>
      </c>
      <c r="F1373" s="14" t="s">
        <v>16</v>
      </c>
      <c r="G1373" s="20" t="s">
        <v>17</v>
      </c>
      <c r="H1373" s="14" t="s">
        <v>24</v>
      </c>
      <c r="I1373" s="22">
        <v>2023.0</v>
      </c>
      <c r="J1373" s="16" t="str">
        <f>IFERROR(__xludf.DUMMYFUNCTION("FILTER('CLASFICACIÓN'!$F$3:$F5618,'CLASFICACIÓN'!$G$3:$G5618=M1373)"),"2023 Y 2024")</f>
        <v>2023 Y 2024</v>
      </c>
      <c r="K1373" s="16"/>
      <c r="L1373" s="14" t="s">
        <v>113</v>
      </c>
      <c r="M1373" s="16" t="str">
        <f t="shared" si="1"/>
        <v>64871-B4 Primaria</v>
      </c>
      <c r="N1373" s="17"/>
      <c r="O1373" s="17"/>
      <c r="P1373" s="17"/>
      <c r="Q1373" s="17"/>
      <c r="R1373" s="17"/>
      <c r="S1373" s="17"/>
      <c r="T1373" s="17"/>
    </row>
    <row r="1374">
      <c r="A1374" s="21">
        <v>177.0</v>
      </c>
      <c r="B1374" s="20" t="s">
        <v>70</v>
      </c>
      <c r="C1374" s="14" t="s">
        <v>14</v>
      </c>
      <c r="D1374" s="20" t="s">
        <v>20</v>
      </c>
      <c r="E1374" s="12" t="str">
        <f>IFERROR(__xludf.DUMMYFUNCTION("FILTER(colegios!$B$2:$B5618,colegios!$A$2:$A5618=L1374)"),"64871-B")</f>
        <v>64871-B</v>
      </c>
      <c r="F1374" s="14" t="s">
        <v>16</v>
      </c>
      <c r="G1374" s="20" t="s">
        <v>17</v>
      </c>
      <c r="H1374" s="14" t="s">
        <v>18</v>
      </c>
      <c r="I1374" s="22">
        <v>2023.0</v>
      </c>
      <c r="J1374" s="16" t="str">
        <f>IFERROR(__xludf.DUMMYFUNCTION("FILTER('CLASFICACIÓN'!$F$3:$F5618,'CLASFICACIÓN'!$G$3:$G5618=M1374)"),"2023 Y 2024")</f>
        <v>2023 Y 2024</v>
      </c>
      <c r="K1374" s="16"/>
      <c r="L1374" s="14" t="s">
        <v>113</v>
      </c>
      <c r="M1374" s="16" t="str">
        <f t="shared" si="1"/>
        <v>64871-B4 Primaria</v>
      </c>
      <c r="N1374" s="17"/>
      <c r="O1374" s="17"/>
      <c r="P1374" s="17"/>
      <c r="Q1374" s="17"/>
      <c r="R1374" s="17"/>
      <c r="S1374" s="17"/>
      <c r="T1374" s="17"/>
    </row>
    <row r="1375">
      <c r="A1375" s="21">
        <v>178.0</v>
      </c>
      <c r="B1375" s="20" t="s">
        <v>70</v>
      </c>
      <c r="C1375" s="14" t="s">
        <v>14</v>
      </c>
      <c r="D1375" s="20" t="s">
        <v>20</v>
      </c>
      <c r="E1375" s="12" t="str">
        <f>IFERROR(__xludf.DUMMYFUNCTION("FILTER(colegios!$B$2:$B5618,colegios!$A$2:$A5618=L1375)"),"64871-B")</f>
        <v>64871-B</v>
      </c>
      <c r="F1375" s="14" t="s">
        <v>16</v>
      </c>
      <c r="G1375" s="20" t="s">
        <v>17</v>
      </c>
      <c r="H1375" s="14" t="s">
        <v>24</v>
      </c>
      <c r="I1375" s="22">
        <v>2023.0</v>
      </c>
      <c r="J1375" s="16" t="str">
        <f>IFERROR(__xludf.DUMMYFUNCTION("FILTER('CLASFICACIÓN'!$F$3:$F5618,'CLASFICACIÓN'!$G$3:$G5618=M1375)"),"2023 Y 2024")</f>
        <v>2023 Y 2024</v>
      </c>
      <c r="K1375" s="16"/>
      <c r="L1375" s="14" t="s">
        <v>113</v>
      </c>
      <c r="M1375" s="16" t="str">
        <f t="shared" si="1"/>
        <v>64871-B4 Primaria</v>
      </c>
      <c r="N1375" s="17"/>
      <c r="O1375" s="17"/>
      <c r="P1375" s="17"/>
      <c r="Q1375" s="17"/>
      <c r="R1375" s="17"/>
      <c r="S1375" s="17"/>
      <c r="T1375" s="17"/>
    </row>
    <row r="1376">
      <c r="A1376" s="21">
        <v>179.0</v>
      </c>
      <c r="B1376" s="20" t="s">
        <v>70</v>
      </c>
      <c r="C1376" s="14" t="s">
        <v>14</v>
      </c>
      <c r="D1376" s="20" t="s">
        <v>20</v>
      </c>
      <c r="E1376" s="12" t="str">
        <f>IFERROR(__xludf.DUMMYFUNCTION("FILTER(colegios!$B$2:$B5618,colegios!$A$2:$A5618=L1376)"),"64871-B")</f>
        <v>64871-B</v>
      </c>
      <c r="F1376" s="14" t="s">
        <v>16</v>
      </c>
      <c r="G1376" s="20" t="s">
        <v>21</v>
      </c>
      <c r="H1376" s="14" t="s">
        <v>24</v>
      </c>
      <c r="I1376" s="22">
        <v>2023.0</v>
      </c>
      <c r="J1376" s="16" t="str">
        <f>IFERROR(__xludf.DUMMYFUNCTION("FILTER('CLASFICACIÓN'!$F$3:$F5618,'CLASFICACIÓN'!$G$3:$G5618=M1376)"),"2023 Y 2024")</f>
        <v>2023 Y 2024</v>
      </c>
      <c r="K1376" s="16"/>
      <c r="L1376" s="14" t="s">
        <v>113</v>
      </c>
      <c r="M1376" s="16" t="str">
        <f t="shared" si="1"/>
        <v>64871-B4 Primaria</v>
      </c>
      <c r="N1376" s="17"/>
      <c r="O1376" s="17"/>
      <c r="P1376" s="17"/>
      <c r="Q1376" s="17"/>
      <c r="R1376" s="17"/>
      <c r="S1376" s="17"/>
      <c r="T1376" s="17"/>
    </row>
    <row r="1377">
      <c r="A1377" s="21">
        <v>180.0</v>
      </c>
      <c r="B1377" s="20" t="s">
        <v>70</v>
      </c>
      <c r="C1377" s="14" t="s">
        <v>14</v>
      </c>
      <c r="D1377" s="20" t="s">
        <v>20</v>
      </c>
      <c r="E1377" s="12" t="str">
        <f>IFERROR(__xludf.DUMMYFUNCTION("FILTER(colegios!$B$2:$B5618,colegios!$A$2:$A5618=L1377)"),"64871-B")</f>
        <v>64871-B</v>
      </c>
      <c r="F1377" s="14" t="s">
        <v>16</v>
      </c>
      <c r="G1377" s="20" t="s">
        <v>17</v>
      </c>
      <c r="H1377" s="14" t="s">
        <v>24</v>
      </c>
      <c r="I1377" s="22">
        <v>2023.0</v>
      </c>
      <c r="J1377" s="16" t="str">
        <f>IFERROR(__xludf.DUMMYFUNCTION("FILTER('CLASFICACIÓN'!$F$3:$F5618,'CLASFICACIÓN'!$G$3:$G5618=M1377)"),"2023 Y 2024")</f>
        <v>2023 Y 2024</v>
      </c>
      <c r="K1377" s="16"/>
      <c r="L1377" s="14" t="s">
        <v>113</v>
      </c>
      <c r="M1377" s="16" t="str">
        <f t="shared" si="1"/>
        <v>64871-B4 Primaria</v>
      </c>
      <c r="N1377" s="17"/>
      <c r="O1377" s="17"/>
      <c r="P1377" s="17"/>
      <c r="Q1377" s="17"/>
      <c r="R1377" s="17"/>
      <c r="S1377" s="17"/>
      <c r="T1377" s="17"/>
    </row>
    <row r="1378">
      <c r="A1378" s="21">
        <v>181.0</v>
      </c>
      <c r="B1378" s="20" t="s">
        <v>70</v>
      </c>
      <c r="C1378" s="14" t="s">
        <v>14</v>
      </c>
      <c r="D1378" s="20" t="s">
        <v>20</v>
      </c>
      <c r="E1378" s="12" t="str">
        <f>IFERROR(__xludf.DUMMYFUNCTION("FILTER(colegios!$B$2:$B5618,colegios!$A$2:$A5618=L1378)"),"64871-B")</f>
        <v>64871-B</v>
      </c>
      <c r="F1378" s="14" t="s">
        <v>16</v>
      </c>
      <c r="G1378" s="20" t="s">
        <v>17</v>
      </c>
      <c r="H1378" s="14" t="s">
        <v>24</v>
      </c>
      <c r="I1378" s="22">
        <v>2023.0</v>
      </c>
      <c r="J1378" s="16" t="str">
        <f>IFERROR(__xludf.DUMMYFUNCTION("FILTER('CLASFICACIÓN'!$F$3:$F5618,'CLASFICACIÓN'!$G$3:$G5618=M1378)"),"2023 Y 2024")</f>
        <v>2023 Y 2024</v>
      </c>
      <c r="K1378" s="16"/>
      <c r="L1378" s="14" t="s">
        <v>113</v>
      </c>
      <c r="M1378" s="16" t="str">
        <f t="shared" si="1"/>
        <v>64871-B4 Primaria</v>
      </c>
      <c r="N1378" s="17"/>
      <c r="O1378" s="17"/>
      <c r="P1378" s="17"/>
      <c r="Q1378" s="17"/>
      <c r="R1378" s="17"/>
      <c r="S1378" s="17"/>
      <c r="T1378" s="17"/>
    </row>
    <row r="1379">
      <c r="A1379" s="21">
        <v>182.0</v>
      </c>
      <c r="B1379" s="20" t="s">
        <v>70</v>
      </c>
      <c r="C1379" s="14" t="s">
        <v>14</v>
      </c>
      <c r="D1379" s="20" t="s">
        <v>20</v>
      </c>
      <c r="E1379" s="12" t="str">
        <f>IFERROR(__xludf.DUMMYFUNCTION("FILTER(colegios!$B$2:$B5618,colegios!$A$2:$A5618=L1379)"),"64871-B")</f>
        <v>64871-B</v>
      </c>
      <c r="F1379" s="14" t="s">
        <v>16</v>
      </c>
      <c r="G1379" s="20" t="s">
        <v>21</v>
      </c>
      <c r="H1379" s="14" t="s">
        <v>18</v>
      </c>
      <c r="I1379" s="22">
        <v>2023.0</v>
      </c>
      <c r="J1379" s="16" t="str">
        <f>IFERROR(__xludf.DUMMYFUNCTION("FILTER('CLASFICACIÓN'!$F$3:$F5618,'CLASFICACIÓN'!$G$3:$G5618=M1379)"),"2023 Y 2024")</f>
        <v>2023 Y 2024</v>
      </c>
      <c r="K1379" s="16"/>
      <c r="L1379" s="14" t="s">
        <v>113</v>
      </c>
      <c r="M1379" s="16" t="str">
        <f t="shared" si="1"/>
        <v>64871-B4 Primaria</v>
      </c>
      <c r="N1379" s="17"/>
      <c r="O1379" s="17"/>
      <c r="P1379" s="17"/>
      <c r="Q1379" s="17"/>
      <c r="R1379" s="17"/>
      <c r="S1379" s="17"/>
      <c r="T1379" s="17"/>
    </row>
    <row r="1380">
      <c r="A1380" s="21">
        <v>183.0</v>
      </c>
      <c r="B1380" s="20" t="s">
        <v>70</v>
      </c>
      <c r="C1380" s="14" t="s">
        <v>14</v>
      </c>
      <c r="D1380" s="20" t="s">
        <v>20</v>
      </c>
      <c r="E1380" s="12" t="str">
        <f>IFERROR(__xludf.DUMMYFUNCTION("FILTER(colegios!$B$2:$B5618,colegios!$A$2:$A5618=L1380)"),"64871-B")</f>
        <v>64871-B</v>
      </c>
      <c r="F1380" s="14" t="s">
        <v>16</v>
      </c>
      <c r="G1380" s="20" t="s">
        <v>17</v>
      </c>
      <c r="H1380" s="14" t="s">
        <v>24</v>
      </c>
      <c r="I1380" s="22">
        <v>2023.0</v>
      </c>
      <c r="J1380" s="16" t="str">
        <f>IFERROR(__xludf.DUMMYFUNCTION("FILTER('CLASFICACIÓN'!$F$3:$F5618,'CLASFICACIÓN'!$G$3:$G5618=M1380)"),"2023 Y 2024")</f>
        <v>2023 Y 2024</v>
      </c>
      <c r="K1380" s="16"/>
      <c r="L1380" s="14" t="s">
        <v>113</v>
      </c>
      <c r="M1380" s="16" t="str">
        <f t="shared" si="1"/>
        <v>64871-B4 Primaria</v>
      </c>
      <c r="N1380" s="17"/>
      <c r="O1380" s="17"/>
      <c r="P1380" s="17"/>
      <c r="Q1380" s="17"/>
      <c r="R1380" s="17"/>
      <c r="S1380" s="17"/>
      <c r="T1380" s="17"/>
    </row>
    <row r="1381">
      <c r="A1381" s="21">
        <v>184.0</v>
      </c>
      <c r="B1381" s="20" t="s">
        <v>70</v>
      </c>
      <c r="C1381" s="14" t="s">
        <v>14</v>
      </c>
      <c r="D1381" s="20" t="s">
        <v>20</v>
      </c>
      <c r="E1381" s="12" t="str">
        <f>IFERROR(__xludf.DUMMYFUNCTION("FILTER(colegios!$B$2:$B5618,colegios!$A$2:$A5618=L1381)"),"64871-B")</f>
        <v>64871-B</v>
      </c>
      <c r="F1381" s="14" t="s">
        <v>16</v>
      </c>
      <c r="G1381" s="20" t="s">
        <v>21</v>
      </c>
      <c r="H1381" s="14" t="s">
        <v>18</v>
      </c>
      <c r="I1381" s="22">
        <v>2023.0</v>
      </c>
      <c r="J1381" s="16" t="str">
        <f>IFERROR(__xludf.DUMMYFUNCTION("FILTER('CLASFICACIÓN'!$F$3:$F5618,'CLASFICACIÓN'!$G$3:$G5618=M1381)"),"2023 Y 2024")</f>
        <v>2023 Y 2024</v>
      </c>
      <c r="K1381" s="16"/>
      <c r="L1381" s="14" t="s">
        <v>113</v>
      </c>
      <c r="M1381" s="16" t="str">
        <f t="shared" si="1"/>
        <v>64871-B4 Primaria</v>
      </c>
      <c r="N1381" s="17"/>
      <c r="O1381" s="17"/>
      <c r="P1381" s="17"/>
      <c r="Q1381" s="17"/>
      <c r="R1381" s="17"/>
      <c r="S1381" s="17"/>
      <c r="T1381" s="17"/>
    </row>
    <row r="1382">
      <c r="A1382" s="21">
        <v>185.0</v>
      </c>
      <c r="B1382" s="20" t="s">
        <v>70</v>
      </c>
      <c r="C1382" s="14" t="s">
        <v>14</v>
      </c>
      <c r="D1382" s="20" t="s">
        <v>20</v>
      </c>
      <c r="E1382" s="12" t="str">
        <f>IFERROR(__xludf.DUMMYFUNCTION("FILTER(colegios!$B$2:$B5618,colegios!$A$2:$A5618=L1382)"),"64871-B")</f>
        <v>64871-B</v>
      </c>
      <c r="F1382" s="14" t="s">
        <v>16</v>
      </c>
      <c r="G1382" s="20" t="s">
        <v>17</v>
      </c>
      <c r="H1382" s="14" t="s">
        <v>24</v>
      </c>
      <c r="I1382" s="22">
        <v>2023.0</v>
      </c>
      <c r="J1382" s="16" t="str">
        <f>IFERROR(__xludf.DUMMYFUNCTION("FILTER('CLASFICACIÓN'!$F$3:$F5618,'CLASFICACIÓN'!$G$3:$G5618=M1382)"),"2023 Y 2024")</f>
        <v>2023 Y 2024</v>
      </c>
      <c r="K1382" s="16"/>
      <c r="L1382" s="14" t="s">
        <v>113</v>
      </c>
      <c r="M1382" s="16" t="str">
        <f t="shared" si="1"/>
        <v>64871-B4 Primaria</v>
      </c>
      <c r="N1382" s="17"/>
      <c r="O1382" s="17"/>
      <c r="P1382" s="17"/>
      <c r="Q1382" s="17"/>
      <c r="R1382" s="17"/>
      <c r="S1382" s="17"/>
      <c r="T1382" s="17"/>
    </row>
    <row r="1383">
      <c r="A1383" s="21">
        <v>186.0</v>
      </c>
      <c r="B1383" s="20" t="s">
        <v>70</v>
      </c>
      <c r="C1383" s="14" t="s">
        <v>14</v>
      </c>
      <c r="D1383" s="20" t="s">
        <v>20</v>
      </c>
      <c r="E1383" s="12" t="str">
        <f>IFERROR(__xludf.DUMMYFUNCTION("FILTER(colegios!$B$2:$B5618,colegios!$A$2:$A5618=L1383)"),"64871-B")</f>
        <v>64871-B</v>
      </c>
      <c r="F1383" s="14" t="s">
        <v>16</v>
      </c>
      <c r="G1383" s="20" t="s">
        <v>21</v>
      </c>
      <c r="H1383" s="14" t="s">
        <v>24</v>
      </c>
      <c r="I1383" s="22">
        <v>2023.0</v>
      </c>
      <c r="J1383" s="16" t="str">
        <f>IFERROR(__xludf.DUMMYFUNCTION("FILTER('CLASFICACIÓN'!$F$3:$F5618,'CLASFICACIÓN'!$G$3:$G5618=M1383)"),"2023 Y 2024")</f>
        <v>2023 Y 2024</v>
      </c>
      <c r="K1383" s="16"/>
      <c r="L1383" s="14" t="s">
        <v>113</v>
      </c>
      <c r="M1383" s="16" t="str">
        <f t="shared" si="1"/>
        <v>64871-B4 Primaria</v>
      </c>
      <c r="N1383" s="17"/>
      <c r="O1383" s="17"/>
      <c r="P1383" s="17"/>
      <c r="Q1383" s="17"/>
      <c r="R1383" s="17"/>
      <c r="S1383" s="17"/>
      <c r="T1383" s="17"/>
    </row>
    <row r="1384">
      <c r="A1384" s="21">
        <v>187.0</v>
      </c>
      <c r="B1384" s="20" t="s">
        <v>70</v>
      </c>
      <c r="C1384" s="14" t="s">
        <v>14</v>
      </c>
      <c r="D1384" s="20" t="s">
        <v>20</v>
      </c>
      <c r="E1384" s="12" t="str">
        <f>IFERROR(__xludf.DUMMYFUNCTION("FILTER(colegios!$B$2:$B5618,colegios!$A$2:$A5618=L1384)"),"64871-B")</f>
        <v>64871-B</v>
      </c>
      <c r="F1384" s="14" t="s">
        <v>16</v>
      </c>
      <c r="G1384" s="20" t="s">
        <v>17</v>
      </c>
      <c r="H1384" s="14" t="s">
        <v>24</v>
      </c>
      <c r="I1384" s="22">
        <v>2023.0</v>
      </c>
      <c r="J1384" s="16" t="str">
        <f>IFERROR(__xludf.DUMMYFUNCTION("FILTER('CLASFICACIÓN'!$F$3:$F5618,'CLASFICACIÓN'!$G$3:$G5618=M1384)"),"2023 Y 2024")</f>
        <v>2023 Y 2024</v>
      </c>
      <c r="K1384" s="16"/>
      <c r="L1384" s="14" t="s">
        <v>113</v>
      </c>
      <c r="M1384" s="16" t="str">
        <f t="shared" si="1"/>
        <v>64871-B4 Primaria</v>
      </c>
      <c r="N1384" s="17"/>
      <c r="O1384" s="17"/>
      <c r="P1384" s="17"/>
      <c r="Q1384" s="17"/>
      <c r="R1384" s="17"/>
      <c r="S1384" s="17"/>
      <c r="T1384" s="17"/>
    </row>
    <row r="1385">
      <c r="A1385" s="21">
        <v>188.0</v>
      </c>
      <c r="B1385" s="20" t="s">
        <v>70</v>
      </c>
      <c r="C1385" s="14" t="s">
        <v>14</v>
      </c>
      <c r="D1385" s="20" t="s">
        <v>15</v>
      </c>
      <c r="E1385" s="12" t="str">
        <f>IFERROR(__xludf.DUMMYFUNCTION("FILTER(colegios!$B$2:$B5618,colegios!$A$2:$A5618=L1385)"),"64996")</f>
        <v>64996</v>
      </c>
      <c r="F1385" s="14" t="s">
        <v>16</v>
      </c>
      <c r="G1385" s="20" t="s">
        <v>21</v>
      </c>
      <c r="H1385" s="14" t="s">
        <v>24</v>
      </c>
      <c r="I1385" s="22">
        <v>2023.0</v>
      </c>
      <c r="J1385" s="16" t="str">
        <f>IFERROR(__xludf.DUMMYFUNCTION("FILTER('CLASFICACIÓN'!$F$3:$F5618,'CLASFICACIÓN'!$G$3:$G5618=M1385)"),"2023 Y 2024")</f>
        <v>2023 Y 2024</v>
      </c>
      <c r="K1385" s="16"/>
      <c r="L1385" s="14" t="s">
        <v>81</v>
      </c>
      <c r="M1385" s="16" t="str">
        <f t="shared" si="1"/>
        <v>649962 Primaria</v>
      </c>
      <c r="N1385" s="17"/>
      <c r="O1385" s="17"/>
      <c r="P1385" s="17"/>
      <c r="Q1385" s="17"/>
      <c r="R1385" s="17"/>
      <c r="S1385" s="17"/>
      <c r="T1385" s="17"/>
    </row>
    <row r="1386">
      <c r="A1386" s="21">
        <v>189.0</v>
      </c>
      <c r="B1386" s="20" t="s">
        <v>70</v>
      </c>
      <c r="C1386" s="14" t="s">
        <v>14</v>
      </c>
      <c r="D1386" s="20" t="s">
        <v>20</v>
      </c>
      <c r="E1386" s="12" t="str">
        <f>IFERROR(__xludf.DUMMYFUNCTION("FILTER(colegios!$B$2:$B5618,colegios!$A$2:$A5618=L1386)"),"64996")</f>
        <v>64996</v>
      </c>
      <c r="F1386" s="14" t="s">
        <v>16</v>
      </c>
      <c r="G1386" s="20" t="s">
        <v>17</v>
      </c>
      <c r="H1386" s="14" t="s">
        <v>24</v>
      </c>
      <c r="I1386" s="22">
        <v>2023.0</v>
      </c>
      <c r="J1386" s="16" t="str">
        <f>IFERROR(__xludf.DUMMYFUNCTION("FILTER('CLASFICACIÓN'!$F$3:$F5618,'CLASFICACIÓN'!$G$3:$G5618=M1386)"),"2023 Y 2024")</f>
        <v>2023 Y 2024</v>
      </c>
      <c r="K1386" s="16"/>
      <c r="L1386" s="14" t="s">
        <v>81</v>
      </c>
      <c r="M1386" s="16" t="str">
        <f t="shared" si="1"/>
        <v>649964 Primaria</v>
      </c>
      <c r="N1386" s="17"/>
      <c r="O1386" s="17"/>
      <c r="P1386" s="17"/>
      <c r="Q1386" s="17"/>
      <c r="R1386" s="17"/>
      <c r="S1386" s="17"/>
      <c r="T1386" s="17"/>
    </row>
    <row r="1387">
      <c r="A1387" s="21">
        <v>190.0</v>
      </c>
      <c r="B1387" s="20" t="s">
        <v>70</v>
      </c>
      <c r="C1387" s="14" t="s">
        <v>14</v>
      </c>
      <c r="D1387" s="20" t="s">
        <v>22</v>
      </c>
      <c r="E1387" s="12" t="str">
        <f>IFERROR(__xludf.DUMMYFUNCTION("FILTER(colegios!$B$2:$B5618,colegios!$A$2:$A5618=L1387)"),"64996")</f>
        <v>64996</v>
      </c>
      <c r="F1387" s="14" t="s">
        <v>16</v>
      </c>
      <c r="G1387" s="20" t="s">
        <v>17</v>
      </c>
      <c r="H1387" s="14" t="s">
        <v>24</v>
      </c>
      <c r="I1387" s="22">
        <v>2023.0</v>
      </c>
      <c r="J1387" s="16" t="str">
        <f>IFERROR(__xludf.DUMMYFUNCTION("FILTER('CLASFICACIÓN'!$F$3:$F5618,'CLASFICACIÓN'!$G$3:$G5618=M1387)"),"2023 Y 2024")</f>
        <v>2023 Y 2024</v>
      </c>
      <c r="K1387" s="16"/>
      <c r="L1387" s="14" t="s">
        <v>81</v>
      </c>
      <c r="M1387" s="16" t="str">
        <f t="shared" si="1"/>
        <v>649966 Primaria</v>
      </c>
      <c r="N1387" s="17"/>
      <c r="O1387" s="17"/>
      <c r="P1387" s="17"/>
      <c r="Q1387" s="17"/>
      <c r="R1387" s="17"/>
      <c r="S1387" s="17"/>
      <c r="T1387" s="17"/>
    </row>
    <row r="1388">
      <c r="A1388" s="21">
        <v>191.0</v>
      </c>
      <c r="B1388" s="20" t="s">
        <v>70</v>
      </c>
      <c r="C1388" s="14" t="s">
        <v>14</v>
      </c>
      <c r="D1388" s="20" t="s">
        <v>22</v>
      </c>
      <c r="E1388" s="12" t="str">
        <f>IFERROR(__xludf.DUMMYFUNCTION("FILTER(colegios!$B$2:$B5618,colegios!$A$2:$A5618=L1388)"),"64996")</f>
        <v>64996</v>
      </c>
      <c r="F1388" s="14" t="s">
        <v>16</v>
      </c>
      <c r="G1388" s="20" t="s">
        <v>21</v>
      </c>
      <c r="H1388" s="14" t="s">
        <v>24</v>
      </c>
      <c r="I1388" s="22">
        <v>2023.0</v>
      </c>
      <c r="J1388" s="16" t="str">
        <f>IFERROR(__xludf.DUMMYFUNCTION("FILTER('CLASFICACIÓN'!$F$3:$F5618,'CLASFICACIÓN'!$G$3:$G5618=M1388)"),"2023 Y 2024")</f>
        <v>2023 Y 2024</v>
      </c>
      <c r="K1388" s="16"/>
      <c r="L1388" s="14" t="s">
        <v>81</v>
      </c>
      <c r="M1388" s="16" t="str">
        <f t="shared" si="1"/>
        <v>649966 Primaria</v>
      </c>
      <c r="N1388" s="17"/>
      <c r="O1388" s="17"/>
      <c r="P1388" s="17"/>
      <c r="Q1388" s="17"/>
      <c r="R1388" s="17"/>
      <c r="S1388" s="17"/>
      <c r="T1388" s="17"/>
    </row>
    <row r="1389">
      <c r="A1389" s="21">
        <v>192.0</v>
      </c>
      <c r="B1389" s="20" t="s">
        <v>70</v>
      </c>
      <c r="C1389" s="14" t="s">
        <v>14</v>
      </c>
      <c r="D1389" s="20" t="s">
        <v>22</v>
      </c>
      <c r="E1389" s="12" t="str">
        <f>IFERROR(__xludf.DUMMYFUNCTION("FILTER(colegios!$B$2:$B5618,colegios!$A$2:$A5618=L1389)"),"64996")</f>
        <v>64996</v>
      </c>
      <c r="F1389" s="14" t="s">
        <v>16</v>
      </c>
      <c r="G1389" s="20" t="s">
        <v>17</v>
      </c>
      <c r="H1389" s="14" t="s">
        <v>24</v>
      </c>
      <c r="I1389" s="22">
        <v>2023.0</v>
      </c>
      <c r="J1389" s="16" t="str">
        <f>IFERROR(__xludf.DUMMYFUNCTION("FILTER('CLASFICACIÓN'!$F$3:$F5618,'CLASFICACIÓN'!$G$3:$G5618=M1389)"),"2023 Y 2024")</f>
        <v>2023 Y 2024</v>
      </c>
      <c r="K1389" s="16"/>
      <c r="L1389" s="14" t="s">
        <v>81</v>
      </c>
      <c r="M1389" s="16" t="str">
        <f t="shared" si="1"/>
        <v>649966 Primaria</v>
      </c>
      <c r="N1389" s="17"/>
      <c r="O1389" s="17"/>
      <c r="P1389" s="17"/>
      <c r="Q1389" s="17"/>
      <c r="R1389" s="17"/>
      <c r="S1389" s="17"/>
      <c r="T1389" s="17"/>
    </row>
    <row r="1390">
      <c r="A1390" s="21">
        <v>193.0</v>
      </c>
      <c r="B1390" s="20" t="s">
        <v>70</v>
      </c>
      <c r="C1390" s="14" t="s">
        <v>14</v>
      </c>
      <c r="D1390" s="20" t="s">
        <v>15</v>
      </c>
      <c r="E1390" s="12" t="str">
        <f>IFERROR(__xludf.DUMMYFUNCTION("FILTER(colegios!$B$2:$B5618,colegios!$A$2:$A5618=L1390)"),"64028")</f>
        <v>64028</v>
      </c>
      <c r="F1390" s="14" t="s">
        <v>16</v>
      </c>
      <c r="G1390" s="20" t="s">
        <v>17</v>
      </c>
      <c r="H1390" s="14" t="s">
        <v>24</v>
      </c>
      <c r="I1390" s="22">
        <v>2023.0</v>
      </c>
      <c r="J1390" s="16" t="str">
        <f>IFERROR(__xludf.DUMMYFUNCTION("FILTER('CLASFICACIÓN'!$F$3:$F5618,'CLASFICACIÓN'!$G$3:$G5618=M1390)"),"LOS 3 AÑOS")</f>
        <v>LOS 3 AÑOS</v>
      </c>
      <c r="K1390" s="16"/>
      <c r="L1390" s="14" t="s">
        <v>78</v>
      </c>
      <c r="M1390" s="16" t="str">
        <f t="shared" si="1"/>
        <v>640282 Primaria</v>
      </c>
      <c r="N1390" s="17"/>
      <c r="O1390" s="17"/>
      <c r="P1390" s="17"/>
      <c r="Q1390" s="17"/>
      <c r="R1390" s="17"/>
      <c r="S1390" s="17"/>
      <c r="T1390" s="17"/>
    </row>
    <row r="1391">
      <c r="A1391" s="21">
        <v>194.0</v>
      </c>
      <c r="B1391" s="20" t="s">
        <v>70</v>
      </c>
      <c r="C1391" s="14" t="s">
        <v>14</v>
      </c>
      <c r="D1391" s="20" t="s">
        <v>15</v>
      </c>
      <c r="E1391" s="12" t="str">
        <f>IFERROR(__xludf.DUMMYFUNCTION("FILTER(colegios!$B$2:$B5618,colegios!$A$2:$A5618=L1391)"),"64028")</f>
        <v>64028</v>
      </c>
      <c r="F1391" s="14" t="s">
        <v>16</v>
      </c>
      <c r="G1391" s="20" t="s">
        <v>17</v>
      </c>
      <c r="H1391" s="14" t="s">
        <v>24</v>
      </c>
      <c r="I1391" s="22">
        <v>2023.0</v>
      </c>
      <c r="J1391" s="16" t="str">
        <f>IFERROR(__xludf.DUMMYFUNCTION("FILTER('CLASFICACIÓN'!$F$3:$F5618,'CLASFICACIÓN'!$G$3:$G5618=M1391)"),"LOS 3 AÑOS")</f>
        <v>LOS 3 AÑOS</v>
      </c>
      <c r="K1391" s="16"/>
      <c r="L1391" s="14" t="s">
        <v>78</v>
      </c>
      <c r="M1391" s="16" t="str">
        <f t="shared" si="1"/>
        <v>640282 Primaria</v>
      </c>
      <c r="N1391" s="17"/>
      <c r="O1391" s="17"/>
      <c r="P1391" s="17"/>
      <c r="Q1391" s="17"/>
      <c r="R1391" s="17"/>
      <c r="S1391" s="17"/>
      <c r="T1391" s="17"/>
    </row>
    <row r="1392">
      <c r="A1392" s="21">
        <v>195.0</v>
      </c>
      <c r="B1392" s="20" t="s">
        <v>70</v>
      </c>
      <c r="C1392" s="14" t="s">
        <v>14</v>
      </c>
      <c r="D1392" s="20" t="s">
        <v>15</v>
      </c>
      <c r="E1392" s="12" t="str">
        <f>IFERROR(__xludf.DUMMYFUNCTION("FILTER(colegios!$B$2:$B5618,colegios!$A$2:$A5618=L1392)"),"64028")</f>
        <v>64028</v>
      </c>
      <c r="F1392" s="14" t="s">
        <v>16</v>
      </c>
      <c r="G1392" s="20" t="s">
        <v>17</v>
      </c>
      <c r="H1392" s="14" t="s">
        <v>18</v>
      </c>
      <c r="I1392" s="22">
        <v>2023.0</v>
      </c>
      <c r="J1392" s="16" t="str">
        <f>IFERROR(__xludf.DUMMYFUNCTION("FILTER('CLASFICACIÓN'!$F$3:$F5618,'CLASFICACIÓN'!$G$3:$G5618=M1392)"),"LOS 3 AÑOS")</f>
        <v>LOS 3 AÑOS</v>
      </c>
      <c r="K1392" s="16"/>
      <c r="L1392" s="14" t="s">
        <v>78</v>
      </c>
      <c r="M1392" s="16" t="str">
        <f t="shared" si="1"/>
        <v>640282 Primaria</v>
      </c>
      <c r="N1392" s="17"/>
      <c r="O1392" s="17"/>
      <c r="P1392" s="17"/>
      <c r="Q1392" s="17"/>
      <c r="R1392" s="17"/>
      <c r="S1392" s="17"/>
      <c r="T1392" s="17"/>
    </row>
    <row r="1393">
      <c r="A1393" s="21">
        <v>196.0</v>
      </c>
      <c r="B1393" s="20" t="s">
        <v>70</v>
      </c>
      <c r="C1393" s="14" t="s">
        <v>14</v>
      </c>
      <c r="D1393" s="20" t="s">
        <v>15</v>
      </c>
      <c r="E1393" s="12" t="str">
        <f>IFERROR(__xludf.DUMMYFUNCTION("FILTER(colegios!$B$2:$B5618,colegios!$A$2:$A5618=L1393)"),"64028")</f>
        <v>64028</v>
      </c>
      <c r="F1393" s="14" t="s">
        <v>16</v>
      </c>
      <c r="G1393" s="20" t="s">
        <v>17</v>
      </c>
      <c r="H1393" s="14" t="s">
        <v>18</v>
      </c>
      <c r="I1393" s="22">
        <v>2023.0</v>
      </c>
      <c r="J1393" s="16" t="str">
        <f>IFERROR(__xludf.DUMMYFUNCTION("FILTER('CLASFICACIÓN'!$F$3:$F5618,'CLASFICACIÓN'!$G$3:$G5618=M1393)"),"LOS 3 AÑOS")</f>
        <v>LOS 3 AÑOS</v>
      </c>
      <c r="K1393" s="16"/>
      <c r="L1393" s="14" t="s">
        <v>78</v>
      </c>
      <c r="M1393" s="16" t="str">
        <f t="shared" si="1"/>
        <v>640282 Primaria</v>
      </c>
      <c r="N1393" s="17"/>
      <c r="O1393" s="17"/>
      <c r="P1393" s="17"/>
      <c r="Q1393" s="17"/>
      <c r="R1393" s="17"/>
      <c r="S1393" s="17"/>
      <c r="T1393" s="17"/>
    </row>
    <row r="1394">
      <c r="A1394" s="21">
        <v>197.0</v>
      </c>
      <c r="B1394" s="20" t="s">
        <v>70</v>
      </c>
      <c r="C1394" s="14" t="s">
        <v>14</v>
      </c>
      <c r="D1394" s="20" t="s">
        <v>15</v>
      </c>
      <c r="E1394" s="12" t="str">
        <f>IFERROR(__xludf.DUMMYFUNCTION("FILTER(colegios!$B$2:$B5618,colegios!$A$2:$A5618=L1394)"),"64028")</f>
        <v>64028</v>
      </c>
      <c r="F1394" s="14" t="s">
        <v>16</v>
      </c>
      <c r="G1394" s="20" t="s">
        <v>21</v>
      </c>
      <c r="H1394" s="14" t="s">
        <v>24</v>
      </c>
      <c r="I1394" s="22">
        <v>2023.0</v>
      </c>
      <c r="J1394" s="16" t="str">
        <f>IFERROR(__xludf.DUMMYFUNCTION("FILTER('CLASFICACIÓN'!$F$3:$F5618,'CLASFICACIÓN'!$G$3:$G5618=M1394)"),"LOS 3 AÑOS")</f>
        <v>LOS 3 AÑOS</v>
      </c>
      <c r="K1394" s="16"/>
      <c r="L1394" s="14" t="s">
        <v>78</v>
      </c>
      <c r="M1394" s="16" t="str">
        <f t="shared" si="1"/>
        <v>640282 Primaria</v>
      </c>
      <c r="N1394" s="17"/>
      <c r="O1394" s="17"/>
      <c r="P1394" s="17"/>
      <c r="Q1394" s="17"/>
      <c r="R1394" s="17"/>
      <c r="S1394" s="17"/>
      <c r="T1394" s="17"/>
    </row>
    <row r="1395">
      <c r="A1395" s="21">
        <v>198.0</v>
      </c>
      <c r="B1395" s="20" t="s">
        <v>70</v>
      </c>
      <c r="C1395" s="14" t="s">
        <v>14</v>
      </c>
      <c r="D1395" s="20" t="s">
        <v>15</v>
      </c>
      <c r="E1395" s="12" t="str">
        <f>IFERROR(__xludf.DUMMYFUNCTION("FILTER(colegios!$B$2:$B5618,colegios!$A$2:$A5618=L1395)"),"64028")</f>
        <v>64028</v>
      </c>
      <c r="F1395" s="14" t="s">
        <v>16</v>
      </c>
      <c r="G1395" s="20" t="s">
        <v>17</v>
      </c>
      <c r="H1395" s="14" t="s">
        <v>24</v>
      </c>
      <c r="I1395" s="22">
        <v>2023.0</v>
      </c>
      <c r="J1395" s="16" t="str">
        <f>IFERROR(__xludf.DUMMYFUNCTION("FILTER('CLASFICACIÓN'!$F$3:$F5618,'CLASFICACIÓN'!$G$3:$G5618=M1395)"),"LOS 3 AÑOS")</f>
        <v>LOS 3 AÑOS</v>
      </c>
      <c r="K1395" s="16"/>
      <c r="L1395" s="14" t="s">
        <v>78</v>
      </c>
      <c r="M1395" s="16" t="str">
        <f t="shared" si="1"/>
        <v>640282 Primaria</v>
      </c>
      <c r="N1395" s="17"/>
      <c r="O1395" s="17"/>
      <c r="P1395" s="17"/>
      <c r="Q1395" s="17"/>
      <c r="R1395" s="17"/>
      <c r="S1395" s="17"/>
      <c r="T1395" s="17"/>
    </row>
    <row r="1396">
      <c r="A1396" s="21">
        <v>199.0</v>
      </c>
      <c r="B1396" s="20" t="s">
        <v>70</v>
      </c>
      <c r="C1396" s="14" t="s">
        <v>14</v>
      </c>
      <c r="D1396" s="20" t="s">
        <v>15</v>
      </c>
      <c r="E1396" s="12" t="str">
        <f>IFERROR(__xludf.DUMMYFUNCTION("FILTER(colegios!$B$2:$B5618,colegios!$A$2:$A5618=L1396)"),"64028")</f>
        <v>64028</v>
      </c>
      <c r="F1396" s="14" t="s">
        <v>16</v>
      </c>
      <c r="G1396" s="20" t="s">
        <v>17</v>
      </c>
      <c r="H1396" s="14" t="s">
        <v>24</v>
      </c>
      <c r="I1396" s="22">
        <v>2023.0</v>
      </c>
      <c r="J1396" s="16" t="str">
        <f>IFERROR(__xludf.DUMMYFUNCTION("FILTER('CLASFICACIÓN'!$F$3:$F5618,'CLASFICACIÓN'!$G$3:$G5618=M1396)"),"LOS 3 AÑOS")</f>
        <v>LOS 3 AÑOS</v>
      </c>
      <c r="K1396" s="16"/>
      <c r="L1396" s="14" t="s">
        <v>78</v>
      </c>
      <c r="M1396" s="16" t="str">
        <f t="shared" si="1"/>
        <v>640282 Primaria</v>
      </c>
      <c r="N1396" s="17"/>
      <c r="O1396" s="17"/>
      <c r="P1396" s="17"/>
      <c r="Q1396" s="17"/>
      <c r="R1396" s="17"/>
      <c r="S1396" s="17"/>
      <c r="T1396" s="17"/>
    </row>
    <row r="1397">
      <c r="A1397" s="21">
        <v>200.0</v>
      </c>
      <c r="B1397" s="20" t="s">
        <v>70</v>
      </c>
      <c r="C1397" s="14" t="s">
        <v>14</v>
      </c>
      <c r="D1397" s="20" t="s">
        <v>15</v>
      </c>
      <c r="E1397" s="12" t="str">
        <f>IFERROR(__xludf.DUMMYFUNCTION("FILTER(colegios!$B$2:$B5618,colegios!$A$2:$A5618=L1397)"),"64028")</f>
        <v>64028</v>
      </c>
      <c r="F1397" s="14" t="s">
        <v>16</v>
      </c>
      <c r="G1397" s="20" t="s">
        <v>17</v>
      </c>
      <c r="H1397" s="14" t="s">
        <v>18</v>
      </c>
      <c r="I1397" s="22">
        <v>2023.0</v>
      </c>
      <c r="J1397" s="16" t="str">
        <f>IFERROR(__xludf.DUMMYFUNCTION("FILTER('CLASFICACIÓN'!$F$3:$F5618,'CLASFICACIÓN'!$G$3:$G5618=M1397)"),"LOS 3 AÑOS")</f>
        <v>LOS 3 AÑOS</v>
      </c>
      <c r="K1397" s="16"/>
      <c r="L1397" s="14" t="s">
        <v>78</v>
      </c>
      <c r="M1397" s="16" t="str">
        <f t="shared" si="1"/>
        <v>640282 Primaria</v>
      </c>
      <c r="N1397" s="17"/>
      <c r="O1397" s="17"/>
      <c r="P1397" s="17"/>
      <c r="Q1397" s="17"/>
      <c r="R1397" s="17"/>
      <c r="S1397" s="17"/>
      <c r="T1397" s="17"/>
    </row>
    <row r="1398">
      <c r="A1398" s="21">
        <v>201.0</v>
      </c>
      <c r="B1398" s="20" t="s">
        <v>70</v>
      </c>
      <c r="C1398" s="14" t="s">
        <v>14</v>
      </c>
      <c r="D1398" s="20" t="s">
        <v>15</v>
      </c>
      <c r="E1398" s="12" t="str">
        <f>IFERROR(__xludf.DUMMYFUNCTION("FILTER(colegios!$B$2:$B5618,colegios!$A$2:$A5618=L1398)"),"64028")</f>
        <v>64028</v>
      </c>
      <c r="F1398" s="14" t="s">
        <v>16</v>
      </c>
      <c r="G1398" s="20" t="s">
        <v>17</v>
      </c>
      <c r="H1398" s="14" t="s">
        <v>18</v>
      </c>
      <c r="I1398" s="22">
        <v>2023.0</v>
      </c>
      <c r="J1398" s="16" t="str">
        <f>IFERROR(__xludf.DUMMYFUNCTION("FILTER('CLASFICACIÓN'!$F$3:$F5618,'CLASFICACIÓN'!$G$3:$G5618=M1398)"),"LOS 3 AÑOS")</f>
        <v>LOS 3 AÑOS</v>
      </c>
      <c r="K1398" s="16"/>
      <c r="L1398" s="14" t="s">
        <v>78</v>
      </c>
      <c r="M1398" s="16" t="str">
        <f t="shared" si="1"/>
        <v>640282 Primaria</v>
      </c>
      <c r="N1398" s="17"/>
      <c r="O1398" s="17"/>
      <c r="P1398" s="17"/>
      <c r="Q1398" s="17"/>
      <c r="R1398" s="17"/>
      <c r="S1398" s="17"/>
      <c r="T1398" s="17"/>
    </row>
    <row r="1399">
      <c r="A1399" s="21">
        <v>202.0</v>
      </c>
      <c r="B1399" s="20" t="s">
        <v>70</v>
      </c>
      <c r="C1399" s="14" t="s">
        <v>14</v>
      </c>
      <c r="D1399" s="20" t="s">
        <v>15</v>
      </c>
      <c r="E1399" s="12" t="str">
        <f>IFERROR(__xludf.DUMMYFUNCTION("FILTER(colegios!$B$2:$B5618,colegios!$A$2:$A5618=L1399)"),"64028")</f>
        <v>64028</v>
      </c>
      <c r="F1399" s="14" t="s">
        <v>16</v>
      </c>
      <c r="G1399" s="20" t="s">
        <v>17</v>
      </c>
      <c r="H1399" s="14" t="s">
        <v>18</v>
      </c>
      <c r="I1399" s="22">
        <v>2023.0</v>
      </c>
      <c r="J1399" s="16" t="str">
        <f>IFERROR(__xludf.DUMMYFUNCTION("FILTER('CLASFICACIÓN'!$F$3:$F5618,'CLASFICACIÓN'!$G$3:$G5618=M1399)"),"LOS 3 AÑOS")</f>
        <v>LOS 3 AÑOS</v>
      </c>
      <c r="K1399" s="16"/>
      <c r="L1399" s="14" t="s">
        <v>78</v>
      </c>
      <c r="M1399" s="16" t="str">
        <f t="shared" si="1"/>
        <v>640282 Primaria</v>
      </c>
      <c r="N1399" s="17"/>
      <c r="O1399" s="17"/>
      <c r="P1399" s="17"/>
      <c r="Q1399" s="17"/>
      <c r="R1399" s="17"/>
      <c r="S1399" s="17"/>
      <c r="T1399" s="17"/>
    </row>
    <row r="1400">
      <c r="A1400" s="21">
        <v>203.0</v>
      </c>
      <c r="B1400" s="20" t="s">
        <v>70</v>
      </c>
      <c r="C1400" s="14" t="s">
        <v>14</v>
      </c>
      <c r="D1400" s="20" t="s">
        <v>15</v>
      </c>
      <c r="E1400" s="12" t="str">
        <f>IFERROR(__xludf.DUMMYFUNCTION("FILTER(colegios!$B$2:$B5618,colegios!$A$2:$A5618=L1400)"),"64028")</f>
        <v>64028</v>
      </c>
      <c r="F1400" s="14" t="s">
        <v>16</v>
      </c>
      <c r="G1400" s="20" t="s">
        <v>17</v>
      </c>
      <c r="H1400" s="14" t="s">
        <v>24</v>
      </c>
      <c r="I1400" s="22">
        <v>2023.0</v>
      </c>
      <c r="J1400" s="16" t="str">
        <f>IFERROR(__xludf.DUMMYFUNCTION("FILTER('CLASFICACIÓN'!$F$3:$F5618,'CLASFICACIÓN'!$G$3:$G5618=M1400)"),"LOS 3 AÑOS")</f>
        <v>LOS 3 AÑOS</v>
      </c>
      <c r="K1400" s="16"/>
      <c r="L1400" s="14" t="s">
        <v>78</v>
      </c>
      <c r="M1400" s="16" t="str">
        <f t="shared" si="1"/>
        <v>640282 Primaria</v>
      </c>
      <c r="N1400" s="17"/>
      <c r="O1400" s="17"/>
      <c r="P1400" s="17"/>
      <c r="Q1400" s="17"/>
      <c r="R1400" s="17"/>
      <c r="S1400" s="17"/>
      <c r="T1400" s="17"/>
    </row>
    <row r="1401">
      <c r="A1401" s="21">
        <v>204.0</v>
      </c>
      <c r="B1401" s="20" t="s">
        <v>70</v>
      </c>
      <c r="C1401" s="14" t="s">
        <v>14</v>
      </c>
      <c r="D1401" s="20" t="s">
        <v>15</v>
      </c>
      <c r="E1401" s="12" t="str">
        <f>IFERROR(__xludf.DUMMYFUNCTION("FILTER(colegios!$B$2:$B5618,colegios!$A$2:$A5618=L1401)"),"64028")</f>
        <v>64028</v>
      </c>
      <c r="F1401" s="14" t="s">
        <v>16</v>
      </c>
      <c r="G1401" s="20" t="s">
        <v>17</v>
      </c>
      <c r="H1401" s="14" t="s">
        <v>18</v>
      </c>
      <c r="I1401" s="22">
        <v>2023.0</v>
      </c>
      <c r="J1401" s="16" t="str">
        <f>IFERROR(__xludf.DUMMYFUNCTION("FILTER('CLASFICACIÓN'!$F$3:$F5618,'CLASFICACIÓN'!$G$3:$G5618=M1401)"),"LOS 3 AÑOS")</f>
        <v>LOS 3 AÑOS</v>
      </c>
      <c r="K1401" s="16"/>
      <c r="L1401" s="14" t="s">
        <v>78</v>
      </c>
      <c r="M1401" s="16" t="str">
        <f t="shared" si="1"/>
        <v>640282 Primaria</v>
      </c>
      <c r="N1401" s="17"/>
      <c r="O1401" s="17"/>
      <c r="P1401" s="17"/>
      <c r="Q1401" s="17"/>
      <c r="R1401" s="17"/>
      <c r="S1401" s="17"/>
      <c r="T1401" s="17"/>
    </row>
    <row r="1402">
      <c r="A1402" s="21">
        <v>205.0</v>
      </c>
      <c r="B1402" s="20" t="s">
        <v>70</v>
      </c>
      <c r="C1402" s="14" t="s">
        <v>14</v>
      </c>
      <c r="D1402" s="20" t="s">
        <v>15</v>
      </c>
      <c r="E1402" s="12" t="str">
        <f>IFERROR(__xludf.DUMMYFUNCTION("FILTER(colegios!$B$2:$B5618,colegios!$A$2:$A5618=L1402)"),"64028")</f>
        <v>64028</v>
      </c>
      <c r="F1402" s="14" t="s">
        <v>16</v>
      </c>
      <c r="G1402" s="20" t="s">
        <v>17</v>
      </c>
      <c r="H1402" s="14" t="s">
        <v>18</v>
      </c>
      <c r="I1402" s="22">
        <v>2023.0</v>
      </c>
      <c r="J1402" s="16" t="str">
        <f>IFERROR(__xludf.DUMMYFUNCTION("FILTER('CLASFICACIÓN'!$F$3:$F5618,'CLASFICACIÓN'!$G$3:$G5618=M1402)"),"LOS 3 AÑOS")</f>
        <v>LOS 3 AÑOS</v>
      </c>
      <c r="K1402" s="16"/>
      <c r="L1402" s="14" t="s">
        <v>78</v>
      </c>
      <c r="M1402" s="16" t="str">
        <f t="shared" si="1"/>
        <v>640282 Primaria</v>
      </c>
      <c r="N1402" s="17"/>
      <c r="O1402" s="17"/>
      <c r="P1402" s="17"/>
      <c r="Q1402" s="17"/>
      <c r="R1402" s="17"/>
      <c r="S1402" s="17"/>
      <c r="T1402" s="17"/>
    </row>
    <row r="1403">
      <c r="A1403" s="21">
        <v>206.0</v>
      </c>
      <c r="B1403" s="20" t="s">
        <v>70</v>
      </c>
      <c r="C1403" s="14" t="s">
        <v>14</v>
      </c>
      <c r="D1403" s="20" t="s">
        <v>15</v>
      </c>
      <c r="E1403" s="12" t="str">
        <f>IFERROR(__xludf.DUMMYFUNCTION("FILTER(colegios!$B$2:$B5618,colegios!$A$2:$A5618=L1403)"),"64028")</f>
        <v>64028</v>
      </c>
      <c r="F1403" s="14" t="s">
        <v>16</v>
      </c>
      <c r="G1403" s="20" t="s">
        <v>21</v>
      </c>
      <c r="H1403" s="14" t="s">
        <v>18</v>
      </c>
      <c r="I1403" s="22">
        <v>2023.0</v>
      </c>
      <c r="J1403" s="16" t="str">
        <f>IFERROR(__xludf.DUMMYFUNCTION("FILTER('CLASFICACIÓN'!$F$3:$F5618,'CLASFICACIÓN'!$G$3:$G5618=M1403)"),"LOS 3 AÑOS")</f>
        <v>LOS 3 AÑOS</v>
      </c>
      <c r="K1403" s="16"/>
      <c r="L1403" s="14" t="s">
        <v>78</v>
      </c>
      <c r="M1403" s="16" t="str">
        <f t="shared" si="1"/>
        <v>640282 Primaria</v>
      </c>
      <c r="N1403" s="17"/>
      <c r="O1403" s="17"/>
      <c r="P1403" s="17"/>
      <c r="Q1403" s="17"/>
      <c r="R1403" s="17"/>
      <c r="S1403" s="17"/>
      <c r="T1403" s="17"/>
    </row>
    <row r="1404">
      <c r="A1404" s="21">
        <v>207.0</v>
      </c>
      <c r="B1404" s="20" t="s">
        <v>70</v>
      </c>
      <c r="C1404" s="14" t="s">
        <v>14</v>
      </c>
      <c r="D1404" s="20" t="s">
        <v>15</v>
      </c>
      <c r="E1404" s="12" t="str">
        <f>IFERROR(__xludf.DUMMYFUNCTION("FILTER(colegios!$B$2:$B5618,colegios!$A$2:$A5618=L1404)"),"64028")</f>
        <v>64028</v>
      </c>
      <c r="F1404" s="14" t="s">
        <v>16</v>
      </c>
      <c r="G1404" s="20" t="s">
        <v>21</v>
      </c>
      <c r="H1404" s="14" t="s">
        <v>18</v>
      </c>
      <c r="I1404" s="22">
        <v>2023.0</v>
      </c>
      <c r="J1404" s="16" t="str">
        <f>IFERROR(__xludf.DUMMYFUNCTION("FILTER('CLASFICACIÓN'!$F$3:$F5618,'CLASFICACIÓN'!$G$3:$G5618=M1404)"),"LOS 3 AÑOS")</f>
        <v>LOS 3 AÑOS</v>
      </c>
      <c r="K1404" s="16"/>
      <c r="L1404" s="14" t="s">
        <v>78</v>
      </c>
      <c r="M1404" s="16" t="str">
        <f t="shared" si="1"/>
        <v>640282 Primaria</v>
      </c>
      <c r="N1404" s="17"/>
      <c r="O1404" s="17"/>
      <c r="P1404" s="17"/>
      <c r="Q1404" s="17"/>
      <c r="R1404" s="17"/>
      <c r="S1404" s="17"/>
      <c r="T1404" s="17"/>
    </row>
    <row r="1405">
      <c r="A1405" s="21">
        <v>208.0</v>
      </c>
      <c r="B1405" s="20" t="s">
        <v>70</v>
      </c>
      <c r="C1405" s="14" t="s">
        <v>14</v>
      </c>
      <c r="D1405" s="20" t="s">
        <v>20</v>
      </c>
      <c r="E1405" s="12" t="str">
        <f>IFERROR(__xludf.DUMMYFUNCTION("FILTER(colegios!$B$2:$B5618,colegios!$A$2:$A5618=L1405)"),"64028")</f>
        <v>64028</v>
      </c>
      <c r="F1405" s="14" t="s">
        <v>16</v>
      </c>
      <c r="G1405" s="20" t="s">
        <v>17</v>
      </c>
      <c r="H1405" s="14" t="s">
        <v>24</v>
      </c>
      <c r="I1405" s="22">
        <v>2023.0</v>
      </c>
      <c r="J1405" s="16" t="str">
        <f>IFERROR(__xludf.DUMMYFUNCTION("FILTER('CLASFICACIÓN'!$F$3:$F5618,'CLASFICACIÓN'!$G$3:$G5618=M1405)"),"LOS 3 AÑOS")</f>
        <v>LOS 3 AÑOS</v>
      </c>
      <c r="K1405" s="16"/>
      <c r="L1405" s="14" t="s">
        <v>78</v>
      </c>
      <c r="M1405" s="16" t="str">
        <f t="shared" si="1"/>
        <v>640284 Primaria</v>
      </c>
      <c r="N1405" s="17"/>
      <c r="O1405" s="17"/>
      <c r="P1405" s="17"/>
      <c r="Q1405" s="17"/>
      <c r="R1405" s="17"/>
      <c r="S1405" s="17"/>
      <c r="T1405" s="17"/>
    </row>
    <row r="1406">
      <c r="A1406" s="21">
        <v>209.0</v>
      </c>
      <c r="B1406" s="20" t="s">
        <v>70</v>
      </c>
      <c r="C1406" s="14" t="s">
        <v>14</v>
      </c>
      <c r="D1406" s="20" t="s">
        <v>20</v>
      </c>
      <c r="E1406" s="12" t="str">
        <f>IFERROR(__xludf.DUMMYFUNCTION("FILTER(colegios!$B$2:$B5618,colegios!$A$2:$A5618=L1406)"),"64028")</f>
        <v>64028</v>
      </c>
      <c r="F1406" s="14" t="s">
        <v>16</v>
      </c>
      <c r="G1406" s="20" t="s">
        <v>17</v>
      </c>
      <c r="H1406" s="14" t="s">
        <v>24</v>
      </c>
      <c r="I1406" s="22">
        <v>2023.0</v>
      </c>
      <c r="J1406" s="16" t="str">
        <f>IFERROR(__xludf.DUMMYFUNCTION("FILTER('CLASFICACIÓN'!$F$3:$F5618,'CLASFICACIÓN'!$G$3:$G5618=M1406)"),"LOS 3 AÑOS")</f>
        <v>LOS 3 AÑOS</v>
      </c>
      <c r="K1406" s="16"/>
      <c r="L1406" s="14" t="s">
        <v>78</v>
      </c>
      <c r="M1406" s="16" t="str">
        <f t="shared" si="1"/>
        <v>640284 Primaria</v>
      </c>
      <c r="N1406" s="17"/>
      <c r="O1406" s="17"/>
      <c r="P1406" s="17"/>
      <c r="Q1406" s="17"/>
      <c r="R1406" s="17"/>
      <c r="S1406" s="17"/>
      <c r="T1406" s="17"/>
    </row>
    <row r="1407">
      <c r="A1407" s="21">
        <v>210.0</v>
      </c>
      <c r="B1407" s="20" t="s">
        <v>70</v>
      </c>
      <c r="C1407" s="14" t="s">
        <v>14</v>
      </c>
      <c r="D1407" s="20" t="s">
        <v>20</v>
      </c>
      <c r="E1407" s="12" t="str">
        <f>IFERROR(__xludf.DUMMYFUNCTION("FILTER(colegios!$B$2:$B5618,colegios!$A$2:$A5618=L1407)"),"64028")</f>
        <v>64028</v>
      </c>
      <c r="F1407" s="14" t="s">
        <v>16</v>
      </c>
      <c r="G1407" s="20" t="s">
        <v>21</v>
      </c>
      <c r="H1407" s="14" t="s">
        <v>24</v>
      </c>
      <c r="I1407" s="22">
        <v>2023.0</v>
      </c>
      <c r="J1407" s="16" t="str">
        <f>IFERROR(__xludf.DUMMYFUNCTION("FILTER('CLASFICACIÓN'!$F$3:$F5618,'CLASFICACIÓN'!$G$3:$G5618=M1407)"),"LOS 3 AÑOS")</f>
        <v>LOS 3 AÑOS</v>
      </c>
      <c r="K1407" s="16"/>
      <c r="L1407" s="14" t="s">
        <v>78</v>
      </c>
      <c r="M1407" s="16" t="str">
        <f t="shared" si="1"/>
        <v>640284 Primaria</v>
      </c>
      <c r="N1407" s="17"/>
      <c r="O1407" s="17"/>
      <c r="P1407" s="17"/>
      <c r="Q1407" s="17"/>
      <c r="R1407" s="17"/>
      <c r="S1407" s="17"/>
      <c r="T1407" s="17"/>
    </row>
    <row r="1408">
      <c r="A1408" s="21">
        <v>211.0</v>
      </c>
      <c r="B1408" s="20" t="s">
        <v>70</v>
      </c>
      <c r="C1408" s="14" t="s">
        <v>14</v>
      </c>
      <c r="D1408" s="20" t="s">
        <v>20</v>
      </c>
      <c r="E1408" s="12" t="str">
        <f>IFERROR(__xludf.DUMMYFUNCTION("FILTER(colegios!$B$2:$B5618,colegios!$A$2:$A5618=L1408)"),"64028")</f>
        <v>64028</v>
      </c>
      <c r="F1408" s="14" t="s">
        <v>16</v>
      </c>
      <c r="G1408" s="20" t="s">
        <v>17</v>
      </c>
      <c r="H1408" s="14" t="s">
        <v>24</v>
      </c>
      <c r="I1408" s="22">
        <v>2023.0</v>
      </c>
      <c r="J1408" s="16" t="str">
        <f>IFERROR(__xludf.DUMMYFUNCTION("FILTER('CLASFICACIÓN'!$F$3:$F5618,'CLASFICACIÓN'!$G$3:$G5618=M1408)"),"LOS 3 AÑOS")</f>
        <v>LOS 3 AÑOS</v>
      </c>
      <c r="K1408" s="16"/>
      <c r="L1408" s="14" t="s">
        <v>78</v>
      </c>
      <c r="M1408" s="16" t="str">
        <f t="shared" si="1"/>
        <v>640284 Primaria</v>
      </c>
      <c r="N1408" s="17"/>
      <c r="O1408" s="17"/>
      <c r="P1408" s="17"/>
      <c r="Q1408" s="17"/>
      <c r="R1408" s="17"/>
      <c r="S1408" s="17"/>
      <c r="T1408" s="17"/>
    </row>
    <row r="1409">
      <c r="A1409" s="21">
        <v>212.0</v>
      </c>
      <c r="B1409" s="20" t="s">
        <v>70</v>
      </c>
      <c r="C1409" s="14" t="s">
        <v>14</v>
      </c>
      <c r="D1409" s="20" t="s">
        <v>20</v>
      </c>
      <c r="E1409" s="12" t="str">
        <f>IFERROR(__xludf.DUMMYFUNCTION("FILTER(colegios!$B$2:$B5618,colegios!$A$2:$A5618=L1409)"),"64028")</f>
        <v>64028</v>
      </c>
      <c r="F1409" s="14" t="s">
        <v>16</v>
      </c>
      <c r="G1409" s="20" t="s">
        <v>17</v>
      </c>
      <c r="H1409" s="14" t="s">
        <v>24</v>
      </c>
      <c r="I1409" s="22">
        <v>2023.0</v>
      </c>
      <c r="J1409" s="16" t="str">
        <f>IFERROR(__xludf.DUMMYFUNCTION("FILTER('CLASFICACIÓN'!$F$3:$F5618,'CLASFICACIÓN'!$G$3:$G5618=M1409)"),"LOS 3 AÑOS")</f>
        <v>LOS 3 AÑOS</v>
      </c>
      <c r="K1409" s="16"/>
      <c r="L1409" s="14" t="s">
        <v>78</v>
      </c>
      <c r="M1409" s="16" t="str">
        <f t="shared" si="1"/>
        <v>640284 Primaria</v>
      </c>
      <c r="N1409" s="17"/>
      <c r="O1409" s="17"/>
      <c r="P1409" s="17"/>
      <c r="Q1409" s="17"/>
      <c r="R1409" s="17"/>
      <c r="S1409" s="17"/>
      <c r="T1409" s="17"/>
    </row>
    <row r="1410">
      <c r="A1410" s="21">
        <v>213.0</v>
      </c>
      <c r="B1410" s="20" t="s">
        <v>64</v>
      </c>
      <c r="C1410" s="14" t="s">
        <v>14</v>
      </c>
      <c r="D1410" s="20" t="s">
        <v>15</v>
      </c>
      <c r="E1410" s="12" t="str">
        <f>IFERROR(__xludf.DUMMYFUNCTION("FILTER(colegios!$B$2:$B5618,colegios!$A$2:$A5618=L1410)"),"86809")</f>
        <v>86809</v>
      </c>
      <c r="F1410" s="14" t="s">
        <v>16</v>
      </c>
      <c r="G1410" s="20" t="s">
        <v>17</v>
      </c>
      <c r="H1410" s="14" t="s">
        <v>24</v>
      </c>
      <c r="I1410" s="22">
        <v>2023.0</v>
      </c>
      <c r="J1410" s="16" t="str">
        <f>IFERROR(__xludf.DUMMYFUNCTION("FILTER('CLASFICACIÓN'!$F$3:$F5618,'CLASFICACIÓN'!$G$3:$G5618=M1410)"),"LOS 3 AÑOS")</f>
        <v>LOS 3 AÑOS</v>
      </c>
      <c r="K1410" s="16"/>
      <c r="L1410" s="14" t="s">
        <v>114</v>
      </c>
      <c r="M1410" s="16" t="str">
        <f t="shared" si="1"/>
        <v>868092 Primaria</v>
      </c>
      <c r="N1410" s="17"/>
      <c r="O1410" s="17"/>
      <c r="P1410" s="17"/>
      <c r="Q1410" s="17"/>
      <c r="R1410" s="17"/>
      <c r="S1410" s="17"/>
      <c r="T1410" s="17"/>
    </row>
    <row r="1411">
      <c r="A1411" s="21">
        <v>214.0</v>
      </c>
      <c r="B1411" s="20" t="s">
        <v>64</v>
      </c>
      <c r="C1411" s="14" t="s">
        <v>14</v>
      </c>
      <c r="D1411" s="20" t="s">
        <v>15</v>
      </c>
      <c r="E1411" s="12" t="str">
        <f>IFERROR(__xludf.DUMMYFUNCTION("FILTER(colegios!$B$2:$B5618,colegios!$A$2:$A5618=L1411)"),"86809")</f>
        <v>86809</v>
      </c>
      <c r="F1411" s="14" t="s">
        <v>16</v>
      </c>
      <c r="G1411" s="20" t="s">
        <v>21</v>
      </c>
      <c r="H1411" s="14" t="s">
        <v>24</v>
      </c>
      <c r="I1411" s="22">
        <v>2023.0</v>
      </c>
      <c r="J1411" s="16" t="str">
        <f>IFERROR(__xludf.DUMMYFUNCTION("FILTER('CLASFICACIÓN'!$F$3:$F5618,'CLASFICACIÓN'!$G$3:$G5618=M1411)"),"LOS 3 AÑOS")</f>
        <v>LOS 3 AÑOS</v>
      </c>
      <c r="K1411" s="16"/>
      <c r="L1411" s="14" t="s">
        <v>114</v>
      </c>
      <c r="M1411" s="16" t="str">
        <f t="shared" si="1"/>
        <v>868092 Primaria</v>
      </c>
      <c r="N1411" s="17"/>
      <c r="O1411" s="17"/>
      <c r="P1411" s="17"/>
      <c r="Q1411" s="17"/>
      <c r="R1411" s="17"/>
      <c r="S1411" s="17"/>
      <c r="T1411" s="17"/>
    </row>
    <row r="1412">
      <c r="A1412" s="21">
        <v>215.0</v>
      </c>
      <c r="B1412" s="20" t="s">
        <v>64</v>
      </c>
      <c r="C1412" s="14" t="s">
        <v>14</v>
      </c>
      <c r="D1412" s="20" t="s">
        <v>15</v>
      </c>
      <c r="E1412" s="12" t="str">
        <f>IFERROR(__xludf.DUMMYFUNCTION("FILTER(colegios!$B$2:$B5618,colegios!$A$2:$A5618=L1412)"),"86809")</f>
        <v>86809</v>
      </c>
      <c r="F1412" s="14" t="s">
        <v>16</v>
      </c>
      <c r="G1412" s="20" t="s">
        <v>21</v>
      </c>
      <c r="H1412" s="14" t="s">
        <v>24</v>
      </c>
      <c r="I1412" s="22">
        <v>2023.0</v>
      </c>
      <c r="J1412" s="16" t="str">
        <f>IFERROR(__xludf.DUMMYFUNCTION("FILTER('CLASFICACIÓN'!$F$3:$F5618,'CLASFICACIÓN'!$G$3:$G5618=M1412)"),"LOS 3 AÑOS")</f>
        <v>LOS 3 AÑOS</v>
      </c>
      <c r="K1412" s="16"/>
      <c r="L1412" s="14" t="s">
        <v>114</v>
      </c>
      <c r="M1412" s="16" t="str">
        <f t="shared" si="1"/>
        <v>868092 Primaria</v>
      </c>
      <c r="N1412" s="17"/>
      <c r="O1412" s="17"/>
      <c r="P1412" s="17"/>
      <c r="Q1412" s="17"/>
      <c r="R1412" s="17"/>
      <c r="S1412" s="17"/>
      <c r="T1412" s="17"/>
    </row>
    <row r="1413">
      <c r="A1413" s="21">
        <v>216.0</v>
      </c>
      <c r="B1413" s="20" t="s">
        <v>64</v>
      </c>
      <c r="C1413" s="14" t="s">
        <v>14</v>
      </c>
      <c r="D1413" s="20" t="s">
        <v>15</v>
      </c>
      <c r="E1413" s="12" t="str">
        <f>IFERROR(__xludf.DUMMYFUNCTION("FILTER(colegios!$B$2:$B5618,colegios!$A$2:$A5618=L1413)"),"88247 SAN ENRIQUE")</f>
        <v>88247 SAN ENRIQUE</v>
      </c>
      <c r="F1413" s="14" t="s">
        <v>16</v>
      </c>
      <c r="G1413" s="20" t="s">
        <v>17</v>
      </c>
      <c r="H1413" s="14" t="s">
        <v>24</v>
      </c>
      <c r="I1413" s="22">
        <v>2023.0</v>
      </c>
      <c r="J1413" s="16" t="str">
        <f>IFERROR(__xludf.DUMMYFUNCTION("FILTER('CLASFICACIÓN'!$F$3:$F5618,'CLASFICACIÓN'!$G$3:$G5618=M1413)"),"2023 Y 2024")</f>
        <v>2023 Y 2024</v>
      </c>
      <c r="K1413" s="16"/>
      <c r="L1413" s="14" t="s">
        <v>115</v>
      </c>
      <c r="M1413" s="16" t="str">
        <f t="shared" si="1"/>
        <v>88247 SAN ENRIQUE2 Primaria</v>
      </c>
      <c r="N1413" s="17"/>
      <c r="O1413" s="17"/>
      <c r="P1413" s="17"/>
      <c r="Q1413" s="17"/>
      <c r="R1413" s="17"/>
      <c r="S1413" s="17"/>
      <c r="T1413" s="17"/>
    </row>
    <row r="1414">
      <c r="A1414" s="21">
        <v>217.0</v>
      </c>
      <c r="B1414" s="20" t="s">
        <v>64</v>
      </c>
      <c r="C1414" s="14" t="s">
        <v>14</v>
      </c>
      <c r="D1414" s="20" t="s">
        <v>15</v>
      </c>
      <c r="E1414" s="12" t="str">
        <f>IFERROR(__xludf.DUMMYFUNCTION("FILTER(colegios!$B$2:$B5618,colegios!$A$2:$A5618=L1414)"),"88247 SAN ENRIQUE")</f>
        <v>88247 SAN ENRIQUE</v>
      </c>
      <c r="F1414" s="14" t="s">
        <v>16</v>
      </c>
      <c r="G1414" s="20" t="s">
        <v>17</v>
      </c>
      <c r="H1414" s="14" t="s">
        <v>24</v>
      </c>
      <c r="I1414" s="22">
        <v>2023.0</v>
      </c>
      <c r="J1414" s="16" t="str">
        <f>IFERROR(__xludf.DUMMYFUNCTION("FILTER('CLASFICACIÓN'!$F$3:$F5618,'CLASFICACIÓN'!$G$3:$G5618=M1414)"),"2023 Y 2024")</f>
        <v>2023 Y 2024</v>
      </c>
      <c r="K1414" s="16"/>
      <c r="L1414" s="14" t="s">
        <v>115</v>
      </c>
      <c r="M1414" s="16" t="str">
        <f t="shared" si="1"/>
        <v>88247 SAN ENRIQUE2 Primaria</v>
      </c>
      <c r="N1414" s="17"/>
      <c r="O1414" s="17"/>
      <c r="P1414" s="17"/>
      <c r="Q1414" s="17"/>
      <c r="R1414" s="17"/>
      <c r="S1414" s="17"/>
      <c r="T1414" s="17"/>
    </row>
    <row r="1415">
      <c r="A1415" s="21">
        <v>218.0</v>
      </c>
      <c r="B1415" s="20" t="s">
        <v>64</v>
      </c>
      <c r="C1415" s="14" t="s">
        <v>14</v>
      </c>
      <c r="D1415" s="20" t="s">
        <v>15</v>
      </c>
      <c r="E1415" s="12" t="str">
        <f>IFERROR(__xludf.DUMMYFUNCTION("FILTER(colegios!$B$2:$B5618,colegios!$A$2:$A5618=L1415)"),"88247 SAN ENRIQUE")</f>
        <v>88247 SAN ENRIQUE</v>
      </c>
      <c r="F1415" s="14" t="s">
        <v>16</v>
      </c>
      <c r="G1415" s="20" t="s">
        <v>17</v>
      </c>
      <c r="H1415" s="14" t="s">
        <v>24</v>
      </c>
      <c r="I1415" s="22">
        <v>2023.0</v>
      </c>
      <c r="J1415" s="16" t="str">
        <f>IFERROR(__xludf.DUMMYFUNCTION("FILTER('CLASFICACIÓN'!$F$3:$F5618,'CLASFICACIÓN'!$G$3:$G5618=M1415)"),"2023 Y 2024")</f>
        <v>2023 Y 2024</v>
      </c>
      <c r="K1415" s="16"/>
      <c r="L1415" s="14" t="s">
        <v>115</v>
      </c>
      <c r="M1415" s="16" t="str">
        <f t="shared" si="1"/>
        <v>88247 SAN ENRIQUE2 Primaria</v>
      </c>
      <c r="N1415" s="17"/>
      <c r="O1415" s="17"/>
      <c r="P1415" s="17"/>
      <c r="Q1415" s="17"/>
      <c r="R1415" s="17"/>
      <c r="S1415" s="17"/>
      <c r="T1415" s="17"/>
    </row>
    <row r="1416">
      <c r="A1416" s="21">
        <v>219.0</v>
      </c>
      <c r="B1416" s="20" t="s">
        <v>64</v>
      </c>
      <c r="C1416" s="14" t="s">
        <v>14</v>
      </c>
      <c r="D1416" s="20" t="s">
        <v>15</v>
      </c>
      <c r="E1416" s="12" t="str">
        <f>IFERROR(__xludf.DUMMYFUNCTION("FILTER(colegios!$B$2:$B5618,colegios!$A$2:$A5618=L1416)"),"88247 SAN ENRIQUE")</f>
        <v>88247 SAN ENRIQUE</v>
      </c>
      <c r="F1416" s="14" t="s">
        <v>16</v>
      </c>
      <c r="G1416" s="20" t="s">
        <v>17</v>
      </c>
      <c r="H1416" s="14" t="s">
        <v>24</v>
      </c>
      <c r="I1416" s="22">
        <v>2023.0</v>
      </c>
      <c r="J1416" s="16" t="str">
        <f>IFERROR(__xludf.DUMMYFUNCTION("FILTER('CLASFICACIÓN'!$F$3:$F5618,'CLASFICACIÓN'!$G$3:$G5618=M1416)"),"2023 Y 2024")</f>
        <v>2023 Y 2024</v>
      </c>
      <c r="K1416" s="16"/>
      <c r="L1416" s="14" t="s">
        <v>115</v>
      </c>
      <c r="M1416" s="16" t="str">
        <f t="shared" si="1"/>
        <v>88247 SAN ENRIQUE2 Primaria</v>
      </c>
      <c r="N1416" s="17"/>
      <c r="O1416" s="17"/>
      <c r="P1416" s="17"/>
      <c r="Q1416" s="17"/>
      <c r="R1416" s="17"/>
      <c r="S1416" s="17"/>
      <c r="T1416" s="17"/>
    </row>
    <row r="1417">
      <c r="A1417" s="21">
        <v>220.0</v>
      </c>
      <c r="B1417" s="20" t="s">
        <v>64</v>
      </c>
      <c r="C1417" s="14" t="s">
        <v>14</v>
      </c>
      <c r="D1417" s="20" t="s">
        <v>20</v>
      </c>
      <c r="E1417" s="12" t="str">
        <f>IFERROR(__xludf.DUMMYFUNCTION("FILTER(colegios!$B$2:$B5618,colegios!$A$2:$A5618=L1417)"),"86809")</f>
        <v>86809</v>
      </c>
      <c r="F1417" s="14" t="s">
        <v>16</v>
      </c>
      <c r="G1417" s="20" t="s">
        <v>17</v>
      </c>
      <c r="H1417" s="14" t="s">
        <v>24</v>
      </c>
      <c r="I1417" s="22">
        <v>2023.0</v>
      </c>
      <c r="J1417" s="16" t="str">
        <f>IFERROR(__xludf.DUMMYFUNCTION("FILTER('CLASFICACIÓN'!$F$3:$F5618,'CLASFICACIÓN'!$G$3:$G5618=M1417)"),"LOS 3 AÑOS")</f>
        <v>LOS 3 AÑOS</v>
      </c>
      <c r="K1417" s="16"/>
      <c r="L1417" s="14" t="s">
        <v>114</v>
      </c>
      <c r="M1417" s="16" t="str">
        <f t="shared" si="1"/>
        <v>868094 Primaria</v>
      </c>
      <c r="N1417" s="17"/>
      <c r="O1417" s="17"/>
      <c r="P1417" s="17"/>
      <c r="Q1417" s="17"/>
      <c r="R1417" s="17"/>
      <c r="S1417" s="17"/>
      <c r="T1417" s="17"/>
    </row>
    <row r="1418">
      <c r="A1418" s="21">
        <v>221.0</v>
      </c>
      <c r="B1418" s="20" t="s">
        <v>64</v>
      </c>
      <c r="C1418" s="14" t="s">
        <v>14</v>
      </c>
      <c r="D1418" s="20" t="s">
        <v>20</v>
      </c>
      <c r="E1418" s="12" t="str">
        <f>IFERROR(__xludf.DUMMYFUNCTION("FILTER(colegios!$B$2:$B5618,colegios!$A$2:$A5618=L1418)"),"86809")</f>
        <v>86809</v>
      </c>
      <c r="F1418" s="14" t="s">
        <v>16</v>
      </c>
      <c r="G1418" s="20" t="s">
        <v>21</v>
      </c>
      <c r="H1418" s="14" t="s">
        <v>24</v>
      </c>
      <c r="I1418" s="22">
        <v>2023.0</v>
      </c>
      <c r="J1418" s="16" t="str">
        <f>IFERROR(__xludf.DUMMYFUNCTION("FILTER('CLASFICACIÓN'!$F$3:$F5618,'CLASFICACIÓN'!$G$3:$G5618=M1418)"),"LOS 3 AÑOS")</f>
        <v>LOS 3 AÑOS</v>
      </c>
      <c r="K1418" s="16"/>
      <c r="L1418" s="14" t="s">
        <v>114</v>
      </c>
      <c r="M1418" s="16" t="str">
        <f t="shared" si="1"/>
        <v>868094 Primaria</v>
      </c>
      <c r="N1418" s="17"/>
      <c r="O1418" s="17"/>
      <c r="P1418" s="17"/>
      <c r="Q1418" s="17"/>
      <c r="R1418" s="17"/>
      <c r="S1418" s="17"/>
      <c r="T1418" s="17"/>
    </row>
    <row r="1419">
      <c r="A1419" s="21">
        <v>222.0</v>
      </c>
      <c r="B1419" s="20" t="s">
        <v>64</v>
      </c>
      <c r="C1419" s="14" t="s">
        <v>14</v>
      </c>
      <c r="D1419" s="20" t="s">
        <v>20</v>
      </c>
      <c r="E1419" s="12" t="str">
        <f>IFERROR(__xludf.DUMMYFUNCTION("FILTER(colegios!$B$2:$B5618,colegios!$A$2:$A5618=L1419)"),"86548 JOSE MARIA VELAZ")</f>
        <v>86548 JOSE MARIA VELAZ</v>
      </c>
      <c r="F1419" s="14" t="s">
        <v>16</v>
      </c>
      <c r="G1419" s="20" t="s">
        <v>17</v>
      </c>
      <c r="H1419" s="14" t="s">
        <v>18</v>
      </c>
      <c r="I1419" s="22">
        <v>2023.0</v>
      </c>
      <c r="J1419" s="16" t="str">
        <f>IFERROR(__xludf.DUMMYFUNCTION("FILTER('CLASFICACIÓN'!$F$3:$F5618,'CLASFICACIÓN'!$G$3:$G5618=M1419)"),"2023 Y 2024")</f>
        <v>2023 Y 2024</v>
      </c>
      <c r="K1419" s="16"/>
      <c r="L1419" s="14" t="s">
        <v>116</v>
      </c>
      <c r="M1419" s="16" t="str">
        <f t="shared" si="1"/>
        <v>86548 JOSE MARIA VELAZ4 Primaria</v>
      </c>
      <c r="N1419" s="17"/>
      <c r="O1419" s="17"/>
      <c r="P1419" s="17"/>
      <c r="Q1419" s="17"/>
      <c r="R1419" s="17"/>
      <c r="S1419" s="17"/>
      <c r="T1419" s="17"/>
    </row>
    <row r="1420">
      <c r="A1420" s="21">
        <v>223.0</v>
      </c>
      <c r="B1420" s="20" t="s">
        <v>64</v>
      </c>
      <c r="C1420" s="14" t="s">
        <v>14</v>
      </c>
      <c r="D1420" s="20" t="s">
        <v>20</v>
      </c>
      <c r="E1420" s="12" t="str">
        <f>IFERROR(__xludf.DUMMYFUNCTION("FILTER(colegios!$B$2:$B5618,colegios!$A$2:$A5618=L1420)"),"86548 JOSE MARIA VELAZ")</f>
        <v>86548 JOSE MARIA VELAZ</v>
      </c>
      <c r="F1420" s="14" t="s">
        <v>16</v>
      </c>
      <c r="G1420" s="20" t="s">
        <v>21</v>
      </c>
      <c r="H1420" s="14" t="s">
        <v>24</v>
      </c>
      <c r="I1420" s="22">
        <v>2023.0</v>
      </c>
      <c r="J1420" s="16" t="str">
        <f>IFERROR(__xludf.DUMMYFUNCTION("FILTER('CLASFICACIÓN'!$F$3:$F5618,'CLASFICACIÓN'!$G$3:$G5618=M1420)"),"2023 Y 2024")</f>
        <v>2023 Y 2024</v>
      </c>
      <c r="K1420" s="16"/>
      <c r="L1420" s="14" t="s">
        <v>116</v>
      </c>
      <c r="M1420" s="16" t="str">
        <f t="shared" si="1"/>
        <v>86548 JOSE MARIA VELAZ4 Primaria</v>
      </c>
      <c r="N1420" s="17"/>
      <c r="O1420" s="17"/>
      <c r="P1420" s="17"/>
      <c r="Q1420" s="17"/>
      <c r="R1420" s="17"/>
      <c r="S1420" s="17"/>
      <c r="T1420" s="17"/>
    </row>
    <row r="1421">
      <c r="A1421" s="21">
        <v>224.0</v>
      </c>
      <c r="B1421" s="20" t="s">
        <v>64</v>
      </c>
      <c r="C1421" s="14" t="s">
        <v>14</v>
      </c>
      <c r="D1421" s="20" t="s">
        <v>20</v>
      </c>
      <c r="E1421" s="12" t="str">
        <f>IFERROR(__xludf.DUMMYFUNCTION("FILTER(colegios!$B$2:$B5618,colegios!$A$2:$A5618=L1421)"),"86548 JOSE MARIA VELAZ")</f>
        <v>86548 JOSE MARIA VELAZ</v>
      </c>
      <c r="F1421" s="14" t="s">
        <v>16</v>
      </c>
      <c r="G1421" s="20" t="s">
        <v>21</v>
      </c>
      <c r="H1421" s="14" t="s">
        <v>24</v>
      </c>
      <c r="I1421" s="22">
        <v>2023.0</v>
      </c>
      <c r="J1421" s="16" t="str">
        <f>IFERROR(__xludf.DUMMYFUNCTION("FILTER('CLASFICACIÓN'!$F$3:$F5618,'CLASFICACIÓN'!$G$3:$G5618=M1421)"),"2023 Y 2024")</f>
        <v>2023 Y 2024</v>
      </c>
      <c r="K1421" s="16"/>
      <c r="L1421" s="14" t="s">
        <v>116</v>
      </c>
      <c r="M1421" s="16" t="str">
        <f t="shared" si="1"/>
        <v>86548 JOSE MARIA VELAZ4 Primaria</v>
      </c>
      <c r="N1421" s="17"/>
      <c r="O1421" s="17"/>
      <c r="P1421" s="17"/>
      <c r="Q1421" s="17"/>
      <c r="R1421" s="17"/>
      <c r="S1421" s="17"/>
      <c r="T1421" s="17"/>
    </row>
    <row r="1422">
      <c r="A1422" s="21">
        <v>225.0</v>
      </c>
      <c r="B1422" s="20" t="s">
        <v>64</v>
      </c>
      <c r="C1422" s="14" t="s">
        <v>14</v>
      </c>
      <c r="D1422" s="20" t="s">
        <v>20</v>
      </c>
      <c r="E1422" s="12" t="str">
        <f>IFERROR(__xludf.DUMMYFUNCTION("FILTER(colegios!$B$2:$B5618,colegios!$A$2:$A5618=L1422)"),"86548 JOSE MARIA VELAZ")</f>
        <v>86548 JOSE MARIA VELAZ</v>
      </c>
      <c r="F1422" s="14" t="s">
        <v>16</v>
      </c>
      <c r="G1422" s="20" t="s">
        <v>21</v>
      </c>
      <c r="H1422" s="14" t="s">
        <v>24</v>
      </c>
      <c r="I1422" s="22">
        <v>2023.0</v>
      </c>
      <c r="J1422" s="16" t="str">
        <f>IFERROR(__xludf.DUMMYFUNCTION("FILTER('CLASFICACIÓN'!$F$3:$F5618,'CLASFICACIÓN'!$G$3:$G5618=M1422)"),"2023 Y 2024")</f>
        <v>2023 Y 2024</v>
      </c>
      <c r="K1422" s="16"/>
      <c r="L1422" s="14" t="s">
        <v>116</v>
      </c>
      <c r="M1422" s="16" t="str">
        <f t="shared" si="1"/>
        <v>86548 JOSE MARIA VELAZ4 Primaria</v>
      </c>
      <c r="N1422" s="17"/>
      <c r="O1422" s="17"/>
      <c r="P1422" s="17"/>
      <c r="Q1422" s="17"/>
      <c r="R1422" s="17"/>
      <c r="S1422" s="17"/>
      <c r="T1422" s="17"/>
    </row>
    <row r="1423">
      <c r="A1423" s="21">
        <v>226.0</v>
      </c>
      <c r="B1423" s="20" t="s">
        <v>64</v>
      </c>
      <c r="C1423" s="14" t="s">
        <v>14</v>
      </c>
      <c r="D1423" s="20" t="s">
        <v>20</v>
      </c>
      <c r="E1423" s="12" t="str">
        <f>IFERROR(__xludf.DUMMYFUNCTION("FILTER(colegios!$B$2:$B5618,colegios!$A$2:$A5618=L1423)"),"86548 JOSE MARIA VELAZ")</f>
        <v>86548 JOSE MARIA VELAZ</v>
      </c>
      <c r="F1423" s="14" t="s">
        <v>16</v>
      </c>
      <c r="G1423" s="20" t="s">
        <v>21</v>
      </c>
      <c r="H1423" s="14" t="s">
        <v>24</v>
      </c>
      <c r="I1423" s="22">
        <v>2023.0</v>
      </c>
      <c r="J1423" s="16" t="str">
        <f>IFERROR(__xludf.DUMMYFUNCTION("FILTER('CLASFICACIÓN'!$F$3:$F5618,'CLASFICACIÓN'!$G$3:$G5618=M1423)"),"2023 Y 2024")</f>
        <v>2023 Y 2024</v>
      </c>
      <c r="K1423" s="16"/>
      <c r="L1423" s="14" t="s">
        <v>116</v>
      </c>
      <c r="M1423" s="16" t="str">
        <f t="shared" si="1"/>
        <v>86548 JOSE MARIA VELAZ4 Primaria</v>
      </c>
      <c r="N1423" s="17"/>
      <c r="O1423" s="17"/>
      <c r="P1423" s="17"/>
      <c r="Q1423" s="17"/>
      <c r="R1423" s="17"/>
      <c r="S1423" s="17"/>
      <c r="T1423" s="17"/>
    </row>
    <row r="1424">
      <c r="A1424" s="21">
        <v>227.0</v>
      </c>
      <c r="B1424" s="20" t="s">
        <v>64</v>
      </c>
      <c r="C1424" s="14" t="s">
        <v>14</v>
      </c>
      <c r="D1424" s="20" t="s">
        <v>20</v>
      </c>
      <c r="E1424" s="12" t="str">
        <f>IFERROR(__xludf.DUMMYFUNCTION("FILTER(colegios!$B$2:$B5618,colegios!$A$2:$A5618=L1424)"),"86548 JOSE MARIA VELAZ")</f>
        <v>86548 JOSE MARIA VELAZ</v>
      </c>
      <c r="F1424" s="14" t="s">
        <v>16</v>
      </c>
      <c r="G1424" s="20" t="s">
        <v>21</v>
      </c>
      <c r="H1424" s="14" t="s">
        <v>24</v>
      </c>
      <c r="I1424" s="22">
        <v>2023.0</v>
      </c>
      <c r="J1424" s="16" t="str">
        <f>IFERROR(__xludf.DUMMYFUNCTION("FILTER('CLASFICACIÓN'!$F$3:$F5618,'CLASFICACIÓN'!$G$3:$G5618=M1424)"),"2023 Y 2024")</f>
        <v>2023 Y 2024</v>
      </c>
      <c r="K1424" s="16"/>
      <c r="L1424" s="14" t="s">
        <v>116</v>
      </c>
      <c r="M1424" s="16" t="str">
        <f t="shared" si="1"/>
        <v>86548 JOSE MARIA VELAZ4 Primaria</v>
      </c>
      <c r="N1424" s="17"/>
      <c r="O1424" s="17"/>
      <c r="P1424" s="17"/>
      <c r="Q1424" s="17"/>
      <c r="R1424" s="17"/>
      <c r="S1424" s="17"/>
      <c r="T1424" s="17"/>
    </row>
    <row r="1425">
      <c r="A1425" s="21">
        <v>228.0</v>
      </c>
      <c r="B1425" s="20" t="s">
        <v>64</v>
      </c>
      <c r="C1425" s="14" t="s">
        <v>14</v>
      </c>
      <c r="D1425" s="20" t="s">
        <v>20</v>
      </c>
      <c r="E1425" s="12" t="str">
        <f>IFERROR(__xludf.DUMMYFUNCTION("FILTER(colegios!$B$2:$B5618,colegios!$A$2:$A5618=L1425)"),"86548 JOSE MARIA VELAZ")</f>
        <v>86548 JOSE MARIA VELAZ</v>
      </c>
      <c r="F1425" s="14" t="s">
        <v>16</v>
      </c>
      <c r="G1425" s="20" t="s">
        <v>21</v>
      </c>
      <c r="H1425" s="14" t="s">
        <v>24</v>
      </c>
      <c r="I1425" s="22">
        <v>2023.0</v>
      </c>
      <c r="J1425" s="16" t="str">
        <f>IFERROR(__xludf.DUMMYFUNCTION("FILTER('CLASFICACIÓN'!$F$3:$F5618,'CLASFICACIÓN'!$G$3:$G5618=M1425)"),"2023 Y 2024")</f>
        <v>2023 Y 2024</v>
      </c>
      <c r="K1425" s="16"/>
      <c r="L1425" s="14" t="s">
        <v>116</v>
      </c>
      <c r="M1425" s="16" t="str">
        <f t="shared" si="1"/>
        <v>86548 JOSE MARIA VELAZ4 Primaria</v>
      </c>
      <c r="N1425" s="17"/>
      <c r="O1425" s="17"/>
      <c r="P1425" s="17"/>
      <c r="Q1425" s="17"/>
      <c r="R1425" s="17"/>
      <c r="S1425" s="17"/>
      <c r="T1425" s="17"/>
    </row>
    <row r="1426">
      <c r="A1426" s="21">
        <v>229.0</v>
      </c>
      <c r="B1426" s="20" t="s">
        <v>64</v>
      </c>
      <c r="C1426" s="14" t="s">
        <v>14</v>
      </c>
      <c r="D1426" s="20" t="s">
        <v>20</v>
      </c>
      <c r="E1426" s="12" t="str">
        <f>IFERROR(__xludf.DUMMYFUNCTION("FILTER(colegios!$B$2:$B5618,colegios!$A$2:$A5618=L1426)"),"86548 JOSE MARIA VELAZ")</f>
        <v>86548 JOSE MARIA VELAZ</v>
      </c>
      <c r="F1426" s="14" t="s">
        <v>16</v>
      </c>
      <c r="G1426" s="20" t="s">
        <v>17</v>
      </c>
      <c r="H1426" s="14" t="s">
        <v>24</v>
      </c>
      <c r="I1426" s="22">
        <v>2023.0</v>
      </c>
      <c r="J1426" s="16" t="str">
        <f>IFERROR(__xludf.DUMMYFUNCTION("FILTER('CLASFICACIÓN'!$F$3:$F5618,'CLASFICACIÓN'!$G$3:$G5618=M1426)"),"2023 Y 2024")</f>
        <v>2023 Y 2024</v>
      </c>
      <c r="K1426" s="16"/>
      <c r="L1426" s="14" t="s">
        <v>116</v>
      </c>
      <c r="M1426" s="16" t="str">
        <f t="shared" si="1"/>
        <v>86548 JOSE MARIA VELAZ4 Primaria</v>
      </c>
      <c r="N1426" s="17"/>
      <c r="O1426" s="17"/>
      <c r="P1426" s="17"/>
      <c r="Q1426" s="17"/>
      <c r="R1426" s="17"/>
      <c r="S1426" s="17"/>
      <c r="T1426" s="17"/>
    </row>
    <row r="1427">
      <c r="A1427" s="21">
        <v>230.0</v>
      </c>
      <c r="B1427" s="20" t="s">
        <v>64</v>
      </c>
      <c r="C1427" s="14" t="s">
        <v>14</v>
      </c>
      <c r="D1427" s="20" t="s">
        <v>20</v>
      </c>
      <c r="E1427" s="12" t="str">
        <f>IFERROR(__xludf.DUMMYFUNCTION("FILTER(colegios!$B$2:$B5618,colegios!$A$2:$A5618=L1427)"),"86548 JOSE MARIA VELAZ")</f>
        <v>86548 JOSE MARIA VELAZ</v>
      </c>
      <c r="F1427" s="14" t="s">
        <v>16</v>
      </c>
      <c r="G1427" s="20" t="s">
        <v>17</v>
      </c>
      <c r="H1427" s="14" t="s">
        <v>24</v>
      </c>
      <c r="I1427" s="22">
        <v>2023.0</v>
      </c>
      <c r="J1427" s="16" t="str">
        <f>IFERROR(__xludf.DUMMYFUNCTION("FILTER('CLASFICACIÓN'!$F$3:$F5618,'CLASFICACIÓN'!$G$3:$G5618=M1427)"),"2023 Y 2024")</f>
        <v>2023 Y 2024</v>
      </c>
      <c r="K1427" s="16"/>
      <c r="L1427" s="14" t="s">
        <v>116</v>
      </c>
      <c r="M1427" s="16" t="str">
        <f t="shared" si="1"/>
        <v>86548 JOSE MARIA VELAZ4 Primaria</v>
      </c>
      <c r="N1427" s="17"/>
      <c r="O1427" s="17"/>
      <c r="P1427" s="17"/>
      <c r="Q1427" s="17"/>
      <c r="R1427" s="17"/>
      <c r="S1427" s="17"/>
      <c r="T1427" s="17"/>
    </row>
    <row r="1428">
      <c r="A1428" s="21">
        <v>231.0</v>
      </c>
      <c r="B1428" s="20" t="s">
        <v>64</v>
      </c>
      <c r="C1428" s="14" t="s">
        <v>14</v>
      </c>
      <c r="D1428" s="20" t="s">
        <v>20</v>
      </c>
      <c r="E1428" s="12" t="str">
        <f>IFERROR(__xludf.DUMMYFUNCTION("FILTER(colegios!$B$2:$B5618,colegios!$A$2:$A5618=L1428)"),"86548 JOSE MARIA VELAZ")</f>
        <v>86548 JOSE MARIA VELAZ</v>
      </c>
      <c r="F1428" s="14" t="s">
        <v>16</v>
      </c>
      <c r="G1428" s="20" t="s">
        <v>17</v>
      </c>
      <c r="H1428" s="14" t="s">
        <v>24</v>
      </c>
      <c r="I1428" s="22">
        <v>2023.0</v>
      </c>
      <c r="J1428" s="16" t="str">
        <f>IFERROR(__xludf.DUMMYFUNCTION("FILTER('CLASFICACIÓN'!$F$3:$F5618,'CLASFICACIÓN'!$G$3:$G5618=M1428)"),"2023 Y 2024")</f>
        <v>2023 Y 2024</v>
      </c>
      <c r="K1428" s="16"/>
      <c r="L1428" s="14" t="s">
        <v>116</v>
      </c>
      <c r="M1428" s="16" t="str">
        <f t="shared" si="1"/>
        <v>86548 JOSE MARIA VELAZ4 Primaria</v>
      </c>
      <c r="N1428" s="17"/>
      <c r="O1428" s="17"/>
      <c r="P1428" s="17"/>
      <c r="Q1428" s="17"/>
      <c r="R1428" s="17"/>
      <c r="S1428" s="17"/>
      <c r="T1428" s="17"/>
    </row>
    <row r="1429">
      <c r="A1429" s="21">
        <v>232.0</v>
      </c>
      <c r="B1429" s="20" t="s">
        <v>64</v>
      </c>
      <c r="C1429" s="14" t="s">
        <v>14</v>
      </c>
      <c r="D1429" s="20" t="s">
        <v>20</v>
      </c>
      <c r="E1429" s="12" t="str">
        <f>IFERROR(__xludf.DUMMYFUNCTION("FILTER(colegios!$B$2:$B5618,colegios!$A$2:$A5618=L1429)"),"86548 JOSE MARIA VELAZ")</f>
        <v>86548 JOSE MARIA VELAZ</v>
      </c>
      <c r="F1429" s="14" t="s">
        <v>16</v>
      </c>
      <c r="G1429" s="20" t="s">
        <v>17</v>
      </c>
      <c r="H1429" s="14" t="s">
        <v>24</v>
      </c>
      <c r="I1429" s="22">
        <v>2023.0</v>
      </c>
      <c r="J1429" s="16" t="str">
        <f>IFERROR(__xludf.DUMMYFUNCTION("FILTER('CLASFICACIÓN'!$F$3:$F5618,'CLASFICACIÓN'!$G$3:$G5618=M1429)"),"2023 Y 2024")</f>
        <v>2023 Y 2024</v>
      </c>
      <c r="K1429" s="16"/>
      <c r="L1429" s="14" t="s">
        <v>116</v>
      </c>
      <c r="M1429" s="16" t="str">
        <f t="shared" si="1"/>
        <v>86548 JOSE MARIA VELAZ4 Primaria</v>
      </c>
      <c r="N1429" s="17"/>
      <c r="O1429" s="17"/>
      <c r="P1429" s="17"/>
      <c r="Q1429" s="17"/>
      <c r="R1429" s="17"/>
      <c r="S1429" s="17"/>
      <c r="T1429" s="17"/>
    </row>
    <row r="1430">
      <c r="A1430" s="21">
        <v>233.0</v>
      </c>
      <c r="B1430" s="20" t="s">
        <v>64</v>
      </c>
      <c r="C1430" s="14" t="s">
        <v>14</v>
      </c>
      <c r="D1430" s="20" t="s">
        <v>20</v>
      </c>
      <c r="E1430" s="12" t="str">
        <f>IFERROR(__xludf.DUMMYFUNCTION("FILTER(colegios!$B$2:$B5618,colegios!$A$2:$A5618=L1430)"),"86548 JOSE MARIA VELAZ")</f>
        <v>86548 JOSE MARIA VELAZ</v>
      </c>
      <c r="F1430" s="14" t="s">
        <v>16</v>
      </c>
      <c r="G1430" s="20" t="s">
        <v>17</v>
      </c>
      <c r="H1430" s="14" t="s">
        <v>24</v>
      </c>
      <c r="I1430" s="22">
        <v>2023.0</v>
      </c>
      <c r="J1430" s="16" t="str">
        <f>IFERROR(__xludf.DUMMYFUNCTION("FILTER('CLASFICACIÓN'!$F$3:$F5618,'CLASFICACIÓN'!$G$3:$G5618=M1430)"),"2023 Y 2024")</f>
        <v>2023 Y 2024</v>
      </c>
      <c r="K1430" s="16"/>
      <c r="L1430" s="14" t="s">
        <v>116</v>
      </c>
      <c r="M1430" s="16" t="str">
        <f t="shared" si="1"/>
        <v>86548 JOSE MARIA VELAZ4 Primaria</v>
      </c>
      <c r="N1430" s="17"/>
      <c r="O1430" s="17"/>
      <c r="P1430" s="17"/>
      <c r="Q1430" s="17"/>
      <c r="R1430" s="17"/>
      <c r="S1430" s="17"/>
      <c r="T1430" s="17"/>
    </row>
    <row r="1431">
      <c r="A1431" s="21">
        <v>234.0</v>
      </c>
      <c r="B1431" s="20" t="s">
        <v>64</v>
      </c>
      <c r="C1431" s="14" t="s">
        <v>14</v>
      </c>
      <c r="D1431" s="20" t="s">
        <v>20</v>
      </c>
      <c r="E1431" s="12" t="str">
        <f>IFERROR(__xludf.DUMMYFUNCTION("FILTER(colegios!$B$2:$B5618,colegios!$A$2:$A5618=L1431)"),"86548 JOSE MARIA VELAZ")</f>
        <v>86548 JOSE MARIA VELAZ</v>
      </c>
      <c r="F1431" s="14" t="s">
        <v>16</v>
      </c>
      <c r="G1431" s="20" t="s">
        <v>21</v>
      </c>
      <c r="H1431" s="14" t="s">
        <v>18</v>
      </c>
      <c r="I1431" s="22">
        <v>2023.0</v>
      </c>
      <c r="J1431" s="16" t="str">
        <f>IFERROR(__xludf.DUMMYFUNCTION("FILTER('CLASFICACIÓN'!$F$3:$F5618,'CLASFICACIÓN'!$G$3:$G5618=M1431)"),"2023 Y 2024")</f>
        <v>2023 Y 2024</v>
      </c>
      <c r="K1431" s="16"/>
      <c r="L1431" s="14" t="s">
        <v>116</v>
      </c>
      <c r="M1431" s="16" t="str">
        <f t="shared" si="1"/>
        <v>86548 JOSE MARIA VELAZ4 Primaria</v>
      </c>
      <c r="N1431" s="17"/>
      <c r="O1431" s="17"/>
      <c r="P1431" s="17"/>
      <c r="Q1431" s="17"/>
      <c r="R1431" s="17"/>
      <c r="S1431" s="17"/>
      <c r="T1431" s="17"/>
    </row>
    <row r="1432">
      <c r="A1432" s="21">
        <v>235.0</v>
      </c>
      <c r="B1432" s="20" t="s">
        <v>64</v>
      </c>
      <c r="C1432" s="14" t="s">
        <v>14</v>
      </c>
      <c r="D1432" s="20" t="s">
        <v>20</v>
      </c>
      <c r="E1432" s="12" t="str">
        <f>IFERROR(__xludf.DUMMYFUNCTION("FILTER(colegios!$B$2:$B5618,colegios!$A$2:$A5618=L1432)"),"88247 SAN ENRIQUE")</f>
        <v>88247 SAN ENRIQUE</v>
      </c>
      <c r="F1432" s="14" t="s">
        <v>16</v>
      </c>
      <c r="G1432" s="20" t="s">
        <v>21</v>
      </c>
      <c r="H1432" s="14" t="s">
        <v>24</v>
      </c>
      <c r="I1432" s="22">
        <v>2023.0</v>
      </c>
      <c r="J1432" s="16" t="str">
        <f>IFERROR(__xludf.DUMMYFUNCTION("FILTER('CLASFICACIÓN'!$F$3:$F5618,'CLASFICACIÓN'!$G$3:$G5618=M1432)"),"2023 Y 2024")</f>
        <v>2023 Y 2024</v>
      </c>
      <c r="K1432" s="16"/>
      <c r="L1432" s="14" t="s">
        <v>115</v>
      </c>
      <c r="M1432" s="16" t="str">
        <f t="shared" si="1"/>
        <v>88247 SAN ENRIQUE4 Primaria</v>
      </c>
      <c r="N1432" s="17"/>
      <c r="O1432" s="17"/>
      <c r="P1432" s="17"/>
      <c r="Q1432" s="17"/>
      <c r="R1432" s="17"/>
      <c r="S1432" s="17"/>
      <c r="T1432" s="17"/>
    </row>
    <row r="1433">
      <c r="A1433" s="21">
        <v>236.0</v>
      </c>
      <c r="B1433" s="20" t="s">
        <v>64</v>
      </c>
      <c r="C1433" s="14" t="s">
        <v>14</v>
      </c>
      <c r="D1433" s="20" t="s">
        <v>20</v>
      </c>
      <c r="E1433" s="12" t="str">
        <f>IFERROR(__xludf.DUMMYFUNCTION("FILTER(colegios!$B$2:$B5618,colegios!$A$2:$A5618=L1433)"),"88247 SAN ENRIQUE")</f>
        <v>88247 SAN ENRIQUE</v>
      </c>
      <c r="F1433" s="14" t="s">
        <v>16</v>
      </c>
      <c r="G1433" s="20" t="s">
        <v>21</v>
      </c>
      <c r="H1433" s="14" t="s">
        <v>24</v>
      </c>
      <c r="I1433" s="22">
        <v>2023.0</v>
      </c>
      <c r="J1433" s="16" t="str">
        <f>IFERROR(__xludf.DUMMYFUNCTION("FILTER('CLASFICACIÓN'!$F$3:$F5618,'CLASFICACIÓN'!$G$3:$G5618=M1433)"),"2023 Y 2024")</f>
        <v>2023 Y 2024</v>
      </c>
      <c r="K1433" s="16"/>
      <c r="L1433" s="14" t="s">
        <v>115</v>
      </c>
      <c r="M1433" s="16" t="str">
        <f t="shared" si="1"/>
        <v>88247 SAN ENRIQUE4 Primaria</v>
      </c>
      <c r="N1433" s="17"/>
      <c r="O1433" s="17"/>
      <c r="P1433" s="17"/>
      <c r="Q1433" s="17"/>
      <c r="R1433" s="17"/>
      <c r="S1433" s="17"/>
      <c r="T1433" s="17"/>
    </row>
    <row r="1434">
      <c r="A1434" s="21">
        <v>237.0</v>
      </c>
      <c r="B1434" s="20" t="s">
        <v>64</v>
      </c>
      <c r="C1434" s="14" t="s">
        <v>14</v>
      </c>
      <c r="D1434" s="20" t="s">
        <v>20</v>
      </c>
      <c r="E1434" s="12" t="str">
        <f>IFERROR(__xludf.DUMMYFUNCTION("FILTER(colegios!$B$2:$B5618,colegios!$A$2:$A5618=L1434)"),"88247 SAN ENRIQUE")</f>
        <v>88247 SAN ENRIQUE</v>
      </c>
      <c r="F1434" s="14" t="s">
        <v>16</v>
      </c>
      <c r="G1434" s="20" t="s">
        <v>17</v>
      </c>
      <c r="H1434" s="14" t="s">
        <v>24</v>
      </c>
      <c r="I1434" s="22">
        <v>2023.0</v>
      </c>
      <c r="J1434" s="16" t="str">
        <f>IFERROR(__xludf.DUMMYFUNCTION("FILTER('CLASFICACIÓN'!$F$3:$F5618,'CLASFICACIÓN'!$G$3:$G5618=M1434)"),"2023 Y 2024")</f>
        <v>2023 Y 2024</v>
      </c>
      <c r="K1434" s="16"/>
      <c r="L1434" s="14" t="s">
        <v>115</v>
      </c>
      <c r="M1434" s="16" t="str">
        <f t="shared" si="1"/>
        <v>88247 SAN ENRIQUE4 Primaria</v>
      </c>
      <c r="N1434" s="17"/>
      <c r="O1434" s="17"/>
      <c r="P1434" s="17"/>
      <c r="Q1434" s="17"/>
      <c r="R1434" s="17"/>
      <c r="S1434" s="17"/>
      <c r="T1434" s="17"/>
    </row>
    <row r="1435">
      <c r="A1435" s="21">
        <v>238.0</v>
      </c>
      <c r="B1435" s="20" t="s">
        <v>64</v>
      </c>
      <c r="C1435" s="14" t="s">
        <v>14</v>
      </c>
      <c r="D1435" s="20" t="s">
        <v>20</v>
      </c>
      <c r="E1435" s="12" t="str">
        <f>IFERROR(__xludf.DUMMYFUNCTION("FILTER(colegios!$B$2:$B5618,colegios!$A$2:$A5618=L1435)"),"88247 SAN ENRIQUE")</f>
        <v>88247 SAN ENRIQUE</v>
      </c>
      <c r="F1435" s="14" t="s">
        <v>16</v>
      </c>
      <c r="G1435" s="20" t="s">
        <v>21</v>
      </c>
      <c r="H1435" s="14" t="s">
        <v>24</v>
      </c>
      <c r="I1435" s="22">
        <v>2023.0</v>
      </c>
      <c r="J1435" s="16" t="str">
        <f>IFERROR(__xludf.DUMMYFUNCTION("FILTER('CLASFICACIÓN'!$F$3:$F5618,'CLASFICACIÓN'!$G$3:$G5618=M1435)"),"2023 Y 2024")</f>
        <v>2023 Y 2024</v>
      </c>
      <c r="K1435" s="16"/>
      <c r="L1435" s="14" t="s">
        <v>115</v>
      </c>
      <c r="M1435" s="16" t="str">
        <f t="shared" si="1"/>
        <v>88247 SAN ENRIQUE4 Primaria</v>
      </c>
      <c r="N1435" s="17"/>
      <c r="O1435" s="17"/>
      <c r="P1435" s="17"/>
      <c r="Q1435" s="17"/>
      <c r="R1435" s="17"/>
      <c r="S1435" s="17"/>
      <c r="T1435" s="17"/>
    </row>
    <row r="1436">
      <c r="A1436" s="21">
        <v>239.0</v>
      </c>
      <c r="B1436" s="20" t="s">
        <v>64</v>
      </c>
      <c r="C1436" s="14" t="s">
        <v>14</v>
      </c>
      <c r="D1436" s="20" t="s">
        <v>22</v>
      </c>
      <c r="E1436" s="12" t="str">
        <f>IFERROR(__xludf.DUMMYFUNCTION("FILTER(colegios!$B$2:$B5618,colegios!$A$2:$A5618=L1436)"),"86809")</f>
        <v>86809</v>
      </c>
      <c r="F1436" s="14" t="s">
        <v>16</v>
      </c>
      <c r="G1436" s="20" t="s">
        <v>21</v>
      </c>
      <c r="H1436" s="14" t="s">
        <v>24</v>
      </c>
      <c r="I1436" s="22">
        <v>2023.0</v>
      </c>
      <c r="J1436" s="16" t="str">
        <f>IFERROR(__xludf.DUMMYFUNCTION("FILTER('CLASFICACIÓN'!$F$3:$F5618,'CLASFICACIÓN'!$G$3:$G5618=M1436)"),"LOS 3 AÑOS")</f>
        <v>LOS 3 AÑOS</v>
      </c>
      <c r="K1436" s="16"/>
      <c r="L1436" s="14" t="s">
        <v>114</v>
      </c>
      <c r="M1436" s="16" t="str">
        <f t="shared" si="1"/>
        <v>868096 Primaria</v>
      </c>
      <c r="N1436" s="17"/>
      <c r="O1436" s="17"/>
      <c r="P1436" s="17"/>
      <c r="Q1436" s="17"/>
      <c r="R1436" s="17"/>
      <c r="S1436" s="17"/>
      <c r="T1436" s="17"/>
    </row>
    <row r="1437">
      <c r="A1437" s="21">
        <v>240.0</v>
      </c>
      <c r="B1437" s="20" t="s">
        <v>64</v>
      </c>
      <c r="C1437" s="14" t="s">
        <v>14</v>
      </c>
      <c r="D1437" s="20" t="s">
        <v>22</v>
      </c>
      <c r="E1437" s="12" t="str">
        <f>IFERROR(__xludf.DUMMYFUNCTION("FILTER(colegios!$B$2:$B5618,colegios!$A$2:$A5618=L1437)"),"86809")</f>
        <v>86809</v>
      </c>
      <c r="F1437" s="14" t="s">
        <v>16</v>
      </c>
      <c r="G1437" s="20" t="s">
        <v>17</v>
      </c>
      <c r="H1437" s="14" t="s">
        <v>24</v>
      </c>
      <c r="I1437" s="22">
        <v>2023.0</v>
      </c>
      <c r="J1437" s="16" t="str">
        <f>IFERROR(__xludf.DUMMYFUNCTION("FILTER('CLASFICACIÓN'!$F$3:$F5618,'CLASFICACIÓN'!$G$3:$G5618=M1437)"),"LOS 3 AÑOS")</f>
        <v>LOS 3 AÑOS</v>
      </c>
      <c r="K1437" s="16"/>
      <c r="L1437" s="14" t="s">
        <v>114</v>
      </c>
      <c r="M1437" s="16" t="str">
        <f t="shared" si="1"/>
        <v>868096 Primaria</v>
      </c>
      <c r="N1437" s="17"/>
      <c r="O1437" s="17"/>
      <c r="P1437" s="17"/>
      <c r="Q1437" s="17"/>
      <c r="R1437" s="17"/>
      <c r="S1437" s="17"/>
      <c r="T1437" s="17"/>
    </row>
    <row r="1438">
      <c r="A1438" s="21">
        <v>241.0</v>
      </c>
      <c r="B1438" s="20" t="s">
        <v>64</v>
      </c>
      <c r="C1438" s="14" t="s">
        <v>14</v>
      </c>
      <c r="D1438" s="20" t="s">
        <v>22</v>
      </c>
      <c r="E1438" s="12" t="str">
        <f>IFERROR(__xludf.DUMMYFUNCTION("FILTER(colegios!$B$2:$B5618,colegios!$A$2:$A5618=L1438)"),"86809")</f>
        <v>86809</v>
      </c>
      <c r="F1438" s="14" t="s">
        <v>16</v>
      </c>
      <c r="G1438" s="20" t="s">
        <v>17</v>
      </c>
      <c r="H1438" s="14" t="s">
        <v>24</v>
      </c>
      <c r="I1438" s="22">
        <v>2023.0</v>
      </c>
      <c r="J1438" s="16" t="str">
        <f>IFERROR(__xludf.DUMMYFUNCTION("FILTER('CLASFICACIÓN'!$F$3:$F5618,'CLASFICACIÓN'!$G$3:$G5618=M1438)"),"LOS 3 AÑOS")</f>
        <v>LOS 3 AÑOS</v>
      </c>
      <c r="K1438" s="16"/>
      <c r="L1438" s="14" t="s">
        <v>114</v>
      </c>
      <c r="M1438" s="16" t="str">
        <f t="shared" si="1"/>
        <v>868096 Primaria</v>
      </c>
      <c r="N1438" s="17"/>
      <c r="O1438" s="17"/>
      <c r="P1438" s="17"/>
      <c r="Q1438" s="17"/>
      <c r="R1438" s="17"/>
      <c r="S1438" s="17"/>
      <c r="T1438" s="17"/>
    </row>
    <row r="1439">
      <c r="A1439" s="21">
        <v>242.0</v>
      </c>
      <c r="B1439" s="20" t="s">
        <v>64</v>
      </c>
      <c r="C1439" s="14" t="s">
        <v>14</v>
      </c>
      <c r="D1439" s="20" t="s">
        <v>22</v>
      </c>
      <c r="E1439" s="12" t="str">
        <f>IFERROR(__xludf.DUMMYFUNCTION("FILTER(colegios!$B$2:$B5618,colegios!$A$2:$A5618=L1439)"),"86809")</f>
        <v>86809</v>
      </c>
      <c r="F1439" s="14" t="s">
        <v>16</v>
      </c>
      <c r="G1439" s="20" t="s">
        <v>17</v>
      </c>
      <c r="H1439" s="14" t="s">
        <v>24</v>
      </c>
      <c r="I1439" s="22">
        <v>2023.0</v>
      </c>
      <c r="J1439" s="16" t="str">
        <f>IFERROR(__xludf.DUMMYFUNCTION("FILTER('CLASFICACIÓN'!$F$3:$F5618,'CLASFICACIÓN'!$G$3:$G5618=M1439)"),"LOS 3 AÑOS")</f>
        <v>LOS 3 AÑOS</v>
      </c>
      <c r="K1439" s="16"/>
      <c r="L1439" s="14" t="s">
        <v>114</v>
      </c>
      <c r="M1439" s="16" t="str">
        <f t="shared" si="1"/>
        <v>868096 Primaria</v>
      </c>
      <c r="N1439" s="17"/>
      <c r="O1439" s="17"/>
      <c r="P1439" s="17"/>
      <c r="Q1439" s="17"/>
      <c r="R1439" s="17"/>
      <c r="S1439" s="17"/>
      <c r="T1439" s="17"/>
    </row>
    <row r="1440">
      <c r="A1440" s="21">
        <v>243.0</v>
      </c>
      <c r="B1440" s="20" t="s">
        <v>64</v>
      </c>
      <c r="C1440" s="14" t="s">
        <v>14</v>
      </c>
      <c r="D1440" s="20" t="s">
        <v>22</v>
      </c>
      <c r="E1440" s="12" t="str">
        <f>IFERROR(__xludf.DUMMYFUNCTION("FILTER(colegios!$B$2:$B5618,colegios!$A$2:$A5618=L1440)"),"86548 JOSE MARIA VELAZ")</f>
        <v>86548 JOSE MARIA VELAZ</v>
      </c>
      <c r="F1440" s="14" t="s">
        <v>16</v>
      </c>
      <c r="G1440" s="20" t="s">
        <v>21</v>
      </c>
      <c r="H1440" s="14" t="s">
        <v>24</v>
      </c>
      <c r="I1440" s="22">
        <v>2023.0</v>
      </c>
      <c r="J1440" s="16" t="str">
        <f>IFERROR(__xludf.DUMMYFUNCTION("FILTER('CLASFICACIÓN'!$F$3:$F5618,'CLASFICACIÓN'!$G$3:$G5618=M1440)"),"LOS 3 AÑOS")</f>
        <v>LOS 3 AÑOS</v>
      </c>
      <c r="K1440" s="16"/>
      <c r="L1440" s="14" t="s">
        <v>116</v>
      </c>
      <c r="M1440" s="16" t="str">
        <f t="shared" si="1"/>
        <v>86548 JOSE MARIA VELAZ6 Primaria</v>
      </c>
      <c r="N1440" s="17"/>
      <c r="O1440" s="17"/>
      <c r="P1440" s="17"/>
      <c r="Q1440" s="17"/>
      <c r="R1440" s="17"/>
      <c r="S1440" s="17"/>
      <c r="T1440" s="17"/>
    </row>
    <row r="1441">
      <c r="A1441" s="21">
        <v>244.0</v>
      </c>
      <c r="B1441" s="20" t="s">
        <v>64</v>
      </c>
      <c r="C1441" s="14" t="s">
        <v>14</v>
      </c>
      <c r="D1441" s="20" t="s">
        <v>22</v>
      </c>
      <c r="E1441" s="12" t="str">
        <f>IFERROR(__xludf.DUMMYFUNCTION("FILTER(colegios!$B$2:$B5618,colegios!$A$2:$A5618=L1441)"),"86548 JOSE MARIA VELAZ")</f>
        <v>86548 JOSE MARIA VELAZ</v>
      </c>
      <c r="F1441" s="14" t="s">
        <v>16</v>
      </c>
      <c r="G1441" s="20" t="s">
        <v>21</v>
      </c>
      <c r="H1441" s="14" t="s">
        <v>24</v>
      </c>
      <c r="I1441" s="22">
        <v>2023.0</v>
      </c>
      <c r="J1441" s="16" t="str">
        <f>IFERROR(__xludf.DUMMYFUNCTION("FILTER('CLASFICACIÓN'!$F$3:$F5618,'CLASFICACIÓN'!$G$3:$G5618=M1441)"),"LOS 3 AÑOS")</f>
        <v>LOS 3 AÑOS</v>
      </c>
      <c r="K1441" s="16"/>
      <c r="L1441" s="14" t="s">
        <v>116</v>
      </c>
      <c r="M1441" s="16" t="str">
        <f t="shared" si="1"/>
        <v>86548 JOSE MARIA VELAZ6 Primaria</v>
      </c>
      <c r="N1441" s="17"/>
      <c r="O1441" s="17"/>
      <c r="P1441" s="17"/>
      <c r="Q1441" s="17"/>
      <c r="R1441" s="17"/>
      <c r="S1441" s="17"/>
      <c r="T1441" s="17"/>
    </row>
    <row r="1442">
      <c r="A1442" s="21">
        <v>245.0</v>
      </c>
      <c r="B1442" s="20" t="s">
        <v>64</v>
      </c>
      <c r="C1442" s="14" t="s">
        <v>14</v>
      </c>
      <c r="D1442" s="20" t="s">
        <v>22</v>
      </c>
      <c r="E1442" s="12" t="str">
        <f>IFERROR(__xludf.DUMMYFUNCTION("FILTER(colegios!$B$2:$B5618,colegios!$A$2:$A5618=L1442)"),"86548 JOSE MARIA VELAZ")</f>
        <v>86548 JOSE MARIA VELAZ</v>
      </c>
      <c r="F1442" s="14" t="s">
        <v>16</v>
      </c>
      <c r="G1442" s="20" t="s">
        <v>21</v>
      </c>
      <c r="H1442" s="14" t="s">
        <v>24</v>
      </c>
      <c r="I1442" s="22">
        <v>2023.0</v>
      </c>
      <c r="J1442" s="16" t="str">
        <f>IFERROR(__xludf.DUMMYFUNCTION("FILTER('CLASFICACIÓN'!$F$3:$F5618,'CLASFICACIÓN'!$G$3:$G5618=M1442)"),"LOS 3 AÑOS")</f>
        <v>LOS 3 AÑOS</v>
      </c>
      <c r="K1442" s="16"/>
      <c r="L1442" s="14" t="s">
        <v>116</v>
      </c>
      <c r="M1442" s="16" t="str">
        <f t="shared" si="1"/>
        <v>86548 JOSE MARIA VELAZ6 Primaria</v>
      </c>
      <c r="N1442" s="17"/>
      <c r="O1442" s="17"/>
      <c r="P1442" s="17"/>
      <c r="Q1442" s="17"/>
      <c r="R1442" s="17"/>
      <c r="S1442" s="17"/>
      <c r="T1442" s="17"/>
    </row>
    <row r="1443">
      <c r="A1443" s="21">
        <v>246.0</v>
      </c>
      <c r="B1443" s="20" t="s">
        <v>64</v>
      </c>
      <c r="C1443" s="14" t="s">
        <v>14</v>
      </c>
      <c r="D1443" s="20" t="s">
        <v>22</v>
      </c>
      <c r="E1443" s="12" t="str">
        <f>IFERROR(__xludf.DUMMYFUNCTION("FILTER(colegios!$B$2:$B5618,colegios!$A$2:$A5618=L1443)"),"86548 JOSE MARIA VELAZ")</f>
        <v>86548 JOSE MARIA VELAZ</v>
      </c>
      <c r="F1443" s="14" t="s">
        <v>16</v>
      </c>
      <c r="G1443" s="20" t="s">
        <v>21</v>
      </c>
      <c r="H1443" s="14" t="s">
        <v>24</v>
      </c>
      <c r="I1443" s="22">
        <v>2023.0</v>
      </c>
      <c r="J1443" s="16" t="str">
        <f>IFERROR(__xludf.DUMMYFUNCTION("FILTER('CLASFICACIÓN'!$F$3:$F5618,'CLASFICACIÓN'!$G$3:$G5618=M1443)"),"LOS 3 AÑOS")</f>
        <v>LOS 3 AÑOS</v>
      </c>
      <c r="K1443" s="16"/>
      <c r="L1443" s="14" t="s">
        <v>116</v>
      </c>
      <c r="M1443" s="16" t="str">
        <f t="shared" si="1"/>
        <v>86548 JOSE MARIA VELAZ6 Primaria</v>
      </c>
      <c r="N1443" s="17"/>
      <c r="O1443" s="17"/>
      <c r="P1443" s="17"/>
      <c r="Q1443" s="17"/>
      <c r="R1443" s="17"/>
      <c r="S1443" s="17"/>
      <c r="T1443" s="17"/>
    </row>
    <row r="1444">
      <c r="A1444" s="21">
        <v>247.0</v>
      </c>
      <c r="B1444" s="20" t="s">
        <v>64</v>
      </c>
      <c r="C1444" s="14" t="s">
        <v>14</v>
      </c>
      <c r="D1444" s="20" t="s">
        <v>22</v>
      </c>
      <c r="E1444" s="12" t="str">
        <f>IFERROR(__xludf.DUMMYFUNCTION("FILTER(colegios!$B$2:$B5618,colegios!$A$2:$A5618=L1444)"),"86548 JOSE MARIA VELAZ")</f>
        <v>86548 JOSE MARIA VELAZ</v>
      </c>
      <c r="F1444" s="14" t="s">
        <v>16</v>
      </c>
      <c r="G1444" s="20" t="s">
        <v>17</v>
      </c>
      <c r="H1444" s="14" t="s">
        <v>24</v>
      </c>
      <c r="I1444" s="22">
        <v>2023.0</v>
      </c>
      <c r="J1444" s="16" t="str">
        <f>IFERROR(__xludf.DUMMYFUNCTION("FILTER('CLASFICACIÓN'!$F$3:$F5618,'CLASFICACIÓN'!$G$3:$G5618=M1444)"),"LOS 3 AÑOS")</f>
        <v>LOS 3 AÑOS</v>
      </c>
      <c r="K1444" s="16"/>
      <c r="L1444" s="14" t="s">
        <v>116</v>
      </c>
      <c r="M1444" s="16" t="str">
        <f t="shared" si="1"/>
        <v>86548 JOSE MARIA VELAZ6 Primaria</v>
      </c>
      <c r="N1444" s="17"/>
      <c r="O1444" s="17"/>
      <c r="P1444" s="17"/>
      <c r="Q1444" s="17"/>
      <c r="R1444" s="17"/>
      <c r="S1444" s="17"/>
      <c r="T1444" s="17"/>
    </row>
    <row r="1445">
      <c r="A1445" s="21">
        <v>248.0</v>
      </c>
      <c r="B1445" s="20" t="s">
        <v>64</v>
      </c>
      <c r="C1445" s="14" t="s">
        <v>14</v>
      </c>
      <c r="D1445" s="20" t="s">
        <v>22</v>
      </c>
      <c r="E1445" s="12" t="str">
        <f>IFERROR(__xludf.DUMMYFUNCTION("FILTER(colegios!$B$2:$B5618,colegios!$A$2:$A5618=L1445)"),"86548 JOSE MARIA VELAZ")</f>
        <v>86548 JOSE MARIA VELAZ</v>
      </c>
      <c r="F1445" s="14" t="s">
        <v>16</v>
      </c>
      <c r="G1445" s="20" t="s">
        <v>17</v>
      </c>
      <c r="H1445" s="14" t="s">
        <v>24</v>
      </c>
      <c r="I1445" s="22">
        <v>2023.0</v>
      </c>
      <c r="J1445" s="16" t="str">
        <f>IFERROR(__xludf.DUMMYFUNCTION("FILTER('CLASFICACIÓN'!$F$3:$F5618,'CLASFICACIÓN'!$G$3:$G5618=M1445)"),"LOS 3 AÑOS")</f>
        <v>LOS 3 AÑOS</v>
      </c>
      <c r="K1445" s="16"/>
      <c r="L1445" s="14" t="s">
        <v>116</v>
      </c>
      <c r="M1445" s="16" t="str">
        <f t="shared" si="1"/>
        <v>86548 JOSE MARIA VELAZ6 Primaria</v>
      </c>
      <c r="N1445" s="17"/>
      <c r="O1445" s="17"/>
      <c r="P1445" s="17"/>
      <c r="Q1445" s="17"/>
      <c r="R1445" s="17"/>
      <c r="S1445" s="17"/>
      <c r="T1445" s="17"/>
    </row>
    <row r="1446">
      <c r="A1446" s="21">
        <v>249.0</v>
      </c>
      <c r="B1446" s="20" t="s">
        <v>64</v>
      </c>
      <c r="C1446" s="14" t="s">
        <v>14</v>
      </c>
      <c r="D1446" s="20" t="s">
        <v>22</v>
      </c>
      <c r="E1446" s="12" t="str">
        <f>IFERROR(__xludf.DUMMYFUNCTION("FILTER(colegios!$B$2:$B5618,colegios!$A$2:$A5618=L1446)"),"86548 JOSE MARIA VELAZ")</f>
        <v>86548 JOSE MARIA VELAZ</v>
      </c>
      <c r="F1446" s="14" t="s">
        <v>16</v>
      </c>
      <c r="G1446" s="20" t="s">
        <v>21</v>
      </c>
      <c r="H1446" s="14" t="s">
        <v>18</v>
      </c>
      <c r="I1446" s="22">
        <v>2023.0</v>
      </c>
      <c r="J1446" s="16" t="str">
        <f>IFERROR(__xludf.DUMMYFUNCTION("FILTER('CLASFICACIÓN'!$F$3:$F5618,'CLASFICACIÓN'!$G$3:$G5618=M1446)"),"LOS 3 AÑOS")</f>
        <v>LOS 3 AÑOS</v>
      </c>
      <c r="K1446" s="16"/>
      <c r="L1446" s="14" t="s">
        <v>116</v>
      </c>
      <c r="M1446" s="16" t="str">
        <f t="shared" si="1"/>
        <v>86548 JOSE MARIA VELAZ6 Primaria</v>
      </c>
      <c r="N1446" s="17"/>
      <c r="O1446" s="17"/>
      <c r="P1446" s="17"/>
      <c r="Q1446" s="17"/>
      <c r="R1446" s="17"/>
      <c r="S1446" s="17"/>
      <c r="T1446" s="17"/>
    </row>
    <row r="1447">
      <c r="A1447" s="21">
        <v>250.0</v>
      </c>
      <c r="B1447" s="20" t="s">
        <v>64</v>
      </c>
      <c r="C1447" s="14" t="s">
        <v>14</v>
      </c>
      <c r="D1447" s="20" t="s">
        <v>22</v>
      </c>
      <c r="E1447" s="12" t="str">
        <f>IFERROR(__xludf.DUMMYFUNCTION("FILTER(colegios!$B$2:$B5618,colegios!$A$2:$A5618=L1447)"),"86548 JOSE MARIA VELAZ")</f>
        <v>86548 JOSE MARIA VELAZ</v>
      </c>
      <c r="F1447" s="14" t="s">
        <v>16</v>
      </c>
      <c r="G1447" s="20" t="s">
        <v>21</v>
      </c>
      <c r="H1447" s="14" t="s">
        <v>24</v>
      </c>
      <c r="I1447" s="22">
        <v>2023.0</v>
      </c>
      <c r="J1447" s="16" t="str">
        <f>IFERROR(__xludf.DUMMYFUNCTION("FILTER('CLASFICACIÓN'!$F$3:$F5618,'CLASFICACIÓN'!$G$3:$G5618=M1447)"),"LOS 3 AÑOS")</f>
        <v>LOS 3 AÑOS</v>
      </c>
      <c r="K1447" s="16"/>
      <c r="L1447" s="14" t="s">
        <v>116</v>
      </c>
      <c r="M1447" s="16" t="str">
        <f t="shared" si="1"/>
        <v>86548 JOSE MARIA VELAZ6 Primaria</v>
      </c>
      <c r="N1447" s="17"/>
      <c r="O1447" s="17"/>
      <c r="P1447" s="17"/>
      <c r="Q1447" s="17"/>
      <c r="R1447" s="17"/>
      <c r="S1447" s="17"/>
      <c r="T1447" s="17"/>
    </row>
    <row r="1448">
      <c r="A1448" s="21">
        <v>251.0</v>
      </c>
      <c r="B1448" s="20" t="s">
        <v>64</v>
      </c>
      <c r="C1448" s="14" t="s">
        <v>14</v>
      </c>
      <c r="D1448" s="20" t="s">
        <v>22</v>
      </c>
      <c r="E1448" s="12" t="str">
        <f>IFERROR(__xludf.DUMMYFUNCTION("FILTER(colegios!$B$2:$B5618,colegios!$A$2:$A5618=L1448)"),"88247 SAN ENRIQUE")</f>
        <v>88247 SAN ENRIQUE</v>
      </c>
      <c r="F1448" s="14" t="s">
        <v>16</v>
      </c>
      <c r="G1448" s="20" t="s">
        <v>21</v>
      </c>
      <c r="H1448" s="14" t="s">
        <v>24</v>
      </c>
      <c r="I1448" s="22">
        <v>2023.0</v>
      </c>
      <c r="J1448" s="16" t="str">
        <f>IFERROR(__xludf.DUMMYFUNCTION("FILTER('CLASFICACIÓN'!$F$3:$F5618,'CLASFICACIÓN'!$G$3:$G5618=M1448)"),"2023 Y 2024")</f>
        <v>2023 Y 2024</v>
      </c>
      <c r="K1448" s="16"/>
      <c r="L1448" s="14" t="s">
        <v>115</v>
      </c>
      <c r="M1448" s="16" t="str">
        <f t="shared" si="1"/>
        <v>88247 SAN ENRIQUE6 Primaria</v>
      </c>
      <c r="N1448" s="17"/>
      <c r="O1448" s="17"/>
      <c r="P1448" s="17"/>
      <c r="Q1448" s="17"/>
      <c r="R1448" s="17"/>
      <c r="S1448" s="17"/>
      <c r="T1448" s="17"/>
    </row>
    <row r="1449">
      <c r="A1449" s="21">
        <v>252.0</v>
      </c>
      <c r="B1449" s="20" t="s">
        <v>64</v>
      </c>
      <c r="C1449" s="14" t="s">
        <v>14</v>
      </c>
      <c r="D1449" s="20" t="s">
        <v>22</v>
      </c>
      <c r="E1449" s="12" t="str">
        <f>IFERROR(__xludf.DUMMYFUNCTION("FILTER(colegios!$B$2:$B5618,colegios!$A$2:$A5618=L1449)"),"88247 SAN ENRIQUE")</f>
        <v>88247 SAN ENRIQUE</v>
      </c>
      <c r="F1449" s="14" t="s">
        <v>16</v>
      </c>
      <c r="G1449" s="20" t="s">
        <v>21</v>
      </c>
      <c r="H1449" s="14" t="s">
        <v>18</v>
      </c>
      <c r="I1449" s="22">
        <v>2023.0</v>
      </c>
      <c r="J1449" s="16" t="str">
        <f>IFERROR(__xludf.DUMMYFUNCTION("FILTER('CLASFICACIÓN'!$F$3:$F5618,'CLASFICACIÓN'!$G$3:$G5618=M1449)"),"2023 Y 2024")</f>
        <v>2023 Y 2024</v>
      </c>
      <c r="K1449" s="16"/>
      <c r="L1449" s="14" t="s">
        <v>115</v>
      </c>
      <c r="M1449" s="16" t="str">
        <f t="shared" si="1"/>
        <v>88247 SAN ENRIQUE6 Primaria</v>
      </c>
      <c r="N1449" s="17"/>
      <c r="O1449" s="17"/>
      <c r="P1449" s="17"/>
      <c r="Q1449" s="17"/>
      <c r="R1449" s="17"/>
      <c r="S1449" s="17"/>
      <c r="T1449" s="17"/>
    </row>
    <row r="1450">
      <c r="A1450" s="21">
        <v>253.0</v>
      </c>
      <c r="B1450" s="20" t="s">
        <v>64</v>
      </c>
      <c r="C1450" s="14" t="s">
        <v>14</v>
      </c>
      <c r="D1450" s="20" t="s">
        <v>22</v>
      </c>
      <c r="E1450" s="12" t="str">
        <f>IFERROR(__xludf.DUMMYFUNCTION("FILTER(colegios!$B$2:$B5618,colegios!$A$2:$A5618=L1450)"),"88247 SAN ENRIQUE")</f>
        <v>88247 SAN ENRIQUE</v>
      </c>
      <c r="F1450" s="14" t="s">
        <v>16</v>
      </c>
      <c r="G1450" s="20" t="s">
        <v>21</v>
      </c>
      <c r="H1450" s="14" t="s">
        <v>18</v>
      </c>
      <c r="I1450" s="22">
        <v>2023.0</v>
      </c>
      <c r="J1450" s="16" t="str">
        <f>IFERROR(__xludf.DUMMYFUNCTION("FILTER('CLASFICACIÓN'!$F$3:$F5618,'CLASFICACIÓN'!$G$3:$G5618=M1450)"),"2023 Y 2024")</f>
        <v>2023 Y 2024</v>
      </c>
      <c r="K1450" s="16"/>
      <c r="L1450" s="14" t="s">
        <v>115</v>
      </c>
      <c r="M1450" s="16" t="str">
        <f t="shared" si="1"/>
        <v>88247 SAN ENRIQUE6 Primaria</v>
      </c>
      <c r="N1450" s="17"/>
      <c r="O1450" s="17"/>
      <c r="P1450" s="17"/>
      <c r="Q1450" s="17"/>
      <c r="R1450" s="17"/>
      <c r="S1450" s="17"/>
      <c r="T1450" s="17"/>
    </row>
    <row r="1451">
      <c r="A1451" s="21">
        <v>254.0</v>
      </c>
      <c r="B1451" s="20" t="s">
        <v>64</v>
      </c>
      <c r="C1451" s="14" t="s">
        <v>14</v>
      </c>
      <c r="D1451" s="20" t="s">
        <v>22</v>
      </c>
      <c r="E1451" s="12" t="str">
        <f>IFERROR(__xludf.DUMMYFUNCTION("FILTER(colegios!$B$2:$B5618,colegios!$A$2:$A5618=L1451)"),"88247 SAN ENRIQUE")</f>
        <v>88247 SAN ENRIQUE</v>
      </c>
      <c r="F1451" s="14" t="s">
        <v>16</v>
      </c>
      <c r="G1451" s="20" t="s">
        <v>17</v>
      </c>
      <c r="H1451" s="14" t="s">
        <v>24</v>
      </c>
      <c r="I1451" s="22">
        <v>2023.0</v>
      </c>
      <c r="J1451" s="16" t="str">
        <f>IFERROR(__xludf.DUMMYFUNCTION("FILTER('CLASFICACIÓN'!$F$3:$F5618,'CLASFICACIÓN'!$G$3:$G5618=M1451)"),"2023 Y 2024")</f>
        <v>2023 Y 2024</v>
      </c>
      <c r="K1451" s="16"/>
      <c r="L1451" s="14" t="s">
        <v>115</v>
      </c>
      <c r="M1451" s="16" t="str">
        <f t="shared" si="1"/>
        <v>88247 SAN ENRIQUE6 Primaria</v>
      </c>
      <c r="N1451" s="17"/>
      <c r="O1451" s="17"/>
      <c r="P1451" s="17"/>
      <c r="Q1451" s="17"/>
      <c r="R1451" s="17"/>
      <c r="S1451" s="17"/>
      <c r="T1451" s="17"/>
    </row>
    <row r="1452">
      <c r="A1452" s="21">
        <v>255.0</v>
      </c>
      <c r="B1452" s="20" t="s">
        <v>48</v>
      </c>
      <c r="C1452" s="14" t="s">
        <v>14</v>
      </c>
      <c r="D1452" s="20" t="s">
        <v>15</v>
      </c>
      <c r="E1452" s="12" t="str">
        <f>IFERROR(__xludf.DUMMYFUNCTION("FILTER(colegios!$B$2:$B5618,colegios!$A$2:$A5618=L1452)"),"14975")</f>
        <v>14975</v>
      </c>
      <c r="F1452" s="14" t="s">
        <v>16</v>
      </c>
      <c r="G1452" s="20" t="s">
        <v>17</v>
      </c>
      <c r="H1452" s="14" t="s">
        <v>18</v>
      </c>
      <c r="I1452" s="22">
        <v>2023.0</v>
      </c>
      <c r="J1452" s="16" t="str">
        <f>IFERROR(__xludf.DUMMYFUNCTION("FILTER('CLASFICACIÓN'!$F$3:$F5618,'CLASFICACIÓN'!$G$3:$G5618=M1452)"),"2023 Y 2024")</f>
        <v>2023 Y 2024</v>
      </c>
      <c r="K1452" s="16"/>
      <c r="L1452" s="14" t="s">
        <v>117</v>
      </c>
      <c r="M1452" s="16" t="str">
        <f t="shared" si="1"/>
        <v>149752 Primaria</v>
      </c>
      <c r="N1452" s="17"/>
      <c r="O1452" s="17"/>
      <c r="P1452" s="17"/>
      <c r="Q1452" s="17"/>
      <c r="R1452" s="17"/>
      <c r="S1452" s="17"/>
      <c r="T1452" s="17"/>
    </row>
    <row r="1453">
      <c r="A1453" s="21">
        <v>256.0</v>
      </c>
      <c r="B1453" s="20" t="s">
        <v>48</v>
      </c>
      <c r="C1453" s="14" t="s">
        <v>14</v>
      </c>
      <c r="D1453" s="20" t="s">
        <v>15</v>
      </c>
      <c r="E1453" s="12" t="str">
        <f>IFERROR(__xludf.DUMMYFUNCTION("FILTER(colegios!$B$2:$B5618,colegios!$A$2:$A5618=L1453)"),"14975")</f>
        <v>14975</v>
      </c>
      <c r="F1453" s="14" t="s">
        <v>16</v>
      </c>
      <c r="G1453" s="20" t="s">
        <v>17</v>
      </c>
      <c r="H1453" s="14" t="s">
        <v>18</v>
      </c>
      <c r="I1453" s="22">
        <v>2023.0</v>
      </c>
      <c r="J1453" s="16" t="str">
        <f>IFERROR(__xludf.DUMMYFUNCTION("FILTER('CLASFICACIÓN'!$F$3:$F5618,'CLASFICACIÓN'!$G$3:$G5618=M1453)"),"2023 Y 2024")</f>
        <v>2023 Y 2024</v>
      </c>
      <c r="K1453" s="16"/>
      <c r="L1453" s="14" t="s">
        <v>117</v>
      </c>
      <c r="M1453" s="16" t="str">
        <f t="shared" si="1"/>
        <v>149752 Primaria</v>
      </c>
      <c r="N1453" s="17"/>
      <c r="O1453" s="17"/>
      <c r="P1453" s="17"/>
      <c r="Q1453" s="17"/>
      <c r="R1453" s="17"/>
      <c r="S1453" s="17"/>
      <c r="T1453" s="17"/>
    </row>
    <row r="1454">
      <c r="A1454" s="21">
        <v>257.0</v>
      </c>
      <c r="B1454" s="20" t="s">
        <v>48</v>
      </c>
      <c r="C1454" s="14" t="s">
        <v>14</v>
      </c>
      <c r="D1454" s="20" t="s">
        <v>15</v>
      </c>
      <c r="E1454" s="12" t="str">
        <f>IFERROR(__xludf.DUMMYFUNCTION("FILTER(colegios!$B$2:$B5618,colegios!$A$2:$A5618=L1454)"),"14975")</f>
        <v>14975</v>
      </c>
      <c r="F1454" s="14" t="s">
        <v>16</v>
      </c>
      <c r="G1454" s="20" t="s">
        <v>21</v>
      </c>
      <c r="H1454" s="14" t="s">
        <v>18</v>
      </c>
      <c r="I1454" s="22">
        <v>2023.0</v>
      </c>
      <c r="J1454" s="16" t="str">
        <f>IFERROR(__xludf.DUMMYFUNCTION("FILTER('CLASFICACIÓN'!$F$3:$F5618,'CLASFICACIÓN'!$G$3:$G5618=M1454)"),"2023 Y 2024")</f>
        <v>2023 Y 2024</v>
      </c>
      <c r="K1454" s="16"/>
      <c r="L1454" s="14" t="s">
        <v>117</v>
      </c>
      <c r="M1454" s="16" t="str">
        <f t="shared" si="1"/>
        <v>149752 Primaria</v>
      </c>
      <c r="N1454" s="17"/>
      <c r="O1454" s="17"/>
      <c r="P1454" s="17"/>
      <c r="Q1454" s="17"/>
      <c r="R1454" s="17"/>
      <c r="S1454" s="17"/>
      <c r="T1454" s="17"/>
    </row>
    <row r="1455">
      <c r="A1455" s="21">
        <v>258.0</v>
      </c>
      <c r="B1455" s="20" t="s">
        <v>48</v>
      </c>
      <c r="C1455" s="14" t="s">
        <v>14</v>
      </c>
      <c r="D1455" s="20" t="s">
        <v>15</v>
      </c>
      <c r="E1455" s="12" t="str">
        <f>IFERROR(__xludf.DUMMYFUNCTION("FILTER(colegios!$B$2:$B5618,colegios!$A$2:$A5618=L1455)"),"14975")</f>
        <v>14975</v>
      </c>
      <c r="F1455" s="14" t="s">
        <v>16</v>
      </c>
      <c r="G1455" s="20" t="s">
        <v>17</v>
      </c>
      <c r="H1455" s="14" t="s">
        <v>24</v>
      </c>
      <c r="I1455" s="22">
        <v>2023.0</v>
      </c>
      <c r="J1455" s="16" t="str">
        <f>IFERROR(__xludf.DUMMYFUNCTION("FILTER('CLASFICACIÓN'!$F$3:$F5618,'CLASFICACIÓN'!$G$3:$G5618=M1455)"),"2023 Y 2024")</f>
        <v>2023 Y 2024</v>
      </c>
      <c r="K1455" s="16"/>
      <c r="L1455" s="14" t="s">
        <v>117</v>
      </c>
      <c r="M1455" s="16" t="str">
        <f t="shared" si="1"/>
        <v>149752 Primaria</v>
      </c>
      <c r="N1455" s="17"/>
      <c r="O1455" s="17"/>
      <c r="P1455" s="17"/>
      <c r="Q1455" s="17"/>
      <c r="R1455" s="17"/>
      <c r="S1455" s="17"/>
      <c r="T1455" s="17"/>
    </row>
    <row r="1456">
      <c r="A1456" s="21">
        <v>259.0</v>
      </c>
      <c r="B1456" s="20" t="s">
        <v>48</v>
      </c>
      <c r="C1456" s="14" t="s">
        <v>14</v>
      </c>
      <c r="D1456" s="20" t="s">
        <v>15</v>
      </c>
      <c r="E1456" s="12" t="str">
        <f>IFERROR(__xludf.DUMMYFUNCTION("FILTER(colegios!$B$2:$B5618,colegios!$A$2:$A5618=L1456)"),"14975")</f>
        <v>14975</v>
      </c>
      <c r="F1456" s="14" t="s">
        <v>16</v>
      </c>
      <c r="G1456" s="20" t="s">
        <v>21</v>
      </c>
      <c r="H1456" s="14" t="s">
        <v>18</v>
      </c>
      <c r="I1456" s="22">
        <v>2023.0</v>
      </c>
      <c r="J1456" s="16" t="str">
        <f>IFERROR(__xludf.DUMMYFUNCTION("FILTER('CLASFICACIÓN'!$F$3:$F5618,'CLASFICACIÓN'!$G$3:$G5618=M1456)"),"2023 Y 2024")</f>
        <v>2023 Y 2024</v>
      </c>
      <c r="K1456" s="16"/>
      <c r="L1456" s="14" t="s">
        <v>117</v>
      </c>
      <c r="M1456" s="16" t="str">
        <f t="shared" si="1"/>
        <v>149752 Primaria</v>
      </c>
      <c r="N1456" s="17"/>
      <c r="O1456" s="17"/>
      <c r="P1456" s="17"/>
      <c r="Q1456" s="17"/>
      <c r="R1456" s="17"/>
      <c r="S1456" s="17"/>
      <c r="T1456" s="17"/>
    </row>
    <row r="1457">
      <c r="A1457" s="21">
        <v>260.0</v>
      </c>
      <c r="B1457" s="20" t="s">
        <v>48</v>
      </c>
      <c r="C1457" s="14" t="s">
        <v>14</v>
      </c>
      <c r="D1457" s="20" t="s">
        <v>15</v>
      </c>
      <c r="E1457" s="12" t="str">
        <f>IFERROR(__xludf.DUMMYFUNCTION("FILTER(colegios!$B$2:$B5618,colegios!$A$2:$A5618=L1457)"),"14975")</f>
        <v>14975</v>
      </c>
      <c r="F1457" s="14" t="s">
        <v>16</v>
      </c>
      <c r="G1457" s="20" t="s">
        <v>17</v>
      </c>
      <c r="H1457" s="14" t="s">
        <v>18</v>
      </c>
      <c r="I1457" s="22">
        <v>2023.0</v>
      </c>
      <c r="J1457" s="16" t="str">
        <f>IFERROR(__xludf.DUMMYFUNCTION("FILTER('CLASFICACIÓN'!$F$3:$F5618,'CLASFICACIÓN'!$G$3:$G5618=M1457)"),"2023 Y 2024")</f>
        <v>2023 Y 2024</v>
      </c>
      <c r="K1457" s="16"/>
      <c r="L1457" s="14" t="s">
        <v>117</v>
      </c>
      <c r="M1457" s="16" t="str">
        <f t="shared" si="1"/>
        <v>149752 Primaria</v>
      </c>
      <c r="N1457" s="17"/>
      <c r="O1457" s="17"/>
      <c r="P1457" s="17"/>
      <c r="Q1457" s="17"/>
      <c r="R1457" s="17"/>
      <c r="S1457" s="17"/>
      <c r="T1457" s="17"/>
    </row>
    <row r="1458">
      <c r="A1458" s="21">
        <v>261.0</v>
      </c>
      <c r="B1458" s="20" t="s">
        <v>48</v>
      </c>
      <c r="C1458" s="14" t="s">
        <v>14</v>
      </c>
      <c r="D1458" s="20" t="s">
        <v>15</v>
      </c>
      <c r="E1458" s="12" t="str">
        <f>IFERROR(__xludf.DUMMYFUNCTION("FILTER(colegios!$B$2:$B5618,colegios!$A$2:$A5618=L1458)"),"14975")</f>
        <v>14975</v>
      </c>
      <c r="F1458" s="14" t="s">
        <v>16</v>
      </c>
      <c r="G1458" s="20" t="s">
        <v>21</v>
      </c>
      <c r="H1458" s="14" t="s">
        <v>18</v>
      </c>
      <c r="I1458" s="22">
        <v>2023.0</v>
      </c>
      <c r="J1458" s="16" t="str">
        <f>IFERROR(__xludf.DUMMYFUNCTION("FILTER('CLASFICACIÓN'!$F$3:$F5618,'CLASFICACIÓN'!$G$3:$G5618=M1458)"),"2023 Y 2024")</f>
        <v>2023 Y 2024</v>
      </c>
      <c r="K1458" s="16"/>
      <c r="L1458" s="14" t="s">
        <v>117</v>
      </c>
      <c r="M1458" s="16" t="str">
        <f t="shared" si="1"/>
        <v>149752 Primaria</v>
      </c>
      <c r="N1458" s="17"/>
      <c r="O1458" s="17"/>
      <c r="P1458" s="17"/>
      <c r="Q1458" s="17"/>
      <c r="R1458" s="17"/>
      <c r="S1458" s="17"/>
      <c r="T1458" s="17"/>
    </row>
    <row r="1459">
      <c r="A1459" s="21">
        <v>262.0</v>
      </c>
      <c r="B1459" s="20" t="s">
        <v>48</v>
      </c>
      <c r="C1459" s="14" t="s">
        <v>14</v>
      </c>
      <c r="D1459" s="20" t="s">
        <v>15</v>
      </c>
      <c r="E1459" s="12" t="str">
        <f>IFERROR(__xludf.DUMMYFUNCTION("FILTER(colegios!$B$2:$B5618,colegios!$A$2:$A5618=L1459)"),"14975")</f>
        <v>14975</v>
      </c>
      <c r="F1459" s="14" t="s">
        <v>16</v>
      </c>
      <c r="G1459" s="20" t="s">
        <v>21</v>
      </c>
      <c r="H1459" s="14" t="s">
        <v>18</v>
      </c>
      <c r="I1459" s="22">
        <v>2023.0</v>
      </c>
      <c r="J1459" s="16" t="str">
        <f>IFERROR(__xludf.DUMMYFUNCTION("FILTER('CLASFICACIÓN'!$F$3:$F5618,'CLASFICACIÓN'!$G$3:$G5618=M1459)"),"2023 Y 2024")</f>
        <v>2023 Y 2024</v>
      </c>
      <c r="K1459" s="16"/>
      <c r="L1459" s="14" t="s">
        <v>117</v>
      </c>
      <c r="M1459" s="16" t="str">
        <f t="shared" si="1"/>
        <v>149752 Primaria</v>
      </c>
      <c r="N1459" s="17"/>
      <c r="O1459" s="17"/>
      <c r="P1459" s="17"/>
      <c r="Q1459" s="17"/>
      <c r="R1459" s="17"/>
      <c r="S1459" s="17"/>
      <c r="T1459" s="17"/>
    </row>
    <row r="1460">
      <c r="A1460" s="21">
        <v>263.0</v>
      </c>
      <c r="B1460" s="20" t="s">
        <v>48</v>
      </c>
      <c r="C1460" s="14" t="s">
        <v>14</v>
      </c>
      <c r="D1460" s="20" t="s">
        <v>15</v>
      </c>
      <c r="E1460" s="12" t="str">
        <f>IFERROR(__xludf.DUMMYFUNCTION("FILTER(colegios!$B$2:$B5618,colegios!$A$2:$A5618=L1460)"),"14975")</f>
        <v>14975</v>
      </c>
      <c r="F1460" s="14" t="s">
        <v>16</v>
      </c>
      <c r="G1460" s="20" t="s">
        <v>17</v>
      </c>
      <c r="H1460" s="14" t="s">
        <v>18</v>
      </c>
      <c r="I1460" s="22">
        <v>2023.0</v>
      </c>
      <c r="J1460" s="16" t="str">
        <f>IFERROR(__xludf.DUMMYFUNCTION("FILTER('CLASFICACIÓN'!$F$3:$F5618,'CLASFICACIÓN'!$G$3:$G5618=M1460)"),"2023 Y 2024")</f>
        <v>2023 Y 2024</v>
      </c>
      <c r="K1460" s="16"/>
      <c r="L1460" s="14" t="s">
        <v>117</v>
      </c>
      <c r="M1460" s="16" t="str">
        <f t="shared" si="1"/>
        <v>149752 Primaria</v>
      </c>
      <c r="N1460" s="17"/>
      <c r="O1460" s="17"/>
      <c r="P1460" s="17"/>
      <c r="Q1460" s="17"/>
      <c r="R1460" s="17"/>
      <c r="S1460" s="17"/>
      <c r="T1460" s="17"/>
    </row>
    <row r="1461">
      <c r="A1461" s="21">
        <v>264.0</v>
      </c>
      <c r="B1461" s="20" t="s">
        <v>48</v>
      </c>
      <c r="C1461" s="14" t="s">
        <v>14</v>
      </c>
      <c r="D1461" s="20" t="s">
        <v>22</v>
      </c>
      <c r="E1461" s="12" t="str">
        <f>IFERROR(__xludf.DUMMYFUNCTION("FILTER(colegios!$B$2:$B5618,colegios!$A$2:$A5618=L1461)"),"14975")</f>
        <v>14975</v>
      </c>
      <c r="F1461" s="14" t="s">
        <v>16</v>
      </c>
      <c r="G1461" s="20" t="s">
        <v>21</v>
      </c>
      <c r="H1461" s="14" t="s">
        <v>18</v>
      </c>
      <c r="I1461" s="22">
        <v>2023.0</v>
      </c>
      <c r="J1461" s="16" t="str">
        <f>IFERROR(__xludf.DUMMYFUNCTION("FILTER('CLASFICACIÓN'!$F$3:$F5618,'CLASFICACIÓN'!$G$3:$G5618=M1461)"),"2023 Y 2024")</f>
        <v>2023 Y 2024</v>
      </c>
      <c r="K1461" s="16"/>
      <c r="L1461" s="14" t="s">
        <v>117</v>
      </c>
      <c r="M1461" s="16" t="str">
        <f t="shared" si="1"/>
        <v>149756 Primaria</v>
      </c>
      <c r="N1461" s="17"/>
      <c r="O1461" s="17"/>
      <c r="P1461" s="17"/>
      <c r="Q1461" s="17"/>
      <c r="R1461" s="17"/>
      <c r="S1461" s="17"/>
      <c r="T1461" s="17"/>
    </row>
    <row r="1462">
      <c r="A1462" s="21">
        <v>265.0</v>
      </c>
      <c r="B1462" s="20" t="s">
        <v>48</v>
      </c>
      <c r="C1462" s="14" t="s">
        <v>14</v>
      </c>
      <c r="D1462" s="20" t="s">
        <v>22</v>
      </c>
      <c r="E1462" s="12" t="str">
        <f>IFERROR(__xludf.DUMMYFUNCTION("FILTER(colegios!$B$2:$B5618,colegios!$A$2:$A5618=L1462)"),"14975")</f>
        <v>14975</v>
      </c>
      <c r="F1462" s="14" t="s">
        <v>16</v>
      </c>
      <c r="G1462" s="20" t="s">
        <v>17</v>
      </c>
      <c r="H1462" s="14" t="s">
        <v>18</v>
      </c>
      <c r="I1462" s="22">
        <v>2023.0</v>
      </c>
      <c r="J1462" s="16" t="str">
        <f>IFERROR(__xludf.DUMMYFUNCTION("FILTER('CLASFICACIÓN'!$F$3:$F5618,'CLASFICACIÓN'!$G$3:$G5618=M1462)"),"2023 Y 2024")</f>
        <v>2023 Y 2024</v>
      </c>
      <c r="K1462" s="16"/>
      <c r="L1462" s="14" t="s">
        <v>117</v>
      </c>
      <c r="M1462" s="16" t="str">
        <f t="shared" si="1"/>
        <v>149756 Primaria</v>
      </c>
      <c r="N1462" s="17"/>
      <c r="O1462" s="17"/>
      <c r="P1462" s="17"/>
      <c r="Q1462" s="17"/>
      <c r="R1462" s="17"/>
      <c r="S1462" s="17"/>
      <c r="T1462" s="17"/>
    </row>
    <row r="1463">
      <c r="A1463" s="21">
        <v>266.0</v>
      </c>
      <c r="B1463" s="20" t="s">
        <v>48</v>
      </c>
      <c r="C1463" s="14" t="s">
        <v>14</v>
      </c>
      <c r="D1463" s="20" t="s">
        <v>22</v>
      </c>
      <c r="E1463" s="12" t="str">
        <f>IFERROR(__xludf.DUMMYFUNCTION("FILTER(colegios!$B$2:$B5618,colegios!$A$2:$A5618=L1463)"),"14975")</f>
        <v>14975</v>
      </c>
      <c r="F1463" s="14" t="s">
        <v>16</v>
      </c>
      <c r="G1463" s="20" t="s">
        <v>17</v>
      </c>
      <c r="H1463" s="14" t="s">
        <v>24</v>
      </c>
      <c r="I1463" s="22">
        <v>2023.0</v>
      </c>
      <c r="J1463" s="16" t="str">
        <f>IFERROR(__xludf.DUMMYFUNCTION("FILTER('CLASFICACIÓN'!$F$3:$F5618,'CLASFICACIÓN'!$G$3:$G5618=M1463)"),"2023 Y 2024")</f>
        <v>2023 Y 2024</v>
      </c>
      <c r="K1463" s="16"/>
      <c r="L1463" s="14" t="s">
        <v>117</v>
      </c>
      <c r="M1463" s="16" t="str">
        <f t="shared" si="1"/>
        <v>149756 Primaria</v>
      </c>
      <c r="N1463" s="17"/>
      <c r="O1463" s="17"/>
      <c r="P1463" s="17"/>
      <c r="Q1463" s="17"/>
      <c r="R1463" s="17"/>
      <c r="S1463" s="17"/>
      <c r="T1463" s="17"/>
    </row>
    <row r="1464">
      <c r="A1464" s="21">
        <v>267.0</v>
      </c>
      <c r="B1464" s="20" t="s">
        <v>48</v>
      </c>
      <c r="C1464" s="14" t="s">
        <v>14</v>
      </c>
      <c r="D1464" s="20" t="s">
        <v>22</v>
      </c>
      <c r="E1464" s="12" t="str">
        <f>IFERROR(__xludf.DUMMYFUNCTION("FILTER(colegios!$B$2:$B5618,colegios!$A$2:$A5618=L1464)"),"14975")</f>
        <v>14975</v>
      </c>
      <c r="F1464" s="14" t="s">
        <v>16</v>
      </c>
      <c r="G1464" s="20" t="s">
        <v>17</v>
      </c>
      <c r="H1464" s="14" t="s">
        <v>24</v>
      </c>
      <c r="I1464" s="22">
        <v>2023.0</v>
      </c>
      <c r="J1464" s="16" t="str">
        <f>IFERROR(__xludf.DUMMYFUNCTION("FILTER('CLASFICACIÓN'!$F$3:$F5618,'CLASFICACIÓN'!$G$3:$G5618=M1464)"),"2023 Y 2024")</f>
        <v>2023 Y 2024</v>
      </c>
      <c r="K1464" s="16"/>
      <c r="L1464" s="14" t="s">
        <v>117</v>
      </c>
      <c r="M1464" s="16" t="str">
        <f t="shared" si="1"/>
        <v>149756 Primaria</v>
      </c>
      <c r="N1464" s="17"/>
      <c r="O1464" s="17"/>
      <c r="P1464" s="17"/>
      <c r="Q1464" s="17"/>
      <c r="R1464" s="17"/>
      <c r="S1464" s="17"/>
      <c r="T1464" s="17"/>
    </row>
    <row r="1465">
      <c r="A1465" s="21">
        <v>268.0</v>
      </c>
      <c r="B1465" s="20" t="s">
        <v>48</v>
      </c>
      <c r="C1465" s="14" t="s">
        <v>14</v>
      </c>
      <c r="D1465" s="20" t="s">
        <v>22</v>
      </c>
      <c r="E1465" s="12" t="str">
        <f>IFERROR(__xludf.DUMMYFUNCTION("FILTER(colegios!$B$2:$B5618,colegios!$A$2:$A5618=L1465)"),"14975")</f>
        <v>14975</v>
      </c>
      <c r="F1465" s="14" t="s">
        <v>16</v>
      </c>
      <c r="G1465" s="20" t="s">
        <v>17</v>
      </c>
      <c r="H1465" s="14" t="s">
        <v>18</v>
      </c>
      <c r="I1465" s="22">
        <v>2023.0</v>
      </c>
      <c r="J1465" s="16" t="str">
        <f>IFERROR(__xludf.DUMMYFUNCTION("FILTER('CLASFICACIÓN'!$F$3:$F5618,'CLASFICACIÓN'!$G$3:$G5618=M1465)"),"2023 Y 2024")</f>
        <v>2023 Y 2024</v>
      </c>
      <c r="K1465" s="16"/>
      <c r="L1465" s="14" t="s">
        <v>117</v>
      </c>
      <c r="M1465" s="16" t="str">
        <f t="shared" si="1"/>
        <v>149756 Primaria</v>
      </c>
      <c r="N1465" s="17"/>
      <c r="O1465" s="17"/>
      <c r="P1465" s="17"/>
      <c r="Q1465" s="17"/>
      <c r="R1465" s="17"/>
      <c r="S1465" s="17"/>
      <c r="T1465" s="17"/>
    </row>
    <row r="1466">
      <c r="A1466" s="21">
        <v>269.0</v>
      </c>
      <c r="B1466" s="20" t="s">
        <v>48</v>
      </c>
      <c r="C1466" s="14" t="s">
        <v>14</v>
      </c>
      <c r="D1466" s="20" t="s">
        <v>22</v>
      </c>
      <c r="E1466" s="12" t="str">
        <f>IFERROR(__xludf.DUMMYFUNCTION("FILTER(colegios!$B$2:$B5618,colegios!$A$2:$A5618=L1466)"),"14975")</f>
        <v>14975</v>
      </c>
      <c r="F1466" s="14" t="s">
        <v>16</v>
      </c>
      <c r="G1466" s="20" t="s">
        <v>17</v>
      </c>
      <c r="H1466" s="14" t="s">
        <v>18</v>
      </c>
      <c r="I1466" s="22">
        <v>2023.0</v>
      </c>
      <c r="J1466" s="16" t="str">
        <f>IFERROR(__xludf.DUMMYFUNCTION("FILTER('CLASFICACIÓN'!$F$3:$F5618,'CLASFICACIÓN'!$G$3:$G5618=M1466)"),"2023 Y 2024")</f>
        <v>2023 Y 2024</v>
      </c>
      <c r="K1466" s="16"/>
      <c r="L1466" s="14" t="s">
        <v>117</v>
      </c>
      <c r="M1466" s="16" t="str">
        <f t="shared" si="1"/>
        <v>149756 Primaria</v>
      </c>
      <c r="N1466" s="17"/>
      <c r="O1466" s="17"/>
      <c r="P1466" s="17"/>
      <c r="Q1466" s="17"/>
      <c r="R1466" s="17"/>
      <c r="S1466" s="17"/>
      <c r="T1466" s="17"/>
    </row>
    <row r="1467">
      <c r="A1467" s="21">
        <v>270.0</v>
      </c>
      <c r="B1467" s="20" t="s">
        <v>48</v>
      </c>
      <c r="C1467" s="14" t="s">
        <v>14</v>
      </c>
      <c r="D1467" s="20" t="s">
        <v>22</v>
      </c>
      <c r="E1467" s="12" t="str">
        <f>IFERROR(__xludf.DUMMYFUNCTION("FILTER(colegios!$B$2:$B5618,colegios!$A$2:$A5618=L1467)"),"14975")</f>
        <v>14975</v>
      </c>
      <c r="F1467" s="14" t="s">
        <v>16</v>
      </c>
      <c r="G1467" s="20" t="s">
        <v>21</v>
      </c>
      <c r="H1467" s="14" t="s">
        <v>18</v>
      </c>
      <c r="I1467" s="22">
        <v>2023.0</v>
      </c>
      <c r="J1467" s="16" t="str">
        <f>IFERROR(__xludf.DUMMYFUNCTION("FILTER('CLASFICACIÓN'!$F$3:$F5618,'CLASFICACIÓN'!$G$3:$G5618=M1467)"),"2023 Y 2024")</f>
        <v>2023 Y 2024</v>
      </c>
      <c r="K1467" s="16"/>
      <c r="L1467" s="14" t="s">
        <v>117</v>
      </c>
      <c r="M1467" s="16" t="str">
        <f t="shared" si="1"/>
        <v>149756 Primaria</v>
      </c>
      <c r="N1467" s="17"/>
      <c r="O1467" s="17"/>
      <c r="P1467" s="17"/>
      <c r="Q1467" s="17"/>
      <c r="R1467" s="17"/>
      <c r="S1467" s="17"/>
      <c r="T1467" s="17"/>
    </row>
    <row r="1468">
      <c r="A1468" s="21">
        <v>271.0</v>
      </c>
      <c r="B1468" s="20" t="s">
        <v>48</v>
      </c>
      <c r="C1468" s="14" t="s">
        <v>14</v>
      </c>
      <c r="D1468" s="20" t="s">
        <v>22</v>
      </c>
      <c r="E1468" s="12" t="str">
        <f>IFERROR(__xludf.DUMMYFUNCTION("FILTER(colegios!$B$2:$B5618,colegios!$A$2:$A5618=L1468)"),"14975")</f>
        <v>14975</v>
      </c>
      <c r="F1468" s="14" t="s">
        <v>16</v>
      </c>
      <c r="G1468" s="20" t="s">
        <v>17</v>
      </c>
      <c r="H1468" s="14" t="s">
        <v>24</v>
      </c>
      <c r="I1468" s="22">
        <v>2023.0</v>
      </c>
      <c r="J1468" s="16" t="str">
        <f>IFERROR(__xludf.DUMMYFUNCTION("FILTER('CLASFICACIÓN'!$F$3:$F5618,'CLASFICACIÓN'!$G$3:$G5618=M1468)"),"2023 Y 2024")</f>
        <v>2023 Y 2024</v>
      </c>
      <c r="K1468" s="16"/>
      <c r="L1468" s="14" t="s">
        <v>117</v>
      </c>
      <c r="M1468" s="16" t="str">
        <f t="shared" si="1"/>
        <v>149756 Primaria</v>
      </c>
      <c r="N1468" s="17"/>
      <c r="O1468" s="17"/>
      <c r="P1468" s="17"/>
      <c r="Q1468" s="17"/>
      <c r="R1468" s="17"/>
      <c r="S1468" s="17"/>
      <c r="T1468" s="17"/>
    </row>
    <row r="1469">
      <c r="A1469" s="21">
        <v>272.0</v>
      </c>
      <c r="B1469" s="20" t="s">
        <v>48</v>
      </c>
      <c r="C1469" s="14" t="s">
        <v>14</v>
      </c>
      <c r="D1469" s="20" t="s">
        <v>22</v>
      </c>
      <c r="E1469" s="12" t="str">
        <f>IFERROR(__xludf.DUMMYFUNCTION("FILTER(colegios!$B$2:$B5618,colegios!$A$2:$A5618=L1469)"),"14975")</f>
        <v>14975</v>
      </c>
      <c r="F1469" s="14" t="s">
        <v>16</v>
      </c>
      <c r="G1469" s="20" t="s">
        <v>21</v>
      </c>
      <c r="H1469" s="14" t="s">
        <v>18</v>
      </c>
      <c r="I1469" s="22">
        <v>2023.0</v>
      </c>
      <c r="J1469" s="16" t="str">
        <f>IFERROR(__xludf.DUMMYFUNCTION("FILTER('CLASFICACIÓN'!$F$3:$F5618,'CLASFICACIÓN'!$G$3:$G5618=M1469)"),"2023 Y 2024")</f>
        <v>2023 Y 2024</v>
      </c>
      <c r="K1469" s="16"/>
      <c r="L1469" s="14" t="s">
        <v>117</v>
      </c>
      <c r="M1469" s="16" t="str">
        <f t="shared" si="1"/>
        <v>149756 Primaria</v>
      </c>
      <c r="N1469" s="17"/>
      <c r="O1469" s="17"/>
      <c r="P1469" s="17"/>
      <c r="Q1469" s="17"/>
      <c r="R1469" s="17"/>
      <c r="S1469" s="17"/>
      <c r="T1469" s="17"/>
    </row>
    <row r="1470">
      <c r="A1470" s="21">
        <v>273.0</v>
      </c>
      <c r="B1470" s="20" t="s">
        <v>48</v>
      </c>
      <c r="C1470" s="14" t="s">
        <v>14</v>
      </c>
      <c r="D1470" s="20" t="s">
        <v>22</v>
      </c>
      <c r="E1470" s="12" t="str">
        <f>IFERROR(__xludf.DUMMYFUNCTION("FILTER(colegios!$B$2:$B5618,colegios!$A$2:$A5618=L1470)"),"14975")</f>
        <v>14975</v>
      </c>
      <c r="F1470" s="14" t="s">
        <v>16</v>
      </c>
      <c r="G1470" s="20" t="s">
        <v>17</v>
      </c>
      <c r="H1470" s="14" t="s">
        <v>18</v>
      </c>
      <c r="I1470" s="22">
        <v>2023.0</v>
      </c>
      <c r="J1470" s="16" t="str">
        <f>IFERROR(__xludf.DUMMYFUNCTION("FILTER('CLASFICACIÓN'!$F$3:$F5618,'CLASFICACIÓN'!$G$3:$G5618=M1470)"),"2023 Y 2024")</f>
        <v>2023 Y 2024</v>
      </c>
      <c r="K1470" s="16"/>
      <c r="L1470" s="14" t="s">
        <v>117</v>
      </c>
      <c r="M1470" s="16" t="str">
        <f t="shared" si="1"/>
        <v>149756 Primaria</v>
      </c>
      <c r="N1470" s="17"/>
      <c r="O1470" s="17"/>
      <c r="P1470" s="17"/>
      <c r="Q1470" s="17"/>
      <c r="R1470" s="17"/>
      <c r="S1470" s="17"/>
      <c r="T1470" s="17"/>
    </row>
    <row r="1471">
      <c r="A1471" s="21">
        <v>274.0</v>
      </c>
      <c r="B1471" s="20" t="s">
        <v>48</v>
      </c>
      <c r="C1471" s="14" t="s">
        <v>14</v>
      </c>
      <c r="D1471" s="20" t="s">
        <v>22</v>
      </c>
      <c r="E1471" s="12" t="str">
        <f>IFERROR(__xludf.DUMMYFUNCTION("FILTER(colegios!$B$2:$B5618,colegios!$A$2:$A5618=L1471)"),"14975")</f>
        <v>14975</v>
      </c>
      <c r="F1471" s="14" t="s">
        <v>16</v>
      </c>
      <c r="G1471" s="20" t="s">
        <v>21</v>
      </c>
      <c r="H1471" s="14" t="s">
        <v>18</v>
      </c>
      <c r="I1471" s="22">
        <v>2023.0</v>
      </c>
      <c r="J1471" s="16" t="str">
        <f>IFERROR(__xludf.DUMMYFUNCTION("FILTER('CLASFICACIÓN'!$F$3:$F5618,'CLASFICACIÓN'!$G$3:$G5618=M1471)"),"2023 Y 2024")</f>
        <v>2023 Y 2024</v>
      </c>
      <c r="K1471" s="16"/>
      <c r="L1471" s="14" t="s">
        <v>117</v>
      </c>
      <c r="M1471" s="16" t="str">
        <f t="shared" si="1"/>
        <v>149756 Primaria</v>
      </c>
      <c r="N1471" s="17"/>
      <c r="O1471" s="17"/>
      <c r="P1471" s="17"/>
      <c r="Q1471" s="17"/>
      <c r="R1471" s="17"/>
      <c r="S1471" s="17"/>
      <c r="T1471" s="17"/>
    </row>
    <row r="1472">
      <c r="A1472" s="21">
        <v>275.0</v>
      </c>
      <c r="B1472" s="20" t="s">
        <v>48</v>
      </c>
      <c r="C1472" s="14" t="s">
        <v>14</v>
      </c>
      <c r="D1472" s="20" t="s">
        <v>22</v>
      </c>
      <c r="E1472" s="12" t="str">
        <f>IFERROR(__xludf.DUMMYFUNCTION("FILTER(colegios!$B$2:$B5618,colegios!$A$2:$A5618=L1472)"),"14975")</f>
        <v>14975</v>
      </c>
      <c r="F1472" s="14" t="s">
        <v>16</v>
      </c>
      <c r="G1472" s="20" t="s">
        <v>17</v>
      </c>
      <c r="H1472" s="14" t="s">
        <v>24</v>
      </c>
      <c r="I1472" s="22">
        <v>2023.0</v>
      </c>
      <c r="J1472" s="16" t="str">
        <f>IFERROR(__xludf.DUMMYFUNCTION("FILTER('CLASFICACIÓN'!$F$3:$F5618,'CLASFICACIÓN'!$G$3:$G5618=M1472)"),"2023 Y 2024")</f>
        <v>2023 Y 2024</v>
      </c>
      <c r="K1472" s="16"/>
      <c r="L1472" s="14" t="s">
        <v>117</v>
      </c>
      <c r="M1472" s="16" t="str">
        <f t="shared" si="1"/>
        <v>149756 Primaria</v>
      </c>
      <c r="N1472" s="17"/>
      <c r="O1472" s="17"/>
      <c r="P1472" s="17"/>
      <c r="Q1472" s="17"/>
      <c r="R1472" s="17"/>
      <c r="S1472" s="17"/>
      <c r="T1472" s="17"/>
    </row>
    <row r="1473">
      <c r="A1473" s="21">
        <v>276.0</v>
      </c>
      <c r="B1473" s="20" t="s">
        <v>48</v>
      </c>
      <c r="C1473" s="14" t="s">
        <v>14</v>
      </c>
      <c r="D1473" s="20" t="s">
        <v>22</v>
      </c>
      <c r="E1473" s="12" t="str">
        <f>IFERROR(__xludf.DUMMYFUNCTION("FILTER(colegios!$B$2:$B5618,colegios!$A$2:$A5618=L1473)"),"14975")</f>
        <v>14975</v>
      </c>
      <c r="F1473" s="14" t="s">
        <v>16</v>
      </c>
      <c r="G1473" s="20" t="s">
        <v>21</v>
      </c>
      <c r="H1473" s="14" t="s">
        <v>24</v>
      </c>
      <c r="I1473" s="22">
        <v>2023.0</v>
      </c>
      <c r="J1473" s="16" t="str">
        <f>IFERROR(__xludf.DUMMYFUNCTION("FILTER('CLASFICACIÓN'!$F$3:$F5618,'CLASFICACIÓN'!$G$3:$G5618=M1473)"),"2023 Y 2024")</f>
        <v>2023 Y 2024</v>
      </c>
      <c r="K1473" s="16"/>
      <c r="L1473" s="14" t="s">
        <v>117</v>
      </c>
      <c r="M1473" s="16" t="str">
        <f t="shared" si="1"/>
        <v>149756 Primaria</v>
      </c>
      <c r="N1473" s="17"/>
      <c r="O1473" s="17"/>
      <c r="P1473" s="17"/>
      <c r="Q1473" s="17"/>
      <c r="R1473" s="17"/>
      <c r="S1473" s="17"/>
      <c r="T1473" s="17"/>
    </row>
    <row r="1474">
      <c r="A1474" s="21">
        <v>277.0</v>
      </c>
      <c r="B1474" s="20" t="s">
        <v>48</v>
      </c>
      <c r="C1474" s="14" t="s">
        <v>14</v>
      </c>
      <c r="D1474" s="20" t="s">
        <v>22</v>
      </c>
      <c r="E1474" s="12" t="str">
        <f>IFERROR(__xludf.DUMMYFUNCTION("FILTER(colegios!$B$2:$B5618,colegios!$A$2:$A5618=L1474)"),"14975")</f>
        <v>14975</v>
      </c>
      <c r="F1474" s="14" t="s">
        <v>16</v>
      </c>
      <c r="G1474" s="20" t="s">
        <v>21</v>
      </c>
      <c r="H1474" s="14" t="s">
        <v>24</v>
      </c>
      <c r="I1474" s="22">
        <v>2023.0</v>
      </c>
      <c r="J1474" s="16" t="str">
        <f>IFERROR(__xludf.DUMMYFUNCTION("FILTER('CLASFICACIÓN'!$F$3:$F5618,'CLASFICACIÓN'!$G$3:$G5618=M1474)"),"2023 Y 2024")</f>
        <v>2023 Y 2024</v>
      </c>
      <c r="K1474" s="16"/>
      <c r="L1474" s="14" t="s">
        <v>117</v>
      </c>
      <c r="M1474" s="16" t="str">
        <f t="shared" si="1"/>
        <v>149756 Primaria</v>
      </c>
      <c r="N1474" s="17"/>
      <c r="O1474" s="17"/>
      <c r="P1474" s="17"/>
      <c r="Q1474" s="17"/>
      <c r="R1474" s="17"/>
      <c r="S1474" s="17"/>
      <c r="T1474" s="17"/>
    </row>
    <row r="1475">
      <c r="A1475" s="21">
        <v>278.0</v>
      </c>
      <c r="B1475" s="20" t="s">
        <v>48</v>
      </c>
      <c r="C1475" s="14" t="s">
        <v>14</v>
      </c>
      <c r="D1475" s="20" t="s">
        <v>22</v>
      </c>
      <c r="E1475" s="12" t="str">
        <f>IFERROR(__xludf.DUMMYFUNCTION("FILTER(colegios!$B$2:$B5618,colegios!$A$2:$A5618=L1475)"),"14975")</f>
        <v>14975</v>
      </c>
      <c r="F1475" s="14" t="s">
        <v>16</v>
      </c>
      <c r="G1475" s="20" t="s">
        <v>21</v>
      </c>
      <c r="H1475" s="14" t="s">
        <v>18</v>
      </c>
      <c r="I1475" s="22">
        <v>2023.0</v>
      </c>
      <c r="J1475" s="16" t="str">
        <f>IFERROR(__xludf.DUMMYFUNCTION("FILTER('CLASFICACIÓN'!$F$3:$F5618,'CLASFICACIÓN'!$G$3:$G5618=M1475)"),"2023 Y 2024")</f>
        <v>2023 Y 2024</v>
      </c>
      <c r="K1475" s="16"/>
      <c r="L1475" s="14" t="s">
        <v>117</v>
      </c>
      <c r="M1475" s="16" t="str">
        <f t="shared" si="1"/>
        <v>149756 Primaria</v>
      </c>
      <c r="N1475" s="17"/>
      <c r="O1475" s="17"/>
      <c r="P1475" s="17"/>
      <c r="Q1475" s="17"/>
      <c r="R1475" s="17"/>
      <c r="S1475" s="17"/>
      <c r="T1475" s="17"/>
    </row>
    <row r="1476">
      <c r="A1476" s="21">
        <v>279.0</v>
      </c>
      <c r="B1476" s="20" t="s">
        <v>48</v>
      </c>
      <c r="C1476" s="14" t="s">
        <v>14</v>
      </c>
      <c r="D1476" s="20" t="s">
        <v>22</v>
      </c>
      <c r="E1476" s="12" t="str">
        <f>IFERROR(__xludf.DUMMYFUNCTION("FILTER(colegios!$B$2:$B5618,colegios!$A$2:$A5618=L1476)"),"14975")</f>
        <v>14975</v>
      </c>
      <c r="F1476" s="14" t="s">
        <v>16</v>
      </c>
      <c r="G1476" s="20" t="s">
        <v>21</v>
      </c>
      <c r="H1476" s="14" t="s">
        <v>18</v>
      </c>
      <c r="I1476" s="22">
        <v>2023.0</v>
      </c>
      <c r="J1476" s="16" t="str">
        <f>IFERROR(__xludf.DUMMYFUNCTION("FILTER('CLASFICACIÓN'!$F$3:$F5618,'CLASFICACIÓN'!$G$3:$G5618=M1476)"),"2023 Y 2024")</f>
        <v>2023 Y 2024</v>
      </c>
      <c r="K1476" s="16"/>
      <c r="L1476" s="14" t="s">
        <v>117</v>
      </c>
      <c r="M1476" s="16" t="str">
        <f t="shared" si="1"/>
        <v>149756 Primaria</v>
      </c>
      <c r="N1476" s="17"/>
      <c r="O1476" s="17"/>
      <c r="P1476" s="17"/>
      <c r="Q1476" s="17"/>
      <c r="R1476" s="17"/>
      <c r="S1476" s="17"/>
      <c r="T1476" s="17"/>
    </row>
    <row r="1477">
      <c r="A1477" s="21">
        <v>280.0</v>
      </c>
      <c r="B1477" s="20" t="s">
        <v>48</v>
      </c>
      <c r="C1477" s="14" t="s">
        <v>14</v>
      </c>
      <c r="D1477" s="20" t="s">
        <v>22</v>
      </c>
      <c r="E1477" s="12" t="str">
        <f>IFERROR(__xludf.DUMMYFUNCTION("FILTER(colegios!$B$2:$B5618,colegios!$A$2:$A5618=L1477)"),"14975")</f>
        <v>14975</v>
      </c>
      <c r="F1477" s="14" t="s">
        <v>16</v>
      </c>
      <c r="G1477" s="20" t="s">
        <v>21</v>
      </c>
      <c r="H1477" s="14" t="s">
        <v>18</v>
      </c>
      <c r="I1477" s="22">
        <v>2023.0</v>
      </c>
      <c r="J1477" s="16" t="str">
        <f>IFERROR(__xludf.DUMMYFUNCTION("FILTER('CLASFICACIÓN'!$F$3:$F5618,'CLASFICACIÓN'!$G$3:$G5618=M1477)"),"2023 Y 2024")</f>
        <v>2023 Y 2024</v>
      </c>
      <c r="K1477" s="16"/>
      <c r="L1477" s="14" t="s">
        <v>117</v>
      </c>
      <c r="M1477" s="16" t="str">
        <f t="shared" si="1"/>
        <v>149756 Primaria</v>
      </c>
      <c r="N1477" s="17"/>
      <c r="O1477" s="17"/>
      <c r="P1477" s="17"/>
      <c r="Q1477" s="17"/>
      <c r="R1477" s="17"/>
      <c r="S1477" s="17"/>
      <c r="T1477" s="17"/>
    </row>
    <row r="1478">
      <c r="A1478" s="21">
        <v>281.0</v>
      </c>
      <c r="B1478" s="20" t="s">
        <v>48</v>
      </c>
      <c r="C1478" s="14" t="s">
        <v>14</v>
      </c>
      <c r="D1478" s="20" t="s">
        <v>22</v>
      </c>
      <c r="E1478" s="12" t="str">
        <f>IFERROR(__xludf.DUMMYFUNCTION("FILTER(colegios!$B$2:$B5618,colegios!$A$2:$A5618=L1478)"),"14975")</f>
        <v>14975</v>
      </c>
      <c r="F1478" s="14" t="s">
        <v>16</v>
      </c>
      <c r="G1478" s="20" t="s">
        <v>17</v>
      </c>
      <c r="H1478" s="14" t="s">
        <v>24</v>
      </c>
      <c r="I1478" s="22">
        <v>2023.0</v>
      </c>
      <c r="J1478" s="16" t="str">
        <f>IFERROR(__xludf.DUMMYFUNCTION("FILTER('CLASFICACIÓN'!$F$3:$F5618,'CLASFICACIÓN'!$G$3:$G5618=M1478)"),"2023 Y 2024")</f>
        <v>2023 Y 2024</v>
      </c>
      <c r="K1478" s="16"/>
      <c r="L1478" s="14" t="s">
        <v>117</v>
      </c>
      <c r="M1478" s="16" t="str">
        <f t="shared" si="1"/>
        <v>149756 Primaria</v>
      </c>
      <c r="N1478" s="17"/>
      <c r="O1478" s="17"/>
      <c r="P1478" s="17"/>
      <c r="Q1478" s="17"/>
      <c r="R1478" s="17"/>
      <c r="S1478" s="17"/>
      <c r="T1478" s="17"/>
    </row>
    <row r="1479">
      <c r="A1479" s="21">
        <v>282.0</v>
      </c>
      <c r="B1479" s="20" t="s">
        <v>48</v>
      </c>
      <c r="C1479" s="14" t="s">
        <v>14</v>
      </c>
      <c r="D1479" s="20" t="s">
        <v>22</v>
      </c>
      <c r="E1479" s="12" t="str">
        <f>IFERROR(__xludf.DUMMYFUNCTION("FILTER(colegios!$B$2:$B5618,colegios!$A$2:$A5618=L1479)"),"14975")</f>
        <v>14975</v>
      </c>
      <c r="F1479" s="14" t="s">
        <v>16</v>
      </c>
      <c r="G1479" s="20" t="s">
        <v>17</v>
      </c>
      <c r="H1479" s="14" t="s">
        <v>24</v>
      </c>
      <c r="I1479" s="22">
        <v>2023.0</v>
      </c>
      <c r="J1479" s="16" t="str">
        <f>IFERROR(__xludf.DUMMYFUNCTION("FILTER('CLASFICACIÓN'!$F$3:$F5618,'CLASFICACIÓN'!$G$3:$G5618=M1479)"),"2023 Y 2024")</f>
        <v>2023 Y 2024</v>
      </c>
      <c r="K1479" s="16"/>
      <c r="L1479" s="14" t="s">
        <v>117</v>
      </c>
      <c r="M1479" s="16" t="str">
        <f t="shared" si="1"/>
        <v>149756 Primaria</v>
      </c>
      <c r="N1479" s="17"/>
      <c r="O1479" s="17"/>
      <c r="P1479" s="17"/>
      <c r="Q1479" s="17"/>
      <c r="R1479" s="17"/>
      <c r="S1479" s="17"/>
      <c r="T1479" s="17"/>
    </row>
    <row r="1480">
      <c r="A1480" s="21">
        <v>283.0</v>
      </c>
      <c r="B1480" s="20" t="s">
        <v>48</v>
      </c>
      <c r="C1480" s="14" t="s">
        <v>14</v>
      </c>
      <c r="D1480" s="20" t="s">
        <v>22</v>
      </c>
      <c r="E1480" s="12" t="str">
        <f>IFERROR(__xludf.DUMMYFUNCTION("FILTER(colegios!$B$2:$B5618,colegios!$A$2:$A5618=L1480)"),"14975")</f>
        <v>14975</v>
      </c>
      <c r="F1480" s="14" t="s">
        <v>16</v>
      </c>
      <c r="G1480" s="20" t="s">
        <v>21</v>
      </c>
      <c r="H1480" s="14" t="s">
        <v>24</v>
      </c>
      <c r="I1480" s="22">
        <v>2023.0</v>
      </c>
      <c r="J1480" s="16" t="str">
        <f>IFERROR(__xludf.DUMMYFUNCTION("FILTER('CLASFICACIÓN'!$F$3:$F5618,'CLASFICACIÓN'!$G$3:$G5618=M1480)"),"2023 Y 2024")</f>
        <v>2023 Y 2024</v>
      </c>
      <c r="K1480" s="16"/>
      <c r="L1480" s="14" t="s">
        <v>117</v>
      </c>
      <c r="M1480" s="16" t="str">
        <f t="shared" si="1"/>
        <v>149756 Primaria</v>
      </c>
      <c r="N1480" s="17"/>
      <c r="O1480" s="17"/>
      <c r="P1480" s="17"/>
      <c r="Q1480" s="17"/>
      <c r="R1480" s="17"/>
      <c r="S1480" s="17"/>
      <c r="T1480" s="17"/>
    </row>
    <row r="1481">
      <c r="A1481" s="21">
        <v>284.0</v>
      </c>
      <c r="B1481" s="20" t="s">
        <v>48</v>
      </c>
      <c r="C1481" s="14" t="s">
        <v>14</v>
      </c>
      <c r="D1481" s="20" t="s">
        <v>22</v>
      </c>
      <c r="E1481" s="12" t="str">
        <f>IFERROR(__xludf.DUMMYFUNCTION("FILTER(colegios!$B$2:$B5618,colegios!$A$2:$A5618=L1481)"),"14975")</f>
        <v>14975</v>
      </c>
      <c r="F1481" s="14" t="s">
        <v>16</v>
      </c>
      <c r="G1481" s="20" t="s">
        <v>17</v>
      </c>
      <c r="H1481" s="14" t="s">
        <v>24</v>
      </c>
      <c r="I1481" s="22">
        <v>2023.0</v>
      </c>
      <c r="J1481" s="16" t="str">
        <f>IFERROR(__xludf.DUMMYFUNCTION("FILTER('CLASFICACIÓN'!$F$3:$F5618,'CLASFICACIÓN'!$G$3:$G5618=M1481)"),"2023 Y 2024")</f>
        <v>2023 Y 2024</v>
      </c>
      <c r="K1481" s="16"/>
      <c r="L1481" s="14" t="s">
        <v>117</v>
      </c>
      <c r="M1481" s="16" t="str">
        <f t="shared" si="1"/>
        <v>149756 Primaria</v>
      </c>
      <c r="N1481" s="17"/>
      <c r="O1481" s="17"/>
      <c r="P1481" s="17"/>
      <c r="Q1481" s="17"/>
      <c r="R1481" s="17"/>
      <c r="S1481" s="17"/>
      <c r="T1481" s="17"/>
    </row>
    <row r="1482">
      <c r="A1482" s="21">
        <v>285.0</v>
      </c>
      <c r="B1482" s="20" t="s">
        <v>48</v>
      </c>
      <c r="C1482" s="14" t="s">
        <v>14</v>
      </c>
      <c r="D1482" s="20" t="s">
        <v>22</v>
      </c>
      <c r="E1482" s="12" t="str">
        <f>IFERROR(__xludf.DUMMYFUNCTION("FILTER(colegios!$B$2:$B5618,colegios!$A$2:$A5618=L1482)"),"14975")</f>
        <v>14975</v>
      </c>
      <c r="F1482" s="14" t="s">
        <v>16</v>
      </c>
      <c r="G1482" s="20" t="s">
        <v>21</v>
      </c>
      <c r="H1482" s="14" t="s">
        <v>18</v>
      </c>
      <c r="I1482" s="22">
        <v>2023.0</v>
      </c>
      <c r="J1482" s="16" t="str">
        <f>IFERROR(__xludf.DUMMYFUNCTION("FILTER('CLASFICACIÓN'!$F$3:$F5618,'CLASFICACIÓN'!$G$3:$G5618=M1482)"),"2023 Y 2024")</f>
        <v>2023 Y 2024</v>
      </c>
      <c r="K1482" s="16"/>
      <c r="L1482" s="14" t="s">
        <v>117</v>
      </c>
      <c r="M1482" s="16" t="str">
        <f t="shared" si="1"/>
        <v>149756 Primaria</v>
      </c>
      <c r="N1482" s="17"/>
      <c r="O1482" s="17"/>
      <c r="P1482" s="17"/>
      <c r="Q1482" s="17"/>
      <c r="R1482" s="17"/>
      <c r="S1482" s="17"/>
      <c r="T1482" s="17"/>
    </row>
    <row r="1483">
      <c r="A1483" s="21">
        <v>286.0</v>
      </c>
      <c r="B1483" s="20" t="s">
        <v>48</v>
      </c>
      <c r="C1483" s="14" t="s">
        <v>14</v>
      </c>
      <c r="D1483" s="20" t="s">
        <v>22</v>
      </c>
      <c r="E1483" s="12" t="str">
        <f>IFERROR(__xludf.DUMMYFUNCTION("FILTER(colegios!$B$2:$B5618,colegios!$A$2:$A5618=L1483)"),"14975")</f>
        <v>14975</v>
      </c>
      <c r="F1483" s="14" t="s">
        <v>16</v>
      </c>
      <c r="G1483" s="20" t="s">
        <v>17</v>
      </c>
      <c r="H1483" s="14" t="s">
        <v>24</v>
      </c>
      <c r="I1483" s="22">
        <v>2023.0</v>
      </c>
      <c r="J1483" s="16" t="str">
        <f>IFERROR(__xludf.DUMMYFUNCTION("FILTER('CLASFICACIÓN'!$F$3:$F5618,'CLASFICACIÓN'!$G$3:$G5618=M1483)"),"2023 Y 2024")</f>
        <v>2023 Y 2024</v>
      </c>
      <c r="K1483" s="16"/>
      <c r="L1483" s="14" t="s">
        <v>117</v>
      </c>
      <c r="M1483" s="16" t="str">
        <f t="shared" si="1"/>
        <v>149756 Primaria</v>
      </c>
      <c r="N1483" s="17"/>
      <c r="O1483" s="17"/>
      <c r="P1483" s="17"/>
      <c r="Q1483" s="17"/>
      <c r="R1483" s="17"/>
      <c r="S1483" s="17"/>
      <c r="T1483" s="17"/>
    </row>
    <row r="1484">
      <c r="A1484" s="21">
        <v>287.0</v>
      </c>
      <c r="B1484" s="20" t="s">
        <v>48</v>
      </c>
      <c r="C1484" s="14" t="s">
        <v>14</v>
      </c>
      <c r="D1484" s="20" t="s">
        <v>22</v>
      </c>
      <c r="E1484" s="12" t="str">
        <f>IFERROR(__xludf.DUMMYFUNCTION("FILTER(colegios!$B$2:$B5618,colegios!$A$2:$A5618=L1484)"),"14975")</f>
        <v>14975</v>
      </c>
      <c r="F1484" s="14" t="s">
        <v>16</v>
      </c>
      <c r="G1484" s="20" t="s">
        <v>21</v>
      </c>
      <c r="H1484" s="14" t="s">
        <v>24</v>
      </c>
      <c r="I1484" s="22">
        <v>2023.0</v>
      </c>
      <c r="J1484" s="16" t="str">
        <f>IFERROR(__xludf.DUMMYFUNCTION("FILTER('CLASFICACIÓN'!$F$3:$F5618,'CLASFICACIÓN'!$G$3:$G5618=M1484)"),"2023 Y 2024")</f>
        <v>2023 Y 2024</v>
      </c>
      <c r="K1484" s="16"/>
      <c r="L1484" s="14" t="s">
        <v>117</v>
      </c>
      <c r="M1484" s="16" t="str">
        <f t="shared" si="1"/>
        <v>149756 Primaria</v>
      </c>
      <c r="N1484" s="17"/>
      <c r="O1484" s="17"/>
      <c r="P1484" s="17"/>
      <c r="Q1484" s="17"/>
      <c r="R1484" s="17"/>
      <c r="S1484" s="17"/>
      <c r="T1484" s="17"/>
    </row>
    <row r="1485">
      <c r="A1485" s="21">
        <v>288.0</v>
      </c>
      <c r="B1485" s="20" t="s">
        <v>48</v>
      </c>
      <c r="C1485" s="14" t="s">
        <v>14</v>
      </c>
      <c r="D1485" s="20" t="s">
        <v>15</v>
      </c>
      <c r="E1485" s="12" t="str">
        <f>IFERROR(__xludf.DUMMYFUNCTION("FILTER(colegios!$B$2:$B5618,colegios!$A$2:$A5618=L1485)"),"15219")</f>
        <v>15219</v>
      </c>
      <c r="F1485" s="14" t="s">
        <v>16</v>
      </c>
      <c r="G1485" s="20" t="s">
        <v>17</v>
      </c>
      <c r="H1485" s="14" t="s">
        <v>24</v>
      </c>
      <c r="I1485" s="22">
        <v>2023.0</v>
      </c>
      <c r="J1485" s="16" t="str">
        <f>IFERROR(__xludf.DUMMYFUNCTION("FILTER('CLASFICACIÓN'!$F$3:$F5618,'CLASFICACIÓN'!$G$3:$G5618=M1485)"),"2023 Y 2024")</f>
        <v>2023 Y 2024</v>
      </c>
      <c r="K1485" s="16"/>
      <c r="L1485" s="14" t="s">
        <v>118</v>
      </c>
      <c r="M1485" s="16" t="str">
        <f t="shared" si="1"/>
        <v>152192 Primaria</v>
      </c>
      <c r="N1485" s="17"/>
      <c r="O1485" s="17"/>
      <c r="P1485" s="17"/>
      <c r="Q1485" s="17"/>
      <c r="R1485" s="17"/>
      <c r="S1485" s="17"/>
      <c r="T1485" s="17"/>
    </row>
    <row r="1486">
      <c r="A1486" s="21">
        <v>289.0</v>
      </c>
      <c r="B1486" s="20" t="s">
        <v>48</v>
      </c>
      <c r="C1486" s="14" t="s">
        <v>14</v>
      </c>
      <c r="D1486" s="20" t="s">
        <v>20</v>
      </c>
      <c r="E1486" s="12" t="str">
        <f>IFERROR(__xludf.DUMMYFUNCTION("FILTER(colegios!$B$2:$B5618,colegios!$A$2:$A5618=L1486)"),"15219")</f>
        <v>15219</v>
      </c>
      <c r="F1486" s="14" t="s">
        <v>16</v>
      </c>
      <c r="G1486" s="20" t="s">
        <v>17</v>
      </c>
      <c r="H1486" s="14" t="s">
        <v>18</v>
      </c>
      <c r="I1486" s="22">
        <v>2023.0</v>
      </c>
      <c r="J1486" s="16" t="str">
        <f>IFERROR(__xludf.DUMMYFUNCTION("FILTER('CLASFICACIÓN'!$F$3:$F5618,'CLASFICACIÓN'!$G$3:$G5618=M1486)"),"SOLO 2023")</f>
        <v>SOLO 2023</v>
      </c>
      <c r="K1486" s="16"/>
      <c r="L1486" s="14" t="s">
        <v>118</v>
      </c>
      <c r="M1486" s="16" t="str">
        <f t="shared" si="1"/>
        <v>152194 Primaria</v>
      </c>
      <c r="N1486" s="17"/>
      <c r="O1486" s="17"/>
      <c r="P1486" s="17"/>
      <c r="Q1486" s="17"/>
      <c r="R1486" s="17"/>
      <c r="S1486" s="17"/>
      <c r="T1486" s="17"/>
    </row>
    <row r="1487">
      <c r="A1487" s="21">
        <v>290.0</v>
      </c>
      <c r="B1487" s="20" t="s">
        <v>48</v>
      </c>
      <c r="C1487" s="14" t="s">
        <v>14</v>
      </c>
      <c r="D1487" s="20" t="s">
        <v>20</v>
      </c>
      <c r="E1487" s="12" t="str">
        <f>IFERROR(__xludf.DUMMYFUNCTION("FILTER(colegios!$B$2:$B5618,colegios!$A$2:$A5618=L1487)"),"15219")</f>
        <v>15219</v>
      </c>
      <c r="F1487" s="14" t="s">
        <v>16</v>
      </c>
      <c r="G1487" s="20" t="s">
        <v>17</v>
      </c>
      <c r="H1487" s="14" t="s">
        <v>18</v>
      </c>
      <c r="I1487" s="22">
        <v>2023.0</v>
      </c>
      <c r="J1487" s="16" t="str">
        <f>IFERROR(__xludf.DUMMYFUNCTION("FILTER('CLASFICACIÓN'!$F$3:$F5618,'CLASFICACIÓN'!$G$3:$G5618=M1487)"),"SOLO 2023")</f>
        <v>SOLO 2023</v>
      </c>
      <c r="K1487" s="16"/>
      <c r="L1487" s="14" t="s">
        <v>118</v>
      </c>
      <c r="M1487" s="16" t="str">
        <f t="shared" si="1"/>
        <v>152194 Primaria</v>
      </c>
      <c r="N1487" s="17"/>
      <c r="O1487" s="17"/>
      <c r="P1487" s="17"/>
      <c r="Q1487" s="17"/>
      <c r="R1487" s="17"/>
      <c r="S1487" s="17"/>
      <c r="T1487" s="17"/>
    </row>
    <row r="1488">
      <c r="A1488" s="21">
        <v>291.0</v>
      </c>
      <c r="B1488" s="20" t="s">
        <v>48</v>
      </c>
      <c r="C1488" s="14" t="s">
        <v>14</v>
      </c>
      <c r="D1488" s="20" t="s">
        <v>20</v>
      </c>
      <c r="E1488" s="12" t="str">
        <f>IFERROR(__xludf.DUMMYFUNCTION("FILTER(colegios!$B$2:$B5618,colegios!$A$2:$A5618=L1488)"),"15219")</f>
        <v>15219</v>
      </c>
      <c r="F1488" s="14" t="s">
        <v>16</v>
      </c>
      <c r="G1488" s="20" t="s">
        <v>21</v>
      </c>
      <c r="H1488" s="14" t="s">
        <v>24</v>
      </c>
      <c r="I1488" s="22">
        <v>2023.0</v>
      </c>
      <c r="J1488" s="16" t="str">
        <f>IFERROR(__xludf.DUMMYFUNCTION("FILTER('CLASFICACIÓN'!$F$3:$F5618,'CLASFICACIÓN'!$G$3:$G5618=M1488)"),"SOLO 2023")</f>
        <v>SOLO 2023</v>
      </c>
      <c r="K1488" s="16"/>
      <c r="L1488" s="14" t="s">
        <v>118</v>
      </c>
      <c r="M1488" s="16" t="str">
        <f t="shared" si="1"/>
        <v>152194 Primaria</v>
      </c>
      <c r="N1488" s="17"/>
      <c r="O1488" s="17"/>
      <c r="P1488" s="17"/>
      <c r="Q1488" s="17"/>
      <c r="R1488" s="17"/>
      <c r="S1488" s="17"/>
      <c r="T1488" s="17"/>
    </row>
    <row r="1489">
      <c r="A1489" s="21">
        <v>292.0</v>
      </c>
      <c r="B1489" s="20" t="s">
        <v>48</v>
      </c>
      <c r="C1489" s="14" t="s">
        <v>14</v>
      </c>
      <c r="D1489" s="20" t="s">
        <v>22</v>
      </c>
      <c r="E1489" s="12" t="str">
        <f>IFERROR(__xludf.DUMMYFUNCTION("FILTER(colegios!$B$2:$B5618,colegios!$A$2:$A5618=L1489)"),"15219")</f>
        <v>15219</v>
      </c>
      <c r="F1489" s="14" t="s">
        <v>16</v>
      </c>
      <c r="G1489" s="20" t="s">
        <v>17</v>
      </c>
      <c r="H1489" s="14" t="s">
        <v>18</v>
      </c>
      <c r="I1489" s="22">
        <v>2023.0</v>
      </c>
      <c r="J1489" s="16" t="str">
        <f>IFERROR(__xludf.DUMMYFUNCTION("FILTER('CLASFICACIÓN'!$F$3:$F5618,'CLASFICACIÓN'!$G$3:$G5618=M1489)"),"2023 Y 2024")</f>
        <v>2023 Y 2024</v>
      </c>
      <c r="K1489" s="16"/>
      <c r="L1489" s="14" t="s">
        <v>118</v>
      </c>
      <c r="M1489" s="16" t="str">
        <f t="shared" si="1"/>
        <v>152196 Primaria</v>
      </c>
      <c r="N1489" s="17"/>
      <c r="O1489" s="17"/>
      <c r="P1489" s="17"/>
      <c r="Q1489" s="17"/>
      <c r="R1489" s="17"/>
      <c r="S1489" s="17"/>
      <c r="T1489" s="17"/>
    </row>
    <row r="1490">
      <c r="A1490" s="21">
        <v>293.0</v>
      </c>
      <c r="B1490" s="20" t="s">
        <v>48</v>
      </c>
      <c r="C1490" s="14" t="s">
        <v>14</v>
      </c>
      <c r="D1490" s="20" t="s">
        <v>15</v>
      </c>
      <c r="E1490" s="12" t="str">
        <f>IFERROR(__xludf.DUMMYFUNCTION("FILTER(colegios!$B$2:$B5618,colegios!$A$2:$A5618=L1490)"),"15478")</f>
        <v>15478</v>
      </c>
      <c r="F1490" s="14" t="s">
        <v>16</v>
      </c>
      <c r="G1490" s="20" t="s">
        <v>17</v>
      </c>
      <c r="H1490" s="14" t="s">
        <v>24</v>
      </c>
      <c r="I1490" s="22">
        <v>2023.0</v>
      </c>
      <c r="J1490" s="16" t="str">
        <f>IFERROR(__xludf.DUMMYFUNCTION("FILTER('CLASFICACIÓN'!$F$3:$F5618,'CLASFICACIÓN'!$G$3:$G5618=M1490)"),"2023 Y 2024")</f>
        <v>2023 Y 2024</v>
      </c>
      <c r="K1490" s="16"/>
      <c r="L1490" s="14" t="s">
        <v>119</v>
      </c>
      <c r="M1490" s="16" t="str">
        <f t="shared" si="1"/>
        <v>154782 Primaria</v>
      </c>
      <c r="N1490" s="17"/>
      <c r="O1490" s="17"/>
      <c r="P1490" s="17"/>
      <c r="Q1490" s="17"/>
      <c r="R1490" s="17"/>
      <c r="S1490" s="17"/>
      <c r="T1490" s="17"/>
    </row>
    <row r="1491">
      <c r="A1491" s="21">
        <v>294.0</v>
      </c>
      <c r="B1491" s="20" t="s">
        <v>48</v>
      </c>
      <c r="C1491" s="14" t="s">
        <v>14</v>
      </c>
      <c r="D1491" s="20" t="s">
        <v>20</v>
      </c>
      <c r="E1491" s="12" t="str">
        <f>IFERROR(__xludf.DUMMYFUNCTION("FILTER(colegios!$B$2:$B5618,colegios!$A$2:$A5618=L1491)"),"15478")</f>
        <v>15478</v>
      </c>
      <c r="F1491" s="14" t="s">
        <v>16</v>
      </c>
      <c r="G1491" s="20" t="s">
        <v>21</v>
      </c>
      <c r="H1491" s="14" t="s">
        <v>24</v>
      </c>
      <c r="I1491" s="22">
        <v>2023.0</v>
      </c>
      <c r="J1491" s="16" t="str">
        <f>IFERROR(__xludf.DUMMYFUNCTION("FILTER('CLASFICACIÓN'!$F$3:$F5618,'CLASFICACIÓN'!$G$3:$G5618=M1491)"),"2023 Y 2024")</f>
        <v>2023 Y 2024</v>
      </c>
      <c r="K1491" s="16"/>
      <c r="L1491" s="14" t="s">
        <v>119</v>
      </c>
      <c r="M1491" s="16" t="str">
        <f t="shared" si="1"/>
        <v>154784 Primaria</v>
      </c>
      <c r="N1491" s="17"/>
      <c r="O1491" s="17"/>
      <c r="P1491" s="17"/>
      <c r="Q1491" s="17"/>
      <c r="R1491" s="17"/>
      <c r="S1491" s="17"/>
      <c r="T1491" s="17"/>
    </row>
    <row r="1492">
      <c r="A1492" s="21">
        <v>295.0</v>
      </c>
      <c r="B1492" s="20" t="s">
        <v>48</v>
      </c>
      <c r="C1492" s="14" t="s">
        <v>14</v>
      </c>
      <c r="D1492" s="20" t="s">
        <v>22</v>
      </c>
      <c r="E1492" s="12" t="str">
        <f>IFERROR(__xludf.DUMMYFUNCTION("FILTER(colegios!$B$2:$B5618,colegios!$A$2:$A5618=L1492)"),"15478")</f>
        <v>15478</v>
      </c>
      <c r="F1492" s="14" t="s">
        <v>16</v>
      </c>
      <c r="G1492" s="20" t="s">
        <v>21</v>
      </c>
      <c r="H1492" s="14" t="s">
        <v>24</v>
      </c>
      <c r="I1492" s="22">
        <v>2023.0</v>
      </c>
      <c r="J1492" s="16" t="str">
        <f>IFERROR(__xludf.DUMMYFUNCTION("FILTER('CLASFICACIÓN'!$F$3:$F5618,'CLASFICACIÓN'!$G$3:$G5618=M1492)"),"2023 Y 2024")</f>
        <v>2023 Y 2024</v>
      </c>
      <c r="K1492" s="16"/>
      <c r="L1492" s="14" t="s">
        <v>119</v>
      </c>
      <c r="M1492" s="16" t="str">
        <f t="shared" si="1"/>
        <v>154786 Primaria</v>
      </c>
      <c r="N1492" s="17"/>
      <c r="O1492" s="17"/>
      <c r="P1492" s="17"/>
      <c r="Q1492" s="17"/>
      <c r="R1492" s="17"/>
      <c r="S1492" s="17"/>
      <c r="T1492" s="17"/>
    </row>
    <row r="1493">
      <c r="A1493" s="21">
        <v>296.0</v>
      </c>
      <c r="B1493" s="20" t="s">
        <v>48</v>
      </c>
      <c r="C1493" s="14" t="s">
        <v>14</v>
      </c>
      <c r="D1493" s="20" t="s">
        <v>22</v>
      </c>
      <c r="E1493" s="12" t="str">
        <f>IFERROR(__xludf.DUMMYFUNCTION("FILTER(colegios!$B$2:$B5618,colegios!$A$2:$A5618=L1493)"),"15478")</f>
        <v>15478</v>
      </c>
      <c r="F1493" s="14" t="s">
        <v>16</v>
      </c>
      <c r="G1493" s="20" t="s">
        <v>21</v>
      </c>
      <c r="H1493" s="14" t="s">
        <v>18</v>
      </c>
      <c r="I1493" s="22">
        <v>2023.0</v>
      </c>
      <c r="J1493" s="16" t="str">
        <f>IFERROR(__xludf.DUMMYFUNCTION("FILTER('CLASFICACIÓN'!$F$3:$F5618,'CLASFICACIÓN'!$G$3:$G5618=M1493)"),"2023 Y 2024")</f>
        <v>2023 Y 2024</v>
      </c>
      <c r="K1493" s="16"/>
      <c r="L1493" s="14" t="s">
        <v>119</v>
      </c>
      <c r="M1493" s="16" t="str">
        <f t="shared" si="1"/>
        <v>154786 Primaria</v>
      </c>
      <c r="N1493" s="17"/>
      <c r="O1493" s="17"/>
      <c r="P1493" s="17"/>
      <c r="Q1493" s="17"/>
      <c r="R1493" s="17"/>
      <c r="S1493" s="17"/>
      <c r="T1493" s="17"/>
    </row>
    <row r="1494">
      <c r="A1494" s="21">
        <v>297.0</v>
      </c>
      <c r="B1494" s="20" t="s">
        <v>48</v>
      </c>
      <c r="C1494" s="14" t="s">
        <v>14</v>
      </c>
      <c r="D1494" s="20" t="s">
        <v>15</v>
      </c>
      <c r="E1494" s="12" t="str">
        <f>IFERROR(__xludf.DUMMYFUNCTION("FILTER(colegios!$B$2:$B5618,colegios!$A$2:$A5618=L1494)"),"15383")</f>
        <v>15383</v>
      </c>
      <c r="F1494" s="14" t="s">
        <v>16</v>
      </c>
      <c r="G1494" s="20" t="s">
        <v>17</v>
      </c>
      <c r="H1494" s="14" t="s">
        <v>18</v>
      </c>
      <c r="I1494" s="22">
        <v>2023.0</v>
      </c>
      <c r="J1494" s="16" t="str">
        <f>IFERROR(__xludf.DUMMYFUNCTION("FILTER('CLASFICACIÓN'!$F$3:$F5618,'CLASFICACIÓN'!$G$3:$G5618=M1494)"),"SOLO 2023")</f>
        <v>SOLO 2023</v>
      </c>
      <c r="K1494" s="16"/>
      <c r="L1494" s="14" t="s">
        <v>120</v>
      </c>
      <c r="M1494" s="16" t="str">
        <f t="shared" si="1"/>
        <v>153832 Primaria</v>
      </c>
      <c r="N1494" s="17"/>
      <c r="O1494" s="17"/>
      <c r="P1494" s="17"/>
      <c r="Q1494" s="17"/>
      <c r="R1494" s="17"/>
      <c r="S1494" s="17"/>
      <c r="T1494" s="17"/>
    </row>
    <row r="1495">
      <c r="A1495" s="21">
        <v>298.0</v>
      </c>
      <c r="B1495" s="20" t="s">
        <v>48</v>
      </c>
      <c r="C1495" s="14" t="s">
        <v>14</v>
      </c>
      <c r="D1495" s="20" t="s">
        <v>20</v>
      </c>
      <c r="E1495" s="12" t="str">
        <f>IFERROR(__xludf.DUMMYFUNCTION("FILTER(colegios!$B$2:$B5618,colegios!$A$2:$A5618=L1495)"),"15383")</f>
        <v>15383</v>
      </c>
      <c r="F1495" s="14" t="s">
        <v>16</v>
      </c>
      <c r="G1495" s="20" t="s">
        <v>17</v>
      </c>
      <c r="H1495" s="14" t="s">
        <v>24</v>
      </c>
      <c r="I1495" s="22">
        <v>2023.0</v>
      </c>
      <c r="J1495" s="16" t="str">
        <f>IFERROR(__xludf.DUMMYFUNCTION("FILTER('CLASFICACIÓN'!$F$3:$F5618,'CLASFICACIÓN'!$G$3:$G5618=M1495)"),"2023 Y 2024")</f>
        <v>2023 Y 2024</v>
      </c>
      <c r="K1495" s="16"/>
      <c r="L1495" s="14" t="s">
        <v>120</v>
      </c>
      <c r="M1495" s="16" t="str">
        <f t="shared" si="1"/>
        <v>153834 Primaria</v>
      </c>
      <c r="N1495" s="17"/>
      <c r="O1495" s="17"/>
      <c r="P1495" s="17"/>
      <c r="Q1495" s="17"/>
      <c r="R1495" s="17"/>
      <c r="S1495" s="17"/>
      <c r="T1495" s="17"/>
    </row>
    <row r="1496">
      <c r="A1496" s="21">
        <v>299.0</v>
      </c>
      <c r="B1496" s="20" t="s">
        <v>48</v>
      </c>
      <c r="C1496" s="14" t="s">
        <v>14</v>
      </c>
      <c r="D1496" s="20" t="s">
        <v>20</v>
      </c>
      <c r="E1496" s="12" t="str">
        <f>IFERROR(__xludf.DUMMYFUNCTION("FILTER(colegios!$B$2:$B5618,colegios!$A$2:$A5618=L1496)"),"15383")</f>
        <v>15383</v>
      </c>
      <c r="F1496" s="14" t="s">
        <v>16</v>
      </c>
      <c r="G1496" s="20" t="s">
        <v>21</v>
      </c>
      <c r="H1496" s="14" t="s">
        <v>32</v>
      </c>
      <c r="I1496" s="22">
        <v>2023.0</v>
      </c>
      <c r="J1496" s="16" t="str">
        <f>IFERROR(__xludf.DUMMYFUNCTION("FILTER('CLASFICACIÓN'!$F$3:$F5618,'CLASFICACIÓN'!$G$3:$G5618=M1496)"),"2023 Y 2024")</f>
        <v>2023 Y 2024</v>
      </c>
      <c r="K1496" s="16"/>
      <c r="L1496" s="14" t="s">
        <v>120</v>
      </c>
      <c r="M1496" s="16" t="str">
        <f t="shared" si="1"/>
        <v>153834 Primaria</v>
      </c>
      <c r="N1496" s="17"/>
      <c r="O1496" s="17"/>
      <c r="P1496" s="17"/>
      <c r="Q1496" s="17"/>
      <c r="R1496" s="17"/>
      <c r="S1496" s="17"/>
      <c r="T1496" s="17"/>
    </row>
    <row r="1497">
      <c r="A1497" s="21">
        <v>300.0</v>
      </c>
      <c r="B1497" s="20" t="s">
        <v>48</v>
      </c>
      <c r="C1497" s="14" t="s">
        <v>14</v>
      </c>
      <c r="D1497" s="20" t="s">
        <v>20</v>
      </c>
      <c r="E1497" s="12" t="str">
        <f>IFERROR(__xludf.DUMMYFUNCTION("FILTER(colegios!$B$2:$B5618,colegios!$A$2:$A5618=L1497)"),"15383")</f>
        <v>15383</v>
      </c>
      <c r="F1497" s="14" t="s">
        <v>16</v>
      </c>
      <c r="G1497" s="20" t="s">
        <v>21</v>
      </c>
      <c r="H1497" s="14" t="s">
        <v>24</v>
      </c>
      <c r="I1497" s="22">
        <v>2023.0</v>
      </c>
      <c r="J1497" s="16" t="str">
        <f>IFERROR(__xludf.DUMMYFUNCTION("FILTER('CLASFICACIÓN'!$F$3:$F5618,'CLASFICACIÓN'!$G$3:$G5618=M1497)"),"2023 Y 2024")</f>
        <v>2023 Y 2024</v>
      </c>
      <c r="K1497" s="16"/>
      <c r="L1497" s="14" t="s">
        <v>120</v>
      </c>
      <c r="M1497" s="16" t="str">
        <f t="shared" si="1"/>
        <v>153834 Primaria</v>
      </c>
      <c r="N1497" s="17"/>
      <c r="O1497" s="17"/>
      <c r="P1497" s="17"/>
      <c r="Q1497" s="17"/>
      <c r="R1497" s="17"/>
      <c r="S1497" s="17"/>
      <c r="T1497" s="17"/>
    </row>
    <row r="1498">
      <c r="A1498" s="21">
        <v>301.0</v>
      </c>
      <c r="B1498" s="20" t="s">
        <v>48</v>
      </c>
      <c r="C1498" s="14" t="s">
        <v>14</v>
      </c>
      <c r="D1498" s="20" t="s">
        <v>20</v>
      </c>
      <c r="E1498" s="12" t="str">
        <f>IFERROR(__xludf.DUMMYFUNCTION("FILTER(colegios!$B$2:$B5618,colegios!$A$2:$A5618=L1498)"),"15383")</f>
        <v>15383</v>
      </c>
      <c r="F1498" s="14" t="s">
        <v>16</v>
      </c>
      <c r="G1498" s="20" t="s">
        <v>17</v>
      </c>
      <c r="H1498" s="14" t="s">
        <v>24</v>
      </c>
      <c r="I1498" s="22">
        <v>2023.0</v>
      </c>
      <c r="J1498" s="16" t="str">
        <f>IFERROR(__xludf.DUMMYFUNCTION("FILTER('CLASFICACIÓN'!$F$3:$F5618,'CLASFICACIÓN'!$G$3:$G5618=M1498)"),"2023 Y 2024")</f>
        <v>2023 Y 2024</v>
      </c>
      <c r="K1498" s="16"/>
      <c r="L1498" s="14" t="s">
        <v>120</v>
      </c>
      <c r="M1498" s="16" t="str">
        <f t="shared" si="1"/>
        <v>153834 Primaria</v>
      </c>
      <c r="N1498" s="17"/>
      <c r="O1498" s="17"/>
      <c r="P1498" s="17"/>
      <c r="Q1498" s="17"/>
      <c r="R1498" s="17"/>
      <c r="S1498" s="17"/>
      <c r="T1498" s="17"/>
    </row>
    <row r="1499">
      <c r="A1499" s="21">
        <v>302.0</v>
      </c>
      <c r="B1499" s="20" t="s">
        <v>48</v>
      </c>
      <c r="C1499" s="14" t="s">
        <v>14</v>
      </c>
      <c r="D1499" s="20" t="s">
        <v>22</v>
      </c>
      <c r="E1499" s="12" t="str">
        <f>IFERROR(__xludf.DUMMYFUNCTION("FILTER(colegios!$B$2:$B5618,colegios!$A$2:$A5618=L1499)"),"15383")</f>
        <v>15383</v>
      </c>
      <c r="F1499" s="14" t="s">
        <v>16</v>
      </c>
      <c r="G1499" s="20" t="s">
        <v>21</v>
      </c>
      <c r="H1499" s="14" t="s">
        <v>18</v>
      </c>
      <c r="I1499" s="22">
        <v>2023.0</v>
      </c>
      <c r="J1499" s="16" t="str">
        <f>IFERROR(__xludf.DUMMYFUNCTION("FILTER('CLASFICACIÓN'!$F$3:$F5618,'CLASFICACIÓN'!$G$3:$G5618=M1499)"),"SOLO 2023")</f>
        <v>SOLO 2023</v>
      </c>
      <c r="K1499" s="16"/>
      <c r="L1499" s="14" t="s">
        <v>120</v>
      </c>
      <c r="M1499" s="16" t="str">
        <f t="shared" si="1"/>
        <v>153836 Primaria</v>
      </c>
      <c r="N1499" s="17"/>
      <c r="O1499" s="17"/>
      <c r="P1499" s="17"/>
      <c r="Q1499" s="17"/>
      <c r="R1499" s="17"/>
      <c r="S1499" s="17"/>
      <c r="T1499" s="17"/>
    </row>
    <row r="1500">
      <c r="A1500" s="21">
        <v>303.0</v>
      </c>
      <c r="B1500" s="20" t="s">
        <v>48</v>
      </c>
      <c r="C1500" s="14" t="s">
        <v>14</v>
      </c>
      <c r="D1500" s="20" t="s">
        <v>22</v>
      </c>
      <c r="E1500" s="12" t="str">
        <f>IFERROR(__xludf.DUMMYFUNCTION("FILTER(colegios!$B$2:$B5618,colegios!$A$2:$A5618=L1500)"),"15383")</f>
        <v>15383</v>
      </c>
      <c r="F1500" s="14" t="s">
        <v>16</v>
      </c>
      <c r="G1500" s="20" t="s">
        <v>21</v>
      </c>
      <c r="H1500" s="14" t="s">
        <v>18</v>
      </c>
      <c r="I1500" s="22">
        <v>2023.0</v>
      </c>
      <c r="J1500" s="16" t="str">
        <f>IFERROR(__xludf.DUMMYFUNCTION("FILTER('CLASFICACIÓN'!$F$3:$F5618,'CLASFICACIÓN'!$G$3:$G5618=M1500)"),"SOLO 2023")</f>
        <v>SOLO 2023</v>
      </c>
      <c r="K1500" s="16"/>
      <c r="L1500" s="14" t="s">
        <v>120</v>
      </c>
      <c r="M1500" s="16" t="str">
        <f t="shared" si="1"/>
        <v>153836 Primaria</v>
      </c>
      <c r="N1500" s="17"/>
      <c r="O1500" s="17"/>
      <c r="P1500" s="17"/>
      <c r="Q1500" s="17"/>
      <c r="R1500" s="17"/>
      <c r="S1500" s="17"/>
      <c r="T1500" s="17"/>
    </row>
    <row r="1501">
      <c r="A1501" s="21">
        <v>304.0</v>
      </c>
      <c r="B1501" s="20" t="s">
        <v>48</v>
      </c>
      <c r="C1501" s="14" t="s">
        <v>14</v>
      </c>
      <c r="D1501" s="20" t="s">
        <v>15</v>
      </c>
      <c r="E1501" s="12" t="str">
        <f>IFERROR(__xludf.DUMMYFUNCTION("FILTER(colegios!$B$2:$B5618,colegios!$A$2:$A5618=L1501)"),"14045")</f>
        <v>14045</v>
      </c>
      <c r="F1501" s="14" t="s">
        <v>16</v>
      </c>
      <c r="G1501" s="20" t="s">
        <v>17</v>
      </c>
      <c r="H1501" s="14" t="s">
        <v>18</v>
      </c>
      <c r="I1501" s="22">
        <v>2023.0</v>
      </c>
      <c r="J1501" s="16" t="str">
        <f>IFERROR(__xludf.DUMMYFUNCTION("FILTER('CLASFICACIÓN'!$F$3:$F5618,'CLASFICACIÓN'!$G$3:$G5618=M1501)"),"2023 Y 2024")</f>
        <v>2023 Y 2024</v>
      </c>
      <c r="K1501" s="16"/>
      <c r="L1501" s="14" t="s">
        <v>121</v>
      </c>
      <c r="M1501" s="16" t="str">
        <f t="shared" si="1"/>
        <v>140452 Primaria</v>
      </c>
      <c r="N1501" s="17"/>
      <c r="O1501" s="17"/>
      <c r="P1501" s="17"/>
      <c r="Q1501" s="17"/>
      <c r="R1501" s="17"/>
      <c r="S1501" s="17"/>
      <c r="T1501" s="17"/>
    </row>
    <row r="1502">
      <c r="A1502" s="21">
        <v>305.0</v>
      </c>
      <c r="B1502" s="20" t="s">
        <v>48</v>
      </c>
      <c r="C1502" s="14" t="s">
        <v>14</v>
      </c>
      <c r="D1502" s="20" t="s">
        <v>15</v>
      </c>
      <c r="E1502" s="12" t="str">
        <f>IFERROR(__xludf.DUMMYFUNCTION("FILTER(colegios!$B$2:$B5618,colegios!$A$2:$A5618=L1502)"),"14045")</f>
        <v>14045</v>
      </c>
      <c r="F1502" s="14" t="s">
        <v>16</v>
      </c>
      <c r="G1502" s="20" t="s">
        <v>21</v>
      </c>
      <c r="H1502" s="14" t="s">
        <v>18</v>
      </c>
      <c r="I1502" s="22">
        <v>2023.0</v>
      </c>
      <c r="J1502" s="16" t="str">
        <f>IFERROR(__xludf.DUMMYFUNCTION("FILTER('CLASFICACIÓN'!$F$3:$F5618,'CLASFICACIÓN'!$G$3:$G5618=M1502)"),"2023 Y 2024")</f>
        <v>2023 Y 2024</v>
      </c>
      <c r="K1502" s="16"/>
      <c r="L1502" s="14" t="s">
        <v>121</v>
      </c>
      <c r="M1502" s="16" t="str">
        <f t="shared" si="1"/>
        <v>140452 Primaria</v>
      </c>
      <c r="N1502" s="17"/>
      <c r="O1502" s="17"/>
      <c r="P1502" s="17"/>
      <c r="Q1502" s="17"/>
      <c r="R1502" s="17"/>
      <c r="S1502" s="17"/>
      <c r="T1502" s="17"/>
    </row>
    <row r="1503">
      <c r="A1503" s="21">
        <v>306.0</v>
      </c>
      <c r="B1503" s="20" t="s">
        <v>48</v>
      </c>
      <c r="C1503" s="14" t="s">
        <v>14</v>
      </c>
      <c r="D1503" s="20" t="s">
        <v>15</v>
      </c>
      <c r="E1503" s="12" t="str">
        <f>IFERROR(__xludf.DUMMYFUNCTION("FILTER(colegios!$B$2:$B5618,colegios!$A$2:$A5618=L1503)"),"14045")</f>
        <v>14045</v>
      </c>
      <c r="F1503" s="14" t="s">
        <v>16</v>
      </c>
      <c r="G1503" s="20" t="s">
        <v>17</v>
      </c>
      <c r="H1503" s="14" t="s">
        <v>18</v>
      </c>
      <c r="I1503" s="22">
        <v>2023.0</v>
      </c>
      <c r="J1503" s="16" t="str">
        <f>IFERROR(__xludf.DUMMYFUNCTION("FILTER('CLASFICACIÓN'!$F$3:$F5618,'CLASFICACIÓN'!$G$3:$G5618=M1503)"),"2023 Y 2024")</f>
        <v>2023 Y 2024</v>
      </c>
      <c r="K1503" s="16"/>
      <c r="L1503" s="14" t="s">
        <v>121</v>
      </c>
      <c r="M1503" s="16" t="str">
        <f t="shared" si="1"/>
        <v>140452 Primaria</v>
      </c>
      <c r="N1503" s="17"/>
      <c r="O1503" s="17"/>
      <c r="P1503" s="17"/>
      <c r="Q1503" s="17"/>
      <c r="R1503" s="17"/>
      <c r="S1503" s="17"/>
      <c r="T1503" s="17"/>
    </row>
    <row r="1504">
      <c r="A1504" s="21">
        <v>307.0</v>
      </c>
      <c r="B1504" s="20" t="s">
        <v>48</v>
      </c>
      <c r="C1504" s="14" t="s">
        <v>14</v>
      </c>
      <c r="D1504" s="20" t="s">
        <v>15</v>
      </c>
      <c r="E1504" s="12" t="str">
        <f>IFERROR(__xludf.DUMMYFUNCTION("FILTER(colegios!$B$2:$B5618,colegios!$A$2:$A5618=L1504)"),"14045")</f>
        <v>14045</v>
      </c>
      <c r="F1504" s="14" t="s">
        <v>16</v>
      </c>
      <c r="G1504" s="20" t="s">
        <v>17</v>
      </c>
      <c r="H1504" s="14" t="s">
        <v>24</v>
      </c>
      <c r="I1504" s="22">
        <v>2023.0</v>
      </c>
      <c r="J1504" s="16" t="str">
        <f>IFERROR(__xludf.DUMMYFUNCTION("FILTER('CLASFICACIÓN'!$F$3:$F5618,'CLASFICACIÓN'!$G$3:$G5618=M1504)"),"2023 Y 2024")</f>
        <v>2023 Y 2024</v>
      </c>
      <c r="K1504" s="16"/>
      <c r="L1504" s="14" t="s">
        <v>121</v>
      </c>
      <c r="M1504" s="16" t="str">
        <f t="shared" si="1"/>
        <v>140452 Primaria</v>
      </c>
      <c r="N1504" s="17"/>
      <c r="O1504" s="17"/>
      <c r="P1504" s="17"/>
      <c r="Q1504" s="17"/>
      <c r="R1504" s="17"/>
      <c r="S1504" s="17"/>
      <c r="T1504" s="17"/>
    </row>
    <row r="1505">
      <c r="A1505" s="21">
        <v>308.0</v>
      </c>
      <c r="B1505" s="20" t="s">
        <v>48</v>
      </c>
      <c r="C1505" s="14" t="s">
        <v>14</v>
      </c>
      <c r="D1505" s="20" t="s">
        <v>15</v>
      </c>
      <c r="E1505" s="12" t="str">
        <f>IFERROR(__xludf.DUMMYFUNCTION("FILTER(colegios!$B$2:$B5618,colegios!$A$2:$A5618=L1505)"),"14045")</f>
        <v>14045</v>
      </c>
      <c r="F1505" s="14" t="s">
        <v>16</v>
      </c>
      <c r="G1505" s="20" t="s">
        <v>21</v>
      </c>
      <c r="H1505" s="14" t="s">
        <v>18</v>
      </c>
      <c r="I1505" s="22">
        <v>2023.0</v>
      </c>
      <c r="J1505" s="16" t="str">
        <f>IFERROR(__xludf.DUMMYFUNCTION("FILTER('CLASFICACIÓN'!$F$3:$F5618,'CLASFICACIÓN'!$G$3:$G5618=M1505)"),"2023 Y 2024")</f>
        <v>2023 Y 2024</v>
      </c>
      <c r="K1505" s="16"/>
      <c r="L1505" s="14" t="s">
        <v>121</v>
      </c>
      <c r="M1505" s="16" t="str">
        <f t="shared" si="1"/>
        <v>140452 Primaria</v>
      </c>
      <c r="N1505" s="17"/>
      <c r="O1505" s="17"/>
      <c r="P1505" s="17"/>
      <c r="Q1505" s="17"/>
      <c r="R1505" s="17"/>
      <c r="S1505" s="17"/>
      <c r="T1505" s="17"/>
    </row>
    <row r="1506">
      <c r="A1506" s="21">
        <v>309.0</v>
      </c>
      <c r="B1506" s="20" t="s">
        <v>48</v>
      </c>
      <c r="C1506" s="14" t="s">
        <v>14</v>
      </c>
      <c r="D1506" s="20" t="s">
        <v>15</v>
      </c>
      <c r="E1506" s="12" t="str">
        <f>IFERROR(__xludf.DUMMYFUNCTION("FILTER(colegios!$B$2:$B5618,colegios!$A$2:$A5618=L1506)"),"14045")</f>
        <v>14045</v>
      </c>
      <c r="F1506" s="14" t="s">
        <v>16</v>
      </c>
      <c r="G1506" s="20" t="s">
        <v>17</v>
      </c>
      <c r="H1506" s="14" t="s">
        <v>18</v>
      </c>
      <c r="I1506" s="22">
        <v>2023.0</v>
      </c>
      <c r="J1506" s="16" t="str">
        <f>IFERROR(__xludf.DUMMYFUNCTION("FILTER('CLASFICACIÓN'!$F$3:$F5618,'CLASFICACIÓN'!$G$3:$G5618=M1506)"),"2023 Y 2024")</f>
        <v>2023 Y 2024</v>
      </c>
      <c r="K1506" s="16"/>
      <c r="L1506" s="14" t="s">
        <v>121</v>
      </c>
      <c r="M1506" s="16" t="str">
        <f t="shared" si="1"/>
        <v>140452 Primaria</v>
      </c>
      <c r="N1506" s="17"/>
      <c r="O1506" s="17"/>
      <c r="P1506" s="17"/>
      <c r="Q1506" s="17"/>
      <c r="R1506" s="17"/>
      <c r="S1506" s="17"/>
      <c r="T1506" s="17"/>
    </row>
    <row r="1507">
      <c r="A1507" s="21">
        <v>310.0</v>
      </c>
      <c r="B1507" s="20" t="s">
        <v>48</v>
      </c>
      <c r="C1507" s="14" t="s">
        <v>14</v>
      </c>
      <c r="D1507" s="20" t="s">
        <v>20</v>
      </c>
      <c r="E1507" s="12" t="str">
        <f>IFERROR(__xludf.DUMMYFUNCTION("FILTER(colegios!$B$2:$B5618,colegios!$A$2:$A5618=L1507)"),"14045")</f>
        <v>14045</v>
      </c>
      <c r="F1507" s="14" t="s">
        <v>16</v>
      </c>
      <c r="G1507" s="20" t="s">
        <v>17</v>
      </c>
      <c r="H1507" s="14" t="s">
        <v>18</v>
      </c>
      <c r="I1507" s="22">
        <v>2023.0</v>
      </c>
      <c r="J1507" s="16" t="str">
        <f>IFERROR(__xludf.DUMMYFUNCTION("FILTER('CLASFICACIÓN'!$F$3:$F5618,'CLASFICACIÓN'!$G$3:$G5618=M1507)"),"2023 Y 2024")</f>
        <v>2023 Y 2024</v>
      </c>
      <c r="K1507" s="16"/>
      <c r="L1507" s="14" t="s">
        <v>121</v>
      </c>
      <c r="M1507" s="16" t="str">
        <f t="shared" si="1"/>
        <v>140454 Primaria</v>
      </c>
      <c r="N1507" s="17"/>
      <c r="O1507" s="17"/>
      <c r="P1507" s="17"/>
      <c r="Q1507" s="17"/>
      <c r="R1507" s="17"/>
      <c r="S1507" s="17"/>
      <c r="T1507" s="17"/>
    </row>
    <row r="1508">
      <c r="A1508" s="21">
        <v>311.0</v>
      </c>
      <c r="B1508" s="20" t="s">
        <v>48</v>
      </c>
      <c r="C1508" s="14" t="s">
        <v>14</v>
      </c>
      <c r="D1508" s="20" t="s">
        <v>20</v>
      </c>
      <c r="E1508" s="12" t="str">
        <f>IFERROR(__xludf.DUMMYFUNCTION("FILTER(colegios!$B$2:$B5618,colegios!$A$2:$A5618=L1508)"),"14045")</f>
        <v>14045</v>
      </c>
      <c r="F1508" s="14" t="s">
        <v>16</v>
      </c>
      <c r="G1508" s="20" t="s">
        <v>17</v>
      </c>
      <c r="H1508" s="14" t="s">
        <v>18</v>
      </c>
      <c r="I1508" s="22">
        <v>2023.0</v>
      </c>
      <c r="J1508" s="16" t="str">
        <f>IFERROR(__xludf.DUMMYFUNCTION("FILTER('CLASFICACIÓN'!$F$3:$F5618,'CLASFICACIÓN'!$G$3:$G5618=M1508)"),"2023 Y 2024")</f>
        <v>2023 Y 2024</v>
      </c>
      <c r="K1508" s="16"/>
      <c r="L1508" s="14" t="s">
        <v>121</v>
      </c>
      <c r="M1508" s="16" t="str">
        <f t="shared" si="1"/>
        <v>140454 Primaria</v>
      </c>
      <c r="N1508" s="17"/>
      <c r="O1508" s="17"/>
      <c r="P1508" s="17"/>
      <c r="Q1508" s="17"/>
      <c r="R1508" s="17"/>
      <c r="S1508" s="17"/>
      <c r="T1508" s="17"/>
    </row>
    <row r="1509">
      <c r="A1509" s="21">
        <v>312.0</v>
      </c>
      <c r="B1509" s="20" t="s">
        <v>48</v>
      </c>
      <c r="C1509" s="14" t="s">
        <v>14</v>
      </c>
      <c r="D1509" s="20" t="s">
        <v>20</v>
      </c>
      <c r="E1509" s="12" t="str">
        <f>IFERROR(__xludf.DUMMYFUNCTION("FILTER(colegios!$B$2:$B5618,colegios!$A$2:$A5618=L1509)"),"14045")</f>
        <v>14045</v>
      </c>
      <c r="F1509" s="14" t="s">
        <v>16</v>
      </c>
      <c r="G1509" s="20" t="s">
        <v>21</v>
      </c>
      <c r="H1509" s="14" t="s">
        <v>18</v>
      </c>
      <c r="I1509" s="22">
        <v>2023.0</v>
      </c>
      <c r="J1509" s="16" t="str">
        <f>IFERROR(__xludf.DUMMYFUNCTION("FILTER('CLASFICACIÓN'!$F$3:$F5618,'CLASFICACIÓN'!$G$3:$G5618=M1509)"),"2023 Y 2024")</f>
        <v>2023 Y 2024</v>
      </c>
      <c r="K1509" s="16"/>
      <c r="L1509" s="14" t="s">
        <v>121</v>
      </c>
      <c r="M1509" s="16" t="str">
        <f t="shared" si="1"/>
        <v>140454 Primaria</v>
      </c>
      <c r="N1509" s="17"/>
      <c r="O1509" s="17"/>
      <c r="P1509" s="17"/>
      <c r="Q1509" s="17"/>
      <c r="R1509" s="17"/>
      <c r="S1509" s="17"/>
      <c r="T1509" s="17"/>
    </row>
    <row r="1510">
      <c r="A1510" s="21">
        <v>313.0</v>
      </c>
      <c r="B1510" s="20" t="s">
        <v>48</v>
      </c>
      <c r="C1510" s="14" t="s">
        <v>14</v>
      </c>
      <c r="D1510" s="20" t="s">
        <v>20</v>
      </c>
      <c r="E1510" s="12" t="str">
        <f>IFERROR(__xludf.DUMMYFUNCTION("FILTER(colegios!$B$2:$B5618,colegios!$A$2:$A5618=L1510)"),"14045")</f>
        <v>14045</v>
      </c>
      <c r="F1510" s="14" t="s">
        <v>16</v>
      </c>
      <c r="G1510" s="20" t="s">
        <v>17</v>
      </c>
      <c r="H1510" s="14" t="s">
        <v>18</v>
      </c>
      <c r="I1510" s="22">
        <v>2023.0</v>
      </c>
      <c r="J1510" s="16" t="str">
        <f>IFERROR(__xludf.DUMMYFUNCTION("FILTER('CLASFICACIÓN'!$F$3:$F5618,'CLASFICACIÓN'!$G$3:$G5618=M1510)"),"2023 Y 2024")</f>
        <v>2023 Y 2024</v>
      </c>
      <c r="K1510" s="16"/>
      <c r="L1510" s="14" t="s">
        <v>121</v>
      </c>
      <c r="M1510" s="16" t="str">
        <f t="shared" si="1"/>
        <v>140454 Primaria</v>
      </c>
      <c r="N1510" s="17"/>
      <c r="O1510" s="17"/>
      <c r="P1510" s="17"/>
      <c r="Q1510" s="17"/>
      <c r="R1510" s="17"/>
      <c r="S1510" s="17"/>
      <c r="T1510" s="17"/>
    </row>
    <row r="1511">
      <c r="A1511" s="21">
        <v>314.0</v>
      </c>
      <c r="B1511" s="20" t="s">
        <v>48</v>
      </c>
      <c r="C1511" s="14" t="s">
        <v>14</v>
      </c>
      <c r="D1511" s="20" t="s">
        <v>20</v>
      </c>
      <c r="E1511" s="12" t="str">
        <f>IFERROR(__xludf.DUMMYFUNCTION("FILTER(colegios!$B$2:$B5618,colegios!$A$2:$A5618=L1511)"),"14045")</f>
        <v>14045</v>
      </c>
      <c r="F1511" s="14" t="s">
        <v>16</v>
      </c>
      <c r="G1511" s="20" t="s">
        <v>17</v>
      </c>
      <c r="H1511" s="14" t="s">
        <v>18</v>
      </c>
      <c r="I1511" s="22">
        <v>2023.0</v>
      </c>
      <c r="J1511" s="16" t="str">
        <f>IFERROR(__xludf.DUMMYFUNCTION("FILTER('CLASFICACIÓN'!$F$3:$F5618,'CLASFICACIÓN'!$G$3:$G5618=M1511)"),"2023 Y 2024")</f>
        <v>2023 Y 2024</v>
      </c>
      <c r="K1511" s="16"/>
      <c r="L1511" s="14" t="s">
        <v>121</v>
      </c>
      <c r="M1511" s="16" t="str">
        <f t="shared" si="1"/>
        <v>140454 Primaria</v>
      </c>
      <c r="N1511" s="17"/>
      <c r="O1511" s="17"/>
      <c r="P1511" s="17"/>
      <c r="Q1511" s="17"/>
      <c r="R1511" s="17"/>
      <c r="S1511" s="17"/>
      <c r="T1511" s="17"/>
    </row>
    <row r="1512">
      <c r="A1512" s="21">
        <v>315.0</v>
      </c>
      <c r="B1512" s="20" t="s">
        <v>48</v>
      </c>
      <c r="C1512" s="14" t="s">
        <v>14</v>
      </c>
      <c r="D1512" s="20" t="s">
        <v>20</v>
      </c>
      <c r="E1512" s="12" t="str">
        <f>IFERROR(__xludf.DUMMYFUNCTION("FILTER(colegios!$B$2:$B5618,colegios!$A$2:$A5618=L1512)"),"14045")</f>
        <v>14045</v>
      </c>
      <c r="F1512" s="14" t="s">
        <v>16</v>
      </c>
      <c r="G1512" s="20" t="s">
        <v>21</v>
      </c>
      <c r="H1512" s="14" t="s">
        <v>18</v>
      </c>
      <c r="I1512" s="22">
        <v>2023.0</v>
      </c>
      <c r="J1512" s="16" t="str">
        <f>IFERROR(__xludf.DUMMYFUNCTION("FILTER('CLASFICACIÓN'!$F$3:$F5618,'CLASFICACIÓN'!$G$3:$G5618=M1512)"),"2023 Y 2024")</f>
        <v>2023 Y 2024</v>
      </c>
      <c r="K1512" s="16"/>
      <c r="L1512" s="14" t="s">
        <v>121</v>
      </c>
      <c r="M1512" s="16" t="str">
        <f t="shared" si="1"/>
        <v>140454 Primaria</v>
      </c>
      <c r="N1512" s="17"/>
      <c r="O1512" s="17"/>
      <c r="P1512" s="17"/>
      <c r="Q1512" s="17"/>
      <c r="R1512" s="17"/>
      <c r="S1512" s="17"/>
      <c r="T1512" s="17"/>
    </row>
    <row r="1513">
      <c r="A1513" s="21">
        <v>316.0</v>
      </c>
      <c r="B1513" s="20" t="s">
        <v>48</v>
      </c>
      <c r="C1513" s="14" t="s">
        <v>14</v>
      </c>
      <c r="D1513" s="20" t="s">
        <v>22</v>
      </c>
      <c r="E1513" s="12" t="str">
        <f>IFERROR(__xludf.DUMMYFUNCTION("FILTER(colegios!$B$2:$B5618,colegios!$A$2:$A5618=L1513)"),"14045")</f>
        <v>14045</v>
      </c>
      <c r="F1513" s="14" t="s">
        <v>16</v>
      </c>
      <c r="G1513" s="20" t="s">
        <v>21</v>
      </c>
      <c r="H1513" s="14" t="s">
        <v>24</v>
      </c>
      <c r="I1513" s="22">
        <v>2023.0</v>
      </c>
      <c r="J1513" s="16" t="str">
        <f>IFERROR(__xludf.DUMMYFUNCTION("FILTER('CLASFICACIÓN'!$F$3:$F5618,'CLASFICACIÓN'!$G$3:$G5618=M1513)"),"2023 Y 2024")</f>
        <v>2023 Y 2024</v>
      </c>
      <c r="K1513" s="16"/>
      <c r="L1513" s="14" t="s">
        <v>121</v>
      </c>
      <c r="M1513" s="16" t="str">
        <f t="shared" si="1"/>
        <v>140456 Primaria</v>
      </c>
      <c r="N1513" s="17"/>
      <c r="O1513" s="17"/>
      <c r="P1513" s="17"/>
      <c r="Q1513" s="17"/>
      <c r="R1513" s="17"/>
      <c r="S1513" s="17"/>
      <c r="T1513" s="17"/>
    </row>
    <row r="1514">
      <c r="A1514" s="21">
        <v>317.0</v>
      </c>
      <c r="B1514" s="20" t="s">
        <v>48</v>
      </c>
      <c r="C1514" s="14" t="s">
        <v>14</v>
      </c>
      <c r="D1514" s="20" t="s">
        <v>22</v>
      </c>
      <c r="E1514" s="12" t="str">
        <f>IFERROR(__xludf.DUMMYFUNCTION("FILTER(colegios!$B$2:$B5618,colegios!$A$2:$A5618=L1514)"),"14045")</f>
        <v>14045</v>
      </c>
      <c r="F1514" s="14" t="s">
        <v>16</v>
      </c>
      <c r="G1514" s="20" t="s">
        <v>21</v>
      </c>
      <c r="H1514" s="14" t="s">
        <v>24</v>
      </c>
      <c r="I1514" s="22">
        <v>2023.0</v>
      </c>
      <c r="J1514" s="16" t="str">
        <f>IFERROR(__xludf.DUMMYFUNCTION("FILTER('CLASFICACIÓN'!$F$3:$F5618,'CLASFICACIÓN'!$G$3:$G5618=M1514)"),"2023 Y 2024")</f>
        <v>2023 Y 2024</v>
      </c>
      <c r="K1514" s="16"/>
      <c r="L1514" s="14" t="s">
        <v>121</v>
      </c>
      <c r="M1514" s="16" t="str">
        <f t="shared" si="1"/>
        <v>140456 Primaria</v>
      </c>
      <c r="N1514" s="17"/>
      <c r="O1514" s="17"/>
      <c r="P1514" s="17"/>
      <c r="Q1514" s="17"/>
      <c r="R1514" s="17"/>
      <c r="S1514" s="17"/>
      <c r="T1514" s="17"/>
    </row>
    <row r="1515">
      <c r="A1515" s="21">
        <v>318.0</v>
      </c>
      <c r="B1515" s="20" t="s">
        <v>48</v>
      </c>
      <c r="C1515" s="14" t="s">
        <v>14</v>
      </c>
      <c r="D1515" s="20" t="s">
        <v>22</v>
      </c>
      <c r="E1515" s="12" t="str">
        <f>IFERROR(__xludf.DUMMYFUNCTION("FILTER(colegios!$B$2:$B5618,colegios!$A$2:$A5618=L1515)"),"14045")</f>
        <v>14045</v>
      </c>
      <c r="F1515" s="14" t="s">
        <v>16</v>
      </c>
      <c r="G1515" s="20" t="s">
        <v>17</v>
      </c>
      <c r="H1515" s="14" t="s">
        <v>24</v>
      </c>
      <c r="I1515" s="22">
        <v>2023.0</v>
      </c>
      <c r="J1515" s="16" t="str">
        <f>IFERROR(__xludf.DUMMYFUNCTION("FILTER('CLASFICACIÓN'!$F$3:$F5618,'CLASFICACIÓN'!$G$3:$G5618=M1515)"),"2023 Y 2024")</f>
        <v>2023 Y 2024</v>
      </c>
      <c r="K1515" s="16"/>
      <c r="L1515" s="14" t="s">
        <v>121</v>
      </c>
      <c r="M1515" s="16" t="str">
        <f t="shared" si="1"/>
        <v>140456 Primaria</v>
      </c>
      <c r="N1515" s="17"/>
      <c r="O1515" s="17"/>
      <c r="P1515" s="17"/>
      <c r="Q1515" s="17"/>
      <c r="R1515" s="17"/>
      <c r="S1515" s="17"/>
      <c r="T1515" s="17"/>
    </row>
    <row r="1516">
      <c r="A1516" s="21">
        <v>319.0</v>
      </c>
      <c r="B1516" s="20" t="s">
        <v>48</v>
      </c>
      <c r="C1516" s="14" t="s">
        <v>14</v>
      </c>
      <c r="D1516" s="20" t="s">
        <v>15</v>
      </c>
      <c r="E1516" s="12" t="str">
        <f>IFERROR(__xludf.DUMMYFUNCTION("FILTER(colegios!$B$2:$B5618,colegios!$A$2:$A5618=L1516)"),"20104")</f>
        <v>20104</v>
      </c>
      <c r="F1516" s="14" t="s">
        <v>16</v>
      </c>
      <c r="G1516" s="20" t="s">
        <v>21</v>
      </c>
      <c r="H1516" s="14" t="s">
        <v>18</v>
      </c>
      <c r="I1516" s="22">
        <v>2023.0</v>
      </c>
      <c r="J1516" s="16" t="str">
        <f>IFERROR(__xludf.DUMMYFUNCTION("FILTER('CLASFICACIÓN'!$F$3:$F5618,'CLASFICACIÓN'!$G$3:$G5618=M1516)"),"2023 Y 2024")</f>
        <v>2023 Y 2024</v>
      </c>
      <c r="K1516" s="16"/>
      <c r="L1516" s="14" t="s">
        <v>122</v>
      </c>
      <c r="M1516" s="16" t="str">
        <f t="shared" si="1"/>
        <v>201042 Primaria</v>
      </c>
      <c r="N1516" s="17"/>
      <c r="O1516" s="17"/>
      <c r="P1516" s="17"/>
      <c r="Q1516" s="17"/>
      <c r="R1516" s="17"/>
      <c r="S1516" s="17"/>
      <c r="T1516" s="17"/>
    </row>
    <row r="1517">
      <c r="A1517" s="21">
        <v>320.0</v>
      </c>
      <c r="B1517" s="20" t="s">
        <v>48</v>
      </c>
      <c r="C1517" s="14" t="s">
        <v>14</v>
      </c>
      <c r="D1517" s="20" t="s">
        <v>15</v>
      </c>
      <c r="E1517" s="12" t="str">
        <f>IFERROR(__xludf.DUMMYFUNCTION("FILTER(colegios!$B$2:$B5618,colegios!$A$2:$A5618=L1517)"),"20104")</f>
        <v>20104</v>
      </c>
      <c r="F1517" s="14" t="s">
        <v>16</v>
      </c>
      <c r="G1517" s="20" t="s">
        <v>21</v>
      </c>
      <c r="H1517" s="14" t="s">
        <v>18</v>
      </c>
      <c r="I1517" s="22">
        <v>2023.0</v>
      </c>
      <c r="J1517" s="16" t="str">
        <f>IFERROR(__xludf.DUMMYFUNCTION("FILTER('CLASFICACIÓN'!$F$3:$F5618,'CLASFICACIÓN'!$G$3:$G5618=M1517)"),"2023 Y 2024")</f>
        <v>2023 Y 2024</v>
      </c>
      <c r="K1517" s="16"/>
      <c r="L1517" s="14" t="s">
        <v>122</v>
      </c>
      <c r="M1517" s="16" t="str">
        <f t="shared" si="1"/>
        <v>201042 Primaria</v>
      </c>
      <c r="N1517" s="17"/>
      <c r="O1517" s="17"/>
      <c r="P1517" s="17"/>
      <c r="Q1517" s="17"/>
      <c r="R1517" s="17"/>
      <c r="S1517" s="17"/>
      <c r="T1517" s="17"/>
    </row>
    <row r="1518">
      <c r="A1518" s="21">
        <v>321.0</v>
      </c>
      <c r="B1518" s="20" t="s">
        <v>48</v>
      </c>
      <c r="C1518" s="14" t="s">
        <v>14</v>
      </c>
      <c r="D1518" s="20" t="s">
        <v>15</v>
      </c>
      <c r="E1518" s="12" t="str">
        <f>IFERROR(__xludf.DUMMYFUNCTION("FILTER(colegios!$B$2:$B5618,colegios!$A$2:$A5618=L1518)"),"20104")</f>
        <v>20104</v>
      </c>
      <c r="F1518" s="14" t="s">
        <v>16</v>
      </c>
      <c r="G1518" s="20" t="s">
        <v>21</v>
      </c>
      <c r="H1518" s="14" t="s">
        <v>18</v>
      </c>
      <c r="I1518" s="22">
        <v>2023.0</v>
      </c>
      <c r="J1518" s="16" t="str">
        <f>IFERROR(__xludf.DUMMYFUNCTION("FILTER('CLASFICACIÓN'!$F$3:$F5618,'CLASFICACIÓN'!$G$3:$G5618=M1518)"),"2023 Y 2024")</f>
        <v>2023 Y 2024</v>
      </c>
      <c r="K1518" s="16"/>
      <c r="L1518" s="14" t="s">
        <v>122</v>
      </c>
      <c r="M1518" s="16" t="str">
        <f t="shared" si="1"/>
        <v>201042 Primaria</v>
      </c>
      <c r="N1518" s="17"/>
      <c r="O1518" s="17"/>
      <c r="P1518" s="17"/>
      <c r="Q1518" s="17"/>
      <c r="R1518" s="17"/>
      <c r="S1518" s="17"/>
      <c r="T1518" s="17"/>
    </row>
    <row r="1519">
      <c r="A1519" s="21">
        <v>322.0</v>
      </c>
      <c r="B1519" s="20" t="s">
        <v>48</v>
      </c>
      <c r="C1519" s="14" t="s">
        <v>14</v>
      </c>
      <c r="D1519" s="20" t="s">
        <v>15</v>
      </c>
      <c r="E1519" s="12" t="str">
        <f>IFERROR(__xludf.DUMMYFUNCTION("FILTER(colegios!$B$2:$B5618,colegios!$A$2:$A5618=L1519)"),"20104")</f>
        <v>20104</v>
      </c>
      <c r="F1519" s="14" t="s">
        <v>16</v>
      </c>
      <c r="G1519" s="20" t="s">
        <v>17</v>
      </c>
      <c r="H1519" s="14" t="s">
        <v>18</v>
      </c>
      <c r="I1519" s="22">
        <v>2023.0</v>
      </c>
      <c r="J1519" s="16" t="str">
        <f>IFERROR(__xludf.DUMMYFUNCTION("FILTER('CLASFICACIÓN'!$F$3:$F5618,'CLASFICACIÓN'!$G$3:$G5618=M1519)"),"2023 Y 2024")</f>
        <v>2023 Y 2024</v>
      </c>
      <c r="K1519" s="16"/>
      <c r="L1519" s="14" t="s">
        <v>122</v>
      </c>
      <c r="M1519" s="16" t="str">
        <f t="shared" si="1"/>
        <v>201042 Primaria</v>
      </c>
      <c r="N1519" s="17"/>
      <c r="O1519" s="17"/>
      <c r="P1519" s="17"/>
      <c r="Q1519" s="17"/>
      <c r="R1519" s="17"/>
      <c r="S1519" s="17"/>
      <c r="T1519" s="17"/>
    </row>
    <row r="1520">
      <c r="A1520" s="21">
        <v>323.0</v>
      </c>
      <c r="B1520" s="20" t="s">
        <v>48</v>
      </c>
      <c r="C1520" s="14" t="s">
        <v>14</v>
      </c>
      <c r="D1520" s="20" t="s">
        <v>15</v>
      </c>
      <c r="E1520" s="12" t="str">
        <f>IFERROR(__xludf.DUMMYFUNCTION("FILTER(colegios!$B$2:$B5618,colegios!$A$2:$A5618=L1520)"),"20104")</f>
        <v>20104</v>
      </c>
      <c r="F1520" s="14" t="s">
        <v>16</v>
      </c>
      <c r="G1520" s="20" t="s">
        <v>17</v>
      </c>
      <c r="H1520" s="14" t="s">
        <v>18</v>
      </c>
      <c r="I1520" s="22">
        <v>2023.0</v>
      </c>
      <c r="J1520" s="16" t="str">
        <f>IFERROR(__xludf.DUMMYFUNCTION("FILTER('CLASFICACIÓN'!$F$3:$F5618,'CLASFICACIÓN'!$G$3:$G5618=M1520)"),"2023 Y 2024")</f>
        <v>2023 Y 2024</v>
      </c>
      <c r="K1520" s="16"/>
      <c r="L1520" s="14" t="s">
        <v>122</v>
      </c>
      <c r="M1520" s="16" t="str">
        <f t="shared" si="1"/>
        <v>201042 Primaria</v>
      </c>
      <c r="N1520" s="17"/>
      <c r="O1520" s="17"/>
      <c r="P1520" s="17"/>
      <c r="Q1520" s="17"/>
      <c r="R1520" s="17"/>
      <c r="S1520" s="17"/>
      <c r="T1520" s="17"/>
    </row>
    <row r="1521">
      <c r="A1521" s="21">
        <v>324.0</v>
      </c>
      <c r="B1521" s="20" t="s">
        <v>48</v>
      </c>
      <c r="C1521" s="14" t="s">
        <v>14</v>
      </c>
      <c r="D1521" s="20" t="s">
        <v>15</v>
      </c>
      <c r="E1521" s="12" t="str">
        <f>IFERROR(__xludf.DUMMYFUNCTION("FILTER(colegios!$B$2:$B5618,colegios!$A$2:$A5618=L1521)"),"20104")</f>
        <v>20104</v>
      </c>
      <c r="F1521" s="14" t="s">
        <v>16</v>
      </c>
      <c r="G1521" s="20" t="s">
        <v>17</v>
      </c>
      <c r="H1521" s="14" t="s">
        <v>18</v>
      </c>
      <c r="I1521" s="22">
        <v>2023.0</v>
      </c>
      <c r="J1521" s="16" t="str">
        <f>IFERROR(__xludf.DUMMYFUNCTION("FILTER('CLASFICACIÓN'!$F$3:$F5618,'CLASFICACIÓN'!$G$3:$G5618=M1521)"),"2023 Y 2024")</f>
        <v>2023 Y 2024</v>
      </c>
      <c r="K1521" s="16"/>
      <c r="L1521" s="14" t="s">
        <v>122</v>
      </c>
      <c r="M1521" s="16" t="str">
        <f t="shared" si="1"/>
        <v>201042 Primaria</v>
      </c>
      <c r="N1521" s="17"/>
      <c r="O1521" s="17"/>
      <c r="P1521" s="17"/>
      <c r="Q1521" s="17"/>
      <c r="R1521" s="17"/>
      <c r="S1521" s="17"/>
      <c r="T1521" s="17"/>
    </row>
    <row r="1522">
      <c r="A1522" s="21">
        <v>325.0</v>
      </c>
      <c r="B1522" s="20" t="s">
        <v>48</v>
      </c>
      <c r="C1522" s="14" t="s">
        <v>14</v>
      </c>
      <c r="D1522" s="20" t="s">
        <v>15</v>
      </c>
      <c r="E1522" s="12" t="str">
        <f>IFERROR(__xludf.DUMMYFUNCTION("FILTER(colegios!$B$2:$B5618,colegios!$A$2:$A5618=L1522)"),"20104")</f>
        <v>20104</v>
      </c>
      <c r="F1522" s="14" t="s">
        <v>16</v>
      </c>
      <c r="G1522" s="20" t="s">
        <v>21</v>
      </c>
      <c r="H1522" s="14" t="s">
        <v>18</v>
      </c>
      <c r="I1522" s="22">
        <v>2023.0</v>
      </c>
      <c r="J1522" s="16" t="str">
        <f>IFERROR(__xludf.DUMMYFUNCTION("FILTER('CLASFICACIÓN'!$F$3:$F5618,'CLASFICACIÓN'!$G$3:$G5618=M1522)"),"2023 Y 2024")</f>
        <v>2023 Y 2024</v>
      </c>
      <c r="K1522" s="16"/>
      <c r="L1522" s="14" t="s">
        <v>122</v>
      </c>
      <c r="M1522" s="16" t="str">
        <f t="shared" si="1"/>
        <v>201042 Primaria</v>
      </c>
      <c r="N1522" s="17"/>
      <c r="O1522" s="17"/>
      <c r="P1522" s="17"/>
      <c r="Q1522" s="17"/>
      <c r="R1522" s="17"/>
      <c r="S1522" s="17"/>
      <c r="T1522" s="17"/>
    </row>
    <row r="1523">
      <c r="A1523" s="21">
        <v>326.0</v>
      </c>
      <c r="B1523" s="20" t="s">
        <v>48</v>
      </c>
      <c r="C1523" s="14" t="s">
        <v>14</v>
      </c>
      <c r="D1523" s="20" t="s">
        <v>15</v>
      </c>
      <c r="E1523" s="12" t="str">
        <f>IFERROR(__xludf.DUMMYFUNCTION("FILTER(colegios!$B$2:$B5618,colegios!$A$2:$A5618=L1523)"),"20104")</f>
        <v>20104</v>
      </c>
      <c r="F1523" s="14" t="s">
        <v>16</v>
      </c>
      <c r="G1523" s="20" t="s">
        <v>21</v>
      </c>
      <c r="H1523" s="14" t="s">
        <v>18</v>
      </c>
      <c r="I1523" s="22">
        <v>2023.0</v>
      </c>
      <c r="J1523" s="16" t="str">
        <f>IFERROR(__xludf.DUMMYFUNCTION("FILTER('CLASFICACIÓN'!$F$3:$F5618,'CLASFICACIÓN'!$G$3:$G5618=M1523)"),"2023 Y 2024")</f>
        <v>2023 Y 2024</v>
      </c>
      <c r="K1523" s="16"/>
      <c r="L1523" s="14" t="s">
        <v>122</v>
      </c>
      <c r="M1523" s="16" t="str">
        <f t="shared" si="1"/>
        <v>201042 Primaria</v>
      </c>
      <c r="N1523" s="17"/>
      <c r="O1523" s="17"/>
      <c r="P1523" s="17"/>
      <c r="Q1523" s="17"/>
      <c r="R1523" s="17"/>
      <c r="S1523" s="17"/>
      <c r="T1523" s="17"/>
    </row>
    <row r="1524">
      <c r="A1524" s="21">
        <v>327.0</v>
      </c>
      <c r="B1524" s="20" t="s">
        <v>48</v>
      </c>
      <c r="C1524" s="14" t="s">
        <v>14</v>
      </c>
      <c r="D1524" s="20" t="s">
        <v>15</v>
      </c>
      <c r="E1524" s="12" t="str">
        <f>IFERROR(__xludf.DUMMYFUNCTION("FILTER(colegios!$B$2:$B5618,colegios!$A$2:$A5618=L1524)"),"20104")</f>
        <v>20104</v>
      </c>
      <c r="F1524" s="14" t="s">
        <v>16</v>
      </c>
      <c r="G1524" s="20" t="s">
        <v>21</v>
      </c>
      <c r="H1524" s="14" t="s">
        <v>18</v>
      </c>
      <c r="I1524" s="22">
        <v>2023.0</v>
      </c>
      <c r="J1524" s="16" t="str">
        <f>IFERROR(__xludf.DUMMYFUNCTION("FILTER('CLASFICACIÓN'!$F$3:$F5618,'CLASFICACIÓN'!$G$3:$G5618=M1524)"),"2023 Y 2024")</f>
        <v>2023 Y 2024</v>
      </c>
      <c r="K1524" s="16"/>
      <c r="L1524" s="14" t="s">
        <v>122</v>
      </c>
      <c r="M1524" s="16" t="str">
        <f t="shared" si="1"/>
        <v>201042 Primaria</v>
      </c>
      <c r="N1524" s="17"/>
      <c r="O1524" s="17"/>
      <c r="P1524" s="17"/>
      <c r="Q1524" s="17"/>
      <c r="R1524" s="17"/>
      <c r="S1524" s="17"/>
      <c r="T1524" s="17"/>
    </row>
    <row r="1525">
      <c r="A1525" s="21">
        <v>328.0</v>
      </c>
      <c r="B1525" s="20" t="s">
        <v>48</v>
      </c>
      <c r="C1525" s="14" t="s">
        <v>14</v>
      </c>
      <c r="D1525" s="20" t="s">
        <v>20</v>
      </c>
      <c r="E1525" s="12" t="str">
        <f>IFERROR(__xludf.DUMMYFUNCTION("FILTER(colegios!$B$2:$B5618,colegios!$A$2:$A5618=L1525)"),"20104")</f>
        <v>20104</v>
      </c>
      <c r="F1525" s="14" t="s">
        <v>16</v>
      </c>
      <c r="G1525" s="20" t="s">
        <v>21</v>
      </c>
      <c r="H1525" s="14" t="s">
        <v>18</v>
      </c>
      <c r="I1525" s="22">
        <v>2023.0</v>
      </c>
      <c r="J1525" s="16" t="str">
        <f>IFERROR(__xludf.DUMMYFUNCTION("FILTER('CLASFICACIÓN'!$F$3:$F5618,'CLASFICACIÓN'!$G$3:$G5618=M1525)"),"2023 Y 2024")</f>
        <v>2023 Y 2024</v>
      </c>
      <c r="K1525" s="16"/>
      <c r="L1525" s="14" t="s">
        <v>122</v>
      </c>
      <c r="M1525" s="16" t="str">
        <f t="shared" si="1"/>
        <v>201044 Primaria</v>
      </c>
      <c r="N1525" s="17"/>
      <c r="O1525" s="17"/>
      <c r="P1525" s="17"/>
      <c r="Q1525" s="17"/>
      <c r="R1525" s="17"/>
      <c r="S1525" s="17"/>
      <c r="T1525" s="17"/>
    </row>
    <row r="1526">
      <c r="A1526" s="21">
        <v>329.0</v>
      </c>
      <c r="B1526" s="20" t="s">
        <v>48</v>
      </c>
      <c r="C1526" s="14" t="s">
        <v>14</v>
      </c>
      <c r="D1526" s="20" t="s">
        <v>20</v>
      </c>
      <c r="E1526" s="12" t="str">
        <f>IFERROR(__xludf.DUMMYFUNCTION("FILTER(colegios!$B$2:$B5618,colegios!$A$2:$A5618=L1526)"),"20104")</f>
        <v>20104</v>
      </c>
      <c r="F1526" s="14" t="s">
        <v>16</v>
      </c>
      <c r="G1526" s="20" t="s">
        <v>17</v>
      </c>
      <c r="H1526" s="14" t="s">
        <v>18</v>
      </c>
      <c r="I1526" s="22">
        <v>2023.0</v>
      </c>
      <c r="J1526" s="16" t="str">
        <f>IFERROR(__xludf.DUMMYFUNCTION("FILTER('CLASFICACIÓN'!$F$3:$F5618,'CLASFICACIÓN'!$G$3:$G5618=M1526)"),"2023 Y 2024")</f>
        <v>2023 Y 2024</v>
      </c>
      <c r="K1526" s="16"/>
      <c r="L1526" s="14" t="s">
        <v>122</v>
      </c>
      <c r="M1526" s="16" t="str">
        <f t="shared" si="1"/>
        <v>201044 Primaria</v>
      </c>
      <c r="N1526" s="17"/>
      <c r="O1526" s="17"/>
      <c r="P1526" s="17"/>
      <c r="Q1526" s="17"/>
      <c r="R1526" s="17"/>
      <c r="S1526" s="17"/>
      <c r="T1526" s="17"/>
    </row>
    <row r="1527">
      <c r="A1527" s="21">
        <v>330.0</v>
      </c>
      <c r="B1527" s="20" t="s">
        <v>48</v>
      </c>
      <c r="C1527" s="14" t="s">
        <v>14</v>
      </c>
      <c r="D1527" s="20" t="s">
        <v>20</v>
      </c>
      <c r="E1527" s="12" t="str">
        <f>IFERROR(__xludf.DUMMYFUNCTION("FILTER(colegios!$B$2:$B5618,colegios!$A$2:$A5618=L1527)"),"20104")</f>
        <v>20104</v>
      </c>
      <c r="F1527" s="14" t="s">
        <v>16</v>
      </c>
      <c r="G1527" s="20" t="s">
        <v>17</v>
      </c>
      <c r="H1527" s="14" t="s">
        <v>18</v>
      </c>
      <c r="I1527" s="22">
        <v>2023.0</v>
      </c>
      <c r="J1527" s="16" t="str">
        <f>IFERROR(__xludf.DUMMYFUNCTION("FILTER('CLASFICACIÓN'!$F$3:$F5618,'CLASFICACIÓN'!$G$3:$G5618=M1527)"),"2023 Y 2024")</f>
        <v>2023 Y 2024</v>
      </c>
      <c r="K1527" s="16"/>
      <c r="L1527" s="14" t="s">
        <v>122</v>
      </c>
      <c r="M1527" s="16" t="str">
        <f t="shared" si="1"/>
        <v>201044 Primaria</v>
      </c>
      <c r="N1527" s="17"/>
      <c r="O1527" s="17"/>
      <c r="P1527" s="17"/>
      <c r="Q1527" s="17"/>
      <c r="R1527" s="17"/>
      <c r="S1527" s="17"/>
      <c r="T1527" s="17"/>
    </row>
    <row r="1528">
      <c r="A1528" s="21">
        <v>331.0</v>
      </c>
      <c r="B1528" s="20" t="s">
        <v>48</v>
      </c>
      <c r="C1528" s="14" t="s">
        <v>14</v>
      </c>
      <c r="D1528" s="20" t="s">
        <v>20</v>
      </c>
      <c r="E1528" s="12" t="str">
        <f>IFERROR(__xludf.DUMMYFUNCTION("FILTER(colegios!$B$2:$B5618,colegios!$A$2:$A5618=L1528)"),"20104")</f>
        <v>20104</v>
      </c>
      <c r="F1528" s="14" t="s">
        <v>16</v>
      </c>
      <c r="G1528" s="20" t="s">
        <v>17</v>
      </c>
      <c r="H1528" s="14" t="s">
        <v>24</v>
      </c>
      <c r="I1528" s="22">
        <v>2023.0</v>
      </c>
      <c r="J1528" s="16" t="str">
        <f>IFERROR(__xludf.DUMMYFUNCTION("FILTER('CLASFICACIÓN'!$F$3:$F5618,'CLASFICACIÓN'!$G$3:$G5618=M1528)"),"2023 Y 2024")</f>
        <v>2023 Y 2024</v>
      </c>
      <c r="K1528" s="16"/>
      <c r="L1528" s="14" t="s">
        <v>122</v>
      </c>
      <c r="M1528" s="16" t="str">
        <f t="shared" si="1"/>
        <v>201044 Primaria</v>
      </c>
      <c r="N1528" s="17"/>
      <c r="O1528" s="17"/>
      <c r="P1528" s="17"/>
      <c r="Q1528" s="17"/>
      <c r="R1528" s="17"/>
      <c r="S1528" s="17"/>
      <c r="T1528" s="17"/>
    </row>
    <row r="1529">
      <c r="A1529" s="21">
        <v>332.0</v>
      </c>
      <c r="B1529" s="20" t="s">
        <v>48</v>
      </c>
      <c r="C1529" s="14" t="s">
        <v>14</v>
      </c>
      <c r="D1529" s="20" t="s">
        <v>20</v>
      </c>
      <c r="E1529" s="12" t="str">
        <f>IFERROR(__xludf.DUMMYFUNCTION("FILTER(colegios!$B$2:$B5618,colegios!$A$2:$A5618=L1529)"),"20104")</f>
        <v>20104</v>
      </c>
      <c r="F1529" s="14" t="s">
        <v>16</v>
      </c>
      <c r="G1529" s="20" t="s">
        <v>21</v>
      </c>
      <c r="H1529" s="14" t="s">
        <v>24</v>
      </c>
      <c r="I1529" s="22">
        <v>2023.0</v>
      </c>
      <c r="J1529" s="16" t="str">
        <f>IFERROR(__xludf.DUMMYFUNCTION("FILTER('CLASFICACIÓN'!$F$3:$F5618,'CLASFICACIÓN'!$G$3:$G5618=M1529)"),"2023 Y 2024")</f>
        <v>2023 Y 2024</v>
      </c>
      <c r="K1529" s="16"/>
      <c r="L1529" s="14" t="s">
        <v>122</v>
      </c>
      <c r="M1529" s="16" t="str">
        <f t="shared" si="1"/>
        <v>201044 Primaria</v>
      </c>
      <c r="N1529" s="17"/>
      <c r="O1529" s="17"/>
      <c r="P1529" s="17"/>
      <c r="Q1529" s="17"/>
      <c r="R1529" s="17"/>
      <c r="S1529" s="17"/>
      <c r="T1529" s="17"/>
    </row>
    <row r="1530">
      <c r="A1530" s="21">
        <v>333.0</v>
      </c>
      <c r="B1530" s="20" t="s">
        <v>48</v>
      </c>
      <c r="C1530" s="14" t="s">
        <v>14</v>
      </c>
      <c r="D1530" s="20" t="s">
        <v>20</v>
      </c>
      <c r="E1530" s="12" t="str">
        <f>IFERROR(__xludf.DUMMYFUNCTION("FILTER(colegios!$B$2:$B5618,colegios!$A$2:$A5618=L1530)"),"20104")</f>
        <v>20104</v>
      </c>
      <c r="F1530" s="14" t="s">
        <v>16</v>
      </c>
      <c r="G1530" s="20" t="s">
        <v>21</v>
      </c>
      <c r="H1530" s="14" t="s">
        <v>18</v>
      </c>
      <c r="I1530" s="22">
        <v>2023.0</v>
      </c>
      <c r="J1530" s="16" t="str">
        <f>IFERROR(__xludf.DUMMYFUNCTION("FILTER('CLASFICACIÓN'!$F$3:$F5618,'CLASFICACIÓN'!$G$3:$G5618=M1530)"),"2023 Y 2024")</f>
        <v>2023 Y 2024</v>
      </c>
      <c r="K1530" s="16"/>
      <c r="L1530" s="14" t="s">
        <v>122</v>
      </c>
      <c r="M1530" s="16" t="str">
        <f t="shared" si="1"/>
        <v>201044 Primaria</v>
      </c>
      <c r="N1530" s="17"/>
      <c r="O1530" s="17"/>
      <c r="P1530" s="17"/>
      <c r="Q1530" s="17"/>
      <c r="R1530" s="17"/>
      <c r="S1530" s="17"/>
      <c r="T1530" s="17"/>
    </row>
    <row r="1531">
      <c r="A1531" s="21">
        <v>334.0</v>
      </c>
      <c r="B1531" s="20" t="s">
        <v>48</v>
      </c>
      <c r="C1531" s="14" t="s">
        <v>14</v>
      </c>
      <c r="D1531" s="20" t="s">
        <v>20</v>
      </c>
      <c r="E1531" s="12" t="str">
        <f>IFERROR(__xludf.DUMMYFUNCTION("FILTER(colegios!$B$2:$B5618,colegios!$A$2:$A5618=L1531)"),"20104")</f>
        <v>20104</v>
      </c>
      <c r="F1531" s="14" t="s">
        <v>16</v>
      </c>
      <c r="G1531" s="20" t="s">
        <v>21</v>
      </c>
      <c r="H1531" s="14" t="s">
        <v>24</v>
      </c>
      <c r="I1531" s="22">
        <v>2023.0</v>
      </c>
      <c r="J1531" s="16" t="str">
        <f>IFERROR(__xludf.DUMMYFUNCTION("FILTER('CLASFICACIÓN'!$F$3:$F5618,'CLASFICACIÓN'!$G$3:$G5618=M1531)"),"2023 Y 2024")</f>
        <v>2023 Y 2024</v>
      </c>
      <c r="K1531" s="16"/>
      <c r="L1531" s="14" t="s">
        <v>122</v>
      </c>
      <c r="M1531" s="16" t="str">
        <f t="shared" si="1"/>
        <v>201044 Primaria</v>
      </c>
      <c r="N1531" s="17"/>
      <c r="O1531" s="17"/>
      <c r="P1531" s="17"/>
      <c r="Q1531" s="17"/>
      <c r="R1531" s="17"/>
      <c r="S1531" s="17"/>
      <c r="T1531" s="17"/>
    </row>
    <row r="1532">
      <c r="A1532" s="21">
        <v>335.0</v>
      </c>
      <c r="B1532" s="20" t="s">
        <v>48</v>
      </c>
      <c r="C1532" s="14" t="s">
        <v>14</v>
      </c>
      <c r="D1532" s="20" t="s">
        <v>20</v>
      </c>
      <c r="E1532" s="12" t="str">
        <f>IFERROR(__xludf.DUMMYFUNCTION("FILTER(colegios!$B$2:$B5618,colegios!$A$2:$A5618=L1532)"),"20104")</f>
        <v>20104</v>
      </c>
      <c r="F1532" s="14" t="s">
        <v>16</v>
      </c>
      <c r="G1532" s="20" t="s">
        <v>21</v>
      </c>
      <c r="H1532" s="14" t="s">
        <v>18</v>
      </c>
      <c r="I1532" s="22">
        <v>2023.0</v>
      </c>
      <c r="J1532" s="16" t="str">
        <f>IFERROR(__xludf.DUMMYFUNCTION("FILTER('CLASFICACIÓN'!$F$3:$F5618,'CLASFICACIÓN'!$G$3:$G5618=M1532)"),"2023 Y 2024")</f>
        <v>2023 Y 2024</v>
      </c>
      <c r="K1532" s="16"/>
      <c r="L1532" s="14" t="s">
        <v>122</v>
      </c>
      <c r="M1532" s="16" t="str">
        <f t="shared" si="1"/>
        <v>201044 Primaria</v>
      </c>
      <c r="N1532" s="17"/>
      <c r="O1532" s="17"/>
      <c r="P1532" s="17"/>
      <c r="Q1532" s="17"/>
      <c r="R1532" s="17"/>
      <c r="S1532" s="17"/>
      <c r="T1532" s="17"/>
    </row>
    <row r="1533">
      <c r="A1533" s="21">
        <v>336.0</v>
      </c>
      <c r="B1533" s="20" t="s">
        <v>48</v>
      </c>
      <c r="C1533" s="14" t="s">
        <v>14</v>
      </c>
      <c r="D1533" s="20" t="s">
        <v>20</v>
      </c>
      <c r="E1533" s="12" t="str">
        <f>IFERROR(__xludf.DUMMYFUNCTION("FILTER(colegios!$B$2:$B5618,colegios!$A$2:$A5618=L1533)"),"20104")</f>
        <v>20104</v>
      </c>
      <c r="F1533" s="14" t="s">
        <v>16</v>
      </c>
      <c r="G1533" s="20" t="s">
        <v>21</v>
      </c>
      <c r="H1533" s="14" t="s">
        <v>18</v>
      </c>
      <c r="I1533" s="22">
        <v>2023.0</v>
      </c>
      <c r="J1533" s="16" t="str">
        <f>IFERROR(__xludf.DUMMYFUNCTION("FILTER('CLASFICACIÓN'!$F$3:$F5618,'CLASFICACIÓN'!$G$3:$G5618=M1533)"),"2023 Y 2024")</f>
        <v>2023 Y 2024</v>
      </c>
      <c r="K1533" s="16"/>
      <c r="L1533" s="14" t="s">
        <v>122</v>
      </c>
      <c r="M1533" s="16" t="str">
        <f t="shared" si="1"/>
        <v>201044 Primaria</v>
      </c>
      <c r="N1533" s="17"/>
      <c r="O1533" s="17"/>
      <c r="P1533" s="17"/>
      <c r="Q1533" s="17"/>
      <c r="R1533" s="17"/>
      <c r="S1533" s="17"/>
      <c r="T1533" s="17"/>
    </row>
    <row r="1534">
      <c r="A1534" s="21">
        <v>337.0</v>
      </c>
      <c r="B1534" s="20" t="s">
        <v>48</v>
      </c>
      <c r="C1534" s="14" t="s">
        <v>14</v>
      </c>
      <c r="D1534" s="20" t="s">
        <v>20</v>
      </c>
      <c r="E1534" s="12" t="str">
        <f>IFERROR(__xludf.DUMMYFUNCTION("FILTER(colegios!$B$2:$B5618,colegios!$A$2:$A5618=L1534)"),"20104")</f>
        <v>20104</v>
      </c>
      <c r="F1534" s="14" t="s">
        <v>16</v>
      </c>
      <c r="G1534" s="20" t="s">
        <v>17</v>
      </c>
      <c r="H1534" s="14" t="s">
        <v>24</v>
      </c>
      <c r="I1534" s="22">
        <v>2023.0</v>
      </c>
      <c r="J1534" s="16" t="str">
        <f>IFERROR(__xludf.DUMMYFUNCTION("FILTER('CLASFICACIÓN'!$F$3:$F5618,'CLASFICACIÓN'!$G$3:$G5618=M1534)"),"2023 Y 2024")</f>
        <v>2023 Y 2024</v>
      </c>
      <c r="K1534" s="16"/>
      <c r="L1534" s="14" t="s">
        <v>122</v>
      </c>
      <c r="M1534" s="16" t="str">
        <f t="shared" si="1"/>
        <v>201044 Primaria</v>
      </c>
      <c r="N1534" s="17"/>
      <c r="O1534" s="17"/>
      <c r="P1534" s="17"/>
      <c r="Q1534" s="17"/>
      <c r="R1534" s="17"/>
      <c r="S1534" s="17"/>
      <c r="T1534" s="17"/>
    </row>
    <row r="1535">
      <c r="A1535" s="21">
        <v>338.0</v>
      </c>
      <c r="B1535" s="20" t="s">
        <v>48</v>
      </c>
      <c r="C1535" s="14" t="s">
        <v>14</v>
      </c>
      <c r="D1535" s="20" t="s">
        <v>20</v>
      </c>
      <c r="E1535" s="12" t="str">
        <f>IFERROR(__xludf.DUMMYFUNCTION("FILTER(colegios!$B$2:$B5618,colegios!$A$2:$A5618=L1535)"),"20104")</f>
        <v>20104</v>
      </c>
      <c r="F1535" s="14" t="s">
        <v>16</v>
      </c>
      <c r="G1535" s="20" t="s">
        <v>17</v>
      </c>
      <c r="H1535" s="14" t="s">
        <v>18</v>
      </c>
      <c r="I1535" s="22">
        <v>2023.0</v>
      </c>
      <c r="J1535" s="16" t="str">
        <f>IFERROR(__xludf.DUMMYFUNCTION("FILTER('CLASFICACIÓN'!$F$3:$F5618,'CLASFICACIÓN'!$G$3:$G5618=M1535)"),"2023 Y 2024")</f>
        <v>2023 Y 2024</v>
      </c>
      <c r="K1535" s="16"/>
      <c r="L1535" s="14" t="s">
        <v>122</v>
      </c>
      <c r="M1535" s="16" t="str">
        <f t="shared" si="1"/>
        <v>201044 Primaria</v>
      </c>
      <c r="N1535" s="17"/>
      <c r="O1535" s="17"/>
      <c r="P1535" s="17"/>
      <c r="Q1535" s="17"/>
      <c r="R1535" s="17"/>
      <c r="S1535" s="17"/>
      <c r="T1535" s="17"/>
    </row>
    <row r="1536">
      <c r="A1536" s="21">
        <v>339.0</v>
      </c>
      <c r="B1536" s="20" t="s">
        <v>48</v>
      </c>
      <c r="C1536" s="14" t="s">
        <v>14</v>
      </c>
      <c r="D1536" s="20" t="s">
        <v>20</v>
      </c>
      <c r="E1536" s="12" t="str">
        <f>IFERROR(__xludf.DUMMYFUNCTION("FILTER(colegios!$B$2:$B5618,colegios!$A$2:$A5618=L1536)"),"20104")</f>
        <v>20104</v>
      </c>
      <c r="F1536" s="14" t="s">
        <v>16</v>
      </c>
      <c r="G1536" s="20" t="s">
        <v>21</v>
      </c>
      <c r="H1536" s="14" t="s">
        <v>18</v>
      </c>
      <c r="I1536" s="22">
        <v>2023.0</v>
      </c>
      <c r="J1536" s="16" t="str">
        <f>IFERROR(__xludf.DUMMYFUNCTION("FILTER('CLASFICACIÓN'!$F$3:$F5618,'CLASFICACIÓN'!$G$3:$G5618=M1536)"),"2023 Y 2024")</f>
        <v>2023 Y 2024</v>
      </c>
      <c r="K1536" s="16"/>
      <c r="L1536" s="14" t="s">
        <v>122</v>
      </c>
      <c r="M1536" s="16" t="str">
        <f t="shared" si="1"/>
        <v>201044 Primaria</v>
      </c>
      <c r="N1536" s="17"/>
      <c r="O1536" s="17"/>
      <c r="P1536" s="17"/>
      <c r="Q1536" s="17"/>
      <c r="R1536" s="17"/>
      <c r="S1536" s="17"/>
      <c r="T1536" s="17"/>
    </row>
    <row r="1537">
      <c r="A1537" s="21">
        <v>340.0</v>
      </c>
      <c r="B1537" s="20" t="s">
        <v>48</v>
      </c>
      <c r="C1537" s="14" t="s">
        <v>14</v>
      </c>
      <c r="D1537" s="20" t="s">
        <v>20</v>
      </c>
      <c r="E1537" s="12" t="str">
        <f>IFERROR(__xludf.DUMMYFUNCTION("FILTER(colegios!$B$2:$B5618,colegios!$A$2:$A5618=L1537)"),"20104")</f>
        <v>20104</v>
      </c>
      <c r="F1537" s="14" t="s">
        <v>16</v>
      </c>
      <c r="G1537" s="20" t="s">
        <v>17</v>
      </c>
      <c r="H1537" s="14" t="s">
        <v>18</v>
      </c>
      <c r="I1537" s="22">
        <v>2023.0</v>
      </c>
      <c r="J1537" s="16" t="str">
        <f>IFERROR(__xludf.DUMMYFUNCTION("FILTER('CLASFICACIÓN'!$F$3:$F5618,'CLASFICACIÓN'!$G$3:$G5618=M1537)"),"2023 Y 2024")</f>
        <v>2023 Y 2024</v>
      </c>
      <c r="K1537" s="16"/>
      <c r="L1537" s="14" t="s">
        <v>122</v>
      </c>
      <c r="M1537" s="16" t="str">
        <f t="shared" si="1"/>
        <v>201044 Primaria</v>
      </c>
      <c r="N1537" s="17"/>
      <c r="O1537" s="17"/>
      <c r="P1537" s="17"/>
      <c r="Q1537" s="17"/>
      <c r="R1537" s="17"/>
      <c r="S1537" s="17"/>
      <c r="T1537" s="17"/>
    </row>
    <row r="1538">
      <c r="A1538" s="21">
        <v>341.0</v>
      </c>
      <c r="B1538" s="20" t="s">
        <v>48</v>
      </c>
      <c r="C1538" s="14" t="s">
        <v>14</v>
      </c>
      <c r="D1538" s="20" t="s">
        <v>20</v>
      </c>
      <c r="E1538" s="12" t="str">
        <f>IFERROR(__xludf.DUMMYFUNCTION("FILTER(colegios!$B$2:$B5618,colegios!$A$2:$A5618=L1538)"),"20104")</f>
        <v>20104</v>
      </c>
      <c r="F1538" s="14" t="s">
        <v>16</v>
      </c>
      <c r="G1538" s="20" t="s">
        <v>21</v>
      </c>
      <c r="H1538" s="14" t="s">
        <v>18</v>
      </c>
      <c r="I1538" s="22">
        <v>2023.0</v>
      </c>
      <c r="J1538" s="16" t="str">
        <f>IFERROR(__xludf.DUMMYFUNCTION("FILTER('CLASFICACIÓN'!$F$3:$F5618,'CLASFICACIÓN'!$G$3:$G5618=M1538)"),"2023 Y 2024")</f>
        <v>2023 Y 2024</v>
      </c>
      <c r="K1538" s="16"/>
      <c r="L1538" s="14" t="s">
        <v>122</v>
      </c>
      <c r="M1538" s="16" t="str">
        <f t="shared" si="1"/>
        <v>201044 Primaria</v>
      </c>
      <c r="N1538" s="17"/>
      <c r="O1538" s="17"/>
      <c r="P1538" s="17"/>
      <c r="Q1538" s="17"/>
      <c r="R1538" s="17"/>
      <c r="S1538" s="17"/>
      <c r="T1538" s="17"/>
    </row>
    <row r="1539">
      <c r="A1539" s="21">
        <v>342.0</v>
      </c>
      <c r="B1539" s="20" t="s">
        <v>48</v>
      </c>
      <c r="C1539" s="14" t="s">
        <v>14</v>
      </c>
      <c r="D1539" s="20" t="s">
        <v>20</v>
      </c>
      <c r="E1539" s="12" t="str">
        <f>IFERROR(__xludf.DUMMYFUNCTION("FILTER(colegios!$B$2:$B5618,colegios!$A$2:$A5618=L1539)"),"20104")</f>
        <v>20104</v>
      </c>
      <c r="F1539" s="14" t="s">
        <v>16</v>
      </c>
      <c r="G1539" s="20" t="s">
        <v>21</v>
      </c>
      <c r="H1539" s="14" t="s">
        <v>18</v>
      </c>
      <c r="I1539" s="22">
        <v>2023.0</v>
      </c>
      <c r="J1539" s="16" t="str">
        <f>IFERROR(__xludf.DUMMYFUNCTION("FILTER('CLASFICACIÓN'!$F$3:$F5618,'CLASFICACIÓN'!$G$3:$G5618=M1539)"),"2023 Y 2024")</f>
        <v>2023 Y 2024</v>
      </c>
      <c r="K1539" s="16"/>
      <c r="L1539" s="14" t="s">
        <v>122</v>
      </c>
      <c r="M1539" s="16" t="str">
        <f t="shared" si="1"/>
        <v>201044 Primaria</v>
      </c>
      <c r="N1539" s="17"/>
      <c r="O1539" s="17"/>
      <c r="P1539" s="17"/>
      <c r="Q1539" s="17"/>
      <c r="R1539" s="17"/>
      <c r="S1539" s="17"/>
      <c r="T1539" s="17"/>
    </row>
    <row r="1540">
      <c r="A1540" s="21">
        <v>343.0</v>
      </c>
      <c r="B1540" s="20" t="s">
        <v>48</v>
      </c>
      <c r="C1540" s="14" t="s">
        <v>14</v>
      </c>
      <c r="D1540" s="20" t="s">
        <v>20</v>
      </c>
      <c r="E1540" s="12" t="str">
        <f>IFERROR(__xludf.DUMMYFUNCTION("FILTER(colegios!$B$2:$B5618,colegios!$A$2:$A5618=L1540)"),"20104")</f>
        <v>20104</v>
      </c>
      <c r="F1540" s="14" t="s">
        <v>16</v>
      </c>
      <c r="G1540" s="20" t="s">
        <v>21</v>
      </c>
      <c r="H1540" s="14" t="s">
        <v>24</v>
      </c>
      <c r="I1540" s="22">
        <v>2023.0</v>
      </c>
      <c r="J1540" s="16" t="str">
        <f>IFERROR(__xludf.DUMMYFUNCTION("FILTER('CLASFICACIÓN'!$F$3:$F5618,'CLASFICACIÓN'!$G$3:$G5618=M1540)"),"2023 Y 2024")</f>
        <v>2023 Y 2024</v>
      </c>
      <c r="K1540" s="16"/>
      <c r="L1540" s="14" t="s">
        <v>122</v>
      </c>
      <c r="M1540" s="16" t="str">
        <f t="shared" si="1"/>
        <v>201044 Primaria</v>
      </c>
      <c r="N1540" s="17"/>
      <c r="O1540" s="17"/>
      <c r="P1540" s="17"/>
      <c r="Q1540" s="17"/>
      <c r="R1540" s="17"/>
      <c r="S1540" s="17"/>
      <c r="T1540" s="17"/>
    </row>
    <row r="1541">
      <c r="A1541" s="21">
        <v>344.0</v>
      </c>
      <c r="B1541" s="20" t="s">
        <v>48</v>
      </c>
      <c r="C1541" s="14" t="s">
        <v>14</v>
      </c>
      <c r="D1541" s="20" t="s">
        <v>20</v>
      </c>
      <c r="E1541" s="12" t="str">
        <f>IFERROR(__xludf.DUMMYFUNCTION("FILTER(colegios!$B$2:$B5618,colegios!$A$2:$A5618=L1541)"),"20104")</f>
        <v>20104</v>
      </c>
      <c r="F1541" s="14" t="s">
        <v>16</v>
      </c>
      <c r="G1541" s="20" t="s">
        <v>21</v>
      </c>
      <c r="H1541" s="14" t="s">
        <v>18</v>
      </c>
      <c r="I1541" s="22">
        <v>2023.0</v>
      </c>
      <c r="J1541" s="16" t="str">
        <f>IFERROR(__xludf.DUMMYFUNCTION("FILTER('CLASFICACIÓN'!$F$3:$F5618,'CLASFICACIÓN'!$G$3:$G5618=M1541)"),"2023 Y 2024")</f>
        <v>2023 Y 2024</v>
      </c>
      <c r="K1541" s="16"/>
      <c r="L1541" s="14" t="s">
        <v>122</v>
      </c>
      <c r="M1541" s="16" t="str">
        <f t="shared" si="1"/>
        <v>201044 Primaria</v>
      </c>
      <c r="N1541" s="17"/>
      <c r="O1541" s="17"/>
      <c r="P1541" s="17"/>
      <c r="Q1541" s="17"/>
      <c r="R1541" s="17"/>
      <c r="S1541" s="17"/>
      <c r="T1541" s="17"/>
    </row>
    <row r="1542">
      <c r="A1542" s="21">
        <v>345.0</v>
      </c>
      <c r="B1542" s="20" t="s">
        <v>48</v>
      </c>
      <c r="C1542" s="14" t="s">
        <v>14</v>
      </c>
      <c r="D1542" s="20" t="s">
        <v>20</v>
      </c>
      <c r="E1542" s="12" t="str">
        <f>IFERROR(__xludf.DUMMYFUNCTION("FILTER(colegios!$B$2:$B5618,colegios!$A$2:$A5618=L1542)"),"20104")</f>
        <v>20104</v>
      </c>
      <c r="F1542" s="14" t="s">
        <v>16</v>
      </c>
      <c r="G1542" s="20" t="s">
        <v>17</v>
      </c>
      <c r="H1542" s="14" t="s">
        <v>24</v>
      </c>
      <c r="I1542" s="22">
        <v>2023.0</v>
      </c>
      <c r="J1542" s="16" t="str">
        <f>IFERROR(__xludf.DUMMYFUNCTION("FILTER('CLASFICACIÓN'!$F$3:$F5618,'CLASFICACIÓN'!$G$3:$G5618=M1542)"),"2023 Y 2024")</f>
        <v>2023 Y 2024</v>
      </c>
      <c r="K1542" s="16"/>
      <c r="L1542" s="14" t="s">
        <v>122</v>
      </c>
      <c r="M1542" s="16" t="str">
        <f t="shared" si="1"/>
        <v>201044 Primaria</v>
      </c>
      <c r="N1542" s="17"/>
      <c r="O1542" s="17"/>
      <c r="P1542" s="17"/>
      <c r="Q1542" s="17"/>
      <c r="R1542" s="17"/>
      <c r="S1542" s="17"/>
      <c r="T1542" s="17"/>
    </row>
    <row r="1543">
      <c r="A1543" s="21">
        <v>346.0</v>
      </c>
      <c r="B1543" s="20" t="s">
        <v>48</v>
      </c>
      <c r="C1543" s="14" t="s">
        <v>14</v>
      </c>
      <c r="D1543" s="20" t="s">
        <v>20</v>
      </c>
      <c r="E1543" s="12" t="str">
        <f>IFERROR(__xludf.DUMMYFUNCTION("FILTER(colegios!$B$2:$B5618,colegios!$A$2:$A5618=L1543)"),"20104")</f>
        <v>20104</v>
      </c>
      <c r="F1543" s="14" t="s">
        <v>16</v>
      </c>
      <c r="G1543" s="20" t="s">
        <v>21</v>
      </c>
      <c r="H1543" s="14" t="s">
        <v>24</v>
      </c>
      <c r="I1543" s="22">
        <v>2023.0</v>
      </c>
      <c r="J1543" s="16" t="str">
        <f>IFERROR(__xludf.DUMMYFUNCTION("FILTER('CLASFICACIÓN'!$F$3:$F5618,'CLASFICACIÓN'!$G$3:$G5618=M1543)"),"2023 Y 2024")</f>
        <v>2023 Y 2024</v>
      </c>
      <c r="K1543" s="16"/>
      <c r="L1543" s="14" t="s">
        <v>122</v>
      </c>
      <c r="M1543" s="16" t="str">
        <f t="shared" si="1"/>
        <v>201044 Primaria</v>
      </c>
      <c r="N1543" s="17"/>
      <c r="O1543" s="17"/>
      <c r="P1543" s="17"/>
      <c r="Q1543" s="17"/>
      <c r="R1543" s="17"/>
      <c r="S1543" s="17"/>
      <c r="T1543" s="17"/>
    </row>
    <row r="1544">
      <c r="A1544" s="21">
        <v>347.0</v>
      </c>
      <c r="B1544" s="20" t="s">
        <v>48</v>
      </c>
      <c r="C1544" s="14" t="s">
        <v>14</v>
      </c>
      <c r="D1544" s="20" t="s">
        <v>22</v>
      </c>
      <c r="E1544" s="12" t="str">
        <f>IFERROR(__xludf.DUMMYFUNCTION("FILTER(colegios!$B$2:$B5618,colegios!$A$2:$A5618=L1544)"),"20104")</f>
        <v>20104</v>
      </c>
      <c r="F1544" s="14" t="s">
        <v>16</v>
      </c>
      <c r="G1544" s="20" t="s">
        <v>17</v>
      </c>
      <c r="H1544" s="14" t="s">
        <v>24</v>
      </c>
      <c r="I1544" s="22">
        <v>2023.0</v>
      </c>
      <c r="J1544" s="16" t="str">
        <f>IFERROR(__xludf.DUMMYFUNCTION("FILTER('CLASFICACIÓN'!$F$3:$F5618,'CLASFICACIÓN'!$G$3:$G5618=M1544)"),"2023 Y 2024")</f>
        <v>2023 Y 2024</v>
      </c>
      <c r="K1544" s="16"/>
      <c r="L1544" s="14" t="s">
        <v>122</v>
      </c>
      <c r="M1544" s="16" t="str">
        <f t="shared" si="1"/>
        <v>201046 Primaria</v>
      </c>
      <c r="N1544" s="17"/>
      <c r="O1544" s="17"/>
      <c r="P1544" s="17"/>
      <c r="Q1544" s="17"/>
      <c r="R1544" s="17"/>
      <c r="S1544" s="17"/>
      <c r="T1544" s="17"/>
    </row>
    <row r="1545">
      <c r="A1545" s="21">
        <v>348.0</v>
      </c>
      <c r="B1545" s="20" t="s">
        <v>48</v>
      </c>
      <c r="C1545" s="14" t="s">
        <v>14</v>
      </c>
      <c r="D1545" s="20" t="s">
        <v>22</v>
      </c>
      <c r="E1545" s="12" t="str">
        <f>IFERROR(__xludf.DUMMYFUNCTION("FILTER(colegios!$B$2:$B5618,colegios!$A$2:$A5618=L1545)"),"20104")</f>
        <v>20104</v>
      </c>
      <c r="F1545" s="14" t="s">
        <v>16</v>
      </c>
      <c r="G1545" s="20" t="s">
        <v>21</v>
      </c>
      <c r="H1545" s="14" t="s">
        <v>18</v>
      </c>
      <c r="I1545" s="22">
        <v>2023.0</v>
      </c>
      <c r="J1545" s="16" t="str">
        <f>IFERROR(__xludf.DUMMYFUNCTION("FILTER('CLASFICACIÓN'!$F$3:$F5618,'CLASFICACIÓN'!$G$3:$G5618=M1545)"),"2023 Y 2024")</f>
        <v>2023 Y 2024</v>
      </c>
      <c r="K1545" s="16"/>
      <c r="L1545" s="14" t="s">
        <v>122</v>
      </c>
      <c r="M1545" s="16" t="str">
        <f t="shared" si="1"/>
        <v>201046 Primaria</v>
      </c>
      <c r="N1545" s="17"/>
      <c r="O1545" s="17"/>
      <c r="P1545" s="17"/>
      <c r="Q1545" s="17"/>
      <c r="R1545" s="17"/>
      <c r="S1545" s="17"/>
      <c r="T1545" s="17"/>
    </row>
    <row r="1546">
      <c r="A1546" s="21">
        <v>349.0</v>
      </c>
      <c r="B1546" s="20" t="s">
        <v>48</v>
      </c>
      <c r="C1546" s="14" t="s">
        <v>14</v>
      </c>
      <c r="D1546" s="20" t="s">
        <v>22</v>
      </c>
      <c r="E1546" s="12" t="str">
        <f>IFERROR(__xludf.DUMMYFUNCTION("FILTER(colegios!$B$2:$B5618,colegios!$A$2:$A5618=L1546)"),"20104")</f>
        <v>20104</v>
      </c>
      <c r="F1546" s="14" t="s">
        <v>16</v>
      </c>
      <c r="G1546" s="20" t="s">
        <v>21</v>
      </c>
      <c r="H1546" s="14" t="s">
        <v>18</v>
      </c>
      <c r="I1546" s="22">
        <v>2023.0</v>
      </c>
      <c r="J1546" s="16" t="str">
        <f>IFERROR(__xludf.DUMMYFUNCTION("FILTER('CLASFICACIÓN'!$F$3:$F5618,'CLASFICACIÓN'!$G$3:$G5618=M1546)"),"2023 Y 2024")</f>
        <v>2023 Y 2024</v>
      </c>
      <c r="K1546" s="16"/>
      <c r="L1546" s="14" t="s">
        <v>122</v>
      </c>
      <c r="M1546" s="16" t="str">
        <f t="shared" si="1"/>
        <v>201046 Primaria</v>
      </c>
      <c r="N1546" s="17"/>
      <c r="O1546" s="17"/>
      <c r="P1546" s="17"/>
      <c r="Q1546" s="17"/>
      <c r="R1546" s="17"/>
      <c r="S1546" s="17"/>
      <c r="T1546" s="17"/>
    </row>
    <row r="1547">
      <c r="A1547" s="21">
        <v>350.0</v>
      </c>
      <c r="B1547" s="20" t="s">
        <v>48</v>
      </c>
      <c r="C1547" s="14" t="s">
        <v>14</v>
      </c>
      <c r="D1547" s="20" t="s">
        <v>22</v>
      </c>
      <c r="E1547" s="12" t="str">
        <f>IFERROR(__xludf.DUMMYFUNCTION("FILTER(colegios!$B$2:$B5618,colegios!$A$2:$A5618=L1547)"),"20104")</f>
        <v>20104</v>
      </c>
      <c r="F1547" s="14" t="s">
        <v>16</v>
      </c>
      <c r="G1547" s="20" t="s">
        <v>21</v>
      </c>
      <c r="H1547" s="14" t="s">
        <v>18</v>
      </c>
      <c r="I1547" s="22">
        <v>2023.0</v>
      </c>
      <c r="J1547" s="16" t="str">
        <f>IFERROR(__xludf.DUMMYFUNCTION("FILTER('CLASFICACIÓN'!$F$3:$F5618,'CLASFICACIÓN'!$G$3:$G5618=M1547)"),"2023 Y 2024")</f>
        <v>2023 Y 2024</v>
      </c>
      <c r="K1547" s="16"/>
      <c r="L1547" s="14" t="s">
        <v>122</v>
      </c>
      <c r="M1547" s="16" t="str">
        <f t="shared" si="1"/>
        <v>201046 Primaria</v>
      </c>
      <c r="N1547" s="17"/>
      <c r="O1547" s="17"/>
      <c r="P1547" s="17"/>
      <c r="Q1547" s="17"/>
      <c r="R1547" s="17"/>
      <c r="S1547" s="17"/>
      <c r="T1547" s="17"/>
    </row>
    <row r="1548">
      <c r="A1548" s="21">
        <v>351.0</v>
      </c>
      <c r="B1548" s="20" t="s">
        <v>48</v>
      </c>
      <c r="C1548" s="14" t="s">
        <v>14</v>
      </c>
      <c r="D1548" s="20" t="s">
        <v>22</v>
      </c>
      <c r="E1548" s="12" t="str">
        <f>IFERROR(__xludf.DUMMYFUNCTION("FILTER(colegios!$B$2:$B5618,colegios!$A$2:$A5618=L1548)"),"20104")</f>
        <v>20104</v>
      </c>
      <c r="F1548" s="14" t="s">
        <v>16</v>
      </c>
      <c r="G1548" s="20" t="s">
        <v>21</v>
      </c>
      <c r="H1548" s="14" t="s">
        <v>18</v>
      </c>
      <c r="I1548" s="22">
        <v>2023.0</v>
      </c>
      <c r="J1548" s="16" t="str">
        <f>IFERROR(__xludf.DUMMYFUNCTION("FILTER('CLASFICACIÓN'!$F$3:$F5618,'CLASFICACIÓN'!$G$3:$G5618=M1548)"),"2023 Y 2024")</f>
        <v>2023 Y 2024</v>
      </c>
      <c r="K1548" s="16"/>
      <c r="L1548" s="14" t="s">
        <v>122</v>
      </c>
      <c r="M1548" s="16" t="str">
        <f t="shared" si="1"/>
        <v>201046 Primaria</v>
      </c>
      <c r="N1548" s="17"/>
      <c r="O1548" s="17"/>
      <c r="P1548" s="17"/>
      <c r="Q1548" s="17"/>
      <c r="R1548" s="17"/>
      <c r="S1548" s="17"/>
      <c r="T1548" s="17"/>
    </row>
    <row r="1549">
      <c r="A1549" s="21">
        <v>352.0</v>
      </c>
      <c r="B1549" s="20" t="s">
        <v>48</v>
      </c>
      <c r="C1549" s="14" t="s">
        <v>14</v>
      </c>
      <c r="D1549" s="20" t="s">
        <v>22</v>
      </c>
      <c r="E1549" s="12" t="str">
        <f>IFERROR(__xludf.DUMMYFUNCTION("FILTER(colegios!$B$2:$B5618,colegios!$A$2:$A5618=L1549)"),"20104")</f>
        <v>20104</v>
      </c>
      <c r="F1549" s="14" t="s">
        <v>16</v>
      </c>
      <c r="G1549" s="20" t="s">
        <v>21</v>
      </c>
      <c r="H1549" s="14" t="s">
        <v>18</v>
      </c>
      <c r="I1549" s="22">
        <v>2023.0</v>
      </c>
      <c r="J1549" s="16" t="str">
        <f>IFERROR(__xludf.DUMMYFUNCTION("FILTER('CLASFICACIÓN'!$F$3:$F5618,'CLASFICACIÓN'!$G$3:$G5618=M1549)"),"2023 Y 2024")</f>
        <v>2023 Y 2024</v>
      </c>
      <c r="K1549" s="16"/>
      <c r="L1549" s="14" t="s">
        <v>122</v>
      </c>
      <c r="M1549" s="16" t="str">
        <f t="shared" si="1"/>
        <v>201046 Primaria</v>
      </c>
      <c r="N1549" s="17"/>
      <c r="O1549" s="17"/>
      <c r="P1549" s="17"/>
      <c r="Q1549" s="17"/>
      <c r="R1549" s="17"/>
      <c r="S1549" s="17"/>
      <c r="T1549" s="17"/>
    </row>
    <row r="1550">
      <c r="A1550" s="21">
        <v>353.0</v>
      </c>
      <c r="B1550" s="20" t="s">
        <v>48</v>
      </c>
      <c r="C1550" s="14" t="s">
        <v>14</v>
      </c>
      <c r="D1550" s="20" t="s">
        <v>22</v>
      </c>
      <c r="E1550" s="12" t="str">
        <f>IFERROR(__xludf.DUMMYFUNCTION("FILTER(colegios!$B$2:$B5618,colegios!$A$2:$A5618=L1550)"),"20104")</f>
        <v>20104</v>
      </c>
      <c r="F1550" s="14" t="s">
        <v>16</v>
      </c>
      <c r="G1550" s="20" t="s">
        <v>17</v>
      </c>
      <c r="H1550" s="14" t="s">
        <v>18</v>
      </c>
      <c r="I1550" s="22">
        <v>2023.0</v>
      </c>
      <c r="J1550" s="16" t="str">
        <f>IFERROR(__xludf.DUMMYFUNCTION("FILTER('CLASFICACIÓN'!$F$3:$F5618,'CLASFICACIÓN'!$G$3:$G5618=M1550)"),"2023 Y 2024")</f>
        <v>2023 Y 2024</v>
      </c>
      <c r="K1550" s="16"/>
      <c r="L1550" s="14" t="s">
        <v>122</v>
      </c>
      <c r="M1550" s="16" t="str">
        <f t="shared" si="1"/>
        <v>201046 Primaria</v>
      </c>
      <c r="N1550" s="17"/>
      <c r="O1550" s="17"/>
      <c r="P1550" s="17"/>
      <c r="Q1550" s="17"/>
      <c r="R1550" s="17"/>
      <c r="S1550" s="17"/>
      <c r="T1550" s="17"/>
    </row>
    <row r="1551">
      <c r="A1551" s="21">
        <v>354.0</v>
      </c>
      <c r="B1551" s="20" t="s">
        <v>48</v>
      </c>
      <c r="C1551" s="14" t="s">
        <v>14</v>
      </c>
      <c r="D1551" s="20" t="s">
        <v>22</v>
      </c>
      <c r="E1551" s="12" t="str">
        <f>IFERROR(__xludf.DUMMYFUNCTION("FILTER(colegios!$B$2:$B5618,colegios!$A$2:$A5618=L1551)"),"20104")</f>
        <v>20104</v>
      </c>
      <c r="F1551" s="14" t="s">
        <v>16</v>
      </c>
      <c r="G1551" s="20" t="s">
        <v>17</v>
      </c>
      <c r="H1551" s="14" t="s">
        <v>18</v>
      </c>
      <c r="I1551" s="22">
        <v>2023.0</v>
      </c>
      <c r="J1551" s="16" t="str">
        <f>IFERROR(__xludf.DUMMYFUNCTION("FILTER('CLASFICACIÓN'!$F$3:$F5618,'CLASFICACIÓN'!$G$3:$G5618=M1551)"),"2023 Y 2024")</f>
        <v>2023 Y 2024</v>
      </c>
      <c r="K1551" s="16"/>
      <c r="L1551" s="14" t="s">
        <v>122</v>
      </c>
      <c r="M1551" s="16" t="str">
        <f t="shared" si="1"/>
        <v>201046 Primaria</v>
      </c>
      <c r="N1551" s="17"/>
      <c r="O1551" s="17"/>
      <c r="P1551" s="17"/>
      <c r="Q1551" s="17"/>
      <c r="R1551" s="17"/>
      <c r="S1551" s="17"/>
      <c r="T1551" s="17"/>
    </row>
    <row r="1552">
      <c r="A1552" s="21">
        <v>355.0</v>
      </c>
      <c r="B1552" s="20" t="s">
        <v>48</v>
      </c>
      <c r="C1552" s="14" t="s">
        <v>14</v>
      </c>
      <c r="D1552" s="20" t="s">
        <v>22</v>
      </c>
      <c r="E1552" s="12" t="str">
        <f>IFERROR(__xludf.DUMMYFUNCTION("FILTER(colegios!$B$2:$B5618,colegios!$A$2:$A5618=L1552)"),"20104")</f>
        <v>20104</v>
      </c>
      <c r="F1552" s="14" t="s">
        <v>16</v>
      </c>
      <c r="G1552" s="20" t="s">
        <v>21</v>
      </c>
      <c r="H1552" s="14" t="s">
        <v>18</v>
      </c>
      <c r="I1552" s="22">
        <v>2023.0</v>
      </c>
      <c r="J1552" s="16" t="str">
        <f>IFERROR(__xludf.DUMMYFUNCTION("FILTER('CLASFICACIÓN'!$F$3:$F5618,'CLASFICACIÓN'!$G$3:$G5618=M1552)"),"2023 Y 2024")</f>
        <v>2023 Y 2024</v>
      </c>
      <c r="K1552" s="16"/>
      <c r="L1552" s="14" t="s">
        <v>122</v>
      </c>
      <c r="M1552" s="16" t="str">
        <f t="shared" si="1"/>
        <v>201046 Primaria</v>
      </c>
      <c r="N1552" s="17"/>
      <c r="O1552" s="17"/>
      <c r="P1552" s="17"/>
      <c r="Q1552" s="17"/>
      <c r="R1552" s="17"/>
      <c r="S1552" s="17"/>
      <c r="T1552" s="17"/>
    </row>
    <row r="1553">
      <c r="A1553" s="21">
        <v>356.0</v>
      </c>
      <c r="B1553" s="20" t="s">
        <v>48</v>
      </c>
      <c r="C1553" s="14" t="s">
        <v>14</v>
      </c>
      <c r="D1553" s="20" t="s">
        <v>22</v>
      </c>
      <c r="E1553" s="12" t="str">
        <f>IFERROR(__xludf.DUMMYFUNCTION("FILTER(colegios!$B$2:$B5618,colegios!$A$2:$A5618=L1553)"),"20104")</f>
        <v>20104</v>
      </c>
      <c r="F1553" s="14" t="s">
        <v>16</v>
      </c>
      <c r="G1553" s="20" t="s">
        <v>21</v>
      </c>
      <c r="H1553" s="14" t="s">
        <v>18</v>
      </c>
      <c r="I1553" s="22">
        <v>2023.0</v>
      </c>
      <c r="J1553" s="16" t="str">
        <f>IFERROR(__xludf.DUMMYFUNCTION("FILTER('CLASFICACIÓN'!$F$3:$F5618,'CLASFICACIÓN'!$G$3:$G5618=M1553)"),"2023 Y 2024")</f>
        <v>2023 Y 2024</v>
      </c>
      <c r="K1553" s="16"/>
      <c r="L1553" s="14" t="s">
        <v>122</v>
      </c>
      <c r="M1553" s="16" t="str">
        <f t="shared" si="1"/>
        <v>201046 Primaria</v>
      </c>
      <c r="N1553" s="17"/>
      <c r="O1553" s="17"/>
      <c r="P1553" s="17"/>
      <c r="Q1553" s="17"/>
      <c r="R1553" s="17"/>
      <c r="S1553" s="17"/>
      <c r="T1553" s="17"/>
    </row>
    <row r="1554">
      <c r="A1554" s="21">
        <v>357.0</v>
      </c>
      <c r="B1554" s="20" t="s">
        <v>48</v>
      </c>
      <c r="C1554" s="14" t="s">
        <v>14</v>
      </c>
      <c r="D1554" s="20" t="s">
        <v>22</v>
      </c>
      <c r="E1554" s="12" t="str">
        <f>IFERROR(__xludf.DUMMYFUNCTION("FILTER(colegios!$B$2:$B5618,colegios!$A$2:$A5618=L1554)"),"20104")</f>
        <v>20104</v>
      </c>
      <c r="F1554" s="14" t="s">
        <v>16</v>
      </c>
      <c r="G1554" s="20" t="s">
        <v>21</v>
      </c>
      <c r="H1554" s="14" t="s">
        <v>18</v>
      </c>
      <c r="I1554" s="22">
        <v>2023.0</v>
      </c>
      <c r="J1554" s="16" t="str">
        <f>IFERROR(__xludf.DUMMYFUNCTION("FILTER('CLASFICACIÓN'!$F$3:$F5618,'CLASFICACIÓN'!$G$3:$G5618=M1554)"),"2023 Y 2024")</f>
        <v>2023 Y 2024</v>
      </c>
      <c r="K1554" s="16"/>
      <c r="L1554" s="14" t="s">
        <v>122</v>
      </c>
      <c r="M1554" s="16" t="str">
        <f t="shared" si="1"/>
        <v>201046 Primaria</v>
      </c>
      <c r="N1554" s="17"/>
      <c r="O1554" s="17"/>
      <c r="P1554" s="17"/>
      <c r="Q1554" s="17"/>
      <c r="R1554" s="17"/>
      <c r="S1554" s="17"/>
      <c r="T1554" s="17"/>
    </row>
    <row r="1555">
      <c r="A1555" s="21">
        <v>358.0</v>
      </c>
      <c r="B1555" s="20" t="s">
        <v>48</v>
      </c>
      <c r="C1555" s="14" t="s">
        <v>14</v>
      </c>
      <c r="D1555" s="20" t="s">
        <v>22</v>
      </c>
      <c r="E1555" s="12" t="str">
        <f>IFERROR(__xludf.DUMMYFUNCTION("FILTER(colegios!$B$2:$B5618,colegios!$A$2:$A5618=L1555)"),"20104")</f>
        <v>20104</v>
      </c>
      <c r="F1555" s="14" t="s">
        <v>16</v>
      </c>
      <c r="G1555" s="20" t="s">
        <v>17</v>
      </c>
      <c r="H1555" s="14" t="s">
        <v>18</v>
      </c>
      <c r="I1555" s="22">
        <v>2023.0</v>
      </c>
      <c r="J1555" s="16" t="str">
        <f>IFERROR(__xludf.DUMMYFUNCTION("FILTER('CLASFICACIÓN'!$F$3:$F5618,'CLASFICACIÓN'!$G$3:$G5618=M1555)"),"2023 Y 2024")</f>
        <v>2023 Y 2024</v>
      </c>
      <c r="K1555" s="16"/>
      <c r="L1555" s="14" t="s">
        <v>122</v>
      </c>
      <c r="M1555" s="16" t="str">
        <f t="shared" si="1"/>
        <v>201046 Primaria</v>
      </c>
      <c r="N1555" s="17"/>
      <c r="O1555" s="17"/>
      <c r="P1555" s="17"/>
      <c r="Q1555" s="17"/>
      <c r="R1555" s="17"/>
      <c r="S1555" s="17"/>
      <c r="T1555" s="17"/>
    </row>
    <row r="1556">
      <c r="A1556" s="21">
        <v>359.0</v>
      </c>
      <c r="B1556" s="20" t="s">
        <v>48</v>
      </c>
      <c r="C1556" s="14" t="s">
        <v>14</v>
      </c>
      <c r="D1556" s="20" t="s">
        <v>22</v>
      </c>
      <c r="E1556" s="12" t="str">
        <f>IFERROR(__xludf.DUMMYFUNCTION("FILTER(colegios!$B$2:$B5618,colegios!$A$2:$A5618=L1556)"),"20104")</f>
        <v>20104</v>
      </c>
      <c r="F1556" s="14" t="s">
        <v>16</v>
      </c>
      <c r="G1556" s="20" t="s">
        <v>21</v>
      </c>
      <c r="H1556" s="14" t="s">
        <v>18</v>
      </c>
      <c r="I1556" s="22">
        <v>2023.0</v>
      </c>
      <c r="J1556" s="16" t="str">
        <f>IFERROR(__xludf.DUMMYFUNCTION("FILTER('CLASFICACIÓN'!$F$3:$F5618,'CLASFICACIÓN'!$G$3:$G5618=M1556)"),"2023 Y 2024")</f>
        <v>2023 Y 2024</v>
      </c>
      <c r="K1556" s="16"/>
      <c r="L1556" s="14" t="s">
        <v>122</v>
      </c>
      <c r="M1556" s="16" t="str">
        <f t="shared" si="1"/>
        <v>201046 Primaria</v>
      </c>
      <c r="N1556" s="17"/>
      <c r="O1556" s="17"/>
      <c r="P1556" s="17"/>
      <c r="Q1556" s="17"/>
      <c r="R1556" s="17"/>
      <c r="S1556" s="17"/>
      <c r="T1556" s="17"/>
    </row>
    <row r="1557">
      <c r="A1557" s="21">
        <v>360.0</v>
      </c>
      <c r="B1557" s="20" t="s">
        <v>48</v>
      </c>
      <c r="C1557" s="14" t="s">
        <v>14</v>
      </c>
      <c r="D1557" s="20" t="s">
        <v>22</v>
      </c>
      <c r="E1557" s="12" t="str">
        <f>IFERROR(__xludf.DUMMYFUNCTION("FILTER(colegios!$B$2:$B5618,colegios!$A$2:$A5618=L1557)"),"20104")</f>
        <v>20104</v>
      </c>
      <c r="F1557" s="14" t="s">
        <v>16</v>
      </c>
      <c r="G1557" s="20" t="s">
        <v>17</v>
      </c>
      <c r="H1557" s="14" t="s">
        <v>24</v>
      </c>
      <c r="I1557" s="22">
        <v>2023.0</v>
      </c>
      <c r="J1557" s="16" t="str">
        <f>IFERROR(__xludf.DUMMYFUNCTION("FILTER('CLASFICACIÓN'!$F$3:$F5618,'CLASFICACIÓN'!$G$3:$G5618=M1557)"),"2023 Y 2024")</f>
        <v>2023 Y 2024</v>
      </c>
      <c r="K1557" s="16"/>
      <c r="L1557" s="14" t="s">
        <v>122</v>
      </c>
      <c r="M1557" s="16" t="str">
        <f t="shared" si="1"/>
        <v>201046 Primaria</v>
      </c>
      <c r="N1557" s="17"/>
      <c r="O1557" s="17"/>
      <c r="P1557" s="17"/>
      <c r="Q1557" s="17"/>
      <c r="R1557" s="17"/>
      <c r="S1557" s="17"/>
      <c r="T1557" s="17"/>
    </row>
    <row r="1558">
      <c r="A1558" s="21">
        <v>361.0</v>
      </c>
      <c r="B1558" s="20" t="s">
        <v>48</v>
      </c>
      <c r="C1558" s="14" t="s">
        <v>14</v>
      </c>
      <c r="D1558" s="20" t="s">
        <v>22</v>
      </c>
      <c r="E1558" s="12" t="str">
        <f>IFERROR(__xludf.DUMMYFUNCTION("FILTER(colegios!$B$2:$B5618,colegios!$A$2:$A5618=L1558)"),"20104")</f>
        <v>20104</v>
      </c>
      <c r="F1558" s="14" t="s">
        <v>16</v>
      </c>
      <c r="G1558" s="20" t="s">
        <v>17</v>
      </c>
      <c r="H1558" s="14" t="s">
        <v>18</v>
      </c>
      <c r="I1558" s="22">
        <v>2023.0</v>
      </c>
      <c r="J1558" s="16" t="str">
        <f>IFERROR(__xludf.DUMMYFUNCTION("FILTER('CLASFICACIÓN'!$F$3:$F5618,'CLASFICACIÓN'!$G$3:$G5618=M1558)"),"2023 Y 2024")</f>
        <v>2023 Y 2024</v>
      </c>
      <c r="K1558" s="16"/>
      <c r="L1558" s="14" t="s">
        <v>122</v>
      </c>
      <c r="M1558" s="16" t="str">
        <f t="shared" si="1"/>
        <v>201046 Primaria</v>
      </c>
      <c r="N1558" s="17"/>
      <c r="O1558" s="17"/>
      <c r="P1558" s="17"/>
      <c r="Q1558" s="17"/>
      <c r="R1558" s="17"/>
      <c r="S1558" s="17"/>
      <c r="T1558" s="17"/>
    </row>
    <row r="1559">
      <c r="A1559" s="21">
        <v>362.0</v>
      </c>
      <c r="B1559" s="20" t="s">
        <v>48</v>
      </c>
      <c r="C1559" s="14" t="s">
        <v>14</v>
      </c>
      <c r="D1559" s="20" t="s">
        <v>22</v>
      </c>
      <c r="E1559" s="12" t="str">
        <f>IFERROR(__xludf.DUMMYFUNCTION("FILTER(colegios!$B$2:$B5618,colegios!$A$2:$A5618=L1559)"),"20104")</f>
        <v>20104</v>
      </c>
      <c r="F1559" s="14" t="s">
        <v>16</v>
      </c>
      <c r="G1559" s="20" t="s">
        <v>17</v>
      </c>
      <c r="H1559" s="14" t="s">
        <v>18</v>
      </c>
      <c r="I1559" s="22">
        <v>2023.0</v>
      </c>
      <c r="J1559" s="16" t="str">
        <f>IFERROR(__xludf.DUMMYFUNCTION("FILTER('CLASFICACIÓN'!$F$3:$F5618,'CLASFICACIÓN'!$G$3:$G5618=M1559)"),"2023 Y 2024")</f>
        <v>2023 Y 2024</v>
      </c>
      <c r="K1559" s="16"/>
      <c r="L1559" s="14" t="s">
        <v>122</v>
      </c>
      <c r="M1559" s="16" t="str">
        <f t="shared" si="1"/>
        <v>201046 Primaria</v>
      </c>
      <c r="N1559" s="17"/>
      <c r="O1559" s="17"/>
      <c r="P1559" s="17"/>
      <c r="Q1559" s="17"/>
      <c r="R1559" s="17"/>
      <c r="S1559" s="17"/>
      <c r="T1559" s="17"/>
    </row>
    <row r="1560">
      <c r="A1560" s="21">
        <v>363.0</v>
      </c>
      <c r="B1560" s="20" t="s">
        <v>48</v>
      </c>
      <c r="C1560" s="14" t="s">
        <v>14</v>
      </c>
      <c r="D1560" s="20" t="s">
        <v>22</v>
      </c>
      <c r="E1560" s="12" t="str">
        <f>IFERROR(__xludf.DUMMYFUNCTION("FILTER(colegios!$B$2:$B5618,colegios!$A$2:$A5618=L1560)"),"20104")</f>
        <v>20104</v>
      </c>
      <c r="F1560" s="14" t="s">
        <v>16</v>
      </c>
      <c r="G1560" s="20" t="s">
        <v>21</v>
      </c>
      <c r="H1560" s="14" t="s">
        <v>18</v>
      </c>
      <c r="I1560" s="22">
        <v>2023.0</v>
      </c>
      <c r="J1560" s="16" t="str">
        <f>IFERROR(__xludf.DUMMYFUNCTION("FILTER('CLASFICACIÓN'!$F$3:$F5618,'CLASFICACIÓN'!$G$3:$G5618=M1560)"),"2023 Y 2024")</f>
        <v>2023 Y 2024</v>
      </c>
      <c r="K1560" s="16"/>
      <c r="L1560" s="14" t="s">
        <v>122</v>
      </c>
      <c r="M1560" s="16" t="str">
        <f t="shared" si="1"/>
        <v>201046 Primaria</v>
      </c>
      <c r="N1560" s="17"/>
      <c r="O1560" s="17"/>
      <c r="P1560" s="17"/>
      <c r="Q1560" s="17"/>
      <c r="R1560" s="17"/>
      <c r="S1560" s="17"/>
      <c r="T1560" s="17"/>
    </row>
    <row r="1561">
      <c r="A1561" s="21">
        <v>364.0</v>
      </c>
      <c r="B1561" s="20" t="s">
        <v>48</v>
      </c>
      <c r="C1561" s="14" t="s">
        <v>14</v>
      </c>
      <c r="D1561" s="20" t="s">
        <v>22</v>
      </c>
      <c r="E1561" s="12" t="str">
        <f>IFERROR(__xludf.DUMMYFUNCTION("FILTER(colegios!$B$2:$B5618,colegios!$A$2:$A5618=L1561)"),"20104")</f>
        <v>20104</v>
      </c>
      <c r="F1561" s="14" t="s">
        <v>16</v>
      </c>
      <c r="G1561" s="20" t="s">
        <v>17</v>
      </c>
      <c r="H1561" s="14" t="s">
        <v>18</v>
      </c>
      <c r="I1561" s="22">
        <v>2023.0</v>
      </c>
      <c r="J1561" s="16" t="str">
        <f>IFERROR(__xludf.DUMMYFUNCTION("FILTER('CLASFICACIÓN'!$F$3:$F5618,'CLASFICACIÓN'!$G$3:$G5618=M1561)"),"2023 Y 2024")</f>
        <v>2023 Y 2024</v>
      </c>
      <c r="K1561" s="16"/>
      <c r="L1561" s="14" t="s">
        <v>122</v>
      </c>
      <c r="M1561" s="16" t="str">
        <f t="shared" si="1"/>
        <v>201046 Primaria</v>
      </c>
      <c r="N1561" s="17"/>
      <c r="O1561" s="17"/>
      <c r="P1561" s="17"/>
      <c r="Q1561" s="17"/>
      <c r="R1561" s="17"/>
      <c r="S1561" s="17"/>
      <c r="T1561" s="17"/>
    </row>
    <row r="1562">
      <c r="A1562" s="21">
        <v>365.0</v>
      </c>
      <c r="B1562" s="20" t="s">
        <v>48</v>
      </c>
      <c r="C1562" s="14" t="s">
        <v>14</v>
      </c>
      <c r="D1562" s="20" t="s">
        <v>22</v>
      </c>
      <c r="E1562" s="12" t="str">
        <f>IFERROR(__xludf.DUMMYFUNCTION("FILTER(colegios!$B$2:$B5618,colegios!$A$2:$A5618=L1562)"),"20104")</f>
        <v>20104</v>
      </c>
      <c r="F1562" s="14" t="s">
        <v>16</v>
      </c>
      <c r="G1562" s="20" t="s">
        <v>17</v>
      </c>
      <c r="H1562" s="14" t="s">
        <v>18</v>
      </c>
      <c r="I1562" s="22">
        <v>2023.0</v>
      </c>
      <c r="J1562" s="16" t="str">
        <f>IFERROR(__xludf.DUMMYFUNCTION("FILTER('CLASFICACIÓN'!$F$3:$F5618,'CLASFICACIÓN'!$G$3:$G5618=M1562)"),"2023 Y 2024")</f>
        <v>2023 Y 2024</v>
      </c>
      <c r="K1562" s="16"/>
      <c r="L1562" s="14" t="s">
        <v>122</v>
      </c>
      <c r="M1562" s="16" t="str">
        <f t="shared" si="1"/>
        <v>201046 Primaria</v>
      </c>
      <c r="N1562" s="17"/>
      <c r="O1562" s="17"/>
      <c r="P1562" s="17"/>
      <c r="Q1562" s="17"/>
      <c r="R1562" s="17"/>
      <c r="S1562" s="17"/>
      <c r="T1562" s="17"/>
    </row>
    <row r="1563">
      <c r="A1563" s="21">
        <v>366.0</v>
      </c>
      <c r="B1563" s="20" t="s">
        <v>48</v>
      </c>
      <c r="C1563" s="14" t="s">
        <v>14</v>
      </c>
      <c r="D1563" s="20" t="s">
        <v>15</v>
      </c>
      <c r="E1563" s="12" t="str">
        <f>IFERROR(__xludf.DUMMYFUNCTION("FILTER(colegios!$B$2:$B5618,colegios!$A$2:$A5618=L1563)"),"15304")</f>
        <v>15304</v>
      </c>
      <c r="F1563" s="14" t="s">
        <v>16</v>
      </c>
      <c r="G1563" s="20" t="s">
        <v>17</v>
      </c>
      <c r="H1563" s="14" t="s">
        <v>24</v>
      </c>
      <c r="I1563" s="22">
        <v>2023.0</v>
      </c>
      <c r="J1563" s="16" t="str">
        <f>IFERROR(__xludf.DUMMYFUNCTION("FILTER('CLASFICACIÓN'!$F$3:$F5618,'CLASFICACIÓN'!$G$3:$G5618=M1563)"),"2023 Y 2024")</f>
        <v>2023 Y 2024</v>
      </c>
      <c r="K1563" s="16"/>
      <c r="L1563" s="14" t="s">
        <v>123</v>
      </c>
      <c r="M1563" s="16" t="str">
        <f t="shared" si="1"/>
        <v>153042 Primaria</v>
      </c>
      <c r="N1563" s="17"/>
      <c r="O1563" s="17"/>
      <c r="P1563" s="17"/>
      <c r="Q1563" s="17"/>
      <c r="R1563" s="17"/>
      <c r="S1563" s="17"/>
      <c r="T1563" s="17"/>
    </row>
    <row r="1564">
      <c r="A1564" s="21">
        <v>367.0</v>
      </c>
      <c r="B1564" s="20" t="s">
        <v>48</v>
      </c>
      <c r="C1564" s="14" t="s">
        <v>14</v>
      </c>
      <c r="D1564" s="20" t="s">
        <v>15</v>
      </c>
      <c r="E1564" s="12" t="str">
        <f>IFERROR(__xludf.DUMMYFUNCTION("FILTER(colegios!$B$2:$B5618,colegios!$A$2:$A5618=L1564)"),"15304")</f>
        <v>15304</v>
      </c>
      <c r="F1564" s="14" t="s">
        <v>16</v>
      </c>
      <c r="G1564" s="20" t="s">
        <v>17</v>
      </c>
      <c r="H1564" s="14" t="s">
        <v>24</v>
      </c>
      <c r="I1564" s="22">
        <v>2023.0</v>
      </c>
      <c r="J1564" s="16" t="str">
        <f>IFERROR(__xludf.DUMMYFUNCTION("FILTER('CLASFICACIÓN'!$F$3:$F5618,'CLASFICACIÓN'!$G$3:$G5618=M1564)"),"2023 Y 2024")</f>
        <v>2023 Y 2024</v>
      </c>
      <c r="K1564" s="16"/>
      <c r="L1564" s="14" t="s">
        <v>123</v>
      </c>
      <c r="M1564" s="16" t="str">
        <f t="shared" si="1"/>
        <v>153042 Primaria</v>
      </c>
      <c r="N1564" s="17"/>
      <c r="O1564" s="17"/>
      <c r="P1564" s="17"/>
      <c r="Q1564" s="17"/>
      <c r="R1564" s="17"/>
      <c r="S1564" s="17"/>
      <c r="T1564" s="17"/>
    </row>
    <row r="1565">
      <c r="A1565" s="21">
        <v>368.0</v>
      </c>
      <c r="B1565" s="20" t="s">
        <v>48</v>
      </c>
      <c r="C1565" s="14" t="s">
        <v>14</v>
      </c>
      <c r="D1565" s="20" t="s">
        <v>15</v>
      </c>
      <c r="E1565" s="12" t="str">
        <f>IFERROR(__xludf.DUMMYFUNCTION("FILTER(colegios!$B$2:$B5618,colegios!$A$2:$A5618=L1565)"),"15304")</f>
        <v>15304</v>
      </c>
      <c r="F1565" s="14" t="s">
        <v>16</v>
      </c>
      <c r="G1565" s="20" t="s">
        <v>21</v>
      </c>
      <c r="H1565" s="14" t="s">
        <v>24</v>
      </c>
      <c r="I1565" s="22">
        <v>2023.0</v>
      </c>
      <c r="J1565" s="16" t="str">
        <f>IFERROR(__xludf.DUMMYFUNCTION("FILTER('CLASFICACIÓN'!$F$3:$F5618,'CLASFICACIÓN'!$G$3:$G5618=M1565)"),"2023 Y 2024")</f>
        <v>2023 Y 2024</v>
      </c>
      <c r="K1565" s="16"/>
      <c r="L1565" s="14" t="s">
        <v>123</v>
      </c>
      <c r="M1565" s="16" t="str">
        <f t="shared" si="1"/>
        <v>153042 Primaria</v>
      </c>
      <c r="N1565" s="17"/>
      <c r="O1565" s="17"/>
      <c r="P1565" s="17"/>
      <c r="Q1565" s="17"/>
      <c r="R1565" s="17"/>
      <c r="S1565" s="17"/>
      <c r="T1565" s="17"/>
    </row>
    <row r="1566">
      <c r="A1566" s="21">
        <v>369.0</v>
      </c>
      <c r="B1566" s="20" t="s">
        <v>48</v>
      </c>
      <c r="C1566" s="14" t="s">
        <v>14</v>
      </c>
      <c r="D1566" s="20" t="s">
        <v>15</v>
      </c>
      <c r="E1566" s="12" t="str">
        <f>IFERROR(__xludf.DUMMYFUNCTION("FILTER(colegios!$B$2:$B5618,colegios!$A$2:$A5618=L1566)"),"15304")</f>
        <v>15304</v>
      </c>
      <c r="F1566" s="14" t="s">
        <v>16</v>
      </c>
      <c r="G1566" s="20" t="s">
        <v>17</v>
      </c>
      <c r="H1566" s="14" t="s">
        <v>18</v>
      </c>
      <c r="I1566" s="22">
        <v>2023.0</v>
      </c>
      <c r="J1566" s="16" t="str">
        <f>IFERROR(__xludf.DUMMYFUNCTION("FILTER('CLASFICACIÓN'!$F$3:$F5618,'CLASFICACIÓN'!$G$3:$G5618=M1566)"),"2023 Y 2024")</f>
        <v>2023 Y 2024</v>
      </c>
      <c r="K1566" s="16"/>
      <c r="L1566" s="14" t="s">
        <v>123</v>
      </c>
      <c r="M1566" s="16" t="str">
        <f t="shared" si="1"/>
        <v>153042 Primaria</v>
      </c>
      <c r="N1566" s="17"/>
      <c r="O1566" s="17"/>
      <c r="P1566" s="17"/>
      <c r="Q1566" s="17"/>
      <c r="R1566" s="17"/>
      <c r="S1566" s="17"/>
      <c r="T1566" s="17"/>
    </row>
    <row r="1567">
      <c r="A1567" s="21">
        <v>370.0</v>
      </c>
      <c r="B1567" s="20" t="s">
        <v>48</v>
      </c>
      <c r="C1567" s="14" t="s">
        <v>14</v>
      </c>
      <c r="D1567" s="20" t="s">
        <v>15</v>
      </c>
      <c r="E1567" s="12" t="str">
        <f>IFERROR(__xludf.DUMMYFUNCTION("FILTER(colegios!$B$2:$B5618,colegios!$A$2:$A5618=L1567)"),"15304")</f>
        <v>15304</v>
      </c>
      <c r="F1567" s="14" t="s">
        <v>16</v>
      </c>
      <c r="G1567" s="20" t="s">
        <v>21</v>
      </c>
      <c r="H1567" s="14" t="s">
        <v>24</v>
      </c>
      <c r="I1567" s="22">
        <v>2023.0</v>
      </c>
      <c r="J1567" s="16" t="str">
        <f>IFERROR(__xludf.DUMMYFUNCTION("FILTER('CLASFICACIÓN'!$F$3:$F5618,'CLASFICACIÓN'!$G$3:$G5618=M1567)"),"2023 Y 2024")</f>
        <v>2023 Y 2024</v>
      </c>
      <c r="K1567" s="16"/>
      <c r="L1567" s="14" t="s">
        <v>123</v>
      </c>
      <c r="M1567" s="16" t="str">
        <f t="shared" si="1"/>
        <v>153042 Primaria</v>
      </c>
      <c r="N1567" s="17"/>
      <c r="O1567" s="17"/>
      <c r="P1567" s="17"/>
      <c r="Q1567" s="17"/>
      <c r="R1567" s="17"/>
      <c r="S1567" s="17"/>
      <c r="T1567" s="17"/>
    </row>
    <row r="1568">
      <c r="A1568" s="21">
        <v>371.0</v>
      </c>
      <c r="B1568" s="20" t="s">
        <v>48</v>
      </c>
      <c r="C1568" s="14" t="s">
        <v>14</v>
      </c>
      <c r="D1568" s="20" t="s">
        <v>15</v>
      </c>
      <c r="E1568" s="12" t="str">
        <f>IFERROR(__xludf.DUMMYFUNCTION("FILTER(colegios!$B$2:$B5618,colegios!$A$2:$A5618=L1568)"),"15304")</f>
        <v>15304</v>
      </c>
      <c r="F1568" s="14" t="s">
        <v>16</v>
      </c>
      <c r="G1568" s="20" t="s">
        <v>17</v>
      </c>
      <c r="H1568" s="14" t="s">
        <v>18</v>
      </c>
      <c r="I1568" s="22">
        <v>2023.0</v>
      </c>
      <c r="J1568" s="16" t="str">
        <f>IFERROR(__xludf.DUMMYFUNCTION("FILTER('CLASFICACIÓN'!$F$3:$F5618,'CLASFICACIÓN'!$G$3:$G5618=M1568)"),"2023 Y 2024")</f>
        <v>2023 Y 2024</v>
      </c>
      <c r="K1568" s="16"/>
      <c r="L1568" s="14" t="s">
        <v>123</v>
      </c>
      <c r="M1568" s="16" t="str">
        <f t="shared" si="1"/>
        <v>153042 Primaria</v>
      </c>
      <c r="N1568" s="17"/>
      <c r="O1568" s="17"/>
      <c r="P1568" s="17"/>
      <c r="Q1568" s="17"/>
      <c r="R1568" s="17"/>
      <c r="S1568" s="17"/>
      <c r="T1568" s="17"/>
    </row>
    <row r="1569">
      <c r="A1569" s="21">
        <v>372.0</v>
      </c>
      <c r="B1569" s="20" t="s">
        <v>48</v>
      </c>
      <c r="C1569" s="14" t="s">
        <v>14</v>
      </c>
      <c r="D1569" s="20" t="s">
        <v>20</v>
      </c>
      <c r="E1569" s="12" t="str">
        <f>IFERROR(__xludf.DUMMYFUNCTION("FILTER(colegios!$B$2:$B5618,colegios!$A$2:$A5618=L1569)"),"15304")</f>
        <v>15304</v>
      </c>
      <c r="F1569" s="14" t="s">
        <v>16</v>
      </c>
      <c r="G1569" s="20" t="s">
        <v>17</v>
      </c>
      <c r="H1569" s="14" t="s">
        <v>18</v>
      </c>
      <c r="I1569" s="22">
        <v>2023.0</v>
      </c>
      <c r="J1569" s="16" t="str">
        <f>IFERROR(__xludf.DUMMYFUNCTION("FILTER('CLASFICACIÓN'!$F$3:$F5618,'CLASFICACIÓN'!$G$3:$G5618=M1569)"),"2023 Y 2024")</f>
        <v>2023 Y 2024</v>
      </c>
      <c r="K1569" s="16"/>
      <c r="L1569" s="14" t="s">
        <v>123</v>
      </c>
      <c r="M1569" s="16" t="str">
        <f t="shared" si="1"/>
        <v>153044 Primaria</v>
      </c>
      <c r="N1569" s="17"/>
      <c r="O1569" s="17"/>
      <c r="P1569" s="17"/>
      <c r="Q1569" s="17"/>
      <c r="R1569" s="17"/>
      <c r="S1569" s="17"/>
      <c r="T1569" s="17"/>
    </row>
    <row r="1570">
      <c r="A1570" s="21">
        <v>373.0</v>
      </c>
      <c r="B1570" s="20" t="s">
        <v>48</v>
      </c>
      <c r="C1570" s="14" t="s">
        <v>14</v>
      </c>
      <c r="D1570" s="20" t="s">
        <v>20</v>
      </c>
      <c r="E1570" s="12" t="str">
        <f>IFERROR(__xludf.DUMMYFUNCTION("FILTER(colegios!$B$2:$B5618,colegios!$A$2:$A5618=L1570)"),"15304")</f>
        <v>15304</v>
      </c>
      <c r="F1570" s="14" t="s">
        <v>16</v>
      </c>
      <c r="G1570" s="20" t="s">
        <v>21</v>
      </c>
      <c r="H1570" s="14" t="s">
        <v>24</v>
      </c>
      <c r="I1570" s="22">
        <v>2023.0</v>
      </c>
      <c r="J1570" s="16" t="str">
        <f>IFERROR(__xludf.DUMMYFUNCTION("FILTER('CLASFICACIÓN'!$F$3:$F5618,'CLASFICACIÓN'!$G$3:$G5618=M1570)"),"2023 Y 2024")</f>
        <v>2023 Y 2024</v>
      </c>
      <c r="K1570" s="16"/>
      <c r="L1570" s="14" t="s">
        <v>123</v>
      </c>
      <c r="M1570" s="16" t="str">
        <f t="shared" si="1"/>
        <v>153044 Primaria</v>
      </c>
      <c r="N1570" s="17"/>
      <c r="O1570" s="17"/>
      <c r="P1570" s="17"/>
      <c r="Q1570" s="17"/>
      <c r="R1570" s="17"/>
      <c r="S1570" s="17"/>
      <c r="T1570" s="17"/>
    </row>
    <row r="1571">
      <c r="A1571" s="21">
        <v>374.0</v>
      </c>
      <c r="B1571" s="20" t="s">
        <v>48</v>
      </c>
      <c r="C1571" s="14" t="s">
        <v>14</v>
      </c>
      <c r="D1571" s="20" t="s">
        <v>20</v>
      </c>
      <c r="E1571" s="12" t="str">
        <f>IFERROR(__xludf.DUMMYFUNCTION("FILTER(colegios!$B$2:$B5618,colegios!$A$2:$A5618=L1571)"),"15304")</f>
        <v>15304</v>
      </c>
      <c r="F1571" s="14" t="s">
        <v>16</v>
      </c>
      <c r="G1571" s="20" t="s">
        <v>21</v>
      </c>
      <c r="H1571" s="14" t="s">
        <v>24</v>
      </c>
      <c r="I1571" s="22">
        <v>2023.0</v>
      </c>
      <c r="J1571" s="16" t="str">
        <f>IFERROR(__xludf.DUMMYFUNCTION("FILTER('CLASFICACIÓN'!$F$3:$F5618,'CLASFICACIÓN'!$G$3:$G5618=M1571)"),"2023 Y 2024")</f>
        <v>2023 Y 2024</v>
      </c>
      <c r="K1571" s="16"/>
      <c r="L1571" s="14" t="s">
        <v>123</v>
      </c>
      <c r="M1571" s="16" t="str">
        <f t="shared" si="1"/>
        <v>153044 Primaria</v>
      </c>
      <c r="N1571" s="17"/>
      <c r="O1571" s="17"/>
      <c r="P1571" s="17"/>
      <c r="Q1571" s="17"/>
      <c r="R1571" s="17"/>
      <c r="S1571" s="17"/>
      <c r="T1571" s="17"/>
    </row>
    <row r="1572">
      <c r="A1572" s="21">
        <v>375.0</v>
      </c>
      <c r="B1572" s="20" t="s">
        <v>48</v>
      </c>
      <c r="C1572" s="14" t="s">
        <v>14</v>
      </c>
      <c r="D1572" s="20" t="s">
        <v>20</v>
      </c>
      <c r="E1572" s="12" t="str">
        <f>IFERROR(__xludf.DUMMYFUNCTION("FILTER(colegios!$B$2:$B5618,colegios!$A$2:$A5618=L1572)"),"15304")</f>
        <v>15304</v>
      </c>
      <c r="F1572" s="14" t="s">
        <v>16</v>
      </c>
      <c r="G1572" s="20" t="s">
        <v>21</v>
      </c>
      <c r="H1572" s="14" t="s">
        <v>24</v>
      </c>
      <c r="I1572" s="22">
        <v>2023.0</v>
      </c>
      <c r="J1572" s="16" t="str">
        <f>IFERROR(__xludf.DUMMYFUNCTION("FILTER('CLASFICACIÓN'!$F$3:$F5618,'CLASFICACIÓN'!$G$3:$G5618=M1572)"),"2023 Y 2024")</f>
        <v>2023 Y 2024</v>
      </c>
      <c r="K1572" s="16"/>
      <c r="L1572" s="14" t="s">
        <v>123</v>
      </c>
      <c r="M1572" s="16" t="str">
        <f t="shared" si="1"/>
        <v>153044 Primaria</v>
      </c>
      <c r="N1572" s="17"/>
      <c r="O1572" s="17"/>
      <c r="P1572" s="17"/>
      <c r="Q1572" s="17"/>
      <c r="R1572" s="17"/>
      <c r="S1572" s="17"/>
      <c r="T1572" s="17"/>
    </row>
    <row r="1573">
      <c r="A1573" s="21">
        <v>376.0</v>
      </c>
      <c r="B1573" s="20" t="s">
        <v>48</v>
      </c>
      <c r="C1573" s="14" t="s">
        <v>14</v>
      </c>
      <c r="D1573" s="20" t="s">
        <v>20</v>
      </c>
      <c r="E1573" s="12" t="str">
        <f>IFERROR(__xludf.DUMMYFUNCTION("FILTER(colegios!$B$2:$B5618,colegios!$A$2:$A5618=L1573)"),"15304")</f>
        <v>15304</v>
      </c>
      <c r="F1573" s="14" t="s">
        <v>16</v>
      </c>
      <c r="G1573" s="20" t="s">
        <v>17</v>
      </c>
      <c r="H1573" s="14" t="s">
        <v>18</v>
      </c>
      <c r="I1573" s="22">
        <v>2023.0</v>
      </c>
      <c r="J1573" s="16" t="str">
        <f>IFERROR(__xludf.DUMMYFUNCTION("FILTER('CLASFICACIÓN'!$F$3:$F5618,'CLASFICACIÓN'!$G$3:$G5618=M1573)"),"2023 Y 2024")</f>
        <v>2023 Y 2024</v>
      </c>
      <c r="K1573" s="16"/>
      <c r="L1573" s="14" t="s">
        <v>123</v>
      </c>
      <c r="M1573" s="16" t="str">
        <f t="shared" si="1"/>
        <v>153044 Primaria</v>
      </c>
      <c r="N1573" s="17"/>
      <c r="O1573" s="17"/>
      <c r="P1573" s="17"/>
      <c r="Q1573" s="17"/>
      <c r="R1573" s="17"/>
      <c r="S1573" s="17"/>
      <c r="T1573" s="17"/>
    </row>
    <row r="1574">
      <c r="A1574" s="21">
        <v>377.0</v>
      </c>
      <c r="B1574" s="20" t="s">
        <v>48</v>
      </c>
      <c r="C1574" s="14" t="s">
        <v>14</v>
      </c>
      <c r="D1574" s="20" t="s">
        <v>20</v>
      </c>
      <c r="E1574" s="12" t="str">
        <f>IFERROR(__xludf.DUMMYFUNCTION("FILTER(colegios!$B$2:$B5618,colegios!$A$2:$A5618=L1574)"),"15304")</f>
        <v>15304</v>
      </c>
      <c r="F1574" s="14" t="s">
        <v>16</v>
      </c>
      <c r="G1574" s="20" t="s">
        <v>21</v>
      </c>
      <c r="H1574" s="14" t="s">
        <v>18</v>
      </c>
      <c r="I1574" s="22">
        <v>2023.0</v>
      </c>
      <c r="J1574" s="16" t="str">
        <f>IFERROR(__xludf.DUMMYFUNCTION("FILTER('CLASFICACIÓN'!$F$3:$F5618,'CLASFICACIÓN'!$G$3:$G5618=M1574)"),"2023 Y 2024")</f>
        <v>2023 Y 2024</v>
      </c>
      <c r="K1574" s="16"/>
      <c r="L1574" s="14" t="s">
        <v>123</v>
      </c>
      <c r="M1574" s="16" t="str">
        <f t="shared" si="1"/>
        <v>153044 Primaria</v>
      </c>
      <c r="N1574" s="17"/>
      <c r="O1574" s="17"/>
      <c r="P1574" s="17"/>
      <c r="Q1574" s="17"/>
      <c r="R1574" s="17"/>
      <c r="S1574" s="17"/>
      <c r="T1574" s="17"/>
    </row>
    <row r="1575">
      <c r="A1575" s="21">
        <v>378.0</v>
      </c>
      <c r="B1575" s="20" t="s">
        <v>48</v>
      </c>
      <c r="C1575" s="14" t="s">
        <v>14</v>
      </c>
      <c r="D1575" s="20" t="s">
        <v>20</v>
      </c>
      <c r="E1575" s="12" t="str">
        <f>IFERROR(__xludf.DUMMYFUNCTION("FILTER(colegios!$B$2:$B5618,colegios!$A$2:$A5618=L1575)"),"15304")</f>
        <v>15304</v>
      </c>
      <c r="F1575" s="14" t="s">
        <v>16</v>
      </c>
      <c r="G1575" s="20" t="s">
        <v>17</v>
      </c>
      <c r="H1575" s="14" t="s">
        <v>24</v>
      </c>
      <c r="I1575" s="22">
        <v>2023.0</v>
      </c>
      <c r="J1575" s="16" t="str">
        <f>IFERROR(__xludf.DUMMYFUNCTION("FILTER('CLASFICACIÓN'!$F$3:$F5618,'CLASFICACIÓN'!$G$3:$G5618=M1575)"),"2023 Y 2024")</f>
        <v>2023 Y 2024</v>
      </c>
      <c r="K1575" s="16"/>
      <c r="L1575" s="14" t="s">
        <v>123</v>
      </c>
      <c r="M1575" s="16" t="str">
        <f t="shared" si="1"/>
        <v>153044 Primaria</v>
      </c>
      <c r="N1575" s="17"/>
      <c r="O1575" s="17"/>
      <c r="P1575" s="17"/>
      <c r="Q1575" s="17"/>
      <c r="R1575" s="17"/>
      <c r="S1575" s="17"/>
      <c r="T1575" s="17"/>
    </row>
    <row r="1576">
      <c r="A1576" s="21">
        <v>379.0</v>
      </c>
      <c r="B1576" s="20" t="s">
        <v>48</v>
      </c>
      <c r="C1576" s="20" t="s">
        <v>14</v>
      </c>
      <c r="D1576" s="20" t="s">
        <v>22</v>
      </c>
      <c r="E1576" s="12" t="str">
        <f>IFERROR(__xludf.DUMMYFUNCTION("FILTER(colegios!$B$2:$B5618,colegios!$A$2:$A5618=L1576)"),"15304")</f>
        <v>15304</v>
      </c>
      <c r="F1576" s="14" t="s">
        <v>16</v>
      </c>
      <c r="G1576" s="20" t="s">
        <v>21</v>
      </c>
      <c r="H1576" s="14" t="s">
        <v>18</v>
      </c>
      <c r="I1576" s="22">
        <v>2023.0</v>
      </c>
      <c r="J1576" s="16" t="str">
        <f>IFERROR(__xludf.DUMMYFUNCTION("FILTER('CLASFICACIÓN'!$F$3:$F5618,'CLASFICACIÓN'!$G$3:$G5618=M1576)"),"2023 Y 2024")</f>
        <v>2023 Y 2024</v>
      </c>
      <c r="K1576" s="16"/>
      <c r="L1576" s="14" t="s">
        <v>123</v>
      </c>
      <c r="M1576" s="16" t="str">
        <f t="shared" si="1"/>
        <v>153046 Primaria</v>
      </c>
      <c r="N1576" s="17"/>
      <c r="O1576" s="17"/>
      <c r="P1576" s="17"/>
      <c r="Q1576" s="17"/>
      <c r="R1576" s="17"/>
      <c r="S1576" s="17"/>
      <c r="T1576" s="17"/>
    </row>
    <row r="1577">
      <c r="A1577" s="21">
        <v>380.0</v>
      </c>
      <c r="B1577" s="20" t="s">
        <v>48</v>
      </c>
      <c r="C1577" s="20" t="s">
        <v>14</v>
      </c>
      <c r="D1577" s="20" t="s">
        <v>22</v>
      </c>
      <c r="E1577" s="12" t="str">
        <f>IFERROR(__xludf.DUMMYFUNCTION("FILTER(colegios!$B$2:$B5618,colegios!$A$2:$A5618=L1577)"),"15304")</f>
        <v>15304</v>
      </c>
      <c r="F1577" s="14" t="s">
        <v>16</v>
      </c>
      <c r="G1577" s="20" t="s">
        <v>21</v>
      </c>
      <c r="H1577" s="14" t="s">
        <v>18</v>
      </c>
      <c r="I1577" s="22">
        <v>2023.0</v>
      </c>
      <c r="J1577" s="16" t="str">
        <f>IFERROR(__xludf.DUMMYFUNCTION("FILTER('CLASFICACIÓN'!$F$3:$F5618,'CLASFICACIÓN'!$G$3:$G5618=M1577)"),"2023 Y 2024")</f>
        <v>2023 Y 2024</v>
      </c>
      <c r="K1577" s="16"/>
      <c r="L1577" s="14" t="s">
        <v>123</v>
      </c>
      <c r="M1577" s="16" t="str">
        <f t="shared" si="1"/>
        <v>153046 Primaria</v>
      </c>
      <c r="N1577" s="17"/>
      <c r="O1577" s="17"/>
      <c r="P1577" s="17"/>
      <c r="Q1577" s="17"/>
      <c r="R1577" s="17"/>
      <c r="S1577" s="17"/>
      <c r="T1577" s="17"/>
    </row>
    <row r="1578">
      <c r="A1578" s="21">
        <v>381.0</v>
      </c>
      <c r="B1578" s="20" t="s">
        <v>48</v>
      </c>
      <c r="C1578" s="20" t="s">
        <v>14</v>
      </c>
      <c r="D1578" s="20" t="s">
        <v>22</v>
      </c>
      <c r="E1578" s="12" t="str">
        <f>IFERROR(__xludf.DUMMYFUNCTION("FILTER(colegios!$B$2:$B5618,colegios!$A$2:$A5618=L1578)"),"15304")</f>
        <v>15304</v>
      </c>
      <c r="F1578" s="14" t="s">
        <v>16</v>
      </c>
      <c r="G1578" s="20" t="s">
        <v>21</v>
      </c>
      <c r="H1578" s="14" t="s">
        <v>18</v>
      </c>
      <c r="I1578" s="22">
        <v>2023.0</v>
      </c>
      <c r="J1578" s="16" t="str">
        <f>IFERROR(__xludf.DUMMYFUNCTION("FILTER('CLASFICACIÓN'!$F$3:$F5618,'CLASFICACIÓN'!$G$3:$G5618=M1578)"),"2023 Y 2024")</f>
        <v>2023 Y 2024</v>
      </c>
      <c r="K1578" s="16"/>
      <c r="L1578" s="14" t="s">
        <v>123</v>
      </c>
      <c r="M1578" s="16" t="str">
        <f t="shared" si="1"/>
        <v>153046 Primaria</v>
      </c>
      <c r="N1578" s="17"/>
      <c r="O1578" s="17"/>
      <c r="P1578" s="17"/>
      <c r="Q1578" s="17"/>
      <c r="R1578" s="17"/>
      <c r="S1578" s="17"/>
      <c r="T1578" s="17"/>
    </row>
    <row r="1579">
      <c r="A1579" s="21">
        <v>382.0</v>
      </c>
      <c r="B1579" s="20" t="s">
        <v>48</v>
      </c>
      <c r="C1579" s="20" t="s">
        <v>14</v>
      </c>
      <c r="D1579" s="20" t="s">
        <v>22</v>
      </c>
      <c r="E1579" s="12" t="str">
        <f>IFERROR(__xludf.DUMMYFUNCTION("FILTER(colegios!$B$2:$B5618,colegios!$A$2:$A5618=L1579)"),"15304")</f>
        <v>15304</v>
      </c>
      <c r="F1579" s="14" t="s">
        <v>16</v>
      </c>
      <c r="G1579" s="20" t="s">
        <v>21</v>
      </c>
      <c r="H1579" s="14" t="s">
        <v>18</v>
      </c>
      <c r="I1579" s="22">
        <v>2023.0</v>
      </c>
      <c r="J1579" s="16" t="str">
        <f>IFERROR(__xludf.DUMMYFUNCTION("FILTER('CLASFICACIÓN'!$F$3:$F5618,'CLASFICACIÓN'!$G$3:$G5618=M1579)"),"2023 Y 2024")</f>
        <v>2023 Y 2024</v>
      </c>
      <c r="K1579" s="16"/>
      <c r="L1579" s="14" t="s">
        <v>123</v>
      </c>
      <c r="M1579" s="16" t="str">
        <f t="shared" si="1"/>
        <v>153046 Primaria</v>
      </c>
      <c r="N1579" s="17"/>
      <c r="O1579" s="17"/>
      <c r="P1579" s="17"/>
      <c r="Q1579" s="17"/>
      <c r="R1579" s="17"/>
      <c r="S1579" s="17"/>
      <c r="T1579" s="17"/>
    </row>
    <row r="1580">
      <c r="A1580" s="21">
        <v>383.0</v>
      </c>
      <c r="B1580" s="20" t="s">
        <v>48</v>
      </c>
      <c r="C1580" s="20" t="s">
        <v>14</v>
      </c>
      <c r="D1580" s="20" t="s">
        <v>22</v>
      </c>
      <c r="E1580" s="12" t="str">
        <f>IFERROR(__xludf.DUMMYFUNCTION("FILTER(colegios!$B$2:$B5618,colegios!$A$2:$A5618=L1580)"),"15304")</f>
        <v>15304</v>
      </c>
      <c r="F1580" s="14" t="s">
        <v>16</v>
      </c>
      <c r="G1580" s="20" t="s">
        <v>21</v>
      </c>
      <c r="H1580" s="14" t="s">
        <v>18</v>
      </c>
      <c r="I1580" s="22">
        <v>2023.0</v>
      </c>
      <c r="J1580" s="16" t="str">
        <f>IFERROR(__xludf.DUMMYFUNCTION("FILTER('CLASFICACIÓN'!$F$3:$F5618,'CLASFICACIÓN'!$G$3:$G5618=M1580)"),"2023 Y 2024")</f>
        <v>2023 Y 2024</v>
      </c>
      <c r="K1580" s="16"/>
      <c r="L1580" s="14" t="s">
        <v>123</v>
      </c>
      <c r="M1580" s="16" t="str">
        <f t="shared" si="1"/>
        <v>153046 Primaria</v>
      </c>
      <c r="N1580" s="17"/>
      <c r="O1580" s="17"/>
      <c r="P1580" s="17"/>
      <c r="Q1580" s="17"/>
      <c r="R1580" s="17"/>
      <c r="S1580" s="17"/>
      <c r="T1580" s="17"/>
    </row>
    <row r="1581">
      <c r="A1581" s="21">
        <v>384.0</v>
      </c>
      <c r="B1581" s="20" t="s">
        <v>48</v>
      </c>
      <c r="C1581" s="20" t="s">
        <v>14</v>
      </c>
      <c r="D1581" s="20" t="s">
        <v>22</v>
      </c>
      <c r="E1581" s="12" t="str">
        <f>IFERROR(__xludf.DUMMYFUNCTION("FILTER(colegios!$B$2:$B5618,colegios!$A$2:$A5618=L1581)"),"15304")</f>
        <v>15304</v>
      </c>
      <c r="F1581" s="14" t="s">
        <v>16</v>
      </c>
      <c r="G1581" s="20" t="s">
        <v>17</v>
      </c>
      <c r="H1581" s="14" t="s">
        <v>18</v>
      </c>
      <c r="I1581" s="22">
        <v>2023.0</v>
      </c>
      <c r="J1581" s="16" t="str">
        <f>IFERROR(__xludf.DUMMYFUNCTION("FILTER('CLASFICACIÓN'!$F$3:$F5618,'CLASFICACIÓN'!$G$3:$G5618=M1581)"),"2023 Y 2024")</f>
        <v>2023 Y 2024</v>
      </c>
      <c r="K1581" s="16"/>
      <c r="L1581" s="14" t="s">
        <v>123</v>
      </c>
      <c r="M1581" s="16" t="str">
        <f t="shared" si="1"/>
        <v>153046 Primaria</v>
      </c>
      <c r="N1581" s="17"/>
      <c r="O1581" s="17"/>
      <c r="P1581" s="17"/>
      <c r="Q1581" s="17"/>
      <c r="R1581" s="17"/>
      <c r="S1581" s="17"/>
      <c r="T1581" s="17"/>
    </row>
    <row r="1582">
      <c r="A1582" s="21">
        <v>385.0</v>
      </c>
      <c r="B1582" s="20" t="s">
        <v>48</v>
      </c>
      <c r="C1582" s="20" t="s">
        <v>14</v>
      </c>
      <c r="D1582" s="20" t="s">
        <v>22</v>
      </c>
      <c r="E1582" s="12" t="str">
        <f>IFERROR(__xludf.DUMMYFUNCTION("FILTER(colegios!$B$2:$B5618,colegios!$A$2:$A5618=L1582)"),"15304")</f>
        <v>15304</v>
      </c>
      <c r="F1582" s="14" t="s">
        <v>16</v>
      </c>
      <c r="G1582" s="20" t="s">
        <v>17</v>
      </c>
      <c r="H1582" s="14" t="s">
        <v>18</v>
      </c>
      <c r="I1582" s="22">
        <v>2023.0</v>
      </c>
      <c r="J1582" s="16" t="str">
        <f>IFERROR(__xludf.DUMMYFUNCTION("FILTER('CLASFICACIÓN'!$F$3:$F5618,'CLASFICACIÓN'!$G$3:$G5618=M1582)"),"2023 Y 2024")</f>
        <v>2023 Y 2024</v>
      </c>
      <c r="K1582" s="16"/>
      <c r="L1582" s="14" t="s">
        <v>123</v>
      </c>
      <c r="M1582" s="16" t="str">
        <f t="shared" si="1"/>
        <v>153046 Primaria</v>
      </c>
      <c r="N1582" s="17"/>
      <c r="O1582" s="17"/>
      <c r="P1582" s="17"/>
      <c r="Q1582" s="17"/>
      <c r="R1582" s="17"/>
      <c r="S1582" s="17"/>
      <c r="T1582" s="17"/>
    </row>
    <row r="1583">
      <c r="A1583" s="21">
        <v>386.0</v>
      </c>
      <c r="B1583" s="20" t="s">
        <v>48</v>
      </c>
      <c r="C1583" s="20" t="s">
        <v>14</v>
      </c>
      <c r="D1583" s="20" t="s">
        <v>22</v>
      </c>
      <c r="E1583" s="12" t="str">
        <f>IFERROR(__xludf.DUMMYFUNCTION("FILTER(colegios!$B$2:$B5618,colegios!$A$2:$A5618=L1583)"),"15304")</f>
        <v>15304</v>
      </c>
      <c r="F1583" s="14" t="s">
        <v>16</v>
      </c>
      <c r="G1583" s="20" t="s">
        <v>21</v>
      </c>
      <c r="H1583" s="14" t="s">
        <v>18</v>
      </c>
      <c r="I1583" s="22">
        <v>2023.0</v>
      </c>
      <c r="J1583" s="16" t="str">
        <f>IFERROR(__xludf.DUMMYFUNCTION("FILTER('CLASFICACIÓN'!$F$3:$F5618,'CLASFICACIÓN'!$G$3:$G5618=M1583)"),"2023 Y 2024")</f>
        <v>2023 Y 2024</v>
      </c>
      <c r="K1583" s="16"/>
      <c r="L1583" s="14" t="s">
        <v>123</v>
      </c>
      <c r="M1583" s="16" t="str">
        <f t="shared" si="1"/>
        <v>153046 Primaria</v>
      </c>
      <c r="N1583" s="17"/>
      <c r="O1583" s="17"/>
      <c r="P1583" s="17"/>
      <c r="Q1583" s="17"/>
      <c r="R1583" s="17"/>
      <c r="S1583" s="17"/>
      <c r="T1583" s="17"/>
    </row>
    <row r="1584">
      <c r="A1584" s="21">
        <v>387.0</v>
      </c>
      <c r="B1584" s="20" t="s">
        <v>48</v>
      </c>
      <c r="C1584" s="20" t="s">
        <v>14</v>
      </c>
      <c r="D1584" s="20" t="s">
        <v>15</v>
      </c>
      <c r="E1584" s="12" t="str">
        <f>IFERROR(__xludf.DUMMYFUNCTION("FILTER(colegios!$B$2:$B5618,colegios!$A$2:$A5618=L1584)"),"20123")</f>
        <v>20123</v>
      </c>
      <c r="F1584" s="14" t="s">
        <v>16</v>
      </c>
      <c r="G1584" s="20" t="s">
        <v>21</v>
      </c>
      <c r="H1584" s="14" t="s">
        <v>24</v>
      </c>
      <c r="I1584" s="22">
        <v>2023.0</v>
      </c>
      <c r="J1584" s="16" t="str">
        <f>IFERROR(__xludf.DUMMYFUNCTION("FILTER('CLASFICACIÓN'!$F$3:$F5618,'CLASFICACIÓN'!$G$3:$G5618=M1584)"),"2023 Y 2024")</f>
        <v>2023 Y 2024</v>
      </c>
      <c r="K1584" s="16"/>
      <c r="L1584" s="14" t="s">
        <v>124</v>
      </c>
      <c r="M1584" s="16" t="str">
        <f t="shared" si="1"/>
        <v>201232 Primaria</v>
      </c>
      <c r="N1584" s="17"/>
      <c r="O1584" s="17"/>
      <c r="P1584" s="17"/>
      <c r="Q1584" s="17"/>
      <c r="R1584" s="17"/>
      <c r="S1584" s="17"/>
      <c r="T1584" s="17"/>
    </row>
    <row r="1585">
      <c r="A1585" s="21">
        <v>388.0</v>
      </c>
      <c r="B1585" s="20" t="s">
        <v>48</v>
      </c>
      <c r="C1585" s="20" t="s">
        <v>14</v>
      </c>
      <c r="D1585" s="20" t="s">
        <v>15</v>
      </c>
      <c r="E1585" s="12" t="str">
        <f>IFERROR(__xludf.DUMMYFUNCTION("FILTER(colegios!$B$2:$B5618,colegios!$A$2:$A5618=L1585)"),"20123")</f>
        <v>20123</v>
      </c>
      <c r="F1585" s="14" t="s">
        <v>16</v>
      </c>
      <c r="G1585" s="20" t="s">
        <v>21</v>
      </c>
      <c r="H1585" s="14" t="s">
        <v>24</v>
      </c>
      <c r="I1585" s="22">
        <v>2023.0</v>
      </c>
      <c r="J1585" s="16" t="str">
        <f>IFERROR(__xludf.DUMMYFUNCTION("FILTER('CLASFICACIÓN'!$F$3:$F5618,'CLASFICACIÓN'!$G$3:$G5618=M1585)"),"2023 Y 2024")</f>
        <v>2023 Y 2024</v>
      </c>
      <c r="K1585" s="16"/>
      <c r="L1585" s="14" t="s">
        <v>124</v>
      </c>
      <c r="M1585" s="16" t="str">
        <f t="shared" si="1"/>
        <v>201232 Primaria</v>
      </c>
      <c r="N1585" s="17"/>
      <c r="O1585" s="17"/>
      <c r="P1585" s="17"/>
      <c r="Q1585" s="17"/>
      <c r="R1585" s="17"/>
      <c r="S1585" s="17"/>
      <c r="T1585" s="17"/>
    </row>
    <row r="1586">
      <c r="A1586" s="21">
        <v>389.0</v>
      </c>
      <c r="B1586" s="20" t="s">
        <v>48</v>
      </c>
      <c r="C1586" s="20" t="s">
        <v>14</v>
      </c>
      <c r="D1586" s="20" t="s">
        <v>15</v>
      </c>
      <c r="E1586" s="12" t="str">
        <f>IFERROR(__xludf.DUMMYFUNCTION("FILTER(colegios!$B$2:$B5618,colegios!$A$2:$A5618=L1586)"),"20123")</f>
        <v>20123</v>
      </c>
      <c r="F1586" s="14" t="s">
        <v>16</v>
      </c>
      <c r="G1586" s="20" t="s">
        <v>21</v>
      </c>
      <c r="H1586" s="14" t="s">
        <v>24</v>
      </c>
      <c r="I1586" s="22">
        <v>2023.0</v>
      </c>
      <c r="J1586" s="16" t="str">
        <f>IFERROR(__xludf.DUMMYFUNCTION("FILTER('CLASFICACIÓN'!$F$3:$F5618,'CLASFICACIÓN'!$G$3:$G5618=M1586)"),"2023 Y 2024")</f>
        <v>2023 Y 2024</v>
      </c>
      <c r="K1586" s="16"/>
      <c r="L1586" s="14" t="s">
        <v>124</v>
      </c>
      <c r="M1586" s="16" t="str">
        <f t="shared" si="1"/>
        <v>201232 Primaria</v>
      </c>
      <c r="N1586" s="17"/>
      <c r="O1586" s="17"/>
      <c r="P1586" s="17"/>
      <c r="Q1586" s="17"/>
      <c r="R1586" s="17"/>
      <c r="S1586" s="17"/>
      <c r="T1586" s="17"/>
    </row>
    <row r="1587">
      <c r="A1587" s="21">
        <v>390.0</v>
      </c>
      <c r="B1587" s="20" t="s">
        <v>48</v>
      </c>
      <c r="C1587" s="20" t="s">
        <v>14</v>
      </c>
      <c r="D1587" s="20" t="s">
        <v>15</v>
      </c>
      <c r="E1587" s="12" t="str">
        <f>IFERROR(__xludf.DUMMYFUNCTION("FILTER(colegios!$B$2:$B5618,colegios!$A$2:$A5618=L1587)"),"20123")</f>
        <v>20123</v>
      </c>
      <c r="F1587" s="14" t="s">
        <v>16</v>
      </c>
      <c r="G1587" s="20" t="s">
        <v>21</v>
      </c>
      <c r="H1587" s="14" t="s">
        <v>24</v>
      </c>
      <c r="I1587" s="22">
        <v>2023.0</v>
      </c>
      <c r="J1587" s="16" t="str">
        <f>IFERROR(__xludf.DUMMYFUNCTION("FILTER('CLASFICACIÓN'!$F$3:$F5618,'CLASFICACIÓN'!$G$3:$G5618=M1587)"),"2023 Y 2024")</f>
        <v>2023 Y 2024</v>
      </c>
      <c r="K1587" s="16"/>
      <c r="L1587" s="14" t="s">
        <v>124</v>
      </c>
      <c r="M1587" s="16" t="str">
        <f t="shared" si="1"/>
        <v>201232 Primaria</v>
      </c>
      <c r="N1587" s="17"/>
      <c r="O1587" s="17"/>
      <c r="P1587" s="17"/>
      <c r="Q1587" s="17"/>
      <c r="R1587" s="17"/>
      <c r="S1587" s="17"/>
      <c r="T1587" s="17"/>
    </row>
    <row r="1588">
      <c r="A1588" s="21">
        <v>391.0</v>
      </c>
      <c r="B1588" s="20" t="s">
        <v>48</v>
      </c>
      <c r="C1588" s="20" t="s">
        <v>14</v>
      </c>
      <c r="D1588" s="20" t="s">
        <v>15</v>
      </c>
      <c r="E1588" s="12" t="str">
        <f>IFERROR(__xludf.DUMMYFUNCTION("FILTER(colegios!$B$2:$B5618,colegios!$A$2:$A5618=L1588)"),"20123")</f>
        <v>20123</v>
      </c>
      <c r="F1588" s="14" t="s">
        <v>16</v>
      </c>
      <c r="G1588" s="20" t="s">
        <v>17</v>
      </c>
      <c r="H1588" s="14" t="s">
        <v>24</v>
      </c>
      <c r="I1588" s="22">
        <v>2023.0</v>
      </c>
      <c r="J1588" s="16" t="str">
        <f>IFERROR(__xludf.DUMMYFUNCTION("FILTER('CLASFICACIÓN'!$F$3:$F5618,'CLASFICACIÓN'!$G$3:$G5618=M1588)"),"2023 Y 2024")</f>
        <v>2023 Y 2024</v>
      </c>
      <c r="K1588" s="16"/>
      <c r="L1588" s="14" t="s">
        <v>124</v>
      </c>
      <c r="M1588" s="16" t="str">
        <f t="shared" si="1"/>
        <v>201232 Primaria</v>
      </c>
      <c r="N1588" s="17"/>
      <c r="O1588" s="17"/>
      <c r="P1588" s="17"/>
      <c r="Q1588" s="17"/>
      <c r="R1588" s="17"/>
      <c r="S1588" s="17"/>
      <c r="T1588" s="17"/>
    </row>
    <row r="1589">
      <c r="A1589" s="21">
        <v>392.0</v>
      </c>
      <c r="B1589" s="20" t="s">
        <v>48</v>
      </c>
      <c r="C1589" s="20" t="s">
        <v>14</v>
      </c>
      <c r="D1589" s="20" t="s">
        <v>15</v>
      </c>
      <c r="E1589" s="12" t="str">
        <f>IFERROR(__xludf.DUMMYFUNCTION("FILTER(colegios!$B$2:$B5618,colegios!$A$2:$A5618=L1589)"),"20123")</f>
        <v>20123</v>
      </c>
      <c r="F1589" s="14" t="s">
        <v>16</v>
      </c>
      <c r="G1589" s="20" t="s">
        <v>21</v>
      </c>
      <c r="H1589" s="14" t="s">
        <v>24</v>
      </c>
      <c r="I1589" s="22">
        <v>2023.0</v>
      </c>
      <c r="J1589" s="16" t="str">
        <f>IFERROR(__xludf.DUMMYFUNCTION("FILTER('CLASFICACIÓN'!$F$3:$F5618,'CLASFICACIÓN'!$G$3:$G5618=M1589)"),"2023 Y 2024")</f>
        <v>2023 Y 2024</v>
      </c>
      <c r="K1589" s="16"/>
      <c r="L1589" s="14" t="s">
        <v>124</v>
      </c>
      <c r="M1589" s="16" t="str">
        <f t="shared" si="1"/>
        <v>201232 Primaria</v>
      </c>
      <c r="N1589" s="17"/>
      <c r="O1589" s="17"/>
      <c r="P1589" s="17"/>
      <c r="Q1589" s="17"/>
      <c r="R1589" s="17"/>
      <c r="S1589" s="17"/>
      <c r="T1589" s="17"/>
    </row>
    <row r="1590">
      <c r="A1590" s="21">
        <v>393.0</v>
      </c>
      <c r="B1590" s="20" t="s">
        <v>48</v>
      </c>
      <c r="C1590" s="20" t="s">
        <v>14</v>
      </c>
      <c r="D1590" s="20" t="s">
        <v>15</v>
      </c>
      <c r="E1590" s="12" t="str">
        <f>IFERROR(__xludf.DUMMYFUNCTION("FILTER(colegios!$B$2:$B5618,colegios!$A$2:$A5618=L1590)"),"20123")</f>
        <v>20123</v>
      </c>
      <c r="F1590" s="14" t="s">
        <v>16</v>
      </c>
      <c r="G1590" s="20" t="s">
        <v>17</v>
      </c>
      <c r="H1590" s="14" t="s">
        <v>18</v>
      </c>
      <c r="I1590" s="22">
        <v>2023.0</v>
      </c>
      <c r="J1590" s="16" t="str">
        <f>IFERROR(__xludf.DUMMYFUNCTION("FILTER('CLASFICACIÓN'!$F$3:$F5618,'CLASFICACIÓN'!$G$3:$G5618=M1590)"),"2023 Y 2024")</f>
        <v>2023 Y 2024</v>
      </c>
      <c r="K1590" s="16"/>
      <c r="L1590" s="14" t="s">
        <v>124</v>
      </c>
      <c r="M1590" s="16" t="str">
        <f t="shared" si="1"/>
        <v>201232 Primaria</v>
      </c>
      <c r="N1590" s="17"/>
      <c r="O1590" s="17"/>
      <c r="P1590" s="17"/>
      <c r="Q1590" s="17"/>
      <c r="R1590" s="17"/>
      <c r="S1590" s="17"/>
      <c r="T1590" s="17"/>
    </row>
    <row r="1591">
      <c r="A1591" s="21">
        <v>394.0</v>
      </c>
      <c r="B1591" s="20" t="s">
        <v>48</v>
      </c>
      <c r="C1591" s="20" t="s">
        <v>14</v>
      </c>
      <c r="D1591" s="20" t="s">
        <v>15</v>
      </c>
      <c r="E1591" s="12" t="str">
        <f>IFERROR(__xludf.DUMMYFUNCTION("FILTER(colegios!$B$2:$B5618,colegios!$A$2:$A5618=L1591)"),"20123")</f>
        <v>20123</v>
      </c>
      <c r="F1591" s="14" t="s">
        <v>16</v>
      </c>
      <c r="G1591" s="20" t="s">
        <v>17</v>
      </c>
      <c r="H1591" s="14" t="s">
        <v>18</v>
      </c>
      <c r="I1591" s="22">
        <v>2023.0</v>
      </c>
      <c r="J1591" s="16" t="str">
        <f>IFERROR(__xludf.DUMMYFUNCTION("FILTER('CLASFICACIÓN'!$F$3:$F5618,'CLASFICACIÓN'!$G$3:$G5618=M1591)"),"2023 Y 2024")</f>
        <v>2023 Y 2024</v>
      </c>
      <c r="K1591" s="16"/>
      <c r="L1591" s="14" t="s">
        <v>124</v>
      </c>
      <c r="M1591" s="16" t="str">
        <f t="shared" si="1"/>
        <v>201232 Primaria</v>
      </c>
      <c r="N1591" s="17"/>
      <c r="O1591" s="17"/>
      <c r="P1591" s="17"/>
      <c r="Q1591" s="17"/>
      <c r="R1591" s="17"/>
      <c r="S1591" s="17"/>
      <c r="T1591" s="17"/>
    </row>
    <row r="1592">
      <c r="A1592" s="21">
        <v>395.0</v>
      </c>
      <c r="B1592" s="20" t="s">
        <v>48</v>
      </c>
      <c r="C1592" s="20" t="s">
        <v>14</v>
      </c>
      <c r="D1592" s="20" t="s">
        <v>15</v>
      </c>
      <c r="E1592" s="12" t="str">
        <f>IFERROR(__xludf.DUMMYFUNCTION("FILTER(colegios!$B$2:$B5618,colegios!$A$2:$A5618=L1592)"),"20123")</f>
        <v>20123</v>
      </c>
      <c r="F1592" s="14" t="s">
        <v>16</v>
      </c>
      <c r="G1592" s="20" t="s">
        <v>17</v>
      </c>
      <c r="H1592" s="14" t="s">
        <v>24</v>
      </c>
      <c r="I1592" s="22">
        <v>2023.0</v>
      </c>
      <c r="J1592" s="16" t="str">
        <f>IFERROR(__xludf.DUMMYFUNCTION("FILTER('CLASFICACIÓN'!$F$3:$F5618,'CLASFICACIÓN'!$G$3:$G5618=M1592)"),"2023 Y 2024")</f>
        <v>2023 Y 2024</v>
      </c>
      <c r="K1592" s="16"/>
      <c r="L1592" s="14" t="s">
        <v>124</v>
      </c>
      <c r="M1592" s="16" t="str">
        <f t="shared" si="1"/>
        <v>201232 Primaria</v>
      </c>
      <c r="N1592" s="17"/>
      <c r="O1592" s="17"/>
      <c r="P1592" s="17"/>
      <c r="Q1592" s="17"/>
      <c r="R1592" s="17"/>
      <c r="S1592" s="17"/>
      <c r="T1592" s="17"/>
    </row>
    <row r="1593">
      <c r="A1593" s="21">
        <v>396.0</v>
      </c>
      <c r="B1593" s="20" t="s">
        <v>48</v>
      </c>
      <c r="C1593" s="20" t="s">
        <v>14</v>
      </c>
      <c r="D1593" s="20" t="s">
        <v>20</v>
      </c>
      <c r="E1593" s="12" t="str">
        <f>IFERROR(__xludf.DUMMYFUNCTION("FILTER(colegios!$B$2:$B5618,colegios!$A$2:$A5618=L1593)"),"14141")</f>
        <v>14141</v>
      </c>
      <c r="F1593" s="14" t="s">
        <v>16</v>
      </c>
      <c r="G1593" s="20" t="s">
        <v>17</v>
      </c>
      <c r="H1593" s="14" t="s">
        <v>18</v>
      </c>
      <c r="I1593" s="22">
        <v>2023.0</v>
      </c>
      <c r="J1593" s="16" t="str">
        <f>IFERROR(__xludf.DUMMYFUNCTION("FILTER('CLASFICACIÓN'!$F$3:$F5618,'CLASFICACIÓN'!$G$3:$G5618=M1593)"),"2023 Y 2024")</f>
        <v>2023 Y 2024</v>
      </c>
      <c r="K1593" s="16"/>
      <c r="L1593" s="14" t="s">
        <v>125</v>
      </c>
      <c r="M1593" s="16" t="str">
        <f t="shared" si="1"/>
        <v>141414 Primaria</v>
      </c>
      <c r="N1593" s="17"/>
      <c r="O1593" s="17"/>
      <c r="P1593" s="17"/>
      <c r="Q1593" s="17"/>
      <c r="R1593" s="17"/>
      <c r="S1593" s="17"/>
      <c r="T1593" s="17"/>
    </row>
    <row r="1594">
      <c r="A1594" s="21">
        <v>397.0</v>
      </c>
      <c r="B1594" s="20" t="s">
        <v>48</v>
      </c>
      <c r="C1594" s="20" t="s">
        <v>14</v>
      </c>
      <c r="D1594" s="20" t="s">
        <v>20</v>
      </c>
      <c r="E1594" s="12" t="str">
        <f>IFERROR(__xludf.DUMMYFUNCTION("FILTER(colegios!$B$2:$B5618,colegios!$A$2:$A5618=L1594)"),"14141")</f>
        <v>14141</v>
      </c>
      <c r="F1594" s="14" t="s">
        <v>16</v>
      </c>
      <c r="G1594" s="20" t="s">
        <v>17</v>
      </c>
      <c r="H1594" s="14" t="s">
        <v>18</v>
      </c>
      <c r="I1594" s="22">
        <v>2023.0</v>
      </c>
      <c r="J1594" s="16" t="str">
        <f>IFERROR(__xludf.DUMMYFUNCTION("FILTER('CLASFICACIÓN'!$F$3:$F5618,'CLASFICACIÓN'!$G$3:$G5618=M1594)"),"2023 Y 2024")</f>
        <v>2023 Y 2024</v>
      </c>
      <c r="K1594" s="16"/>
      <c r="L1594" s="14" t="s">
        <v>125</v>
      </c>
      <c r="M1594" s="16" t="str">
        <f t="shared" si="1"/>
        <v>141414 Primaria</v>
      </c>
      <c r="N1594" s="17"/>
      <c r="O1594" s="17"/>
      <c r="P1594" s="17"/>
      <c r="Q1594" s="17"/>
      <c r="R1594" s="17"/>
      <c r="S1594" s="17"/>
      <c r="T1594" s="17"/>
    </row>
    <row r="1595">
      <c r="A1595" s="21">
        <v>398.0</v>
      </c>
      <c r="B1595" s="20" t="s">
        <v>48</v>
      </c>
      <c r="C1595" s="20" t="s">
        <v>14</v>
      </c>
      <c r="D1595" s="20" t="s">
        <v>20</v>
      </c>
      <c r="E1595" s="12" t="str">
        <f>IFERROR(__xludf.DUMMYFUNCTION("FILTER(colegios!$B$2:$B5618,colegios!$A$2:$A5618=L1595)"),"14141")</f>
        <v>14141</v>
      </c>
      <c r="F1595" s="14" t="s">
        <v>16</v>
      </c>
      <c r="G1595" s="20" t="s">
        <v>21</v>
      </c>
      <c r="H1595" s="14" t="s">
        <v>18</v>
      </c>
      <c r="I1595" s="22">
        <v>2023.0</v>
      </c>
      <c r="J1595" s="16" t="str">
        <f>IFERROR(__xludf.DUMMYFUNCTION("FILTER('CLASFICACIÓN'!$F$3:$F5618,'CLASFICACIÓN'!$G$3:$G5618=M1595)"),"2023 Y 2024")</f>
        <v>2023 Y 2024</v>
      </c>
      <c r="K1595" s="16"/>
      <c r="L1595" s="14" t="s">
        <v>125</v>
      </c>
      <c r="M1595" s="16" t="str">
        <f t="shared" si="1"/>
        <v>141414 Primaria</v>
      </c>
      <c r="N1595" s="17"/>
      <c r="O1595" s="17"/>
      <c r="P1595" s="17"/>
      <c r="Q1595" s="17"/>
      <c r="R1595" s="17"/>
      <c r="S1595" s="17"/>
      <c r="T1595" s="17"/>
    </row>
    <row r="1596">
      <c r="A1596" s="21">
        <v>399.0</v>
      </c>
      <c r="B1596" s="20" t="s">
        <v>48</v>
      </c>
      <c r="C1596" s="20" t="s">
        <v>14</v>
      </c>
      <c r="D1596" s="20" t="s">
        <v>20</v>
      </c>
      <c r="E1596" s="12" t="str">
        <f>IFERROR(__xludf.DUMMYFUNCTION("FILTER(colegios!$B$2:$B5618,colegios!$A$2:$A5618=L1596)"),"14141")</f>
        <v>14141</v>
      </c>
      <c r="F1596" s="14" t="s">
        <v>16</v>
      </c>
      <c r="G1596" s="20" t="s">
        <v>21</v>
      </c>
      <c r="H1596" s="14" t="s">
        <v>24</v>
      </c>
      <c r="I1596" s="22">
        <v>2023.0</v>
      </c>
      <c r="J1596" s="16" t="str">
        <f>IFERROR(__xludf.DUMMYFUNCTION("FILTER('CLASFICACIÓN'!$F$3:$F5618,'CLASFICACIÓN'!$G$3:$G5618=M1596)"),"2023 Y 2024")</f>
        <v>2023 Y 2024</v>
      </c>
      <c r="K1596" s="16"/>
      <c r="L1596" s="14" t="s">
        <v>125</v>
      </c>
      <c r="M1596" s="16" t="str">
        <f t="shared" si="1"/>
        <v>141414 Primaria</v>
      </c>
      <c r="N1596" s="17"/>
      <c r="O1596" s="17"/>
      <c r="P1596" s="17"/>
      <c r="Q1596" s="17"/>
      <c r="R1596" s="17"/>
      <c r="S1596" s="17"/>
      <c r="T1596" s="17"/>
    </row>
    <row r="1597">
      <c r="A1597" s="21">
        <v>400.0</v>
      </c>
      <c r="B1597" s="20" t="s">
        <v>48</v>
      </c>
      <c r="C1597" s="20" t="s">
        <v>14</v>
      </c>
      <c r="D1597" s="20" t="s">
        <v>20</v>
      </c>
      <c r="E1597" s="12" t="str">
        <f>IFERROR(__xludf.DUMMYFUNCTION("FILTER(colegios!$B$2:$B5618,colegios!$A$2:$A5618=L1597)"),"14141")</f>
        <v>14141</v>
      </c>
      <c r="F1597" s="14" t="s">
        <v>16</v>
      </c>
      <c r="G1597" s="20" t="s">
        <v>21</v>
      </c>
      <c r="H1597" s="14" t="s">
        <v>18</v>
      </c>
      <c r="I1597" s="22">
        <v>2023.0</v>
      </c>
      <c r="J1597" s="16" t="str">
        <f>IFERROR(__xludf.DUMMYFUNCTION("FILTER('CLASFICACIÓN'!$F$3:$F5618,'CLASFICACIÓN'!$G$3:$G5618=M1597)"),"2023 Y 2024")</f>
        <v>2023 Y 2024</v>
      </c>
      <c r="K1597" s="16"/>
      <c r="L1597" s="14" t="s">
        <v>125</v>
      </c>
      <c r="M1597" s="16" t="str">
        <f t="shared" si="1"/>
        <v>141414 Primaria</v>
      </c>
      <c r="N1597" s="17"/>
      <c r="O1597" s="17"/>
      <c r="P1597" s="17"/>
      <c r="Q1597" s="17"/>
      <c r="R1597" s="17"/>
      <c r="S1597" s="17"/>
      <c r="T1597" s="17"/>
    </row>
    <row r="1598">
      <c r="A1598" s="21">
        <v>401.0</v>
      </c>
      <c r="B1598" s="20" t="s">
        <v>48</v>
      </c>
      <c r="C1598" s="20" t="s">
        <v>14</v>
      </c>
      <c r="D1598" s="20" t="s">
        <v>20</v>
      </c>
      <c r="E1598" s="12" t="str">
        <f>IFERROR(__xludf.DUMMYFUNCTION("FILTER(colegios!$B$2:$B5618,colegios!$A$2:$A5618=L1598)"),"14141")</f>
        <v>14141</v>
      </c>
      <c r="F1598" s="14" t="s">
        <v>16</v>
      </c>
      <c r="G1598" s="20" t="s">
        <v>17</v>
      </c>
      <c r="H1598" s="14" t="s">
        <v>18</v>
      </c>
      <c r="I1598" s="22">
        <v>2023.0</v>
      </c>
      <c r="J1598" s="16" t="str">
        <f>IFERROR(__xludf.DUMMYFUNCTION("FILTER('CLASFICACIÓN'!$F$3:$F5618,'CLASFICACIÓN'!$G$3:$G5618=M1598)"),"2023 Y 2024")</f>
        <v>2023 Y 2024</v>
      </c>
      <c r="K1598" s="16"/>
      <c r="L1598" s="14" t="s">
        <v>125</v>
      </c>
      <c r="M1598" s="16" t="str">
        <f t="shared" si="1"/>
        <v>141414 Primaria</v>
      </c>
      <c r="N1598" s="17"/>
      <c r="O1598" s="17"/>
      <c r="P1598" s="17"/>
      <c r="Q1598" s="17"/>
      <c r="R1598" s="17"/>
      <c r="S1598" s="17"/>
      <c r="T1598" s="17"/>
    </row>
    <row r="1599">
      <c r="A1599" s="21">
        <v>402.0</v>
      </c>
      <c r="B1599" s="20" t="s">
        <v>48</v>
      </c>
      <c r="C1599" s="20" t="s">
        <v>14</v>
      </c>
      <c r="D1599" s="20" t="s">
        <v>20</v>
      </c>
      <c r="E1599" s="12" t="str">
        <f>IFERROR(__xludf.DUMMYFUNCTION("FILTER(colegios!$B$2:$B5618,colegios!$A$2:$A5618=L1599)"),"14141")</f>
        <v>14141</v>
      </c>
      <c r="F1599" s="14" t="s">
        <v>16</v>
      </c>
      <c r="G1599" s="20" t="s">
        <v>21</v>
      </c>
      <c r="H1599" s="14" t="s">
        <v>18</v>
      </c>
      <c r="I1599" s="22">
        <v>2023.0</v>
      </c>
      <c r="J1599" s="16" t="str">
        <f>IFERROR(__xludf.DUMMYFUNCTION("FILTER('CLASFICACIÓN'!$F$3:$F5618,'CLASFICACIÓN'!$G$3:$G5618=M1599)"),"2023 Y 2024")</f>
        <v>2023 Y 2024</v>
      </c>
      <c r="K1599" s="16"/>
      <c r="L1599" s="14" t="s">
        <v>125</v>
      </c>
      <c r="M1599" s="16" t="str">
        <f t="shared" si="1"/>
        <v>141414 Primaria</v>
      </c>
      <c r="N1599" s="17"/>
      <c r="O1599" s="17"/>
      <c r="P1599" s="17"/>
      <c r="Q1599" s="17"/>
      <c r="R1599" s="17"/>
      <c r="S1599" s="17"/>
      <c r="T1599" s="17"/>
    </row>
    <row r="1600">
      <c r="A1600" s="21">
        <v>403.0</v>
      </c>
      <c r="B1600" s="20" t="s">
        <v>48</v>
      </c>
      <c r="C1600" s="20" t="s">
        <v>14</v>
      </c>
      <c r="D1600" s="20" t="s">
        <v>20</v>
      </c>
      <c r="E1600" s="12" t="str">
        <f>IFERROR(__xludf.DUMMYFUNCTION("FILTER(colegios!$B$2:$B5618,colegios!$A$2:$A5618=L1600)"),"14141")</f>
        <v>14141</v>
      </c>
      <c r="F1600" s="14" t="s">
        <v>16</v>
      </c>
      <c r="G1600" s="20" t="s">
        <v>17</v>
      </c>
      <c r="H1600" s="14" t="s">
        <v>18</v>
      </c>
      <c r="I1600" s="22">
        <v>2023.0</v>
      </c>
      <c r="J1600" s="16" t="str">
        <f>IFERROR(__xludf.DUMMYFUNCTION("FILTER('CLASFICACIÓN'!$F$3:$F5618,'CLASFICACIÓN'!$G$3:$G5618=M1600)"),"2023 Y 2024")</f>
        <v>2023 Y 2024</v>
      </c>
      <c r="K1600" s="16"/>
      <c r="L1600" s="14" t="s">
        <v>125</v>
      </c>
      <c r="M1600" s="16" t="str">
        <f t="shared" si="1"/>
        <v>141414 Primaria</v>
      </c>
      <c r="N1600" s="17"/>
      <c r="O1600" s="17"/>
      <c r="P1600" s="17"/>
      <c r="Q1600" s="17"/>
      <c r="R1600" s="17"/>
      <c r="S1600" s="17"/>
      <c r="T1600" s="17"/>
    </row>
    <row r="1601">
      <c r="A1601" s="21">
        <v>404.0</v>
      </c>
      <c r="B1601" s="20" t="s">
        <v>48</v>
      </c>
      <c r="C1601" s="20" t="s">
        <v>14</v>
      </c>
      <c r="D1601" s="20" t="s">
        <v>22</v>
      </c>
      <c r="E1601" s="12" t="str">
        <f>IFERROR(__xludf.DUMMYFUNCTION("FILTER(colegios!$B$2:$B5618,colegios!$A$2:$A5618=L1601)"),"14141")</f>
        <v>14141</v>
      </c>
      <c r="F1601" s="14" t="s">
        <v>16</v>
      </c>
      <c r="G1601" s="20" t="s">
        <v>21</v>
      </c>
      <c r="H1601" s="14" t="s">
        <v>18</v>
      </c>
      <c r="I1601" s="22">
        <v>2023.0</v>
      </c>
      <c r="J1601" s="16" t="str">
        <f>IFERROR(__xludf.DUMMYFUNCTION("FILTER('CLASFICACIÓN'!$F$3:$F5618,'CLASFICACIÓN'!$G$3:$G5618=M1601)"),"2023 Y 2024")</f>
        <v>2023 Y 2024</v>
      </c>
      <c r="K1601" s="16"/>
      <c r="L1601" s="14" t="s">
        <v>125</v>
      </c>
      <c r="M1601" s="16" t="str">
        <f t="shared" si="1"/>
        <v>141416 Primaria</v>
      </c>
      <c r="N1601" s="17"/>
      <c r="O1601" s="17"/>
      <c r="P1601" s="17"/>
      <c r="Q1601" s="17"/>
      <c r="R1601" s="17"/>
      <c r="S1601" s="17"/>
      <c r="T1601" s="17"/>
    </row>
    <row r="1602">
      <c r="A1602" s="21">
        <v>405.0</v>
      </c>
      <c r="B1602" s="20" t="s">
        <v>48</v>
      </c>
      <c r="C1602" s="20" t="s">
        <v>14</v>
      </c>
      <c r="D1602" s="20" t="s">
        <v>22</v>
      </c>
      <c r="E1602" s="12" t="str">
        <f>IFERROR(__xludf.DUMMYFUNCTION("FILTER(colegios!$B$2:$B5618,colegios!$A$2:$A5618=L1602)"),"14141")</f>
        <v>14141</v>
      </c>
      <c r="F1602" s="14" t="s">
        <v>16</v>
      </c>
      <c r="G1602" s="20" t="s">
        <v>21</v>
      </c>
      <c r="H1602" s="14" t="s">
        <v>18</v>
      </c>
      <c r="I1602" s="22">
        <v>2023.0</v>
      </c>
      <c r="J1602" s="16" t="str">
        <f>IFERROR(__xludf.DUMMYFUNCTION("FILTER('CLASFICACIÓN'!$F$3:$F5618,'CLASFICACIÓN'!$G$3:$G5618=M1602)"),"2023 Y 2024")</f>
        <v>2023 Y 2024</v>
      </c>
      <c r="K1602" s="16"/>
      <c r="L1602" s="14" t="s">
        <v>125</v>
      </c>
      <c r="M1602" s="16" t="str">
        <f t="shared" si="1"/>
        <v>141416 Primaria</v>
      </c>
      <c r="N1602" s="17"/>
      <c r="O1602" s="17"/>
      <c r="P1602" s="17"/>
      <c r="Q1602" s="17"/>
      <c r="R1602" s="17"/>
      <c r="S1602" s="17"/>
      <c r="T1602" s="17"/>
    </row>
    <row r="1603">
      <c r="A1603" s="21">
        <v>406.0</v>
      </c>
      <c r="B1603" s="20" t="s">
        <v>48</v>
      </c>
      <c r="C1603" s="20" t="s">
        <v>14</v>
      </c>
      <c r="D1603" s="20" t="s">
        <v>22</v>
      </c>
      <c r="E1603" s="12" t="str">
        <f>IFERROR(__xludf.DUMMYFUNCTION("FILTER(colegios!$B$2:$B5618,colegios!$A$2:$A5618=L1603)"),"14141")</f>
        <v>14141</v>
      </c>
      <c r="F1603" s="14" t="s">
        <v>16</v>
      </c>
      <c r="G1603" s="20" t="s">
        <v>21</v>
      </c>
      <c r="H1603" s="14" t="s">
        <v>18</v>
      </c>
      <c r="I1603" s="22">
        <v>2023.0</v>
      </c>
      <c r="J1603" s="16" t="str">
        <f>IFERROR(__xludf.DUMMYFUNCTION("FILTER('CLASFICACIÓN'!$F$3:$F5618,'CLASFICACIÓN'!$G$3:$G5618=M1603)"),"2023 Y 2024")</f>
        <v>2023 Y 2024</v>
      </c>
      <c r="K1603" s="16"/>
      <c r="L1603" s="14" t="s">
        <v>125</v>
      </c>
      <c r="M1603" s="16" t="str">
        <f t="shared" si="1"/>
        <v>141416 Primaria</v>
      </c>
      <c r="N1603" s="17"/>
      <c r="O1603" s="17"/>
      <c r="P1603" s="17"/>
      <c r="Q1603" s="17"/>
      <c r="R1603" s="17"/>
      <c r="S1603" s="17"/>
      <c r="T1603" s="17"/>
    </row>
    <row r="1604">
      <c r="A1604" s="21">
        <v>407.0</v>
      </c>
      <c r="B1604" s="20" t="s">
        <v>48</v>
      </c>
      <c r="C1604" s="20" t="s">
        <v>14</v>
      </c>
      <c r="D1604" s="20" t="s">
        <v>22</v>
      </c>
      <c r="E1604" s="12" t="str">
        <f>IFERROR(__xludf.DUMMYFUNCTION("FILTER(colegios!$B$2:$B5618,colegios!$A$2:$A5618=L1604)"),"14141")</f>
        <v>14141</v>
      </c>
      <c r="F1604" s="14" t="s">
        <v>16</v>
      </c>
      <c r="G1604" s="20" t="s">
        <v>21</v>
      </c>
      <c r="H1604" s="14" t="s">
        <v>18</v>
      </c>
      <c r="I1604" s="22">
        <v>2023.0</v>
      </c>
      <c r="J1604" s="16" t="str">
        <f>IFERROR(__xludf.DUMMYFUNCTION("FILTER('CLASFICACIÓN'!$F$3:$F5618,'CLASFICACIÓN'!$G$3:$G5618=M1604)"),"2023 Y 2024")</f>
        <v>2023 Y 2024</v>
      </c>
      <c r="K1604" s="16"/>
      <c r="L1604" s="14" t="s">
        <v>125</v>
      </c>
      <c r="M1604" s="16" t="str">
        <f t="shared" si="1"/>
        <v>141416 Primaria</v>
      </c>
      <c r="N1604" s="17"/>
      <c r="O1604" s="17"/>
      <c r="P1604" s="17"/>
      <c r="Q1604" s="17"/>
      <c r="R1604" s="17"/>
      <c r="S1604" s="17"/>
      <c r="T1604" s="17"/>
    </row>
    <row r="1605">
      <c r="A1605" s="21">
        <v>408.0</v>
      </c>
      <c r="B1605" s="20" t="s">
        <v>48</v>
      </c>
      <c r="C1605" s="20" t="s">
        <v>14</v>
      </c>
      <c r="D1605" s="20" t="s">
        <v>22</v>
      </c>
      <c r="E1605" s="12" t="str">
        <f>IFERROR(__xludf.DUMMYFUNCTION("FILTER(colegios!$B$2:$B5618,colegios!$A$2:$A5618=L1605)"),"14141")</f>
        <v>14141</v>
      </c>
      <c r="F1605" s="14" t="s">
        <v>16</v>
      </c>
      <c r="G1605" s="20" t="s">
        <v>21</v>
      </c>
      <c r="H1605" s="14" t="s">
        <v>24</v>
      </c>
      <c r="I1605" s="22">
        <v>2023.0</v>
      </c>
      <c r="J1605" s="16" t="str">
        <f>IFERROR(__xludf.DUMMYFUNCTION("FILTER('CLASFICACIÓN'!$F$3:$F5618,'CLASFICACIÓN'!$G$3:$G5618=M1605)"),"2023 Y 2024")</f>
        <v>2023 Y 2024</v>
      </c>
      <c r="K1605" s="16"/>
      <c r="L1605" s="14" t="s">
        <v>125</v>
      </c>
      <c r="M1605" s="16" t="str">
        <f t="shared" si="1"/>
        <v>141416 Primaria</v>
      </c>
      <c r="N1605" s="17"/>
      <c r="O1605" s="17"/>
      <c r="P1605" s="17"/>
      <c r="Q1605" s="17"/>
      <c r="R1605" s="17"/>
      <c r="S1605" s="17"/>
      <c r="T1605" s="17"/>
    </row>
    <row r="1606">
      <c r="A1606" s="21">
        <v>409.0</v>
      </c>
      <c r="B1606" s="20" t="s">
        <v>48</v>
      </c>
      <c r="C1606" s="20" t="s">
        <v>14</v>
      </c>
      <c r="D1606" s="20" t="s">
        <v>15</v>
      </c>
      <c r="E1606" s="12" t="str">
        <f>IFERROR(__xludf.DUMMYFUNCTION("FILTER(colegios!$B$2:$B5618,colegios!$A$2:$A5618=L1606)"),"15220")</f>
        <v>15220</v>
      </c>
      <c r="F1606" s="14" t="s">
        <v>16</v>
      </c>
      <c r="G1606" s="20" t="s">
        <v>21</v>
      </c>
      <c r="H1606" s="14" t="s">
        <v>18</v>
      </c>
      <c r="I1606" s="22">
        <v>2023.0</v>
      </c>
      <c r="J1606" s="16" t="str">
        <f>IFERROR(__xludf.DUMMYFUNCTION("FILTER('CLASFICACIÓN'!$F$3:$F5618,'CLASFICACIÓN'!$G$3:$G5618=M1606)"),"SOLO 2023")</f>
        <v>SOLO 2023</v>
      </c>
      <c r="K1606" s="16"/>
      <c r="L1606" s="14" t="s">
        <v>126</v>
      </c>
      <c r="M1606" s="16" t="str">
        <f t="shared" si="1"/>
        <v>152202 Primaria</v>
      </c>
      <c r="N1606" s="17"/>
      <c r="O1606" s="17"/>
      <c r="P1606" s="17"/>
      <c r="Q1606" s="17"/>
      <c r="R1606" s="17"/>
      <c r="S1606" s="17"/>
      <c r="T1606" s="17"/>
    </row>
    <row r="1607">
      <c r="A1607" s="21">
        <v>410.0</v>
      </c>
      <c r="B1607" s="20" t="s">
        <v>48</v>
      </c>
      <c r="C1607" s="20" t="s">
        <v>14</v>
      </c>
      <c r="D1607" s="20" t="s">
        <v>15</v>
      </c>
      <c r="E1607" s="12" t="str">
        <f>IFERROR(__xludf.DUMMYFUNCTION("FILTER(colegios!$B$2:$B5618,colegios!$A$2:$A5618=L1607)"),"15220")</f>
        <v>15220</v>
      </c>
      <c r="F1607" s="14" t="s">
        <v>16</v>
      </c>
      <c r="G1607" s="20" t="s">
        <v>17</v>
      </c>
      <c r="H1607" s="14" t="s">
        <v>32</v>
      </c>
      <c r="I1607" s="22">
        <v>2023.0</v>
      </c>
      <c r="J1607" s="16" t="str">
        <f>IFERROR(__xludf.DUMMYFUNCTION("FILTER('CLASFICACIÓN'!$F$3:$F5618,'CLASFICACIÓN'!$G$3:$G5618=M1607)"),"SOLO 2023")</f>
        <v>SOLO 2023</v>
      </c>
      <c r="K1607" s="16"/>
      <c r="L1607" s="14" t="s">
        <v>126</v>
      </c>
      <c r="M1607" s="16" t="str">
        <f t="shared" si="1"/>
        <v>152202 Primaria</v>
      </c>
      <c r="N1607" s="17"/>
      <c r="O1607" s="17"/>
      <c r="P1607" s="17"/>
      <c r="Q1607" s="17"/>
      <c r="R1607" s="17"/>
      <c r="S1607" s="17"/>
      <c r="T1607" s="17"/>
    </row>
    <row r="1608">
      <c r="A1608" s="21">
        <v>411.0</v>
      </c>
      <c r="B1608" s="20" t="s">
        <v>48</v>
      </c>
      <c r="C1608" s="20" t="s">
        <v>14</v>
      </c>
      <c r="D1608" s="20" t="s">
        <v>15</v>
      </c>
      <c r="E1608" s="12" t="str">
        <f>IFERROR(__xludf.DUMMYFUNCTION("FILTER(colegios!$B$2:$B5618,colegios!$A$2:$A5618=L1608)"),"15220")</f>
        <v>15220</v>
      </c>
      <c r="F1608" s="14" t="s">
        <v>16</v>
      </c>
      <c r="G1608" s="20" t="s">
        <v>17</v>
      </c>
      <c r="H1608" s="14" t="s">
        <v>32</v>
      </c>
      <c r="I1608" s="22">
        <v>2023.0</v>
      </c>
      <c r="J1608" s="16" t="str">
        <f>IFERROR(__xludf.DUMMYFUNCTION("FILTER('CLASFICACIÓN'!$F$3:$F5618,'CLASFICACIÓN'!$G$3:$G5618=M1608)"),"SOLO 2023")</f>
        <v>SOLO 2023</v>
      </c>
      <c r="K1608" s="16"/>
      <c r="L1608" s="14" t="s">
        <v>126</v>
      </c>
      <c r="M1608" s="16" t="str">
        <f t="shared" si="1"/>
        <v>152202 Primaria</v>
      </c>
      <c r="N1608" s="17"/>
      <c r="O1608" s="17"/>
      <c r="P1608" s="17"/>
      <c r="Q1608" s="17"/>
      <c r="R1608" s="17"/>
      <c r="S1608" s="17"/>
      <c r="T1608" s="17"/>
    </row>
    <row r="1609">
      <c r="A1609" s="21">
        <v>412.0</v>
      </c>
      <c r="B1609" s="20" t="s">
        <v>48</v>
      </c>
      <c r="C1609" s="20" t="s">
        <v>14</v>
      </c>
      <c r="D1609" s="20" t="s">
        <v>20</v>
      </c>
      <c r="E1609" s="12" t="str">
        <f>IFERROR(__xludf.DUMMYFUNCTION("FILTER(colegios!$B$2:$B5618,colegios!$A$2:$A5618=L1609)"),"15220")</f>
        <v>15220</v>
      </c>
      <c r="F1609" s="14" t="s">
        <v>16</v>
      </c>
      <c r="G1609" s="20" t="s">
        <v>17</v>
      </c>
      <c r="H1609" s="14" t="s">
        <v>24</v>
      </c>
      <c r="I1609" s="22">
        <v>2023.0</v>
      </c>
      <c r="J1609" s="16" t="str">
        <f>IFERROR(__xludf.DUMMYFUNCTION("FILTER('CLASFICACIÓN'!$F$3:$F5618,'CLASFICACIÓN'!$G$3:$G5618=M1609)"),"SOLO 2023")</f>
        <v>SOLO 2023</v>
      </c>
      <c r="K1609" s="16"/>
      <c r="L1609" s="14" t="s">
        <v>126</v>
      </c>
      <c r="M1609" s="16" t="str">
        <f t="shared" si="1"/>
        <v>152204 Primaria</v>
      </c>
      <c r="N1609" s="17"/>
      <c r="O1609" s="17"/>
      <c r="P1609" s="17"/>
      <c r="Q1609" s="17"/>
      <c r="R1609" s="17"/>
      <c r="S1609" s="17"/>
      <c r="T1609" s="17"/>
    </row>
    <row r="1610">
      <c r="A1610" s="21">
        <v>413.0</v>
      </c>
      <c r="B1610" s="20" t="s">
        <v>48</v>
      </c>
      <c r="C1610" s="20" t="s">
        <v>14</v>
      </c>
      <c r="D1610" s="20" t="s">
        <v>20</v>
      </c>
      <c r="E1610" s="12" t="str">
        <f>IFERROR(__xludf.DUMMYFUNCTION("FILTER(colegios!$B$2:$B5618,colegios!$A$2:$A5618=L1610)"),"15220")</f>
        <v>15220</v>
      </c>
      <c r="F1610" s="14" t="s">
        <v>16</v>
      </c>
      <c r="G1610" s="20" t="s">
        <v>17</v>
      </c>
      <c r="H1610" s="14" t="s">
        <v>24</v>
      </c>
      <c r="I1610" s="22">
        <v>2023.0</v>
      </c>
      <c r="J1610" s="16" t="str">
        <f>IFERROR(__xludf.DUMMYFUNCTION("FILTER('CLASFICACIÓN'!$F$3:$F5618,'CLASFICACIÓN'!$G$3:$G5618=M1610)"),"SOLO 2023")</f>
        <v>SOLO 2023</v>
      </c>
      <c r="K1610" s="16"/>
      <c r="L1610" s="14" t="s">
        <v>126</v>
      </c>
      <c r="M1610" s="16" t="str">
        <f t="shared" si="1"/>
        <v>152204 Primaria</v>
      </c>
      <c r="N1610" s="17"/>
      <c r="O1610" s="17"/>
      <c r="P1610" s="17"/>
      <c r="Q1610" s="17"/>
      <c r="R1610" s="17"/>
      <c r="S1610" s="17"/>
      <c r="T1610" s="17"/>
    </row>
    <row r="1611">
      <c r="A1611" s="21">
        <v>414.0</v>
      </c>
      <c r="B1611" s="20" t="s">
        <v>48</v>
      </c>
      <c r="C1611" s="20" t="s">
        <v>14</v>
      </c>
      <c r="D1611" s="20" t="s">
        <v>20</v>
      </c>
      <c r="E1611" s="12" t="str">
        <f>IFERROR(__xludf.DUMMYFUNCTION("FILTER(colegios!$B$2:$B5618,colegios!$A$2:$A5618=L1611)"),"15220")</f>
        <v>15220</v>
      </c>
      <c r="F1611" s="14" t="s">
        <v>16</v>
      </c>
      <c r="G1611" s="20" t="s">
        <v>21</v>
      </c>
      <c r="H1611" s="14" t="s">
        <v>24</v>
      </c>
      <c r="I1611" s="22">
        <v>2023.0</v>
      </c>
      <c r="J1611" s="16" t="str">
        <f>IFERROR(__xludf.DUMMYFUNCTION("FILTER('CLASFICACIÓN'!$F$3:$F5618,'CLASFICACIÓN'!$G$3:$G5618=M1611)"),"SOLO 2023")</f>
        <v>SOLO 2023</v>
      </c>
      <c r="K1611" s="16"/>
      <c r="L1611" s="14" t="s">
        <v>126</v>
      </c>
      <c r="M1611" s="16" t="str">
        <f t="shared" si="1"/>
        <v>152204 Primaria</v>
      </c>
      <c r="N1611" s="17"/>
      <c r="O1611" s="17"/>
      <c r="P1611" s="17"/>
      <c r="Q1611" s="17"/>
      <c r="R1611" s="17"/>
      <c r="S1611" s="17"/>
      <c r="T1611" s="17"/>
    </row>
    <row r="1612">
      <c r="A1612" s="21">
        <v>415.0</v>
      </c>
      <c r="B1612" s="20" t="s">
        <v>48</v>
      </c>
      <c r="C1612" s="20" t="s">
        <v>14</v>
      </c>
      <c r="D1612" s="20" t="s">
        <v>20</v>
      </c>
      <c r="E1612" s="12" t="str">
        <f>IFERROR(__xludf.DUMMYFUNCTION("FILTER(colegios!$B$2:$B5618,colegios!$A$2:$A5618=L1612)"),"15220")</f>
        <v>15220</v>
      </c>
      <c r="F1612" s="14" t="s">
        <v>16</v>
      </c>
      <c r="G1612" s="20" t="s">
        <v>21</v>
      </c>
      <c r="H1612" s="14" t="s">
        <v>24</v>
      </c>
      <c r="I1612" s="22">
        <v>2023.0</v>
      </c>
      <c r="J1612" s="16" t="str">
        <f>IFERROR(__xludf.DUMMYFUNCTION("FILTER('CLASFICACIÓN'!$F$3:$F5618,'CLASFICACIÓN'!$G$3:$G5618=M1612)"),"SOLO 2023")</f>
        <v>SOLO 2023</v>
      </c>
      <c r="K1612" s="16"/>
      <c r="L1612" s="14" t="s">
        <v>126</v>
      </c>
      <c r="M1612" s="16" t="str">
        <f t="shared" si="1"/>
        <v>152204 Primaria</v>
      </c>
      <c r="N1612" s="17"/>
      <c r="O1612" s="17"/>
      <c r="P1612" s="17"/>
      <c r="Q1612" s="17"/>
      <c r="R1612" s="17"/>
      <c r="S1612" s="17"/>
      <c r="T1612" s="17"/>
    </row>
    <row r="1613">
      <c r="A1613" s="21">
        <v>416.0</v>
      </c>
      <c r="B1613" s="20" t="s">
        <v>48</v>
      </c>
      <c r="C1613" s="20" t="s">
        <v>14</v>
      </c>
      <c r="D1613" s="20" t="s">
        <v>20</v>
      </c>
      <c r="E1613" s="12" t="str">
        <f>IFERROR(__xludf.DUMMYFUNCTION("FILTER(colegios!$B$2:$B5618,colegios!$A$2:$A5618=L1613)"),"15220")</f>
        <v>15220</v>
      </c>
      <c r="F1613" s="14" t="s">
        <v>16</v>
      </c>
      <c r="G1613" s="20" t="s">
        <v>21</v>
      </c>
      <c r="H1613" s="14" t="s">
        <v>24</v>
      </c>
      <c r="I1613" s="22">
        <v>2023.0</v>
      </c>
      <c r="J1613" s="16" t="str">
        <f>IFERROR(__xludf.DUMMYFUNCTION("FILTER('CLASFICACIÓN'!$F$3:$F5618,'CLASFICACIÓN'!$G$3:$G5618=M1613)"),"SOLO 2023")</f>
        <v>SOLO 2023</v>
      </c>
      <c r="K1613" s="16"/>
      <c r="L1613" s="14" t="s">
        <v>126</v>
      </c>
      <c r="M1613" s="16" t="str">
        <f t="shared" si="1"/>
        <v>152204 Primaria</v>
      </c>
      <c r="N1613" s="17"/>
      <c r="O1613" s="17"/>
      <c r="P1613" s="17"/>
      <c r="Q1613" s="17"/>
      <c r="R1613" s="17"/>
      <c r="S1613" s="17"/>
      <c r="T1613" s="17"/>
    </row>
    <row r="1614">
      <c r="A1614" s="21">
        <v>417.0</v>
      </c>
      <c r="B1614" s="20" t="s">
        <v>48</v>
      </c>
      <c r="C1614" s="20" t="s">
        <v>14</v>
      </c>
      <c r="D1614" s="20" t="s">
        <v>22</v>
      </c>
      <c r="E1614" s="12" t="str">
        <f>IFERROR(__xludf.DUMMYFUNCTION("FILTER(colegios!$B$2:$B5618,colegios!$A$2:$A5618=L1614)"),"15220")</f>
        <v>15220</v>
      </c>
      <c r="F1614" s="14" t="s">
        <v>16</v>
      </c>
      <c r="G1614" s="20" t="s">
        <v>17</v>
      </c>
      <c r="H1614" s="14" t="s">
        <v>18</v>
      </c>
      <c r="I1614" s="22">
        <v>2023.0</v>
      </c>
      <c r="J1614" s="16" t="str">
        <f>IFERROR(__xludf.DUMMYFUNCTION("FILTER('CLASFICACIÓN'!$F$3:$F5618,'CLASFICACIÓN'!$G$3:$G5618=M1614)"),"2023 Y 2024")</f>
        <v>2023 Y 2024</v>
      </c>
      <c r="K1614" s="16"/>
      <c r="L1614" s="14" t="s">
        <v>126</v>
      </c>
      <c r="M1614" s="16" t="str">
        <f t="shared" si="1"/>
        <v>152206 Primaria</v>
      </c>
      <c r="N1614" s="17"/>
      <c r="O1614" s="17"/>
      <c r="P1614" s="17"/>
      <c r="Q1614" s="17"/>
      <c r="R1614" s="17"/>
      <c r="S1614" s="17"/>
      <c r="T1614" s="17"/>
    </row>
    <row r="1615">
      <c r="A1615" s="21">
        <v>418.0</v>
      </c>
      <c r="B1615" s="20" t="s">
        <v>48</v>
      </c>
      <c r="C1615" s="20" t="s">
        <v>14</v>
      </c>
      <c r="D1615" s="20" t="s">
        <v>15</v>
      </c>
      <c r="E1615" s="12" t="str">
        <f>IFERROR(__xludf.DUMMYFUNCTION("FILTER(colegios!$B$2:$B5618,colegios!$A$2:$A5618=L1615)"),"14145 SANTA JULIA BILLIART")</f>
        <v>14145 SANTA JULIA BILLIART</v>
      </c>
      <c r="F1615" s="14" t="s">
        <v>16</v>
      </c>
      <c r="G1615" s="20" t="s">
        <v>21</v>
      </c>
      <c r="H1615" s="14" t="s">
        <v>24</v>
      </c>
      <c r="I1615" s="22">
        <v>2023.0</v>
      </c>
      <c r="J1615" s="16" t="str">
        <f>IFERROR(__xludf.DUMMYFUNCTION("FILTER('CLASFICACIÓN'!$F$3:$F5618,'CLASFICACIÓN'!$G$3:$G5618=M1615)"),"LOS 3 AÑOS")</f>
        <v>LOS 3 AÑOS</v>
      </c>
      <c r="K1615" s="16"/>
      <c r="L1615" s="14" t="s">
        <v>127</v>
      </c>
      <c r="M1615" s="16" t="str">
        <f t="shared" si="1"/>
        <v>14145 SANTA JULIA BILLIART2 Primaria</v>
      </c>
      <c r="N1615" s="17"/>
      <c r="O1615" s="17"/>
      <c r="P1615" s="17"/>
      <c r="Q1615" s="17"/>
      <c r="R1615" s="17"/>
      <c r="S1615" s="17"/>
      <c r="T1615" s="17"/>
    </row>
    <row r="1616">
      <c r="A1616" s="21">
        <v>419.0</v>
      </c>
      <c r="B1616" s="20" t="s">
        <v>48</v>
      </c>
      <c r="C1616" s="20" t="s">
        <v>14</v>
      </c>
      <c r="D1616" s="20" t="s">
        <v>15</v>
      </c>
      <c r="E1616" s="12" t="str">
        <f>IFERROR(__xludf.DUMMYFUNCTION("FILTER(colegios!$B$2:$B5618,colegios!$A$2:$A5618=L1616)"),"14145 SANTA JULIA BILLIART")</f>
        <v>14145 SANTA JULIA BILLIART</v>
      </c>
      <c r="F1616" s="14" t="s">
        <v>16</v>
      </c>
      <c r="G1616" s="20" t="s">
        <v>21</v>
      </c>
      <c r="H1616" s="14" t="s">
        <v>24</v>
      </c>
      <c r="I1616" s="22">
        <v>2023.0</v>
      </c>
      <c r="J1616" s="16" t="str">
        <f>IFERROR(__xludf.DUMMYFUNCTION("FILTER('CLASFICACIÓN'!$F$3:$F5618,'CLASFICACIÓN'!$G$3:$G5618=M1616)"),"LOS 3 AÑOS")</f>
        <v>LOS 3 AÑOS</v>
      </c>
      <c r="K1616" s="16"/>
      <c r="L1616" s="14" t="s">
        <v>127</v>
      </c>
      <c r="M1616" s="16" t="str">
        <f t="shared" si="1"/>
        <v>14145 SANTA JULIA BILLIART2 Primaria</v>
      </c>
      <c r="N1616" s="17"/>
      <c r="O1616" s="17"/>
      <c r="P1616" s="17"/>
      <c r="Q1616" s="17"/>
      <c r="R1616" s="17"/>
      <c r="S1616" s="17"/>
      <c r="T1616" s="17"/>
    </row>
    <row r="1617">
      <c r="A1617" s="21">
        <v>420.0</v>
      </c>
      <c r="B1617" s="20" t="s">
        <v>48</v>
      </c>
      <c r="C1617" s="20" t="s">
        <v>14</v>
      </c>
      <c r="D1617" s="20" t="s">
        <v>15</v>
      </c>
      <c r="E1617" s="12" t="str">
        <f>IFERROR(__xludf.DUMMYFUNCTION("FILTER(colegios!$B$2:$B5618,colegios!$A$2:$A5618=L1617)"),"14145 SANTA JULIA BILLIART")</f>
        <v>14145 SANTA JULIA BILLIART</v>
      </c>
      <c r="F1617" s="14" t="s">
        <v>16</v>
      </c>
      <c r="G1617" s="20" t="s">
        <v>17</v>
      </c>
      <c r="H1617" s="14" t="s">
        <v>18</v>
      </c>
      <c r="I1617" s="22">
        <v>2023.0</v>
      </c>
      <c r="J1617" s="16" t="str">
        <f>IFERROR(__xludf.DUMMYFUNCTION("FILTER('CLASFICACIÓN'!$F$3:$F5618,'CLASFICACIÓN'!$G$3:$G5618=M1617)"),"LOS 3 AÑOS")</f>
        <v>LOS 3 AÑOS</v>
      </c>
      <c r="K1617" s="16"/>
      <c r="L1617" s="14" t="s">
        <v>127</v>
      </c>
      <c r="M1617" s="16" t="str">
        <f t="shared" si="1"/>
        <v>14145 SANTA JULIA BILLIART2 Primaria</v>
      </c>
      <c r="N1617" s="17"/>
      <c r="O1617" s="17"/>
      <c r="P1617" s="17"/>
      <c r="Q1617" s="17"/>
      <c r="R1617" s="17"/>
      <c r="S1617" s="17"/>
      <c r="T1617" s="17"/>
    </row>
    <row r="1618">
      <c r="A1618" s="21">
        <v>421.0</v>
      </c>
      <c r="B1618" s="20" t="s">
        <v>48</v>
      </c>
      <c r="C1618" s="20" t="s">
        <v>14</v>
      </c>
      <c r="D1618" s="20" t="s">
        <v>15</v>
      </c>
      <c r="E1618" s="12" t="str">
        <f>IFERROR(__xludf.DUMMYFUNCTION("FILTER(colegios!$B$2:$B5618,colegios!$A$2:$A5618=L1618)"),"14145 SANTA JULIA BILLIART")</f>
        <v>14145 SANTA JULIA BILLIART</v>
      </c>
      <c r="F1618" s="14" t="s">
        <v>16</v>
      </c>
      <c r="G1618" s="20" t="s">
        <v>17</v>
      </c>
      <c r="H1618" s="14" t="s">
        <v>24</v>
      </c>
      <c r="I1618" s="22">
        <v>2023.0</v>
      </c>
      <c r="J1618" s="16" t="str">
        <f>IFERROR(__xludf.DUMMYFUNCTION("FILTER('CLASFICACIÓN'!$F$3:$F5618,'CLASFICACIÓN'!$G$3:$G5618=M1618)"),"LOS 3 AÑOS")</f>
        <v>LOS 3 AÑOS</v>
      </c>
      <c r="K1618" s="16"/>
      <c r="L1618" s="14" t="s">
        <v>127</v>
      </c>
      <c r="M1618" s="16" t="str">
        <f t="shared" si="1"/>
        <v>14145 SANTA JULIA BILLIART2 Primaria</v>
      </c>
      <c r="N1618" s="17"/>
      <c r="O1618" s="17"/>
      <c r="P1618" s="17"/>
      <c r="Q1618" s="17"/>
      <c r="R1618" s="17"/>
      <c r="S1618" s="17"/>
      <c r="T1618" s="17"/>
    </row>
    <row r="1619">
      <c r="A1619" s="21">
        <v>422.0</v>
      </c>
      <c r="B1619" s="20" t="s">
        <v>48</v>
      </c>
      <c r="C1619" s="20" t="s">
        <v>14</v>
      </c>
      <c r="D1619" s="20" t="s">
        <v>15</v>
      </c>
      <c r="E1619" s="12" t="str">
        <f>IFERROR(__xludf.DUMMYFUNCTION("FILTER(colegios!$B$2:$B5618,colegios!$A$2:$A5618=L1619)"),"14145 SANTA JULIA BILLIART")</f>
        <v>14145 SANTA JULIA BILLIART</v>
      </c>
      <c r="F1619" s="14" t="s">
        <v>16</v>
      </c>
      <c r="G1619" s="20" t="s">
        <v>21</v>
      </c>
      <c r="H1619" s="14" t="s">
        <v>24</v>
      </c>
      <c r="I1619" s="22">
        <v>2023.0</v>
      </c>
      <c r="J1619" s="16" t="str">
        <f>IFERROR(__xludf.DUMMYFUNCTION("FILTER('CLASFICACIÓN'!$F$3:$F5618,'CLASFICACIÓN'!$G$3:$G5618=M1619)"),"LOS 3 AÑOS")</f>
        <v>LOS 3 AÑOS</v>
      </c>
      <c r="K1619" s="16"/>
      <c r="L1619" s="14" t="s">
        <v>127</v>
      </c>
      <c r="M1619" s="16" t="str">
        <f t="shared" si="1"/>
        <v>14145 SANTA JULIA BILLIART2 Primaria</v>
      </c>
      <c r="N1619" s="17"/>
      <c r="O1619" s="17"/>
      <c r="P1619" s="17"/>
      <c r="Q1619" s="17"/>
      <c r="R1619" s="17"/>
      <c r="S1619" s="17"/>
      <c r="T1619" s="17"/>
    </row>
    <row r="1620">
      <c r="A1620" s="21">
        <v>423.0</v>
      </c>
      <c r="B1620" s="20" t="s">
        <v>48</v>
      </c>
      <c r="C1620" s="20" t="s">
        <v>14</v>
      </c>
      <c r="D1620" s="20" t="s">
        <v>15</v>
      </c>
      <c r="E1620" s="12" t="str">
        <f>IFERROR(__xludf.DUMMYFUNCTION("FILTER(colegios!$B$2:$B5618,colegios!$A$2:$A5618=L1620)"),"14145 SANTA JULIA BILLIART")</f>
        <v>14145 SANTA JULIA BILLIART</v>
      </c>
      <c r="F1620" s="14" t="s">
        <v>16</v>
      </c>
      <c r="G1620" s="20" t="s">
        <v>17</v>
      </c>
      <c r="H1620" s="14" t="s">
        <v>24</v>
      </c>
      <c r="I1620" s="22">
        <v>2023.0</v>
      </c>
      <c r="J1620" s="16" t="str">
        <f>IFERROR(__xludf.DUMMYFUNCTION("FILTER('CLASFICACIÓN'!$F$3:$F5618,'CLASFICACIÓN'!$G$3:$G5618=M1620)"),"LOS 3 AÑOS")</f>
        <v>LOS 3 AÑOS</v>
      </c>
      <c r="K1620" s="16"/>
      <c r="L1620" s="14" t="s">
        <v>127</v>
      </c>
      <c r="M1620" s="16" t="str">
        <f t="shared" si="1"/>
        <v>14145 SANTA JULIA BILLIART2 Primaria</v>
      </c>
      <c r="N1620" s="17"/>
      <c r="O1620" s="17"/>
      <c r="P1620" s="17"/>
      <c r="Q1620" s="17"/>
      <c r="R1620" s="17"/>
      <c r="S1620" s="17"/>
      <c r="T1620" s="17"/>
    </row>
    <row r="1621">
      <c r="A1621" s="21">
        <v>424.0</v>
      </c>
      <c r="B1621" s="20" t="s">
        <v>48</v>
      </c>
      <c r="C1621" s="20" t="s">
        <v>14</v>
      </c>
      <c r="D1621" s="20" t="s">
        <v>15</v>
      </c>
      <c r="E1621" s="12" t="str">
        <f>IFERROR(__xludf.DUMMYFUNCTION("FILTER(colegios!$B$2:$B5618,colegios!$A$2:$A5618=L1621)"),"14145 SANTA JULIA BILLIART")</f>
        <v>14145 SANTA JULIA BILLIART</v>
      </c>
      <c r="F1621" s="14" t="s">
        <v>16</v>
      </c>
      <c r="G1621" s="20" t="s">
        <v>21</v>
      </c>
      <c r="H1621" s="14" t="s">
        <v>18</v>
      </c>
      <c r="I1621" s="22">
        <v>2023.0</v>
      </c>
      <c r="J1621" s="16" t="str">
        <f>IFERROR(__xludf.DUMMYFUNCTION("FILTER('CLASFICACIÓN'!$F$3:$F5618,'CLASFICACIÓN'!$G$3:$G5618=M1621)"),"LOS 3 AÑOS")</f>
        <v>LOS 3 AÑOS</v>
      </c>
      <c r="K1621" s="16"/>
      <c r="L1621" s="14" t="s">
        <v>127</v>
      </c>
      <c r="M1621" s="16" t="str">
        <f t="shared" si="1"/>
        <v>14145 SANTA JULIA BILLIART2 Primaria</v>
      </c>
      <c r="N1621" s="17"/>
      <c r="O1621" s="17"/>
      <c r="P1621" s="17"/>
      <c r="Q1621" s="17"/>
      <c r="R1621" s="17"/>
      <c r="S1621" s="17"/>
      <c r="T1621" s="17"/>
    </row>
    <row r="1622">
      <c r="A1622" s="21">
        <v>425.0</v>
      </c>
      <c r="B1622" s="20" t="s">
        <v>48</v>
      </c>
      <c r="C1622" s="20" t="s">
        <v>14</v>
      </c>
      <c r="D1622" s="20" t="s">
        <v>15</v>
      </c>
      <c r="E1622" s="12" t="str">
        <f>IFERROR(__xludf.DUMMYFUNCTION("FILTER(colegios!$B$2:$B5618,colegios!$A$2:$A5618=L1622)"),"14145 SANTA JULIA BILLIART")</f>
        <v>14145 SANTA JULIA BILLIART</v>
      </c>
      <c r="F1622" s="14" t="s">
        <v>16</v>
      </c>
      <c r="G1622" s="20" t="s">
        <v>21</v>
      </c>
      <c r="H1622" s="14" t="s">
        <v>24</v>
      </c>
      <c r="I1622" s="22">
        <v>2023.0</v>
      </c>
      <c r="J1622" s="16" t="str">
        <f>IFERROR(__xludf.DUMMYFUNCTION("FILTER('CLASFICACIÓN'!$F$3:$F5618,'CLASFICACIÓN'!$G$3:$G5618=M1622)"),"LOS 3 AÑOS")</f>
        <v>LOS 3 AÑOS</v>
      </c>
      <c r="K1622" s="16"/>
      <c r="L1622" s="14" t="s">
        <v>127</v>
      </c>
      <c r="M1622" s="16" t="str">
        <f t="shared" si="1"/>
        <v>14145 SANTA JULIA BILLIART2 Primaria</v>
      </c>
      <c r="N1622" s="17"/>
      <c r="O1622" s="17"/>
      <c r="P1622" s="17"/>
      <c r="Q1622" s="17"/>
      <c r="R1622" s="17"/>
      <c r="S1622" s="17"/>
      <c r="T1622" s="17"/>
    </row>
    <row r="1623">
      <c r="A1623" s="21">
        <v>426.0</v>
      </c>
      <c r="B1623" s="20" t="s">
        <v>48</v>
      </c>
      <c r="C1623" s="20" t="s">
        <v>14</v>
      </c>
      <c r="D1623" s="20" t="s">
        <v>15</v>
      </c>
      <c r="E1623" s="12" t="str">
        <f>IFERROR(__xludf.DUMMYFUNCTION("FILTER(colegios!$B$2:$B5618,colegios!$A$2:$A5618=L1623)"),"14145 SANTA JULIA BILLIART")</f>
        <v>14145 SANTA JULIA BILLIART</v>
      </c>
      <c r="F1623" s="14" t="s">
        <v>16</v>
      </c>
      <c r="G1623" s="20" t="s">
        <v>17</v>
      </c>
      <c r="H1623" s="14" t="s">
        <v>24</v>
      </c>
      <c r="I1623" s="22">
        <v>2023.0</v>
      </c>
      <c r="J1623" s="16" t="str">
        <f>IFERROR(__xludf.DUMMYFUNCTION("FILTER('CLASFICACIÓN'!$F$3:$F5618,'CLASFICACIÓN'!$G$3:$G5618=M1623)"),"LOS 3 AÑOS")</f>
        <v>LOS 3 AÑOS</v>
      </c>
      <c r="K1623" s="16"/>
      <c r="L1623" s="14" t="s">
        <v>127</v>
      </c>
      <c r="M1623" s="16" t="str">
        <f t="shared" si="1"/>
        <v>14145 SANTA JULIA BILLIART2 Primaria</v>
      </c>
      <c r="N1623" s="17"/>
      <c r="O1623" s="17"/>
      <c r="P1623" s="17"/>
      <c r="Q1623" s="17"/>
      <c r="R1623" s="17"/>
      <c r="S1623" s="17"/>
      <c r="T1623" s="17"/>
    </row>
    <row r="1624">
      <c r="A1624" s="21">
        <v>427.0</v>
      </c>
      <c r="B1624" s="20" t="s">
        <v>48</v>
      </c>
      <c r="C1624" s="20" t="s">
        <v>14</v>
      </c>
      <c r="D1624" s="20" t="s">
        <v>15</v>
      </c>
      <c r="E1624" s="12" t="str">
        <f>IFERROR(__xludf.DUMMYFUNCTION("FILTER(colegios!$B$2:$B5618,colegios!$A$2:$A5618=L1624)"),"14145 SANTA JULIA BILLIART")</f>
        <v>14145 SANTA JULIA BILLIART</v>
      </c>
      <c r="F1624" s="14" t="s">
        <v>16</v>
      </c>
      <c r="G1624" s="20" t="s">
        <v>21</v>
      </c>
      <c r="H1624" s="14" t="s">
        <v>18</v>
      </c>
      <c r="I1624" s="22">
        <v>2023.0</v>
      </c>
      <c r="J1624" s="16" t="str">
        <f>IFERROR(__xludf.DUMMYFUNCTION("FILTER('CLASFICACIÓN'!$F$3:$F5618,'CLASFICACIÓN'!$G$3:$G5618=M1624)"),"LOS 3 AÑOS")</f>
        <v>LOS 3 AÑOS</v>
      </c>
      <c r="K1624" s="16"/>
      <c r="L1624" s="14" t="s">
        <v>127</v>
      </c>
      <c r="M1624" s="16" t="str">
        <f t="shared" si="1"/>
        <v>14145 SANTA JULIA BILLIART2 Primaria</v>
      </c>
      <c r="N1624" s="17"/>
      <c r="O1624" s="17"/>
      <c r="P1624" s="17"/>
      <c r="Q1624" s="17"/>
      <c r="R1624" s="17"/>
      <c r="S1624" s="17"/>
      <c r="T1624" s="17"/>
    </row>
    <row r="1625">
      <c r="A1625" s="21">
        <v>428.0</v>
      </c>
      <c r="B1625" s="20" t="s">
        <v>48</v>
      </c>
      <c r="C1625" s="20" t="s">
        <v>14</v>
      </c>
      <c r="D1625" s="20" t="s">
        <v>15</v>
      </c>
      <c r="E1625" s="12" t="str">
        <f>IFERROR(__xludf.DUMMYFUNCTION("FILTER(colegios!$B$2:$B5618,colegios!$A$2:$A5618=L1625)"),"14145 SANTA JULIA BILLIART")</f>
        <v>14145 SANTA JULIA BILLIART</v>
      </c>
      <c r="F1625" s="14" t="s">
        <v>16</v>
      </c>
      <c r="G1625" s="20" t="s">
        <v>21</v>
      </c>
      <c r="H1625" s="14" t="s">
        <v>24</v>
      </c>
      <c r="I1625" s="22">
        <v>2023.0</v>
      </c>
      <c r="J1625" s="16" t="str">
        <f>IFERROR(__xludf.DUMMYFUNCTION("FILTER('CLASFICACIÓN'!$F$3:$F5618,'CLASFICACIÓN'!$G$3:$G5618=M1625)"),"LOS 3 AÑOS")</f>
        <v>LOS 3 AÑOS</v>
      </c>
      <c r="K1625" s="16"/>
      <c r="L1625" s="14" t="s">
        <v>127</v>
      </c>
      <c r="M1625" s="16" t="str">
        <f t="shared" si="1"/>
        <v>14145 SANTA JULIA BILLIART2 Primaria</v>
      </c>
      <c r="N1625" s="17"/>
      <c r="O1625" s="17"/>
      <c r="P1625" s="17"/>
      <c r="Q1625" s="17"/>
      <c r="R1625" s="17"/>
      <c r="S1625" s="17"/>
      <c r="T1625" s="17"/>
    </row>
    <row r="1626">
      <c r="A1626" s="21">
        <v>429.0</v>
      </c>
      <c r="B1626" s="20" t="s">
        <v>48</v>
      </c>
      <c r="C1626" s="20" t="s">
        <v>14</v>
      </c>
      <c r="D1626" s="20" t="s">
        <v>15</v>
      </c>
      <c r="E1626" s="12" t="str">
        <f>IFERROR(__xludf.DUMMYFUNCTION("FILTER(colegios!$B$2:$B5618,colegios!$A$2:$A5618=L1626)"),"14145 SANTA JULIA BILLIART")</f>
        <v>14145 SANTA JULIA BILLIART</v>
      </c>
      <c r="F1626" s="14" t="s">
        <v>16</v>
      </c>
      <c r="G1626" s="20" t="s">
        <v>17</v>
      </c>
      <c r="H1626" s="14" t="s">
        <v>18</v>
      </c>
      <c r="I1626" s="22">
        <v>2023.0</v>
      </c>
      <c r="J1626" s="16" t="str">
        <f>IFERROR(__xludf.DUMMYFUNCTION("FILTER('CLASFICACIÓN'!$F$3:$F5618,'CLASFICACIÓN'!$G$3:$G5618=M1626)"),"LOS 3 AÑOS")</f>
        <v>LOS 3 AÑOS</v>
      </c>
      <c r="K1626" s="16"/>
      <c r="L1626" s="14" t="s">
        <v>127</v>
      </c>
      <c r="M1626" s="16" t="str">
        <f t="shared" si="1"/>
        <v>14145 SANTA JULIA BILLIART2 Primaria</v>
      </c>
      <c r="N1626" s="17"/>
      <c r="O1626" s="17"/>
      <c r="P1626" s="17"/>
      <c r="Q1626" s="17"/>
      <c r="R1626" s="17"/>
      <c r="S1626" s="17"/>
      <c r="T1626" s="17"/>
    </row>
    <row r="1627">
      <c r="A1627" s="21">
        <v>430.0</v>
      </c>
      <c r="B1627" s="20" t="s">
        <v>48</v>
      </c>
      <c r="C1627" s="20" t="s">
        <v>14</v>
      </c>
      <c r="D1627" s="20" t="s">
        <v>15</v>
      </c>
      <c r="E1627" s="12" t="str">
        <f>IFERROR(__xludf.DUMMYFUNCTION("FILTER(colegios!$B$2:$B5618,colegios!$A$2:$A5618=L1627)"),"14145 SANTA JULIA BILLIART")</f>
        <v>14145 SANTA JULIA BILLIART</v>
      </c>
      <c r="F1627" s="14" t="s">
        <v>16</v>
      </c>
      <c r="G1627" s="20" t="s">
        <v>17</v>
      </c>
      <c r="H1627" s="14" t="s">
        <v>24</v>
      </c>
      <c r="I1627" s="22">
        <v>2023.0</v>
      </c>
      <c r="J1627" s="16" t="str">
        <f>IFERROR(__xludf.DUMMYFUNCTION("FILTER('CLASFICACIÓN'!$F$3:$F5618,'CLASFICACIÓN'!$G$3:$G5618=M1627)"),"LOS 3 AÑOS")</f>
        <v>LOS 3 AÑOS</v>
      </c>
      <c r="K1627" s="16"/>
      <c r="L1627" s="14" t="s">
        <v>127</v>
      </c>
      <c r="M1627" s="16" t="str">
        <f t="shared" si="1"/>
        <v>14145 SANTA JULIA BILLIART2 Primaria</v>
      </c>
      <c r="N1627" s="17"/>
      <c r="O1627" s="17"/>
      <c r="P1627" s="17"/>
      <c r="Q1627" s="17"/>
      <c r="R1627" s="17"/>
      <c r="S1627" s="17"/>
      <c r="T1627" s="17"/>
    </row>
    <row r="1628">
      <c r="A1628" s="21">
        <v>431.0</v>
      </c>
      <c r="B1628" s="20" t="s">
        <v>48</v>
      </c>
      <c r="C1628" s="20" t="s">
        <v>14</v>
      </c>
      <c r="D1628" s="20" t="s">
        <v>15</v>
      </c>
      <c r="E1628" s="12" t="str">
        <f>IFERROR(__xludf.DUMMYFUNCTION("FILTER(colegios!$B$2:$B5618,colegios!$A$2:$A5618=L1628)"),"14145 SANTA JULIA BILLIART")</f>
        <v>14145 SANTA JULIA BILLIART</v>
      </c>
      <c r="F1628" s="14" t="s">
        <v>16</v>
      </c>
      <c r="G1628" s="20" t="s">
        <v>17</v>
      </c>
      <c r="H1628" s="14" t="s">
        <v>24</v>
      </c>
      <c r="I1628" s="22">
        <v>2023.0</v>
      </c>
      <c r="J1628" s="16" t="str">
        <f>IFERROR(__xludf.DUMMYFUNCTION("FILTER('CLASFICACIÓN'!$F$3:$F5618,'CLASFICACIÓN'!$G$3:$G5618=M1628)"),"LOS 3 AÑOS")</f>
        <v>LOS 3 AÑOS</v>
      </c>
      <c r="K1628" s="16"/>
      <c r="L1628" s="14" t="s">
        <v>127</v>
      </c>
      <c r="M1628" s="16" t="str">
        <f t="shared" si="1"/>
        <v>14145 SANTA JULIA BILLIART2 Primaria</v>
      </c>
      <c r="N1628" s="17"/>
      <c r="O1628" s="17"/>
      <c r="P1628" s="17"/>
      <c r="Q1628" s="17"/>
      <c r="R1628" s="17"/>
      <c r="S1628" s="17"/>
      <c r="T1628" s="17"/>
    </row>
    <row r="1629">
      <c r="A1629" s="21">
        <v>432.0</v>
      </c>
      <c r="B1629" s="20" t="s">
        <v>48</v>
      </c>
      <c r="C1629" s="20" t="s">
        <v>14</v>
      </c>
      <c r="D1629" s="20" t="s">
        <v>15</v>
      </c>
      <c r="E1629" s="12" t="str">
        <f>IFERROR(__xludf.DUMMYFUNCTION("FILTER(colegios!$B$2:$B5618,colegios!$A$2:$A5618=L1629)"),"14145 SANTA JULIA BILLIART")</f>
        <v>14145 SANTA JULIA BILLIART</v>
      </c>
      <c r="F1629" s="14" t="s">
        <v>16</v>
      </c>
      <c r="G1629" s="20" t="s">
        <v>21</v>
      </c>
      <c r="H1629" s="14" t="s">
        <v>32</v>
      </c>
      <c r="I1629" s="22">
        <v>2023.0</v>
      </c>
      <c r="J1629" s="16" t="str">
        <f>IFERROR(__xludf.DUMMYFUNCTION("FILTER('CLASFICACIÓN'!$F$3:$F5618,'CLASFICACIÓN'!$G$3:$G5618=M1629)"),"LOS 3 AÑOS")</f>
        <v>LOS 3 AÑOS</v>
      </c>
      <c r="K1629" s="16"/>
      <c r="L1629" s="14" t="s">
        <v>127</v>
      </c>
      <c r="M1629" s="16" t="str">
        <f t="shared" si="1"/>
        <v>14145 SANTA JULIA BILLIART2 Primaria</v>
      </c>
      <c r="N1629" s="17"/>
      <c r="O1629" s="17"/>
      <c r="P1629" s="17"/>
      <c r="Q1629" s="17"/>
      <c r="R1629" s="17"/>
      <c r="S1629" s="17"/>
      <c r="T1629" s="17"/>
    </row>
    <row r="1630">
      <c r="A1630" s="21">
        <v>433.0</v>
      </c>
      <c r="B1630" s="20" t="s">
        <v>48</v>
      </c>
      <c r="C1630" s="20" t="s">
        <v>14</v>
      </c>
      <c r="D1630" s="20" t="s">
        <v>15</v>
      </c>
      <c r="E1630" s="12" t="str">
        <f>IFERROR(__xludf.DUMMYFUNCTION("FILTER(colegios!$B$2:$B5618,colegios!$A$2:$A5618=L1630)"),"14145 SANTA JULIA BILLIART")</f>
        <v>14145 SANTA JULIA BILLIART</v>
      </c>
      <c r="F1630" s="14" t="s">
        <v>16</v>
      </c>
      <c r="G1630" s="20" t="s">
        <v>21</v>
      </c>
      <c r="H1630" s="14" t="s">
        <v>24</v>
      </c>
      <c r="I1630" s="22">
        <v>2023.0</v>
      </c>
      <c r="J1630" s="16" t="str">
        <f>IFERROR(__xludf.DUMMYFUNCTION("FILTER('CLASFICACIÓN'!$F$3:$F5618,'CLASFICACIÓN'!$G$3:$G5618=M1630)"),"LOS 3 AÑOS")</f>
        <v>LOS 3 AÑOS</v>
      </c>
      <c r="K1630" s="16"/>
      <c r="L1630" s="14" t="s">
        <v>127</v>
      </c>
      <c r="M1630" s="16" t="str">
        <f t="shared" si="1"/>
        <v>14145 SANTA JULIA BILLIART2 Primaria</v>
      </c>
      <c r="N1630" s="17"/>
      <c r="O1630" s="17"/>
      <c r="P1630" s="17"/>
      <c r="Q1630" s="17"/>
      <c r="R1630" s="17"/>
      <c r="S1630" s="17"/>
      <c r="T1630" s="17"/>
    </row>
    <row r="1631">
      <c r="A1631" s="21">
        <v>434.0</v>
      </c>
      <c r="B1631" s="20" t="s">
        <v>48</v>
      </c>
      <c r="C1631" s="20" t="s">
        <v>14</v>
      </c>
      <c r="D1631" s="20" t="s">
        <v>15</v>
      </c>
      <c r="E1631" s="12" t="str">
        <f>IFERROR(__xludf.DUMMYFUNCTION("FILTER(colegios!$B$2:$B5618,colegios!$A$2:$A5618=L1631)"),"14145 SANTA JULIA BILLIART")</f>
        <v>14145 SANTA JULIA BILLIART</v>
      </c>
      <c r="F1631" s="14" t="s">
        <v>16</v>
      </c>
      <c r="G1631" s="20" t="s">
        <v>21</v>
      </c>
      <c r="H1631" s="14" t="s">
        <v>18</v>
      </c>
      <c r="I1631" s="22">
        <v>2023.0</v>
      </c>
      <c r="J1631" s="16" t="str">
        <f>IFERROR(__xludf.DUMMYFUNCTION("FILTER('CLASFICACIÓN'!$F$3:$F5618,'CLASFICACIÓN'!$G$3:$G5618=M1631)"),"LOS 3 AÑOS")</f>
        <v>LOS 3 AÑOS</v>
      </c>
      <c r="K1631" s="16"/>
      <c r="L1631" s="14" t="s">
        <v>127</v>
      </c>
      <c r="M1631" s="16" t="str">
        <f t="shared" si="1"/>
        <v>14145 SANTA JULIA BILLIART2 Primaria</v>
      </c>
      <c r="N1631" s="17"/>
      <c r="O1631" s="17"/>
      <c r="P1631" s="17"/>
      <c r="Q1631" s="17"/>
      <c r="R1631" s="17"/>
      <c r="S1631" s="17"/>
      <c r="T1631" s="17"/>
    </row>
    <row r="1632">
      <c r="A1632" s="21">
        <v>435.0</v>
      </c>
      <c r="B1632" s="20" t="s">
        <v>48</v>
      </c>
      <c r="C1632" s="20" t="s">
        <v>14</v>
      </c>
      <c r="D1632" s="20" t="s">
        <v>15</v>
      </c>
      <c r="E1632" s="12" t="str">
        <f>IFERROR(__xludf.DUMMYFUNCTION("FILTER(colegios!$B$2:$B5618,colegios!$A$2:$A5618=L1632)"),"14145 SANTA JULIA BILLIART")</f>
        <v>14145 SANTA JULIA BILLIART</v>
      </c>
      <c r="F1632" s="14" t="s">
        <v>16</v>
      </c>
      <c r="G1632" s="20" t="s">
        <v>17</v>
      </c>
      <c r="H1632" s="14" t="s">
        <v>18</v>
      </c>
      <c r="I1632" s="22">
        <v>2023.0</v>
      </c>
      <c r="J1632" s="16" t="str">
        <f>IFERROR(__xludf.DUMMYFUNCTION("FILTER('CLASFICACIÓN'!$F$3:$F5618,'CLASFICACIÓN'!$G$3:$G5618=M1632)"),"LOS 3 AÑOS")</f>
        <v>LOS 3 AÑOS</v>
      </c>
      <c r="K1632" s="16"/>
      <c r="L1632" s="14" t="s">
        <v>127</v>
      </c>
      <c r="M1632" s="16" t="str">
        <f t="shared" si="1"/>
        <v>14145 SANTA JULIA BILLIART2 Primaria</v>
      </c>
      <c r="N1632" s="17"/>
      <c r="O1632" s="17"/>
      <c r="P1632" s="17"/>
      <c r="Q1632" s="17"/>
      <c r="R1632" s="17"/>
      <c r="S1632" s="17"/>
      <c r="T1632" s="17"/>
    </row>
    <row r="1633">
      <c r="A1633" s="21">
        <v>436.0</v>
      </c>
      <c r="B1633" s="20" t="s">
        <v>48</v>
      </c>
      <c r="C1633" s="20" t="s">
        <v>14</v>
      </c>
      <c r="D1633" s="20" t="s">
        <v>15</v>
      </c>
      <c r="E1633" s="12" t="str">
        <f>IFERROR(__xludf.DUMMYFUNCTION("FILTER(colegios!$B$2:$B5618,colegios!$A$2:$A5618=L1633)"),"14145 SANTA JULIA BILLIART")</f>
        <v>14145 SANTA JULIA BILLIART</v>
      </c>
      <c r="F1633" s="14" t="s">
        <v>16</v>
      </c>
      <c r="G1633" s="20" t="s">
        <v>21</v>
      </c>
      <c r="H1633" s="14" t="s">
        <v>24</v>
      </c>
      <c r="I1633" s="22">
        <v>2023.0</v>
      </c>
      <c r="J1633" s="16" t="str">
        <f>IFERROR(__xludf.DUMMYFUNCTION("FILTER('CLASFICACIÓN'!$F$3:$F5618,'CLASFICACIÓN'!$G$3:$G5618=M1633)"),"LOS 3 AÑOS")</f>
        <v>LOS 3 AÑOS</v>
      </c>
      <c r="K1633" s="16"/>
      <c r="L1633" s="14" t="s">
        <v>127</v>
      </c>
      <c r="M1633" s="16" t="str">
        <f t="shared" si="1"/>
        <v>14145 SANTA JULIA BILLIART2 Primaria</v>
      </c>
      <c r="N1633" s="17"/>
      <c r="O1633" s="17"/>
      <c r="P1633" s="17"/>
      <c r="Q1633" s="17"/>
      <c r="R1633" s="17"/>
      <c r="S1633" s="17"/>
      <c r="T1633" s="17"/>
    </row>
    <row r="1634">
      <c r="A1634" s="21">
        <v>437.0</v>
      </c>
      <c r="B1634" s="20" t="s">
        <v>48</v>
      </c>
      <c r="C1634" s="20" t="s">
        <v>14</v>
      </c>
      <c r="D1634" s="20" t="s">
        <v>15</v>
      </c>
      <c r="E1634" s="12" t="str">
        <f>IFERROR(__xludf.DUMMYFUNCTION("FILTER(colegios!$B$2:$B5618,colegios!$A$2:$A5618=L1634)"),"14145 SANTA JULIA BILLIART")</f>
        <v>14145 SANTA JULIA BILLIART</v>
      </c>
      <c r="F1634" s="14" t="s">
        <v>16</v>
      </c>
      <c r="G1634" s="20" t="s">
        <v>17</v>
      </c>
      <c r="H1634" s="14" t="s">
        <v>18</v>
      </c>
      <c r="I1634" s="22">
        <v>2023.0</v>
      </c>
      <c r="J1634" s="16" t="str">
        <f>IFERROR(__xludf.DUMMYFUNCTION("FILTER('CLASFICACIÓN'!$F$3:$F5618,'CLASFICACIÓN'!$G$3:$G5618=M1634)"),"LOS 3 AÑOS")</f>
        <v>LOS 3 AÑOS</v>
      </c>
      <c r="K1634" s="16"/>
      <c r="L1634" s="14" t="s">
        <v>127</v>
      </c>
      <c r="M1634" s="16" t="str">
        <f t="shared" si="1"/>
        <v>14145 SANTA JULIA BILLIART2 Primaria</v>
      </c>
      <c r="N1634" s="17"/>
      <c r="O1634" s="17"/>
      <c r="P1634" s="17"/>
      <c r="Q1634" s="17"/>
      <c r="R1634" s="17"/>
      <c r="S1634" s="17"/>
      <c r="T1634" s="17"/>
    </row>
    <row r="1635">
      <c r="A1635" s="21">
        <v>438.0</v>
      </c>
      <c r="B1635" s="20" t="s">
        <v>48</v>
      </c>
      <c r="C1635" s="20" t="s">
        <v>14</v>
      </c>
      <c r="D1635" s="20" t="s">
        <v>15</v>
      </c>
      <c r="E1635" s="12" t="str">
        <f>IFERROR(__xludf.DUMMYFUNCTION("FILTER(colegios!$B$2:$B5618,colegios!$A$2:$A5618=L1635)"),"14145 SANTA JULIA BILLIART")</f>
        <v>14145 SANTA JULIA BILLIART</v>
      </c>
      <c r="F1635" s="14" t="s">
        <v>16</v>
      </c>
      <c r="G1635" s="20" t="s">
        <v>21</v>
      </c>
      <c r="H1635" s="14" t="s">
        <v>24</v>
      </c>
      <c r="I1635" s="22">
        <v>2023.0</v>
      </c>
      <c r="J1635" s="16" t="str">
        <f>IFERROR(__xludf.DUMMYFUNCTION("FILTER('CLASFICACIÓN'!$F$3:$F5618,'CLASFICACIÓN'!$G$3:$G5618=M1635)"),"LOS 3 AÑOS")</f>
        <v>LOS 3 AÑOS</v>
      </c>
      <c r="K1635" s="16"/>
      <c r="L1635" s="14" t="s">
        <v>127</v>
      </c>
      <c r="M1635" s="16" t="str">
        <f t="shared" si="1"/>
        <v>14145 SANTA JULIA BILLIART2 Primaria</v>
      </c>
      <c r="N1635" s="17"/>
      <c r="O1635" s="17"/>
      <c r="P1635" s="17"/>
      <c r="Q1635" s="17"/>
      <c r="R1635" s="17"/>
      <c r="S1635" s="17"/>
      <c r="T1635" s="17"/>
    </row>
    <row r="1636">
      <c r="A1636" s="21">
        <v>439.0</v>
      </c>
      <c r="B1636" s="20" t="s">
        <v>48</v>
      </c>
      <c r="C1636" s="20" t="s">
        <v>14</v>
      </c>
      <c r="D1636" s="20" t="s">
        <v>15</v>
      </c>
      <c r="E1636" s="12" t="str">
        <f>IFERROR(__xludf.DUMMYFUNCTION("FILTER(colegios!$B$2:$B5618,colegios!$A$2:$A5618=L1636)"),"14145 SANTA JULIA BILLIART")</f>
        <v>14145 SANTA JULIA BILLIART</v>
      </c>
      <c r="F1636" s="14" t="s">
        <v>16</v>
      </c>
      <c r="G1636" s="20" t="s">
        <v>21</v>
      </c>
      <c r="H1636" s="14" t="s">
        <v>18</v>
      </c>
      <c r="I1636" s="22">
        <v>2023.0</v>
      </c>
      <c r="J1636" s="16" t="str">
        <f>IFERROR(__xludf.DUMMYFUNCTION("FILTER('CLASFICACIÓN'!$F$3:$F5618,'CLASFICACIÓN'!$G$3:$G5618=M1636)"),"LOS 3 AÑOS")</f>
        <v>LOS 3 AÑOS</v>
      </c>
      <c r="K1636" s="16"/>
      <c r="L1636" s="14" t="s">
        <v>127</v>
      </c>
      <c r="M1636" s="16" t="str">
        <f t="shared" si="1"/>
        <v>14145 SANTA JULIA BILLIART2 Primaria</v>
      </c>
      <c r="N1636" s="17"/>
      <c r="O1636" s="17"/>
      <c r="P1636" s="17"/>
      <c r="Q1636" s="17"/>
      <c r="R1636" s="17"/>
      <c r="S1636" s="17"/>
      <c r="T1636" s="17"/>
    </row>
    <row r="1637">
      <c r="A1637" s="21">
        <v>440.0</v>
      </c>
      <c r="B1637" s="20" t="s">
        <v>48</v>
      </c>
      <c r="C1637" s="20" t="s">
        <v>14</v>
      </c>
      <c r="D1637" s="20" t="s">
        <v>15</v>
      </c>
      <c r="E1637" s="12" t="str">
        <f>IFERROR(__xludf.DUMMYFUNCTION("FILTER(colegios!$B$2:$B5618,colegios!$A$2:$A5618=L1637)"),"14145 SANTA JULIA BILLIART")</f>
        <v>14145 SANTA JULIA BILLIART</v>
      </c>
      <c r="F1637" s="14" t="s">
        <v>16</v>
      </c>
      <c r="G1637" s="20" t="s">
        <v>21</v>
      </c>
      <c r="H1637" s="14" t="s">
        <v>18</v>
      </c>
      <c r="I1637" s="22">
        <v>2023.0</v>
      </c>
      <c r="J1637" s="16" t="str">
        <f>IFERROR(__xludf.DUMMYFUNCTION("FILTER('CLASFICACIÓN'!$F$3:$F5618,'CLASFICACIÓN'!$G$3:$G5618=M1637)"),"LOS 3 AÑOS")</f>
        <v>LOS 3 AÑOS</v>
      </c>
      <c r="K1637" s="16"/>
      <c r="L1637" s="14" t="s">
        <v>127</v>
      </c>
      <c r="M1637" s="16" t="str">
        <f t="shared" si="1"/>
        <v>14145 SANTA JULIA BILLIART2 Primaria</v>
      </c>
      <c r="N1637" s="17"/>
      <c r="O1637" s="17"/>
      <c r="P1637" s="17"/>
      <c r="Q1637" s="17"/>
      <c r="R1637" s="17"/>
      <c r="S1637" s="17"/>
      <c r="T1637" s="17"/>
    </row>
    <row r="1638">
      <c r="A1638" s="21">
        <v>441.0</v>
      </c>
      <c r="B1638" s="20" t="s">
        <v>48</v>
      </c>
      <c r="C1638" s="20" t="s">
        <v>14</v>
      </c>
      <c r="D1638" s="20" t="s">
        <v>15</v>
      </c>
      <c r="E1638" s="12" t="str">
        <f>IFERROR(__xludf.DUMMYFUNCTION("FILTER(colegios!$B$2:$B5618,colegios!$A$2:$A5618=L1638)"),"14145 SANTA JULIA BILLIART")</f>
        <v>14145 SANTA JULIA BILLIART</v>
      </c>
      <c r="F1638" s="14" t="s">
        <v>16</v>
      </c>
      <c r="G1638" s="20" t="s">
        <v>21</v>
      </c>
      <c r="H1638" s="14" t="s">
        <v>24</v>
      </c>
      <c r="I1638" s="22">
        <v>2023.0</v>
      </c>
      <c r="J1638" s="16" t="str">
        <f>IFERROR(__xludf.DUMMYFUNCTION("FILTER('CLASFICACIÓN'!$F$3:$F5618,'CLASFICACIÓN'!$G$3:$G5618=M1638)"),"LOS 3 AÑOS")</f>
        <v>LOS 3 AÑOS</v>
      </c>
      <c r="K1638" s="16"/>
      <c r="L1638" s="14" t="s">
        <v>127</v>
      </c>
      <c r="M1638" s="16" t="str">
        <f t="shared" si="1"/>
        <v>14145 SANTA JULIA BILLIART2 Primaria</v>
      </c>
      <c r="N1638" s="17"/>
      <c r="O1638" s="17"/>
      <c r="P1638" s="17"/>
      <c r="Q1638" s="17"/>
      <c r="R1638" s="17"/>
      <c r="S1638" s="17"/>
      <c r="T1638" s="17"/>
    </row>
    <row r="1639">
      <c r="A1639" s="21">
        <v>442.0</v>
      </c>
      <c r="B1639" s="20" t="s">
        <v>48</v>
      </c>
      <c r="C1639" s="20" t="s">
        <v>14</v>
      </c>
      <c r="D1639" s="20" t="s">
        <v>15</v>
      </c>
      <c r="E1639" s="12" t="str">
        <f>IFERROR(__xludf.DUMMYFUNCTION("FILTER(colegios!$B$2:$B5618,colegios!$A$2:$A5618=L1639)"),"14145 SANTA JULIA BILLIART")</f>
        <v>14145 SANTA JULIA BILLIART</v>
      </c>
      <c r="F1639" s="14" t="s">
        <v>16</v>
      </c>
      <c r="G1639" s="20" t="s">
        <v>21</v>
      </c>
      <c r="H1639" s="14" t="s">
        <v>18</v>
      </c>
      <c r="I1639" s="22">
        <v>2023.0</v>
      </c>
      <c r="J1639" s="16" t="str">
        <f>IFERROR(__xludf.DUMMYFUNCTION("FILTER('CLASFICACIÓN'!$F$3:$F5618,'CLASFICACIÓN'!$G$3:$G5618=M1639)"),"LOS 3 AÑOS")</f>
        <v>LOS 3 AÑOS</v>
      </c>
      <c r="K1639" s="16"/>
      <c r="L1639" s="14" t="s">
        <v>127</v>
      </c>
      <c r="M1639" s="16" t="str">
        <f t="shared" si="1"/>
        <v>14145 SANTA JULIA BILLIART2 Primaria</v>
      </c>
      <c r="N1639" s="17"/>
      <c r="O1639" s="17"/>
      <c r="P1639" s="17"/>
      <c r="Q1639" s="17"/>
      <c r="R1639" s="17"/>
      <c r="S1639" s="17"/>
      <c r="T1639" s="17"/>
    </row>
    <row r="1640">
      <c r="A1640" s="21">
        <v>443.0</v>
      </c>
      <c r="B1640" s="20" t="s">
        <v>48</v>
      </c>
      <c r="C1640" s="20" t="s">
        <v>14</v>
      </c>
      <c r="D1640" s="20" t="s">
        <v>15</v>
      </c>
      <c r="E1640" s="12" t="str">
        <f>IFERROR(__xludf.DUMMYFUNCTION("FILTER(colegios!$B$2:$B5618,colegios!$A$2:$A5618=L1640)"),"14145 SANTA JULIA BILLIART")</f>
        <v>14145 SANTA JULIA BILLIART</v>
      </c>
      <c r="F1640" s="14" t="s">
        <v>16</v>
      </c>
      <c r="G1640" s="20" t="s">
        <v>17</v>
      </c>
      <c r="H1640" s="14" t="s">
        <v>18</v>
      </c>
      <c r="I1640" s="22">
        <v>2023.0</v>
      </c>
      <c r="J1640" s="16" t="str">
        <f>IFERROR(__xludf.DUMMYFUNCTION("FILTER('CLASFICACIÓN'!$F$3:$F5618,'CLASFICACIÓN'!$G$3:$G5618=M1640)"),"LOS 3 AÑOS")</f>
        <v>LOS 3 AÑOS</v>
      </c>
      <c r="K1640" s="16"/>
      <c r="L1640" s="14" t="s">
        <v>127</v>
      </c>
      <c r="M1640" s="16" t="str">
        <f t="shared" si="1"/>
        <v>14145 SANTA JULIA BILLIART2 Primaria</v>
      </c>
      <c r="N1640" s="17"/>
      <c r="O1640" s="17"/>
      <c r="P1640" s="17"/>
      <c r="Q1640" s="17"/>
      <c r="R1640" s="17"/>
      <c r="S1640" s="17"/>
      <c r="T1640" s="17"/>
    </row>
    <row r="1641">
      <c r="A1641" s="21">
        <v>444.0</v>
      </c>
      <c r="B1641" s="20" t="s">
        <v>48</v>
      </c>
      <c r="C1641" s="20" t="s">
        <v>14</v>
      </c>
      <c r="D1641" s="20" t="s">
        <v>15</v>
      </c>
      <c r="E1641" s="12" t="str">
        <f>IFERROR(__xludf.DUMMYFUNCTION("FILTER(colegios!$B$2:$B5618,colegios!$A$2:$A5618=L1641)"),"14145 SANTA JULIA BILLIART")</f>
        <v>14145 SANTA JULIA BILLIART</v>
      </c>
      <c r="F1641" s="14" t="s">
        <v>16</v>
      </c>
      <c r="G1641" s="20" t="s">
        <v>17</v>
      </c>
      <c r="H1641" s="14" t="s">
        <v>24</v>
      </c>
      <c r="I1641" s="22">
        <v>2023.0</v>
      </c>
      <c r="J1641" s="16" t="str">
        <f>IFERROR(__xludf.DUMMYFUNCTION("FILTER('CLASFICACIÓN'!$F$3:$F5618,'CLASFICACIÓN'!$G$3:$G5618=M1641)"),"LOS 3 AÑOS")</f>
        <v>LOS 3 AÑOS</v>
      </c>
      <c r="K1641" s="16"/>
      <c r="L1641" s="14" t="s">
        <v>127</v>
      </c>
      <c r="M1641" s="16" t="str">
        <f t="shared" si="1"/>
        <v>14145 SANTA JULIA BILLIART2 Primaria</v>
      </c>
      <c r="N1641" s="17"/>
      <c r="O1641" s="17"/>
      <c r="P1641" s="17"/>
      <c r="Q1641" s="17"/>
      <c r="R1641" s="17"/>
      <c r="S1641" s="17"/>
      <c r="T1641" s="17"/>
    </row>
    <row r="1642">
      <c r="A1642" s="21">
        <v>445.0</v>
      </c>
      <c r="B1642" s="20" t="s">
        <v>48</v>
      </c>
      <c r="C1642" s="20" t="s">
        <v>14</v>
      </c>
      <c r="D1642" s="20" t="s">
        <v>15</v>
      </c>
      <c r="E1642" s="12" t="str">
        <f>IFERROR(__xludf.DUMMYFUNCTION("FILTER(colegios!$B$2:$B5618,colegios!$A$2:$A5618=L1642)"),"14145 SANTA JULIA BILLIART")</f>
        <v>14145 SANTA JULIA BILLIART</v>
      </c>
      <c r="F1642" s="14" t="s">
        <v>16</v>
      </c>
      <c r="G1642" s="20" t="s">
        <v>17</v>
      </c>
      <c r="H1642" s="14" t="s">
        <v>24</v>
      </c>
      <c r="I1642" s="22">
        <v>2023.0</v>
      </c>
      <c r="J1642" s="16" t="str">
        <f>IFERROR(__xludf.DUMMYFUNCTION("FILTER('CLASFICACIÓN'!$F$3:$F5618,'CLASFICACIÓN'!$G$3:$G5618=M1642)"),"LOS 3 AÑOS")</f>
        <v>LOS 3 AÑOS</v>
      </c>
      <c r="K1642" s="16"/>
      <c r="L1642" s="14" t="s">
        <v>127</v>
      </c>
      <c r="M1642" s="16" t="str">
        <f t="shared" si="1"/>
        <v>14145 SANTA JULIA BILLIART2 Primaria</v>
      </c>
      <c r="N1642" s="17"/>
      <c r="O1642" s="17"/>
      <c r="P1642" s="17"/>
      <c r="Q1642" s="17"/>
      <c r="R1642" s="17"/>
      <c r="S1642" s="17"/>
      <c r="T1642" s="17"/>
    </row>
    <row r="1643">
      <c r="A1643" s="21">
        <v>446.0</v>
      </c>
      <c r="B1643" s="20" t="s">
        <v>48</v>
      </c>
      <c r="C1643" s="20" t="s">
        <v>14</v>
      </c>
      <c r="D1643" s="20" t="s">
        <v>15</v>
      </c>
      <c r="E1643" s="12" t="str">
        <f>IFERROR(__xludf.DUMMYFUNCTION("FILTER(colegios!$B$2:$B5618,colegios!$A$2:$A5618=L1643)"),"14145 SANTA JULIA BILLIART")</f>
        <v>14145 SANTA JULIA BILLIART</v>
      </c>
      <c r="F1643" s="14" t="s">
        <v>16</v>
      </c>
      <c r="G1643" s="20" t="s">
        <v>21</v>
      </c>
      <c r="H1643" s="14" t="s">
        <v>24</v>
      </c>
      <c r="I1643" s="22">
        <v>2023.0</v>
      </c>
      <c r="J1643" s="16" t="str">
        <f>IFERROR(__xludf.DUMMYFUNCTION("FILTER('CLASFICACIÓN'!$F$3:$F5618,'CLASFICACIÓN'!$G$3:$G5618=M1643)"),"LOS 3 AÑOS")</f>
        <v>LOS 3 AÑOS</v>
      </c>
      <c r="K1643" s="16"/>
      <c r="L1643" s="14" t="s">
        <v>127</v>
      </c>
      <c r="M1643" s="16" t="str">
        <f t="shared" si="1"/>
        <v>14145 SANTA JULIA BILLIART2 Primaria</v>
      </c>
      <c r="N1643" s="17"/>
      <c r="O1643" s="17"/>
      <c r="P1643" s="17"/>
      <c r="Q1643" s="17"/>
      <c r="R1643" s="17"/>
      <c r="S1643" s="17"/>
      <c r="T1643" s="17"/>
    </row>
    <row r="1644">
      <c r="A1644" s="21">
        <v>447.0</v>
      </c>
      <c r="B1644" s="20" t="s">
        <v>48</v>
      </c>
      <c r="C1644" s="20" t="s">
        <v>14</v>
      </c>
      <c r="D1644" s="20" t="s">
        <v>15</v>
      </c>
      <c r="E1644" s="12" t="str">
        <f>IFERROR(__xludf.DUMMYFUNCTION("FILTER(colegios!$B$2:$B5618,colegios!$A$2:$A5618=L1644)"),"14145 SANTA JULIA BILLIART")</f>
        <v>14145 SANTA JULIA BILLIART</v>
      </c>
      <c r="F1644" s="14" t="s">
        <v>16</v>
      </c>
      <c r="G1644" s="20" t="s">
        <v>17</v>
      </c>
      <c r="H1644" s="14" t="s">
        <v>24</v>
      </c>
      <c r="I1644" s="22">
        <v>2023.0</v>
      </c>
      <c r="J1644" s="16" t="str">
        <f>IFERROR(__xludf.DUMMYFUNCTION("FILTER('CLASFICACIÓN'!$F$3:$F5618,'CLASFICACIÓN'!$G$3:$G5618=M1644)"),"LOS 3 AÑOS")</f>
        <v>LOS 3 AÑOS</v>
      </c>
      <c r="K1644" s="16"/>
      <c r="L1644" s="14" t="s">
        <v>127</v>
      </c>
      <c r="M1644" s="16" t="str">
        <f t="shared" si="1"/>
        <v>14145 SANTA JULIA BILLIART2 Primaria</v>
      </c>
      <c r="N1644" s="17"/>
      <c r="O1644" s="17"/>
      <c r="P1644" s="17"/>
      <c r="Q1644" s="17"/>
      <c r="R1644" s="17"/>
      <c r="S1644" s="17"/>
      <c r="T1644" s="17"/>
    </row>
    <row r="1645">
      <c r="A1645" s="21">
        <v>448.0</v>
      </c>
      <c r="B1645" s="20" t="s">
        <v>48</v>
      </c>
      <c r="C1645" s="20" t="s">
        <v>14</v>
      </c>
      <c r="D1645" s="20" t="s">
        <v>15</v>
      </c>
      <c r="E1645" s="12" t="str">
        <f>IFERROR(__xludf.DUMMYFUNCTION("FILTER(colegios!$B$2:$B5618,colegios!$A$2:$A5618=L1645)"),"14145 SANTA JULIA BILLIART")</f>
        <v>14145 SANTA JULIA BILLIART</v>
      </c>
      <c r="F1645" s="14" t="s">
        <v>16</v>
      </c>
      <c r="G1645" s="20" t="s">
        <v>17</v>
      </c>
      <c r="H1645" s="14" t="s">
        <v>18</v>
      </c>
      <c r="I1645" s="22">
        <v>2023.0</v>
      </c>
      <c r="J1645" s="16" t="str">
        <f>IFERROR(__xludf.DUMMYFUNCTION("FILTER('CLASFICACIÓN'!$F$3:$F5618,'CLASFICACIÓN'!$G$3:$G5618=M1645)"),"LOS 3 AÑOS")</f>
        <v>LOS 3 AÑOS</v>
      </c>
      <c r="K1645" s="16"/>
      <c r="L1645" s="14" t="s">
        <v>127</v>
      </c>
      <c r="M1645" s="16" t="str">
        <f t="shared" si="1"/>
        <v>14145 SANTA JULIA BILLIART2 Primaria</v>
      </c>
      <c r="N1645" s="17"/>
      <c r="O1645" s="17"/>
      <c r="P1645" s="17"/>
      <c r="Q1645" s="17"/>
      <c r="R1645" s="17"/>
      <c r="S1645" s="17"/>
      <c r="T1645" s="17"/>
    </row>
    <row r="1646">
      <c r="A1646" s="21">
        <v>449.0</v>
      </c>
      <c r="B1646" s="20" t="s">
        <v>48</v>
      </c>
      <c r="C1646" s="20" t="s">
        <v>14</v>
      </c>
      <c r="D1646" s="20" t="s">
        <v>15</v>
      </c>
      <c r="E1646" s="12" t="str">
        <f>IFERROR(__xludf.DUMMYFUNCTION("FILTER(colegios!$B$2:$B5618,colegios!$A$2:$A5618=L1646)"),"14145 SANTA JULIA BILLIART")</f>
        <v>14145 SANTA JULIA BILLIART</v>
      </c>
      <c r="F1646" s="14" t="s">
        <v>16</v>
      </c>
      <c r="G1646" s="20" t="s">
        <v>17</v>
      </c>
      <c r="H1646" s="14" t="s">
        <v>18</v>
      </c>
      <c r="I1646" s="22">
        <v>2023.0</v>
      </c>
      <c r="J1646" s="16" t="str">
        <f>IFERROR(__xludf.DUMMYFUNCTION("FILTER('CLASFICACIÓN'!$F$3:$F5618,'CLASFICACIÓN'!$G$3:$G5618=M1646)"),"LOS 3 AÑOS")</f>
        <v>LOS 3 AÑOS</v>
      </c>
      <c r="K1646" s="16"/>
      <c r="L1646" s="14" t="s">
        <v>127</v>
      </c>
      <c r="M1646" s="16" t="str">
        <f t="shared" si="1"/>
        <v>14145 SANTA JULIA BILLIART2 Primaria</v>
      </c>
      <c r="N1646" s="17"/>
      <c r="O1646" s="17"/>
      <c r="P1646" s="17"/>
      <c r="Q1646" s="17"/>
      <c r="R1646" s="17"/>
      <c r="S1646" s="17"/>
      <c r="T1646" s="17"/>
    </row>
    <row r="1647">
      <c r="A1647" s="21">
        <v>450.0</v>
      </c>
      <c r="B1647" s="20" t="s">
        <v>48</v>
      </c>
      <c r="C1647" s="20" t="s">
        <v>14</v>
      </c>
      <c r="D1647" s="20" t="s">
        <v>15</v>
      </c>
      <c r="E1647" s="12" t="str">
        <f>IFERROR(__xludf.DUMMYFUNCTION("FILTER(colegios!$B$2:$B5618,colegios!$A$2:$A5618=L1647)"),"14145 SANTA JULIA BILLIART")</f>
        <v>14145 SANTA JULIA BILLIART</v>
      </c>
      <c r="F1647" s="14" t="s">
        <v>16</v>
      </c>
      <c r="G1647" s="20" t="s">
        <v>21</v>
      </c>
      <c r="H1647" s="14" t="s">
        <v>24</v>
      </c>
      <c r="I1647" s="22">
        <v>2023.0</v>
      </c>
      <c r="J1647" s="16" t="str">
        <f>IFERROR(__xludf.DUMMYFUNCTION("FILTER('CLASFICACIÓN'!$F$3:$F5618,'CLASFICACIÓN'!$G$3:$G5618=M1647)"),"LOS 3 AÑOS")</f>
        <v>LOS 3 AÑOS</v>
      </c>
      <c r="K1647" s="16"/>
      <c r="L1647" s="14" t="s">
        <v>127</v>
      </c>
      <c r="M1647" s="16" t="str">
        <f t="shared" si="1"/>
        <v>14145 SANTA JULIA BILLIART2 Primaria</v>
      </c>
      <c r="N1647" s="17"/>
      <c r="O1647" s="17"/>
      <c r="P1647" s="17"/>
      <c r="Q1647" s="17"/>
      <c r="R1647" s="17"/>
      <c r="S1647" s="17"/>
      <c r="T1647" s="17"/>
    </row>
    <row r="1648">
      <c r="A1648" s="21">
        <v>451.0</v>
      </c>
      <c r="B1648" s="20" t="s">
        <v>48</v>
      </c>
      <c r="C1648" s="20" t="s">
        <v>14</v>
      </c>
      <c r="D1648" s="20" t="s">
        <v>15</v>
      </c>
      <c r="E1648" s="12" t="str">
        <f>IFERROR(__xludf.DUMMYFUNCTION("FILTER(colegios!$B$2:$B5618,colegios!$A$2:$A5618=L1648)"),"14145 SANTA JULIA BILLIART")</f>
        <v>14145 SANTA JULIA BILLIART</v>
      </c>
      <c r="F1648" s="14" t="s">
        <v>16</v>
      </c>
      <c r="G1648" s="20" t="s">
        <v>21</v>
      </c>
      <c r="H1648" s="14" t="s">
        <v>18</v>
      </c>
      <c r="I1648" s="22">
        <v>2023.0</v>
      </c>
      <c r="J1648" s="16" t="str">
        <f>IFERROR(__xludf.DUMMYFUNCTION("FILTER('CLASFICACIÓN'!$F$3:$F5618,'CLASFICACIÓN'!$G$3:$G5618=M1648)"),"LOS 3 AÑOS")</f>
        <v>LOS 3 AÑOS</v>
      </c>
      <c r="K1648" s="16"/>
      <c r="L1648" s="14" t="s">
        <v>127</v>
      </c>
      <c r="M1648" s="16" t="str">
        <f t="shared" si="1"/>
        <v>14145 SANTA JULIA BILLIART2 Primaria</v>
      </c>
      <c r="N1648" s="17"/>
      <c r="O1648" s="17"/>
      <c r="P1648" s="17"/>
      <c r="Q1648" s="17"/>
      <c r="R1648" s="17"/>
      <c r="S1648" s="17"/>
      <c r="T1648" s="17"/>
    </row>
    <row r="1649">
      <c r="A1649" s="21">
        <v>452.0</v>
      </c>
      <c r="B1649" s="20" t="s">
        <v>48</v>
      </c>
      <c r="C1649" s="20" t="s">
        <v>14</v>
      </c>
      <c r="D1649" s="20" t="s">
        <v>15</v>
      </c>
      <c r="E1649" s="12" t="str">
        <f>IFERROR(__xludf.DUMMYFUNCTION("FILTER(colegios!$B$2:$B5618,colegios!$A$2:$A5618=L1649)"),"14145 SANTA JULIA BILLIART")</f>
        <v>14145 SANTA JULIA BILLIART</v>
      </c>
      <c r="F1649" s="14" t="s">
        <v>16</v>
      </c>
      <c r="G1649" s="20" t="s">
        <v>21</v>
      </c>
      <c r="H1649" s="14" t="s">
        <v>24</v>
      </c>
      <c r="I1649" s="22">
        <v>2023.0</v>
      </c>
      <c r="J1649" s="16" t="str">
        <f>IFERROR(__xludf.DUMMYFUNCTION("FILTER('CLASFICACIÓN'!$F$3:$F5618,'CLASFICACIÓN'!$G$3:$G5618=M1649)"),"LOS 3 AÑOS")</f>
        <v>LOS 3 AÑOS</v>
      </c>
      <c r="K1649" s="16"/>
      <c r="L1649" s="14" t="s">
        <v>127</v>
      </c>
      <c r="M1649" s="16" t="str">
        <f t="shared" si="1"/>
        <v>14145 SANTA JULIA BILLIART2 Primaria</v>
      </c>
      <c r="N1649" s="17"/>
      <c r="O1649" s="17"/>
      <c r="P1649" s="17"/>
      <c r="Q1649" s="17"/>
      <c r="R1649" s="17"/>
      <c r="S1649" s="17"/>
      <c r="T1649" s="17"/>
    </row>
    <row r="1650">
      <c r="A1650" s="21">
        <v>453.0</v>
      </c>
      <c r="B1650" s="20" t="s">
        <v>48</v>
      </c>
      <c r="C1650" s="20" t="s">
        <v>14</v>
      </c>
      <c r="D1650" s="20" t="s">
        <v>15</v>
      </c>
      <c r="E1650" s="12" t="str">
        <f>IFERROR(__xludf.DUMMYFUNCTION("FILTER(colegios!$B$2:$B5618,colegios!$A$2:$A5618=L1650)"),"14145 SANTA JULIA BILLIART")</f>
        <v>14145 SANTA JULIA BILLIART</v>
      </c>
      <c r="F1650" s="14" t="s">
        <v>16</v>
      </c>
      <c r="G1650" s="20" t="s">
        <v>17</v>
      </c>
      <c r="H1650" s="14" t="s">
        <v>18</v>
      </c>
      <c r="I1650" s="22">
        <v>2023.0</v>
      </c>
      <c r="J1650" s="16" t="str">
        <f>IFERROR(__xludf.DUMMYFUNCTION("FILTER('CLASFICACIÓN'!$F$3:$F5618,'CLASFICACIÓN'!$G$3:$G5618=M1650)"),"LOS 3 AÑOS")</f>
        <v>LOS 3 AÑOS</v>
      </c>
      <c r="K1650" s="16"/>
      <c r="L1650" s="14" t="s">
        <v>127</v>
      </c>
      <c r="M1650" s="16" t="str">
        <f t="shared" si="1"/>
        <v>14145 SANTA JULIA BILLIART2 Primaria</v>
      </c>
      <c r="N1650" s="17"/>
      <c r="O1650" s="17"/>
      <c r="P1650" s="17"/>
      <c r="Q1650" s="17"/>
      <c r="R1650" s="17"/>
      <c r="S1650" s="17"/>
      <c r="T1650" s="17"/>
    </row>
    <row r="1651">
      <c r="A1651" s="21">
        <v>454.0</v>
      </c>
      <c r="B1651" s="20" t="s">
        <v>48</v>
      </c>
      <c r="C1651" s="20" t="s">
        <v>14</v>
      </c>
      <c r="D1651" s="20" t="s">
        <v>15</v>
      </c>
      <c r="E1651" s="12" t="str">
        <f>IFERROR(__xludf.DUMMYFUNCTION("FILTER(colegios!$B$2:$B5618,colegios!$A$2:$A5618=L1651)"),"14145 SANTA JULIA BILLIART")</f>
        <v>14145 SANTA JULIA BILLIART</v>
      </c>
      <c r="F1651" s="14" t="s">
        <v>16</v>
      </c>
      <c r="G1651" s="20" t="s">
        <v>17</v>
      </c>
      <c r="H1651" s="14" t="s">
        <v>18</v>
      </c>
      <c r="I1651" s="22">
        <v>2023.0</v>
      </c>
      <c r="J1651" s="16" t="str">
        <f>IFERROR(__xludf.DUMMYFUNCTION("FILTER('CLASFICACIÓN'!$F$3:$F5618,'CLASFICACIÓN'!$G$3:$G5618=M1651)"),"LOS 3 AÑOS")</f>
        <v>LOS 3 AÑOS</v>
      </c>
      <c r="K1651" s="16"/>
      <c r="L1651" s="14" t="s">
        <v>127</v>
      </c>
      <c r="M1651" s="16" t="str">
        <f t="shared" si="1"/>
        <v>14145 SANTA JULIA BILLIART2 Primaria</v>
      </c>
      <c r="N1651" s="17"/>
      <c r="O1651" s="17"/>
      <c r="P1651" s="17"/>
      <c r="Q1651" s="17"/>
      <c r="R1651" s="17"/>
      <c r="S1651" s="17"/>
      <c r="T1651" s="17"/>
    </row>
    <row r="1652">
      <c r="A1652" s="21">
        <v>455.0</v>
      </c>
      <c r="B1652" s="20" t="s">
        <v>48</v>
      </c>
      <c r="C1652" s="20" t="s">
        <v>14</v>
      </c>
      <c r="D1652" s="20" t="s">
        <v>20</v>
      </c>
      <c r="E1652" s="12" t="str">
        <f>IFERROR(__xludf.DUMMYFUNCTION("FILTER(colegios!$B$2:$B5618,colegios!$A$2:$A5618=L1652)"),"14145 SANTA JULIA BILLIART")</f>
        <v>14145 SANTA JULIA BILLIART</v>
      </c>
      <c r="F1652" s="14" t="s">
        <v>16</v>
      </c>
      <c r="G1652" s="20" t="s">
        <v>17</v>
      </c>
      <c r="H1652" s="14" t="s">
        <v>24</v>
      </c>
      <c r="I1652" s="22">
        <v>2023.0</v>
      </c>
      <c r="J1652" s="16" t="str">
        <f>IFERROR(__xludf.DUMMYFUNCTION("FILTER('CLASFICACIÓN'!$F$3:$F5618,'CLASFICACIÓN'!$G$3:$G5618=M1652)"),"LOS 3 AÑOS")</f>
        <v>LOS 3 AÑOS</v>
      </c>
      <c r="K1652" s="16"/>
      <c r="L1652" s="14" t="s">
        <v>127</v>
      </c>
      <c r="M1652" s="16" t="str">
        <f t="shared" si="1"/>
        <v>14145 SANTA JULIA BILLIART4 Primaria</v>
      </c>
      <c r="N1652" s="17"/>
      <c r="O1652" s="17"/>
      <c r="P1652" s="17"/>
      <c r="Q1652" s="17"/>
      <c r="R1652" s="17"/>
      <c r="S1652" s="17"/>
      <c r="T1652" s="17"/>
    </row>
    <row r="1653">
      <c r="A1653" s="21">
        <v>456.0</v>
      </c>
      <c r="B1653" s="20" t="s">
        <v>48</v>
      </c>
      <c r="C1653" s="20" t="s">
        <v>14</v>
      </c>
      <c r="D1653" s="20" t="s">
        <v>20</v>
      </c>
      <c r="E1653" s="12" t="str">
        <f>IFERROR(__xludf.DUMMYFUNCTION("FILTER(colegios!$B$2:$B5618,colegios!$A$2:$A5618=L1653)"),"14145 SANTA JULIA BILLIART")</f>
        <v>14145 SANTA JULIA BILLIART</v>
      </c>
      <c r="F1653" s="14" t="s">
        <v>16</v>
      </c>
      <c r="G1653" s="20" t="s">
        <v>21</v>
      </c>
      <c r="H1653" s="14" t="s">
        <v>24</v>
      </c>
      <c r="I1653" s="22">
        <v>2023.0</v>
      </c>
      <c r="J1653" s="16" t="str">
        <f>IFERROR(__xludf.DUMMYFUNCTION("FILTER('CLASFICACIÓN'!$F$3:$F5618,'CLASFICACIÓN'!$G$3:$G5618=M1653)"),"LOS 3 AÑOS")</f>
        <v>LOS 3 AÑOS</v>
      </c>
      <c r="K1653" s="16"/>
      <c r="L1653" s="14" t="s">
        <v>127</v>
      </c>
      <c r="M1653" s="16" t="str">
        <f t="shared" si="1"/>
        <v>14145 SANTA JULIA BILLIART4 Primaria</v>
      </c>
      <c r="N1653" s="17"/>
      <c r="O1653" s="17"/>
      <c r="P1653" s="17"/>
      <c r="Q1653" s="17"/>
      <c r="R1653" s="17"/>
      <c r="S1653" s="17"/>
      <c r="T1653" s="17"/>
    </row>
    <row r="1654">
      <c r="A1654" s="21">
        <v>457.0</v>
      </c>
      <c r="B1654" s="20" t="s">
        <v>48</v>
      </c>
      <c r="C1654" s="20" t="s">
        <v>14</v>
      </c>
      <c r="D1654" s="20" t="s">
        <v>20</v>
      </c>
      <c r="E1654" s="12" t="str">
        <f>IFERROR(__xludf.DUMMYFUNCTION("FILTER(colegios!$B$2:$B5618,colegios!$A$2:$A5618=L1654)"),"14145 SANTA JULIA BILLIART")</f>
        <v>14145 SANTA JULIA BILLIART</v>
      </c>
      <c r="F1654" s="14" t="s">
        <v>16</v>
      </c>
      <c r="G1654" s="20" t="s">
        <v>17</v>
      </c>
      <c r="H1654" s="14" t="s">
        <v>18</v>
      </c>
      <c r="I1654" s="22">
        <v>2023.0</v>
      </c>
      <c r="J1654" s="16" t="str">
        <f>IFERROR(__xludf.DUMMYFUNCTION("FILTER('CLASFICACIÓN'!$F$3:$F5618,'CLASFICACIÓN'!$G$3:$G5618=M1654)"),"LOS 3 AÑOS")</f>
        <v>LOS 3 AÑOS</v>
      </c>
      <c r="K1654" s="16"/>
      <c r="L1654" s="14" t="s">
        <v>127</v>
      </c>
      <c r="M1654" s="16" t="str">
        <f t="shared" si="1"/>
        <v>14145 SANTA JULIA BILLIART4 Primaria</v>
      </c>
      <c r="N1654" s="17"/>
      <c r="O1654" s="17"/>
      <c r="P1654" s="17"/>
      <c r="Q1654" s="17"/>
      <c r="R1654" s="17"/>
      <c r="S1654" s="17"/>
      <c r="T1654" s="17"/>
    </row>
    <row r="1655">
      <c r="A1655" s="21">
        <v>458.0</v>
      </c>
      <c r="B1655" s="20" t="s">
        <v>48</v>
      </c>
      <c r="C1655" s="20" t="s">
        <v>14</v>
      </c>
      <c r="D1655" s="20" t="s">
        <v>20</v>
      </c>
      <c r="E1655" s="12" t="str">
        <f>IFERROR(__xludf.DUMMYFUNCTION("FILTER(colegios!$B$2:$B5618,colegios!$A$2:$A5618=L1655)"),"14145 SANTA JULIA BILLIART")</f>
        <v>14145 SANTA JULIA BILLIART</v>
      </c>
      <c r="F1655" s="14" t="s">
        <v>16</v>
      </c>
      <c r="G1655" s="20" t="s">
        <v>21</v>
      </c>
      <c r="H1655" s="14" t="s">
        <v>18</v>
      </c>
      <c r="I1655" s="22">
        <v>2023.0</v>
      </c>
      <c r="J1655" s="16" t="str">
        <f>IFERROR(__xludf.DUMMYFUNCTION("FILTER('CLASFICACIÓN'!$F$3:$F5618,'CLASFICACIÓN'!$G$3:$G5618=M1655)"),"LOS 3 AÑOS")</f>
        <v>LOS 3 AÑOS</v>
      </c>
      <c r="K1655" s="16"/>
      <c r="L1655" s="14" t="s">
        <v>127</v>
      </c>
      <c r="M1655" s="16" t="str">
        <f t="shared" si="1"/>
        <v>14145 SANTA JULIA BILLIART4 Primaria</v>
      </c>
      <c r="N1655" s="17"/>
      <c r="O1655" s="17"/>
      <c r="P1655" s="17"/>
      <c r="Q1655" s="17"/>
      <c r="R1655" s="17"/>
      <c r="S1655" s="17"/>
      <c r="T1655" s="17"/>
    </row>
    <row r="1656">
      <c r="A1656" s="21">
        <v>459.0</v>
      </c>
      <c r="B1656" s="20" t="s">
        <v>48</v>
      </c>
      <c r="C1656" s="20" t="s">
        <v>14</v>
      </c>
      <c r="D1656" s="20" t="s">
        <v>20</v>
      </c>
      <c r="E1656" s="12" t="str">
        <f>IFERROR(__xludf.DUMMYFUNCTION("FILTER(colegios!$B$2:$B5618,colegios!$A$2:$A5618=L1656)"),"14145 SANTA JULIA BILLIART")</f>
        <v>14145 SANTA JULIA BILLIART</v>
      </c>
      <c r="F1656" s="14" t="s">
        <v>16</v>
      </c>
      <c r="G1656" s="20" t="s">
        <v>17</v>
      </c>
      <c r="H1656" s="14" t="s">
        <v>18</v>
      </c>
      <c r="I1656" s="22">
        <v>2023.0</v>
      </c>
      <c r="J1656" s="16" t="str">
        <f>IFERROR(__xludf.DUMMYFUNCTION("FILTER('CLASFICACIÓN'!$F$3:$F5618,'CLASFICACIÓN'!$G$3:$G5618=M1656)"),"LOS 3 AÑOS")</f>
        <v>LOS 3 AÑOS</v>
      </c>
      <c r="K1656" s="16"/>
      <c r="L1656" s="14" t="s">
        <v>127</v>
      </c>
      <c r="M1656" s="16" t="str">
        <f t="shared" si="1"/>
        <v>14145 SANTA JULIA BILLIART4 Primaria</v>
      </c>
      <c r="N1656" s="17"/>
      <c r="O1656" s="17"/>
      <c r="P1656" s="17"/>
      <c r="Q1656" s="17"/>
      <c r="R1656" s="17"/>
      <c r="S1656" s="17"/>
      <c r="T1656" s="17"/>
    </row>
    <row r="1657">
      <c r="A1657" s="21">
        <v>460.0</v>
      </c>
      <c r="B1657" s="20" t="s">
        <v>48</v>
      </c>
      <c r="C1657" s="20" t="s">
        <v>14</v>
      </c>
      <c r="D1657" s="20" t="s">
        <v>20</v>
      </c>
      <c r="E1657" s="12" t="str">
        <f>IFERROR(__xludf.DUMMYFUNCTION("FILTER(colegios!$B$2:$B5618,colegios!$A$2:$A5618=L1657)"),"14145 SANTA JULIA BILLIART")</f>
        <v>14145 SANTA JULIA BILLIART</v>
      </c>
      <c r="F1657" s="14" t="s">
        <v>16</v>
      </c>
      <c r="G1657" s="20" t="s">
        <v>21</v>
      </c>
      <c r="H1657" s="14" t="s">
        <v>18</v>
      </c>
      <c r="I1657" s="22">
        <v>2023.0</v>
      </c>
      <c r="J1657" s="16" t="str">
        <f>IFERROR(__xludf.DUMMYFUNCTION("FILTER('CLASFICACIÓN'!$F$3:$F5618,'CLASFICACIÓN'!$G$3:$G5618=M1657)"),"LOS 3 AÑOS")</f>
        <v>LOS 3 AÑOS</v>
      </c>
      <c r="K1657" s="16"/>
      <c r="L1657" s="14" t="s">
        <v>127</v>
      </c>
      <c r="M1657" s="16" t="str">
        <f t="shared" si="1"/>
        <v>14145 SANTA JULIA BILLIART4 Primaria</v>
      </c>
      <c r="N1657" s="17"/>
      <c r="O1657" s="17"/>
      <c r="P1657" s="17"/>
      <c r="Q1657" s="17"/>
      <c r="R1657" s="17"/>
      <c r="S1657" s="17"/>
      <c r="T1657" s="17"/>
    </row>
    <row r="1658">
      <c r="A1658" s="21">
        <v>461.0</v>
      </c>
      <c r="B1658" s="20" t="s">
        <v>48</v>
      </c>
      <c r="C1658" s="20" t="s">
        <v>14</v>
      </c>
      <c r="D1658" s="20" t="s">
        <v>20</v>
      </c>
      <c r="E1658" s="12" t="str">
        <f>IFERROR(__xludf.DUMMYFUNCTION("FILTER(colegios!$B$2:$B5618,colegios!$A$2:$A5618=L1658)"),"14145 SANTA JULIA BILLIART")</f>
        <v>14145 SANTA JULIA BILLIART</v>
      </c>
      <c r="F1658" s="14" t="s">
        <v>16</v>
      </c>
      <c r="G1658" s="20" t="s">
        <v>21</v>
      </c>
      <c r="H1658" s="14" t="s">
        <v>18</v>
      </c>
      <c r="I1658" s="22">
        <v>2023.0</v>
      </c>
      <c r="J1658" s="16" t="str">
        <f>IFERROR(__xludf.DUMMYFUNCTION("FILTER('CLASFICACIÓN'!$F$3:$F5618,'CLASFICACIÓN'!$G$3:$G5618=M1658)"),"LOS 3 AÑOS")</f>
        <v>LOS 3 AÑOS</v>
      </c>
      <c r="K1658" s="16"/>
      <c r="L1658" s="14" t="s">
        <v>127</v>
      </c>
      <c r="M1658" s="16" t="str">
        <f t="shared" si="1"/>
        <v>14145 SANTA JULIA BILLIART4 Primaria</v>
      </c>
      <c r="N1658" s="17"/>
      <c r="O1658" s="17"/>
      <c r="P1658" s="17"/>
      <c r="Q1658" s="17"/>
      <c r="R1658" s="17"/>
      <c r="S1658" s="17"/>
      <c r="T1658" s="17"/>
    </row>
    <row r="1659">
      <c r="A1659" s="21">
        <v>462.0</v>
      </c>
      <c r="B1659" s="20" t="s">
        <v>48</v>
      </c>
      <c r="C1659" s="20" t="s">
        <v>14</v>
      </c>
      <c r="D1659" s="20" t="s">
        <v>20</v>
      </c>
      <c r="E1659" s="12" t="str">
        <f>IFERROR(__xludf.DUMMYFUNCTION("FILTER(colegios!$B$2:$B5618,colegios!$A$2:$A5618=L1659)"),"14145 SANTA JULIA BILLIART")</f>
        <v>14145 SANTA JULIA BILLIART</v>
      </c>
      <c r="F1659" s="14" t="s">
        <v>16</v>
      </c>
      <c r="G1659" s="20" t="s">
        <v>21</v>
      </c>
      <c r="H1659" s="14" t="s">
        <v>18</v>
      </c>
      <c r="I1659" s="22">
        <v>2023.0</v>
      </c>
      <c r="J1659" s="16" t="str">
        <f>IFERROR(__xludf.DUMMYFUNCTION("FILTER('CLASFICACIÓN'!$F$3:$F5618,'CLASFICACIÓN'!$G$3:$G5618=M1659)"),"LOS 3 AÑOS")</f>
        <v>LOS 3 AÑOS</v>
      </c>
      <c r="K1659" s="16"/>
      <c r="L1659" s="14" t="s">
        <v>127</v>
      </c>
      <c r="M1659" s="16" t="str">
        <f t="shared" si="1"/>
        <v>14145 SANTA JULIA BILLIART4 Primaria</v>
      </c>
      <c r="N1659" s="17"/>
      <c r="O1659" s="17"/>
      <c r="P1659" s="17"/>
      <c r="Q1659" s="17"/>
      <c r="R1659" s="17"/>
      <c r="S1659" s="17"/>
      <c r="T1659" s="17"/>
    </row>
    <row r="1660">
      <c r="A1660" s="21">
        <v>463.0</v>
      </c>
      <c r="B1660" s="20" t="s">
        <v>48</v>
      </c>
      <c r="C1660" s="20" t="s">
        <v>14</v>
      </c>
      <c r="D1660" s="20" t="s">
        <v>20</v>
      </c>
      <c r="E1660" s="12" t="str">
        <f>IFERROR(__xludf.DUMMYFUNCTION("FILTER(colegios!$B$2:$B5618,colegios!$A$2:$A5618=L1660)"),"14145 SANTA JULIA BILLIART")</f>
        <v>14145 SANTA JULIA BILLIART</v>
      </c>
      <c r="F1660" s="14" t="s">
        <v>16</v>
      </c>
      <c r="G1660" s="20" t="s">
        <v>17</v>
      </c>
      <c r="H1660" s="14" t="s">
        <v>18</v>
      </c>
      <c r="I1660" s="22">
        <v>2023.0</v>
      </c>
      <c r="J1660" s="16" t="str">
        <f>IFERROR(__xludf.DUMMYFUNCTION("FILTER('CLASFICACIÓN'!$F$3:$F5618,'CLASFICACIÓN'!$G$3:$G5618=M1660)"),"LOS 3 AÑOS")</f>
        <v>LOS 3 AÑOS</v>
      </c>
      <c r="K1660" s="16"/>
      <c r="L1660" s="14" t="s">
        <v>127</v>
      </c>
      <c r="M1660" s="16" t="str">
        <f t="shared" si="1"/>
        <v>14145 SANTA JULIA BILLIART4 Primaria</v>
      </c>
      <c r="N1660" s="17"/>
      <c r="O1660" s="17"/>
      <c r="P1660" s="17"/>
      <c r="Q1660" s="17"/>
      <c r="R1660" s="17"/>
      <c r="S1660" s="17"/>
      <c r="T1660" s="17"/>
    </row>
    <row r="1661">
      <c r="A1661" s="21">
        <v>464.0</v>
      </c>
      <c r="B1661" s="20" t="s">
        <v>48</v>
      </c>
      <c r="C1661" s="20" t="s">
        <v>14</v>
      </c>
      <c r="D1661" s="20" t="s">
        <v>20</v>
      </c>
      <c r="E1661" s="12" t="str">
        <f>IFERROR(__xludf.DUMMYFUNCTION("FILTER(colegios!$B$2:$B5618,colegios!$A$2:$A5618=L1661)"),"14145 SANTA JULIA BILLIART")</f>
        <v>14145 SANTA JULIA BILLIART</v>
      </c>
      <c r="F1661" s="14" t="s">
        <v>16</v>
      </c>
      <c r="G1661" s="20" t="s">
        <v>21</v>
      </c>
      <c r="H1661" s="14" t="s">
        <v>24</v>
      </c>
      <c r="I1661" s="22">
        <v>2023.0</v>
      </c>
      <c r="J1661" s="16" t="str">
        <f>IFERROR(__xludf.DUMMYFUNCTION("FILTER('CLASFICACIÓN'!$F$3:$F5618,'CLASFICACIÓN'!$G$3:$G5618=M1661)"),"LOS 3 AÑOS")</f>
        <v>LOS 3 AÑOS</v>
      </c>
      <c r="K1661" s="16"/>
      <c r="L1661" s="14" t="s">
        <v>127</v>
      </c>
      <c r="M1661" s="16" t="str">
        <f t="shared" si="1"/>
        <v>14145 SANTA JULIA BILLIART4 Primaria</v>
      </c>
      <c r="N1661" s="17"/>
      <c r="O1661" s="17"/>
      <c r="P1661" s="17"/>
      <c r="Q1661" s="17"/>
      <c r="R1661" s="17"/>
      <c r="S1661" s="17"/>
      <c r="T1661" s="17"/>
    </row>
    <row r="1662">
      <c r="A1662" s="21">
        <v>465.0</v>
      </c>
      <c r="B1662" s="20" t="s">
        <v>48</v>
      </c>
      <c r="C1662" s="20" t="s">
        <v>14</v>
      </c>
      <c r="D1662" s="20" t="s">
        <v>20</v>
      </c>
      <c r="E1662" s="12" t="str">
        <f>IFERROR(__xludf.DUMMYFUNCTION("FILTER(colegios!$B$2:$B5618,colegios!$A$2:$A5618=L1662)"),"14145 SANTA JULIA BILLIART")</f>
        <v>14145 SANTA JULIA BILLIART</v>
      </c>
      <c r="F1662" s="14" t="s">
        <v>16</v>
      </c>
      <c r="G1662" s="20" t="s">
        <v>17</v>
      </c>
      <c r="H1662" s="14" t="s">
        <v>24</v>
      </c>
      <c r="I1662" s="22">
        <v>2023.0</v>
      </c>
      <c r="J1662" s="16" t="str">
        <f>IFERROR(__xludf.DUMMYFUNCTION("FILTER('CLASFICACIÓN'!$F$3:$F5618,'CLASFICACIÓN'!$G$3:$G5618=M1662)"),"LOS 3 AÑOS")</f>
        <v>LOS 3 AÑOS</v>
      </c>
      <c r="K1662" s="16"/>
      <c r="L1662" s="14" t="s">
        <v>127</v>
      </c>
      <c r="M1662" s="16" t="str">
        <f t="shared" si="1"/>
        <v>14145 SANTA JULIA BILLIART4 Primaria</v>
      </c>
      <c r="N1662" s="17"/>
      <c r="O1662" s="17"/>
      <c r="P1662" s="17"/>
      <c r="Q1662" s="17"/>
      <c r="R1662" s="17"/>
      <c r="S1662" s="17"/>
      <c r="T1662" s="17"/>
    </row>
    <row r="1663">
      <c r="A1663" s="21">
        <v>466.0</v>
      </c>
      <c r="B1663" s="20" t="s">
        <v>48</v>
      </c>
      <c r="C1663" s="20" t="s">
        <v>14</v>
      </c>
      <c r="D1663" s="20" t="s">
        <v>20</v>
      </c>
      <c r="E1663" s="12" t="str">
        <f>IFERROR(__xludf.DUMMYFUNCTION("FILTER(colegios!$B$2:$B5618,colegios!$A$2:$A5618=L1663)"),"14145 SANTA JULIA BILLIART")</f>
        <v>14145 SANTA JULIA BILLIART</v>
      </c>
      <c r="F1663" s="14" t="s">
        <v>16</v>
      </c>
      <c r="G1663" s="20" t="s">
        <v>21</v>
      </c>
      <c r="H1663" s="14" t="s">
        <v>24</v>
      </c>
      <c r="I1663" s="22">
        <v>2023.0</v>
      </c>
      <c r="J1663" s="16" t="str">
        <f>IFERROR(__xludf.DUMMYFUNCTION("FILTER('CLASFICACIÓN'!$F$3:$F5618,'CLASFICACIÓN'!$G$3:$G5618=M1663)"),"LOS 3 AÑOS")</f>
        <v>LOS 3 AÑOS</v>
      </c>
      <c r="K1663" s="16"/>
      <c r="L1663" s="14" t="s">
        <v>127</v>
      </c>
      <c r="M1663" s="16" t="str">
        <f t="shared" si="1"/>
        <v>14145 SANTA JULIA BILLIART4 Primaria</v>
      </c>
      <c r="N1663" s="17"/>
      <c r="O1663" s="17"/>
      <c r="P1663" s="17"/>
      <c r="Q1663" s="17"/>
      <c r="R1663" s="17"/>
      <c r="S1663" s="17"/>
      <c r="T1663" s="17"/>
    </row>
    <row r="1664">
      <c r="A1664" s="21">
        <v>467.0</v>
      </c>
      <c r="B1664" s="20" t="s">
        <v>48</v>
      </c>
      <c r="C1664" s="20" t="s">
        <v>14</v>
      </c>
      <c r="D1664" s="20" t="s">
        <v>20</v>
      </c>
      <c r="E1664" s="12" t="str">
        <f>IFERROR(__xludf.DUMMYFUNCTION("FILTER(colegios!$B$2:$B5618,colegios!$A$2:$A5618=L1664)"),"14145 SANTA JULIA BILLIART")</f>
        <v>14145 SANTA JULIA BILLIART</v>
      </c>
      <c r="F1664" s="14" t="s">
        <v>16</v>
      </c>
      <c r="G1664" s="20" t="s">
        <v>17</v>
      </c>
      <c r="H1664" s="14" t="s">
        <v>18</v>
      </c>
      <c r="I1664" s="22">
        <v>2023.0</v>
      </c>
      <c r="J1664" s="16" t="str">
        <f>IFERROR(__xludf.DUMMYFUNCTION("FILTER('CLASFICACIÓN'!$F$3:$F5618,'CLASFICACIÓN'!$G$3:$G5618=M1664)"),"LOS 3 AÑOS")</f>
        <v>LOS 3 AÑOS</v>
      </c>
      <c r="K1664" s="16"/>
      <c r="L1664" s="14" t="s">
        <v>127</v>
      </c>
      <c r="M1664" s="16" t="str">
        <f t="shared" si="1"/>
        <v>14145 SANTA JULIA BILLIART4 Primaria</v>
      </c>
      <c r="N1664" s="17"/>
      <c r="O1664" s="17"/>
      <c r="P1664" s="17"/>
      <c r="Q1664" s="17"/>
      <c r="R1664" s="17"/>
      <c r="S1664" s="17"/>
      <c r="T1664" s="17"/>
    </row>
    <row r="1665">
      <c r="A1665" s="21">
        <v>468.0</v>
      </c>
      <c r="B1665" s="20" t="s">
        <v>48</v>
      </c>
      <c r="C1665" s="20" t="s">
        <v>14</v>
      </c>
      <c r="D1665" s="20" t="s">
        <v>20</v>
      </c>
      <c r="E1665" s="12" t="str">
        <f>IFERROR(__xludf.DUMMYFUNCTION("FILTER(colegios!$B$2:$B5618,colegios!$A$2:$A5618=L1665)"),"14145 SANTA JULIA BILLIART")</f>
        <v>14145 SANTA JULIA BILLIART</v>
      </c>
      <c r="F1665" s="14" t="s">
        <v>16</v>
      </c>
      <c r="G1665" s="20" t="s">
        <v>21</v>
      </c>
      <c r="H1665" s="14" t="s">
        <v>18</v>
      </c>
      <c r="I1665" s="22">
        <v>2023.0</v>
      </c>
      <c r="J1665" s="16" t="str">
        <f>IFERROR(__xludf.DUMMYFUNCTION("FILTER('CLASFICACIÓN'!$F$3:$F5618,'CLASFICACIÓN'!$G$3:$G5618=M1665)"),"LOS 3 AÑOS")</f>
        <v>LOS 3 AÑOS</v>
      </c>
      <c r="K1665" s="16"/>
      <c r="L1665" s="14" t="s">
        <v>127</v>
      </c>
      <c r="M1665" s="16" t="str">
        <f t="shared" si="1"/>
        <v>14145 SANTA JULIA BILLIART4 Primaria</v>
      </c>
      <c r="N1665" s="17"/>
      <c r="O1665" s="17"/>
      <c r="P1665" s="17"/>
      <c r="Q1665" s="17"/>
      <c r="R1665" s="17"/>
      <c r="S1665" s="17"/>
      <c r="T1665" s="17"/>
    </row>
    <row r="1666">
      <c r="A1666" s="21">
        <v>469.0</v>
      </c>
      <c r="B1666" s="20" t="s">
        <v>48</v>
      </c>
      <c r="C1666" s="20" t="s">
        <v>14</v>
      </c>
      <c r="D1666" s="20" t="s">
        <v>20</v>
      </c>
      <c r="E1666" s="12" t="str">
        <f>IFERROR(__xludf.DUMMYFUNCTION("FILTER(colegios!$B$2:$B5618,colegios!$A$2:$A5618=L1666)"),"14145 SANTA JULIA BILLIART")</f>
        <v>14145 SANTA JULIA BILLIART</v>
      </c>
      <c r="F1666" s="14" t="s">
        <v>16</v>
      </c>
      <c r="G1666" s="20" t="s">
        <v>17</v>
      </c>
      <c r="H1666" s="14" t="s">
        <v>24</v>
      </c>
      <c r="I1666" s="22">
        <v>2023.0</v>
      </c>
      <c r="J1666" s="16" t="str">
        <f>IFERROR(__xludf.DUMMYFUNCTION("FILTER('CLASFICACIÓN'!$F$3:$F5618,'CLASFICACIÓN'!$G$3:$G5618=M1666)"),"LOS 3 AÑOS")</f>
        <v>LOS 3 AÑOS</v>
      </c>
      <c r="K1666" s="16"/>
      <c r="L1666" s="14" t="s">
        <v>127</v>
      </c>
      <c r="M1666" s="16" t="str">
        <f t="shared" si="1"/>
        <v>14145 SANTA JULIA BILLIART4 Primaria</v>
      </c>
      <c r="N1666" s="17"/>
      <c r="O1666" s="17"/>
      <c r="P1666" s="17"/>
      <c r="Q1666" s="17"/>
      <c r="R1666" s="17"/>
      <c r="S1666" s="17"/>
      <c r="T1666" s="17"/>
    </row>
    <row r="1667">
      <c r="A1667" s="21">
        <v>470.0</v>
      </c>
      <c r="B1667" s="20" t="s">
        <v>48</v>
      </c>
      <c r="C1667" s="20" t="s">
        <v>14</v>
      </c>
      <c r="D1667" s="20" t="s">
        <v>20</v>
      </c>
      <c r="E1667" s="12" t="str">
        <f>IFERROR(__xludf.DUMMYFUNCTION("FILTER(colegios!$B$2:$B5618,colegios!$A$2:$A5618=L1667)"),"14145 SANTA JULIA BILLIART")</f>
        <v>14145 SANTA JULIA BILLIART</v>
      </c>
      <c r="F1667" s="14" t="s">
        <v>16</v>
      </c>
      <c r="G1667" s="20" t="s">
        <v>21</v>
      </c>
      <c r="H1667" s="14" t="s">
        <v>24</v>
      </c>
      <c r="I1667" s="22">
        <v>2023.0</v>
      </c>
      <c r="J1667" s="16" t="str">
        <f>IFERROR(__xludf.DUMMYFUNCTION("FILTER('CLASFICACIÓN'!$F$3:$F5618,'CLASFICACIÓN'!$G$3:$G5618=M1667)"),"LOS 3 AÑOS")</f>
        <v>LOS 3 AÑOS</v>
      </c>
      <c r="K1667" s="16"/>
      <c r="L1667" s="14" t="s">
        <v>127</v>
      </c>
      <c r="M1667" s="16" t="str">
        <f t="shared" si="1"/>
        <v>14145 SANTA JULIA BILLIART4 Primaria</v>
      </c>
      <c r="N1667" s="17"/>
      <c r="O1667" s="17"/>
      <c r="P1667" s="17"/>
      <c r="Q1667" s="17"/>
      <c r="R1667" s="17"/>
      <c r="S1667" s="17"/>
      <c r="T1667" s="17"/>
    </row>
    <row r="1668">
      <c r="A1668" s="21">
        <v>471.0</v>
      </c>
      <c r="B1668" s="20" t="s">
        <v>48</v>
      </c>
      <c r="C1668" s="20" t="s">
        <v>14</v>
      </c>
      <c r="D1668" s="20" t="s">
        <v>20</v>
      </c>
      <c r="E1668" s="12" t="str">
        <f>IFERROR(__xludf.DUMMYFUNCTION("FILTER(colegios!$B$2:$B5618,colegios!$A$2:$A5618=L1668)"),"14145 SANTA JULIA BILLIART")</f>
        <v>14145 SANTA JULIA BILLIART</v>
      </c>
      <c r="F1668" s="14" t="s">
        <v>16</v>
      </c>
      <c r="G1668" s="20" t="s">
        <v>17</v>
      </c>
      <c r="H1668" s="14" t="s">
        <v>18</v>
      </c>
      <c r="I1668" s="22">
        <v>2023.0</v>
      </c>
      <c r="J1668" s="16" t="str">
        <f>IFERROR(__xludf.DUMMYFUNCTION("FILTER('CLASFICACIÓN'!$F$3:$F5618,'CLASFICACIÓN'!$G$3:$G5618=M1668)"),"LOS 3 AÑOS")</f>
        <v>LOS 3 AÑOS</v>
      </c>
      <c r="K1668" s="16"/>
      <c r="L1668" s="14" t="s">
        <v>127</v>
      </c>
      <c r="M1668" s="16" t="str">
        <f t="shared" si="1"/>
        <v>14145 SANTA JULIA BILLIART4 Primaria</v>
      </c>
      <c r="N1668" s="17"/>
      <c r="O1668" s="17"/>
      <c r="P1668" s="17"/>
      <c r="Q1668" s="17"/>
      <c r="R1668" s="17"/>
      <c r="S1668" s="17"/>
      <c r="T1668" s="17"/>
    </row>
    <row r="1669">
      <c r="A1669" s="21">
        <v>472.0</v>
      </c>
      <c r="B1669" s="20" t="s">
        <v>48</v>
      </c>
      <c r="C1669" s="20" t="s">
        <v>14</v>
      </c>
      <c r="D1669" s="20" t="s">
        <v>20</v>
      </c>
      <c r="E1669" s="12" t="str">
        <f>IFERROR(__xludf.DUMMYFUNCTION("FILTER(colegios!$B$2:$B5618,colegios!$A$2:$A5618=L1669)"),"14145 SANTA JULIA BILLIART")</f>
        <v>14145 SANTA JULIA BILLIART</v>
      </c>
      <c r="F1669" s="14" t="s">
        <v>16</v>
      </c>
      <c r="G1669" s="20" t="s">
        <v>21</v>
      </c>
      <c r="H1669" s="14" t="s">
        <v>24</v>
      </c>
      <c r="I1669" s="22">
        <v>2023.0</v>
      </c>
      <c r="J1669" s="16" t="str">
        <f>IFERROR(__xludf.DUMMYFUNCTION("FILTER('CLASFICACIÓN'!$F$3:$F5618,'CLASFICACIÓN'!$G$3:$G5618=M1669)"),"LOS 3 AÑOS")</f>
        <v>LOS 3 AÑOS</v>
      </c>
      <c r="K1669" s="16"/>
      <c r="L1669" s="14" t="s">
        <v>127</v>
      </c>
      <c r="M1669" s="16" t="str">
        <f t="shared" si="1"/>
        <v>14145 SANTA JULIA BILLIART4 Primaria</v>
      </c>
      <c r="N1669" s="17"/>
      <c r="O1669" s="17"/>
      <c r="P1669" s="17"/>
      <c r="Q1669" s="17"/>
      <c r="R1669" s="17"/>
      <c r="S1669" s="17"/>
      <c r="T1669" s="17"/>
    </row>
    <row r="1670">
      <c r="A1670" s="21">
        <v>473.0</v>
      </c>
      <c r="B1670" s="20" t="s">
        <v>48</v>
      </c>
      <c r="C1670" s="20" t="s">
        <v>14</v>
      </c>
      <c r="D1670" s="20" t="s">
        <v>20</v>
      </c>
      <c r="E1670" s="12" t="str">
        <f>IFERROR(__xludf.DUMMYFUNCTION("FILTER(colegios!$B$2:$B5618,colegios!$A$2:$A5618=L1670)"),"14145 SANTA JULIA BILLIART")</f>
        <v>14145 SANTA JULIA BILLIART</v>
      </c>
      <c r="F1670" s="14" t="s">
        <v>16</v>
      </c>
      <c r="G1670" s="20" t="s">
        <v>17</v>
      </c>
      <c r="H1670" s="14" t="s">
        <v>18</v>
      </c>
      <c r="I1670" s="22">
        <v>2023.0</v>
      </c>
      <c r="J1670" s="16" t="str">
        <f>IFERROR(__xludf.DUMMYFUNCTION("FILTER('CLASFICACIÓN'!$F$3:$F5618,'CLASFICACIÓN'!$G$3:$G5618=M1670)"),"LOS 3 AÑOS")</f>
        <v>LOS 3 AÑOS</v>
      </c>
      <c r="K1670" s="16"/>
      <c r="L1670" s="14" t="s">
        <v>127</v>
      </c>
      <c r="M1670" s="16" t="str">
        <f t="shared" si="1"/>
        <v>14145 SANTA JULIA BILLIART4 Primaria</v>
      </c>
      <c r="N1670" s="17"/>
      <c r="O1670" s="17"/>
      <c r="P1670" s="17"/>
      <c r="Q1670" s="17"/>
      <c r="R1670" s="17"/>
      <c r="S1670" s="17"/>
      <c r="T1670" s="17"/>
    </row>
    <row r="1671">
      <c r="A1671" s="21">
        <v>474.0</v>
      </c>
      <c r="B1671" s="20" t="s">
        <v>48</v>
      </c>
      <c r="C1671" s="20" t="s">
        <v>14</v>
      </c>
      <c r="D1671" s="20" t="s">
        <v>20</v>
      </c>
      <c r="E1671" s="12" t="str">
        <f>IFERROR(__xludf.DUMMYFUNCTION("FILTER(colegios!$B$2:$B5618,colegios!$A$2:$A5618=L1671)"),"14145 SANTA JULIA BILLIART")</f>
        <v>14145 SANTA JULIA BILLIART</v>
      </c>
      <c r="F1671" s="14" t="s">
        <v>16</v>
      </c>
      <c r="G1671" s="20" t="s">
        <v>17</v>
      </c>
      <c r="H1671" s="14" t="s">
        <v>24</v>
      </c>
      <c r="I1671" s="22">
        <v>2023.0</v>
      </c>
      <c r="J1671" s="16" t="str">
        <f>IFERROR(__xludf.DUMMYFUNCTION("FILTER('CLASFICACIÓN'!$F$3:$F5618,'CLASFICACIÓN'!$G$3:$G5618=M1671)"),"LOS 3 AÑOS")</f>
        <v>LOS 3 AÑOS</v>
      </c>
      <c r="K1671" s="16"/>
      <c r="L1671" s="14" t="s">
        <v>127</v>
      </c>
      <c r="M1671" s="16" t="str">
        <f t="shared" si="1"/>
        <v>14145 SANTA JULIA BILLIART4 Primaria</v>
      </c>
      <c r="N1671" s="17"/>
      <c r="O1671" s="17"/>
      <c r="P1671" s="17"/>
      <c r="Q1671" s="17"/>
      <c r="R1671" s="17"/>
      <c r="S1671" s="17"/>
      <c r="T1671" s="17"/>
    </row>
    <row r="1672">
      <c r="A1672" s="21">
        <v>475.0</v>
      </c>
      <c r="B1672" s="20" t="s">
        <v>48</v>
      </c>
      <c r="C1672" s="20" t="s">
        <v>14</v>
      </c>
      <c r="D1672" s="20" t="s">
        <v>20</v>
      </c>
      <c r="E1672" s="12" t="str">
        <f>IFERROR(__xludf.DUMMYFUNCTION("FILTER(colegios!$B$2:$B5618,colegios!$A$2:$A5618=L1672)"),"14145 SANTA JULIA BILLIART")</f>
        <v>14145 SANTA JULIA BILLIART</v>
      </c>
      <c r="F1672" s="14" t="s">
        <v>16</v>
      </c>
      <c r="G1672" s="20" t="s">
        <v>17</v>
      </c>
      <c r="H1672" s="14" t="s">
        <v>24</v>
      </c>
      <c r="I1672" s="22">
        <v>2023.0</v>
      </c>
      <c r="J1672" s="16" t="str">
        <f>IFERROR(__xludf.DUMMYFUNCTION("FILTER('CLASFICACIÓN'!$F$3:$F5618,'CLASFICACIÓN'!$G$3:$G5618=M1672)"),"LOS 3 AÑOS")</f>
        <v>LOS 3 AÑOS</v>
      </c>
      <c r="K1672" s="16"/>
      <c r="L1672" s="14" t="s">
        <v>127</v>
      </c>
      <c r="M1672" s="16" t="str">
        <f t="shared" si="1"/>
        <v>14145 SANTA JULIA BILLIART4 Primaria</v>
      </c>
      <c r="N1672" s="17"/>
      <c r="O1672" s="17"/>
      <c r="P1672" s="17"/>
      <c r="Q1672" s="17"/>
      <c r="R1672" s="17"/>
      <c r="S1672" s="17"/>
      <c r="T1672" s="17"/>
    </row>
    <row r="1673">
      <c r="A1673" s="21">
        <v>476.0</v>
      </c>
      <c r="B1673" s="20" t="s">
        <v>48</v>
      </c>
      <c r="C1673" s="20" t="s">
        <v>14</v>
      </c>
      <c r="D1673" s="20" t="s">
        <v>20</v>
      </c>
      <c r="E1673" s="12" t="str">
        <f>IFERROR(__xludf.DUMMYFUNCTION("FILTER(colegios!$B$2:$B5618,colegios!$A$2:$A5618=L1673)"),"14145 SANTA JULIA BILLIART")</f>
        <v>14145 SANTA JULIA BILLIART</v>
      </c>
      <c r="F1673" s="14" t="s">
        <v>16</v>
      </c>
      <c r="G1673" s="20" t="s">
        <v>17</v>
      </c>
      <c r="H1673" s="14" t="s">
        <v>24</v>
      </c>
      <c r="I1673" s="22">
        <v>2023.0</v>
      </c>
      <c r="J1673" s="16" t="str">
        <f>IFERROR(__xludf.DUMMYFUNCTION("FILTER('CLASFICACIÓN'!$F$3:$F5618,'CLASFICACIÓN'!$G$3:$G5618=M1673)"),"LOS 3 AÑOS")</f>
        <v>LOS 3 AÑOS</v>
      </c>
      <c r="K1673" s="16"/>
      <c r="L1673" s="14" t="s">
        <v>127</v>
      </c>
      <c r="M1673" s="16" t="str">
        <f t="shared" si="1"/>
        <v>14145 SANTA JULIA BILLIART4 Primaria</v>
      </c>
      <c r="N1673" s="17"/>
      <c r="O1673" s="17"/>
      <c r="P1673" s="17"/>
      <c r="Q1673" s="17"/>
      <c r="R1673" s="17"/>
      <c r="S1673" s="17"/>
      <c r="T1673" s="17"/>
    </row>
    <row r="1674">
      <c r="A1674" s="21">
        <v>477.0</v>
      </c>
      <c r="B1674" s="20" t="s">
        <v>48</v>
      </c>
      <c r="C1674" s="20" t="s">
        <v>14</v>
      </c>
      <c r="D1674" s="20" t="s">
        <v>20</v>
      </c>
      <c r="E1674" s="12" t="str">
        <f>IFERROR(__xludf.DUMMYFUNCTION("FILTER(colegios!$B$2:$B5618,colegios!$A$2:$A5618=L1674)"),"14145 SANTA JULIA BILLIART")</f>
        <v>14145 SANTA JULIA BILLIART</v>
      </c>
      <c r="F1674" s="14" t="s">
        <v>16</v>
      </c>
      <c r="G1674" s="20" t="s">
        <v>21</v>
      </c>
      <c r="H1674" s="14" t="s">
        <v>18</v>
      </c>
      <c r="I1674" s="22">
        <v>2023.0</v>
      </c>
      <c r="J1674" s="16" t="str">
        <f>IFERROR(__xludf.DUMMYFUNCTION("FILTER('CLASFICACIÓN'!$F$3:$F5618,'CLASFICACIÓN'!$G$3:$G5618=M1674)"),"LOS 3 AÑOS")</f>
        <v>LOS 3 AÑOS</v>
      </c>
      <c r="K1674" s="16"/>
      <c r="L1674" s="14" t="s">
        <v>127</v>
      </c>
      <c r="M1674" s="16" t="str">
        <f t="shared" si="1"/>
        <v>14145 SANTA JULIA BILLIART4 Primaria</v>
      </c>
      <c r="N1674" s="17"/>
      <c r="O1674" s="17"/>
      <c r="P1674" s="17"/>
      <c r="Q1674" s="17"/>
      <c r="R1674" s="17"/>
      <c r="S1674" s="17"/>
      <c r="T1674" s="17"/>
    </row>
    <row r="1675">
      <c r="A1675" s="21">
        <v>478.0</v>
      </c>
      <c r="B1675" s="20" t="s">
        <v>48</v>
      </c>
      <c r="C1675" s="20" t="s">
        <v>14</v>
      </c>
      <c r="D1675" s="20" t="s">
        <v>20</v>
      </c>
      <c r="E1675" s="12" t="str">
        <f>IFERROR(__xludf.DUMMYFUNCTION("FILTER(colegios!$B$2:$B5618,colegios!$A$2:$A5618=L1675)"),"14145 SANTA JULIA BILLIART")</f>
        <v>14145 SANTA JULIA BILLIART</v>
      </c>
      <c r="F1675" s="14" t="s">
        <v>16</v>
      </c>
      <c r="G1675" s="20" t="s">
        <v>17</v>
      </c>
      <c r="H1675" s="14" t="s">
        <v>18</v>
      </c>
      <c r="I1675" s="22">
        <v>2023.0</v>
      </c>
      <c r="J1675" s="16" t="str">
        <f>IFERROR(__xludf.DUMMYFUNCTION("FILTER('CLASFICACIÓN'!$F$3:$F5618,'CLASFICACIÓN'!$G$3:$G5618=M1675)"),"LOS 3 AÑOS")</f>
        <v>LOS 3 AÑOS</v>
      </c>
      <c r="K1675" s="16"/>
      <c r="L1675" s="14" t="s">
        <v>127</v>
      </c>
      <c r="M1675" s="16" t="str">
        <f t="shared" si="1"/>
        <v>14145 SANTA JULIA BILLIART4 Primaria</v>
      </c>
      <c r="N1675" s="17"/>
      <c r="O1675" s="17"/>
      <c r="P1675" s="17"/>
      <c r="Q1675" s="17"/>
      <c r="R1675" s="17"/>
      <c r="S1675" s="17"/>
      <c r="T1675" s="17"/>
    </row>
    <row r="1676">
      <c r="A1676" s="21">
        <v>479.0</v>
      </c>
      <c r="B1676" s="20" t="s">
        <v>48</v>
      </c>
      <c r="C1676" s="20" t="s">
        <v>14</v>
      </c>
      <c r="D1676" s="20" t="s">
        <v>20</v>
      </c>
      <c r="E1676" s="12" t="str">
        <f>IFERROR(__xludf.DUMMYFUNCTION("FILTER(colegios!$B$2:$B5618,colegios!$A$2:$A5618=L1676)"),"14145 SANTA JULIA BILLIART")</f>
        <v>14145 SANTA JULIA BILLIART</v>
      </c>
      <c r="F1676" s="14" t="s">
        <v>16</v>
      </c>
      <c r="G1676" s="20" t="s">
        <v>17</v>
      </c>
      <c r="H1676" s="14" t="s">
        <v>18</v>
      </c>
      <c r="I1676" s="22">
        <v>2023.0</v>
      </c>
      <c r="J1676" s="16" t="str">
        <f>IFERROR(__xludf.DUMMYFUNCTION("FILTER('CLASFICACIÓN'!$F$3:$F5618,'CLASFICACIÓN'!$G$3:$G5618=M1676)"),"LOS 3 AÑOS")</f>
        <v>LOS 3 AÑOS</v>
      </c>
      <c r="K1676" s="16"/>
      <c r="L1676" s="14" t="s">
        <v>127</v>
      </c>
      <c r="M1676" s="16" t="str">
        <f t="shared" si="1"/>
        <v>14145 SANTA JULIA BILLIART4 Primaria</v>
      </c>
      <c r="N1676" s="17"/>
      <c r="O1676" s="17"/>
      <c r="P1676" s="17"/>
      <c r="Q1676" s="17"/>
      <c r="R1676" s="17"/>
      <c r="S1676" s="17"/>
      <c r="T1676" s="17"/>
    </row>
    <row r="1677">
      <c r="A1677" s="21">
        <v>480.0</v>
      </c>
      <c r="B1677" s="20" t="s">
        <v>48</v>
      </c>
      <c r="C1677" s="20" t="s">
        <v>14</v>
      </c>
      <c r="D1677" s="20" t="s">
        <v>20</v>
      </c>
      <c r="E1677" s="12" t="str">
        <f>IFERROR(__xludf.DUMMYFUNCTION("FILTER(colegios!$B$2:$B5618,colegios!$A$2:$A5618=L1677)"),"14145 SANTA JULIA BILLIART")</f>
        <v>14145 SANTA JULIA BILLIART</v>
      </c>
      <c r="F1677" s="14" t="s">
        <v>16</v>
      </c>
      <c r="G1677" s="20" t="s">
        <v>21</v>
      </c>
      <c r="H1677" s="14" t="s">
        <v>24</v>
      </c>
      <c r="I1677" s="22">
        <v>2023.0</v>
      </c>
      <c r="J1677" s="16" t="str">
        <f>IFERROR(__xludf.DUMMYFUNCTION("FILTER('CLASFICACIÓN'!$F$3:$F5618,'CLASFICACIÓN'!$G$3:$G5618=M1677)"),"LOS 3 AÑOS")</f>
        <v>LOS 3 AÑOS</v>
      </c>
      <c r="K1677" s="16"/>
      <c r="L1677" s="14" t="s">
        <v>127</v>
      </c>
      <c r="M1677" s="16" t="str">
        <f t="shared" si="1"/>
        <v>14145 SANTA JULIA BILLIART4 Primaria</v>
      </c>
      <c r="N1677" s="17"/>
      <c r="O1677" s="17"/>
      <c r="P1677" s="17"/>
      <c r="Q1677" s="17"/>
      <c r="R1677" s="17"/>
      <c r="S1677" s="17"/>
      <c r="T1677" s="17"/>
    </row>
    <row r="1678">
      <c r="A1678" s="21">
        <v>481.0</v>
      </c>
      <c r="B1678" s="20" t="s">
        <v>48</v>
      </c>
      <c r="C1678" s="20" t="s">
        <v>14</v>
      </c>
      <c r="D1678" s="20" t="s">
        <v>20</v>
      </c>
      <c r="E1678" s="12" t="str">
        <f>IFERROR(__xludf.DUMMYFUNCTION("FILTER(colegios!$B$2:$B5618,colegios!$A$2:$A5618=L1678)"),"14145 SANTA JULIA BILLIART")</f>
        <v>14145 SANTA JULIA BILLIART</v>
      </c>
      <c r="F1678" s="14" t="s">
        <v>16</v>
      </c>
      <c r="G1678" s="20" t="s">
        <v>21</v>
      </c>
      <c r="H1678" s="14" t="s">
        <v>18</v>
      </c>
      <c r="I1678" s="22">
        <v>2023.0</v>
      </c>
      <c r="J1678" s="16" t="str">
        <f>IFERROR(__xludf.DUMMYFUNCTION("FILTER('CLASFICACIÓN'!$F$3:$F5618,'CLASFICACIÓN'!$G$3:$G5618=M1678)"),"LOS 3 AÑOS")</f>
        <v>LOS 3 AÑOS</v>
      </c>
      <c r="K1678" s="16"/>
      <c r="L1678" s="14" t="s">
        <v>127</v>
      </c>
      <c r="M1678" s="16" t="str">
        <f t="shared" si="1"/>
        <v>14145 SANTA JULIA BILLIART4 Primaria</v>
      </c>
      <c r="N1678" s="17"/>
      <c r="O1678" s="17"/>
      <c r="P1678" s="17"/>
      <c r="Q1678" s="17"/>
      <c r="R1678" s="17"/>
      <c r="S1678" s="17"/>
      <c r="T1678" s="17"/>
    </row>
    <row r="1679">
      <c r="A1679" s="21">
        <v>482.0</v>
      </c>
      <c r="B1679" s="20" t="s">
        <v>48</v>
      </c>
      <c r="C1679" s="20" t="s">
        <v>14</v>
      </c>
      <c r="D1679" s="20" t="s">
        <v>20</v>
      </c>
      <c r="E1679" s="12" t="str">
        <f>IFERROR(__xludf.DUMMYFUNCTION("FILTER(colegios!$B$2:$B5618,colegios!$A$2:$A5618=L1679)"),"14145 SANTA JULIA BILLIART")</f>
        <v>14145 SANTA JULIA BILLIART</v>
      </c>
      <c r="F1679" s="14" t="s">
        <v>16</v>
      </c>
      <c r="G1679" s="20" t="s">
        <v>21</v>
      </c>
      <c r="H1679" s="14" t="s">
        <v>24</v>
      </c>
      <c r="I1679" s="22">
        <v>2023.0</v>
      </c>
      <c r="J1679" s="16" t="str">
        <f>IFERROR(__xludf.DUMMYFUNCTION("FILTER('CLASFICACIÓN'!$F$3:$F5618,'CLASFICACIÓN'!$G$3:$G5618=M1679)"),"LOS 3 AÑOS")</f>
        <v>LOS 3 AÑOS</v>
      </c>
      <c r="K1679" s="16"/>
      <c r="L1679" s="14" t="s">
        <v>127</v>
      </c>
      <c r="M1679" s="16" t="str">
        <f t="shared" si="1"/>
        <v>14145 SANTA JULIA BILLIART4 Primaria</v>
      </c>
      <c r="N1679" s="17"/>
      <c r="O1679" s="17"/>
      <c r="P1679" s="17"/>
      <c r="Q1679" s="17"/>
      <c r="R1679" s="17"/>
      <c r="S1679" s="17"/>
      <c r="T1679" s="17"/>
    </row>
    <row r="1680">
      <c r="A1680" s="21">
        <v>483.0</v>
      </c>
      <c r="B1680" s="20" t="s">
        <v>48</v>
      </c>
      <c r="C1680" s="20" t="s">
        <v>14</v>
      </c>
      <c r="D1680" s="20" t="s">
        <v>20</v>
      </c>
      <c r="E1680" s="12" t="str">
        <f>IFERROR(__xludf.DUMMYFUNCTION("FILTER(colegios!$B$2:$B5618,colegios!$A$2:$A5618=L1680)"),"14145 SANTA JULIA BILLIART")</f>
        <v>14145 SANTA JULIA BILLIART</v>
      </c>
      <c r="F1680" s="14" t="s">
        <v>16</v>
      </c>
      <c r="G1680" s="20" t="s">
        <v>17</v>
      </c>
      <c r="H1680" s="14" t="s">
        <v>24</v>
      </c>
      <c r="I1680" s="22">
        <v>2023.0</v>
      </c>
      <c r="J1680" s="16" t="str">
        <f>IFERROR(__xludf.DUMMYFUNCTION("FILTER('CLASFICACIÓN'!$F$3:$F5618,'CLASFICACIÓN'!$G$3:$G5618=M1680)"),"LOS 3 AÑOS")</f>
        <v>LOS 3 AÑOS</v>
      </c>
      <c r="K1680" s="16"/>
      <c r="L1680" s="14" t="s">
        <v>127</v>
      </c>
      <c r="M1680" s="16" t="str">
        <f t="shared" si="1"/>
        <v>14145 SANTA JULIA BILLIART4 Primaria</v>
      </c>
      <c r="N1680" s="17"/>
      <c r="O1680" s="17"/>
      <c r="P1680" s="17"/>
      <c r="Q1680" s="17"/>
      <c r="R1680" s="17"/>
      <c r="S1680" s="17"/>
      <c r="T1680" s="17"/>
    </row>
    <row r="1681">
      <c r="A1681" s="21">
        <v>484.0</v>
      </c>
      <c r="B1681" s="20" t="s">
        <v>48</v>
      </c>
      <c r="C1681" s="20" t="s">
        <v>14</v>
      </c>
      <c r="D1681" s="20" t="s">
        <v>20</v>
      </c>
      <c r="E1681" s="12" t="str">
        <f>IFERROR(__xludf.DUMMYFUNCTION("FILTER(colegios!$B$2:$B5618,colegios!$A$2:$A5618=L1681)"),"14145 SANTA JULIA BILLIART")</f>
        <v>14145 SANTA JULIA BILLIART</v>
      </c>
      <c r="F1681" s="14" t="s">
        <v>16</v>
      </c>
      <c r="G1681" s="20" t="s">
        <v>21</v>
      </c>
      <c r="H1681" s="14" t="s">
        <v>18</v>
      </c>
      <c r="I1681" s="22">
        <v>2023.0</v>
      </c>
      <c r="J1681" s="16" t="str">
        <f>IFERROR(__xludf.DUMMYFUNCTION("FILTER('CLASFICACIÓN'!$F$3:$F5618,'CLASFICACIÓN'!$G$3:$G5618=M1681)"),"LOS 3 AÑOS")</f>
        <v>LOS 3 AÑOS</v>
      </c>
      <c r="K1681" s="16"/>
      <c r="L1681" s="14" t="s">
        <v>127</v>
      </c>
      <c r="M1681" s="16" t="str">
        <f t="shared" si="1"/>
        <v>14145 SANTA JULIA BILLIART4 Primaria</v>
      </c>
      <c r="N1681" s="17"/>
      <c r="O1681" s="17"/>
      <c r="P1681" s="17"/>
      <c r="Q1681" s="17"/>
      <c r="R1681" s="17"/>
      <c r="S1681" s="17"/>
      <c r="T1681" s="17"/>
    </row>
    <row r="1682">
      <c r="A1682" s="21">
        <v>485.0</v>
      </c>
      <c r="B1682" s="20" t="s">
        <v>48</v>
      </c>
      <c r="C1682" s="20" t="s">
        <v>14</v>
      </c>
      <c r="D1682" s="20" t="s">
        <v>22</v>
      </c>
      <c r="E1682" s="12" t="str">
        <f>IFERROR(__xludf.DUMMYFUNCTION("FILTER(colegios!$B$2:$B5618,colegios!$A$2:$A5618=L1682)"),"14145 SANTA JULIA BILLIART")</f>
        <v>14145 SANTA JULIA BILLIART</v>
      </c>
      <c r="F1682" s="14" t="s">
        <v>16</v>
      </c>
      <c r="G1682" s="20" t="s">
        <v>17</v>
      </c>
      <c r="H1682" s="14" t="s">
        <v>18</v>
      </c>
      <c r="I1682" s="22">
        <v>2023.0</v>
      </c>
      <c r="J1682" s="16" t="str">
        <f>IFERROR(__xludf.DUMMYFUNCTION("FILTER('CLASFICACIÓN'!$F$3:$F5618,'CLASFICACIÓN'!$G$3:$G5618=M1682)"),"LOS 3 AÑOS")</f>
        <v>LOS 3 AÑOS</v>
      </c>
      <c r="K1682" s="16"/>
      <c r="L1682" s="14" t="s">
        <v>127</v>
      </c>
      <c r="M1682" s="16" t="str">
        <f t="shared" si="1"/>
        <v>14145 SANTA JULIA BILLIART6 Primaria</v>
      </c>
      <c r="N1682" s="17"/>
      <c r="O1682" s="17"/>
      <c r="P1682" s="17"/>
      <c r="Q1682" s="17"/>
      <c r="R1682" s="17"/>
      <c r="S1682" s="17"/>
      <c r="T1682" s="17"/>
    </row>
    <row r="1683">
      <c r="A1683" s="21">
        <v>486.0</v>
      </c>
      <c r="B1683" s="20" t="s">
        <v>48</v>
      </c>
      <c r="C1683" s="20" t="s">
        <v>14</v>
      </c>
      <c r="D1683" s="20" t="s">
        <v>22</v>
      </c>
      <c r="E1683" s="12" t="str">
        <f>IFERROR(__xludf.DUMMYFUNCTION("FILTER(colegios!$B$2:$B5618,colegios!$A$2:$A5618=L1683)"),"14145 SANTA JULIA BILLIART")</f>
        <v>14145 SANTA JULIA BILLIART</v>
      </c>
      <c r="F1683" s="14" t="s">
        <v>16</v>
      </c>
      <c r="G1683" s="20" t="s">
        <v>21</v>
      </c>
      <c r="H1683" s="14" t="s">
        <v>18</v>
      </c>
      <c r="I1683" s="22">
        <v>2023.0</v>
      </c>
      <c r="J1683" s="16" t="str">
        <f>IFERROR(__xludf.DUMMYFUNCTION("FILTER('CLASFICACIÓN'!$F$3:$F5618,'CLASFICACIÓN'!$G$3:$G5618=M1683)"),"LOS 3 AÑOS")</f>
        <v>LOS 3 AÑOS</v>
      </c>
      <c r="K1683" s="16"/>
      <c r="L1683" s="14" t="s">
        <v>127</v>
      </c>
      <c r="M1683" s="16" t="str">
        <f t="shared" si="1"/>
        <v>14145 SANTA JULIA BILLIART6 Primaria</v>
      </c>
      <c r="N1683" s="17"/>
      <c r="O1683" s="17"/>
      <c r="P1683" s="17"/>
      <c r="Q1683" s="17"/>
      <c r="R1683" s="17"/>
      <c r="S1683" s="17"/>
      <c r="T1683" s="17"/>
    </row>
    <row r="1684">
      <c r="A1684" s="21">
        <v>487.0</v>
      </c>
      <c r="B1684" s="20" t="s">
        <v>48</v>
      </c>
      <c r="C1684" s="20" t="s">
        <v>14</v>
      </c>
      <c r="D1684" s="20" t="s">
        <v>22</v>
      </c>
      <c r="E1684" s="12" t="str">
        <f>IFERROR(__xludf.DUMMYFUNCTION("FILTER(colegios!$B$2:$B5618,colegios!$A$2:$A5618=L1684)"),"14145 SANTA JULIA BILLIART")</f>
        <v>14145 SANTA JULIA BILLIART</v>
      </c>
      <c r="F1684" s="14" t="s">
        <v>16</v>
      </c>
      <c r="G1684" s="20" t="s">
        <v>17</v>
      </c>
      <c r="H1684" s="14" t="s">
        <v>18</v>
      </c>
      <c r="I1684" s="22">
        <v>2023.0</v>
      </c>
      <c r="J1684" s="16" t="str">
        <f>IFERROR(__xludf.DUMMYFUNCTION("FILTER('CLASFICACIÓN'!$F$3:$F5618,'CLASFICACIÓN'!$G$3:$G5618=M1684)"),"LOS 3 AÑOS")</f>
        <v>LOS 3 AÑOS</v>
      </c>
      <c r="K1684" s="16"/>
      <c r="L1684" s="14" t="s">
        <v>127</v>
      </c>
      <c r="M1684" s="16" t="str">
        <f t="shared" si="1"/>
        <v>14145 SANTA JULIA BILLIART6 Primaria</v>
      </c>
      <c r="N1684" s="17"/>
      <c r="O1684" s="17"/>
      <c r="P1684" s="17"/>
      <c r="Q1684" s="17"/>
      <c r="R1684" s="17"/>
      <c r="S1684" s="17"/>
      <c r="T1684" s="17"/>
    </row>
    <row r="1685">
      <c r="A1685" s="21">
        <v>488.0</v>
      </c>
      <c r="B1685" s="20" t="s">
        <v>48</v>
      </c>
      <c r="C1685" s="20" t="s">
        <v>14</v>
      </c>
      <c r="D1685" s="20" t="s">
        <v>22</v>
      </c>
      <c r="E1685" s="12" t="str">
        <f>IFERROR(__xludf.DUMMYFUNCTION("FILTER(colegios!$B$2:$B5618,colegios!$A$2:$A5618=L1685)"),"14145 SANTA JULIA BILLIART")</f>
        <v>14145 SANTA JULIA BILLIART</v>
      </c>
      <c r="F1685" s="14" t="s">
        <v>16</v>
      </c>
      <c r="G1685" s="20" t="s">
        <v>21</v>
      </c>
      <c r="H1685" s="14" t="s">
        <v>18</v>
      </c>
      <c r="I1685" s="22">
        <v>2023.0</v>
      </c>
      <c r="J1685" s="16" t="str">
        <f>IFERROR(__xludf.DUMMYFUNCTION("FILTER('CLASFICACIÓN'!$F$3:$F5618,'CLASFICACIÓN'!$G$3:$G5618=M1685)"),"LOS 3 AÑOS")</f>
        <v>LOS 3 AÑOS</v>
      </c>
      <c r="K1685" s="16"/>
      <c r="L1685" s="14" t="s">
        <v>127</v>
      </c>
      <c r="M1685" s="16" t="str">
        <f t="shared" si="1"/>
        <v>14145 SANTA JULIA BILLIART6 Primaria</v>
      </c>
      <c r="N1685" s="17"/>
      <c r="O1685" s="17"/>
      <c r="P1685" s="17"/>
      <c r="Q1685" s="17"/>
      <c r="R1685" s="17"/>
      <c r="S1685" s="17"/>
      <c r="T1685" s="17"/>
    </row>
    <row r="1686">
      <c r="A1686" s="21">
        <v>489.0</v>
      </c>
      <c r="B1686" s="20" t="s">
        <v>48</v>
      </c>
      <c r="C1686" s="20" t="s">
        <v>14</v>
      </c>
      <c r="D1686" s="20" t="s">
        <v>22</v>
      </c>
      <c r="E1686" s="12" t="str">
        <f>IFERROR(__xludf.DUMMYFUNCTION("FILTER(colegios!$B$2:$B5618,colegios!$A$2:$A5618=L1686)"),"14145 SANTA JULIA BILLIART")</f>
        <v>14145 SANTA JULIA BILLIART</v>
      </c>
      <c r="F1686" s="14" t="s">
        <v>16</v>
      </c>
      <c r="G1686" s="20" t="s">
        <v>17</v>
      </c>
      <c r="H1686" s="14" t="s">
        <v>18</v>
      </c>
      <c r="I1686" s="22">
        <v>2023.0</v>
      </c>
      <c r="J1686" s="16" t="str">
        <f>IFERROR(__xludf.DUMMYFUNCTION("FILTER('CLASFICACIÓN'!$F$3:$F5618,'CLASFICACIÓN'!$G$3:$G5618=M1686)"),"LOS 3 AÑOS")</f>
        <v>LOS 3 AÑOS</v>
      </c>
      <c r="K1686" s="16"/>
      <c r="L1686" s="14" t="s">
        <v>127</v>
      </c>
      <c r="M1686" s="16" t="str">
        <f t="shared" si="1"/>
        <v>14145 SANTA JULIA BILLIART6 Primaria</v>
      </c>
      <c r="N1686" s="17"/>
      <c r="O1686" s="17"/>
      <c r="P1686" s="17"/>
      <c r="Q1686" s="17"/>
      <c r="R1686" s="17"/>
      <c r="S1686" s="17"/>
      <c r="T1686" s="17"/>
    </row>
    <row r="1687">
      <c r="A1687" s="21">
        <v>490.0</v>
      </c>
      <c r="B1687" s="20" t="s">
        <v>48</v>
      </c>
      <c r="C1687" s="20" t="s">
        <v>14</v>
      </c>
      <c r="D1687" s="20" t="s">
        <v>22</v>
      </c>
      <c r="E1687" s="12" t="str">
        <f>IFERROR(__xludf.DUMMYFUNCTION("FILTER(colegios!$B$2:$B5618,colegios!$A$2:$A5618=L1687)"),"14145 SANTA JULIA BILLIART")</f>
        <v>14145 SANTA JULIA BILLIART</v>
      </c>
      <c r="F1687" s="14" t="s">
        <v>16</v>
      </c>
      <c r="G1687" s="20" t="s">
        <v>17</v>
      </c>
      <c r="H1687" s="14" t="s">
        <v>24</v>
      </c>
      <c r="I1687" s="22">
        <v>2023.0</v>
      </c>
      <c r="J1687" s="16" t="str">
        <f>IFERROR(__xludf.DUMMYFUNCTION("FILTER('CLASFICACIÓN'!$F$3:$F5618,'CLASFICACIÓN'!$G$3:$G5618=M1687)"),"LOS 3 AÑOS")</f>
        <v>LOS 3 AÑOS</v>
      </c>
      <c r="K1687" s="16"/>
      <c r="L1687" s="14" t="s">
        <v>127</v>
      </c>
      <c r="M1687" s="16" t="str">
        <f t="shared" si="1"/>
        <v>14145 SANTA JULIA BILLIART6 Primaria</v>
      </c>
      <c r="N1687" s="17"/>
      <c r="O1687" s="17"/>
      <c r="P1687" s="17"/>
      <c r="Q1687" s="17"/>
      <c r="R1687" s="17"/>
      <c r="S1687" s="17"/>
      <c r="T1687" s="17"/>
    </row>
    <row r="1688">
      <c r="A1688" s="21">
        <v>491.0</v>
      </c>
      <c r="B1688" s="20" t="s">
        <v>48</v>
      </c>
      <c r="C1688" s="20" t="s">
        <v>14</v>
      </c>
      <c r="D1688" s="20" t="s">
        <v>22</v>
      </c>
      <c r="E1688" s="12" t="str">
        <f>IFERROR(__xludf.DUMMYFUNCTION("FILTER(colegios!$B$2:$B5618,colegios!$A$2:$A5618=L1688)"),"14145 SANTA JULIA BILLIART")</f>
        <v>14145 SANTA JULIA BILLIART</v>
      </c>
      <c r="F1688" s="14" t="s">
        <v>16</v>
      </c>
      <c r="G1688" s="20" t="s">
        <v>17</v>
      </c>
      <c r="H1688" s="14" t="s">
        <v>24</v>
      </c>
      <c r="I1688" s="22">
        <v>2023.0</v>
      </c>
      <c r="J1688" s="16" t="str">
        <f>IFERROR(__xludf.DUMMYFUNCTION("FILTER('CLASFICACIÓN'!$F$3:$F5618,'CLASFICACIÓN'!$G$3:$G5618=M1688)"),"LOS 3 AÑOS")</f>
        <v>LOS 3 AÑOS</v>
      </c>
      <c r="K1688" s="16"/>
      <c r="L1688" s="14" t="s">
        <v>127</v>
      </c>
      <c r="M1688" s="16" t="str">
        <f t="shared" si="1"/>
        <v>14145 SANTA JULIA BILLIART6 Primaria</v>
      </c>
      <c r="N1688" s="17"/>
      <c r="O1688" s="17"/>
      <c r="P1688" s="17"/>
      <c r="Q1688" s="17"/>
      <c r="R1688" s="17"/>
      <c r="S1688" s="17"/>
      <c r="T1688" s="17"/>
    </row>
    <row r="1689">
      <c r="A1689" s="21">
        <v>492.0</v>
      </c>
      <c r="B1689" s="20" t="s">
        <v>48</v>
      </c>
      <c r="C1689" s="20" t="s">
        <v>14</v>
      </c>
      <c r="D1689" s="20" t="s">
        <v>22</v>
      </c>
      <c r="E1689" s="12" t="str">
        <f>IFERROR(__xludf.DUMMYFUNCTION("FILTER(colegios!$B$2:$B5618,colegios!$A$2:$A5618=L1689)"),"14145 SANTA JULIA BILLIART")</f>
        <v>14145 SANTA JULIA BILLIART</v>
      </c>
      <c r="F1689" s="14" t="s">
        <v>16</v>
      </c>
      <c r="G1689" s="20" t="s">
        <v>21</v>
      </c>
      <c r="H1689" s="14" t="s">
        <v>24</v>
      </c>
      <c r="I1689" s="22">
        <v>2023.0</v>
      </c>
      <c r="J1689" s="16" t="str">
        <f>IFERROR(__xludf.DUMMYFUNCTION("FILTER('CLASFICACIÓN'!$F$3:$F5618,'CLASFICACIÓN'!$G$3:$G5618=M1689)"),"LOS 3 AÑOS")</f>
        <v>LOS 3 AÑOS</v>
      </c>
      <c r="K1689" s="16"/>
      <c r="L1689" s="14" t="s">
        <v>127</v>
      </c>
      <c r="M1689" s="16" t="str">
        <f t="shared" si="1"/>
        <v>14145 SANTA JULIA BILLIART6 Primaria</v>
      </c>
      <c r="N1689" s="17"/>
      <c r="O1689" s="17"/>
      <c r="P1689" s="17"/>
      <c r="Q1689" s="17"/>
      <c r="R1689" s="17"/>
      <c r="S1689" s="17"/>
      <c r="T1689" s="17"/>
    </row>
    <row r="1690">
      <c r="A1690" s="21">
        <v>493.0</v>
      </c>
      <c r="B1690" s="20" t="s">
        <v>48</v>
      </c>
      <c r="C1690" s="20" t="s">
        <v>14</v>
      </c>
      <c r="D1690" s="20" t="s">
        <v>22</v>
      </c>
      <c r="E1690" s="12" t="str">
        <f>IFERROR(__xludf.DUMMYFUNCTION("FILTER(colegios!$B$2:$B5618,colegios!$A$2:$A5618=L1690)"),"14145 SANTA JULIA BILLIART")</f>
        <v>14145 SANTA JULIA BILLIART</v>
      </c>
      <c r="F1690" s="14" t="s">
        <v>16</v>
      </c>
      <c r="G1690" s="20" t="s">
        <v>17</v>
      </c>
      <c r="H1690" s="14" t="s">
        <v>18</v>
      </c>
      <c r="I1690" s="22">
        <v>2023.0</v>
      </c>
      <c r="J1690" s="16" t="str">
        <f>IFERROR(__xludf.DUMMYFUNCTION("FILTER('CLASFICACIÓN'!$F$3:$F5618,'CLASFICACIÓN'!$G$3:$G5618=M1690)"),"LOS 3 AÑOS")</f>
        <v>LOS 3 AÑOS</v>
      </c>
      <c r="K1690" s="16"/>
      <c r="L1690" s="14" t="s">
        <v>127</v>
      </c>
      <c r="M1690" s="16" t="str">
        <f t="shared" si="1"/>
        <v>14145 SANTA JULIA BILLIART6 Primaria</v>
      </c>
      <c r="N1690" s="17"/>
      <c r="O1690" s="17"/>
      <c r="P1690" s="17"/>
      <c r="Q1690" s="17"/>
      <c r="R1690" s="17"/>
      <c r="S1690" s="17"/>
      <c r="T1690" s="17"/>
    </row>
    <row r="1691">
      <c r="A1691" s="21">
        <v>494.0</v>
      </c>
      <c r="B1691" s="20" t="s">
        <v>48</v>
      </c>
      <c r="C1691" s="20" t="s">
        <v>14</v>
      </c>
      <c r="D1691" s="20" t="s">
        <v>22</v>
      </c>
      <c r="E1691" s="12" t="str">
        <f>IFERROR(__xludf.DUMMYFUNCTION("FILTER(colegios!$B$2:$B5618,colegios!$A$2:$A5618=L1691)"),"14145 SANTA JULIA BILLIART")</f>
        <v>14145 SANTA JULIA BILLIART</v>
      </c>
      <c r="F1691" s="14" t="s">
        <v>16</v>
      </c>
      <c r="G1691" s="20" t="s">
        <v>21</v>
      </c>
      <c r="H1691" s="14" t="s">
        <v>18</v>
      </c>
      <c r="I1691" s="22">
        <v>2023.0</v>
      </c>
      <c r="J1691" s="16" t="str">
        <f>IFERROR(__xludf.DUMMYFUNCTION("FILTER('CLASFICACIÓN'!$F$3:$F5618,'CLASFICACIÓN'!$G$3:$G5618=M1691)"),"LOS 3 AÑOS")</f>
        <v>LOS 3 AÑOS</v>
      </c>
      <c r="K1691" s="16"/>
      <c r="L1691" s="14" t="s">
        <v>127</v>
      </c>
      <c r="M1691" s="16" t="str">
        <f t="shared" si="1"/>
        <v>14145 SANTA JULIA BILLIART6 Primaria</v>
      </c>
      <c r="N1691" s="17"/>
      <c r="O1691" s="17"/>
      <c r="P1691" s="17"/>
      <c r="Q1691" s="17"/>
      <c r="R1691" s="17"/>
      <c r="S1691" s="17"/>
      <c r="T1691" s="17"/>
    </row>
    <row r="1692">
      <c r="A1692" s="21">
        <v>495.0</v>
      </c>
      <c r="B1692" s="20" t="s">
        <v>48</v>
      </c>
      <c r="C1692" s="20" t="s">
        <v>14</v>
      </c>
      <c r="D1692" s="20" t="s">
        <v>22</v>
      </c>
      <c r="E1692" s="12" t="str">
        <f>IFERROR(__xludf.DUMMYFUNCTION("FILTER(colegios!$B$2:$B5618,colegios!$A$2:$A5618=L1692)"),"14145 SANTA JULIA BILLIART")</f>
        <v>14145 SANTA JULIA BILLIART</v>
      </c>
      <c r="F1692" s="14" t="s">
        <v>16</v>
      </c>
      <c r="G1692" s="20" t="s">
        <v>21</v>
      </c>
      <c r="H1692" s="14" t="s">
        <v>18</v>
      </c>
      <c r="I1692" s="22">
        <v>2023.0</v>
      </c>
      <c r="J1692" s="16" t="str">
        <f>IFERROR(__xludf.DUMMYFUNCTION("FILTER('CLASFICACIÓN'!$F$3:$F5618,'CLASFICACIÓN'!$G$3:$G5618=M1692)"),"LOS 3 AÑOS")</f>
        <v>LOS 3 AÑOS</v>
      </c>
      <c r="K1692" s="16"/>
      <c r="L1692" s="14" t="s">
        <v>127</v>
      </c>
      <c r="M1692" s="16" t="str">
        <f t="shared" si="1"/>
        <v>14145 SANTA JULIA BILLIART6 Primaria</v>
      </c>
      <c r="N1692" s="17"/>
      <c r="O1692" s="17"/>
      <c r="P1692" s="17"/>
      <c r="Q1692" s="17"/>
      <c r="R1692" s="17"/>
      <c r="S1692" s="17"/>
      <c r="T1692" s="17"/>
    </row>
    <row r="1693">
      <c r="A1693" s="21">
        <v>496.0</v>
      </c>
      <c r="B1693" s="20" t="s">
        <v>48</v>
      </c>
      <c r="C1693" s="20" t="s">
        <v>14</v>
      </c>
      <c r="D1693" s="20" t="s">
        <v>22</v>
      </c>
      <c r="E1693" s="12" t="str">
        <f>IFERROR(__xludf.DUMMYFUNCTION("FILTER(colegios!$B$2:$B5618,colegios!$A$2:$A5618=L1693)"),"14145 SANTA JULIA BILLIART")</f>
        <v>14145 SANTA JULIA BILLIART</v>
      </c>
      <c r="F1693" s="14" t="s">
        <v>16</v>
      </c>
      <c r="G1693" s="20" t="s">
        <v>17</v>
      </c>
      <c r="H1693" s="14" t="s">
        <v>18</v>
      </c>
      <c r="I1693" s="22">
        <v>2023.0</v>
      </c>
      <c r="J1693" s="16" t="str">
        <f>IFERROR(__xludf.DUMMYFUNCTION("FILTER('CLASFICACIÓN'!$F$3:$F5618,'CLASFICACIÓN'!$G$3:$G5618=M1693)"),"LOS 3 AÑOS")</f>
        <v>LOS 3 AÑOS</v>
      </c>
      <c r="K1693" s="16"/>
      <c r="L1693" s="14" t="s">
        <v>127</v>
      </c>
      <c r="M1693" s="16" t="str">
        <f t="shared" si="1"/>
        <v>14145 SANTA JULIA BILLIART6 Primaria</v>
      </c>
      <c r="N1693" s="17"/>
      <c r="O1693" s="17"/>
      <c r="P1693" s="17"/>
      <c r="Q1693" s="17"/>
      <c r="R1693" s="17"/>
      <c r="S1693" s="17"/>
      <c r="T1693" s="17"/>
    </row>
    <row r="1694">
      <c r="A1694" s="21">
        <v>497.0</v>
      </c>
      <c r="B1694" s="20" t="s">
        <v>48</v>
      </c>
      <c r="C1694" s="20" t="s">
        <v>14</v>
      </c>
      <c r="D1694" s="20" t="s">
        <v>22</v>
      </c>
      <c r="E1694" s="12" t="str">
        <f>IFERROR(__xludf.DUMMYFUNCTION("FILTER(colegios!$B$2:$B5618,colegios!$A$2:$A5618=L1694)"),"14145 SANTA JULIA BILLIART")</f>
        <v>14145 SANTA JULIA BILLIART</v>
      </c>
      <c r="F1694" s="14" t="s">
        <v>16</v>
      </c>
      <c r="G1694" s="20" t="s">
        <v>21</v>
      </c>
      <c r="H1694" s="14" t="s">
        <v>18</v>
      </c>
      <c r="I1694" s="22">
        <v>2023.0</v>
      </c>
      <c r="J1694" s="16" t="str">
        <f>IFERROR(__xludf.DUMMYFUNCTION("FILTER('CLASFICACIÓN'!$F$3:$F5618,'CLASFICACIÓN'!$G$3:$G5618=M1694)"),"LOS 3 AÑOS")</f>
        <v>LOS 3 AÑOS</v>
      </c>
      <c r="K1694" s="16"/>
      <c r="L1694" s="14" t="s">
        <v>127</v>
      </c>
      <c r="M1694" s="16" t="str">
        <f t="shared" si="1"/>
        <v>14145 SANTA JULIA BILLIART6 Primaria</v>
      </c>
      <c r="N1694" s="17"/>
      <c r="O1694" s="17"/>
      <c r="P1694" s="17"/>
      <c r="Q1694" s="17"/>
      <c r="R1694" s="17"/>
      <c r="S1694" s="17"/>
      <c r="T1694" s="17"/>
    </row>
    <row r="1695">
      <c r="A1695" s="21">
        <v>498.0</v>
      </c>
      <c r="B1695" s="20" t="s">
        <v>48</v>
      </c>
      <c r="C1695" s="20" t="s">
        <v>14</v>
      </c>
      <c r="D1695" s="20" t="s">
        <v>22</v>
      </c>
      <c r="E1695" s="12" t="str">
        <f>IFERROR(__xludf.DUMMYFUNCTION("FILTER(colegios!$B$2:$B5618,colegios!$A$2:$A5618=L1695)"),"14145 SANTA JULIA BILLIART")</f>
        <v>14145 SANTA JULIA BILLIART</v>
      </c>
      <c r="F1695" s="14" t="s">
        <v>16</v>
      </c>
      <c r="G1695" s="20" t="s">
        <v>21</v>
      </c>
      <c r="H1695" s="14" t="s">
        <v>24</v>
      </c>
      <c r="I1695" s="22">
        <v>2023.0</v>
      </c>
      <c r="J1695" s="16" t="str">
        <f>IFERROR(__xludf.DUMMYFUNCTION("FILTER('CLASFICACIÓN'!$F$3:$F5618,'CLASFICACIÓN'!$G$3:$G5618=M1695)"),"LOS 3 AÑOS")</f>
        <v>LOS 3 AÑOS</v>
      </c>
      <c r="K1695" s="16"/>
      <c r="L1695" s="14" t="s">
        <v>127</v>
      </c>
      <c r="M1695" s="16" t="str">
        <f t="shared" si="1"/>
        <v>14145 SANTA JULIA BILLIART6 Primaria</v>
      </c>
      <c r="N1695" s="17"/>
      <c r="O1695" s="17"/>
      <c r="P1695" s="17"/>
      <c r="Q1695" s="17"/>
      <c r="R1695" s="17"/>
      <c r="S1695" s="17"/>
      <c r="T1695" s="17"/>
    </row>
    <row r="1696">
      <c r="A1696" s="21">
        <v>499.0</v>
      </c>
      <c r="B1696" s="20" t="s">
        <v>48</v>
      </c>
      <c r="C1696" s="20" t="s">
        <v>14</v>
      </c>
      <c r="D1696" s="20" t="s">
        <v>22</v>
      </c>
      <c r="E1696" s="12" t="str">
        <f>IFERROR(__xludf.DUMMYFUNCTION("FILTER(colegios!$B$2:$B5618,colegios!$A$2:$A5618=L1696)"),"14145 SANTA JULIA BILLIART")</f>
        <v>14145 SANTA JULIA BILLIART</v>
      </c>
      <c r="F1696" s="14" t="s">
        <v>16</v>
      </c>
      <c r="G1696" s="20" t="s">
        <v>21</v>
      </c>
      <c r="H1696" s="14" t="s">
        <v>18</v>
      </c>
      <c r="I1696" s="22">
        <v>2023.0</v>
      </c>
      <c r="J1696" s="16" t="str">
        <f>IFERROR(__xludf.DUMMYFUNCTION("FILTER('CLASFICACIÓN'!$F$3:$F5618,'CLASFICACIÓN'!$G$3:$G5618=M1696)"),"LOS 3 AÑOS")</f>
        <v>LOS 3 AÑOS</v>
      </c>
      <c r="K1696" s="16"/>
      <c r="L1696" s="14" t="s">
        <v>127</v>
      </c>
      <c r="M1696" s="16" t="str">
        <f t="shared" si="1"/>
        <v>14145 SANTA JULIA BILLIART6 Primaria</v>
      </c>
      <c r="N1696" s="17"/>
      <c r="O1696" s="17"/>
      <c r="P1696" s="17"/>
      <c r="Q1696" s="17"/>
      <c r="R1696" s="17"/>
      <c r="S1696" s="17"/>
      <c r="T1696" s="17"/>
    </row>
    <row r="1697">
      <c r="A1697" s="21">
        <v>500.0</v>
      </c>
      <c r="B1697" s="20" t="s">
        <v>48</v>
      </c>
      <c r="C1697" s="20" t="s">
        <v>14</v>
      </c>
      <c r="D1697" s="20" t="s">
        <v>22</v>
      </c>
      <c r="E1697" s="12" t="str">
        <f>IFERROR(__xludf.DUMMYFUNCTION("FILTER(colegios!$B$2:$B5618,colegios!$A$2:$A5618=L1697)"),"14145 SANTA JULIA BILLIART")</f>
        <v>14145 SANTA JULIA BILLIART</v>
      </c>
      <c r="F1697" s="14" t="s">
        <v>16</v>
      </c>
      <c r="G1697" s="20" t="s">
        <v>17</v>
      </c>
      <c r="H1697" s="14" t="s">
        <v>24</v>
      </c>
      <c r="I1697" s="22">
        <v>2023.0</v>
      </c>
      <c r="J1697" s="16" t="str">
        <f>IFERROR(__xludf.DUMMYFUNCTION("FILTER('CLASFICACIÓN'!$F$3:$F5618,'CLASFICACIÓN'!$G$3:$G5618=M1697)"),"LOS 3 AÑOS")</f>
        <v>LOS 3 AÑOS</v>
      </c>
      <c r="K1697" s="16"/>
      <c r="L1697" s="14" t="s">
        <v>127</v>
      </c>
      <c r="M1697" s="16" t="str">
        <f t="shared" si="1"/>
        <v>14145 SANTA JULIA BILLIART6 Primaria</v>
      </c>
      <c r="N1697" s="17"/>
      <c r="O1697" s="17"/>
      <c r="P1697" s="17"/>
      <c r="Q1697" s="17"/>
      <c r="R1697" s="17"/>
      <c r="S1697" s="17"/>
      <c r="T1697" s="17"/>
    </row>
    <row r="1698">
      <c r="A1698" s="21">
        <v>501.0</v>
      </c>
      <c r="B1698" s="20" t="s">
        <v>48</v>
      </c>
      <c r="C1698" s="20" t="s">
        <v>14</v>
      </c>
      <c r="D1698" s="20" t="s">
        <v>22</v>
      </c>
      <c r="E1698" s="12" t="str">
        <f>IFERROR(__xludf.DUMMYFUNCTION("FILTER(colegios!$B$2:$B5618,colegios!$A$2:$A5618=L1698)"),"14145 SANTA JULIA BILLIART")</f>
        <v>14145 SANTA JULIA BILLIART</v>
      </c>
      <c r="F1698" s="14" t="s">
        <v>16</v>
      </c>
      <c r="G1698" s="20" t="s">
        <v>17</v>
      </c>
      <c r="H1698" s="14" t="s">
        <v>24</v>
      </c>
      <c r="I1698" s="22">
        <v>2023.0</v>
      </c>
      <c r="J1698" s="16" t="str">
        <f>IFERROR(__xludf.DUMMYFUNCTION("FILTER('CLASFICACIÓN'!$F$3:$F5618,'CLASFICACIÓN'!$G$3:$G5618=M1698)"),"LOS 3 AÑOS")</f>
        <v>LOS 3 AÑOS</v>
      </c>
      <c r="K1698" s="16"/>
      <c r="L1698" s="14" t="s">
        <v>127</v>
      </c>
      <c r="M1698" s="16" t="str">
        <f t="shared" si="1"/>
        <v>14145 SANTA JULIA BILLIART6 Primaria</v>
      </c>
      <c r="N1698" s="17"/>
      <c r="O1698" s="17"/>
      <c r="P1698" s="17"/>
      <c r="Q1698" s="17"/>
      <c r="R1698" s="17"/>
      <c r="S1698" s="17"/>
      <c r="T1698" s="17"/>
    </row>
    <row r="1699">
      <c r="A1699" s="21">
        <v>502.0</v>
      </c>
      <c r="B1699" s="20" t="s">
        <v>48</v>
      </c>
      <c r="C1699" s="20" t="s">
        <v>14</v>
      </c>
      <c r="D1699" s="20" t="s">
        <v>22</v>
      </c>
      <c r="E1699" s="12" t="str">
        <f>IFERROR(__xludf.DUMMYFUNCTION("FILTER(colegios!$B$2:$B5618,colegios!$A$2:$A5618=L1699)"),"14145 SANTA JULIA BILLIART")</f>
        <v>14145 SANTA JULIA BILLIART</v>
      </c>
      <c r="F1699" s="14" t="s">
        <v>16</v>
      </c>
      <c r="G1699" s="20" t="s">
        <v>21</v>
      </c>
      <c r="H1699" s="14" t="s">
        <v>18</v>
      </c>
      <c r="I1699" s="22">
        <v>2023.0</v>
      </c>
      <c r="J1699" s="16" t="str">
        <f>IFERROR(__xludf.DUMMYFUNCTION("FILTER('CLASFICACIÓN'!$F$3:$F5618,'CLASFICACIÓN'!$G$3:$G5618=M1699)"),"LOS 3 AÑOS")</f>
        <v>LOS 3 AÑOS</v>
      </c>
      <c r="K1699" s="16"/>
      <c r="L1699" s="14" t="s">
        <v>127</v>
      </c>
      <c r="M1699" s="16" t="str">
        <f t="shared" si="1"/>
        <v>14145 SANTA JULIA BILLIART6 Primaria</v>
      </c>
      <c r="N1699" s="17"/>
      <c r="O1699" s="17"/>
      <c r="P1699" s="17"/>
      <c r="Q1699" s="17"/>
      <c r="R1699" s="17"/>
      <c r="S1699" s="17"/>
      <c r="T1699" s="17"/>
    </row>
    <row r="1700">
      <c r="A1700" s="21">
        <v>503.0</v>
      </c>
      <c r="B1700" s="20" t="s">
        <v>48</v>
      </c>
      <c r="C1700" s="20" t="s">
        <v>14</v>
      </c>
      <c r="D1700" s="20" t="s">
        <v>22</v>
      </c>
      <c r="E1700" s="12" t="str">
        <f>IFERROR(__xludf.DUMMYFUNCTION("FILTER(colegios!$B$2:$B5618,colegios!$A$2:$A5618=L1700)"),"14145 SANTA JULIA BILLIART")</f>
        <v>14145 SANTA JULIA BILLIART</v>
      </c>
      <c r="F1700" s="14" t="s">
        <v>16</v>
      </c>
      <c r="G1700" s="20" t="s">
        <v>21</v>
      </c>
      <c r="H1700" s="14" t="s">
        <v>24</v>
      </c>
      <c r="I1700" s="22">
        <v>2023.0</v>
      </c>
      <c r="J1700" s="16" t="str">
        <f>IFERROR(__xludf.DUMMYFUNCTION("FILTER('CLASFICACIÓN'!$F$3:$F5618,'CLASFICACIÓN'!$G$3:$G5618=M1700)"),"LOS 3 AÑOS")</f>
        <v>LOS 3 AÑOS</v>
      </c>
      <c r="K1700" s="16"/>
      <c r="L1700" s="14" t="s">
        <v>127</v>
      </c>
      <c r="M1700" s="16" t="str">
        <f t="shared" si="1"/>
        <v>14145 SANTA JULIA BILLIART6 Primaria</v>
      </c>
      <c r="N1700" s="17"/>
      <c r="O1700" s="17"/>
      <c r="P1700" s="17"/>
      <c r="Q1700" s="17"/>
      <c r="R1700" s="17"/>
      <c r="S1700" s="17"/>
      <c r="T1700" s="17"/>
    </row>
    <row r="1701">
      <c r="A1701" s="21">
        <v>504.0</v>
      </c>
      <c r="B1701" s="20" t="s">
        <v>48</v>
      </c>
      <c r="C1701" s="20" t="s">
        <v>14</v>
      </c>
      <c r="D1701" s="20" t="s">
        <v>22</v>
      </c>
      <c r="E1701" s="12" t="str">
        <f>IFERROR(__xludf.DUMMYFUNCTION("FILTER(colegios!$B$2:$B5618,colegios!$A$2:$A5618=L1701)"),"14145 SANTA JULIA BILLIART")</f>
        <v>14145 SANTA JULIA BILLIART</v>
      </c>
      <c r="F1701" s="14" t="s">
        <v>16</v>
      </c>
      <c r="G1701" s="20" t="s">
        <v>21</v>
      </c>
      <c r="H1701" s="14" t="s">
        <v>18</v>
      </c>
      <c r="I1701" s="22">
        <v>2023.0</v>
      </c>
      <c r="J1701" s="16" t="str">
        <f>IFERROR(__xludf.DUMMYFUNCTION("FILTER('CLASFICACIÓN'!$F$3:$F5618,'CLASFICACIÓN'!$G$3:$G5618=M1701)"),"LOS 3 AÑOS")</f>
        <v>LOS 3 AÑOS</v>
      </c>
      <c r="K1701" s="16"/>
      <c r="L1701" s="14" t="s">
        <v>127</v>
      </c>
      <c r="M1701" s="16" t="str">
        <f t="shared" si="1"/>
        <v>14145 SANTA JULIA BILLIART6 Primaria</v>
      </c>
      <c r="N1701" s="17"/>
      <c r="O1701" s="17"/>
      <c r="P1701" s="17"/>
      <c r="Q1701" s="17"/>
      <c r="R1701" s="17"/>
      <c r="S1701" s="17"/>
      <c r="T1701" s="17"/>
    </row>
    <row r="1702">
      <c r="A1702" s="21">
        <v>505.0</v>
      </c>
      <c r="B1702" s="20" t="s">
        <v>48</v>
      </c>
      <c r="C1702" s="20" t="s">
        <v>14</v>
      </c>
      <c r="D1702" s="20" t="s">
        <v>22</v>
      </c>
      <c r="E1702" s="12" t="str">
        <f>IFERROR(__xludf.DUMMYFUNCTION("FILTER(colegios!$B$2:$B5618,colegios!$A$2:$A5618=L1702)"),"14145 SANTA JULIA BILLIART")</f>
        <v>14145 SANTA JULIA BILLIART</v>
      </c>
      <c r="F1702" s="14" t="s">
        <v>16</v>
      </c>
      <c r="G1702" s="20" t="s">
        <v>17</v>
      </c>
      <c r="H1702" s="14" t="s">
        <v>24</v>
      </c>
      <c r="I1702" s="22">
        <v>2023.0</v>
      </c>
      <c r="J1702" s="16" t="str">
        <f>IFERROR(__xludf.DUMMYFUNCTION("FILTER('CLASFICACIÓN'!$F$3:$F5618,'CLASFICACIÓN'!$G$3:$G5618=M1702)"),"LOS 3 AÑOS")</f>
        <v>LOS 3 AÑOS</v>
      </c>
      <c r="K1702" s="16"/>
      <c r="L1702" s="14" t="s">
        <v>127</v>
      </c>
      <c r="M1702" s="16" t="str">
        <f t="shared" si="1"/>
        <v>14145 SANTA JULIA BILLIART6 Primaria</v>
      </c>
      <c r="N1702" s="17"/>
      <c r="O1702" s="17"/>
      <c r="P1702" s="17"/>
      <c r="Q1702" s="17"/>
      <c r="R1702" s="17"/>
      <c r="S1702" s="17"/>
      <c r="T1702" s="17"/>
    </row>
    <row r="1703">
      <c r="A1703" s="21">
        <v>506.0</v>
      </c>
      <c r="B1703" s="20" t="s">
        <v>48</v>
      </c>
      <c r="C1703" s="20" t="s">
        <v>14</v>
      </c>
      <c r="D1703" s="20" t="s">
        <v>22</v>
      </c>
      <c r="E1703" s="12" t="str">
        <f>IFERROR(__xludf.DUMMYFUNCTION("FILTER(colegios!$B$2:$B5618,colegios!$A$2:$A5618=L1703)"),"14145 SANTA JULIA BILLIART")</f>
        <v>14145 SANTA JULIA BILLIART</v>
      </c>
      <c r="F1703" s="14" t="s">
        <v>16</v>
      </c>
      <c r="G1703" s="20" t="s">
        <v>21</v>
      </c>
      <c r="H1703" s="14" t="s">
        <v>24</v>
      </c>
      <c r="I1703" s="22">
        <v>2023.0</v>
      </c>
      <c r="J1703" s="16" t="str">
        <f>IFERROR(__xludf.DUMMYFUNCTION("FILTER('CLASFICACIÓN'!$F$3:$F5618,'CLASFICACIÓN'!$G$3:$G5618=M1703)"),"LOS 3 AÑOS")</f>
        <v>LOS 3 AÑOS</v>
      </c>
      <c r="K1703" s="16"/>
      <c r="L1703" s="14" t="s">
        <v>127</v>
      </c>
      <c r="M1703" s="16" t="str">
        <f t="shared" si="1"/>
        <v>14145 SANTA JULIA BILLIART6 Primaria</v>
      </c>
      <c r="N1703" s="17"/>
      <c r="O1703" s="17"/>
      <c r="P1703" s="17"/>
      <c r="Q1703" s="17"/>
      <c r="R1703" s="17"/>
      <c r="S1703" s="17"/>
      <c r="T1703" s="17"/>
    </row>
    <row r="1704">
      <c r="A1704" s="21">
        <v>507.0</v>
      </c>
      <c r="B1704" s="20" t="s">
        <v>48</v>
      </c>
      <c r="C1704" s="20" t="s">
        <v>14</v>
      </c>
      <c r="D1704" s="20" t="s">
        <v>22</v>
      </c>
      <c r="E1704" s="12" t="str">
        <f>IFERROR(__xludf.DUMMYFUNCTION("FILTER(colegios!$B$2:$B5618,colegios!$A$2:$A5618=L1704)"),"14145 SANTA JULIA BILLIART")</f>
        <v>14145 SANTA JULIA BILLIART</v>
      </c>
      <c r="F1704" s="14" t="s">
        <v>16</v>
      </c>
      <c r="G1704" s="20" t="s">
        <v>17</v>
      </c>
      <c r="H1704" s="14" t="s">
        <v>18</v>
      </c>
      <c r="I1704" s="22">
        <v>2023.0</v>
      </c>
      <c r="J1704" s="16" t="str">
        <f>IFERROR(__xludf.DUMMYFUNCTION("FILTER('CLASFICACIÓN'!$F$3:$F5618,'CLASFICACIÓN'!$G$3:$G5618=M1704)"),"LOS 3 AÑOS")</f>
        <v>LOS 3 AÑOS</v>
      </c>
      <c r="K1704" s="16"/>
      <c r="L1704" s="14" t="s">
        <v>127</v>
      </c>
      <c r="M1704" s="16" t="str">
        <f t="shared" si="1"/>
        <v>14145 SANTA JULIA BILLIART6 Primaria</v>
      </c>
      <c r="N1704" s="17"/>
      <c r="O1704" s="17"/>
      <c r="P1704" s="17"/>
      <c r="Q1704" s="17"/>
      <c r="R1704" s="17"/>
      <c r="S1704" s="17"/>
      <c r="T1704" s="17"/>
    </row>
    <row r="1705">
      <c r="A1705" s="21">
        <v>508.0</v>
      </c>
      <c r="B1705" s="20" t="s">
        <v>48</v>
      </c>
      <c r="C1705" s="20" t="s">
        <v>14</v>
      </c>
      <c r="D1705" s="20" t="s">
        <v>22</v>
      </c>
      <c r="E1705" s="12" t="str">
        <f>IFERROR(__xludf.DUMMYFUNCTION("FILTER(colegios!$B$2:$B5618,colegios!$A$2:$A5618=L1705)"),"14145 SANTA JULIA BILLIART")</f>
        <v>14145 SANTA JULIA BILLIART</v>
      </c>
      <c r="F1705" s="14" t="s">
        <v>16</v>
      </c>
      <c r="G1705" s="20" t="s">
        <v>21</v>
      </c>
      <c r="H1705" s="14" t="s">
        <v>24</v>
      </c>
      <c r="I1705" s="22">
        <v>2023.0</v>
      </c>
      <c r="J1705" s="16" t="str">
        <f>IFERROR(__xludf.DUMMYFUNCTION("FILTER('CLASFICACIÓN'!$F$3:$F5618,'CLASFICACIÓN'!$G$3:$G5618=M1705)"),"LOS 3 AÑOS")</f>
        <v>LOS 3 AÑOS</v>
      </c>
      <c r="K1705" s="16"/>
      <c r="L1705" s="14" t="s">
        <v>127</v>
      </c>
      <c r="M1705" s="16" t="str">
        <f t="shared" si="1"/>
        <v>14145 SANTA JULIA BILLIART6 Primaria</v>
      </c>
      <c r="N1705" s="17"/>
      <c r="O1705" s="17"/>
      <c r="P1705" s="17"/>
      <c r="Q1705" s="17"/>
      <c r="R1705" s="17"/>
      <c r="S1705" s="17"/>
      <c r="T1705" s="17"/>
    </row>
    <row r="1706">
      <c r="A1706" s="21">
        <v>509.0</v>
      </c>
      <c r="B1706" s="20" t="s">
        <v>48</v>
      </c>
      <c r="C1706" s="20" t="s">
        <v>14</v>
      </c>
      <c r="D1706" s="20" t="s">
        <v>22</v>
      </c>
      <c r="E1706" s="12" t="str">
        <f>IFERROR(__xludf.DUMMYFUNCTION("FILTER(colegios!$B$2:$B5618,colegios!$A$2:$A5618=L1706)"),"14145 SANTA JULIA BILLIART")</f>
        <v>14145 SANTA JULIA BILLIART</v>
      </c>
      <c r="F1706" s="14" t="s">
        <v>16</v>
      </c>
      <c r="G1706" s="20" t="s">
        <v>17</v>
      </c>
      <c r="H1706" s="14" t="s">
        <v>24</v>
      </c>
      <c r="I1706" s="22">
        <v>2023.0</v>
      </c>
      <c r="J1706" s="16" t="str">
        <f>IFERROR(__xludf.DUMMYFUNCTION("FILTER('CLASFICACIÓN'!$F$3:$F5618,'CLASFICACIÓN'!$G$3:$G5618=M1706)"),"LOS 3 AÑOS")</f>
        <v>LOS 3 AÑOS</v>
      </c>
      <c r="K1706" s="16"/>
      <c r="L1706" s="14" t="s">
        <v>127</v>
      </c>
      <c r="M1706" s="16" t="str">
        <f t="shared" si="1"/>
        <v>14145 SANTA JULIA BILLIART6 Primaria</v>
      </c>
      <c r="N1706" s="17"/>
      <c r="O1706" s="17"/>
      <c r="P1706" s="17"/>
      <c r="Q1706" s="17"/>
      <c r="R1706" s="17"/>
      <c r="S1706" s="17"/>
      <c r="T1706" s="17"/>
    </row>
    <row r="1707">
      <c r="A1707" s="21">
        <v>510.0</v>
      </c>
      <c r="B1707" s="20" t="s">
        <v>48</v>
      </c>
      <c r="C1707" s="20" t="s">
        <v>14</v>
      </c>
      <c r="D1707" s="20" t="s">
        <v>22</v>
      </c>
      <c r="E1707" s="12" t="str">
        <f>IFERROR(__xludf.DUMMYFUNCTION("FILTER(colegios!$B$2:$B5618,colegios!$A$2:$A5618=L1707)"),"14145 SANTA JULIA BILLIART")</f>
        <v>14145 SANTA JULIA BILLIART</v>
      </c>
      <c r="F1707" s="14" t="s">
        <v>16</v>
      </c>
      <c r="G1707" s="20" t="s">
        <v>17</v>
      </c>
      <c r="H1707" s="14" t="s">
        <v>18</v>
      </c>
      <c r="I1707" s="22">
        <v>2023.0</v>
      </c>
      <c r="J1707" s="16" t="str">
        <f>IFERROR(__xludf.DUMMYFUNCTION("FILTER('CLASFICACIÓN'!$F$3:$F5618,'CLASFICACIÓN'!$G$3:$G5618=M1707)"),"LOS 3 AÑOS")</f>
        <v>LOS 3 AÑOS</v>
      </c>
      <c r="K1707" s="16"/>
      <c r="L1707" s="14" t="s">
        <v>127</v>
      </c>
      <c r="M1707" s="16" t="str">
        <f t="shared" si="1"/>
        <v>14145 SANTA JULIA BILLIART6 Primaria</v>
      </c>
      <c r="N1707" s="17"/>
      <c r="O1707" s="17"/>
      <c r="P1707" s="17"/>
      <c r="Q1707" s="17"/>
      <c r="R1707" s="17"/>
      <c r="S1707" s="17"/>
      <c r="T1707" s="17"/>
    </row>
    <row r="1708">
      <c r="A1708" s="21">
        <v>511.0</v>
      </c>
      <c r="B1708" s="20" t="s">
        <v>48</v>
      </c>
      <c r="C1708" s="20" t="s">
        <v>14</v>
      </c>
      <c r="D1708" s="20" t="s">
        <v>22</v>
      </c>
      <c r="E1708" s="12" t="str">
        <f>IFERROR(__xludf.DUMMYFUNCTION("FILTER(colegios!$B$2:$B5618,colegios!$A$2:$A5618=L1708)"),"14145 SANTA JULIA BILLIART")</f>
        <v>14145 SANTA JULIA BILLIART</v>
      </c>
      <c r="F1708" s="14" t="s">
        <v>16</v>
      </c>
      <c r="G1708" s="20" t="s">
        <v>21</v>
      </c>
      <c r="H1708" s="14" t="s">
        <v>18</v>
      </c>
      <c r="I1708" s="22">
        <v>2023.0</v>
      </c>
      <c r="J1708" s="16" t="str">
        <f>IFERROR(__xludf.DUMMYFUNCTION("FILTER('CLASFICACIÓN'!$F$3:$F5618,'CLASFICACIÓN'!$G$3:$G5618=M1708)"),"LOS 3 AÑOS")</f>
        <v>LOS 3 AÑOS</v>
      </c>
      <c r="K1708" s="16"/>
      <c r="L1708" s="14" t="s">
        <v>127</v>
      </c>
      <c r="M1708" s="16" t="str">
        <f t="shared" si="1"/>
        <v>14145 SANTA JULIA BILLIART6 Primaria</v>
      </c>
      <c r="N1708" s="17"/>
      <c r="O1708" s="17"/>
      <c r="P1708" s="17"/>
      <c r="Q1708" s="17"/>
      <c r="R1708" s="17"/>
      <c r="S1708" s="17"/>
      <c r="T1708" s="17"/>
    </row>
    <row r="1709">
      <c r="A1709" s="21">
        <v>512.0</v>
      </c>
      <c r="B1709" s="20" t="s">
        <v>48</v>
      </c>
      <c r="C1709" s="20" t="s">
        <v>14</v>
      </c>
      <c r="D1709" s="20" t="s">
        <v>22</v>
      </c>
      <c r="E1709" s="12" t="str">
        <f>IFERROR(__xludf.DUMMYFUNCTION("FILTER(colegios!$B$2:$B5618,colegios!$A$2:$A5618=L1709)"),"14145 SANTA JULIA BILLIART")</f>
        <v>14145 SANTA JULIA BILLIART</v>
      </c>
      <c r="F1709" s="14" t="s">
        <v>16</v>
      </c>
      <c r="G1709" s="20" t="s">
        <v>17</v>
      </c>
      <c r="H1709" s="14" t="s">
        <v>18</v>
      </c>
      <c r="I1709" s="22">
        <v>2023.0</v>
      </c>
      <c r="J1709" s="16" t="str">
        <f>IFERROR(__xludf.DUMMYFUNCTION("FILTER('CLASFICACIÓN'!$F$3:$F5618,'CLASFICACIÓN'!$G$3:$G5618=M1709)"),"LOS 3 AÑOS")</f>
        <v>LOS 3 AÑOS</v>
      </c>
      <c r="K1709" s="16"/>
      <c r="L1709" s="14" t="s">
        <v>127</v>
      </c>
      <c r="M1709" s="16" t="str">
        <f t="shared" si="1"/>
        <v>14145 SANTA JULIA BILLIART6 Primaria</v>
      </c>
      <c r="N1709" s="17"/>
      <c r="O1709" s="17"/>
      <c r="P1709" s="17"/>
      <c r="Q1709" s="17"/>
      <c r="R1709" s="17"/>
      <c r="S1709" s="17"/>
      <c r="T1709" s="17"/>
    </row>
    <row r="1710">
      <c r="A1710" s="21">
        <v>513.0</v>
      </c>
      <c r="B1710" s="20" t="s">
        <v>48</v>
      </c>
      <c r="C1710" s="20" t="s">
        <v>14</v>
      </c>
      <c r="D1710" s="20" t="s">
        <v>22</v>
      </c>
      <c r="E1710" s="12" t="str">
        <f>IFERROR(__xludf.DUMMYFUNCTION("FILTER(colegios!$B$2:$B5618,colegios!$A$2:$A5618=L1710)"),"14145 SANTA JULIA BILLIART")</f>
        <v>14145 SANTA JULIA BILLIART</v>
      </c>
      <c r="F1710" s="14" t="s">
        <v>16</v>
      </c>
      <c r="G1710" s="20" t="s">
        <v>21</v>
      </c>
      <c r="H1710" s="14" t="s">
        <v>18</v>
      </c>
      <c r="I1710" s="22">
        <v>2023.0</v>
      </c>
      <c r="J1710" s="16" t="str">
        <f>IFERROR(__xludf.DUMMYFUNCTION("FILTER('CLASFICACIÓN'!$F$3:$F5618,'CLASFICACIÓN'!$G$3:$G5618=M1710)"),"LOS 3 AÑOS")</f>
        <v>LOS 3 AÑOS</v>
      </c>
      <c r="K1710" s="16"/>
      <c r="L1710" s="14" t="s">
        <v>127</v>
      </c>
      <c r="M1710" s="16" t="str">
        <f t="shared" si="1"/>
        <v>14145 SANTA JULIA BILLIART6 Primaria</v>
      </c>
      <c r="N1710" s="17"/>
      <c r="O1710" s="17"/>
      <c r="P1710" s="17"/>
      <c r="Q1710" s="17"/>
      <c r="R1710" s="17"/>
      <c r="S1710" s="17"/>
      <c r="T1710" s="17"/>
    </row>
    <row r="1711">
      <c r="A1711" s="21">
        <v>514.0</v>
      </c>
      <c r="B1711" s="20" t="s">
        <v>48</v>
      </c>
      <c r="C1711" s="20" t="s">
        <v>14</v>
      </c>
      <c r="D1711" s="20" t="s">
        <v>22</v>
      </c>
      <c r="E1711" s="12" t="str">
        <f>IFERROR(__xludf.DUMMYFUNCTION("FILTER(colegios!$B$2:$B5618,colegios!$A$2:$A5618=L1711)"),"14145 SANTA JULIA BILLIART")</f>
        <v>14145 SANTA JULIA BILLIART</v>
      </c>
      <c r="F1711" s="14" t="s">
        <v>16</v>
      </c>
      <c r="G1711" s="20" t="s">
        <v>21</v>
      </c>
      <c r="H1711" s="14" t="s">
        <v>18</v>
      </c>
      <c r="I1711" s="22">
        <v>2023.0</v>
      </c>
      <c r="J1711" s="16" t="str">
        <f>IFERROR(__xludf.DUMMYFUNCTION("FILTER('CLASFICACIÓN'!$F$3:$F5618,'CLASFICACIÓN'!$G$3:$G5618=M1711)"),"LOS 3 AÑOS")</f>
        <v>LOS 3 AÑOS</v>
      </c>
      <c r="K1711" s="16"/>
      <c r="L1711" s="14" t="s">
        <v>127</v>
      </c>
      <c r="M1711" s="16" t="str">
        <f t="shared" si="1"/>
        <v>14145 SANTA JULIA BILLIART6 Primaria</v>
      </c>
      <c r="N1711" s="17"/>
      <c r="O1711" s="17"/>
      <c r="P1711" s="17"/>
      <c r="Q1711" s="17"/>
      <c r="R1711" s="17"/>
      <c r="S1711" s="17"/>
      <c r="T1711" s="17"/>
    </row>
    <row r="1712">
      <c r="A1712" s="21">
        <v>515.0</v>
      </c>
      <c r="B1712" s="20" t="s">
        <v>48</v>
      </c>
      <c r="C1712" s="20" t="s">
        <v>14</v>
      </c>
      <c r="D1712" s="20" t="s">
        <v>22</v>
      </c>
      <c r="E1712" s="12" t="str">
        <f>IFERROR(__xludf.DUMMYFUNCTION("FILTER(colegios!$B$2:$B5618,colegios!$A$2:$A5618=L1712)"),"14145 SANTA JULIA BILLIART")</f>
        <v>14145 SANTA JULIA BILLIART</v>
      </c>
      <c r="F1712" s="14" t="s">
        <v>16</v>
      </c>
      <c r="G1712" s="20" t="s">
        <v>21</v>
      </c>
      <c r="H1712" s="14" t="s">
        <v>24</v>
      </c>
      <c r="I1712" s="22">
        <v>2023.0</v>
      </c>
      <c r="J1712" s="16" t="str">
        <f>IFERROR(__xludf.DUMMYFUNCTION("FILTER('CLASFICACIÓN'!$F$3:$F5618,'CLASFICACIÓN'!$G$3:$G5618=M1712)"),"LOS 3 AÑOS")</f>
        <v>LOS 3 AÑOS</v>
      </c>
      <c r="K1712" s="16"/>
      <c r="L1712" s="14" t="s">
        <v>127</v>
      </c>
      <c r="M1712" s="16" t="str">
        <f t="shared" si="1"/>
        <v>14145 SANTA JULIA BILLIART6 Primaria</v>
      </c>
      <c r="N1712" s="17"/>
      <c r="O1712" s="17"/>
      <c r="P1712" s="17"/>
      <c r="Q1712" s="17"/>
      <c r="R1712" s="17"/>
      <c r="S1712" s="17"/>
      <c r="T1712" s="17"/>
    </row>
    <row r="1713">
      <c r="A1713" s="21">
        <v>516.0</v>
      </c>
      <c r="B1713" s="20" t="s">
        <v>48</v>
      </c>
      <c r="C1713" s="20" t="s">
        <v>14</v>
      </c>
      <c r="D1713" s="20" t="s">
        <v>22</v>
      </c>
      <c r="E1713" s="12" t="str">
        <f>IFERROR(__xludf.DUMMYFUNCTION("FILTER(colegios!$B$2:$B5618,colegios!$A$2:$A5618=L1713)"),"14145 SANTA JULIA BILLIART")</f>
        <v>14145 SANTA JULIA BILLIART</v>
      </c>
      <c r="F1713" s="14" t="s">
        <v>16</v>
      </c>
      <c r="G1713" s="20" t="s">
        <v>21</v>
      </c>
      <c r="H1713" s="14" t="s">
        <v>18</v>
      </c>
      <c r="I1713" s="22">
        <v>2023.0</v>
      </c>
      <c r="J1713" s="16" t="str">
        <f>IFERROR(__xludf.DUMMYFUNCTION("FILTER('CLASFICACIÓN'!$F$3:$F5618,'CLASFICACIÓN'!$G$3:$G5618=M1713)"),"LOS 3 AÑOS")</f>
        <v>LOS 3 AÑOS</v>
      </c>
      <c r="K1713" s="16"/>
      <c r="L1713" s="14" t="s">
        <v>127</v>
      </c>
      <c r="M1713" s="16" t="str">
        <f t="shared" si="1"/>
        <v>14145 SANTA JULIA BILLIART6 Primaria</v>
      </c>
      <c r="N1713" s="17"/>
      <c r="O1713" s="17"/>
      <c r="P1713" s="17"/>
      <c r="Q1713" s="17"/>
      <c r="R1713" s="17"/>
      <c r="S1713" s="17"/>
      <c r="T1713" s="17"/>
    </row>
    <row r="1714">
      <c r="A1714" s="21">
        <v>517.0</v>
      </c>
      <c r="B1714" s="20" t="s">
        <v>48</v>
      </c>
      <c r="C1714" s="20" t="s">
        <v>14</v>
      </c>
      <c r="D1714" s="20" t="s">
        <v>15</v>
      </c>
      <c r="E1714" s="12" t="str">
        <f>IFERROR(__xludf.DUMMYFUNCTION("FILTER(colegios!$B$2:$B5618,colegios!$A$2:$A5618=L1714)"),"SAGRADO CORAZON DE JESUS")</f>
        <v>SAGRADO CORAZON DE JESUS</v>
      </c>
      <c r="F1714" s="14" t="s">
        <v>16</v>
      </c>
      <c r="G1714" s="20" t="s">
        <v>21</v>
      </c>
      <c r="H1714" s="14" t="s">
        <v>24</v>
      </c>
      <c r="I1714" s="22">
        <v>2023.0</v>
      </c>
      <c r="J1714" s="16" t="str">
        <f>IFERROR(__xludf.DUMMYFUNCTION("FILTER('CLASFICACIÓN'!$F$3:$F5618,'CLASFICACIÓN'!$G$3:$G5618=M1714)"),"LOS 3 AÑOS")</f>
        <v>LOS 3 AÑOS</v>
      </c>
      <c r="K1714" s="16"/>
      <c r="L1714" s="14" t="s">
        <v>128</v>
      </c>
      <c r="M1714" s="16" t="str">
        <f t="shared" si="1"/>
        <v>SAGRADO CORAZON DE JESUS2 Primaria</v>
      </c>
      <c r="N1714" s="17"/>
      <c r="O1714" s="17"/>
      <c r="P1714" s="17"/>
      <c r="Q1714" s="17"/>
      <c r="R1714" s="17"/>
      <c r="S1714" s="17"/>
      <c r="T1714" s="17"/>
    </row>
    <row r="1715">
      <c r="A1715" s="21">
        <v>518.0</v>
      </c>
      <c r="B1715" s="20" t="s">
        <v>48</v>
      </c>
      <c r="C1715" s="20" t="s">
        <v>14</v>
      </c>
      <c r="D1715" s="20" t="s">
        <v>15</v>
      </c>
      <c r="E1715" s="12" t="str">
        <f>IFERROR(__xludf.DUMMYFUNCTION("FILTER(colegios!$B$2:$B5618,colegios!$A$2:$A5618=L1715)"),"SAGRADO CORAZON DE JESUS")</f>
        <v>SAGRADO CORAZON DE JESUS</v>
      </c>
      <c r="F1715" s="14" t="s">
        <v>16</v>
      </c>
      <c r="G1715" s="20" t="s">
        <v>17</v>
      </c>
      <c r="H1715" s="14" t="s">
        <v>24</v>
      </c>
      <c r="I1715" s="22">
        <v>2023.0</v>
      </c>
      <c r="J1715" s="16" t="str">
        <f>IFERROR(__xludf.DUMMYFUNCTION("FILTER('CLASFICACIÓN'!$F$3:$F5618,'CLASFICACIÓN'!$G$3:$G5618=M1715)"),"LOS 3 AÑOS")</f>
        <v>LOS 3 AÑOS</v>
      </c>
      <c r="K1715" s="16"/>
      <c r="L1715" s="14" t="s">
        <v>128</v>
      </c>
      <c r="M1715" s="16" t="str">
        <f t="shared" si="1"/>
        <v>SAGRADO CORAZON DE JESUS2 Primaria</v>
      </c>
      <c r="N1715" s="17"/>
      <c r="O1715" s="17"/>
      <c r="P1715" s="17"/>
      <c r="Q1715" s="17"/>
      <c r="R1715" s="17"/>
      <c r="S1715" s="17"/>
      <c r="T1715" s="17"/>
    </row>
    <row r="1716">
      <c r="A1716" s="21">
        <v>519.0</v>
      </c>
      <c r="B1716" s="20" t="s">
        <v>48</v>
      </c>
      <c r="C1716" s="20" t="s">
        <v>14</v>
      </c>
      <c r="D1716" s="20" t="s">
        <v>15</v>
      </c>
      <c r="E1716" s="12" t="str">
        <f>IFERROR(__xludf.DUMMYFUNCTION("FILTER(colegios!$B$2:$B5618,colegios!$A$2:$A5618=L1716)"),"SAGRADO CORAZON DE JESUS")</f>
        <v>SAGRADO CORAZON DE JESUS</v>
      </c>
      <c r="F1716" s="14" t="s">
        <v>16</v>
      </c>
      <c r="G1716" s="20" t="s">
        <v>21</v>
      </c>
      <c r="H1716" s="14" t="s">
        <v>24</v>
      </c>
      <c r="I1716" s="22">
        <v>2023.0</v>
      </c>
      <c r="J1716" s="16" t="str">
        <f>IFERROR(__xludf.DUMMYFUNCTION("FILTER('CLASFICACIÓN'!$F$3:$F5618,'CLASFICACIÓN'!$G$3:$G5618=M1716)"),"LOS 3 AÑOS")</f>
        <v>LOS 3 AÑOS</v>
      </c>
      <c r="K1716" s="16"/>
      <c r="L1716" s="14" t="s">
        <v>128</v>
      </c>
      <c r="M1716" s="16" t="str">
        <f t="shared" si="1"/>
        <v>SAGRADO CORAZON DE JESUS2 Primaria</v>
      </c>
      <c r="N1716" s="17"/>
      <c r="O1716" s="17"/>
      <c r="P1716" s="17"/>
      <c r="Q1716" s="17"/>
      <c r="R1716" s="17"/>
      <c r="S1716" s="17"/>
      <c r="T1716" s="17"/>
    </row>
    <row r="1717">
      <c r="A1717" s="21">
        <v>520.0</v>
      </c>
      <c r="B1717" s="20" t="s">
        <v>48</v>
      </c>
      <c r="C1717" s="20" t="s">
        <v>14</v>
      </c>
      <c r="D1717" s="20" t="s">
        <v>15</v>
      </c>
      <c r="E1717" s="12" t="str">
        <f>IFERROR(__xludf.DUMMYFUNCTION("FILTER(colegios!$B$2:$B5618,colegios!$A$2:$A5618=L1717)"),"SAGRADO CORAZON DE JESUS")</f>
        <v>SAGRADO CORAZON DE JESUS</v>
      </c>
      <c r="F1717" s="14" t="s">
        <v>16</v>
      </c>
      <c r="G1717" s="20" t="s">
        <v>21</v>
      </c>
      <c r="H1717" s="14" t="s">
        <v>24</v>
      </c>
      <c r="I1717" s="22">
        <v>2023.0</v>
      </c>
      <c r="J1717" s="16" t="str">
        <f>IFERROR(__xludf.DUMMYFUNCTION("FILTER('CLASFICACIÓN'!$F$3:$F5618,'CLASFICACIÓN'!$G$3:$G5618=M1717)"),"LOS 3 AÑOS")</f>
        <v>LOS 3 AÑOS</v>
      </c>
      <c r="K1717" s="16"/>
      <c r="L1717" s="14" t="s">
        <v>128</v>
      </c>
      <c r="M1717" s="16" t="str">
        <f t="shared" si="1"/>
        <v>SAGRADO CORAZON DE JESUS2 Primaria</v>
      </c>
      <c r="N1717" s="17"/>
      <c r="O1717" s="17"/>
      <c r="P1717" s="17"/>
      <c r="Q1717" s="17"/>
      <c r="R1717" s="17"/>
      <c r="S1717" s="17"/>
      <c r="T1717" s="17"/>
    </row>
    <row r="1718">
      <c r="A1718" s="21">
        <v>521.0</v>
      </c>
      <c r="B1718" s="20" t="s">
        <v>48</v>
      </c>
      <c r="C1718" s="20" t="s">
        <v>14</v>
      </c>
      <c r="D1718" s="20" t="s">
        <v>15</v>
      </c>
      <c r="E1718" s="12" t="str">
        <f>IFERROR(__xludf.DUMMYFUNCTION("FILTER(colegios!$B$2:$B5618,colegios!$A$2:$A5618=L1718)"),"SAGRADO CORAZON DE JESUS")</f>
        <v>SAGRADO CORAZON DE JESUS</v>
      </c>
      <c r="F1718" s="14" t="s">
        <v>16</v>
      </c>
      <c r="G1718" s="20" t="s">
        <v>21</v>
      </c>
      <c r="H1718" s="14" t="s">
        <v>24</v>
      </c>
      <c r="I1718" s="22">
        <v>2023.0</v>
      </c>
      <c r="J1718" s="16" t="str">
        <f>IFERROR(__xludf.DUMMYFUNCTION("FILTER('CLASFICACIÓN'!$F$3:$F5618,'CLASFICACIÓN'!$G$3:$G5618=M1718)"),"LOS 3 AÑOS")</f>
        <v>LOS 3 AÑOS</v>
      </c>
      <c r="K1718" s="16"/>
      <c r="L1718" s="14" t="s">
        <v>128</v>
      </c>
      <c r="M1718" s="16" t="str">
        <f t="shared" si="1"/>
        <v>SAGRADO CORAZON DE JESUS2 Primaria</v>
      </c>
      <c r="N1718" s="17"/>
      <c r="O1718" s="17"/>
      <c r="P1718" s="17"/>
      <c r="Q1718" s="17"/>
      <c r="R1718" s="17"/>
      <c r="S1718" s="17"/>
      <c r="T1718" s="17"/>
    </row>
    <row r="1719">
      <c r="A1719" s="21">
        <v>522.0</v>
      </c>
      <c r="B1719" s="20" t="s">
        <v>48</v>
      </c>
      <c r="C1719" s="20" t="s">
        <v>14</v>
      </c>
      <c r="D1719" s="20" t="s">
        <v>15</v>
      </c>
      <c r="E1719" s="12" t="str">
        <f>IFERROR(__xludf.DUMMYFUNCTION("FILTER(colegios!$B$2:$B5618,colegios!$A$2:$A5618=L1719)"),"SAGRADO CORAZON DE JESUS")</f>
        <v>SAGRADO CORAZON DE JESUS</v>
      </c>
      <c r="F1719" s="14" t="s">
        <v>16</v>
      </c>
      <c r="G1719" s="20" t="s">
        <v>21</v>
      </c>
      <c r="H1719" s="14" t="s">
        <v>24</v>
      </c>
      <c r="I1719" s="22">
        <v>2023.0</v>
      </c>
      <c r="J1719" s="16" t="str">
        <f>IFERROR(__xludf.DUMMYFUNCTION("FILTER('CLASFICACIÓN'!$F$3:$F5618,'CLASFICACIÓN'!$G$3:$G5618=M1719)"),"LOS 3 AÑOS")</f>
        <v>LOS 3 AÑOS</v>
      </c>
      <c r="K1719" s="16"/>
      <c r="L1719" s="14" t="s">
        <v>128</v>
      </c>
      <c r="M1719" s="16" t="str">
        <f t="shared" si="1"/>
        <v>SAGRADO CORAZON DE JESUS2 Primaria</v>
      </c>
      <c r="N1719" s="17"/>
      <c r="O1719" s="17"/>
      <c r="P1719" s="17"/>
      <c r="Q1719" s="17"/>
      <c r="R1719" s="17"/>
      <c r="S1719" s="17"/>
      <c r="T1719" s="17"/>
    </row>
    <row r="1720">
      <c r="A1720" s="21">
        <v>523.0</v>
      </c>
      <c r="B1720" s="20" t="s">
        <v>48</v>
      </c>
      <c r="C1720" s="20" t="s">
        <v>14</v>
      </c>
      <c r="D1720" s="20" t="s">
        <v>15</v>
      </c>
      <c r="E1720" s="12" t="str">
        <f>IFERROR(__xludf.DUMMYFUNCTION("FILTER(colegios!$B$2:$B5618,colegios!$A$2:$A5618=L1720)"),"SAGRADO CORAZON DE JESUS")</f>
        <v>SAGRADO CORAZON DE JESUS</v>
      </c>
      <c r="F1720" s="14" t="s">
        <v>16</v>
      </c>
      <c r="G1720" s="20" t="s">
        <v>21</v>
      </c>
      <c r="H1720" s="14" t="s">
        <v>24</v>
      </c>
      <c r="I1720" s="22">
        <v>2023.0</v>
      </c>
      <c r="J1720" s="16" t="str">
        <f>IFERROR(__xludf.DUMMYFUNCTION("FILTER('CLASFICACIÓN'!$F$3:$F5618,'CLASFICACIÓN'!$G$3:$G5618=M1720)"),"LOS 3 AÑOS")</f>
        <v>LOS 3 AÑOS</v>
      </c>
      <c r="K1720" s="16"/>
      <c r="L1720" s="14" t="s">
        <v>128</v>
      </c>
      <c r="M1720" s="16" t="str">
        <f t="shared" si="1"/>
        <v>SAGRADO CORAZON DE JESUS2 Primaria</v>
      </c>
      <c r="N1720" s="17"/>
      <c r="O1720" s="17"/>
      <c r="P1720" s="17"/>
      <c r="Q1720" s="17"/>
      <c r="R1720" s="17"/>
      <c r="S1720" s="17"/>
      <c r="T1720" s="17"/>
    </row>
    <row r="1721">
      <c r="A1721" s="21">
        <v>524.0</v>
      </c>
      <c r="B1721" s="20" t="s">
        <v>48</v>
      </c>
      <c r="C1721" s="20" t="s">
        <v>14</v>
      </c>
      <c r="D1721" s="20" t="s">
        <v>15</v>
      </c>
      <c r="E1721" s="12" t="str">
        <f>IFERROR(__xludf.DUMMYFUNCTION("FILTER(colegios!$B$2:$B5618,colegios!$A$2:$A5618=L1721)"),"SAGRADO CORAZON DE JESUS")</f>
        <v>SAGRADO CORAZON DE JESUS</v>
      </c>
      <c r="F1721" s="14" t="s">
        <v>16</v>
      </c>
      <c r="G1721" s="20" t="s">
        <v>17</v>
      </c>
      <c r="H1721" s="14" t="s">
        <v>24</v>
      </c>
      <c r="I1721" s="22">
        <v>2023.0</v>
      </c>
      <c r="J1721" s="16" t="str">
        <f>IFERROR(__xludf.DUMMYFUNCTION("FILTER('CLASFICACIÓN'!$F$3:$F5618,'CLASFICACIÓN'!$G$3:$G5618=M1721)"),"LOS 3 AÑOS")</f>
        <v>LOS 3 AÑOS</v>
      </c>
      <c r="K1721" s="16"/>
      <c r="L1721" s="14" t="s">
        <v>128</v>
      </c>
      <c r="M1721" s="16" t="str">
        <f t="shared" si="1"/>
        <v>SAGRADO CORAZON DE JESUS2 Primaria</v>
      </c>
      <c r="N1721" s="17"/>
      <c r="O1721" s="17"/>
      <c r="P1721" s="17"/>
      <c r="Q1721" s="17"/>
      <c r="R1721" s="17"/>
      <c r="S1721" s="17"/>
      <c r="T1721" s="17"/>
    </row>
    <row r="1722">
      <c r="A1722" s="21">
        <v>525.0</v>
      </c>
      <c r="B1722" s="20" t="s">
        <v>48</v>
      </c>
      <c r="C1722" s="20" t="s">
        <v>14</v>
      </c>
      <c r="D1722" s="20" t="s">
        <v>15</v>
      </c>
      <c r="E1722" s="12" t="str">
        <f>IFERROR(__xludf.DUMMYFUNCTION("FILTER(colegios!$B$2:$B5618,colegios!$A$2:$A5618=L1722)"),"SAGRADO CORAZON DE JESUS")</f>
        <v>SAGRADO CORAZON DE JESUS</v>
      </c>
      <c r="F1722" s="14" t="s">
        <v>16</v>
      </c>
      <c r="G1722" s="20" t="s">
        <v>17</v>
      </c>
      <c r="H1722" s="14" t="s">
        <v>24</v>
      </c>
      <c r="I1722" s="22">
        <v>2023.0</v>
      </c>
      <c r="J1722" s="16" t="str">
        <f>IFERROR(__xludf.DUMMYFUNCTION("FILTER('CLASFICACIÓN'!$F$3:$F5618,'CLASFICACIÓN'!$G$3:$G5618=M1722)"),"LOS 3 AÑOS")</f>
        <v>LOS 3 AÑOS</v>
      </c>
      <c r="K1722" s="16"/>
      <c r="L1722" s="14" t="s">
        <v>128</v>
      </c>
      <c r="M1722" s="16" t="str">
        <f t="shared" si="1"/>
        <v>SAGRADO CORAZON DE JESUS2 Primaria</v>
      </c>
      <c r="N1722" s="17"/>
      <c r="O1722" s="17"/>
      <c r="P1722" s="17"/>
      <c r="Q1722" s="17"/>
      <c r="R1722" s="17"/>
      <c r="S1722" s="17"/>
      <c r="T1722" s="17"/>
    </row>
    <row r="1723">
      <c r="A1723" s="21">
        <v>526.0</v>
      </c>
      <c r="B1723" s="20" t="s">
        <v>48</v>
      </c>
      <c r="C1723" s="20" t="s">
        <v>14</v>
      </c>
      <c r="D1723" s="20" t="s">
        <v>15</v>
      </c>
      <c r="E1723" s="12" t="str">
        <f>IFERROR(__xludf.DUMMYFUNCTION("FILTER(colegios!$B$2:$B5618,colegios!$A$2:$A5618=L1723)"),"SAGRADO CORAZON DE JESUS")</f>
        <v>SAGRADO CORAZON DE JESUS</v>
      </c>
      <c r="F1723" s="14" t="s">
        <v>16</v>
      </c>
      <c r="G1723" s="20" t="s">
        <v>21</v>
      </c>
      <c r="H1723" s="14" t="s">
        <v>24</v>
      </c>
      <c r="I1723" s="22">
        <v>2023.0</v>
      </c>
      <c r="J1723" s="16" t="str">
        <f>IFERROR(__xludf.DUMMYFUNCTION("FILTER('CLASFICACIÓN'!$F$3:$F5618,'CLASFICACIÓN'!$G$3:$G5618=M1723)"),"LOS 3 AÑOS")</f>
        <v>LOS 3 AÑOS</v>
      </c>
      <c r="K1723" s="16"/>
      <c r="L1723" s="14" t="s">
        <v>128</v>
      </c>
      <c r="M1723" s="16" t="str">
        <f t="shared" si="1"/>
        <v>SAGRADO CORAZON DE JESUS2 Primaria</v>
      </c>
      <c r="N1723" s="17"/>
      <c r="O1723" s="17"/>
      <c r="P1723" s="17"/>
      <c r="Q1723" s="17"/>
      <c r="R1723" s="17"/>
      <c r="S1723" s="17"/>
      <c r="T1723" s="17"/>
    </row>
    <row r="1724">
      <c r="A1724" s="21">
        <v>527.0</v>
      </c>
      <c r="B1724" s="20" t="s">
        <v>48</v>
      </c>
      <c r="C1724" s="20" t="s">
        <v>14</v>
      </c>
      <c r="D1724" s="20" t="s">
        <v>15</v>
      </c>
      <c r="E1724" s="12" t="str">
        <f>IFERROR(__xludf.DUMMYFUNCTION("FILTER(colegios!$B$2:$B5618,colegios!$A$2:$A5618=L1724)"),"SAGRADO CORAZON DE JESUS")</f>
        <v>SAGRADO CORAZON DE JESUS</v>
      </c>
      <c r="F1724" s="14" t="s">
        <v>16</v>
      </c>
      <c r="G1724" s="20" t="s">
        <v>21</v>
      </c>
      <c r="H1724" s="14" t="s">
        <v>24</v>
      </c>
      <c r="I1724" s="22">
        <v>2023.0</v>
      </c>
      <c r="J1724" s="16" t="str">
        <f>IFERROR(__xludf.DUMMYFUNCTION("FILTER('CLASFICACIÓN'!$F$3:$F5618,'CLASFICACIÓN'!$G$3:$G5618=M1724)"),"LOS 3 AÑOS")</f>
        <v>LOS 3 AÑOS</v>
      </c>
      <c r="K1724" s="16"/>
      <c r="L1724" s="14" t="s">
        <v>128</v>
      </c>
      <c r="M1724" s="16" t="str">
        <f t="shared" si="1"/>
        <v>SAGRADO CORAZON DE JESUS2 Primaria</v>
      </c>
      <c r="N1724" s="17"/>
      <c r="O1724" s="17"/>
      <c r="P1724" s="17"/>
      <c r="Q1724" s="17"/>
      <c r="R1724" s="17"/>
      <c r="S1724" s="17"/>
      <c r="T1724" s="17"/>
    </row>
    <row r="1725">
      <c r="A1725" s="21">
        <v>528.0</v>
      </c>
      <c r="B1725" s="20" t="s">
        <v>48</v>
      </c>
      <c r="C1725" s="20" t="s">
        <v>14</v>
      </c>
      <c r="D1725" s="20" t="s">
        <v>15</v>
      </c>
      <c r="E1725" s="12" t="str">
        <f>IFERROR(__xludf.DUMMYFUNCTION("FILTER(colegios!$B$2:$B5618,colegios!$A$2:$A5618=L1725)"),"SAGRADO CORAZON DE JESUS")</f>
        <v>SAGRADO CORAZON DE JESUS</v>
      </c>
      <c r="F1725" s="14" t="s">
        <v>16</v>
      </c>
      <c r="G1725" s="20" t="s">
        <v>21</v>
      </c>
      <c r="H1725" s="14" t="s">
        <v>24</v>
      </c>
      <c r="I1725" s="22">
        <v>2023.0</v>
      </c>
      <c r="J1725" s="16" t="str">
        <f>IFERROR(__xludf.DUMMYFUNCTION("FILTER('CLASFICACIÓN'!$F$3:$F5618,'CLASFICACIÓN'!$G$3:$G5618=M1725)"),"LOS 3 AÑOS")</f>
        <v>LOS 3 AÑOS</v>
      </c>
      <c r="K1725" s="16"/>
      <c r="L1725" s="14" t="s">
        <v>128</v>
      </c>
      <c r="M1725" s="16" t="str">
        <f t="shared" si="1"/>
        <v>SAGRADO CORAZON DE JESUS2 Primaria</v>
      </c>
      <c r="N1725" s="17"/>
      <c r="O1725" s="17"/>
      <c r="P1725" s="17"/>
      <c r="Q1725" s="17"/>
      <c r="R1725" s="17"/>
      <c r="S1725" s="17"/>
      <c r="T1725" s="17"/>
    </row>
    <row r="1726">
      <c r="A1726" s="21">
        <v>529.0</v>
      </c>
      <c r="B1726" s="20" t="s">
        <v>48</v>
      </c>
      <c r="C1726" s="20" t="s">
        <v>14</v>
      </c>
      <c r="D1726" s="20" t="s">
        <v>15</v>
      </c>
      <c r="E1726" s="12" t="str">
        <f>IFERROR(__xludf.DUMMYFUNCTION("FILTER(colegios!$B$2:$B5618,colegios!$A$2:$A5618=L1726)"),"SAGRADO CORAZON DE JESUS")</f>
        <v>SAGRADO CORAZON DE JESUS</v>
      </c>
      <c r="F1726" s="14" t="s">
        <v>16</v>
      </c>
      <c r="G1726" s="20" t="s">
        <v>21</v>
      </c>
      <c r="H1726" s="14" t="s">
        <v>24</v>
      </c>
      <c r="I1726" s="22">
        <v>2023.0</v>
      </c>
      <c r="J1726" s="16" t="str">
        <f>IFERROR(__xludf.DUMMYFUNCTION("FILTER('CLASFICACIÓN'!$F$3:$F5618,'CLASFICACIÓN'!$G$3:$G5618=M1726)"),"LOS 3 AÑOS")</f>
        <v>LOS 3 AÑOS</v>
      </c>
      <c r="K1726" s="16"/>
      <c r="L1726" s="14" t="s">
        <v>128</v>
      </c>
      <c r="M1726" s="16" t="str">
        <f t="shared" si="1"/>
        <v>SAGRADO CORAZON DE JESUS2 Primaria</v>
      </c>
      <c r="N1726" s="17"/>
      <c r="O1726" s="17"/>
      <c r="P1726" s="17"/>
      <c r="Q1726" s="17"/>
      <c r="R1726" s="17"/>
      <c r="S1726" s="17"/>
      <c r="T1726" s="17"/>
    </row>
    <row r="1727">
      <c r="A1727" s="21">
        <v>530.0</v>
      </c>
      <c r="B1727" s="20" t="s">
        <v>48</v>
      </c>
      <c r="C1727" s="20" t="s">
        <v>14</v>
      </c>
      <c r="D1727" s="20" t="s">
        <v>15</v>
      </c>
      <c r="E1727" s="12" t="str">
        <f>IFERROR(__xludf.DUMMYFUNCTION("FILTER(colegios!$B$2:$B5618,colegios!$A$2:$A5618=L1727)"),"SAGRADO CORAZON DE JESUS")</f>
        <v>SAGRADO CORAZON DE JESUS</v>
      </c>
      <c r="F1727" s="14" t="s">
        <v>16</v>
      </c>
      <c r="G1727" s="20" t="s">
        <v>17</v>
      </c>
      <c r="H1727" s="14" t="s">
        <v>24</v>
      </c>
      <c r="I1727" s="22">
        <v>2023.0</v>
      </c>
      <c r="J1727" s="16" t="str">
        <f>IFERROR(__xludf.DUMMYFUNCTION("FILTER('CLASFICACIÓN'!$F$3:$F5618,'CLASFICACIÓN'!$G$3:$G5618=M1727)"),"LOS 3 AÑOS")</f>
        <v>LOS 3 AÑOS</v>
      </c>
      <c r="K1727" s="16"/>
      <c r="L1727" s="14" t="s">
        <v>128</v>
      </c>
      <c r="M1727" s="16" t="str">
        <f t="shared" si="1"/>
        <v>SAGRADO CORAZON DE JESUS2 Primaria</v>
      </c>
      <c r="N1727" s="17"/>
      <c r="O1727" s="17"/>
      <c r="P1727" s="17"/>
      <c r="Q1727" s="17"/>
      <c r="R1727" s="17"/>
      <c r="S1727" s="17"/>
      <c r="T1727" s="17"/>
    </row>
    <row r="1728">
      <c r="A1728" s="21">
        <v>531.0</v>
      </c>
      <c r="B1728" s="20" t="s">
        <v>48</v>
      </c>
      <c r="C1728" s="20" t="s">
        <v>14</v>
      </c>
      <c r="D1728" s="20" t="s">
        <v>15</v>
      </c>
      <c r="E1728" s="12" t="str">
        <f>IFERROR(__xludf.DUMMYFUNCTION("FILTER(colegios!$B$2:$B5618,colegios!$A$2:$A5618=L1728)"),"SAGRADO CORAZON DE JESUS")</f>
        <v>SAGRADO CORAZON DE JESUS</v>
      </c>
      <c r="F1728" s="14" t="s">
        <v>16</v>
      </c>
      <c r="G1728" s="20" t="s">
        <v>17</v>
      </c>
      <c r="H1728" s="14" t="s">
        <v>24</v>
      </c>
      <c r="I1728" s="22">
        <v>2023.0</v>
      </c>
      <c r="J1728" s="16" t="str">
        <f>IFERROR(__xludf.DUMMYFUNCTION("FILTER('CLASFICACIÓN'!$F$3:$F5618,'CLASFICACIÓN'!$G$3:$G5618=M1728)"),"LOS 3 AÑOS")</f>
        <v>LOS 3 AÑOS</v>
      </c>
      <c r="K1728" s="16"/>
      <c r="L1728" s="14" t="s">
        <v>128</v>
      </c>
      <c r="M1728" s="16" t="str">
        <f t="shared" si="1"/>
        <v>SAGRADO CORAZON DE JESUS2 Primaria</v>
      </c>
      <c r="N1728" s="17"/>
      <c r="O1728" s="17"/>
      <c r="P1728" s="17"/>
      <c r="Q1728" s="17"/>
      <c r="R1728" s="17"/>
      <c r="S1728" s="17"/>
      <c r="T1728" s="17"/>
    </row>
    <row r="1729">
      <c r="A1729" s="21">
        <v>532.0</v>
      </c>
      <c r="B1729" s="20" t="s">
        <v>48</v>
      </c>
      <c r="C1729" s="20" t="s">
        <v>14</v>
      </c>
      <c r="D1729" s="20" t="s">
        <v>20</v>
      </c>
      <c r="E1729" s="12" t="str">
        <f>IFERROR(__xludf.DUMMYFUNCTION("FILTER(colegios!$B$2:$B5618,colegios!$A$2:$A5618=L1729)"),"SAGRADO CORAZON DE JESUS")</f>
        <v>SAGRADO CORAZON DE JESUS</v>
      </c>
      <c r="F1729" s="14" t="s">
        <v>16</v>
      </c>
      <c r="G1729" s="20" t="s">
        <v>17</v>
      </c>
      <c r="H1729" s="14" t="s">
        <v>24</v>
      </c>
      <c r="I1729" s="22">
        <v>2023.0</v>
      </c>
      <c r="J1729" s="16" t="str">
        <f>IFERROR(__xludf.DUMMYFUNCTION("FILTER('CLASFICACIÓN'!$F$3:$F5618,'CLASFICACIÓN'!$G$3:$G5618=M1729)"),"LOS 3 AÑOS")</f>
        <v>LOS 3 AÑOS</v>
      </c>
      <c r="K1729" s="16"/>
      <c r="L1729" s="14" t="s">
        <v>128</v>
      </c>
      <c r="M1729" s="16" t="str">
        <f t="shared" si="1"/>
        <v>SAGRADO CORAZON DE JESUS4 Primaria</v>
      </c>
      <c r="N1729" s="17"/>
      <c r="O1729" s="17"/>
      <c r="P1729" s="17"/>
      <c r="Q1729" s="17"/>
      <c r="R1729" s="17"/>
      <c r="S1729" s="17"/>
      <c r="T1729" s="17"/>
    </row>
    <row r="1730">
      <c r="A1730" s="21">
        <v>533.0</v>
      </c>
      <c r="B1730" s="20" t="s">
        <v>48</v>
      </c>
      <c r="C1730" s="20" t="s">
        <v>14</v>
      </c>
      <c r="D1730" s="20" t="s">
        <v>20</v>
      </c>
      <c r="E1730" s="12" t="str">
        <f>IFERROR(__xludf.DUMMYFUNCTION("FILTER(colegios!$B$2:$B5618,colegios!$A$2:$A5618=L1730)"),"SAGRADO CORAZON DE JESUS")</f>
        <v>SAGRADO CORAZON DE JESUS</v>
      </c>
      <c r="F1730" s="14" t="s">
        <v>16</v>
      </c>
      <c r="G1730" s="20" t="s">
        <v>21</v>
      </c>
      <c r="H1730" s="14" t="s">
        <v>24</v>
      </c>
      <c r="I1730" s="22">
        <v>2023.0</v>
      </c>
      <c r="J1730" s="16" t="str">
        <f>IFERROR(__xludf.DUMMYFUNCTION("FILTER('CLASFICACIÓN'!$F$3:$F5618,'CLASFICACIÓN'!$G$3:$G5618=M1730)"),"LOS 3 AÑOS")</f>
        <v>LOS 3 AÑOS</v>
      </c>
      <c r="K1730" s="16"/>
      <c r="L1730" s="14" t="s">
        <v>128</v>
      </c>
      <c r="M1730" s="16" t="str">
        <f t="shared" si="1"/>
        <v>SAGRADO CORAZON DE JESUS4 Primaria</v>
      </c>
      <c r="N1730" s="17"/>
      <c r="O1730" s="17"/>
      <c r="P1730" s="17"/>
      <c r="Q1730" s="17"/>
      <c r="R1730" s="17"/>
      <c r="S1730" s="17"/>
      <c r="T1730" s="17"/>
    </row>
    <row r="1731">
      <c r="A1731" s="21">
        <v>534.0</v>
      </c>
      <c r="B1731" s="20" t="s">
        <v>48</v>
      </c>
      <c r="C1731" s="20" t="s">
        <v>14</v>
      </c>
      <c r="D1731" s="20" t="s">
        <v>20</v>
      </c>
      <c r="E1731" s="12" t="str">
        <f>IFERROR(__xludf.DUMMYFUNCTION("FILTER(colegios!$B$2:$B5618,colegios!$A$2:$A5618=L1731)"),"SAGRADO CORAZON DE JESUS")</f>
        <v>SAGRADO CORAZON DE JESUS</v>
      </c>
      <c r="F1731" s="14" t="s">
        <v>16</v>
      </c>
      <c r="G1731" s="20" t="s">
        <v>21</v>
      </c>
      <c r="H1731" s="14" t="s">
        <v>24</v>
      </c>
      <c r="I1731" s="22">
        <v>2023.0</v>
      </c>
      <c r="J1731" s="16" t="str">
        <f>IFERROR(__xludf.DUMMYFUNCTION("FILTER('CLASFICACIÓN'!$F$3:$F5618,'CLASFICACIÓN'!$G$3:$G5618=M1731)"),"LOS 3 AÑOS")</f>
        <v>LOS 3 AÑOS</v>
      </c>
      <c r="K1731" s="16"/>
      <c r="L1731" s="14" t="s">
        <v>128</v>
      </c>
      <c r="M1731" s="16" t="str">
        <f t="shared" si="1"/>
        <v>SAGRADO CORAZON DE JESUS4 Primaria</v>
      </c>
      <c r="N1731" s="17"/>
      <c r="O1731" s="17"/>
      <c r="P1731" s="17"/>
      <c r="Q1731" s="17"/>
      <c r="R1731" s="17"/>
      <c r="S1731" s="17"/>
      <c r="T1731" s="17"/>
    </row>
    <row r="1732">
      <c r="A1732" s="21">
        <v>535.0</v>
      </c>
      <c r="B1732" s="20" t="s">
        <v>48</v>
      </c>
      <c r="C1732" s="20" t="s">
        <v>14</v>
      </c>
      <c r="D1732" s="20" t="s">
        <v>20</v>
      </c>
      <c r="E1732" s="12" t="str">
        <f>IFERROR(__xludf.DUMMYFUNCTION("FILTER(colegios!$B$2:$B5618,colegios!$A$2:$A5618=L1732)"),"SAGRADO CORAZON DE JESUS")</f>
        <v>SAGRADO CORAZON DE JESUS</v>
      </c>
      <c r="F1732" s="14" t="s">
        <v>16</v>
      </c>
      <c r="G1732" s="20" t="s">
        <v>21</v>
      </c>
      <c r="H1732" s="14" t="s">
        <v>24</v>
      </c>
      <c r="I1732" s="22">
        <v>2023.0</v>
      </c>
      <c r="J1732" s="16" t="str">
        <f>IFERROR(__xludf.DUMMYFUNCTION("FILTER('CLASFICACIÓN'!$F$3:$F5618,'CLASFICACIÓN'!$G$3:$G5618=M1732)"),"LOS 3 AÑOS")</f>
        <v>LOS 3 AÑOS</v>
      </c>
      <c r="K1732" s="16"/>
      <c r="L1732" s="14" t="s">
        <v>128</v>
      </c>
      <c r="M1732" s="16" t="str">
        <f t="shared" si="1"/>
        <v>SAGRADO CORAZON DE JESUS4 Primaria</v>
      </c>
      <c r="N1732" s="17"/>
      <c r="O1732" s="17"/>
      <c r="P1732" s="17"/>
      <c r="Q1732" s="17"/>
      <c r="R1732" s="17"/>
      <c r="S1732" s="17"/>
      <c r="T1732" s="17"/>
    </row>
    <row r="1733">
      <c r="A1733" s="21">
        <v>536.0</v>
      </c>
      <c r="B1733" s="20" t="s">
        <v>48</v>
      </c>
      <c r="C1733" s="20" t="s">
        <v>14</v>
      </c>
      <c r="D1733" s="20" t="s">
        <v>20</v>
      </c>
      <c r="E1733" s="12" t="str">
        <f>IFERROR(__xludf.DUMMYFUNCTION("FILTER(colegios!$B$2:$B5618,colegios!$A$2:$A5618=L1733)"),"SAGRADO CORAZON DE JESUS")</f>
        <v>SAGRADO CORAZON DE JESUS</v>
      </c>
      <c r="F1733" s="14" t="s">
        <v>16</v>
      </c>
      <c r="G1733" s="20" t="s">
        <v>21</v>
      </c>
      <c r="H1733" s="14" t="s">
        <v>32</v>
      </c>
      <c r="I1733" s="22">
        <v>2023.0</v>
      </c>
      <c r="J1733" s="16" t="str">
        <f>IFERROR(__xludf.DUMMYFUNCTION("FILTER('CLASFICACIÓN'!$F$3:$F5618,'CLASFICACIÓN'!$G$3:$G5618=M1733)"),"LOS 3 AÑOS")</f>
        <v>LOS 3 AÑOS</v>
      </c>
      <c r="K1733" s="16"/>
      <c r="L1733" s="14" t="s">
        <v>128</v>
      </c>
      <c r="M1733" s="16" t="str">
        <f t="shared" si="1"/>
        <v>SAGRADO CORAZON DE JESUS4 Primaria</v>
      </c>
      <c r="N1733" s="17"/>
      <c r="O1733" s="17"/>
      <c r="P1733" s="17"/>
      <c r="Q1733" s="17"/>
      <c r="R1733" s="17"/>
      <c r="S1733" s="17"/>
      <c r="T1733" s="17"/>
    </row>
    <row r="1734">
      <c r="A1734" s="21">
        <v>537.0</v>
      </c>
      <c r="B1734" s="20" t="s">
        <v>48</v>
      </c>
      <c r="C1734" s="20" t="s">
        <v>14</v>
      </c>
      <c r="D1734" s="20" t="s">
        <v>20</v>
      </c>
      <c r="E1734" s="12" t="str">
        <f>IFERROR(__xludf.DUMMYFUNCTION("FILTER(colegios!$B$2:$B5618,colegios!$A$2:$A5618=L1734)"),"SAGRADO CORAZON DE JESUS")</f>
        <v>SAGRADO CORAZON DE JESUS</v>
      </c>
      <c r="F1734" s="14" t="s">
        <v>16</v>
      </c>
      <c r="G1734" s="20" t="s">
        <v>17</v>
      </c>
      <c r="H1734" s="14" t="s">
        <v>24</v>
      </c>
      <c r="I1734" s="22">
        <v>2023.0</v>
      </c>
      <c r="J1734" s="16" t="str">
        <f>IFERROR(__xludf.DUMMYFUNCTION("FILTER('CLASFICACIÓN'!$F$3:$F5618,'CLASFICACIÓN'!$G$3:$G5618=M1734)"),"LOS 3 AÑOS")</f>
        <v>LOS 3 AÑOS</v>
      </c>
      <c r="K1734" s="16"/>
      <c r="L1734" s="14" t="s">
        <v>128</v>
      </c>
      <c r="M1734" s="16" t="str">
        <f t="shared" si="1"/>
        <v>SAGRADO CORAZON DE JESUS4 Primaria</v>
      </c>
      <c r="N1734" s="17"/>
      <c r="O1734" s="17"/>
      <c r="P1734" s="17"/>
      <c r="Q1734" s="17"/>
      <c r="R1734" s="17"/>
      <c r="S1734" s="17"/>
      <c r="T1734" s="17"/>
    </row>
    <row r="1735">
      <c r="A1735" s="21">
        <v>538.0</v>
      </c>
      <c r="B1735" s="20" t="s">
        <v>48</v>
      </c>
      <c r="C1735" s="20" t="s">
        <v>14</v>
      </c>
      <c r="D1735" s="20" t="s">
        <v>20</v>
      </c>
      <c r="E1735" s="12" t="str">
        <f>IFERROR(__xludf.DUMMYFUNCTION("FILTER(colegios!$B$2:$B5618,colegios!$A$2:$A5618=L1735)"),"SAGRADO CORAZON DE JESUS")</f>
        <v>SAGRADO CORAZON DE JESUS</v>
      </c>
      <c r="F1735" s="14" t="s">
        <v>16</v>
      </c>
      <c r="G1735" s="20" t="s">
        <v>17</v>
      </c>
      <c r="H1735" s="14" t="s">
        <v>24</v>
      </c>
      <c r="I1735" s="22">
        <v>2023.0</v>
      </c>
      <c r="J1735" s="16" t="str">
        <f>IFERROR(__xludf.DUMMYFUNCTION("FILTER('CLASFICACIÓN'!$F$3:$F5618,'CLASFICACIÓN'!$G$3:$G5618=M1735)"),"LOS 3 AÑOS")</f>
        <v>LOS 3 AÑOS</v>
      </c>
      <c r="K1735" s="16"/>
      <c r="L1735" s="14" t="s">
        <v>128</v>
      </c>
      <c r="M1735" s="16" t="str">
        <f t="shared" si="1"/>
        <v>SAGRADO CORAZON DE JESUS4 Primaria</v>
      </c>
      <c r="N1735" s="17"/>
      <c r="O1735" s="17"/>
      <c r="P1735" s="17"/>
      <c r="Q1735" s="17"/>
      <c r="R1735" s="17"/>
      <c r="S1735" s="17"/>
      <c r="T1735" s="17"/>
    </row>
    <row r="1736">
      <c r="A1736" s="21">
        <v>539.0</v>
      </c>
      <c r="B1736" s="20" t="s">
        <v>48</v>
      </c>
      <c r="C1736" s="20" t="s">
        <v>14</v>
      </c>
      <c r="D1736" s="20" t="s">
        <v>20</v>
      </c>
      <c r="E1736" s="12" t="str">
        <f>IFERROR(__xludf.DUMMYFUNCTION("FILTER(colegios!$B$2:$B5618,colegios!$A$2:$A5618=L1736)"),"SAGRADO CORAZON DE JESUS")</f>
        <v>SAGRADO CORAZON DE JESUS</v>
      </c>
      <c r="F1736" s="14" t="s">
        <v>16</v>
      </c>
      <c r="G1736" s="20" t="s">
        <v>21</v>
      </c>
      <c r="H1736" s="14" t="s">
        <v>24</v>
      </c>
      <c r="I1736" s="22">
        <v>2023.0</v>
      </c>
      <c r="J1736" s="16" t="str">
        <f>IFERROR(__xludf.DUMMYFUNCTION("FILTER('CLASFICACIÓN'!$F$3:$F5618,'CLASFICACIÓN'!$G$3:$G5618=M1736)"),"LOS 3 AÑOS")</f>
        <v>LOS 3 AÑOS</v>
      </c>
      <c r="K1736" s="16"/>
      <c r="L1736" s="14" t="s">
        <v>128</v>
      </c>
      <c r="M1736" s="16" t="str">
        <f t="shared" si="1"/>
        <v>SAGRADO CORAZON DE JESUS4 Primaria</v>
      </c>
      <c r="N1736" s="17"/>
      <c r="O1736" s="17"/>
      <c r="P1736" s="17"/>
      <c r="Q1736" s="17"/>
      <c r="R1736" s="17"/>
      <c r="S1736" s="17"/>
      <c r="T1736" s="17"/>
    </row>
    <row r="1737">
      <c r="A1737" s="21">
        <v>540.0</v>
      </c>
      <c r="B1737" s="20" t="s">
        <v>48</v>
      </c>
      <c r="C1737" s="20" t="s">
        <v>14</v>
      </c>
      <c r="D1737" s="20" t="s">
        <v>20</v>
      </c>
      <c r="E1737" s="12" t="str">
        <f>IFERROR(__xludf.DUMMYFUNCTION("FILTER(colegios!$B$2:$B5618,colegios!$A$2:$A5618=L1737)"),"SAGRADO CORAZON DE JESUS")</f>
        <v>SAGRADO CORAZON DE JESUS</v>
      </c>
      <c r="F1737" s="14" t="s">
        <v>16</v>
      </c>
      <c r="G1737" s="20" t="s">
        <v>17</v>
      </c>
      <c r="H1737" s="14" t="s">
        <v>18</v>
      </c>
      <c r="I1737" s="22">
        <v>2023.0</v>
      </c>
      <c r="J1737" s="16" t="str">
        <f>IFERROR(__xludf.DUMMYFUNCTION("FILTER('CLASFICACIÓN'!$F$3:$F5618,'CLASFICACIÓN'!$G$3:$G5618=M1737)"),"LOS 3 AÑOS")</f>
        <v>LOS 3 AÑOS</v>
      </c>
      <c r="K1737" s="16"/>
      <c r="L1737" s="14" t="s">
        <v>128</v>
      </c>
      <c r="M1737" s="16" t="str">
        <f t="shared" si="1"/>
        <v>SAGRADO CORAZON DE JESUS4 Primaria</v>
      </c>
      <c r="N1737" s="17"/>
      <c r="O1737" s="17"/>
      <c r="P1737" s="17"/>
      <c r="Q1737" s="17"/>
      <c r="R1737" s="17"/>
      <c r="S1737" s="17"/>
      <c r="T1737" s="17"/>
    </row>
    <row r="1738">
      <c r="A1738" s="21">
        <v>541.0</v>
      </c>
      <c r="B1738" s="20" t="s">
        <v>48</v>
      </c>
      <c r="C1738" s="20" t="s">
        <v>14</v>
      </c>
      <c r="D1738" s="20" t="s">
        <v>20</v>
      </c>
      <c r="E1738" s="12" t="str">
        <f>IFERROR(__xludf.DUMMYFUNCTION("FILTER(colegios!$B$2:$B5618,colegios!$A$2:$A5618=L1738)"),"SAGRADO CORAZON DE JESUS")</f>
        <v>SAGRADO CORAZON DE JESUS</v>
      </c>
      <c r="F1738" s="14" t="s">
        <v>16</v>
      </c>
      <c r="G1738" s="20" t="s">
        <v>21</v>
      </c>
      <c r="H1738" s="14" t="s">
        <v>24</v>
      </c>
      <c r="I1738" s="22">
        <v>2023.0</v>
      </c>
      <c r="J1738" s="16" t="str">
        <f>IFERROR(__xludf.DUMMYFUNCTION("FILTER('CLASFICACIÓN'!$F$3:$F5618,'CLASFICACIÓN'!$G$3:$G5618=M1738)"),"LOS 3 AÑOS")</f>
        <v>LOS 3 AÑOS</v>
      </c>
      <c r="K1738" s="16"/>
      <c r="L1738" s="14" t="s">
        <v>128</v>
      </c>
      <c r="M1738" s="16" t="str">
        <f t="shared" si="1"/>
        <v>SAGRADO CORAZON DE JESUS4 Primaria</v>
      </c>
      <c r="N1738" s="17"/>
      <c r="O1738" s="17"/>
      <c r="P1738" s="17"/>
      <c r="Q1738" s="17"/>
      <c r="R1738" s="17"/>
      <c r="S1738" s="17"/>
      <c r="T1738" s="17"/>
    </row>
    <row r="1739">
      <c r="A1739" s="21">
        <v>542.0</v>
      </c>
      <c r="B1739" s="20" t="s">
        <v>48</v>
      </c>
      <c r="C1739" s="20" t="s">
        <v>14</v>
      </c>
      <c r="D1739" s="20" t="s">
        <v>20</v>
      </c>
      <c r="E1739" s="12" t="str">
        <f>IFERROR(__xludf.DUMMYFUNCTION("FILTER(colegios!$B$2:$B5618,colegios!$A$2:$A5618=L1739)"),"SAGRADO CORAZON DE JESUS")</f>
        <v>SAGRADO CORAZON DE JESUS</v>
      </c>
      <c r="F1739" s="14" t="s">
        <v>16</v>
      </c>
      <c r="G1739" s="20" t="s">
        <v>17</v>
      </c>
      <c r="H1739" s="14" t="s">
        <v>24</v>
      </c>
      <c r="I1739" s="22">
        <v>2023.0</v>
      </c>
      <c r="J1739" s="16" t="str">
        <f>IFERROR(__xludf.DUMMYFUNCTION("FILTER('CLASFICACIÓN'!$F$3:$F5618,'CLASFICACIÓN'!$G$3:$G5618=M1739)"),"LOS 3 AÑOS")</f>
        <v>LOS 3 AÑOS</v>
      </c>
      <c r="K1739" s="16"/>
      <c r="L1739" s="14" t="s">
        <v>128</v>
      </c>
      <c r="M1739" s="16" t="str">
        <f t="shared" si="1"/>
        <v>SAGRADO CORAZON DE JESUS4 Primaria</v>
      </c>
      <c r="N1739" s="17"/>
      <c r="O1739" s="17"/>
      <c r="P1739" s="17"/>
      <c r="Q1739" s="17"/>
      <c r="R1739" s="17"/>
      <c r="S1739" s="17"/>
      <c r="T1739" s="17"/>
    </row>
    <row r="1740">
      <c r="A1740" s="21">
        <v>543.0</v>
      </c>
      <c r="B1740" s="20" t="s">
        <v>48</v>
      </c>
      <c r="C1740" s="20" t="s">
        <v>14</v>
      </c>
      <c r="D1740" s="20" t="s">
        <v>20</v>
      </c>
      <c r="E1740" s="12" t="str">
        <f>IFERROR(__xludf.DUMMYFUNCTION("FILTER(colegios!$B$2:$B5618,colegios!$A$2:$A5618=L1740)"),"SAGRADO CORAZON DE JESUS")</f>
        <v>SAGRADO CORAZON DE JESUS</v>
      </c>
      <c r="F1740" s="14" t="s">
        <v>16</v>
      </c>
      <c r="G1740" s="20" t="s">
        <v>21</v>
      </c>
      <c r="H1740" s="14" t="s">
        <v>24</v>
      </c>
      <c r="I1740" s="22">
        <v>2023.0</v>
      </c>
      <c r="J1740" s="16" t="str">
        <f>IFERROR(__xludf.DUMMYFUNCTION("FILTER('CLASFICACIÓN'!$F$3:$F5618,'CLASFICACIÓN'!$G$3:$G5618=M1740)"),"LOS 3 AÑOS")</f>
        <v>LOS 3 AÑOS</v>
      </c>
      <c r="K1740" s="16"/>
      <c r="L1740" s="14" t="s">
        <v>128</v>
      </c>
      <c r="M1740" s="16" t="str">
        <f t="shared" si="1"/>
        <v>SAGRADO CORAZON DE JESUS4 Primaria</v>
      </c>
      <c r="N1740" s="17"/>
      <c r="O1740" s="17"/>
      <c r="P1740" s="17"/>
      <c r="Q1740" s="17"/>
      <c r="R1740" s="17"/>
      <c r="S1740" s="17"/>
      <c r="T1740" s="17"/>
    </row>
    <row r="1741">
      <c r="A1741" s="21">
        <v>544.0</v>
      </c>
      <c r="B1741" s="20" t="s">
        <v>48</v>
      </c>
      <c r="C1741" s="20" t="s">
        <v>14</v>
      </c>
      <c r="D1741" s="20" t="s">
        <v>20</v>
      </c>
      <c r="E1741" s="12" t="str">
        <f>IFERROR(__xludf.DUMMYFUNCTION("FILTER(colegios!$B$2:$B5618,colegios!$A$2:$A5618=L1741)"),"SAGRADO CORAZON DE JESUS")</f>
        <v>SAGRADO CORAZON DE JESUS</v>
      </c>
      <c r="F1741" s="14" t="s">
        <v>16</v>
      </c>
      <c r="G1741" s="20" t="s">
        <v>21</v>
      </c>
      <c r="H1741" s="14" t="s">
        <v>18</v>
      </c>
      <c r="I1741" s="22">
        <v>2023.0</v>
      </c>
      <c r="J1741" s="16" t="str">
        <f>IFERROR(__xludf.DUMMYFUNCTION("FILTER('CLASFICACIÓN'!$F$3:$F5618,'CLASFICACIÓN'!$G$3:$G5618=M1741)"),"LOS 3 AÑOS")</f>
        <v>LOS 3 AÑOS</v>
      </c>
      <c r="K1741" s="16"/>
      <c r="L1741" s="14" t="s">
        <v>128</v>
      </c>
      <c r="M1741" s="16" t="str">
        <f t="shared" si="1"/>
        <v>SAGRADO CORAZON DE JESUS4 Primaria</v>
      </c>
      <c r="N1741" s="17"/>
      <c r="O1741" s="17"/>
      <c r="P1741" s="17"/>
      <c r="Q1741" s="17"/>
      <c r="R1741" s="17"/>
      <c r="S1741" s="17"/>
      <c r="T1741" s="17"/>
    </row>
    <row r="1742">
      <c r="A1742" s="21">
        <v>545.0</v>
      </c>
      <c r="B1742" s="20" t="s">
        <v>48</v>
      </c>
      <c r="C1742" s="20" t="s">
        <v>14</v>
      </c>
      <c r="D1742" s="20" t="s">
        <v>20</v>
      </c>
      <c r="E1742" s="12" t="str">
        <f>IFERROR(__xludf.DUMMYFUNCTION("FILTER(colegios!$B$2:$B5618,colegios!$A$2:$A5618=L1742)"),"SAGRADO CORAZON DE JESUS")</f>
        <v>SAGRADO CORAZON DE JESUS</v>
      </c>
      <c r="F1742" s="14" t="s">
        <v>16</v>
      </c>
      <c r="G1742" s="20" t="s">
        <v>17</v>
      </c>
      <c r="H1742" s="14" t="s">
        <v>24</v>
      </c>
      <c r="I1742" s="22">
        <v>2023.0</v>
      </c>
      <c r="J1742" s="16" t="str">
        <f>IFERROR(__xludf.DUMMYFUNCTION("FILTER('CLASFICACIÓN'!$F$3:$F5618,'CLASFICACIÓN'!$G$3:$G5618=M1742)"),"LOS 3 AÑOS")</f>
        <v>LOS 3 AÑOS</v>
      </c>
      <c r="K1742" s="16"/>
      <c r="L1742" s="14" t="s">
        <v>128</v>
      </c>
      <c r="M1742" s="16" t="str">
        <f t="shared" si="1"/>
        <v>SAGRADO CORAZON DE JESUS4 Primaria</v>
      </c>
      <c r="N1742" s="17"/>
      <c r="O1742" s="17"/>
      <c r="P1742" s="17"/>
      <c r="Q1742" s="17"/>
      <c r="R1742" s="17"/>
      <c r="S1742" s="17"/>
      <c r="T1742" s="17"/>
    </row>
    <row r="1743">
      <c r="A1743" s="21">
        <v>546.0</v>
      </c>
      <c r="B1743" s="20" t="s">
        <v>48</v>
      </c>
      <c r="C1743" s="20" t="s">
        <v>14</v>
      </c>
      <c r="D1743" s="20" t="s">
        <v>20</v>
      </c>
      <c r="E1743" s="12" t="str">
        <f>IFERROR(__xludf.DUMMYFUNCTION("FILTER(colegios!$B$2:$B5618,colegios!$A$2:$A5618=L1743)"),"SAGRADO CORAZON DE JESUS")</f>
        <v>SAGRADO CORAZON DE JESUS</v>
      </c>
      <c r="F1743" s="14" t="s">
        <v>16</v>
      </c>
      <c r="G1743" s="20" t="s">
        <v>17</v>
      </c>
      <c r="H1743" s="14" t="s">
        <v>24</v>
      </c>
      <c r="I1743" s="22">
        <v>2023.0</v>
      </c>
      <c r="J1743" s="16" t="str">
        <f>IFERROR(__xludf.DUMMYFUNCTION("FILTER('CLASFICACIÓN'!$F$3:$F5618,'CLASFICACIÓN'!$G$3:$G5618=M1743)"),"LOS 3 AÑOS")</f>
        <v>LOS 3 AÑOS</v>
      </c>
      <c r="K1743" s="16"/>
      <c r="L1743" s="14" t="s">
        <v>128</v>
      </c>
      <c r="M1743" s="16" t="str">
        <f t="shared" si="1"/>
        <v>SAGRADO CORAZON DE JESUS4 Primaria</v>
      </c>
      <c r="N1743" s="17"/>
      <c r="O1743" s="17"/>
      <c r="P1743" s="17"/>
      <c r="Q1743" s="17"/>
      <c r="R1743" s="17"/>
      <c r="S1743" s="17"/>
      <c r="T1743" s="17"/>
    </row>
    <row r="1744">
      <c r="A1744" s="21">
        <v>547.0</v>
      </c>
      <c r="B1744" s="20" t="s">
        <v>48</v>
      </c>
      <c r="C1744" s="20" t="s">
        <v>14</v>
      </c>
      <c r="D1744" s="20" t="s">
        <v>20</v>
      </c>
      <c r="E1744" s="12" t="str">
        <f>IFERROR(__xludf.DUMMYFUNCTION("FILTER(colegios!$B$2:$B5618,colegios!$A$2:$A5618=L1744)"),"SAGRADO CORAZON DE JESUS")</f>
        <v>SAGRADO CORAZON DE JESUS</v>
      </c>
      <c r="F1744" s="14" t="s">
        <v>16</v>
      </c>
      <c r="G1744" s="20" t="s">
        <v>17</v>
      </c>
      <c r="H1744" s="14" t="s">
        <v>18</v>
      </c>
      <c r="I1744" s="22">
        <v>2023.0</v>
      </c>
      <c r="J1744" s="16" t="str">
        <f>IFERROR(__xludf.DUMMYFUNCTION("FILTER('CLASFICACIÓN'!$F$3:$F5618,'CLASFICACIÓN'!$G$3:$G5618=M1744)"),"LOS 3 AÑOS")</f>
        <v>LOS 3 AÑOS</v>
      </c>
      <c r="K1744" s="16"/>
      <c r="L1744" s="14" t="s">
        <v>128</v>
      </c>
      <c r="M1744" s="16" t="str">
        <f t="shared" si="1"/>
        <v>SAGRADO CORAZON DE JESUS4 Primaria</v>
      </c>
      <c r="N1744" s="17"/>
      <c r="O1744" s="17"/>
      <c r="P1744" s="17"/>
      <c r="Q1744" s="17"/>
      <c r="R1744" s="17"/>
      <c r="S1744" s="17"/>
      <c r="T1744" s="17"/>
    </row>
    <row r="1745">
      <c r="A1745" s="21">
        <v>548.0</v>
      </c>
      <c r="B1745" s="20" t="s">
        <v>48</v>
      </c>
      <c r="C1745" s="20" t="s">
        <v>14</v>
      </c>
      <c r="D1745" s="20" t="s">
        <v>20</v>
      </c>
      <c r="E1745" s="12" t="str">
        <f>IFERROR(__xludf.DUMMYFUNCTION("FILTER(colegios!$B$2:$B5618,colegios!$A$2:$A5618=L1745)"),"SAGRADO CORAZON DE JESUS")</f>
        <v>SAGRADO CORAZON DE JESUS</v>
      </c>
      <c r="F1745" s="14" t="s">
        <v>16</v>
      </c>
      <c r="G1745" s="20" t="s">
        <v>17</v>
      </c>
      <c r="H1745" s="14" t="s">
        <v>18</v>
      </c>
      <c r="I1745" s="22">
        <v>2023.0</v>
      </c>
      <c r="J1745" s="16" t="str">
        <f>IFERROR(__xludf.DUMMYFUNCTION("FILTER('CLASFICACIÓN'!$F$3:$F5618,'CLASFICACIÓN'!$G$3:$G5618=M1745)"),"LOS 3 AÑOS")</f>
        <v>LOS 3 AÑOS</v>
      </c>
      <c r="K1745" s="16"/>
      <c r="L1745" s="14" t="s">
        <v>128</v>
      </c>
      <c r="M1745" s="16" t="str">
        <f t="shared" si="1"/>
        <v>SAGRADO CORAZON DE JESUS4 Primaria</v>
      </c>
      <c r="N1745" s="17"/>
      <c r="O1745" s="17"/>
      <c r="P1745" s="17"/>
      <c r="Q1745" s="17"/>
      <c r="R1745" s="17"/>
      <c r="S1745" s="17"/>
      <c r="T1745" s="17"/>
    </row>
    <row r="1746">
      <c r="A1746" s="21">
        <v>549.0</v>
      </c>
      <c r="B1746" s="20" t="s">
        <v>48</v>
      </c>
      <c r="C1746" s="20" t="s">
        <v>14</v>
      </c>
      <c r="D1746" s="20" t="s">
        <v>20</v>
      </c>
      <c r="E1746" s="12" t="str">
        <f>IFERROR(__xludf.DUMMYFUNCTION("FILTER(colegios!$B$2:$B5618,colegios!$A$2:$A5618=L1746)"),"SAGRADO CORAZON DE JESUS")</f>
        <v>SAGRADO CORAZON DE JESUS</v>
      </c>
      <c r="F1746" s="14" t="s">
        <v>16</v>
      </c>
      <c r="G1746" s="20" t="s">
        <v>17</v>
      </c>
      <c r="H1746" s="14" t="s">
        <v>24</v>
      </c>
      <c r="I1746" s="22">
        <v>2023.0</v>
      </c>
      <c r="J1746" s="16" t="str">
        <f>IFERROR(__xludf.DUMMYFUNCTION("FILTER('CLASFICACIÓN'!$F$3:$F5618,'CLASFICACIÓN'!$G$3:$G5618=M1746)"),"LOS 3 AÑOS")</f>
        <v>LOS 3 AÑOS</v>
      </c>
      <c r="K1746" s="16"/>
      <c r="L1746" s="14" t="s">
        <v>128</v>
      </c>
      <c r="M1746" s="16" t="str">
        <f t="shared" si="1"/>
        <v>SAGRADO CORAZON DE JESUS4 Primaria</v>
      </c>
      <c r="N1746" s="17"/>
      <c r="O1746" s="17"/>
      <c r="P1746" s="17"/>
      <c r="Q1746" s="17"/>
      <c r="R1746" s="17"/>
      <c r="S1746" s="17"/>
      <c r="T1746" s="17"/>
    </row>
    <row r="1747">
      <c r="A1747" s="21">
        <v>550.0</v>
      </c>
      <c r="B1747" s="20" t="s">
        <v>48</v>
      </c>
      <c r="C1747" s="20" t="s">
        <v>14</v>
      </c>
      <c r="D1747" s="20" t="s">
        <v>20</v>
      </c>
      <c r="E1747" s="12" t="str">
        <f>IFERROR(__xludf.DUMMYFUNCTION("FILTER(colegios!$B$2:$B5618,colegios!$A$2:$A5618=L1747)"),"SAGRADO CORAZON DE JESUS")</f>
        <v>SAGRADO CORAZON DE JESUS</v>
      </c>
      <c r="F1747" s="14" t="s">
        <v>16</v>
      </c>
      <c r="G1747" s="20" t="s">
        <v>21</v>
      </c>
      <c r="H1747" s="14" t="s">
        <v>24</v>
      </c>
      <c r="I1747" s="22">
        <v>2023.0</v>
      </c>
      <c r="J1747" s="16" t="str">
        <f>IFERROR(__xludf.DUMMYFUNCTION("FILTER('CLASFICACIÓN'!$F$3:$F5618,'CLASFICACIÓN'!$G$3:$G5618=M1747)"),"LOS 3 AÑOS")</f>
        <v>LOS 3 AÑOS</v>
      </c>
      <c r="K1747" s="16"/>
      <c r="L1747" s="14" t="s">
        <v>128</v>
      </c>
      <c r="M1747" s="16" t="str">
        <f t="shared" si="1"/>
        <v>SAGRADO CORAZON DE JESUS4 Primaria</v>
      </c>
      <c r="N1747" s="17"/>
      <c r="O1747" s="17"/>
      <c r="P1747" s="17"/>
      <c r="Q1747" s="17"/>
      <c r="R1747" s="17"/>
      <c r="S1747" s="17"/>
      <c r="T1747" s="17"/>
    </row>
    <row r="1748">
      <c r="A1748" s="21">
        <v>551.0</v>
      </c>
      <c r="B1748" s="20" t="s">
        <v>48</v>
      </c>
      <c r="C1748" s="20" t="s">
        <v>14</v>
      </c>
      <c r="D1748" s="20" t="s">
        <v>20</v>
      </c>
      <c r="E1748" s="12" t="str">
        <f>IFERROR(__xludf.DUMMYFUNCTION("FILTER(colegios!$B$2:$B5618,colegios!$A$2:$A5618=L1748)"),"SAGRADO CORAZON DE JESUS")</f>
        <v>SAGRADO CORAZON DE JESUS</v>
      </c>
      <c r="F1748" s="14" t="s">
        <v>16</v>
      </c>
      <c r="G1748" s="20" t="s">
        <v>21</v>
      </c>
      <c r="H1748" s="14" t="s">
        <v>24</v>
      </c>
      <c r="I1748" s="22">
        <v>2023.0</v>
      </c>
      <c r="J1748" s="16" t="str">
        <f>IFERROR(__xludf.DUMMYFUNCTION("FILTER('CLASFICACIÓN'!$F$3:$F5618,'CLASFICACIÓN'!$G$3:$G5618=M1748)"),"LOS 3 AÑOS")</f>
        <v>LOS 3 AÑOS</v>
      </c>
      <c r="K1748" s="16"/>
      <c r="L1748" s="14" t="s">
        <v>128</v>
      </c>
      <c r="M1748" s="16" t="str">
        <f t="shared" si="1"/>
        <v>SAGRADO CORAZON DE JESUS4 Primaria</v>
      </c>
      <c r="N1748" s="17"/>
      <c r="O1748" s="17"/>
      <c r="P1748" s="17"/>
      <c r="Q1748" s="17"/>
      <c r="R1748" s="17"/>
      <c r="S1748" s="17"/>
      <c r="T1748" s="17"/>
    </row>
    <row r="1749">
      <c r="A1749" s="21">
        <v>552.0</v>
      </c>
      <c r="B1749" s="20" t="s">
        <v>48</v>
      </c>
      <c r="C1749" s="20" t="s">
        <v>14</v>
      </c>
      <c r="D1749" s="20" t="s">
        <v>22</v>
      </c>
      <c r="E1749" s="12" t="str">
        <f>IFERROR(__xludf.DUMMYFUNCTION("FILTER(colegios!$B$2:$B5618,colegios!$A$2:$A5618=L1749)"),"SAGRADO CORAZON DE JESUS")</f>
        <v>SAGRADO CORAZON DE JESUS</v>
      </c>
      <c r="F1749" s="14" t="s">
        <v>16</v>
      </c>
      <c r="G1749" s="20" t="s">
        <v>21</v>
      </c>
      <c r="H1749" s="14" t="s">
        <v>24</v>
      </c>
      <c r="I1749" s="22">
        <v>2023.0</v>
      </c>
      <c r="J1749" s="16" t="str">
        <f>IFERROR(__xludf.DUMMYFUNCTION("FILTER('CLASFICACIÓN'!$F$3:$F5618,'CLASFICACIÓN'!$G$3:$G5618=M1749)"),"LOS 3 AÑOS")</f>
        <v>LOS 3 AÑOS</v>
      </c>
      <c r="K1749" s="16"/>
      <c r="L1749" s="14" t="s">
        <v>128</v>
      </c>
      <c r="M1749" s="16" t="str">
        <f t="shared" si="1"/>
        <v>SAGRADO CORAZON DE JESUS6 Primaria</v>
      </c>
      <c r="N1749" s="17"/>
      <c r="O1749" s="17"/>
      <c r="P1749" s="17"/>
      <c r="Q1749" s="17"/>
      <c r="R1749" s="17"/>
      <c r="S1749" s="17"/>
      <c r="T1749" s="17"/>
    </row>
    <row r="1750">
      <c r="A1750" s="21">
        <v>553.0</v>
      </c>
      <c r="B1750" s="20" t="s">
        <v>48</v>
      </c>
      <c r="C1750" s="20" t="s">
        <v>14</v>
      </c>
      <c r="D1750" s="20" t="s">
        <v>22</v>
      </c>
      <c r="E1750" s="12" t="str">
        <f>IFERROR(__xludf.DUMMYFUNCTION("FILTER(colegios!$B$2:$B5618,colegios!$A$2:$A5618=L1750)"),"SAGRADO CORAZON DE JESUS")</f>
        <v>SAGRADO CORAZON DE JESUS</v>
      </c>
      <c r="F1750" s="14" t="s">
        <v>16</v>
      </c>
      <c r="G1750" s="20" t="s">
        <v>21</v>
      </c>
      <c r="H1750" s="14" t="s">
        <v>24</v>
      </c>
      <c r="I1750" s="22">
        <v>2023.0</v>
      </c>
      <c r="J1750" s="16" t="str">
        <f>IFERROR(__xludf.DUMMYFUNCTION("FILTER('CLASFICACIÓN'!$F$3:$F5618,'CLASFICACIÓN'!$G$3:$G5618=M1750)"),"LOS 3 AÑOS")</f>
        <v>LOS 3 AÑOS</v>
      </c>
      <c r="K1750" s="16"/>
      <c r="L1750" s="14" t="s">
        <v>128</v>
      </c>
      <c r="M1750" s="16" t="str">
        <f t="shared" si="1"/>
        <v>SAGRADO CORAZON DE JESUS6 Primaria</v>
      </c>
      <c r="N1750" s="17"/>
      <c r="O1750" s="17"/>
      <c r="P1750" s="17"/>
      <c r="Q1750" s="17"/>
      <c r="R1750" s="17"/>
      <c r="S1750" s="17"/>
      <c r="T1750" s="17"/>
    </row>
    <row r="1751">
      <c r="A1751" s="21">
        <v>554.0</v>
      </c>
      <c r="B1751" s="20" t="s">
        <v>48</v>
      </c>
      <c r="C1751" s="20" t="s">
        <v>14</v>
      </c>
      <c r="D1751" s="20" t="s">
        <v>22</v>
      </c>
      <c r="E1751" s="12" t="str">
        <f>IFERROR(__xludf.DUMMYFUNCTION("FILTER(colegios!$B$2:$B5618,colegios!$A$2:$A5618=L1751)"),"SAGRADO CORAZON DE JESUS")</f>
        <v>SAGRADO CORAZON DE JESUS</v>
      </c>
      <c r="F1751" s="14" t="s">
        <v>16</v>
      </c>
      <c r="G1751" s="20" t="s">
        <v>17</v>
      </c>
      <c r="H1751" s="14" t="s">
        <v>18</v>
      </c>
      <c r="I1751" s="22">
        <v>2023.0</v>
      </c>
      <c r="J1751" s="16" t="str">
        <f>IFERROR(__xludf.DUMMYFUNCTION("FILTER('CLASFICACIÓN'!$F$3:$F5618,'CLASFICACIÓN'!$G$3:$G5618=M1751)"),"LOS 3 AÑOS")</f>
        <v>LOS 3 AÑOS</v>
      </c>
      <c r="K1751" s="16"/>
      <c r="L1751" s="14" t="s">
        <v>128</v>
      </c>
      <c r="M1751" s="16" t="str">
        <f t="shared" si="1"/>
        <v>SAGRADO CORAZON DE JESUS6 Primaria</v>
      </c>
      <c r="N1751" s="17"/>
      <c r="O1751" s="17"/>
      <c r="P1751" s="17"/>
      <c r="Q1751" s="17"/>
      <c r="R1751" s="17"/>
      <c r="S1751" s="17"/>
      <c r="T1751" s="17"/>
    </row>
    <row r="1752">
      <c r="A1752" s="21">
        <v>555.0</v>
      </c>
      <c r="B1752" s="20" t="s">
        <v>48</v>
      </c>
      <c r="C1752" s="20" t="s">
        <v>14</v>
      </c>
      <c r="D1752" s="20" t="s">
        <v>22</v>
      </c>
      <c r="E1752" s="12" t="str">
        <f>IFERROR(__xludf.DUMMYFUNCTION("FILTER(colegios!$B$2:$B5618,colegios!$A$2:$A5618=L1752)"),"SAGRADO CORAZON DE JESUS")</f>
        <v>SAGRADO CORAZON DE JESUS</v>
      </c>
      <c r="F1752" s="14" t="s">
        <v>16</v>
      </c>
      <c r="G1752" s="20" t="s">
        <v>21</v>
      </c>
      <c r="H1752" s="14" t="s">
        <v>24</v>
      </c>
      <c r="I1752" s="22">
        <v>2023.0</v>
      </c>
      <c r="J1752" s="16" t="str">
        <f>IFERROR(__xludf.DUMMYFUNCTION("FILTER('CLASFICACIÓN'!$F$3:$F5618,'CLASFICACIÓN'!$G$3:$G5618=M1752)"),"LOS 3 AÑOS")</f>
        <v>LOS 3 AÑOS</v>
      </c>
      <c r="K1752" s="16"/>
      <c r="L1752" s="14" t="s">
        <v>128</v>
      </c>
      <c r="M1752" s="16" t="str">
        <f t="shared" si="1"/>
        <v>SAGRADO CORAZON DE JESUS6 Primaria</v>
      </c>
      <c r="N1752" s="17"/>
      <c r="O1752" s="17"/>
      <c r="P1752" s="17"/>
      <c r="Q1752" s="17"/>
      <c r="R1752" s="17"/>
      <c r="S1752" s="17"/>
      <c r="T1752" s="17"/>
    </row>
    <row r="1753">
      <c r="A1753" s="21">
        <v>556.0</v>
      </c>
      <c r="B1753" s="20" t="s">
        <v>48</v>
      </c>
      <c r="C1753" s="20" t="s">
        <v>14</v>
      </c>
      <c r="D1753" s="20" t="s">
        <v>22</v>
      </c>
      <c r="E1753" s="12" t="str">
        <f>IFERROR(__xludf.DUMMYFUNCTION("FILTER(colegios!$B$2:$B5618,colegios!$A$2:$A5618=L1753)"),"SAGRADO CORAZON DE JESUS")</f>
        <v>SAGRADO CORAZON DE JESUS</v>
      </c>
      <c r="F1753" s="14" t="s">
        <v>16</v>
      </c>
      <c r="G1753" s="20" t="s">
        <v>21</v>
      </c>
      <c r="H1753" s="14" t="s">
        <v>24</v>
      </c>
      <c r="I1753" s="22">
        <v>2023.0</v>
      </c>
      <c r="J1753" s="16" t="str">
        <f>IFERROR(__xludf.DUMMYFUNCTION("FILTER('CLASFICACIÓN'!$F$3:$F5618,'CLASFICACIÓN'!$G$3:$G5618=M1753)"),"LOS 3 AÑOS")</f>
        <v>LOS 3 AÑOS</v>
      </c>
      <c r="K1753" s="16"/>
      <c r="L1753" s="14" t="s">
        <v>128</v>
      </c>
      <c r="M1753" s="16" t="str">
        <f t="shared" si="1"/>
        <v>SAGRADO CORAZON DE JESUS6 Primaria</v>
      </c>
      <c r="N1753" s="17"/>
      <c r="O1753" s="17"/>
      <c r="P1753" s="17"/>
      <c r="Q1753" s="17"/>
      <c r="R1753" s="17"/>
      <c r="S1753" s="17"/>
      <c r="T1753" s="17"/>
    </row>
    <row r="1754">
      <c r="A1754" s="21">
        <v>557.0</v>
      </c>
      <c r="B1754" s="20" t="s">
        <v>48</v>
      </c>
      <c r="C1754" s="20" t="s">
        <v>14</v>
      </c>
      <c r="D1754" s="20" t="s">
        <v>22</v>
      </c>
      <c r="E1754" s="12" t="str">
        <f>IFERROR(__xludf.DUMMYFUNCTION("FILTER(colegios!$B$2:$B5618,colegios!$A$2:$A5618=L1754)"),"SAGRADO CORAZON DE JESUS")</f>
        <v>SAGRADO CORAZON DE JESUS</v>
      </c>
      <c r="F1754" s="14" t="s">
        <v>16</v>
      </c>
      <c r="G1754" s="20" t="s">
        <v>21</v>
      </c>
      <c r="H1754" s="14" t="s">
        <v>18</v>
      </c>
      <c r="I1754" s="22">
        <v>2023.0</v>
      </c>
      <c r="J1754" s="16" t="str">
        <f>IFERROR(__xludf.DUMMYFUNCTION("FILTER('CLASFICACIÓN'!$F$3:$F5618,'CLASFICACIÓN'!$G$3:$G5618=M1754)"),"LOS 3 AÑOS")</f>
        <v>LOS 3 AÑOS</v>
      </c>
      <c r="K1754" s="16"/>
      <c r="L1754" s="14" t="s">
        <v>128</v>
      </c>
      <c r="M1754" s="16" t="str">
        <f t="shared" si="1"/>
        <v>SAGRADO CORAZON DE JESUS6 Primaria</v>
      </c>
      <c r="N1754" s="17"/>
      <c r="O1754" s="17"/>
      <c r="P1754" s="17"/>
      <c r="Q1754" s="17"/>
      <c r="R1754" s="17"/>
      <c r="S1754" s="17"/>
      <c r="T1754" s="17"/>
    </row>
    <row r="1755">
      <c r="A1755" s="21">
        <v>558.0</v>
      </c>
      <c r="B1755" s="20" t="s">
        <v>48</v>
      </c>
      <c r="C1755" s="20" t="s">
        <v>14</v>
      </c>
      <c r="D1755" s="20" t="s">
        <v>22</v>
      </c>
      <c r="E1755" s="12" t="str">
        <f>IFERROR(__xludf.DUMMYFUNCTION("FILTER(colegios!$B$2:$B5618,colegios!$A$2:$A5618=L1755)"),"SAGRADO CORAZON DE JESUS")</f>
        <v>SAGRADO CORAZON DE JESUS</v>
      </c>
      <c r="F1755" s="14" t="s">
        <v>16</v>
      </c>
      <c r="G1755" s="20" t="s">
        <v>17</v>
      </c>
      <c r="H1755" s="14" t="s">
        <v>24</v>
      </c>
      <c r="I1755" s="22">
        <v>2023.0</v>
      </c>
      <c r="J1755" s="16" t="str">
        <f>IFERROR(__xludf.DUMMYFUNCTION("FILTER('CLASFICACIÓN'!$F$3:$F5618,'CLASFICACIÓN'!$G$3:$G5618=M1755)"),"LOS 3 AÑOS")</f>
        <v>LOS 3 AÑOS</v>
      </c>
      <c r="K1755" s="16"/>
      <c r="L1755" s="14" t="s">
        <v>128</v>
      </c>
      <c r="M1755" s="16" t="str">
        <f t="shared" si="1"/>
        <v>SAGRADO CORAZON DE JESUS6 Primaria</v>
      </c>
      <c r="N1755" s="17"/>
      <c r="O1755" s="17"/>
      <c r="P1755" s="17"/>
      <c r="Q1755" s="17"/>
      <c r="R1755" s="17"/>
      <c r="S1755" s="17"/>
      <c r="T1755" s="17"/>
    </row>
    <row r="1756">
      <c r="A1756" s="21">
        <v>559.0</v>
      </c>
      <c r="B1756" s="20" t="s">
        <v>48</v>
      </c>
      <c r="C1756" s="20" t="s">
        <v>14</v>
      </c>
      <c r="D1756" s="20" t="s">
        <v>22</v>
      </c>
      <c r="E1756" s="12" t="str">
        <f>IFERROR(__xludf.DUMMYFUNCTION("FILTER(colegios!$B$2:$B5618,colegios!$A$2:$A5618=L1756)"),"SAGRADO CORAZON DE JESUS")</f>
        <v>SAGRADO CORAZON DE JESUS</v>
      </c>
      <c r="F1756" s="14" t="s">
        <v>16</v>
      </c>
      <c r="G1756" s="20" t="s">
        <v>17</v>
      </c>
      <c r="H1756" s="14" t="s">
        <v>24</v>
      </c>
      <c r="I1756" s="22">
        <v>2023.0</v>
      </c>
      <c r="J1756" s="16" t="str">
        <f>IFERROR(__xludf.DUMMYFUNCTION("FILTER('CLASFICACIÓN'!$F$3:$F5618,'CLASFICACIÓN'!$G$3:$G5618=M1756)"),"LOS 3 AÑOS")</f>
        <v>LOS 3 AÑOS</v>
      </c>
      <c r="K1756" s="16"/>
      <c r="L1756" s="14" t="s">
        <v>128</v>
      </c>
      <c r="M1756" s="16" t="str">
        <f t="shared" si="1"/>
        <v>SAGRADO CORAZON DE JESUS6 Primaria</v>
      </c>
      <c r="N1756" s="17"/>
      <c r="O1756" s="17"/>
      <c r="P1756" s="17"/>
      <c r="Q1756" s="17"/>
      <c r="R1756" s="17"/>
      <c r="S1756" s="17"/>
      <c r="T1756" s="17"/>
    </row>
    <row r="1757">
      <c r="A1757" s="21">
        <v>560.0</v>
      </c>
      <c r="B1757" s="20" t="s">
        <v>48</v>
      </c>
      <c r="C1757" s="20" t="s">
        <v>14</v>
      </c>
      <c r="D1757" s="20" t="s">
        <v>22</v>
      </c>
      <c r="E1757" s="12" t="str">
        <f>IFERROR(__xludf.DUMMYFUNCTION("FILTER(colegios!$B$2:$B5618,colegios!$A$2:$A5618=L1757)"),"SAGRADO CORAZON DE JESUS")</f>
        <v>SAGRADO CORAZON DE JESUS</v>
      </c>
      <c r="F1757" s="14" t="s">
        <v>16</v>
      </c>
      <c r="G1757" s="20" t="s">
        <v>17</v>
      </c>
      <c r="H1757" s="14" t="s">
        <v>24</v>
      </c>
      <c r="I1757" s="22">
        <v>2023.0</v>
      </c>
      <c r="J1757" s="16" t="str">
        <f>IFERROR(__xludf.DUMMYFUNCTION("FILTER('CLASFICACIÓN'!$F$3:$F5618,'CLASFICACIÓN'!$G$3:$G5618=M1757)"),"LOS 3 AÑOS")</f>
        <v>LOS 3 AÑOS</v>
      </c>
      <c r="K1757" s="16"/>
      <c r="L1757" s="14" t="s">
        <v>128</v>
      </c>
      <c r="M1757" s="16" t="str">
        <f t="shared" si="1"/>
        <v>SAGRADO CORAZON DE JESUS6 Primaria</v>
      </c>
      <c r="N1757" s="17"/>
      <c r="O1757" s="17"/>
      <c r="P1757" s="17"/>
      <c r="Q1757" s="17"/>
      <c r="R1757" s="17"/>
      <c r="S1757" s="17"/>
      <c r="T1757" s="17"/>
    </row>
    <row r="1758">
      <c r="A1758" s="21">
        <v>561.0</v>
      </c>
      <c r="B1758" s="20" t="s">
        <v>48</v>
      </c>
      <c r="C1758" s="20" t="s">
        <v>14</v>
      </c>
      <c r="D1758" s="20" t="s">
        <v>22</v>
      </c>
      <c r="E1758" s="12" t="str">
        <f>IFERROR(__xludf.DUMMYFUNCTION("FILTER(colegios!$B$2:$B5618,colegios!$A$2:$A5618=L1758)"),"SAGRADO CORAZON DE JESUS")</f>
        <v>SAGRADO CORAZON DE JESUS</v>
      </c>
      <c r="F1758" s="14" t="s">
        <v>16</v>
      </c>
      <c r="G1758" s="20" t="s">
        <v>17</v>
      </c>
      <c r="H1758" s="14" t="s">
        <v>24</v>
      </c>
      <c r="I1758" s="22">
        <v>2023.0</v>
      </c>
      <c r="J1758" s="16" t="str">
        <f>IFERROR(__xludf.DUMMYFUNCTION("FILTER('CLASFICACIÓN'!$F$3:$F5618,'CLASFICACIÓN'!$G$3:$G5618=M1758)"),"LOS 3 AÑOS")</f>
        <v>LOS 3 AÑOS</v>
      </c>
      <c r="K1758" s="16"/>
      <c r="L1758" s="14" t="s">
        <v>128</v>
      </c>
      <c r="M1758" s="16" t="str">
        <f t="shared" si="1"/>
        <v>SAGRADO CORAZON DE JESUS6 Primaria</v>
      </c>
      <c r="N1758" s="17"/>
      <c r="O1758" s="17"/>
      <c r="P1758" s="17"/>
      <c r="Q1758" s="17"/>
      <c r="R1758" s="17"/>
      <c r="S1758" s="17"/>
      <c r="T1758" s="17"/>
    </row>
    <row r="1759">
      <c r="A1759" s="21">
        <v>562.0</v>
      </c>
      <c r="B1759" s="20" t="s">
        <v>48</v>
      </c>
      <c r="C1759" s="20" t="s">
        <v>14</v>
      </c>
      <c r="D1759" s="20" t="s">
        <v>22</v>
      </c>
      <c r="E1759" s="12" t="str">
        <f>IFERROR(__xludf.DUMMYFUNCTION("FILTER(colegios!$B$2:$B5618,colegios!$A$2:$A5618=L1759)"),"SAGRADO CORAZON DE JESUS")</f>
        <v>SAGRADO CORAZON DE JESUS</v>
      </c>
      <c r="F1759" s="14" t="s">
        <v>16</v>
      </c>
      <c r="G1759" s="20" t="s">
        <v>21</v>
      </c>
      <c r="H1759" s="14" t="s">
        <v>24</v>
      </c>
      <c r="I1759" s="22">
        <v>2023.0</v>
      </c>
      <c r="J1759" s="16" t="str">
        <f>IFERROR(__xludf.DUMMYFUNCTION("FILTER('CLASFICACIÓN'!$F$3:$F5618,'CLASFICACIÓN'!$G$3:$G5618=M1759)"),"LOS 3 AÑOS")</f>
        <v>LOS 3 AÑOS</v>
      </c>
      <c r="K1759" s="16"/>
      <c r="L1759" s="14" t="s">
        <v>128</v>
      </c>
      <c r="M1759" s="16" t="str">
        <f t="shared" si="1"/>
        <v>SAGRADO CORAZON DE JESUS6 Primaria</v>
      </c>
      <c r="N1759" s="17"/>
      <c r="O1759" s="17"/>
      <c r="P1759" s="17"/>
      <c r="Q1759" s="17"/>
      <c r="R1759" s="17"/>
      <c r="S1759" s="17"/>
      <c r="T1759" s="17"/>
    </row>
    <row r="1760">
      <c r="A1760" s="21">
        <v>563.0</v>
      </c>
      <c r="B1760" s="20" t="s">
        <v>48</v>
      </c>
      <c r="C1760" s="20" t="s">
        <v>14</v>
      </c>
      <c r="D1760" s="20" t="s">
        <v>22</v>
      </c>
      <c r="E1760" s="12" t="str">
        <f>IFERROR(__xludf.DUMMYFUNCTION("FILTER(colegios!$B$2:$B5618,colegios!$A$2:$A5618=L1760)"),"SAGRADO CORAZON DE JESUS")</f>
        <v>SAGRADO CORAZON DE JESUS</v>
      </c>
      <c r="F1760" s="14" t="s">
        <v>16</v>
      </c>
      <c r="G1760" s="20" t="s">
        <v>21</v>
      </c>
      <c r="H1760" s="14" t="s">
        <v>18</v>
      </c>
      <c r="I1760" s="22">
        <v>2023.0</v>
      </c>
      <c r="J1760" s="16" t="str">
        <f>IFERROR(__xludf.DUMMYFUNCTION("FILTER('CLASFICACIÓN'!$F$3:$F5618,'CLASFICACIÓN'!$G$3:$G5618=M1760)"),"LOS 3 AÑOS")</f>
        <v>LOS 3 AÑOS</v>
      </c>
      <c r="K1760" s="16"/>
      <c r="L1760" s="14" t="s">
        <v>128</v>
      </c>
      <c r="M1760" s="16" t="str">
        <f t="shared" si="1"/>
        <v>SAGRADO CORAZON DE JESUS6 Primaria</v>
      </c>
      <c r="N1760" s="17"/>
      <c r="O1760" s="17"/>
      <c r="P1760" s="17"/>
      <c r="Q1760" s="17"/>
      <c r="R1760" s="17"/>
      <c r="S1760" s="17"/>
      <c r="T1760" s="17"/>
    </row>
    <row r="1761">
      <c r="A1761" s="21">
        <v>564.0</v>
      </c>
      <c r="B1761" s="20" t="s">
        <v>48</v>
      </c>
      <c r="C1761" s="20" t="s">
        <v>14</v>
      </c>
      <c r="D1761" s="20" t="s">
        <v>22</v>
      </c>
      <c r="E1761" s="12" t="str">
        <f>IFERROR(__xludf.DUMMYFUNCTION("FILTER(colegios!$B$2:$B5618,colegios!$A$2:$A5618=L1761)"),"SAGRADO CORAZON DE JESUS")</f>
        <v>SAGRADO CORAZON DE JESUS</v>
      </c>
      <c r="F1761" s="14" t="s">
        <v>16</v>
      </c>
      <c r="G1761" s="20" t="s">
        <v>17</v>
      </c>
      <c r="H1761" s="14" t="s">
        <v>18</v>
      </c>
      <c r="I1761" s="22">
        <v>2023.0</v>
      </c>
      <c r="J1761" s="16" t="str">
        <f>IFERROR(__xludf.DUMMYFUNCTION("FILTER('CLASFICACIÓN'!$F$3:$F5618,'CLASFICACIÓN'!$G$3:$G5618=M1761)"),"LOS 3 AÑOS")</f>
        <v>LOS 3 AÑOS</v>
      </c>
      <c r="K1761" s="16"/>
      <c r="L1761" s="14" t="s">
        <v>128</v>
      </c>
      <c r="M1761" s="16" t="str">
        <f t="shared" si="1"/>
        <v>SAGRADO CORAZON DE JESUS6 Primaria</v>
      </c>
      <c r="N1761" s="17"/>
      <c r="O1761" s="17"/>
      <c r="P1761" s="17"/>
      <c r="Q1761" s="17"/>
      <c r="R1761" s="17"/>
      <c r="S1761" s="17"/>
      <c r="T1761" s="17"/>
    </row>
    <row r="1762">
      <c r="A1762" s="21">
        <v>565.0</v>
      </c>
      <c r="B1762" s="20" t="s">
        <v>48</v>
      </c>
      <c r="C1762" s="20" t="s">
        <v>14</v>
      </c>
      <c r="D1762" s="20" t="s">
        <v>22</v>
      </c>
      <c r="E1762" s="12" t="str">
        <f>IFERROR(__xludf.DUMMYFUNCTION("FILTER(colegios!$B$2:$B5618,colegios!$A$2:$A5618=L1762)"),"SAGRADO CORAZON DE JESUS")</f>
        <v>SAGRADO CORAZON DE JESUS</v>
      </c>
      <c r="F1762" s="14" t="s">
        <v>16</v>
      </c>
      <c r="G1762" s="20" t="s">
        <v>17</v>
      </c>
      <c r="H1762" s="14" t="s">
        <v>18</v>
      </c>
      <c r="I1762" s="22">
        <v>2023.0</v>
      </c>
      <c r="J1762" s="16" t="str">
        <f>IFERROR(__xludf.DUMMYFUNCTION("FILTER('CLASFICACIÓN'!$F$3:$F5618,'CLASFICACIÓN'!$G$3:$G5618=M1762)"),"LOS 3 AÑOS")</f>
        <v>LOS 3 AÑOS</v>
      </c>
      <c r="K1762" s="16"/>
      <c r="L1762" s="14" t="s">
        <v>128</v>
      </c>
      <c r="M1762" s="16" t="str">
        <f t="shared" si="1"/>
        <v>SAGRADO CORAZON DE JESUS6 Primaria</v>
      </c>
      <c r="N1762" s="17"/>
      <c r="O1762" s="17"/>
      <c r="P1762" s="17"/>
      <c r="Q1762" s="17"/>
      <c r="R1762" s="17"/>
      <c r="S1762" s="17"/>
      <c r="T1762" s="17"/>
    </row>
    <row r="1763">
      <c r="A1763" s="21">
        <v>566.0</v>
      </c>
      <c r="B1763" s="20" t="s">
        <v>48</v>
      </c>
      <c r="C1763" s="20" t="s">
        <v>14</v>
      </c>
      <c r="D1763" s="20" t="s">
        <v>22</v>
      </c>
      <c r="E1763" s="12" t="str">
        <f>IFERROR(__xludf.DUMMYFUNCTION("FILTER(colegios!$B$2:$B5618,colegios!$A$2:$A5618=L1763)"),"SAGRADO CORAZON DE JESUS")</f>
        <v>SAGRADO CORAZON DE JESUS</v>
      </c>
      <c r="F1763" s="14" t="s">
        <v>16</v>
      </c>
      <c r="G1763" s="20" t="s">
        <v>21</v>
      </c>
      <c r="H1763" s="14" t="s">
        <v>24</v>
      </c>
      <c r="I1763" s="22">
        <v>2023.0</v>
      </c>
      <c r="J1763" s="16" t="str">
        <f>IFERROR(__xludf.DUMMYFUNCTION("FILTER('CLASFICACIÓN'!$F$3:$F5618,'CLASFICACIÓN'!$G$3:$G5618=M1763)"),"LOS 3 AÑOS")</f>
        <v>LOS 3 AÑOS</v>
      </c>
      <c r="K1763" s="16"/>
      <c r="L1763" s="14" t="s">
        <v>128</v>
      </c>
      <c r="M1763" s="16" t="str">
        <f t="shared" si="1"/>
        <v>SAGRADO CORAZON DE JESUS6 Primaria</v>
      </c>
      <c r="N1763" s="17"/>
      <c r="O1763" s="17"/>
      <c r="P1763" s="17"/>
      <c r="Q1763" s="17"/>
      <c r="R1763" s="17"/>
      <c r="S1763" s="17"/>
      <c r="T1763" s="17"/>
    </row>
    <row r="1764">
      <c r="A1764" s="21">
        <v>567.0</v>
      </c>
      <c r="B1764" s="20" t="s">
        <v>48</v>
      </c>
      <c r="C1764" s="20" t="s">
        <v>14</v>
      </c>
      <c r="D1764" s="20" t="s">
        <v>15</v>
      </c>
      <c r="E1764" s="12" t="str">
        <f>IFERROR(__xludf.DUMMYFUNCTION("FILTER(colegios!$B$2:$B5618,colegios!$A$2:$A5618=L1764)"),"14924 DANIEL ALCIDES CARRION")</f>
        <v>14924 DANIEL ALCIDES CARRION</v>
      </c>
      <c r="F1764" s="14" t="s">
        <v>16</v>
      </c>
      <c r="G1764" s="20" t="s">
        <v>17</v>
      </c>
      <c r="H1764" s="14" t="s">
        <v>24</v>
      </c>
      <c r="I1764" s="22">
        <v>2023.0</v>
      </c>
      <c r="J1764" s="16" t="str">
        <f>IFERROR(__xludf.DUMMYFUNCTION("FILTER('CLASFICACIÓN'!$F$3:$F5618,'CLASFICACIÓN'!$G$3:$G5618=M1764)"),"2023 Y 2024")</f>
        <v>2023 Y 2024</v>
      </c>
      <c r="K1764" s="16"/>
      <c r="L1764" s="14" t="s">
        <v>129</v>
      </c>
      <c r="M1764" s="16" t="str">
        <f t="shared" si="1"/>
        <v>14924 DANIEL ALCIDES CARRION2 Primaria</v>
      </c>
      <c r="N1764" s="17"/>
      <c r="O1764" s="17"/>
      <c r="P1764" s="17"/>
      <c r="Q1764" s="17"/>
      <c r="R1764" s="17"/>
      <c r="S1764" s="17"/>
      <c r="T1764" s="17"/>
    </row>
    <row r="1765">
      <c r="A1765" s="21">
        <v>568.0</v>
      </c>
      <c r="B1765" s="20" t="s">
        <v>48</v>
      </c>
      <c r="C1765" s="20" t="s">
        <v>14</v>
      </c>
      <c r="D1765" s="20" t="s">
        <v>15</v>
      </c>
      <c r="E1765" s="12" t="str">
        <f>IFERROR(__xludf.DUMMYFUNCTION("FILTER(colegios!$B$2:$B5618,colegios!$A$2:$A5618=L1765)"),"14924 DANIEL ALCIDES CARRION")</f>
        <v>14924 DANIEL ALCIDES CARRION</v>
      </c>
      <c r="F1765" s="14" t="s">
        <v>16</v>
      </c>
      <c r="G1765" s="20" t="s">
        <v>21</v>
      </c>
      <c r="H1765" s="14" t="s">
        <v>24</v>
      </c>
      <c r="I1765" s="22">
        <v>2023.0</v>
      </c>
      <c r="J1765" s="16" t="str">
        <f>IFERROR(__xludf.DUMMYFUNCTION("FILTER('CLASFICACIÓN'!$F$3:$F5618,'CLASFICACIÓN'!$G$3:$G5618=M1765)"),"2023 Y 2024")</f>
        <v>2023 Y 2024</v>
      </c>
      <c r="K1765" s="16"/>
      <c r="L1765" s="14" t="s">
        <v>129</v>
      </c>
      <c r="M1765" s="16" t="str">
        <f t="shared" si="1"/>
        <v>14924 DANIEL ALCIDES CARRION2 Primaria</v>
      </c>
      <c r="N1765" s="17"/>
      <c r="O1765" s="17"/>
      <c r="P1765" s="17"/>
      <c r="Q1765" s="17"/>
      <c r="R1765" s="17"/>
      <c r="S1765" s="17"/>
      <c r="T1765" s="17"/>
    </row>
    <row r="1766">
      <c r="A1766" s="21">
        <v>569.0</v>
      </c>
      <c r="B1766" s="20" t="s">
        <v>48</v>
      </c>
      <c r="C1766" s="20" t="s">
        <v>14</v>
      </c>
      <c r="D1766" s="20" t="s">
        <v>15</v>
      </c>
      <c r="E1766" s="12" t="str">
        <f>IFERROR(__xludf.DUMMYFUNCTION("FILTER(colegios!$B$2:$B5618,colegios!$A$2:$A5618=L1766)"),"14924 DANIEL ALCIDES CARRION")</f>
        <v>14924 DANIEL ALCIDES CARRION</v>
      </c>
      <c r="F1766" s="14" t="s">
        <v>16</v>
      </c>
      <c r="G1766" s="20" t="s">
        <v>21</v>
      </c>
      <c r="H1766" s="14" t="s">
        <v>24</v>
      </c>
      <c r="I1766" s="22">
        <v>2023.0</v>
      </c>
      <c r="J1766" s="16" t="str">
        <f>IFERROR(__xludf.DUMMYFUNCTION("FILTER('CLASFICACIÓN'!$F$3:$F5618,'CLASFICACIÓN'!$G$3:$G5618=M1766)"),"2023 Y 2024")</f>
        <v>2023 Y 2024</v>
      </c>
      <c r="K1766" s="16"/>
      <c r="L1766" s="14" t="s">
        <v>129</v>
      </c>
      <c r="M1766" s="16" t="str">
        <f t="shared" si="1"/>
        <v>14924 DANIEL ALCIDES CARRION2 Primaria</v>
      </c>
      <c r="N1766" s="17"/>
      <c r="O1766" s="17"/>
      <c r="P1766" s="17"/>
      <c r="Q1766" s="17"/>
      <c r="R1766" s="17"/>
      <c r="S1766" s="17"/>
      <c r="T1766" s="17"/>
    </row>
    <row r="1767">
      <c r="A1767" s="21">
        <v>570.0</v>
      </c>
      <c r="B1767" s="20" t="s">
        <v>48</v>
      </c>
      <c r="C1767" s="20" t="s">
        <v>14</v>
      </c>
      <c r="D1767" s="20" t="s">
        <v>15</v>
      </c>
      <c r="E1767" s="12" t="str">
        <f>IFERROR(__xludf.DUMMYFUNCTION("FILTER(colegios!$B$2:$B5618,colegios!$A$2:$A5618=L1767)"),"14924 DANIEL ALCIDES CARRION")</f>
        <v>14924 DANIEL ALCIDES CARRION</v>
      </c>
      <c r="F1767" s="14" t="s">
        <v>16</v>
      </c>
      <c r="G1767" s="20" t="s">
        <v>17</v>
      </c>
      <c r="H1767" s="14" t="s">
        <v>24</v>
      </c>
      <c r="I1767" s="22">
        <v>2023.0</v>
      </c>
      <c r="J1767" s="16" t="str">
        <f>IFERROR(__xludf.DUMMYFUNCTION("FILTER('CLASFICACIÓN'!$F$3:$F5618,'CLASFICACIÓN'!$G$3:$G5618=M1767)"),"2023 Y 2024")</f>
        <v>2023 Y 2024</v>
      </c>
      <c r="K1767" s="16"/>
      <c r="L1767" s="14" t="s">
        <v>129</v>
      </c>
      <c r="M1767" s="16" t="str">
        <f t="shared" si="1"/>
        <v>14924 DANIEL ALCIDES CARRION2 Primaria</v>
      </c>
      <c r="N1767" s="17"/>
      <c r="O1767" s="17"/>
      <c r="P1767" s="17"/>
      <c r="Q1767" s="17"/>
      <c r="R1767" s="17"/>
      <c r="S1767" s="17"/>
      <c r="T1767" s="17"/>
    </row>
    <row r="1768">
      <c r="A1768" s="21">
        <v>571.0</v>
      </c>
      <c r="B1768" s="20" t="s">
        <v>48</v>
      </c>
      <c r="C1768" s="20" t="s">
        <v>14</v>
      </c>
      <c r="D1768" s="20" t="s">
        <v>15</v>
      </c>
      <c r="E1768" s="12" t="str">
        <f>IFERROR(__xludf.DUMMYFUNCTION("FILTER(colegios!$B$2:$B5618,colegios!$A$2:$A5618=L1768)"),"14924 DANIEL ALCIDES CARRION")</f>
        <v>14924 DANIEL ALCIDES CARRION</v>
      </c>
      <c r="F1768" s="14" t="s">
        <v>16</v>
      </c>
      <c r="G1768" s="20" t="s">
        <v>21</v>
      </c>
      <c r="H1768" s="14" t="s">
        <v>24</v>
      </c>
      <c r="I1768" s="22">
        <v>2023.0</v>
      </c>
      <c r="J1768" s="16" t="str">
        <f>IFERROR(__xludf.DUMMYFUNCTION("FILTER('CLASFICACIÓN'!$F$3:$F5618,'CLASFICACIÓN'!$G$3:$G5618=M1768)"),"2023 Y 2024")</f>
        <v>2023 Y 2024</v>
      </c>
      <c r="K1768" s="16"/>
      <c r="L1768" s="14" t="s">
        <v>129</v>
      </c>
      <c r="M1768" s="16" t="str">
        <f t="shared" si="1"/>
        <v>14924 DANIEL ALCIDES CARRION2 Primaria</v>
      </c>
      <c r="N1768" s="17"/>
      <c r="O1768" s="17"/>
      <c r="P1768" s="17"/>
      <c r="Q1768" s="17"/>
      <c r="R1768" s="17"/>
      <c r="S1768" s="17"/>
      <c r="T1768" s="17"/>
    </row>
    <row r="1769">
      <c r="A1769" s="21">
        <v>572.0</v>
      </c>
      <c r="B1769" s="20" t="s">
        <v>48</v>
      </c>
      <c r="C1769" s="20" t="s">
        <v>14</v>
      </c>
      <c r="D1769" s="20" t="s">
        <v>15</v>
      </c>
      <c r="E1769" s="12" t="str">
        <f>IFERROR(__xludf.DUMMYFUNCTION("FILTER(colegios!$B$2:$B5618,colegios!$A$2:$A5618=L1769)"),"14924 DANIEL ALCIDES CARRION")</f>
        <v>14924 DANIEL ALCIDES CARRION</v>
      </c>
      <c r="F1769" s="14" t="s">
        <v>16</v>
      </c>
      <c r="G1769" s="20" t="s">
        <v>17</v>
      </c>
      <c r="H1769" s="14" t="s">
        <v>24</v>
      </c>
      <c r="I1769" s="22">
        <v>2023.0</v>
      </c>
      <c r="J1769" s="16" t="str">
        <f>IFERROR(__xludf.DUMMYFUNCTION("FILTER('CLASFICACIÓN'!$F$3:$F5618,'CLASFICACIÓN'!$G$3:$G5618=M1769)"),"2023 Y 2024")</f>
        <v>2023 Y 2024</v>
      </c>
      <c r="K1769" s="16"/>
      <c r="L1769" s="14" t="s">
        <v>129</v>
      </c>
      <c r="M1769" s="16" t="str">
        <f t="shared" si="1"/>
        <v>14924 DANIEL ALCIDES CARRION2 Primaria</v>
      </c>
      <c r="N1769" s="17"/>
      <c r="O1769" s="17"/>
      <c r="P1769" s="17"/>
      <c r="Q1769" s="17"/>
      <c r="R1769" s="17"/>
      <c r="S1769" s="17"/>
      <c r="T1769" s="17"/>
    </row>
    <row r="1770">
      <c r="A1770" s="21">
        <v>573.0</v>
      </c>
      <c r="B1770" s="20" t="s">
        <v>48</v>
      </c>
      <c r="C1770" s="20" t="s">
        <v>14</v>
      </c>
      <c r="D1770" s="20" t="s">
        <v>15</v>
      </c>
      <c r="E1770" s="12" t="str">
        <f>IFERROR(__xludf.DUMMYFUNCTION("FILTER(colegios!$B$2:$B5618,colegios!$A$2:$A5618=L1770)"),"14924 DANIEL ALCIDES CARRION")</f>
        <v>14924 DANIEL ALCIDES CARRION</v>
      </c>
      <c r="F1770" s="14" t="s">
        <v>16</v>
      </c>
      <c r="G1770" s="20" t="s">
        <v>17</v>
      </c>
      <c r="H1770" s="14" t="s">
        <v>24</v>
      </c>
      <c r="I1770" s="22">
        <v>2023.0</v>
      </c>
      <c r="J1770" s="16" t="str">
        <f>IFERROR(__xludf.DUMMYFUNCTION("FILTER('CLASFICACIÓN'!$F$3:$F5618,'CLASFICACIÓN'!$G$3:$G5618=M1770)"),"2023 Y 2024")</f>
        <v>2023 Y 2024</v>
      </c>
      <c r="K1770" s="16"/>
      <c r="L1770" s="14" t="s">
        <v>129</v>
      </c>
      <c r="M1770" s="16" t="str">
        <f t="shared" si="1"/>
        <v>14924 DANIEL ALCIDES CARRION2 Primaria</v>
      </c>
      <c r="N1770" s="17"/>
      <c r="O1770" s="17"/>
      <c r="P1770" s="17"/>
      <c r="Q1770" s="17"/>
      <c r="R1770" s="17"/>
      <c r="S1770" s="17"/>
      <c r="T1770" s="17"/>
    </row>
    <row r="1771">
      <c r="A1771" s="21">
        <v>574.0</v>
      </c>
      <c r="B1771" s="20" t="s">
        <v>48</v>
      </c>
      <c r="C1771" s="20" t="s">
        <v>14</v>
      </c>
      <c r="D1771" s="20" t="s">
        <v>15</v>
      </c>
      <c r="E1771" s="12" t="str">
        <f>IFERROR(__xludf.DUMMYFUNCTION("FILTER(colegios!$B$2:$B5618,colegios!$A$2:$A5618=L1771)"),"14924 DANIEL ALCIDES CARRION")</f>
        <v>14924 DANIEL ALCIDES CARRION</v>
      </c>
      <c r="F1771" s="14" t="s">
        <v>16</v>
      </c>
      <c r="G1771" s="20" t="s">
        <v>17</v>
      </c>
      <c r="H1771" s="14" t="s">
        <v>24</v>
      </c>
      <c r="I1771" s="22">
        <v>2023.0</v>
      </c>
      <c r="J1771" s="16" t="str">
        <f>IFERROR(__xludf.DUMMYFUNCTION("FILTER('CLASFICACIÓN'!$F$3:$F5618,'CLASFICACIÓN'!$G$3:$G5618=M1771)"),"2023 Y 2024")</f>
        <v>2023 Y 2024</v>
      </c>
      <c r="K1771" s="16"/>
      <c r="L1771" s="14" t="s">
        <v>129</v>
      </c>
      <c r="M1771" s="16" t="str">
        <f t="shared" si="1"/>
        <v>14924 DANIEL ALCIDES CARRION2 Primaria</v>
      </c>
      <c r="N1771" s="17"/>
      <c r="O1771" s="17"/>
      <c r="P1771" s="17"/>
      <c r="Q1771" s="17"/>
      <c r="R1771" s="17"/>
      <c r="S1771" s="17"/>
      <c r="T1771" s="17"/>
    </row>
    <row r="1772">
      <c r="A1772" s="21">
        <v>575.0</v>
      </c>
      <c r="B1772" s="20" t="s">
        <v>48</v>
      </c>
      <c r="C1772" s="20" t="s">
        <v>14</v>
      </c>
      <c r="D1772" s="20" t="s">
        <v>15</v>
      </c>
      <c r="E1772" s="12" t="str">
        <f>IFERROR(__xludf.DUMMYFUNCTION("FILTER(colegios!$B$2:$B5618,colegios!$A$2:$A5618=L1772)"),"14924 DANIEL ALCIDES CARRION")</f>
        <v>14924 DANIEL ALCIDES CARRION</v>
      </c>
      <c r="F1772" s="14" t="s">
        <v>16</v>
      </c>
      <c r="G1772" s="20" t="s">
        <v>17</v>
      </c>
      <c r="H1772" s="14" t="s">
        <v>24</v>
      </c>
      <c r="I1772" s="22">
        <v>2023.0</v>
      </c>
      <c r="J1772" s="16" t="str">
        <f>IFERROR(__xludf.DUMMYFUNCTION("FILTER('CLASFICACIÓN'!$F$3:$F5618,'CLASFICACIÓN'!$G$3:$G5618=M1772)"),"2023 Y 2024")</f>
        <v>2023 Y 2024</v>
      </c>
      <c r="K1772" s="16"/>
      <c r="L1772" s="14" t="s">
        <v>129</v>
      </c>
      <c r="M1772" s="16" t="str">
        <f t="shared" si="1"/>
        <v>14924 DANIEL ALCIDES CARRION2 Primaria</v>
      </c>
      <c r="N1772" s="17"/>
      <c r="O1772" s="17"/>
      <c r="P1772" s="17"/>
      <c r="Q1772" s="17"/>
      <c r="R1772" s="17"/>
      <c r="S1772" s="17"/>
      <c r="T1772" s="17"/>
    </row>
    <row r="1773">
      <c r="A1773" s="21">
        <v>576.0</v>
      </c>
      <c r="B1773" s="20" t="s">
        <v>48</v>
      </c>
      <c r="C1773" s="20" t="s">
        <v>14</v>
      </c>
      <c r="D1773" s="20" t="s">
        <v>15</v>
      </c>
      <c r="E1773" s="12" t="str">
        <f>IFERROR(__xludf.DUMMYFUNCTION("FILTER(colegios!$B$2:$B5618,colegios!$A$2:$A5618=L1773)"),"14924 DANIEL ALCIDES CARRION")</f>
        <v>14924 DANIEL ALCIDES CARRION</v>
      </c>
      <c r="F1773" s="14" t="s">
        <v>16</v>
      </c>
      <c r="G1773" s="20" t="s">
        <v>21</v>
      </c>
      <c r="H1773" s="14" t="s">
        <v>24</v>
      </c>
      <c r="I1773" s="22">
        <v>2023.0</v>
      </c>
      <c r="J1773" s="16" t="str">
        <f>IFERROR(__xludf.DUMMYFUNCTION("FILTER('CLASFICACIÓN'!$F$3:$F5618,'CLASFICACIÓN'!$G$3:$G5618=M1773)"),"2023 Y 2024")</f>
        <v>2023 Y 2024</v>
      </c>
      <c r="K1773" s="16"/>
      <c r="L1773" s="14" t="s">
        <v>129</v>
      </c>
      <c r="M1773" s="16" t="str">
        <f t="shared" si="1"/>
        <v>14924 DANIEL ALCIDES CARRION2 Primaria</v>
      </c>
      <c r="N1773" s="17"/>
      <c r="O1773" s="17"/>
      <c r="P1773" s="17"/>
      <c r="Q1773" s="17"/>
      <c r="R1773" s="17"/>
      <c r="S1773" s="17"/>
      <c r="T1773" s="17"/>
    </row>
    <row r="1774">
      <c r="A1774" s="21">
        <v>577.0</v>
      </c>
      <c r="B1774" s="20" t="s">
        <v>48</v>
      </c>
      <c r="C1774" s="20" t="s">
        <v>14</v>
      </c>
      <c r="D1774" s="20" t="s">
        <v>15</v>
      </c>
      <c r="E1774" s="12" t="str">
        <f>IFERROR(__xludf.DUMMYFUNCTION("FILTER(colegios!$B$2:$B5618,colegios!$A$2:$A5618=L1774)"),"14924 DANIEL ALCIDES CARRION")</f>
        <v>14924 DANIEL ALCIDES CARRION</v>
      </c>
      <c r="F1774" s="14" t="s">
        <v>16</v>
      </c>
      <c r="G1774" s="20" t="s">
        <v>17</v>
      </c>
      <c r="H1774" s="14" t="s">
        <v>24</v>
      </c>
      <c r="I1774" s="22">
        <v>2023.0</v>
      </c>
      <c r="J1774" s="16" t="str">
        <f>IFERROR(__xludf.DUMMYFUNCTION("FILTER('CLASFICACIÓN'!$F$3:$F5618,'CLASFICACIÓN'!$G$3:$G5618=M1774)"),"2023 Y 2024")</f>
        <v>2023 Y 2024</v>
      </c>
      <c r="K1774" s="16"/>
      <c r="L1774" s="14" t="s">
        <v>129</v>
      </c>
      <c r="M1774" s="16" t="str">
        <f t="shared" si="1"/>
        <v>14924 DANIEL ALCIDES CARRION2 Primaria</v>
      </c>
      <c r="N1774" s="17"/>
      <c r="O1774" s="17"/>
      <c r="P1774" s="17"/>
      <c r="Q1774" s="17"/>
      <c r="R1774" s="17"/>
      <c r="S1774" s="17"/>
      <c r="T1774" s="17"/>
    </row>
    <row r="1775">
      <c r="A1775" s="21">
        <v>578.0</v>
      </c>
      <c r="B1775" s="20" t="s">
        <v>48</v>
      </c>
      <c r="C1775" s="20" t="s">
        <v>14</v>
      </c>
      <c r="D1775" s="20" t="s">
        <v>15</v>
      </c>
      <c r="E1775" s="12" t="str">
        <f>IFERROR(__xludf.DUMMYFUNCTION("FILTER(colegios!$B$2:$B5618,colegios!$A$2:$A5618=L1775)"),"14924 DANIEL ALCIDES CARRION")</f>
        <v>14924 DANIEL ALCIDES CARRION</v>
      </c>
      <c r="F1775" s="14" t="s">
        <v>16</v>
      </c>
      <c r="G1775" s="20" t="s">
        <v>17</v>
      </c>
      <c r="H1775" s="14" t="s">
        <v>24</v>
      </c>
      <c r="I1775" s="22">
        <v>2023.0</v>
      </c>
      <c r="J1775" s="16" t="str">
        <f>IFERROR(__xludf.DUMMYFUNCTION("FILTER('CLASFICACIÓN'!$F$3:$F5618,'CLASFICACIÓN'!$G$3:$G5618=M1775)"),"2023 Y 2024")</f>
        <v>2023 Y 2024</v>
      </c>
      <c r="K1775" s="16"/>
      <c r="L1775" s="14" t="s">
        <v>129</v>
      </c>
      <c r="M1775" s="16" t="str">
        <f t="shared" si="1"/>
        <v>14924 DANIEL ALCIDES CARRION2 Primaria</v>
      </c>
      <c r="N1775" s="17"/>
      <c r="O1775" s="17"/>
      <c r="P1775" s="17"/>
      <c r="Q1775" s="17"/>
      <c r="R1775" s="17"/>
      <c r="S1775" s="17"/>
      <c r="T1775" s="17"/>
    </row>
    <row r="1776">
      <c r="A1776" s="21">
        <v>579.0</v>
      </c>
      <c r="B1776" s="20" t="s">
        <v>48</v>
      </c>
      <c r="C1776" s="20" t="s">
        <v>14</v>
      </c>
      <c r="D1776" s="20" t="s">
        <v>15</v>
      </c>
      <c r="E1776" s="12" t="str">
        <f>IFERROR(__xludf.DUMMYFUNCTION("FILTER(colegios!$B$2:$B5618,colegios!$A$2:$A5618=L1776)"),"14924 DANIEL ALCIDES CARRION")</f>
        <v>14924 DANIEL ALCIDES CARRION</v>
      </c>
      <c r="F1776" s="14" t="s">
        <v>16</v>
      </c>
      <c r="G1776" s="20" t="s">
        <v>21</v>
      </c>
      <c r="H1776" s="14" t="s">
        <v>24</v>
      </c>
      <c r="I1776" s="22">
        <v>2023.0</v>
      </c>
      <c r="J1776" s="16" t="str">
        <f>IFERROR(__xludf.DUMMYFUNCTION("FILTER('CLASFICACIÓN'!$F$3:$F5618,'CLASFICACIÓN'!$G$3:$G5618=M1776)"),"2023 Y 2024")</f>
        <v>2023 Y 2024</v>
      </c>
      <c r="K1776" s="16"/>
      <c r="L1776" s="14" t="s">
        <v>129</v>
      </c>
      <c r="M1776" s="16" t="str">
        <f t="shared" si="1"/>
        <v>14924 DANIEL ALCIDES CARRION2 Primaria</v>
      </c>
      <c r="N1776" s="17"/>
      <c r="O1776" s="17"/>
      <c r="P1776" s="17"/>
      <c r="Q1776" s="17"/>
      <c r="R1776" s="17"/>
      <c r="S1776" s="17"/>
      <c r="T1776" s="17"/>
    </row>
    <row r="1777">
      <c r="A1777" s="21">
        <v>580.0</v>
      </c>
      <c r="B1777" s="20" t="s">
        <v>48</v>
      </c>
      <c r="C1777" s="20" t="s">
        <v>14</v>
      </c>
      <c r="D1777" s="20" t="s">
        <v>15</v>
      </c>
      <c r="E1777" s="12" t="str">
        <f>IFERROR(__xludf.DUMMYFUNCTION("FILTER(colegios!$B$2:$B5618,colegios!$A$2:$A5618=L1777)"),"14924 DANIEL ALCIDES CARRION")</f>
        <v>14924 DANIEL ALCIDES CARRION</v>
      </c>
      <c r="F1777" s="14" t="s">
        <v>16</v>
      </c>
      <c r="G1777" s="20" t="s">
        <v>21</v>
      </c>
      <c r="H1777" s="14" t="s">
        <v>24</v>
      </c>
      <c r="I1777" s="22">
        <v>2023.0</v>
      </c>
      <c r="J1777" s="16" t="str">
        <f>IFERROR(__xludf.DUMMYFUNCTION("FILTER('CLASFICACIÓN'!$F$3:$F5618,'CLASFICACIÓN'!$G$3:$G5618=M1777)"),"2023 Y 2024")</f>
        <v>2023 Y 2024</v>
      </c>
      <c r="K1777" s="16"/>
      <c r="L1777" s="14" t="s">
        <v>129</v>
      </c>
      <c r="M1777" s="16" t="str">
        <f t="shared" si="1"/>
        <v>14924 DANIEL ALCIDES CARRION2 Primaria</v>
      </c>
      <c r="N1777" s="17"/>
      <c r="O1777" s="17"/>
      <c r="P1777" s="17"/>
      <c r="Q1777" s="17"/>
      <c r="R1777" s="17"/>
      <c r="S1777" s="17"/>
      <c r="T1777" s="17"/>
    </row>
    <row r="1778">
      <c r="A1778" s="21">
        <v>581.0</v>
      </c>
      <c r="B1778" s="20" t="s">
        <v>48</v>
      </c>
      <c r="C1778" s="20" t="s">
        <v>14</v>
      </c>
      <c r="D1778" s="20" t="s">
        <v>15</v>
      </c>
      <c r="E1778" s="12" t="str">
        <f>IFERROR(__xludf.DUMMYFUNCTION("FILTER(colegios!$B$2:$B5618,colegios!$A$2:$A5618=L1778)"),"14924 DANIEL ALCIDES CARRION")</f>
        <v>14924 DANIEL ALCIDES CARRION</v>
      </c>
      <c r="F1778" s="14" t="s">
        <v>16</v>
      </c>
      <c r="G1778" s="20" t="s">
        <v>17</v>
      </c>
      <c r="H1778" s="14" t="s">
        <v>18</v>
      </c>
      <c r="I1778" s="22">
        <v>2023.0</v>
      </c>
      <c r="J1778" s="16" t="str">
        <f>IFERROR(__xludf.DUMMYFUNCTION("FILTER('CLASFICACIÓN'!$F$3:$F5618,'CLASFICACIÓN'!$G$3:$G5618=M1778)"),"2023 Y 2024")</f>
        <v>2023 Y 2024</v>
      </c>
      <c r="K1778" s="16"/>
      <c r="L1778" s="14" t="s">
        <v>129</v>
      </c>
      <c r="M1778" s="16" t="str">
        <f t="shared" si="1"/>
        <v>14924 DANIEL ALCIDES CARRION2 Primaria</v>
      </c>
      <c r="N1778" s="17"/>
      <c r="O1778" s="17"/>
      <c r="P1778" s="17"/>
      <c r="Q1778" s="17"/>
      <c r="R1778" s="17"/>
      <c r="S1778" s="17"/>
      <c r="T1778" s="17"/>
    </row>
    <row r="1779">
      <c r="A1779" s="21">
        <v>582.0</v>
      </c>
      <c r="B1779" s="20" t="s">
        <v>48</v>
      </c>
      <c r="C1779" s="20" t="s">
        <v>14</v>
      </c>
      <c r="D1779" s="20" t="s">
        <v>15</v>
      </c>
      <c r="E1779" s="12" t="str">
        <f>IFERROR(__xludf.DUMMYFUNCTION("FILTER(colegios!$B$2:$B5618,colegios!$A$2:$A5618=L1779)"),"14924 DANIEL ALCIDES CARRION")</f>
        <v>14924 DANIEL ALCIDES CARRION</v>
      </c>
      <c r="F1779" s="14" t="s">
        <v>16</v>
      </c>
      <c r="G1779" s="20" t="s">
        <v>17</v>
      </c>
      <c r="H1779" s="14" t="s">
        <v>24</v>
      </c>
      <c r="I1779" s="22">
        <v>2023.0</v>
      </c>
      <c r="J1779" s="16" t="str">
        <f>IFERROR(__xludf.DUMMYFUNCTION("FILTER('CLASFICACIÓN'!$F$3:$F5618,'CLASFICACIÓN'!$G$3:$G5618=M1779)"),"2023 Y 2024")</f>
        <v>2023 Y 2024</v>
      </c>
      <c r="K1779" s="16"/>
      <c r="L1779" s="14" t="s">
        <v>129</v>
      </c>
      <c r="M1779" s="16" t="str">
        <f t="shared" si="1"/>
        <v>14924 DANIEL ALCIDES CARRION2 Primaria</v>
      </c>
      <c r="N1779" s="17"/>
      <c r="O1779" s="17"/>
      <c r="P1779" s="17"/>
      <c r="Q1779" s="17"/>
      <c r="R1779" s="17"/>
      <c r="S1779" s="17"/>
      <c r="T1779" s="17"/>
    </row>
    <row r="1780">
      <c r="A1780" s="21">
        <v>583.0</v>
      </c>
      <c r="B1780" s="20" t="s">
        <v>48</v>
      </c>
      <c r="C1780" s="20" t="s">
        <v>14</v>
      </c>
      <c r="D1780" s="20" t="s">
        <v>15</v>
      </c>
      <c r="E1780" s="12" t="str">
        <f>IFERROR(__xludf.DUMMYFUNCTION("FILTER(colegios!$B$2:$B5618,colegios!$A$2:$A5618=L1780)"),"14924 DANIEL ALCIDES CARRION")</f>
        <v>14924 DANIEL ALCIDES CARRION</v>
      </c>
      <c r="F1780" s="14" t="s">
        <v>16</v>
      </c>
      <c r="G1780" s="20" t="s">
        <v>21</v>
      </c>
      <c r="H1780" s="14" t="s">
        <v>24</v>
      </c>
      <c r="I1780" s="22">
        <v>2023.0</v>
      </c>
      <c r="J1780" s="16" t="str">
        <f>IFERROR(__xludf.DUMMYFUNCTION("FILTER('CLASFICACIÓN'!$F$3:$F5618,'CLASFICACIÓN'!$G$3:$G5618=M1780)"),"2023 Y 2024")</f>
        <v>2023 Y 2024</v>
      </c>
      <c r="K1780" s="16"/>
      <c r="L1780" s="14" t="s">
        <v>129</v>
      </c>
      <c r="M1780" s="16" t="str">
        <f t="shared" si="1"/>
        <v>14924 DANIEL ALCIDES CARRION2 Primaria</v>
      </c>
      <c r="N1780" s="17"/>
      <c r="O1780" s="17"/>
      <c r="P1780" s="17"/>
      <c r="Q1780" s="17"/>
      <c r="R1780" s="17"/>
      <c r="S1780" s="17"/>
      <c r="T1780" s="17"/>
    </row>
    <row r="1781">
      <c r="A1781" s="21">
        <v>584.0</v>
      </c>
      <c r="B1781" s="20" t="s">
        <v>48</v>
      </c>
      <c r="C1781" s="20" t="s">
        <v>14</v>
      </c>
      <c r="D1781" s="20" t="s">
        <v>15</v>
      </c>
      <c r="E1781" s="12" t="str">
        <f>IFERROR(__xludf.DUMMYFUNCTION("FILTER(colegios!$B$2:$B5618,colegios!$A$2:$A5618=L1781)"),"14924 DANIEL ALCIDES CARRION")</f>
        <v>14924 DANIEL ALCIDES CARRION</v>
      </c>
      <c r="F1781" s="14" t="s">
        <v>16</v>
      </c>
      <c r="G1781" s="20" t="s">
        <v>17</v>
      </c>
      <c r="H1781" s="14" t="s">
        <v>24</v>
      </c>
      <c r="I1781" s="22">
        <v>2023.0</v>
      </c>
      <c r="J1781" s="16" t="str">
        <f>IFERROR(__xludf.DUMMYFUNCTION("FILTER('CLASFICACIÓN'!$F$3:$F5618,'CLASFICACIÓN'!$G$3:$G5618=M1781)"),"2023 Y 2024")</f>
        <v>2023 Y 2024</v>
      </c>
      <c r="K1781" s="16"/>
      <c r="L1781" s="14" t="s">
        <v>129</v>
      </c>
      <c r="M1781" s="16" t="str">
        <f t="shared" si="1"/>
        <v>14924 DANIEL ALCIDES CARRION2 Primaria</v>
      </c>
      <c r="N1781" s="17"/>
      <c r="O1781" s="17"/>
      <c r="P1781" s="17"/>
      <c r="Q1781" s="17"/>
      <c r="R1781" s="17"/>
      <c r="S1781" s="17"/>
      <c r="T1781" s="17"/>
    </row>
    <row r="1782">
      <c r="A1782" s="21">
        <v>585.0</v>
      </c>
      <c r="B1782" s="20" t="s">
        <v>48</v>
      </c>
      <c r="C1782" s="20" t="s">
        <v>14</v>
      </c>
      <c r="D1782" s="20" t="s">
        <v>15</v>
      </c>
      <c r="E1782" s="12" t="str">
        <f>IFERROR(__xludf.DUMMYFUNCTION("FILTER(colegios!$B$2:$B5618,colegios!$A$2:$A5618=L1782)"),"14924 DANIEL ALCIDES CARRION")</f>
        <v>14924 DANIEL ALCIDES CARRION</v>
      </c>
      <c r="F1782" s="14" t="s">
        <v>16</v>
      </c>
      <c r="G1782" s="20" t="s">
        <v>17</v>
      </c>
      <c r="H1782" s="14" t="s">
        <v>24</v>
      </c>
      <c r="I1782" s="22">
        <v>2023.0</v>
      </c>
      <c r="J1782" s="16" t="str">
        <f>IFERROR(__xludf.DUMMYFUNCTION("FILTER('CLASFICACIÓN'!$F$3:$F5618,'CLASFICACIÓN'!$G$3:$G5618=M1782)"),"2023 Y 2024")</f>
        <v>2023 Y 2024</v>
      </c>
      <c r="K1782" s="16"/>
      <c r="L1782" s="14" t="s">
        <v>129</v>
      </c>
      <c r="M1782" s="16" t="str">
        <f t="shared" si="1"/>
        <v>14924 DANIEL ALCIDES CARRION2 Primaria</v>
      </c>
      <c r="N1782" s="17"/>
      <c r="O1782" s="17"/>
      <c r="P1782" s="17"/>
      <c r="Q1782" s="17"/>
      <c r="R1782" s="17"/>
      <c r="S1782" s="17"/>
      <c r="T1782" s="17"/>
    </row>
    <row r="1783">
      <c r="A1783" s="21">
        <v>586.0</v>
      </c>
      <c r="B1783" s="20" t="s">
        <v>48</v>
      </c>
      <c r="C1783" s="20" t="s">
        <v>14</v>
      </c>
      <c r="D1783" s="20" t="s">
        <v>15</v>
      </c>
      <c r="E1783" s="12" t="str">
        <f>IFERROR(__xludf.DUMMYFUNCTION("FILTER(colegios!$B$2:$B5618,colegios!$A$2:$A5618=L1783)"),"14924 DANIEL ALCIDES CARRION")</f>
        <v>14924 DANIEL ALCIDES CARRION</v>
      </c>
      <c r="F1783" s="14" t="s">
        <v>16</v>
      </c>
      <c r="G1783" s="20" t="s">
        <v>17</v>
      </c>
      <c r="H1783" s="14" t="s">
        <v>24</v>
      </c>
      <c r="I1783" s="22">
        <v>2023.0</v>
      </c>
      <c r="J1783" s="16" t="str">
        <f>IFERROR(__xludf.DUMMYFUNCTION("FILTER('CLASFICACIÓN'!$F$3:$F5618,'CLASFICACIÓN'!$G$3:$G5618=M1783)"),"2023 Y 2024")</f>
        <v>2023 Y 2024</v>
      </c>
      <c r="K1783" s="16"/>
      <c r="L1783" s="14" t="s">
        <v>129</v>
      </c>
      <c r="M1783" s="16" t="str">
        <f t="shared" si="1"/>
        <v>14924 DANIEL ALCIDES CARRION2 Primaria</v>
      </c>
      <c r="N1783" s="17"/>
      <c r="O1783" s="17"/>
      <c r="P1783" s="17"/>
      <c r="Q1783" s="17"/>
      <c r="R1783" s="17"/>
      <c r="S1783" s="17"/>
      <c r="T1783" s="17"/>
    </row>
    <row r="1784">
      <c r="A1784" s="21">
        <v>587.0</v>
      </c>
      <c r="B1784" s="20" t="s">
        <v>48</v>
      </c>
      <c r="C1784" s="20" t="s">
        <v>14</v>
      </c>
      <c r="D1784" s="20" t="s">
        <v>15</v>
      </c>
      <c r="E1784" s="12" t="str">
        <f>IFERROR(__xludf.DUMMYFUNCTION("FILTER(colegios!$B$2:$B5618,colegios!$A$2:$A5618=L1784)"),"14924 DANIEL ALCIDES CARRION")</f>
        <v>14924 DANIEL ALCIDES CARRION</v>
      </c>
      <c r="F1784" s="14" t="s">
        <v>16</v>
      </c>
      <c r="G1784" s="20" t="s">
        <v>17</v>
      </c>
      <c r="H1784" s="14" t="s">
        <v>24</v>
      </c>
      <c r="I1784" s="22">
        <v>2023.0</v>
      </c>
      <c r="J1784" s="16" t="str">
        <f>IFERROR(__xludf.DUMMYFUNCTION("FILTER('CLASFICACIÓN'!$F$3:$F5618,'CLASFICACIÓN'!$G$3:$G5618=M1784)"),"2023 Y 2024")</f>
        <v>2023 Y 2024</v>
      </c>
      <c r="K1784" s="16"/>
      <c r="L1784" s="14" t="s">
        <v>129</v>
      </c>
      <c r="M1784" s="16" t="str">
        <f t="shared" si="1"/>
        <v>14924 DANIEL ALCIDES CARRION2 Primaria</v>
      </c>
      <c r="N1784" s="17"/>
      <c r="O1784" s="17"/>
      <c r="P1784" s="17"/>
      <c r="Q1784" s="17"/>
      <c r="R1784" s="17"/>
      <c r="S1784" s="17"/>
      <c r="T1784" s="17"/>
    </row>
    <row r="1785">
      <c r="A1785" s="21">
        <v>588.0</v>
      </c>
      <c r="B1785" s="20" t="s">
        <v>48</v>
      </c>
      <c r="C1785" s="20" t="s">
        <v>14</v>
      </c>
      <c r="D1785" s="20" t="s">
        <v>15</v>
      </c>
      <c r="E1785" s="12" t="str">
        <f>IFERROR(__xludf.DUMMYFUNCTION("FILTER(colegios!$B$2:$B5618,colegios!$A$2:$A5618=L1785)"),"14924 DANIEL ALCIDES CARRION")</f>
        <v>14924 DANIEL ALCIDES CARRION</v>
      </c>
      <c r="F1785" s="14" t="s">
        <v>16</v>
      </c>
      <c r="G1785" s="20" t="s">
        <v>21</v>
      </c>
      <c r="H1785" s="14" t="s">
        <v>24</v>
      </c>
      <c r="I1785" s="22">
        <v>2023.0</v>
      </c>
      <c r="J1785" s="16" t="str">
        <f>IFERROR(__xludf.DUMMYFUNCTION("FILTER('CLASFICACIÓN'!$F$3:$F5618,'CLASFICACIÓN'!$G$3:$G5618=M1785)"),"2023 Y 2024")</f>
        <v>2023 Y 2024</v>
      </c>
      <c r="K1785" s="16"/>
      <c r="L1785" s="14" t="s">
        <v>129</v>
      </c>
      <c r="M1785" s="16" t="str">
        <f t="shared" si="1"/>
        <v>14924 DANIEL ALCIDES CARRION2 Primaria</v>
      </c>
      <c r="N1785" s="17"/>
      <c r="O1785" s="17"/>
      <c r="P1785" s="17"/>
      <c r="Q1785" s="17"/>
      <c r="R1785" s="17"/>
      <c r="S1785" s="17"/>
      <c r="T1785" s="17"/>
    </row>
    <row r="1786">
      <c r="A1786" s="21">
        <v>589.0</v>
      </c>
      <c r="B1786" s="20" t="s">
        <v>48</v>
      </c>
      <c r="C1786" s="20" t="s">
        <v>14</v>
      </c>
      <c r="D1786" s="20" t="s">
        <v>15</v>
      </c>
      <c r="E1786" s="12" t="str">
        <f>IFERROR(__xludf.DUMMYFUNCTION("FILTER(colegios!$B$2:$B5618,colegios!$A$2:$A5618=L1786)"),"14924 DANIEL ALCIDES CARRION")</f>
        <v>14924 DANIEL ALCIDES CARRION</v>
      </c>
      <c r="F1786" s="14" t="s">
        <v>16</v>
      </c>
      <c r="G1786" s="20" t="s">
        <v>21</v>
      </c>
      <c r="H1786" s="14" t="s">
        <v>24</v>
      </c>
      <c r="I1786" s="22">
        <v>2023.0</v>
      </c>
      <c r="J1786" s="16" t="str">
        <f>IFERROR(__xludf.DUMMYFUNCTION("FILTER('CLASFICACIÓN'!$F$3:$F5618,'CLASFICACIÓN'!$G$3:$G5618=M1786)"),"2023 Y 2024")</f>
        <v>2023 Y 2024</v>
      </c>
      <c r="K1786" s="16"/>
      <c r="L1786" s="14" t="s">
        <v>129</v>
      </c>
      <c r="M1786" s="16" t="str">
        <f t="shared" si="1"/>
        <v>14924 DANIEL ALCIDES CARRION2 Primaria</v>
      </c>
      <c r="N1786" s="17"/>
      <c r="O1786" s="17"/>
      <c r="P1786" s="17"/>
      <c r="Q1786" s="17"/>
      <c r="R1786" s="17"/>
      <c r="S1786" s="17"/>
      <c r="T1786" s="17"/>
    </row>
    <row r="1787">
      <c r="A1787" s="21">
        <v>590.0</v>
      </c>
      <c r="B1787" s="20" t="s">
        <v>48</v>
      </c>
      <c r="C1787" s="20" t="s">
        <v>14</v>
      </c>
      <c r="D1787" s="20" t="s">
        <v>15</v>
      </c>
      <c r="E1787" s="12" t="str">
        <f>IFERROR(__xludf.DUMMYFUNCTION("FILTER(colegios!$B$2:$B5618,colegios!$A$2:$A5618=L1787)"),"14924 DANIEL ALCIDES CARRION")</f>
        <v>14924 DANIEL ALCIDES CARRION</v>
      </c>
      <c r="F1787" s="14" t="s">
        <v>16</v>
      </c>
      <c r="G1787" s="20" t="s">
        <v>21</v>
      </c>
      <c r="H1787" s="14" t="s">
        <v>18</v>
      </c>
      <c r="I1787" s="22">
        <v>2023.0</v>
      </c>
      <c r="J1787" s="16" t="str">
        <f>IFERROR(__xludf.DUMMYFUNCTION("FILTER('CLASFICACIÓN'!$F$3:$F5618,'CLASFICACIÓN'!$G$3:$G5618=M1787)"),"2023 Y 2024")</f>
        <v>2023 Y 2024</v>
      </c>
      <c r="K1787" s="16"/>
      <c r="L1787" s="14" t="s">
        <v>129</v>
      </c>
      <c r="M1787" s="16" t="str">
        <f t="shared" si="1"/>
        <v>14924 DANIEL ALCIDES CARRION2 Primaria</v>
      </c>
      <c r="N1787" s="17"/>
      <c r="O1787" s="17"/>
      <c r="P1787" s="17"/>
      <c r="Q1787" s="17"/>
      <c r="R1787" s="17"/>
      <c r="S1787" s="17"/>
      <c r="T1787" s="17"/>
    </row>
    <row r="1788">
      <c r="A1788" s="21">
        <v>591.0</v>
      </c>
      <c r="B1788" s="20" t="s">
        <v>48</v>
      </c>
      <c r="C1788" s="20" t="s">
        <v>14</v>
      </c>
      <c r="D1788" s="20" t="s">
        <v>15</v>
      </c>
      <c r="E1788" s="12" t="str">
        <f>IFERROR(__xludf.DUMMYFUNCTION("FILTER(colegios!$B$2:$B5618,colegios!$A$2:$A5618=L1788)"),"14924 DANIEL ALCIDES CARRION")</f>
        <v>14924 DANIEL ALCIDES CARRION</v>
      </c>
      <c r="F1788" s="14" t="s">
        <v>16</v>
      </c>
      <c r="G1788" s="20" t="s">
        <v>17</v>
      </c>
      <c r="H1788" s="14" t="s">
        <v>24</v>
      </c>
      <c r="I1788" s="22">
        <v>2023.0</v>
      </c>
      <c r="J1788" s="16" t="str">
        <f>IFERROR(__xludf.DUMMYFUNCTION("FILTER('CLASFICACIÓN'!$F$3:$F5618,'CLASFICACIÓN'!$G$3:$G5618=M1788)"),"2023 Y 2024")</f>
        <v>2023 Y 2024</v>
      </c>
      <c r="K1788" s="16"/>
      <c r="L1788" s="14" t="s">
        <v>129</v>
      </c>
      <c r="M1788" s="16" t="str">
        <f t="shared" si="1"/>
        <v>14924 DANIEL ALCIDES CARRION2 Primaria</v>
      </c>
      <c r="N1788" s="17"/>
      <c r="O1788" s="17"/>
      <c r="P1788" s="17"/>
      <c r="Q1788" s="17"/>
      <c r="R1788" s="17"/>
      <c r="S1788" s="17"/>
      <c r="T1788" s="17"/>
    </row>
    <row r="1789">
      <c r="A1789" s="21">
        <v>592.0</v>
      </c>
      <c r="B1789" s="20" t="s">
        <v>48</v>
      </c>
      <c r="C1789" s="20" t="s">
        <v>14</v>
      </c>
      <c r="D1789" s="20" t="s">
        <v>15</v>
      </c>
      <c r="E1789" s="12" t="str">
        <f>IFERROR(__xludf.DUMMYFUNCTION("FILTER(colegios!$B$2:$B5618,colegios!$A$2:$A5618=L1789)"),"14924 DANIEL ALCIDES CARRION")</f>
        <v>14924 DANIEL ALCIDES CARRION</v>
      </c>
      <c r="F1789" s="14" t="s">
        <v>16</v>
      </c>
      <c r="G1789" s="20" t="s">
        <v>21</v>
      </c>
      <c r="H1789" s="14" t="s">
        <v>18</v>
      </c>
      <c r="I1789" s="22">
        <v>2023.0</v>
      </c>
      <c r="J1789" s="16" t="str">
        <f>IFERROR(__xludf.DUMMYFUNCTION("FILTER('CLASFICACIÓN'!$F$3:$F5618,'CLASFICACIÓN'!$G$3:$G5618=M1789)"),"2023 Y 2024")</f>
        <v>2023 Y 2024</v>
      </c>
      <c r="K1789" s="16"/>
      <c r="L1789" s="14" t="s">
        <v>129</v>
      </c>
      <c r="M1789" s="16" t="str">
        <f t="shared" si="1"/>
        <v>14924 DANIEL ALCIDES CARRION2 Primaria</v>
      </c>
      <c r="N1789" s="17"/>
      <c r="O1789" s="17"/>
      <c r="P1789" s="17"/>
      <c r="Q1789" s="17"/>
      <c r="R1789" s="17"/>
      <c r="S1789" s="17"/>
      <c r="T1789" s="17"/>
    </row>
    <row r="1790">
      <c r="A1790" s="21">
        <v>593.0</v>
      </c>
      <c r="B1790" s="20" t="s">
        <v>48</v>
      </c>
      <c r="C1790" s="20" t="s">
        <v>14</v>
      </c>
      <c r="D1790" s="20" t="s">
        <v>15</v>
      </c>
      <c r="E1790" s="12" t="str">
        <f>IFERROR(__xludf.DUMMYFUNCTION("FILTER(colegios!$B$2:$B5618,colegios!$A$2:$A5618=L1790)"),"14924 DANIEL ALCIDES CARRION")</f>
        <v>14924 DANIEL ALCIDES CARRION</v>
      </c>
      <c r="F1790" s="14" t="s">
        <v>16</v>
      </c>
      <c r="G1790" s="20" t="s">
        <v>17</v>
      </c>
      <c r="H1790" s="14" t="s">
        <v>24</v>
      </c>
      <c r="I1790" s="22">
        <v>2023.0</v>
      </c>
      <c r="J1790" s="16" t="str">
        <f>IFERROR(__xludf.DUMMYFUNCTION("FILTER('CLASFICACIÓN'!$F$3:$F5618,'CLASFICACIÓN'!$G$3:$G5618=M1790)"),"2023 Y 2024")</f>
        <v>2023 Y 2024</v>
      </c>
      <c r="K1790" s="16"/>
      <c r="L1790" s="14" t="s">
        <v>129</v>
      </c>
      <c r="M1790" s="16" t="str">
        <f t="shared" si="1"/>
        <v>14924 DANIEL ALCIDES CARRION2 Primaria</v>
      </c>
      <c r="N1790" s="17"/>
      <c r="O1790" s="17"/>
      <c r="P1790" s="17"/>
      <c r="Q1790" s="17"/>
      <c r="R1790" s="17"/>
      <c r="S1790" s="17"/>
      <c r="T1790" s="17"/>
    </row>
    <row r="1791">
      <c r="A1791" s="21">
        <v>594.0</v>
      </c>
      <c r="B1791" s="20" t="s">
        <v>48</v>
      </c>
      <c r="C1791" s="20" t="s">
        <v>14</v>
      </c>
      <c r="D1791" s="20" t="s">
        <v>15</v>
      </c>
      <c r="E1791" s="12" t="str">
        <f>IFERROR(__xludf.DUMMYFUNCTION("FILTER(colegios!$B$2:$B5618,colegios!$A$2:$A5618=L1791)"),"14924 DANIEL ALCIDES CARRION")</f>
        <v>14924 DANIEL ALCIDES CARRION</v>
      </c>
      <c r="F1791" s="14" t="s">
        <v>16</v>
      </c>
      <c r="G1791" s="20" t="s">
        <v>21</v>
      </c>
      <c r="H1791" s="14" t="s">
        <v>24</v>
      </c>
      <c r="I1791" s="22">
        <v>2023.0</v>
      </c>
      <c r="J1791" s="16" t="str">
        <f>IFERROR(__xludf.DUMMYFUNCTION("FILTER('CLASFICACIÓN'!$F$3:$F5618,'CLASFICACIÓN'!$G$3:$G5618=M1791)"),"2023 Y 2024")</f>
        <v>2023 Y 2024</v>
      </c>
      <c r="K1791" s="16"/>
      <c r="L1791" s="14" t="s">
        <v>129</v>
      </c>
      <c r="M1791" s="16" t="str">
        <f t="shared" si="1"/>
        <v>14924 DANIEL ALCIDES CARRION2 Primaria</v>
      </c>
      <c r="N1791" s="17"/>
      <c r="O1791" s="17"/>
      <c r="P1791" s="17"/>
      <c r="Q1791" s="17"/>
      <c r="R1791" s="17"/>
      <c r="S1791" s="17"/>
      <c r="T1791" s="17"/>
    </row>
    <row r="1792">
      <c r="A1792" s="21">
        <v>595.0</v>
      </c>
      <c r="B1792" s="20" t="s">
        <v>48</v>
      </c>
      <c r="C1792" s="20" t="s">
        <v>14</v>
      </c>
      <c r="D1792" s="20" t="s">
        <v>15</v>
      </c>
      <c r="E1792" s="12" t="str">
        <f>IFERROR(__xludf.DUMMYFUNCTION("FILTER(colegios!$B$2:$B5618,colegios!$A$2:$A5618=L1792)"),"14924 DANIEL ALCIDES CARRION")</f>
        <v>14924 DANIEL ALCIDES CARRION</v>
      </c>
      <c r="F1792" s="14" t="s">
        <v>16</v>
      </c>
      <c r="G1792" s="20" t="s">
        <v>21</v>
      </c>
      <c r="H1792" s="14" t="s">
        <v>24</v>
      </c>
      <c r="I1792" s="22">
        <v>2023.0</v>
      </c>
      <c r="J1792" s="16" t="str">
        <f>IFERROR(__xludf.DUMMYFUNCTION("FILTER('CLASFICACIÓN'!$F$3:$F5618,'CLASFICACIÓN'!$G$3:$G5618=M1792)"),"2023 Y 2024")</f>
        <v>2023 Y 2024</v>
      </c>
      <c r="K1792" s="16"/>
      <c r="L1792" s="14" t="s">
        <v>129</v>
      </c>
      <c r="M1792" s="16" t="str">
        <f t="shared" si="1"/>
        <v>14924 DANIEL ALCIDES CARRION2 Primaria</v>
      </c>
      <c r="N1792" s="17"/>
      <c r="O1792" s="17"/>
      <c r="P1792" s="17"/>
      <c r="Q1792" s="17"/>
      <c r="R1792" s="17"/>
      <c r="S1792" s="17"/>
      <c r="T1792" s="17"/>
    </row>
    <row r="1793">
      <c r="A1793" s="21">
        <v>596.0</v>
      </c>
      <c r="B1793" s="20" t="s">
        <v>48</v>
      </c>
      <c r="C1793" s="20" t="s">
        <v>14</v>
      </c>
      <c r="D1793" s="20" t="s">
        <v>15</v>
      </c>
      <c r="E1793" s="12" t="str">
        <f>IFERROR(__xludf.DUMMYFUNCTION("FILTER(colegios!$B$2:$B5618,colegios!$A$2:$A5618=L1793)"),"14924 DANIEL ALCIDES CARRION")</f>
        <v>14924 DANIEL ALCIDES CARRION</v>
      </c>
      <c r="F1793" s="14" t="s">
        <v>16</v>
      </c>
      <c r="G1793" s="20" t="s">
        <v>17</v>
      </c>
      <c r="H1793" s="14" t="s">
        <v>24</v>
      </c>
      <c r="I1793" s="22">
        <v>2023.0</v>
      </c>
      <c r="J1793" s="16" t="str">
        <f>IFERROR(__xludf.DUMMYFUNCTION("FILTER('CLASFICACIÓN'!$F$3:$F5618,'CLASFICACIÓN'!$G$3:$G5618=M1793)"),"2023 Y 2024")</f>
        <v>2023 Y 2024</v>
      </c>
      <c r="K1793" s="16"/>
      <c r="L1793" s="14" t="s">
        <v>129</v>
      </c>
      <c r="M1793" s="16" t="str">
        <f t="shared" si="1"/>
        <v>14924 DANIEL ALCIDES CARRION2 Primaria</v>
      </c>
      <c r="N1793" s="17"/>
      <c r="O1793" s="17"/>
      <c r="P1793" s="17"/>
      <c r="Q1793" s="17"/>
      <c r="R1793" s="17"/>
      <c r="S1793" s="17"/>
      <c r="T1793" s="17"/>
    </row>
    <row r="1794">
      <c r="A1794" s="21">
        <v>597.0</v>
      </c>
      <c r="B1794" s="20" t="s">
        <v>48</v>
      </c>
      <c r="C1794" s="20" t="s">
        <v>14</v>
      </c>
      <c r="D1794" s="20" t="s">
        <v>15</v>
      </c>
      <c r="E1794" s="12" t="str">
        <f>IFERROR(__xludf.DUMMYFUNCTION("FILTER(colegios!$B$2:$B5618,colegios!$A$2:$A5618=L1794)"),"14924 DANIEL ALCIDES CARRION")</f>
        <v>14924 DANIEL ALCIDES CARRION</v>
      </c>
      <c r="F1794" s="14" t="s">
        <v>16</v>
      </c>
      <c r="G1794" s="20" t="s">
        <v>17</v>
      </c>
      <c r="H1794" s="14" t="s">
        <v>24</v>
      </c>
      <c r="I1794" s="22">
        <v>2023.0</v>
      </c>
      <c r="J1794" s="16" t="str">
        <f>IFERROR(__xludf.DUMMYFUNCTION("FILTER('CLASFICACIÓN'!$F$3:$F5618,'CLASFICACIÓN'!$G$3:$G5618=M1794)"),"2023 Y 2024")</f>
        <v>2023 Y 2024</v>
      </c>
      <c r="K1794" s="16"/>
      <c r="L1794" s="14" t="s">
        <v>129</v>
      </c>
      <c r="M1794" s="16" t="str">
        <f t="shared" si="1"/>
        <v>14924 DANIEL ALCIDES CARRION2 Primaria</v>
      </c>
      <c r="N1794" s="17"/>
      <c r="O1794" s="17"/>
      <c r="P1794" s="17"/>
      <c r="Q1794" s="17"/>
      <c r="R1794" s="17"/>
      <c r="S1794" s="17"/>
      <c r="T1794" s="17"/>
    </row>
    <row r="1795">
      <c r="A1795" s="21">
        <v>598.0</v>
      </c>
      <c r="B1795" s="20" t="s">
        <v>48</v>
      </c>
      <c r="C1795" s="20" t="s">
        <v>14</v>
      </c>
      <c r="D1795" s="20" t="s">
        <v>15</v>
      </c>
      <c r="E1795" s="12" t="str">
        <f>IFERROR(__xludf.DUMMYFUNCTION("FILTER(colegios!$B$2:$B5618,colegios!$A$2:$A5618=L1795)"),"14924 DANIEL ALCIDES CARRION")</f>
        <v>14924 DANIEL ALCIDES CARRION</v>
      </c>
      <c r="F1795" s="14" t="s">
        <v>16</v>
      </c>
      <c r="G1795" s="20" t="s">
        <v>17</v>
      </c>
      <c r="H1795" s="14" t="s">
        <v>24</v>
      </c>
      <c r="I1795" s="22">
        <v>2023.0</v>
      </c>
      <c r="J1795" s="16" t="str">
        <f>IFERROR(__xludf.DUMMYFUNCTION("FILTER('CLASFICACIÓN'!$F$3:$F5618,'CLASFICACIÓN'!$G$3:$G5618=M1795)"),"2023 Y 2024")</f>
        <v>2023 Y 2024</v>
      </c>
      <c r="K1795" s="16"/>
      <c r="L1795" s="14" t="s">
        <v>129</v>
      </c>
      <c r="M1795" s="16" t="str">
        <f t="shared" si="1"/>
        <v>14924 DANIEL ALCIDES CARRION2 Primaria</v>
      </c>
      <c r="N1795" s="17"/>
      <c r="O1795" s="17"/>
      <c r="P1795" s="17"/>
      <c r="Q1795" s="17"/>
      <c r="R1795" s="17"/>
      <c r="S1795" s="17"/>
      <c r="T1795" s="17"/>
    </row>
    <row r="1796">
      <c r="A1796" s="21">
        <v>599.0</v>
      </c>
      <c r="B1796" s="20" t="s">
        <v>48</v>
      </c>
      <c r="C1796" s="20" t="s">
        <v>14</v>
      </c>
      <c r="D1796" s="20" t="s">
        <v>15</v>
      </c>
      <c r="E1796" s="12" t="str">
        <f>IFERROR(__xludf.DUMMYFUNCTION("FILTER(colegios!$B$2:$B5618,colegios!$A$2:$A5618=L1796)"),"14924 DANIEL ALCIDES CARRION")</f>
        <v>14924 DANIEL ALCIDES CARRION</v>
      </c>
      <c r="F1796" s="14" t="s">
        <v>16</v>
      </c>
      <c r="G1796" s="20" t="s">
        <v>21</v>
      </c>
      <c r="H1796" s="14" t="s">
        <v>24</v>
      </c>
      <c r="I1796" s="22">
        <v>2023.0</v>
      </c>
      <c r="J1796" s="16" t="str">
        <f>IFERROR(__xludf.DUMMYFUNCTION("FILTER('CLASFICACIÓN'!$F$3:$F5618,'CLASFICACIÓN'!$G$3:$G5618=M1796)"),"2023 Y 2024")</f>
        <v>2023 Y 2024</v>
      </c>
      <c r="K1796" s="16"/>
      <c r="L1796" s="14" t="s">
        <v>129</v>
      </c>
      <c r="M1796" s="16" t="str">
        <f t="shared" si="1"/>
        <v>14924 DANIEL ALCIDES CARRION2 Primaria</v>
      </c>
      <c r="N1796" s="17"/>
      <c r="O1796" s="17"/>
      <c r="P1796" s="17"/>
      <c r="Q1796" s="17"/>
      <c r="R1796" s="17"/>
      <c r="S1796" s="17"/>
      <c r="T1796" s="17"/>
    </row>
    <row r="1797">
      <c r="A1797" s="21">
        <v>600.0</v>
      </c>
      <c r="B1797" s="20" t="s">
        <v>48</v>
      </c>
      <c r="C1797" s="20" t="s">
        <v>14</v>
      </c>
      <c r="D1797" s="20" t="s">
        <v>15</v>
      </c>
      <c r="E1797" s="12" t="str">
        <f>IFERROR(__xludf.DUMMYFUNCTION("FILTER(colegios!$B$2:$B5618,colegios!$A$2:$A5618=L1797)"),"14924 DANIEL ALCIDES CARRION")</f>
        <v>14924 DANIEL ALCIDES CARRION</v>
      </c>
      <c r="F1797" s="14" t="s">
        <v>16</v>
      </c>
      <c r="G1797" s="20" t="s">
        <v>21</v>
      </c>
      <c r="H1797" s="14" t="s">
        <v>24</v>
      </c>
      <c r="I1797" s="22">
        <v>2023.0</v>
      </c>
      <c r="J1797" s="16" t="str">
        <f>IFERROR(__xludf.DUMMYFUNCTION("FILTER('CLASFICACIÓN'!$F$3:$F5618,'CLASFICACIÓN'!$G$3:$G5618=M1797)"),"2023 Y 2024")</f>
        <v>2023 Y 2024</v>
      </c>
      <c r="K1797" s="16"/>
      <c r="L1797" s="14" t="s">
        <v>129</v>
      </c>
      <c r="M1797" s="16" t="str">
        <f t="shared" si="1"/>
        <v>14924 DANIEL ALCIDES CARRION2 Primaria</v>
      </c>
      <c r="N1797" s="17"/>
      <c r="O1797" s="17"/>
      <c r="P1797" s="17"/>
      <c r="Q1797" s="17"/>
      <c r="R1797" s="17"/>
      <c r="S1797" s="17"/>
      <c r="T1797" s="17"/>
    </row>
    <row r="1798">
      <c r="A1798" s="21">
        <v>601.0</v>
      </c>
      <c r="B1798" s="20" t="s">
        <v>48</v>
      </c>
      <c r="C1798" s="20" t="s">
        <v>14</v>
      </c>
      <c r="D1798" s="20" t="s">
        <v>15</v>
      </c>
      <c r="E1798" s="12" t="str">
        <f>IFERROR(__xludf.DUMMYFUNCTION("FILTER(colegios!$B$2:$B5618,colegios!$A$2:$A5618=L1798)"),"14924 DANIEL ALCIDES CARRION")</f>
        <v>14924 DANIEL ALCIDES CARRION</v>
      </c>
      <c r="F1798" s="14" t="s">
        <v>16</v>
      </c>
      <c r="G1798" s="20" t="s">
        <v>21</v>
      </c>
      <c r="H1798" s="14" t="s">
        <v>24</v>
      </c>
      <c r="I1798" s="22">
        <v>2023.0</v>
      </c>
      <c r="J1798" s="16" t="str">
        <f>IFERROR(__xludf.DUMMYFUNCTION("FILTER('CLASFICACIÓN'!$F$3:$F5618,'CLASFICACIÓN'!$G$3:$G5618=M1798)"),"2023 Y 2024")</f>
        <v>2023 Y 2024</v>
      </c>
      <c r="K1798" s="16"/>
      <c r="L1798" s="14" t="s">
        <v>129</v>
      </c>
      <c r="M1798" s="16" t="str">
        <f t="shared" si="1"/>
        <v>14924 DANIEL ALCIDES CARRION2 Primaria</v>
      </c>
      <c r="N1798" s="17"/>
      <c r="O1798" s="17"/>
      <c r="P1798" s="17"/>
      <c r="Q1798" s="17"/>
      <c r="R1798" s="17"/>
      <c r="S1798" s="17"/>
      <c r="T1798" s="17"/>
    </row>
    <row r="1799">
      <c r="A1799" s="21">
        <v>602.0</v>
      </c>
      <c r="B1799" s="20" t="s">
        <v>48</v>
      </c>
      <c r="C1799" s="20" t="s">
        <v>14</v>
      </c>
      <c r="D1799" s="20" t="s">
        <v>15</v>
      </c>
      <c r="E1799" s="12" t="str">
        <f>IFERROR(__xludf.DUMMYFUNCTION("FILTER(colegios!$B$2:$B5618,colegios!$A$2:$A5618=L1799)"),"14924 DANIEL ALCIDES CARRION")</f>
        <v>14924 DANIEL ALCIDES CARRION</v>
      </c>
      <c r="F1799" s="14" t="s">
        <v>16</v>
      </c>
      <c r="G1799" s="20" t="s">
        <v>17</v>
      </c>
      <c r="H1799" s="14" t="s">
        <v>24</v>
      </c>
      <c r="I1799" s="22">
        <v>2023.0</v>
      </c>
      <c r="J1799" s="16" t="str">
        <f>IFERROR(__xludf.DUMMYFUNCTION("FILTER('CLASFICACIÓN'!$F$3:$F5618,'CLASFICACIÓN'!$G$3:$G5618=M1799)"),"2023 Y 2024")</f>
        <v>2023 Y 2024</v>
      </c>
      <c r="K1799" s="16"/>
      <c r="L1799" s="14" t="s">
        <v>129</v>
      </c>
      <c r="M1799" s="16" t="str">
        <f t="shared" si="1"/>
        <v>14924 DANIEL ALCIDES CARRION2 Primaria</v>
      </c>
      <c r="N1799" s="17"/>
      <c r="O1799" s="17"/>
      <c r="P1799" s="17"/>
      <c r="Q1799" s="17"/>
      <c r="R1799" s="17"/>
      <c r="S1799" s="17"/>
      <c r="T1799" s="17"/>
    </row>
    <row r="1800">
      <c r="A1800" s="21">
        <v>603.0</v>
      </c>
      <c r="B1800" s="20" t="s">
        <v>48</v>
      </c>
      <c r="C1800" s="20" t="s">
        <v>14</v>
      </c>
      <c r="D1800" s="20" t="s">
        <v>15</v>
      </c>
      <c r="E1800" s="12" t="str">
        <f>IFERROR(__xludf.DUMMYFUNCTION("FILTER(colegios!$B$2:$B5618,colegios!$A$2:$A5618=L1800)"),"14924 DANIEL ALCIDES CARRION")</f>
        <v>14924 DANIEL ALCIDES CARRION</v>
      </c>
      <c r="F1800" s="14" t="s">
        <v>16</v>
      </c>
      <c r="G1800" s="20" t="s">
        <v>21</v>
      </c>
      <c r="H1800" s="14" t="s">
        <v>24</v>
      </c>
      <c r="I1800" s="22">
        <v>2023.0</v>
      </c>
      <c r="J1800" s="16" t="str">
        <f>IFERROR(__xludf.DUMMYFUNCTION("FILTER('CLASFICACIÓN'!$F$3:$F5618,'CLASFICACIÓN'!$G$3:$G5618=M1800)"),"2023 Y 2024")</f>
        <v>2023 Y 2024</v>
      </c>
      <c r="K1800" s="16"/>
      <c r="L1800" s="14" t="s">
        <v>129</v>
      </c>
      <c r="M1800" s="16" t="str">
        <f t="shared" si="1"/>
        <v>14924 DANIEL ALCIDES CARRION2 Primaria</v>
      </c>
      <c r="N1800" s="17"/>
      <c r="O1800" s="17"/>
      <c r="P1800" s="17"/>
      <c r="Q1800" s="17"/>
      <c r="R1800" s="17"/>
      <c r="S1800" s="17"/>
      <c r="T1800" s="17"/>
    </row>
    <row r="1801">
      <c r="A1801" s="21">
        <v>604.0</v>
      </c>
      <c r="B1801" s="20" t="s">
        <v>48</v>
      </c>
      <c r="C1801" s="20" t="s">
        <v>14</v>
      </c>
      <c r="D1801" s="20" t="s">
        <v>15</v>
      </c>
      <c r="E1801" s="12" t="str">
        <f>IFERROR(__xludf.DUMMYFUNCTION("FILTER(colegios!$B$2:$B5618,colegios!$A$2:$A5618=L1801)"),"14924 DANIEL ALCIDES CARRION")</f>
        <v>14924 DANIEL ALCIDES CARRION</v>
      </c>
      <c r="F1801" s="14" t="s">
        <v>16</v>
      </c>
      <c r="G1801" s="20" t="s">
        <v>21</v>
      </c>
      <c r="H1801" s="14" t="s">
        <v>24</v>
      </c>
      <c r="I1801" s="22">
        <v>2023.0</v>
      </c>
      <c r="J1801" s="16" t="str">
        <f>IFERROR(__xludf.DUMMYFUNCTION("FILTER('CLASFICACIÓN'!$F$3:$F5618,'CLASFICACIÓN'!$G$3:$G5618=M1801)"),"2023 Y 2024")</f>
        <v>2023 Y 2024</v>
      </c>
      <c r="K1801" s="16"/>
      <c r="L1801" s="14" t="s">
        <v>129</v>
      </c>
      <c r="M1801" s="16" t="str">
        <f t="shared" si="1"/>
        <v>14924 DANIEL ALCIDES CARRION2 Primaria</v>
      </c>
      <c r="N1801" s="17"/>
      <c r="O1801" s="17"/>
      <c r="P1801" s="17"/>
      <c r="Q1801" s="17"/>
      <c r="R1801" s="17"/>
      <c r="S1801" s="17"/>
      <c r="T1801" s="17"/>
    </row>
    <row r="1802">
      <c r="A1802" s="21">
        <v>605.0</v>
      </c>
      <c r="B1802" s="20" t="s">
        <v>48</v>
      </c>
      <c r="C1802" s="20" t="s">
        <v>14</v>
      </c>
      <c r="D1802" s="20" t="s">
        <v>15</v>
      </c>
      <c r="E1802" s="12" t="str">
        <f>IFERROR(__xludf.DUMMYFUNCTION("FILTER(colegios!$B$2:$B5618,colegios!$A$2:$A5618=L1802)"),"14924 DANIEL ALCIDES CARRION")</f>
        <v>14924 DANIEL ALCIDES CARRION</v>
      </c>
      <c r="F1802" s="14" t="s">
        <v>16</v>
      </c>
      <c r="G1802" s="20" t="s">
        <v>17</v>
      </c>
      <c r="H1802" s="14" t="s">
        <v>24</v>
      </c>
      <c r="I1802" s="22">
        <v>2023.0</v>
      </c>
      <c r="J1802" s="16" t="str">
        <f>IFERROR(__xludf.DUMMYFUNCTION("FILTER('CLASFICACIÓN'!$F$3:$F5618,'CLASFICACIÓN'!$G$3:$G5618=M1802)"),"2023 Y 2024")</f>
        <v>2023 Y 2024</v>
      </c>
      <c r="K1802" s="16"/>
      <c r="L1802" s="14" t="s">
        <v>129</v>
      </c>
      <c r="M1802" s="16" t="str">
        <f t="shared" si="1"/>
        <v>14924 DANIEL ALCIDES CARRION2 Primaria</v>
      </c>
      <c r="N1802" s="17"/>
      <c r="O1802" s="17"/>
      <c r="P1802" s="17"/>
      <c r="Q1802" s="17"/>
      <c r="R1802" s="17"/>
      <c r="S1802" s="17"/>
      <c r="T1802" s="17"/>
    </row>
    <row r="1803">
      <c r="A1803" s="21">
        <v>606.0</v>
      </c>
      <c r="B1803" s="20" t="s">
        <v>48</v>
      </c>
      <c r="C1803" s="20" t="s">
        <v>14</v>
      </c>
      <c r="D1803" s="20" t="s">
        <v>15</v>
      </c>
      <c r="E1803" s="12" t="str">
        <f>IFERROR(__xludf.DUMMYFUNCTION("FILTER(colegios!$B$2:$B5618,colegios!$A$2:$A5618=L1803)"),"14924 DANIEL ALCIDES CARRION")</f>
        <v>14924 DANIEL ALCIDES CARRION</v>
      </c>
      <c r="F1803" s="14" t="s">
        <v>16</v>
      </c>
      <c r="G1803" s="20" t="s">
        <v>17</v>
      </c>
      <c r="H1803" s="14" t="s">
        <v>24</v>
      </c>
      <c r="I1803" s="22">
        <v>2023.0</v>
      </c>
      <c r="J1803" s="16" t="str">
        <f>IFERROR(__xludf.DUMMYFUNCTION("FILTER('CLASFICACIÓN'!$F$3:$F5618,'CLASFICACIÓN'!$G$3:$G5618=M1803)"),"2023 Y 2024")</f>
        <v>2023 Y 2024</v>
      </c>
      <c r="K1803" s="16"/>
      <c r="L1803" s="14" t="s">
        <v>129</v>
      </c>
      <c r="M1803" s="16" t="str">
        <f t="shared" si="1"/>
        <v>14924 DANIEL ALCIDES CARRION2 Primaria</v>
      </c>
      <c r="N1803" s="17"/>
      <c r="O1803" s="17"/>
      <c r="P1803" s="17"/>
      <c r="Q1803" s="17"/>
      <c r="R1803" s="17"/>
      <c r="S1803" s="17"/>
      <c r="T1803" s="17"/>
    </row>
    <row r="1804">
      <c r="A1804" s="21">
        <v>607.0</v>
      </c>
      <c r="B1804" s="20" t="s">
        <v>48</v>
      </c>
      <c r="C1804" s="20" t="s">
        <v>14</v>
      </c>
      <c r="D1804" s="20" t="s">
        <v>15</v>
      </c>
      <c r="E1804" s="12" t="str">
        <f>IFERROR(__xludf.DUMMYFUNCTION("FILTER(colegios!$B$2:$B5618,colegios!$A$2:$A5618=L1804)"),"14924 DANIEL ALCIDES CARRION")</f>
        <v>14924 DANIEL ALCIDES CARRION</v>
      </c>
      <c r="F1804" s="14" t="s">
        <v>16</v>
      </c>
      <c r="G1804" s="20" t="s">
        <v>21</v>
      </c>
      <c r="H1804" s="14" t="s">
        <v>18</v>
      </c>
      <c r="I1804" s="22">
        <v>2023.0</v>
      </c>
      <c r="J1804" s="16" t="str">
        <f>IFERROR(__xludf.DUMMYFUNCTION("FILTER('CLASFICACIÓN'!$F$3:$F5618,'CLASFICACIÓN'!$G$3:$G5618=M1804)"),"2023 Y 2024")</f>
        <v>2023 Y 2024</v>
      </c>
      <c r="K1804" s="16"/>
      <c r="L1804" s="14" t="s">
        <v>129</v>
      </c>
      <c r="M1804" s="16" t="str">
        <f t="shared" si="1"/>
        <v>14924 DANIEL ALCIDES CARRION2 Primaria</v>
      </c>
      <c r="N1804" s="17"/>
      <c r="O1804" s="17"/>
      <c r="P1804" s="17"/>
      <c r="Q1804" s="17"/>
      <c r="R1804" s="17"/>
      <c r="S1804" s="17"/>
      <c r="T1804" s="17"/>
    </row>
    <row r="1805">
      <c r="A1805" s="21">
        <v>608.0</v>
      </c>
      <c r="B1805" s="20" t="s">
        <v>48</v>
      </c>
      <c r="C1805" s="20" t="s">
        <v>14</v>
      </c>
      <c r="D1805" s="20" t="s">
        <v>15</v>
      </c>
      <c r="E1805" s="12" t="str">
        <f>IFERROR(__xludf.DUMMYFUNCTION("FILTER(colegios!$B$2:$B5618,colegios!$A$2:$A5618=L1805)"),"14924 DANIEL ALCIDES CARRION")</f>
        <v>14924 DANIEL ALCIDES CARRION</v>
      </c>
      <c r="F1805" s="14" t="s">
        <v>16</v>
      </c>
      <c r="G1805" s="20" t="s">
        <v>21</v>
      </c>
      <c r="H1805" s="14" t="s">
        <v>24</v>
      </c>
      <c r="I1805" s="22">
        <v>2023.0</v>
      </c>
      <c r="J1805" s="16" t="str">
        <f>IFERROR(__xludf.DUMMYFUNCTION("FILTER('CLASFICACIÓN'!$F$3:$F5618,'CLASFICACIÓN'!$G$3:$G5618=M1805)"),"2023 Y 2024")</f>
        <v>2023 Y 2024</v>
      </c>
      <c r="K1805" s="16"/>
      <c r="L1805" s="14" t="s">
        <v>129</v>
      </c>
      <c r="M1805" s="16" t="str">
        <f t="shared" si="1"/>
        <v>14924 DANIEL ALCIDES CARRION2 Primaria</v>
      </c>
      <c r="N1805" s="17"/>
      <c r="O1805" s="17"/>
      <c r="P1805" s="17"/>
      <c r="Q1805" s="17"/>
      <c r="R1805" s="17"/>
      <c r="S1805" s="17"/>
      <c r="T1805" s="17"/>
    </row>
    <row r="1806">
      <c r="A1806" s="21">
        <v>609.0</v>
      </c>
      <c r="B1806" s="20" t="s">
        <v>48</v>
      </c>
      <c r="C1806" s="20" t="s">
        <v>14</v>
      </c>
      <c r="D1806" s="20" t="s">
        <v>15</v>
      </c>
      <c r="E1806" s="12" t="str">
        <f>IFERROR(__xludf.DUMMYFUNCTION("FILTER(colegios!$B$2:$B5618,colegios!$A$2:$A5618=L1806)"),"14924 DANIEL ALCIDES CARRION")</f>
        <v>14924 DANIEL ALCIDES CARRION</v>
      </c>
      <c r="F1806" s="14" t="s">
        <v>16</v>
      </c>
      <c r="G1806" s="20" t="s">
        <v>17</v>
      </c>
      <c r="H1806" s="14" t="s">
        <v>24</v>
      </c>
      <c r="I1806" s="22">
        <v>2023.0</v>
      </c>
      <c r="J1806" s="16" t="str">
        <f>IFERROR(__xludf.DUMMYFUNCTION("FILTER('CLASFICACIÓN'!$F$3:$F5618,'CLASFICACIÓN'!$G$3:$G5618=M1806)"),"2023 Y 2024")</f>
        <v>2023 Y 2024</v>
      </c>
      <c r="K1806" s="16"/>
      <c r="L1806" s="14" t="s">
        <v>129</v>
      </c>
      <c r="M1806" s="16" t="str">
        <f t="shared" si="1"/>
        <v>14924 DANIEL ALCIDES CARRION2 Primaria</v>
      </c>
      <c r="N1806" s="17"/>
      <c r="O1806" s="17"/>
      <c r="P1806" s="17"/>
      <c r="Q1806" s="17"/>
      <c r="R1806" s="17"/>
      <c r="S1806" s="17"/>
      <c r="T1806" s="17"/>
    </row>
    <row r="1807">
      <c r="A1807" s="21">
        <v>610.0</v>
      </c>
      <c r="B1807" s="20" t="s">
        <v>48</v>
      </c>
      <c r="C1807" s="20" t="s">
        <v>14</v>
      </c>
      <c r="D1807" s="20" t="s">
        <v>15</v>
      </c>
      <c r="E1807" s="12" t="str">
        <f>IFERROR(__xludf.DUMMYFUNCTION("FILTER(colegios!$B$2:$B5618,colegios!$A$2:$A5618=L1807)"),"14924 DANIEL ALCIDES CARRION")</f>
        <v>14924 DANIEL ALCIDES CARRION</v>
      </c>
      <c r="F1807" s="14" t="s">
        <v>16</v>
      </c>
      <c r="G1807" s="20" t="s">
        <v>17</v>
      </c>
      <c r="H1807" s="14" t="s">
        <v>24</v>
      </c>
      <c r="I1807" s="22">
        <v>2023.0</v>
      </c>
      <c r="J1807" s="16" t="str">
        <f>IFERROR(__xludf.DUMMYFUNCTION("FILTER('CLASFICACIÓN'!$F$3:$F5618,'CLASFICACIÓN'!$G$3:$G5618=M1807)"),"2023 Y 2024")</f>
        <v>2023 Y 2024</v>
      </c>
      <c r="K1807" s="16"/>
      <c r="L1807" s="14" t="s">
        <v>129</v>
      </c>
      <c r="M1807" s="16" t="str">
        <f t="shared" si="1"/>
        <v>14924 DANIEL ALCIDES CARRION2 Primaria</v>
      </c>
      <c r="N1807" s="17"/>
      <c r="O1807" s="17"/>
      <c r="P1807" s="17"/>
      <c r="Q1807" s="17"/>
      <c r="R1807" s="17"/>
      <c r="S1807" s="17"/>
      <c r="T1807" s="17"/>
    </row>
    <row r="1808">
      <c r="A1808" s="21">
        <v>611.0</v>
      </c>
      <c r="B1808" s="20" t="s">
        <v>48</v>
      </c>
      <c r="C1808" s="20" t="s">
        <v>14</v>
      </c>
      <c r="D1808" s="20" t="s">
        <v>15</v>
      </c>
      <c r="E1808" s="12" t="str">
        <f>IFERROR(__xludf.DUMMYFUNCTION("FILTER(colegios!$B$2:$B5618,colegios!$A$2:$A5618=L1808)"),"14924 DANIEL ALCIDES CARRION")</f>
        <v>14924 DANIEL ALCIDES CARRION</v>
      </c>
      <c r="F1808" s="14" t="s">
        <v>16</v>
      </c>
      <c r="G1808" s="20" t="s">
        <v>17</v>
      </c>
      <c r="H1808" s="14" t="s">
        <v>24</v>
      </c>
      <c r="I1808" s="22">
        <v>2023.0</v>
      </c>
      <c r="J1808" s="16" t="str">
        <f>IFERROR(__xludf.DUMMYFUNCTION("FILTER('CLASFICACIÓN'!$F$3:$F5618,'CLASFICACIÓN'!$G$3:$G5618=M1808)"),"2023 Y 2024")</f>
        <v>2023 Y 2024</v>
      </c>
      <c r="K1808" s="16"/>
      <c r="L1808" s="14" t="s">
        <v>129</v>
      </c>
      <c r="M1808" s="16" t="str">
        <f t="shared" si="1"/>
        <v>14924 DANIEL ALCIDES CARRION2 Primaria</v>
      </c>
      <c r="N1808" s="17"/>
      <c r="O1808" s="17"/>
      <c r="P1808" s="17"/>
      <c r="Q1808" s="17"/>
      <c r="R1808" s="17"/>
      <c r="S1808" s="17"/>
      <c r="T1808" s="17"/>
    </row>
    <row r="1809">
      <c r="A1809" s="21">
        <v>612.0</v>
      </c>
      <c r="B1809" s="20" t="s">
        <v>48</v>
      </c>
      <c r="C1809" s="20" t="s">
        <v>14</v>
      </c>
      <c r="D1809" s="20" t="s">
        <v>15</v>
      </c>
      <c r="E1809" s="12" t="str">
        <f>IFERROR(__xludf.DUMMYFUNCTION("FILTER(colegios!$B$2:$B5618,colegios!$A$2:$A5618=L1809)"),"14924 DANIEL ALCIDES CARRION")</f>
        <v>14924 DANIEL ALCIDES CARRION</v>
      </c>
      <c r="F1809" s="14" t="s">
        <v>16</v>
      </c>
      <c r="G1809" s="20" t="s">
        <v>17</v>
      </c>
      <c r="H1809" s="14" t="s">
        <v>24</v>
      </c>
      <c r="I1809" s="22">
        <v>2023.0</v>
      </c>
      <c r="J1809" s="16" t="str">
        <f>IFERROR(__xludf.DUMMYFUNCTION("FILTER('CLASFICACIÓN'!$F$3:$F5618,'CLASFICACIÓN'!$G$3:$G5618=M1809)"),"2023 Y 2024")</f>
        <v>2023 Y 2024</v>
      </c>
      <c r="K1809" s="16"/>
      <c r="L1809" s="14" t="s">
        <v>129</v>
      </c>
      <c r="M1809" s="16" t="str">
        <f t="shared" si="1"/>
        <v>14924 DANIEL ALCIDES CARRION2 Primaria</v>
      </c>
      <c r="N1809" s="17"/>
      <c r="O1809" s="17"/>
      <c r="P1809" s="17"/>
      <c r="Q1809" s="17"/>
      <c r="R1809" s="17"/>
      <c r="S1809" s="17"/>
      <c r="T1809" s="17"/>
    </row>
    <row r="1810">
      <c r="A1810" s="21">
        <v>613.0</v>
      </c>
      <c r="B1810" s="20" t="s">
        <v>48</v>
      </c>
      <c r="C1810" s="20" t="s">
        <v>14</v>
      </c>
      <c r="D1810" s="20" t="s">
        <v>15</v>
      </c>
      <c r="E1810" s="12" t="str">
        <f>IFERROR(__xludf.DUMMYFUNCTION("FILTER(colegios!$B$2:$B5618,colegios!$A$2:$A5618=L1810)"),"14924 DANIEL ALCIDES CARRION")</f>
        <v>14924 DANIEL ALCIDES CARRION</v>
      </c>
      <c r="F1810" s="14" t="s">
        <v>16</v>
      </c>
      <c r="G1810" s="20" t="s">
        <v>17</v>
      </c>
      <c r="H1810" s="14" t="s">
        <v>24</v>
      </c>
      <c r="I1810" s="22">
        <v>2023.0</v>
      </c>
      <c r="J1810" s="16" t="str">
        <f>IFERROR(__xludf.DUMMYFUNCTION("FILTER('CLASFICACIÓN'!$F$3:$F5618,'CLASFICACIÓN'!$G$3:$G5618=M1810)"),"2023 Y 2024")</f>
        <v>2023 Y 2024</v>
      </c>
      <c r="K1810" s="16"/>
      <c r="L1810" s="14" t="s">
        <v>129</v>
      </c>
      <c r="M1810" s="16" t="str">
        <f t="shared" si="1"/>
        <v>14924 DANIEL ALCIDES CARRION2 Primaria</v>
      </c>
      <c r="N1810" s="17"/>
      <c r="O1810" s="17"/>
      <c r="P1810" s="17"/>
      <c r="Q1810" s="17"/>
      <c r="R1810" s="17"/>
      <c r="S1810" s="17"/>
      <c r="T1810" s="17"/>
    </row>
    <row r="1811">
      <c r="A1811" s="21">
        <v>614.0</v>
      </c>
      <c r="B1811" s="20" t="s">
        <v>48</v>
      </c>
      <c r="C1811" s="20" t="s">
        <v>14</v>
      </c>
      <c r="D1811" s="20" t="s">
        <v>15</v>
      </c>
      <c r="E1811" s="12" t="str">
        <f>IFERROR(__xludf.DUMMYFUNCTION("FILTER(colegios!$B$2:$B5618,colegios!$A$2:$A5618=L1811)"),"14924 DANIEL ALCIDES CARRION")</f>
        <v>14924 DANIEL ALCIDES CARRION</v>
      </c>
      <c r="F1811" s="14" t="s">
        <v>16</v>
      </c>
      <c r="G1811" s="20" t="s">
        <v>17</v>
      </c>
      <c r="H1811" s="14" t="s">
        <v>32</v>
      </c>
      <c r="I1811" s="22">
        <v>2023.0</v>
      </c>
      <c r="J1811" s="16" t="str">
        <f>IFERROR(__xludf.DUMMYFUNCTION("FILTER('CLASFICACIÓN'!$F$3:$F5618,'CLASFICACIÓN'!$G$3:$G5618=M1811)"),"2023 Y 2024")</f>
        <v>2023 Y 2024</v>
      </c>
      <c r="K1811" s="16"/>
      <c r="L1811" s="14" t="s">
        <v>129</v>
      </c>
      <c r="M1811" s="16" t="str">
        <f t="shared" si="1"/>
        <v>14924 DANIEL ALCIDES CARRION2 Primaria</v>
      </c>
      <c r="N1811" s="17"/>
      <c r="O1811" s="17"/>
      <c r="P1811" s="17"/>
      <c r="Q1811" s="17"/>
      <c r="R1811" s="17"/>
      <c r="S1811" s="17"/>
      <c r="T1811" s="17"/>
    </row>
    <row r="1812">
      <c r="A1812" s="21">
        <v>615.0</v>
      </c>
      <c r="B1812" s="20" t="s">
        <v>48</v>
      </c>
      <c r="C1812" s="20" t="s">
        <v>14</v>
      </c>
      <c r="D1812" s="20" t="s">
        <v>15</v>
      </c>
      <c r="E1812" s="12" t="str">
        <f>IFERROR(__xludf.DUMMYFUNCTION("FILTER(colegios!$B$2:$B5618,colegios!$A$2:$A5618=L1812)"),"14924 DANIEL ALCIDES CARRION")</f>
        <v>14924 DANIEL ALCIDES CARRION</v>
      </c>
      <c r="F1812" s="14" t="s">
        <v>16</v>
      </c>
      <c r="G1812" s="20" t="s">
        <v>17</v>
      </c>
      <c r="H1812" s="14" t="s">
        <v>24</v>
      </c>
      <c r="I1812" s="22">
        <v>2023.0</v>
      </c>
      <c r="J1812" s="16" t="str">
        <f>IFERROR(__xludf.DUMMYFUNCTION("FILTER('CLASFICACIÓN'!$F$3:$F5618,'CLASFICACIÓN'!$G$3:$G5618=M1812)"),"2023 Y 2024")</f>
        <v>2023 Y 2024</v>
      </c>
      <c r="K1812" s="16"/>
      <c r="L1812" s="14" t="s">
        <v>129</v>
      </c>
      <c r="M1812" s="16" t="str">
        <f t="shared" si="1"/>
        <v>14924 DANIEL ALCIDES CARRION2 Primaria</v>
      </c>
      <c r="N1812" s="17"/>
      <c r="O1812" s="17"/>
      <c r="P1812" s="17"/>
      <c r="Q1812" s="17"/>
      <c r="R1812" s="17"/>
      <c r="S1812" s="17"/>
      <c r="T1812" s="17"/>
    </row>
    <row r="1813">
      <c r="A1813" s="21">
        <v>616.0</v>
      </c>
      <c r="B1813" s="20" t="s">
        <v>48</v>
      </c>
      <c r="C1813" s="20" t="s">
        <v>14</v>
      </c>
      <c r="D1813" s="20" t="s">
        <v>15</v>
      </c>
      <c r="E1813" s="12" t="str">
        <f>IFERROR(__xludf.DUMMYFUNCTION("FILTER(colegios!$B$2:$B5618,colegios!$A$2:$A5618=L1813)"),"14924 DANIEL ALCIDES CARRION")</f>
        <v>14924 DANIEL ALCIDES CARRION</v>
      </c>
      <c r="F1813" s="14" t="s">
        <v>16</v>
      </c>
      <c r="G1813" s="20" t="s">
        <v>17</v>
      </c>
      <c r="H1813" s="14" t="s">
        <v>24</v>
      </c>
      <c r="I1813" s="22">
        <v>2023.0</v>
      </c>
      <c r="J1813" s="16" t="str">
        <f>IFERROR(__xludf.DUMMYFUNCTION("FILTER('CLASFICACIÓN'!$F$3:$F5618,'CLASFICACIÓN'!$G$3:$G5618=M1813)"),"2023 Y 2024")</f>
        <v>2023 Y 2024</v>
      </c>
      <c r="K1813" s="16"/>
      <c r="L1813" s="14" t="s">
        <v>129</v>
      </c>
      <c r="M1813" s="16" t="str">
        <f t="shared" si="1"/>
        <v>14924 DANIEL ALCIDES CARRION2 Primaria</v>
      </c>
      <c r="N1813" s="17"/>
      <c r="O1813" s="17"/>
      <c r="P1813" s="17"/>
      <c r="Q1813" s="17"/>
      <c r="R1813" s="17"/>
      <c r="S1813" s="17"/>
      <c r="T1813" s="17"/>
    </row>
    <row r="1814">
      <c r="A1814" s="21">
        <v>617.0</v>
      </c>
      <c r="B1814" s="20" t="s">
        <v>48</v>
      </c>
      <c r="C1814" s="20" t="s">
        <v>14</v>
      </c>
      <c r="D1814" s="20" t="s">
        <v>15</v>
      </c>
      <c r="E1814" s="12" t="str">
        <f>IFERROR(__xludf.DUMMYFUNCTION("FILTER(colegios!$B$2:$B5618,colegios!$A$2:$A5618=L1814)"),"14924 DANIEL ALCIDES CARRION")</f>
        <v>14924 DANIEL ALCIDES CARRION</v>
      </c>
      <c r="F1814" s="14" t="s">
        <v>16</v>
      </c>
      <c r="G1814" s="20" t="s">
        <v>17</v>
      </c>
      <c r="H1814" s="14" t="s">
        <v>18</v>
      </c>
      <c r="I1814" s="22">
        <v>2023.0</v>
      </c>
      <c r="J1814" s="16" t="str">
        <f>IFERROR(__xludf.DUMMYFUNCTION("FILTER('CLASFICACIÓN'!$F$3:$F5618,'CLASFICACIÓN'!$G$3:$G5618=M1814)"),"2023 Y 2024")</f>
        <v>2023 Y 2024</v>
      </c>
      <c r="K1814" s="16"/>
      <c r="L1814" s="14" t="s">
        <v>129</v>
      </c>
      <c r="M1814" s="16" t="str">
        <f t="shared" si="1"/>
        <v>14924 DANIEL ALCIDES CARRION2 Primaria</v>
      </c>
      <c r="N1814" s="17"/>
      <c r="O1814" s="17"/>
      <c r="P1814" s="17"/>
      <c r="Q1814" s="17"/>
      <c r="R1814" s="17"/>
      <c r="S1814" s="17"/>
      <c r="T1814" s="17"/>
    </row>
    <row r="1815">
      <c r="A1815" s="21">
        <v>618.0</v>
      </c>
      <c r="B1815" s="20" t="s">
        <v>48</v>
      </c>
      <c r="C1815" s="20" t="s">
        <v>14</v>
      </c>
      <c r="D1815" s="20" t="s">
        <v>15</v>
      </c>
      <c r="E1815" s="12" t="str">
        <f>IFERROR(__xludf.DUMMYFUNCTION("FILTER(colegios!$B$2:$B5618,colegios!$A$2:$A5618=L1815)"),"14924 DANIEL ALCIDES CARRION")</f>
        <v>14924 DANIEL ALCIDES CARRION</v>
      </c>
      <c r="F1815" s="14" t="s">
        <v>16</v>
      </c>
      <c r="G1815" s="20" t="s">
        <v>17</v>
      </c>
      <c r="H1815" s="14" t="s">
        <v>24</v>
      </c>
      <c r="I1815" s="22">
        <v>2023.0</v>
      </c>
      <c r="J1815" s="16" t="str">
        <f>IFERROR(__xludf.DUMMYFUNCTION("FILTER('CLASFICACIÓN'!$F$3:$F5618,'CLASFICACIÓN'!$G$3:$G5618=M1815)"),"2023 Y 2024")</f>
        <v>2023 Y 2024</v>
      </c>
      <c r="K1815" s="16"/>
      <c r="L1815" s="14" t="s">
        <v>129</v>
      </c>
      <c r="M1815" s="16" t="str">
        <f t="shared" si="1"/>
        <v>14924 DANIEL ALCIDES CARRION2 Primaria</v>
      </c>
      <c r="N1815" s="17"/>
      <c r="O1815" s="17"/>
      <c r="P1815" s="17"/>
      <c r="Q1815" s="17"/>
      <c r="R1815" s="17"/>
      <c r="S1815" s="17"/>
      <c r="T1815" s="17"/>
    </row>
    <row r="1816">
      <c r="A1816" s="21">
        <v>619.0</v>
      </c>
      <c r="B1816" s="20" t="s">
        <v>48</v>
      </c>
      <c r="C1816" s="20" t="s">
        <v>14</v>
      </c>
      <c r="D1816" s="20" t="s">
        <v>15</v>
      </c>
      <c r="E1816" s="12" t="str">
        <f>IFERROR(__xludf.DUMMYFUNCTION("FILTER(colegios!$B$2:$B5618,colegios!$A$2:$A5618=L1816)"),"14924 DANIEL ALCIDES CARRION")</f>
        <v>14924 DANIEL ALCIDES CARRION</v>
      </c>
      <c r="F1816" s="14" t="s">
        <v>16</v>
      </c>
      <c r="G1816" s="20" t="s">
        <v>17</v>
      </c>
      <c r="H1816" s="14" t="s">
        <v>24</v>
      </c>
      <c r="I1816" s="22">
        <v>2023.0</v>
      </c>
      <c r="J1816" s="16" t="str">
        <f>IFERROR(__xludf.DUMMYFUNCTION("FILTER('CLASFICACIÓN'!$F$3:$F5618,'CLASFICACIÓN'!$G$3:$G5618=M1816)"),"2023 Y 2024")</f>
        <v>2023 Y 2024</v>
      </c>
      <c r="K1816" s="16"/>
      <c r="L1816" s="14" t="s">
        <v>129</v>
      </c>
      <c r="M1816" s="16" t="str">
        <f t="shared" si="1"/>
        <v>14924 DANIEL ALCIDES CARRION2 Primaria</v>
      </c>
      <c r="N1816" s="17"/>
      <c r="O1816" s="17"/>
      <c r="P1816" s="17"/>
      <c r="Q1816" s="17"/>
      <c r="R1816" s="17"/>
      <c r="S1816" s="17"/>
      <c r="T1816" s="17"/>
    </row>
    <row r="1817">
      <c r="A1817" s="21">
        <v>620.0</v>
      </c>
      <c r="B1817" s="20" t="s">
        <v>48</v>
      </c>
      <c r="C1817" s="20" t="s">
        <v>14</v>
      </c>
      <c r="D1817" s="20" t="s">
        <v>15</v>
      </c>
      <c r="E1817" s="12" t="str">
        <f>IFERROR(__xludf.DUMMYFUNCTION("FILTER(colegios!$B$2:$B5618,colegios!$A$2:$A5618=L1817)"),"14924 DANIEL ALCIDES CARRION")</f>
        <v>14924 DANIEL ALCIDES CARRION</v>
      </c>
      <c r="F1817" s="14" t="s">
        <v>16</v>
      </c>
      <c r="G1817" s="20" t="s">
        <v>21</v>
      </c>
      <c r="H1817" s="14" t="s">
        <v>24</v>
      </c>
      <c r="I1817" s="22">
        <v>2023.0</v>
      </c>
      <c r="J1817" s="16" t="str">
        <f>IFERROR(__xludf.DUMMYFUNCTION("FILTER('CLASFICACIÓN'!$F$3:$F5618,'CLASFICACIÓN'!$G$3:$G5618=M1817)"),"2023 Y 2024")</f>
        <v>2023 Y 2024</v>
      </c>
      <c r="K1817" s="16"/>
      <c r="L1817" s="14" t="s">
        <v>129</v>
      </c>
      <c r="M1817" s="16" t="str">
        <f t="shared" si="1"/>
        <v>14924 DANIEL ALCIDES CARRION2 Primaria</v>
      </c>
      <c r="N1817" s="17"/>
      <c r="O1817" s="17"/>
      <c r="P1817" s="17"/>
      <c r="Q1817" s="17"/>
      <c r="R1817" s="17"/>
      <c r="S1817" s="17"/>
      <c r="T1817" s="17"/>
    </row>
    <row r="1818">
      <c r="A1818" s="21">
        <v>621.0</v>
      </c>
      <c r="B1818" s="20" t="s">
        <v>48</v>
      </c>
      <c r="C1818" s="20" t="s">
        <v>14</v>
      </c>
      <c r="D1818" s="20" t="s">
        <v>15</v>
      </c>
      <c r="E1818" s="12" t="str">
        <f>IFERROR(__xludf.DUMMYFUNCTION("FILTER(colegios!$B$2:$B5618,colegios!$A$2:$A5618=L1818)"),"14924 DANIEL ALCIDES CARRION")</f>
        <v>14924 DANIEL ALCIDES CARRION</v>
      </c>
      <c r="F1818" s="14" t="s">
        <v>16</v>
      </c>
      <c r="G1818" s="20" t="s">
        <v>21</v>
      </c>
      <c r="H1818" s="14" t="s">
        <v>24</v>
      </c>
      <c r="I1818" s="22">
        <v>2023.0</v>
      </c>
      <c r="J1818" s="16" t="str">
        <f>IFERROR(__xludf.DUMMYFUNCTION("FILTER('CLASFICACIÓN'!$F$3:$F5618,'CLASFICACIÓN'!$G$3:$G5618=M1818)"),"2023 Y 2024")</f>
        <v>2023 Y 2024</v>
      </c>
      <c r="K1818" s="16"/>
      <c r="L1818" s="14" t="s">
        <v>129</v>
      </c>
      <c r="M1818" s="16" t="str">
        <f t="shared" si="1"/>
        <v>14924 DANIEL ALCIDES CARRION2 Primaria</v>
      </c>
      <c r="N1818" s="17"/>
      <c r="O1818" s="17"/>
      <c r="P1818" s="17"/>
      <c r="Q1818" s="17"/>
      <c r="R1818" s="17"/>
      <c r="S1818" s="17"/>
      <c r="T1818" s="17"/>
    </row>
    <row r="1819">
      <c r="A1819" s="21">
        <v>622.0</v>
      </c>
      <c r="B1819" s="20" t="s">
        <v>48</v>
      </c>
      <c r="C1819" s="20" t="s">
        <v>14</v>
      </c>
      <c r="D1819" s="20" t="s">
        <v>15</v>
      </c>
      <c r="E1819" s="12" t="str">
        <f>IFERROR(__xludf.DUMMYFUNCTION("FILTER(colegios!$B$2:$B5618,colegios!$A$2:$A5618=L1819)"),"14924 DANIEL ALCIDES CARRION")</f>
        <v>14924 DANIEL ALCIDES CARRION</v>
      </c>
      <c r="F1819" s="14" t="s">
        <v>16</v>
      </c>
      <c r="G1819" s="20" t="s">
        <v>21</v>
      </c>
      <c r="H1819" s="14" t="s">
        <v>18</v>
      </c>
      <c r="I1819" s="22">
        <v>2023.0</v>
      </c>
      <c r="J1819" s="16" t="str">
        <f>IFERROR(__xludf.DUMMYFUNCTION("FILTER('CLASFICACIÓN'!$F$3:$F5618,'CLASFICACIÓN'!$G$3:$G5618=M1819)"),"2023 Y 2024")</f>
        <v>2023 Y 2024</v>
      </c>
      <c r="K1819" s="16"/>
      <c r="L1819" s="14" t="s">
        <v>129</v>
      </c>
      <c r="M1819" s="16" t="str">
        <f t="shared" si="1"/>
        <v>14924 DANIEL ALCIDES CARRION2 Primaria</v>
      </c>
      <c r="N1819" s="17"/>
      <c r="O1819" s="17"/>
      <c r="P1819" s="17"/>
      <c r="Q1819" s="17"/>
      <c r="R1819" s="17"/>
      <c r="S1819" s="17"/>
      <c r="T1819" s="17"/>
    </row>
    <row r="1820">
      <c r="A1820" s="21">
        <v>623.0</v>
      </c>
      <c r="B1820" s="20" t="s">
        <v>48</v>
      </c>
      <c r="C1820" s="20" t="s">
        <v>14</v>
      </c>
      <c r="D1820" s="20" t="s">
        <v>15</v>
      </c>
      <c r="E1820" s="12" t="str">
        <f>IFERROR(__xludf.DUMMYFUNCTION("FILTER(colegios!$B$2:$B5618,colegios!$A$2:$A5618=L1820)"),"14924 DANIEL ALCIDES CARRION")</f>
        <v>14924 DANIEL ALCIDES CARRION</v>
      </c>
      <c r="F1820" s="14" t="s">
        <v>16</v>
      </c>
      <c r="G1820" s="20" t="s">
        <v>17</v>
      </c>
      <c r="H1820" s="14" t="s">
        <v>24</v>
      </c>
      <c r="I1820" s="22">
        <v>2023.0</v>
      </c>
      <c r="J1820" s="16" t="str">
        <f>IFERROR(__xludf.DUMMYFUNCTION("FILTER('CLASFICACIÓN'!$F$3:$F5618,'CLASFICACIÓN'!$G$3:$G5618=M1820)"),"2023 Y 2024")</f>
        <v>2023 Y 2024</v>
      </c>
      <c r="K1820" s="16"/>
      <c r="L1820" s="14" t="s">
        <v>129</v>
      </c>
      <c r="M1820" s="16" t="str">
        <f t="shared" si="1"/>
        <v>14924 DANIEL ALCIDES CARRION2 Primaria</v>
      </c>
      <c r="N1820" s="17"/>
      <c r="O1820" s="17"/>
      <c r="P1820" s="17"/>
      <c r="Q1820" s="17"/>
      <c r="R1820" s="17"/>
      <c r="S1820" s="17"/>
      <c r="T1820" s="17"/>
    </row>
    <row r="1821">
      <c r="A1821" s="21">
        <v>624.0</v>
      </c>
      <c r="B1821" s="20" t="s">
        <v>48</v>
      </c>
      <c r="C1821" s="20" t="s">
        <v>14</v>
      </c>
      <c r="D1821" s="20" t="s">
        <v>15</v>
      </c>
      <c r="E1821" s="12" t="str">
        <f>IFERROR(__xludf.DUMMYFUNCTION("FILTER(colegios!$B$2:$B5618,colegios!$A$2:$A5618=L1821)"),"14924 DANIEL ALCIDES CARRION")</f>
        <v>14924 DANIEL ALCIDES CARRION</v>
      </c>
      <c r="F1821" s="14" t="s">
        <v>16</v>
      </c>
      <c r="G1821" s="20" t="s">
        <v>21</v>
      </c>
      <c r="H1821" s="14" t="s">
        <v>24</v>
      </c>
      <c r="I1821" s="22">
        <v>2023.0</v>
      </c>
      <c r="J1821" s="16" t="str">
        <f>IFERROR(__xludf.DUMMYFUNCTION("FILTER('CLASFICACIÓN'!$F$3:$F5618,'CLASFICACIÓN'!$G$3:$G5618=M1821)"),"2023 Y 2024")</f>
        <v>2023 Y 2024</v>
      </c>
      <c r="K1821" s="16"/>
      <c r="L1821" s="14" t="s">
        <v>129</v>
      </c>
      <c r="M1821" s="16" t="str">
        <f t="shared" si="1"/>
        <v>14924 DANIEL ALCIDES CARRION2 Primaria</v>
      </c>
      <c r="N1821" s="17"/>
      <c r="O1821" s="17"/>
      <c r="P1821" s="17"/>
      <c r="Q1821" s="17"/>
      <c r="R1821" s="17"/>
      <c r="S1821" s="17"/>
      <c r="T1821" s="17"/>
    </row>
    <row r="1822">
      <c r="A1822" s="21">
        <v>625.0</v>
      </c>
      <c r="B1822" s="20" t="s">
        <v>48</v>
      </c>
      <c r="C1822" s="20" t="s">
        <v>14</v>
      </c>
      <c r="D1822" s="20" t="s">
        <v>15</v>
      </c>
      <c r="E1822" s="12" t="str">
        <f>IFERROR(__xludf.DUMMYFUNCTION("FILTER(colegios!$B$2:$B5618,colegios!$A$2:$A5618=L1822)"),"14924 DANIEL ALCIDES CARRION")</f>
        <v>14924 DANIEL ALCIDES CARRION</v>
      </c>
      <c r="F1822" s="14" t="s">
        <v>16</v>
      </c>
      <c r="G1822" s="20" t="s">
        <v>21</v>
      </c>
      <c r="H1822" s="14" t="s">
        <v>24</v>
      </c>
      <c r="I1822" s="22">
        <v>2023.0</v>
      </c>
      <c r="J1822" s="16" t="str">
        <f>IFERROR(__xludf.DUMMYFUNCTION("FILTER('CLASFICACIÓN'!$F$3:$F5618,'CLASFICACIÓN'!$G$3:$G5618=M1822)"),"2023 Y 2024")</f>
        <v>2023 Y 2024</v>
      </c>
      <c r="K1822" s="16"/>
      <c r="L1822" s="14" t="s">
        <v>129</v>
      </c>
      <c r="M1822" s="16" t="str">
        <f t="shared" si="1"/>
        <v>14924 DANIEL ALCIDES CARRION2 Primaria</v>
      </c>
      <c r="N1822" s="17"/>
      <c r="O1822" s="17"/>
      <c r="P1822" s="17"/>
      <c r="Q1822" s="17"/>
      <c r="R1822" s="17"/>
      <c r="S1822" s="17"/>
      <c r="T1822" s="17"/>
    </row>
    <row r="1823">
      <c r="A1823" s="21">
        <v>626.0</v>
      </c>
      <c r="B1823" s="20" t="s">
        <v>48</v>
      </c>
      <c r="C1823" s="20" t="s">
        <v>14</v>
      </c>
      <c r="D1823" s="20" t="s">
        <v>15</v>
      </c>
      <c r="E1823" s="12" t="str">
        <f>IFERROR(__xludf.DUMMYFUNCTION("FILTER(colegios!$B$2:$B5618,colegios!$A$2:$A5618=L1823)"),"14144 SANTA ROSA")</f>
        <v>14144 SANTA ROSA</v>
      </c>
      <c r="F1823" s="14" t="s">
        <v>16</v>
      </c>
      <c r="G1823" s="20" t="s">
        <v>21</v>
      </c>
      <c r="H1823" s="14" t="s">
        <v>24</v>
      </c>
      <c r="I1823" s="22">
        <v>2023.0</v>
      </c>
      <c r="J1823" s="16" t="str">
        <f>IFERROR(__xludf.DUMMYFUNCTION("FILTER('CLASFICACIÓN'!$F$3:$F5618,'CLASFICACIÓN'!$G$3:$G5618=M1823)"),"LOS 3 AÑOS")</f>
        <v>LOS 3 AÑOS</v>
      </c>
      <c r="K1823" s="16"/>
      <c r="L1823" s="14" t="s">
        <v>130</v>
      </c>
      <c r="M1823" s="16" t="str">
        <f t="shared" si="1"/>
        <v>14144 SANTA ROSA2 Primaria</v>
      </c>
      <c r="N1823" s="17"/>
      <c r="O1823" s="17"/>
      <c r="P1823" s="17"/>
      <c r="Q1823" s="17"/>
      <c r="R1823" s="17"/>
      <c r="S1823" s="17"/>
      <c r="T1823" s="17"/>
    </row>
    <row r="1824">
      <c r="A1824" s="21">
        <v>627.0</v>
      </c>
      <c r="B1824" s="20" t="s">
        <v>48</v>
      </c>
      <c r="C1824" s="20" t="s">
        <v>14</v>
      </c>
      <c r="D1824" s="20" t="s">
        <v>15</v>
      </c>
      <c r="E1824" s="12" t="str">
        <f>IFERROR(__xludf.DUMMYFUNCTION("FILTER(colegios!$B$2:$B5618,colegios!$A$2:$A5618=L1824)"),"14144 SANTA ROSA")</f>
        <v>14144 SANTA ROSA</v>
      </c>
      <c r="F1824" s="14" t="s">
        <v>16</v>
      </c>
      <c r="G1824" s="20" t="s">
        <v>21</v>
      </c>
      <c r="H1824" s="14" t="s">
        <v>24</v>
      </c>
      <c r="I1824" s="22">
        <v>2023.0</v>
      </c>
      <c r="J1824" s="16" t="str">
        <f>IFERROR(__xludf.DUMMYFUNCTION("FILTER('CLASFICACIÓN'!$F$3:$F5618,'CLASFICACIÓN'!$G$3:$G5618=M1824)"),"LOS 3 AÑOS")</f>
        <v>LOS 3 AÑOS</v>
      </c>
      <c r="K1824" s="16"/>
      <c r="L1824" s="14" t="s">
        <v>130</v>
      </c>
      <c r="M1824" s="16" t="str">
        <f t="shared" si="1"/>
        <v>14144 SANTA ROSA2 Primaria</v>
      </c>
      <c r="N1824" s="17"/>
      <c r="O1824" s="17"/>
      <c r="P1824" s="17"/>
      <c r="Q1824" s="17"/>
      <c r="R1824" s="17"/>
      <c r="S1824" s="17"/>
      <c r="T1824" s="17"/>
    </row>
    <row r="1825">
      <c r="A1825" s="21">
        <v>628.0</v>
      </c>
      <c r="B1825" s="20" t="s">
        <v>48</v>
      </c>
      <c r="C1825" s="20" t="s">
        <v>14</v>
      </c>
      <c r="D1825" s="20" t="s">
        <v>15</v>
      </c>
      <c r="E1825" s="12" t="str">
        <f>IFERROR(__xludf.DUMMYFUNCTION("FILTER(colegios!$B$2:$B5618,colegios!$A$2:$A5618=L1825)"),"14144 SANTA ROSA")</f>
        <v>14144 SANTA ROSA</v>
      </c>
      <c r="F1825" s="14" t="s">
        <v>16</v>
      </c>
      <c r="G1825" s="20" t="s">
        <v>21</v>
      </c>
      <c r="H1825" s="14" t="s">
        <v>24</v>
      </c>
      <c r="I1825" s="22">
        <v>2023.0</v>
      </c>
      <c r="J1825" s="16" t="str">
        <f>IFERROR(__xludf.DUMMYFUNCTION("FILTER('CLASFICACIÓN'!$F$3:$F5618,'CLASFICACIÓN'!$G$3:$G5618=M1825)"),"LOS 3 AÑOS")</f>
        <v>LOS 3 AÑOS</v>
      </c>
      <c r="K1825" s="16"/>
      <c r="L1825" s="14" t="s">
        <v>130</v>
      </c>
      <c r="M1825" s="16" t="str">
        <f t="shared" si="1"/>
        <v>14144 SANTA ROSA2 Primaria</v>
      </c>
      <c r="N1825" s="17"/>
      <c r="O1825" s="17"/>
      <c r="P1825" s="17"/>
      <c r="Q1825" s="17"/>
      <c r="R1825" s="17"/>
      <c r="S1825" s="17"/>
      <c r="T1825" s="17"/>
    </row>
    <row r="1826">
      <c r="A1826" s="21">
        <v>629.0</v>
      </c>
      <c r="B1826" s="20" t="s">
        <v>48</v>
      </c>
      <c r="C1826" s="20" t="s">
        <v>14</v>
      </c>
      <c r="D1826" s="20" t="s">
        <v>15</v>
      </c>
      <c r="E1826" s="12" t="str">
        <f>IFERROR(__xludf.DUMMYFUNCTION("FILTER(colegios!$B$2:$B5618,colegios!$A$2:$A5618=L1826)"),"14144 SANTA ROSA")</f>
        <v>14144 SANTA ROSA</v>
      </c>
      <c r="F1826" s="14" t="s">
        <v>16</v>
      </c>
      <c r="G1826" s="20" t="s">
        <v>17</v>
      </c>
      <c r="H1826" s="14" t="s">
        <v>24</v>
      </c>
      <c r="I1826" s="22">
        <v>2023.0</v>
      </c>
      <c r="J1826" s="16" t="str">
        <f>IFERROR(__xludf.DUMMYFUNCTION("FILTER('CLASFICACIÓN'!$F$3:$F5618,'CLASFICACIÓN'!$G$3:$G5618=M1826)"),"LOS 3 AÑOS")</f>
        <v>LOS 3 AÑOS</v>
      </c>
      <c r="K1826" s="16"/>
      <c r="L1826" s="14" t="s">
        <v>130</v>
      </c>
      <c r="M1826" s="16" t="str">
        <f t="shared" si="1"/>
        <v>14144 SANTA ROSA2 Primaria</v>
      </c>
      <c r="N1826" s="17"/>
      <c r="O1826" s="17"/>
      <c r="P1826" s="17"/>
      <c r="Q1826" s="17"/>
      <c r="R1826" s="17"/>
      <c r="S1826" s="17"/>
      <c r="T1826" s="17"/>
    </row>
    <row r="1827">
      <c r="A1827" s="21">
        <v>630.0</v>
      </c>
      <c r="B1827" s="20" t="s">
        <v>48</v>
      </c>
      <c r="C1827" s="20" t="s">
        <v>14</v>
      </c>
      <c r="D1827" s="20" t="s">
        <v>15</v>
      </c>
      <c r="E1827" s="12" t="str">
        <f>IFERROR(__xludf.DUMMYFUNCTION("FILTER(colegios!$B$2:$B5618,colegios!$A$2:$A5618=L1827)"),"14144 SANTA ROSA")</f>
        <v>14144 SANTA ROSA</v>
      </c>
      <c r="F1827" s="14" t="s">
        <v>16</v>
      </c>
      <c r="G1827" s="20" t="s">
        <v>17</v>
      </c>
      <c r="H1827" s="14" t="s">
        <v>24</v>
      </c>
      <c r="I1827" s="22">
        <v>2023.0</v>
      </c>
      <c r="J1827" s="16" t="str">
        <f>IFERROR(__xludf.DUMMYFUNCTION("FILTER('CLASFICACIÓN'!$F$3:$F5618,'CLASFICACIÓN'!$G$3:$G5618=M1827)"),"LOS 3 AÑOS")</f>
        <v>LOS 3 AÑOS</v>
      </c>
      <c r="K1827" s="16"/>
      <c r="L1827" s="14" t="s">
        <v>130</v>
      </c>
      <c r="M1827" s="16" t="str">
        <f t="shared" si="1"/>
        <v>14144 SANTA ROSA2 Primaria</v>
      </c>
      <c r="N1827" s="17"/>
      <c r="O1827" s="17"/>
      <c r="P1827" s="17"/>
      <c r="Q1827" s="17"/>
      <c r="R1827" s="17"/>
      <c r="S1827" s="17"/>
      <c r="T1827" s="17"/>
    </row>
    <row r="1828">
      <c r="A1828" s="21">
        <v>631.0</v>
      </c>
      <c r="B1828" s="20" t="s">
        <v>48</v>
      </c>
      <c r="C1828" s="20" t="s">
        <v>14</v>
      </c>
      <c r="D1828" s="20" t="s">
        <v>15</v>
      </c>
      <c r="E1828" s="12" t="str">
        <f>IFERROR(__xludf.DUMMYFUNCTION("FILTER(colegios!$B$2:$B5618,colegios!$A$2:$A5618=L1828)"),"14144 SANTA ROSA")</f>
        <v>14144 SANTA ROSA</v>
      </c>
      <c r="F1828" s="14" t="s">
        <v>16</v>
      </c>
      <c r="G1828" s="20" t="s">
        <v>17</v>
      </c>
      <c r="H1828" s="14" t="s">
        <v>24</v>
      </c>
      <c r="I1828" s="22">
        <v>2023.0</v>
      </c>
      <c r="J1828" s="16" t="str">
        <f>IFERROR(__xludf.DUMMYFUNCTION("FILTER('CLASFICACIÓN'!$F$3:$F5618,'CLASFICACIÓN'!$G$3:$G5618=M1828)"),"LOS 3 AÑOS")</f>
        <v>LOS 3 AÑOS</v>
      </c>
      <c r="K1828" s="16"/>
      <c r="L1828" s="14" t="s">
        <v>130</v>
      </c>
      <c r="M1828" s="16" t="str">
        <f t="shared" si="1"/>
        <v>14144 SANTA ROSA2 Primaria</v>
      </c>
      <c r="N1828" s="17"/>
      <c r="O1828" s="17"/>
      <c r="P1828" s="17"/>
      <c r="Q1828" s="17"/>
      <c r="R1828" s="17"/>
      <c r="S1828" s="17"/>
      <c r="T1828" s="17"/>
    </row>
    <row r="1829">
      <c r="A1829" s="21">
        <v>632.0</v>
      </c>
      <c r="B1829" s="20" t="s">
        <v>48</v>
      </c>
      <c r="C1829" s="20" t="s">
        <v>14</v>
      </c>
      <c r="D1829" s="20" t="s">
        <v>15</v>
      </c>
      <c r="E1829" s="12" t="str">
        <f>IFERROR(__xludf.DUMMYFUNCTION("FILTER(colegios!$B$2:$B5618,colegios!$A$2:$A5618=L1829)"),"14144 SANTA ROSA")</f>
        <v>14144 SANTA ROSA</v>
      </c>
      <c r="F1829" s="14" t="s">
        <v>16</v>
      </c>
      <c r="G1829" s="20" t="s">
        <v>21</v>
      </c>
      <c r="H1829" s="14" t="s">
        <v>24</v>
      </c>
      <c r="I1829" s="22">
        <v>2023.0</v>
      </c>
      <c r="J1829" s="16" t="str">
        <f>IFERROR(__xludf.DUMMYFUNCTION("FILTER('CLASFICACIÓN'!$F$3:$F5618,'CLASFICACIÓN'!$G$3:$G5618=M1829)"),"LOS 3 AÑOS")</f>
        <v>LOS 3 AÑOS</v>
      </c>
      <c r="K1829" s="16"/>
      <c r="L1829" s="14" t="s">
        <v>130</v>
      </c>
      <c r="M1829" s="16" t="str">
        <f t="shared" si="1"/>
        <v>14144 SANTA ROSA2 Primaria</v>
      </c>
      <c r="N1829" s="17"/>
      <c r="O1829" s="17"/>
      <c r="P1829" s="17"/>
      <c r="Q1829" s="17"/>
      <c r="R1829" s="17"/>
      <c r="S1829" s="17"/>
      <c r="T1829" s="17"/>
    </row>
    <row r="1830">
      <c r="A1830" s="21">
        <v>633.0</v>
      </c>
      <c r="B1830" s="20" t="s">
        <v>48</v>
      </c>
      <c r="C1830" s="20" t="s">
        <v>14</v>
      </c>
      <c r="D1830" s="20" t="s">
        <v>15</v>
      </c>
      <c r="E1830" s="12" t="str">
        <f>IFERROR(__xludf.DUMMYFUNCTION("FILTER(colegios!$B$2:$B5618,colegios!$A$2:$A5618=L1830)"),"14144 SANTA ROSA")</f>
        <v>14144 SANTA ROSA</v>
      </c>
      <c r="F1830" s="14" t="s">
        <v>16</v>
      </c>
      <c r="G1830" s="20" t="s">
        <v>17</v>
      </c>
      <c r="H1830" s="14" t="s">
        <v>24</v>
      </c>
      <c r="I1830" s="22">
        <v>2023.0</v>
      </c>
      <c r="J1830" s="16" t="str">
        <f>IFERROR(__xludf.DUMMYFUNCTION("FILTER('CLASFICACIÓN'!$F$3:$F5618,'CLASFICACIÓN'!$G$3:$G5618=M1830)"),"LOS 3 AÑOS")</f>
        <v>LOS 3 AÑOS</v>
      </c>
      <c r="K1830" s="16"/>
      <c r="L1830" s="14" t="s">
        <v>130</v>
      </c>
      <c r="M1830" s="16" t="str">
        <f t="shared" si="1"/>
        <v>14144 SANTA ROSA2 Primaria</v>
      </c>
      <c r="N1830" s="17"/>
      <c r="O1830" s="17"/>
      <c r="P1830" s="17"/>
      <c r="Q1830" s="17"/>
      <c r="R1830" s="17"/>
      <c r="S1830" s="17"/>
      <c r="T1830" s="17"/>
    </row>
    <row r="1831">
      <c r="A1831" s="21">
        <v>634.0</v>
      </c>
      <c r="B1831" s="20" t="s">
        <v>48</v>
      </c>
      <c r="C1831" s="20" t="s">
        <v>14</v>
      </c>
      <c r="D1831" s="20" t="s">
        <v>15</v>
      </c>
      <c r="E1831" s="12" t="str">
        <f>IFERROR(__xludf.DUMMYFUNCTION("FILTER(colegios!$B$2:$B5618,colegios!$A$2:$A5618=L1831)"),"14144 SANTA ROSA")</f>
        <v>14144 SANTA ROSA</v>
      </c>
      <c r="F1831" s="14" t="s">
        <v>16</v>
      </c>
      <c r="G1831" s="20" t="s">
        <v>21</v>
      </c>
      <c r="H1831" s="14" t="s">
        <v>18</v>
      </c>
      <c r="I1831" s="22">
        <v>2023.0</v>
      </c>
      <c r="J1831" s="16" t="str">
        <f>IFERROR(__xludf.DUMMYFUNCTION("FILTER('CLASFICACIÓN'!$F$3:$F5618,'CLASFICACIÓN'!$G$3:$G5618=M1831)"),"LOS 3 AÑOS")</f>
        <v>LOS 3 AÑOS</v>
      </c>
      <c r="K1831" s="16"/>
      <c r="L1831" s="14" t="s">
        <v>130</v>
      </c>
      <c r="M1831" s="16" t="str">
        <f t="shared" si="1"/>
        <v>14144 SANTA ROSA2 Primaria</v>
      </c>
      <c r="N1831" s="17"/>
      <c r="O1831" s="17"/>
      <c r="P1831" s="17"/>
      <c r="Q1831" s="17"/>
      <c r="R1831" s="17"/>
      <c r="S1831" s="17"/>
      <c r="T1831" s="17"/>
    </row>
    <row r="1832">
      <c r="A1832" s="21">
        <v>635.0</v>
      </c>
      <c r="B1832" s="20" t="s">
        <v>48</v>
      </c>
      <c r="C1832" s="20" t="s">
        <v>14</v>
      </c>
      <c r="D1832" s="20" t="s">
        <v>15</v>
      </c>
      <c r="E1832" s="12" t="str">
        <f>IFERROR(__xludf.DUMMYFUNCTION("FILTER(colegios!$B$2:$B5618,colegios!$A$2:$A5618=L1832)"),"14144 SANTA ROSA")</f>
        <v>14144 SANTA ROSA</v>
      </c>
      <c r="F1832" s="14" t="s">
        <v>16</v>
      </c>
      <c r="G1832" s="20" t="s">
        <v>17</v>
      </c>
      <c r="H1832" s="14" t="s">
        <v>24</v>
      </c>
      <c r="I1832" s="22">
        <v>2023.0</v>
      </c>
      <c r="J1832" s="16" t="str">
        <f>IFERROR(__xludf.DUMMYFUNCTION("FILTER('CLASFICACIÓN'!$F$3:$F5618,'CLASFICACIÓN'!$G$3:$G5618=M1832)"),"LOS 3 AÑOS")</f>
        <v>LOS 3 AÑOS</v>
      </c>
      <c r="K1832" s="16"/>
      <c r="L1832" s="14" t="s">
        <v>130</v>
      </c>
      <c r="M1832" s="16" t="str">
        <f t="shared" si="1"/>
        <v>14144 SANTA ROSA2 Primaria</v>
      </c>
      <c r="N1832" s="17"/>
      <c r="O1832" s="17"/>
      <c r="P1832" s="17"/>
      <c r="Q1832" s="17"/>
      <c r="R1832" s="17"/>
      <c r="S1832" s="17"/>
      <c r="T1832" s="17"/>
    </row>
    <row r="1833">
      <c r="A1833" s="21">
        <v>636.0</v>
      </c>
      <c r="B1833" s="20" t="s">
        <v>48</v>
      </c>
      <c r="C1833" s="20" t="s">
        <v>14</v>
      </c>
      <c r="D1833" s="20" t="s">
        <v>15</v>
      </c>
      <c r="E1833" s="12" t="str">
        <f>IFERROR(__xludf.DUMMYFUNCTION("FILTER(colegios!$B$2:$B5618,colegios!$A$2:$A5618=L1833)"),"14144 SANTA ROSA")</f>
        <v>14144 SANTA ROSA</v>
      </c>
      <c r="F1833" s="14" t="s">
        <v>16</v>
      </c>
      <c r="G1833" s="20" t="s">
        <v>17</v>
      </c>
      <c r="H1833" s="14" t="s">
        <v>32</v>
      </c>
      <c r="I1833" s="22">
        <v>2023.0</v>
      </c>
      <c r="J1833" s="16" t="str">
        <f>IFERROR(__xludf.DUMMYFUNCTION("FILTER('CLASFICACIÓN'!$F$3:$F5618,'CLASFICACIÓN'!$G$3:$G5618=M1833)"),"LOS 3 AÑOS")</f>
        <v>LOS 3 AÑOS</v>
      </c>
      <c r="K1833" s="16"/>
      <c r="L1833" s="14" t="s">
        <v>130</v>
      </c>
      <c r="M1833" s="16" t="str">
        <f t="shared" si="1"/>
        <v>14144 SANTA ROSA2 Primaria</v>
      </c>
      <c r="N1833" s="17"/>
      <c r="O1833" s="17"/>
      <c r="P1833" s="17"/>
      <c r="Q1833" s="17"/>
      <c r="R1833" s="17"/>
      <c r="S1833" s="17"/>
      <c r="T1833" s="17"/>
    </row>
    <row r="1834">
      <c r="A1834" s="21">
        <v>637.0</v>
      </c>
      <c r="B1834" s="20" t="s">
        <v>48</v>
      </c>
      <c r="C1834" s="20" t="s">
        <v>14</v>
      </c>
      <c r="D1834" s="20" t="s">
        <v>15</v>
      </c>
      <c r="E1834" s="12" t="str">
        <f>IFERROR(__xludf.DUMMYFUNCTION("FILTER(colegios!$B$2:$B5618,colegios!$A$2:$A5618=L1834)"),"14144 SANTA ROSA")</f>
        <v>14144 SANTA ROSA</v>
      </c>
      <c r="F1834" s="14" t="s">
        <v>16</v>
      </c>
      <c r="G1834" s="20" t="s">
        <v>17</v>
      </c>
      <c r="H1834" s="14" t="s">
        <v>24</v>
      </c>
      <c r="I1834" s="22">
        <v>2023.0</v>
      </c>
      <c r="J1834" s="16" t="str">
        <f>IFERROR(__xludf.DUMMYFUNCTION("FILTER('CLASFICACIÓN'!$F$3:$F5618,'CLASFICACIÓN'!$G$3:$G5618=M1834)"),"LOS 3 AÑOS")</f>
        <v>LOS 3 AÑOS</v>
      </c>
      <c r="K1834" s="16"/>
      <c r="L1834" s="14" t="s">
        <v>130</v>
      </c>
      <c r="M1834" s="16" t="str">
        <f t="shared" si="1"/>
        <v>14144 SANTA ROSA2 Primaria</v>
      </c>
      <c r="N1834" s="17"/>
      <c r="O1834" s="17"/>
      <c r="P1834" s="17"/>
      <c r="Q1834" s="17"/>
      <c r="R1834" s="17"/>
      <c r="S1834" s="17"/>
      <c r="T1834" s="17"/>
    </row>
    <row r="1835">
      <c r="A1835" s="21">
        <v>638.0</v>
      </c>
      <c r="B1835" s="20" t="s">
        <v>48</v>
      </c>
      <c r="C1835" s="20" t="s">
        <v>14</v>
      </c>
      <c r="D1835" s="20" t="s">
        <v>15</v>
      </c>
      <c r="E1835" s="12" t="str">
        <f>IFERROR(__xludf.DUMMYFUNCTION("FILTER(colegios!$B$2:$B5618,colegios!$A$2:$A5618=L1835)"),"14144 SANTA ROSA")</f>
        <v>14144 SANTA ROSA</v>
      </c>
      <c r="F1835" s="14" t="s">
        <v>16</v>
      </c>
      <c r="G1835" s="20" t="s">
        <v>21</v>
      </c>
      <c r="H1835" s="14" t="s">
        <v>24</v>
      </c>
      <c r="I1835" s="22">
        <v>2023.0</v>
      </c>
      <c r="J1835" s="16" t="str">
        <f>IFERROR(__xludf.DUMMYFUNCTION("FILTER('CLASFICACIÓN'!$F$3:$F5618,'CLASFICACIÓN'!$G$3:$G5618=M1835)"),"LOS 3 AÑOS")</f>
        <v>LOS 3 AÑOS</v>
      </c>
      <c r="K1835" s="16"/>
      <c r="L1835" s="14" t="s">
        <v>130</v>
      </c>
      <c r="M1835" s="16" t="str">
        <f t="shared" si="1"/>
        <v>14144 SANTA ROSA2 Primaria</v>
      </c>
      <c r="N1835" s="17"/>
      <c r="O1835" s="17"/>
      <c r="P1835" s="17"/>
      <c r="Q1835" s="17"/>
      <c r="R1835" s="17"/>
      <c r="S1835" s="17"/>
      <c r="T1835" s="17"/>
    </row>
    <row r="1836">
      <c r="A1836" s="21">
        <v>639.0</v>
      </c>
      <c r="B1836" s="20" t="s">
        <v>48</v>
      </c>
      <c r="C1836" s="20" t="s">
        <v>14</v>
      </c>
      <c r="D1836" s="20" t="s">
        <v>15</v>
      </c>
      <c r="E1836" s="12" t="str">
        <f>IFERROR(__xludf.DUMMYFUNCTION("FILTER(colegios!$B$2:$B5618,colegios!$A$2:$A5618=L1836)"),"14144 SANTA ROSA")</f>
        <v>14144 SANTA ROSA</v>
      </c>
      <c r="F1836" s="14" t="s">
        <v>16</v>
      </c>
      <c r="G1836" s="20" t="s">
        <v>21</v>
      </c>
      <c r="H1836" s="14" t="s">
        <v>24</v>
      </c>
      <c r="I1836" s="22">
        <v>2023.0</v>
      </c>
      <c r="J1836" s="16" t="str">
        <f>IFERROR(__xludf.DUMMYFUNCTION("FILTER('CLASFICACIÓN'!$F$3:$F5618,'CLASFICACIÓN'!$G$3:$G5618=M1836)"),"LOS 3 AÑOS")</f>
        <v>LOS 3 AÑOS</v>
      </c>
      <c r="K1836" s="16"/>
      <c r="L1836" s="14" t="s">
        <v>130</v>
      </c>
      <c r="M1836" s="16" t="str">
        <f t="shared" si="1"/>
        <v>14144 SANTA ROSA2 Primaria</v>
      </c>
      <c r="N1836" s="17"/>
      <c r="O1836" s="17"/>
      <c r="P1836" s="17"/>
      <c r="Q1836" s="17"/>
      <c r="R1836" s="17"/>
      <c r="S1836" s="17"/>
      <c r="T1836" s="17"/>
    </row>
    <row r="1837">
      <c r="A1837" s="21">
        <v>640.0</v>
      </c>
      <c r="B1837" s="20" t="s">
        <v>48</v>
      </c>
      <c r="C1837" s="20" t="s">
        <v>14</v>
      </c>
      <c r="D1837" s="20" t="s">
        <v>15</v>
      </c>
      <c r="E1837" s="12" t="str">
        <f>IFERROR(__xludf.DUMMYFUNCTION("FILTER(colegios!$B$2:$B5618,colegios!$A$2:$A5618=L1837)"),"14144 SANTA ROSA")</f>
        <v>14144 SANTA ROSA</v>
      </c>
      <c r="F1837" s="14" t="s">
        <v>16</v>
      </c>
      <c r="G1837" s="20" t="s">
        <v>17</v>
      </c>
      <c r="H1837" s="14" t="s">
        <v>18</v>
      </c>
      <c r="I1837" s="22">
        <v>2023.0</v>
      </c>
      <c r="J1837" s="16" t="str">
        <f>IFERROR(__xludf.DUMMYFUNCTION("FILTER('CLASFICACIÓN'!$F$3:$F5618,'CLASFICACIÓN'!$G$3:$G5618=M1837)"),"LOS 3 AÑOS")</f>
        <v>LOS 3 AÑOS</v>
      </c>
      <c r="K1837" s="16"/>
      <c r="L1837" s="14" t="s">
        <v>130</v>
      </c>
      <c r="M1837" s="16" t="str">
        <f t="shared" si="1"/>
        <v>14144 SANTA ROSA2 Primaria</v>
      </c>
      <c r="N1837" s="17"/>
      <c r="O1837" s="17"/>
      <c r="P1837" s="17"/>
      <c r="Q1837" s="17"/>
      <c r="R1837" s="17"/>
      <c r="S1837" s="17"/>
      <c r="T1837" s="17"/>
    </row>
    <row r="1838">
      <c r="A1838" s="21">
        <v>641.0</v>
      </c>
      <c r="B1838" s="20" t="s">
        <v>48</v>
      </c>
      <c r="C1838" s="20" t="s">
        <v>14</v>
      </c>
      <c r="D1838" s="20" t="s">
        <v>15</v>
      </c>
      <c r="E1838" s="12" t="str">
        <f>IFERROR(__xludf.DUMMYFUNCTION("FILTER(colegios!$B$2:$B5618,colegios!$A$2:$A5618=L1838)"),"14144 SANTA ROSA")</f>
        <v>14144 SANTA ROSA</v>
      </c>
      <c r="F1838" s="14" t="s">
        <v>16</v>
      </c>
      <c r="G1838" s="20" t="s">
        <v>17</v>
      </c>
      <c r="H1838" s="14" t="s">
        <v>24</v>
      </c>
      <c r="I1838" s="22">
        <v>2023.0</v>
      </c>
      <c r="J1838" s="16" t="str">
        <f>IFERROR(__xludf.DUMMYFUNCTION("FILTER('CLASFICACIÓN'!$F$3:$F5618,'CLASFICACIÓN'!$G$3:$G5618=M1838)"),"LOS 3 AÑOS")</f>
        <v>LOS 3 AÑOS</v>
      </c>
      <c r="K1838" s="16"/>
      <c r="L1838" s="14" t="s">
        <v>130</v>
      </c>
      <c r="M1838" s="16" t="str">
        <f t="shared" si="1"/>
        <v>14144 SANTA ROSA2 Primaria</v>
      </c>
      <c r="N1838" s="17"/>
      <c r="O1838" s="17"/>
      <c r="P1838" s="17"/>
      <c r="Q1838" s="17"/>
      <c r="R1838" s="17"/>
      <c r="S1838" s="17"/>
      <c r="T1838" s="17"/>
    </row>
    <row r="1839">
      <c r="A1839" s="21">
        <v>642.0</v>
      </c>
      <c r="B1839" s="20" t="s">
        <v>48</v>
      </c>
      <c r="C1839" s="20" t="s">
        <v>14</v>
      </c>
      <c r="D1839" s="20" t="s">
        <v>15</v>
      </c>
      <c r="E1839" s="12" t="str">
        <f>IFERROR(__xludf.DUMMYFUNCTION("FILTER(colegios!$B$2:$B5618,colegios!$A$2:$A5618=L1839)"),"14144 SANTA ROSA")</f>
        <v>14144 SANTA ROSA</v>
      </c>
      <c r="F1839" s="14" t="s">
        <v>16</v>
      </c>
      <c r="G1839" s="20" t="s">
        <v>21</v>
      </c>
      <c r="H1839" s="14" t="s">
        <v>24</v>
      </c>
      <c r="I1839" s="22">
        <v>2023.0</v>
      </c>
      <c r="J1839" s="16" t="str">
        <f>IFERROR(__xludf.DUMMYFUNCTION("FILTER('CLASFICACIÓN'!$F$3:$F5618,'CLASFICACIÓN'!$G$3:$G5618=M1839)"),"LOS 3 AÑOS")</f>
        <v>LOS 3 AÑOS</v>
      </c>
      <c r="K1839" s="16"/>
      <c r="L1839" s="14" t="s">
        <v>130</v>
      </c>
      <c r="M1839" s="16" t="str">
        <f t="shared" si="1"/>
        <v>14144 SANTA ROSA2 Primaria</v>
      </c>
      <c r="N1839" s="17"/>
      <c r="O1839" s="17"/>
      <c r="P1839" s="17"/>
      <c r="Q1839" s="17"/>
      <c r="R1839" s="17"/>
      <c r="S1839" s="17"/>
      <c r="T1839" s="17"/>
    </row>
    <row r="1840">
      <c r="A1840" s="21">
        <v>643.0</v>
      </c>
      <c r="B1840" s="20" t="s">
        <v>48</v>
      </c>
      <c r="C1840" s="20" t="s">
        <v>14</v>
      </c>
      <c r="D1840" s="20" t="s">
        <v>15</v>
      </c>
      <c r="E1840" s="12" t="str">
        <f>IFERROR(__xludf.DUMMYFUNCTION("FILTER(colegios!$B$2:$B5618,colegios!$A$2:$A5618=L1840)"),"14144 SANTA ROSA")</f>
        <v>14144 SANTA ROSA</v>
      </c>
      <c r="F1840" s="14" t="s">
        <v>16</v>
      </c>
      <c r="G1840" s="20" t="s">
        <v>17</v>
      </c>
      <c r="H1840" s="14" t="s">
        <v>24</v>
      </c>
      <c r="I1840" s="22">
        <v>2023.0</v>
      </c>
      <c r="J1840" s="16" t="str">
        <f>IFERROR(__xludf.DUMMYFUNCTION("FILTER('CLASFICACIÓN'!$F$3:$F5618,'CLASFICACIÓN'!$G$3:$G5618=M1840)"),"LOS 3 AÑOS")</f>
        <v>LOS 3 AÑOS</v>
      </c>
      <c r="K1840" s="16"/>
      <c r="L1840" s="14" t="s">
        <v>130</v>
      </c>
      <c r="M1840" s="16" t="str">
        <f t="shared" si="1"/>
        <v>14144 SANTA ROSA2 Primaria</v>
      </c>
      <c r="N1840" s="17"/>
      <c r="O1840" s="17"/>
      <c r="P1840" s="17"/>
      <c r="Q1840" s="17"/>
      <c r="R1840" s="17"/>
      <c r="S1840" s="17"/>
      <c r="T1840" s="17"/>
    </row>
    <row r="1841">
      <c r="A1841" s="21">
        <v>644.0</v>
      </c>
      <c r="B1841" s="20" t="s">
        <v>48</v>
      </c>
      <c r="C1841" s="20" t="s">
        <v>14</v>
      </c>
      <c r="D1841" s="20" t="s">
        <v>15</v>
      </c>
      <c r="E1841" s="12" t="str">
        <f>IFERROR(__xludf.DUMMYFUNCTION("FILTER(colegios!$B$2:$B5618,colegios!$A$2:$A5618=L1841)"),"14144 SANTA ROSA")</f>
        <v>14144 SANTA ROSA</v>
      </c>
      <c r="F1841" s="14" t="s">
        <v>16</v>
      </c>
      <c r="G1841" s="20" t="s">
        <v>21</v>
      </c>
      <c r="H1841" s="14" t="s">
        <v>24</v>
      </c>
      <c r="I1841" s="22">
        <v>2023.0</v>
      </c>
      <c r="J1841" s="16" t="str">
        <f>IFERROR(__xludf.DUMMYFUNCTION("FILTER('CLASFICACIÓN'!$F$3:$F5618,'CLASFICACIÓN'!$G$3:$G5618=M1841)"),"LOS 3 AÑOS")</f>
        <v>LOS 3 AÑOS</v>
      </c>
      <c r="K1841" s="16"/>
      <c r="L1841" s="14" t="s">
        <v>130</v>
      </c>
      <c r="M1841" s="16" t="str">
        <f t="shared" si="1"/>
        <v>14144 SANTA ROSA2 Primaria</v>
      </c>
      <c r="N1841" s="17"/>
      <c r="O1841" s="17"/>
      <c r="P1841" s="17"/>
      <c r="Q1841" s="17"/>
      <c r="R1841" s="17"/>
      <c r="S1841" s="17"/>
      <c r="T1841" s="17"/>
    </row>
    <row r="1842">
      <c r="A1842" s="21">
        <v>645.0</v>
      </c>
      <c r="B1842" s="20" t="s">
        <v>48</v>
      </c>
      <c r="C1842" s="20" t="s">
        <v>14</v>
      </c>
      <c r="D1842" s="20" t="s">
        <v>15</v>
      </c>
      <c r="E1842" s="12" t="str">
        <f>IFERROR(__xludf.DUMMYFUNCTION("FILTER(colegios!$B$2:$B5618,colegios!$A$2:$A5618=L1842)"),"14144 SANTA ROSA")</f>
        <v>14144 SANTA ROSA</v>
      </c>
      <c r="F1842" s="14" t="s">
        <v>16</v>
      </c>
      <c r="G1842" s="20" t="s">
        <v>21</v>
      </c>
      <c r="H1842" s="14" t="s">
        <v>24</v>
      </c>
      <c r="I1842" s="22">
        <v>2023.0</v>
      </c>
      <c r="J1842" s="16" t="str">
        <f>IFERROR(__xludf.DUMMYFUNCTION("FILTER('CLASFICACIÓN'!$F$3:$F5618,'CLASFICACIÓN'!$G$3:$G5618=M1842)"),"LOS 3 AÑOS")</f>
        <v>LOS 3 AÑOS</v>
      </c>
      <c r="K1842" s="16"/>
      <c r="L1842" s="14" t="s">
        <v>130</v>
      </c>
      <c r="M1842" s="16" t="str">
        <f t="shared" si="1"/>
        <v>14144 SANTA ROSA2 Primaria</v>
      </c>
      <c r="N1842" s="17"/>
      <c r="O1842" s="17"/>
      <c r="P1842" s="17"/>
      <c r="Q1842" s="17"/>
      <c r="R1842" s="17"/>
      <c r="S1842" s="17"/>
      <c r="T1842" s="17"/>
    </row>
    <row r="1843">
      <c r="A1843" s="21">
        <v>646.0</v>
      </c>
      <c r="B1843" s="20" t="s">
        <v>48</v>
      </c>
      <c r="C1843" s="20" t="s">
        <v>14</v>
      </c>
      <c r="D1843" s="20" t="s">
        <v>15</v>
      </c>
      <c r="E1843" s="12" t="str">
        <f>IFERROR(__xludf.DUMMYFUNCTION("FILTER(colegios!$B$2:$B5618,colegios!$A$2:$A5618=L1843)"),"14144 SANTA ROSA")</f>
        <v>14144 SANTA ROSA</v>
      </c>
      <c r="F1843" s="14" t="s">
        <v>16</v>
      </c>
      <c r="G1843" s="20" t="s">
        <v>21</v>
      </c>
      <c r="H1843" s="14" t="s">
        <v>24</v>
      </c>
      <c r="I1843" s="22">
        <v>2023.0</v>
      </c>
      <c r="J1843" s="16" t="str">
        <f>IFERROR(__xludf.DUMMYFUNCTION("FILTER('CLASFICACIÓN'!$F$3:$F5618,'CLASFICACIÓN'!$G$3:$G5618=M1843)"),"LOS 3 AÑOS")</f>
        <v>LOS 3 AÑOS</v>
      </c>
      <c r="K1843" s="16"/>
      <c r="L1843" s="14" t="s">
        <v>130</v>
      </c>
      <c r="M1843" s="16" t="str">
        <f t="shared" si="1"/>
        <v>14144 SANTA ROSA2 Primaria</v>
      </c>
      <c r="N1843" s="17"/>
      <c r="O1843" s="17"/>
      <c r="P1843" s="17"/>
      <c r="Q1843" s="17"/>
      <c r="R1843" s="17"/>
      <c r="S1843" s="17"/>
      <c r="T1843" s="17"/>
    </row>
    <row r="1844">
      <c r="A1844" s="21">
        <v>647.0</v>
      </c>
      <c r="B1844" s="20" t="s">
        <v>48</v>
      </c>
      <c r="C1844" s="20" t="s">
        <v>14</v>
      </c>
      <c r="D1844" s="20" t="s">
        <v>15</v>
      </c>
      <c r="E1844" s="12" t="str">
        <f>IFERROR(__xludf.DUMMYFUNCTION("FILTER(colegios!$B$2:$B5618,colegios!$A$2:$A5618=L1844)"),"14144 SANTA ROSA")</f>
        <v>14144 SANTA ROSA</v>
      </c>
      <c r="F1844" s="14" t="s">
        <v>16</v>
      </c>
      <c r="G1844" s="20" t="s">
        <v>21</v>
      </c>
      <c r="H1844" s="14" t="s">
        <v>24</v>
      </c>
      <c r="I1844" s="22">
        <v>2023.0</v>
      </c>
      <c r="J1844" s="16" t="str">
        <f>IFERROR(__xludf.DUMMYFUNCTION("FILTER('CLASFICACIÓN'!$F$3:$F5618,'CLASFICACIÓN'!$G$3:$G5618=M1844)"),"LOS 3 AÑOS")</f>
        <v>LOS 3 AÑOS</v>
      </c>
      <c r="K1844" s="16"/>
      <c r="L1844" s="14" t="s">
        <v>130</v>
      </c>
      <c r="M1844" s="16" t="str">
        <f t="shared" si="1"/>
        <v>14144 SANTA ROSA2 Primaria</v>
      </c>
      <c r="N1844" s="17"/>
      <c r="O1844" s="17"/>
      <c r="P1844" s="17"/>
      <c r="Q1844" s="17"/>
      <c r="R1844" s="17"/>
      <c r="S1844" s="17"/>
      <c r="T1844" s="17"/>
    </row>
    <row r="1845">
      <c r="A1845" s="21">
        <v>648.0</v>
      </c>
      <c r="B1845" s="20" t="s">
        <v>48</v>
      </c>
      <c r="C1845" s="20" t="s">
        <v>14</v>
      </c>
      <c r="D1845" s="20" t="s">
        <v>15</v>
      </c>
      <c r="E1845" s="12" t="str">
        <f>IFERROR(__xludf.DUMMYFUNCTION("FILTER(colegios!$B$2:$B5618,colegios!$A$2:$A5618=L1845)"),"14144 SANTA ROSA")</f>
        <v>14144 SANTA ROSA</v>
      </c>
      <c r="F1845" s="14" t="s">
        <v>16</v>
      </c>
      <c r="G1845" s="20" t="s">
        <v>17</v>
      </c>
      <c r="H1845" s="14" t="s">
        <v>24</v>
      </c>
      <c r="I1845" s="22">
        <v>2023.0</v>
      </c>
      <c r="J1845" s="16" t="str">
        <f>IFERROR(__xludf.DUMMYFUNCTION("FILTER('CLASFICACIÓN'!$F$3:$F5618,'CLASFICACIÓN'!$G$3:$G5618=M1845)"),"LOS 3 AÑOS")</f>
        <v>LOS 3 AÑOS</v>
      </c>
      <c r="K1845" s="16"/>
      <c r="L1845" s="14" t="s">
        <v>130</v>
      </c>
      <c r="M1845" s="16" t="str">
        <f t="shared" si="1"/>
        <v>14144 SANTA ROSA2 Primaria</v>
      </c>
      <c r="N1845" s="17"/>
      <c r="O1845" s="17"/>
      <c r="P1845" s="17"/>
      <c r="Q1845" s="17"/>
      <c r="R1845" s="17"/>
      <c r="S1845" s="17"/>
      <c r="T1845" s="17"/>
    </row>
    <row r="1846">
      <c r="A1846" s="21">
        <v>649.0</v>
      </c>
      <c r="B1846" s="20" t="s">
        <v>48</v>
      </c>
      <c r="C1846" s="20" t="s">
        <v>14</v>
      </c>
      <c r="D1846" s="20" t="s">
        <v>15</v>
      </c>
      <c r="E1846" s="12" t="str">
        <f>IFERROR(__xludf.DUMMYFUNCTION("FILTER(colegios!$B$2:$B5618,colegios!$A$2:$A5618=L1846)"),"14144 SANTA ROSA")</f>
        <v>14144 SANTA ROSA</v>
      </c>
      <c r="F1846" s="14" t="s">
        <v>16</v>
      </c>
      <c r="G1846" s="20" t="s">
        <v>21</v>
      </c>
      <c r="H1846" s="14" t="s">
        <v>18</v>
      </c>
      <c r="I1846" s="22">
        <v>2023.0</v>
      </c>
      <c r="J1846" s="16" t="str">
        <f>IFERROR(__xludf.DUMMYFUNCTION("FILTER('CLASFICACIÓN'!$F$3:$F5618,'CLASFICACIÓN'!$G$3:$G5618=M1846)"),"LOS 3 AÑOS")</f>
        <v>LOS 3 AÑOS</v>
      </c>
      <c r="K1846" s="16"/>
      <c r="L1846" s="14" t="s">
        <v>130</v>
      </c>
      <c r="M1846" s="16" t="str">
        <f t="shared" si="1"/>
        <v>14144 SANTA ROSA2 Primaria</v>
      </c>
      <c r="N1846" s="17"/>
      <c r="O1846" s="17"/>
      <c r="P1846" s="17"/>
      <c r="Q1846" s="17"/>
      <c r="R1846" s="17"/>
      <c r="S1846" s="17"/>
      <c r="T1846" s="17"/>
    </row>
    <row r="1847">
      <c r="A1847" s="21">
        <v>650.0</v>
      </c>
      <c r="B1847" s="20" t="s">
        <v>48</v>
      </c>
      <c r="C1847" s="20" t="s">
        <v>14</v>
      </c>
      <c r="D1847" s="20" t="s">
        <v>15</v>
      </c>
      <c r="E1847" s="12" t="str">
        <f>IFERROR(__xludf.DUMMYFUNCTION("FILTER(colegios!$B$2:$B5618,colegios!$A$2:$A5618=L1847)"),"14144 SANTA ROSA")</f>
        <v>14144 SANTA ROSA</v>
      </c>
      <c r="F1847" s="14" t="s">
        <v>16</v>
      </c>
      <c r="G1847" s="20" t="s">
        <v>17</v>
      </c>
      <c r="H1847" s="14" t="s">
        <v>24</v>
      </c>
      <c r="I1847" s="22">
        <v>2023.0</v>
      </c>
      <c r="J1847" s="16" t="str">
        <f>IFERROR(__xludf.DUMMYFUNCTION("FILTER('CLASFICACIÓN'!$F$3:$F5618,'CLASFICACIÓN'!$G$3:$G5618=M1847)"),"LOS 3 AÑOS")</f>
        <v>LOS 3 AÑOS</v>
      </c>
      <c r="K1847" s="16"/>
      <c r="L1847" s="14" t="s">
        <v>130</v>
      </c>
      <c r="M1847" s="16" t="str">
        <f t="shared" si="1"/>
        <v>14144 SANTA ROSA2 Primaria</v>
      </c>
      <c r="N1847" s="17"/>
      <c r="O1847" s="17"/>
      <c r="P1847" s="17"/>
      <c r="Q1847" s="17"/>
      <c r="R1847" s="17"/>
      <c r="S1847" s="17"/>
      <c r="T1847" s="17"/>
    </row>
    <row r="1848">
      <c r="A1848" s="21">
        <v>651.0</v>
      </c>
      <c r="B1848" s="20" t="s">
        <v>48</v>
      </c>
      <c r="C1848" s="20" t="s">
        <v>14</v>
      </c>
      <c r="D1848" s="20" t="s">
        <v>15</v>
      </c>
      <c r="E1848" s="12" t="str">
        <f>IFERROR(__xludf.DUMMYFUNCTION("FILTER(colegios!$B$2:$B5618,colegios!$A$2:$A5618=L1848)"),"14144 SANTA ROSA")</f>
        <v>14144 SANTA ROSA</v>
      </c>
      <c r="F1848" s="14" t="s">
        <v>16</v>
      </c>
      <c r="G1848" s="20" t="s">
        <v>21</v>
      </c>
      <c r="H1848" s="14" t="s">
        <v>18</v>
      </c>
      <c r="I1848" s="22">
        <v>2023.0</v>
      </c>
      <c r="J1848" s="16" t="str">
        <f>IFERROR(__xludf.DUMMYFUNCTION("FILTER('CLASFICACIÓN'!$F$3:$F5618,'CLASFICACIÓN'!$G$3:$G5618=M1848)"),"LOS 3 AÑOS")</f>
        <v>LOS 3 AÑOS</v>
      </c>
      <c r="K1848" s="16"/>
      <c r="L1848" s="14" t="s">
        <v>130</v>
      </c>
      <c r="M1848" s="16" t="str">
        <f t="shared" si="1"/>
        <v>14144 SANTA ROSA2 Primaria</v>
      </c>
      <c r="N1848" s="17"/>
      <c r="O1848" s="17"/>
      <c r="P1848" s="17"/>
      <c r="Q1848" s="17"/>
      <c r="R1848" s="17"/>
      <c r="S1848" s="17"/>
      <c r="T1848" s="17"/>
    </row>
    <row r="1849">
      <c r="A1849" s="21">
        <v>652.0</v>
      </c>
      <c r="B1849" s="20" t="s">
        <v>48</v>
      </c>
      <c r="C1849" s="20" t="s">
        <v>14</v>
      </c>
      <c r="D1849" s="20" t="s">
        <v>15</v>
      </c>
      <c r="E1849" s="12" t="str">
        <f>IFERROR(__xludf.DUMMYFUNCTION("FILTER(colegios!$B$2:$B5618,colegios!$A$2:$A5618=L1849)"),"14144 SANTA ROSA")</f>
        <v>14144 SANTA ROSA</v>
      </c>
      <c r="F1849" s="14" t="s">
        <v>16</v>
      </c>
      <c r="G1849" s="20" t="s">
        <v>17</v>
      </c>
      <c r="H1849" s="14" t="s">
        <v>24</v>
      </c>
      <c r="I1849" s="22">
        <v>2023.0</v>
      </c>
      <c r="J1849" s="16" t="str">
        <f>IFERROR(__xludf.DUMMYFUNCTION("FILTER('CLASFICACIÓN'!$F$3:$F5618,'CLASFICACIÓN'!$G$3:$G5618=M1849)"),"LOS 3 AÑOS")</f>
        <v>LOS 3 AÑOS</v>
      </c>
      <c r="K1849" s="16"/>
      <c r="L1849" s="14" t="s">
        <v>130</v>
      </c>
      <c r="M1849" s="16" t="str">
        <f t="shared" si="1"/>
        <v>14144 SANTA ROSA2 Primaria</v>
      </c>
      <c r="N1849" s="17"/>
      <c r="O1849" s="17"/>
      <c r="P1849" s="17"/>
      <c r="Q1849" s="17"/>
      <c r="R1849" s="17"/>
      <c r="S1849" s="17"/>
      <c r="T1849" s="17"/>
    </row>
    <row r="1850">
      <c r="A1850" s="21">
        <v>653.0</v>
      </c>
      <c r="B1850" s="20" t="s">
        <v>48</v>
      </c>
      <c r="C1850" s="20" t="s">
        <v>14</v>
      </c>
      <c r="D1850" s="20" t="s">
        <v>15</v>
      </c>
      <c r="E1850" s="12" t="str">
        <f>IFERROR(__xludf.DUMMYFUNCTION("FILTER(colegios!$B$2:$B5618,colegios!$A$2:$A5618=L1850)"),"14144 SANTA ROSA")</f>
        <v>14144 SANTA ROSA</v>
      </c>
      <c r="F1850" s="14" t="s">
        <v>16</v>
      </c>
      <c r="G1850" s="20" t="s">
        <v>21</v>
      </c>
      <c r="H1850" s="14" t="s">
        <v>32</v>
      </c>
      <c r="I1850" s="22">
        <v>2023.0</v>
      </c>
      <c r="J1850" s="16" t="str">
        <f>IFERROR(__xludf.DUMMYFUNCTION("FILTER('CLASFICACIÓN'!$F$3:$F5618,'CLASFICACIÓN'!$G$3:$G5618=M1850)"),"LOS 3 AÑOS")</f>
        <v>LOS 3 AÑOS</v>
      </c>
      <c r="K1850" s="16"/>
      <c r="L1850" s="14" t="s">
        <v>130</v>
      </c>
      <c r="M1850" s="16" t="str">
        <f t="shared" si="1"/>
        <v>14144 SANTA ROSA2 Primaria</v>
      </c>
      <c r="N1850" s="17"/>
      <c r="O1850" s="17"/>
      <c r="P1850" s="17"/>
      <c r="Q1850" s="17"/>
      <c r="R1850" s="17"/>
      <c r="S1850" s="17"/>
      <c r="T1850" s="17"/>
    </row>
    <row r="1851">
      <c r="A1851" s="21">
        <v>654.0</v>
      </c>
      <c r="B1851" s="20" t="s">
        <v>48</v>
      </c>
      <c r="C1851" s="20" t="s">
        <v>14</v>
      </c>
      <c r="D1851" s="20" t="s">
        <v>15</v>
      </c>
      <c r="E1851" s="12" t="str">
        <f>IFERROR(__xludf.DUMMYFUNCTION("FILTER(colegios!$B$2:$B5618,colegios!$A$2:$A5618=L1851)"),"14144 SANTA ROSA")</f>
        <v>14144 SANTA ROSA</v>
      </c>
      <c r="F1851" s="14" t="s">
        <v>16</v>
      </c>
      <c r="G1851" s="20" t="s">
        <v>17</v>
      </c>
      <c r="H1851" s="14" t="s">
        <v>24</v>
      </c>
      <c r="I1851" s="22">
        <v>2023.0</v>
      </c>
      <c r="J1851" s="16" t="str">
        <f>IFERROR(__xludf.DUMMYFUNCTION("FILTER('CLASFICACIÓN'!$F$3:$F5618,'CLASFICACIÓN'!$G$3:$G5618=M1851)"),"LOS 3 AÑOS")</f>
        <v>LOS 3 AÑOS</v>
      </c>
      <c r="K1851" s="16"/>
      <c r="L1851" s="14" t="s">
        <v>130</v>
      </c>
      <c r="M1851" s="16" t="str">
        <f t="shared" si="1"/>
        <v>14144 SANTA ROSA2 Primaria</v>
      </c>
      <c r="N1851" s="17"/>
      <c r="O1851" s="17"/>
      <c r="P1851" s="17"/>
      <c r="Q1851" s="17"/>
      <c r="R1851" s="17"/>
      <c r="S1851" s="17"/>
      <c r="T1851" s="17"/>
    </row>
    <row r="1852">
      <c r="A1852" s="21">
        <v>655.0</v>
      </c>
      <c r="B1852" s="20" t="s">
        <v>48</v>
      </c>
      <c r="C1852" s="20" t="s">
        <v>14</v>
      </c>
      <c r="D1852" s="20" t="s">
        <v>15</v>
      </c>
      <c r="E1852" s="12" t="str">
        <f>IFERROR(__xludf.DUMMYFUNCTION("FILTER(colegios!$B$2:$B5618,colegios!$A$2:$A5618=L1852)"),"14144 SANTA ROSA")</f>
        <v>14144 SANTA ROSA</v>
      </c>
      <c r="F1852" s="14" t="s">
        <v>16</v>
      </c>
      <c r="G1852" s="20" t="s">
        <v>21</v>
      </c>
      <c r="H1852" s="14" t="s">
        <v>18</v>
      </c>
      <c r="I1852" s="22">
        <v>2023.0</v>
      </c>
      <c r="J1852" s="16" t="str">
        <f>IFERROR(__xludf.DUMMYFUNCTION("FILTER('CLASFICACIÓN'!$F$3:$F5618,'CLASFICACIÓN'!$G$3:$G5618=M1852)"),"LOS 3 AÑOS")</f>
        <v>LOS 3 AÑOS</v>
      </c>
      <c r="K1852" s="16"/>
      <c r="L1852" s="14" t="s">
        <v>130</v>
      </c>
      <c r="M1852" s="16" t="str">
        <f t="shared" si="1"/>
        <v>14144 SANTA ROSA2 Primaria</v>
      </c>
      <c r="N1852" s="17"/>
      <c r="O1852" s="17"/>
      <c r="P1852" s="17"/>
      <c r="Q1852" s="17"/>
      <c r="R1852" s="17"/>
      <c r="S1852" s="17"/>
      <c r="T1852" s="17"/>
    </row>
    <row r="1853">
      <c r="A1853" s="21">
        <v>656.0</v>
      </c>
      <c r="B1853" s="20" t="s">
        <v>48</v>
      </c>
      <c r="C1853" s="20" t="s">
        <v>14</v>
      </c>
      <c r="D1853" s="20" t="s">
        <v>15</v>
      </c>
      <c r="E1853" s="12" t="str">
        <f>IFERROR(__xludf.DUMMYFUNCTION("FILTER(colegios!$B$2:$B5618,colegios!$A$2:$A5618=L1853)"),"14144 SANTA ROSA")</f>
        <v>14144 SANTA ROSA</v>
      </c>
      <c r="F1853" s="14" t="s">
        <v>16</v>
      </c>
      <c r="G1853" s="20" t="s">
        <v>17</v>
      </c>
      <c r="H1853" s="14" t="s">
        <v>24</v>
      </c>
      <c r="I1853" s="22">
        <v>2023.0</v>
      </c>
      <c r="J1853" s="16" t="str">
        <f>IFERROR(__xludf.DUMMYFUNCTION("FILTER('CLASFICACIÓN'!$F$3:$F5618,'CLASFICACIÓN'!$G$3:$G5618=M1853)"),"LOS 3 AÑOS")</f>
        <v>LOS 3 AÑOS</v>
      </c>
      <c r="K1853" s="16"/>
      <c r="L1853" s="14" t="s">
        <v>130</v>
      </c>
      <c r="M1853" s="16" t="str">
        <f t="shared" si="1"/>
        <v>14144 SANTA ROSA2 Primaria</v>
      </c>
      <c r="N1853" s="17"/>
      <c r="O1853" s="17"/>
      <c r="P1853" s="17"/>
      <c r="Q1853" s="17"/>
      <c r="R1853" s="17"/>
      <c r="S1853" s="17"/>
      <c r="T1853" s="17"/>
    </row>
    <row r="1854">
      <c r="A1854" s="21">
        <v>657.0</v>
      </c>
      <c r="B1854" s="20" t="s">
        <v>48</v>
      </c>
      <c r="C1854" s="20" t="s">
        <v>14</v>
      </c>
      <c r="D1854" s="20" t="s">
        <v>15</v>
      </c>
      <c r="E1854" s="12" t="str">
        <f>IFERROR(__xludf.DUMMYFUNCTION("FILTER(colegios!$B$2:$B5618,colegios!$A$2:$A5618=L1854)"),"14144 SANTA ROSA")</f>
        <v>14144 SANTA ROSA</v>
      </c>
      <c r="F1854" s="14" t="s">
        <v>16</v>
      </c>
      <c r="G1854" s="20" t="s">
        <v>17</v>
      </c>
      <c r="H1854" s="14" t="s">
        <v>24</v>
      </c>
      <c r="I1854" s="22">
        <v>2023.0</v>
      </c>
      <c r="J1854" s="16" t="str">
        <f>IFERROR(__xludf.DUMMYFUNCTION("FILTER('CLASFICACIÓN'!$F$3:$F5618,'CLASFICACIÓN'!$G$3:$G5618=M1854)"),"LOS 3 AÑOS")</f>
        <v>LOS 3 AÑOS</v>
      </c>
      <c r="K1854" s="16"/>
      <c r="L1854" s="14" t="s">
        <v>130</v>
      </c>
      <c r="M1854" s="16" t="str">
        <f t="shared" si="1"/>
        <v>14144 SANTA ROSA2 Primaria</v>
      </c>
      <c r="N1854" s="17"/>
      <c r="O1854" s="17"/>
      <c r="P1854" s="17"/>
      <c r="Q1854" s="17"/>
      <c r="R1854" s="17"/>
      <c r="S1854" s="17"/>
      <c r="T1854" s="17"/>
    </row>
    <row r="1855">
      <c r="A1855" s="21">
        <v>658.0</v>
      </c>
      <c r="B1855" s="20" t="s">
        <v>48</v>
      </c>
      <c r="C1855" s="20" t="s">
        <v>14</v>
      </c>
      <c r="D1855" s="20" t="s">
        <v>15</v>
      </c>
      <c r="E1855" s="12" t="str">
        <f>IFERROR(__xludf.DUMMYFUNCTION("FILTER(colegios!$B$2:$B5618,colegios!$A$2:$A5618=L1855)"),"14144 SANTA ROSA")</f>
        <v>14144 SANTA ROSA</v>
      </c>
      <c r="F1855" s="14" t="s">
        <v>16</v>
      </c>
      <c r="G1855" s="20" t="s">
        <v>17</v>
      </c>
      <c r="H1855" s="14" t="s">
        <v>24</v>
      </c>
      <c r="I1855" s="22">
        <v>2023.0</v>
      </c>
      <c r="J1855" s="16" t="str">
        <f>IFERROR(__xludf.DUMMYFUNCTION("FILTER('CLASFICACIÓN'!$F$3:$F5618,'CLASFICACIÓN'!$G$3:$G5618=M1855)"),"LOS 3 AÑOS")</f>
        <v>LOS 3 AÑOS</v>
      </c>
      <c r="K1855" s="16"/>
      <c r="L1855" s="14" t="s">
        <v>130</v>
      </c>
      <c r="M1855" s="16" t="str">
        <f t="shared" si="1"/>
        <v>14144 SANTA ROSA2 Primaria</v>
      </c>
      <c r="N1855" s="17"/>
      <c r="O1855" s="17"/>
      <c r="P1855" s="17"/>
      <c r="Q1855" s="17"/>
      <c r="R1855" s="17"/>
      <c r="S1855" s="17"/>
      <c r="T1855" s="17"/>
    </row>
    <row r="1856">
      <c r="A1856" s="21">
        <v>659.0</v>
      </c>
      <c r="B1856" s="20" t="s">
        <v>48</v>
      </c>
      <c r="C1856" s="20" t="s">
        <v>14</v>
      </c>
      <c r="D1856" s="20" t="s">
        <v>15</v>
      </c>
      <c r="E1856" s="12" t="str">
        <f>IFERROR(__xludf.DUMMYFUNCTION("FILTER(colegios!$B$2:$B5618,colegios!$A$2:$A5618=L1856)"),"14144 SANTA ROSA")</f>
        <v>14144 SANTA ROSA</v>
      </c>
      <c r="F1856" s="14" t="s">
        <v>16</v>
      </c>
      <c r="G1856" s="20" t="s">
        <v>17</v>
      </c>
      <c r="H1856" s="14" t="s">
        <v>24</v>
      </c>
      <c r="I1856" s="22">
        <v>2023.0</v>
      </c>
      <c r="J1856" s="16" t="str">
        <f>IFERROR(__xludf.DUMMYFUNCTION("FILTER('CLASFICACIÓN'!$F$3:$F5618,'CLASFICACIÓN'!$G$3:$G5618=M1856)"),"LOS 3 AÑOS")</f>
        <v>LOS 3 AÑOS</v>
      </c>
      <c r="K1856" s="16"/>
      <c r="L1856" s="14" t="s">
        <v>130</v>
      </c>
      <c r="M1856" s="16" t="str">
        <f t="shared" si="1"/>
        <v>14144 SANTA ROSA2 Primaria</v>
      </c>
      <c r="N1856" s="17"/>
      <c r="O1856" s="17"/>
      <c r="P1856" s="17"/>
      <c r="Q1856" s="17"/>
      <c r="R1856" s="17"/>
      <c r="S1856" s="17"/>
      <c r="T1856" s="17"/>
    </row>
    <row r="1857">
      <c r="A1857" s="21">
        <v>660.0</v>
      </c>
      <c r="B1857" s="20" t="s">
        <v>48</v>
      </c>
      <c r="C1857" s="20" t="s">
        <v>14</v>
      </c>
      <c r="D1857" s="20" t="s">
        <v>15</v>
      </c>
      <c r="E1857" s="12" t="str">
        <f>IFERROR(__xludf.DUMMYFUNCTION("FILTER(colegios!$B$2:$B5618,colegios!$A$2:$A5618=L1857)"),"14144 SANTA ROSA")</f>
        <v>14144 SANTA ROSA</v>
      </c>
      <c r="F1857" s="14" t="s">
        <v>16</v>
      </c>
      <c r="G1857" s="20" t="s">
        <v>21</v>
      </c>
      <c r="H1857" s="14" t="s">
        <v>18</v>
      </c>
      <c r="I1857" s="22">
        <v>2023.0</v>
      </c>
      <c r="J1857" s="16" t="str">
        <f>IFERROR(__xludf.DUMMYFUNCTION("FILTER('CLASFICACIÓN'!$F$3:$F5618,'CLASFICACIÓN'!$G$3:$G5618=M1857)"),"LOS 3 AÑOS")</f>
        <v>LOS 3 AÑOS</v>
      </c>
      <c r="K1857" s="16"/>
      <c r="L1857" s="14" t="s">
        <v>130</v>
      </c>
      <c r="M1857" s="16" t="str">
        <f t="shared" si="1"/>
        <v>14144 SANTA ROSA2 Primaria</v>
      </c>
      <c r="N1857" s="17"/>
      <c r="O1857" s="17"/>
      <c r="P1857" s="17"/>
      <c r="Q1857" s="17"/>
      <c r="R1857" s="17"/>
      <c r="S1857" s="17"/>
      <c r="T1857" s="17"/>
    </row>
    <row r="1858">
      <c r="A1858" s="21">
        <v>661.0</v>
      </c>
      <c r="B1858" s="20" t="s">
        <v>48</v>
      </c>
      <c r="C1858" s="20" t="s">
        <v>14</v>
      </c>
      <c r="D1858" s="20" t="s">
        <v>15</v>
      </c>
      <c r="E1858" s="12" t="str">
        <f>IFERROR(__xludf.DUMMYFUNCTION("FILTER(colegios!$B$2:$B5618,colegios!$A$2:$A5618=L1858)"),"14144 SANTA ROSA")</f>
        <v>14144 SANTA ROSA</v>
      </c>
      <c r="F1858" s="14" t="s">
        <v>16</v>
      </c>
      <c r="G1858" s="20" t="s">
        <v>21</v>
      </c>
      <c r="H1858" s="14" t="s">
        <v>24</v>
      </c>
      <c r="I1858" s="22">
        <v>2023.0</v>
      </c>
      <c r="J1858" s="16" t="str">
        <f>IFERROR(__xludf.DUMMYFUNCTION("FILTER('CLASFICACIÓN'!$F$3:$F5618,'CLASFICACIÓN'!$G$3:$G5618=M1858)"),"LOS 3 AÑOS")</f>
        <v>LOS 3 AÑOS</v>
      </c>
      <c r="K1858" s="16"/>
      <c r="L1858" s="14" t="s">
        <v>130</v>
      </c>
      <c r="M1858" s="16" t="str">
        <f t="shared" si="1"/>
        <v>14144 SANTA ROSA2 Primaria</v>
      </c>
      <c r="N1858" s="17"/>
      <c r="O1858" s="17"/>
      <c r="P1858" s="17"/>
      <c r="Q1858" s="17"/>
      <c r="R1858" s="17"/>
      <c r="S1858" s="17"/>
      <c r="T1858" s="17"/>
    </row>
    <row r="1859">
      <c r="A1859" s="21">
        <v>662.0</v>
      </c>
      <c r="B1859" s="20" t="s">
        <v>48</v>
      </c>
      <c r="C1859" s="20" t="s">
        <v>14</v>
      </c>
      <c r="D1859" s="20" t="s">
        <v>15</v>
      </c>
      <c r="E1859" s="12" t="str">
        <f>IFERROR(__xludf.DUMMYFUNCTION("FILTER(colegios!$B$2:$B5618,colegios!$A$2:$A5618=L1859)"),"14144 SANTA ROSA")</f>
        <v>14144 SANTA ROSA</v>
      </c>
      <c r="F1859" s="14" t="s">
        <v>16</v>
      </c>
      <c r="G1859" s="20" t="s">
        <v>21</v>
      </c>
      <c r="H1859" s="14" t="s">
        <v>18</v>
      </c>
      <c r="I1859" s="22">
        <v>2023.0</v>
      </c>
      <c r="J1859" s="16" t="str">
        <f>IFERROR(__xludf.DUMMYFUNCTION("FILTER('CLASFICACIÓN'!$F$3:$F5618,'CLASFICACIÓN'!$G$3:$G5618=M1859)"),"LOS 3 AÑOS")</f>
        <v>LOS 3 AÑOS</v>
      </c>
      <c r="K1859" s="16"/>
      <c r="L1859" s="14" t="s">
        <v>130</v>
      </c>
      <c r="M1859" s="16" t="str">
        <f t="shared" si="1"/>
        <v>14144 SANTA ROSA2 Primaria</v>
      </c>
      <c r="N1859" s="17"/>
      <c r="O1859" s="17"/>
      <c r="P1859" s="17"/>
      <c r="Q1859" s="17"/>
      <c r="R1859" s="17"/>
      <c r="S1859" s="17"/>
      <c r="T1859" s="17"/>
    </row>
    <row r="1860">
      <c r="A1860" s="21">
        <v>663.0</v>
      </c>
      <c r="B1860" s="20" t="s">
        <v>48</v>
      </c>
      <c r="C1860" s="20" t="s">
        <v>14</v>
      </c>
      <c r="D1860" s="20" t="s">
        <v>15</v>
      </c>
      <c r="E1860" s="12" t="str">
        <f>IFERROR(__xludf.DUMMYFUNCTION("FILTER(colegios!$B$2:$B5618,colegios!$A$2:$A5618=L1860)"),"14144 SANTA ROSA")</f>
        <v>14144 SANTA ROSA</v>
      </c>
      <c r="F1860" s="14" t="s">
        <v>16</v>
      </c>
      <c r="G1860" s="20" t="s">
        <v>17</v>
      </c>
      <c r="H1860" s="14" t="s">
        <v>24</v>
      </c>
      <c r="I1860" s="22">
        <v>2023.0</v>
      </c>
      <c r="J1860" s="16" t="str">
        <f>IFERROR(__xludf.DUMMYFUNCTION("FILTER('CLASFICACIÓN'!$F$3:$F5618,'CLASFICACIÓN'!$G$3:$G5618=M1860)"),"LOS 3 AÑOS")</f>
        <v>LOS 3 AÑOS</v>
      </c>
      <c r="K1860" s="16"/>
      <c r="L1860" s="14" t="s">
        <v>130</v>
      </c>
      <c r="M1860" s="16" t="str">
        <f t="shared" si="1"/>
        <v>14144 SANTA ROSA2 Primaria</v>
      </c>
      <c r="N1860" s="17"/>
      <c r="O1860" s="17"/>
      <c r="P1860" s="17"/>
      <c r="Q1860" s="17"/>
      <c r="R1860" s="17"/>
      <c r="S1860" s="17"/>
      <c r="T1860" s="17"/>
    </row>
    <row r="1861">
      <c r="A1861" s="21">
        <v>664.0</v>
      </c>
      <c r="B1861" s="20" t="s">
        <v>48</v>
      </c>
      <c r="C1861" s="20" t="s">
        <v>14</v>
      </c>
      <c r="D1861" s="20" t="s">
        <v>15</v>
      </c>
      <c r="E1861" s="12" t="str">
        <f>IFERROR(__xludf.DUMMYFUNCTION("FILTER(colegios!$B$2:$B5618,colegios!$A$2:$A5618=L1861)"),"14144 SANTA ROSA")</f>
        <v>14144 SANTA ROSA</v>
      </c>
      <c r="F1861" s="14" t="s">
        <v>16</v>
      </c>
      <c r="G1861" s="20" t="s">
        <v>17</v>
      </c>
      <c r="H1861" s="14" t="s">
        <v>24</v>
      </c>
      <c r="I1861" s="22">
        <v>2023.0</v>
      </c>
      <c r="J1861" s="16" t="str">
        <f>IFERROR(__xludf.DUMMYFUNCTION("FILTER('CLASFICACIÓN'!$F$3:$F5618,'CLASFICACIÓN'!$G$3:$G5618=M1861)"),"LOS 3 AÑOS")</f>
        <v>LOS 3 AÑOS</v>
      </c>
      <c r="K1861" s="16"/>
      <c r="L1861" s="14" t="s">
        <v>130</v>
      </c>
      <c r="M1861" s="16" t="str">
        <f t="shared" si="1"/>
        <v>14144 SANTA ROSA2 Primaria</v>
      </c>
      <c r="N1861" s="17"/>
      <c r="O1861" s="17"/>
      <c r="P1861" s="17"/>
      <c r="Q1861" s="17"/>
      <c r="R1861" s="17"/>
      <c r="S1861" s="17"/>
      <c r="T1861" s="17"/>
    </row>
    <row r="1862">
      <c r="A1862" s="21">
        <v>665.0</v>
      </c>
      <c r="B1862" s="20" t="s">
        <v>48</v>
      </c>
      <c r="C1862" s="20" t="s">
        <v>14</v>
      </c>
      <c r="D1862" s="20" t="s">
        <v>15</v>
      </c>
      <c r="E1862" s="12" t="str">
        <f>IFERROR(__xludf.DUMMYFUNCTION("FILTER(colegios!$B$2:$B5618,colegios!$A$2:$A5618=L1862)"),"14144 SANTA ROSA")</f>
        <v>14144 SANTA ROSA</v>
      </c>
      <c r="F1862" s="14" t="s">
        <v>16</v>
      </c>
      <c r="G1862" s="20" t="s">
        <v>17</v>
      </c>
      <c r="H1862" s="14" t="s">
        <v>24</v>
      </c>
      <c r="I1862" s="22">
        <v>2023.0</v>
      </c>
      <c r="J1862" s="16" t="str">
        <f>IFERROR(__xludf.DUMMYFUNCTION("FILTER('CLASFICACIÓN'!$F$3:$F5618,'CLASFICACIÓN'!$G$3:$G5618=M1862)"),"LOS 3 AÑOS")</f>
        <v>LOS 3 AÑOS</v>
      </c>
      <c r="K1862" s="16"/>
      <c r="L1862" s="14" t="s">
        <v>130</v>
      </c>
      <c r="M1862" s="16" t="str">
        <f t="shared" si="1"/>
        <v>14144 SANTA ROSA2 Primaria</v>
      </c>
      <c r="N1862" s="17"/>
      <c r="O1862" s="17"/>
      <c r="P1862" s="17"/>
      <c r="Q1862" s="17"/>
      <c r="R1862" s="17"/>
      <c r="S1862" s="17"/>
      <c r="T1862" s="17"/>
    </row>
    <row r="1863">
      <c r="A1863" s="21">
        <v>666.0</v>
      </c>
      <c r="B1863" s="20" t="s">
        <v>48</v>
      </c>
      <c r="C1863" s="20" t="s">
        <v>14</v>
      </c>
      <c r="D1863" s="20" t="s">
        <v>15</v>
      </c>
      <c r="E1863" s="12" t="str">
        <f>IFERROR(__xludf.DUMMYFUNCTION("FILTER(colegios!$B$2:$B5618,colegios!$A$2:$A5618=L1863)"),"14144 SANTA ROSA")</f>
        <v>14144 SANTA ROSA</v>
      </c>
      <c r="F1863" s="14" t="s">
        <v>16</v>
      </c>
      <c r="G1863" s="20" t="s">
        <v>21</v>
      </c>
      <c r="H1863" s="14" t="s">
        <v>18</v>
      </c>
      <c r="I1863" s="22">
        <v>2023.0</v>
      </c>
      <c r="J1863" s="16" t="str">
        <f>IFERROR(__xludf.DUMMYFUNCTION("FILTER('CLASFICACIÓN'!$F$3:$F5618,'CLASFICACIÓN'!$G$3:$G5618=M1863)"),"LOS 3 AÑOS")</f>
        <v>LOS 3 AÑOS</v>
      </c>
      <c r="K1863" s="16"/>
      <c r="L1863" s="14" t="s">
        <v>130</v>
      </c>
      <c r="M1863" s="16" t="str">
        <f t="shared" si="1"/>
        <v>14144 SANTA ROSA2 Primaria</v>
      </c>
      <c r="N1863" s="17"/>
      <c r="O1863" s="17"/>
      <c r="P1863" s="17"/>
      <c r="Q1863" s="17"/>
      <c r="R1863" s="17"/>
      <c r="S1863" s="17"/>
      <c r="T1863" s="17"/>
    </row>
    <row r="1864">
      <c r="A1864" s="21">
        <v>667.0</v>
      </c>
      <c r="B1864" s="20" t="s">
        <v>48</v>
      </c>
      <c r="C1864" s="20" t="s">
        <v>14</v>
      </c>
      <c r="D1864" s="20" t="s">
        <v>15</v>
      </c>
      <c r="E1864" s="12" t="str">
        <f>IFERROR(__xludf.DUMMYFUNCTION("FILTER(colegios!$B$2:$B5618,colegios!$A$2:$A5618=L1864)"),"14144 SANTA ROSA")</f>
        <v>14144 SANTA ROSA</v>
      </c>
      <c r="F1864" s="14" t="s">
        <v>16</v>
      </c>
      <c r="G1864" s="20" t="s">
        <v>17</v>
      </c>
      <c r="H1864" s="14" t="s">
        <v>18</v>
      </c>
      <c r="I1864" s="22">
        <v>2023.0</v>
      </c>
      <c r="J1864" s="16" t="str">
        <f>IFERROR(__xludf.DUMMYFUNCTION("FILTER('CLASFICACIÓN'!$F$3:$F5618,'CLASFICACIÓN'!$G$3:$G5618=M1864)"),"LOS 3 AÑOS")</f>
        <v>LOS 3 AÑOS</v>
      </c>
      <c r="K1864" s="16"/>
      <c r="L1864" s="14" t="s">
        <v>130</v>
      </c>
      <c r="M1864" s="16" t="str">
        <f t="shared" si="1"/>
        <v>14144 SANTA ROSA2 Primaria</v>
      </c>
      <c r="N1864" s="17"/>
      <c r="O1864" s="17"/>
      <c r="P1864" s="17"/>
      <c r="Q1864" s="17"/>
      <c r="R1864" s="17"/>
      <c r="S1864" s="17"/>
      <c r="T1864" s="17"/>
    </row>
    <row r="1865">
      <c r="A1865" s="21">
        <v>668.0</v>
      </c>
      <c r="B1865" s="20" t="s">
        <v>48</v>
      </c>
      <c r="C1865" s="20" t="s">
        <v>14</v>
      </c>
      <c r="D1865" s="20" t="s">
        <v>15</v>
      </c>
      <c r="E1865" s="12" t="str">
        <f>IFERROR(__xludf.DUMMYFUNCTION("FILTER(colegios!$B$2:$B5618,colegios!$A$2:$A5618=L1865)"),"14144 SANTA ROSA")</f>
        <v>14144 SANTA ROSA</v>
      </c>
      <c r="F1865" s="14" t="s">
        <v>16</v>
      </c>
      <c r="G1865" s="20" t="s">
        <v>17</v>
      </c>
      <c r="H1865" s="14" t="s">
        <v>24</v>
      </c>
      <c r="I1865" s="22">
        <v>2023.0</v>
      </c>
      <c r="J1865" s="16" t="str">
        <f>IFERROR(__xludf.DUMMYFUNCTION("FILTER('CLASFICACIÓN'!$F$3:$F5618,'CLASFICACIÓN'!$G$3:$G5618=M1865)"),"LOS 3 AÑOS")</f>
        <v>LOS 3 AÑOS</v>
      </c>
      <c r="K1865" s="16"/>
      <c r="L1865" s="14" t="s">
        <v>130</v>
      </c>
      <c r="M1865" s="16" t="str">
        <f t="shared" si="1"/>
        <v>14144 SANTA ROSA2 Primaria</v>
      </c>
      <c r="N1865" s="17"/>
      <c r="O1865" s="17"/>
      <c r="P1865" s="17"/>
      <c r="Q1865" s="17"/>
      <c r="R1865" s="17"/>
      <c r="S1865" s="17"/>
      <c r="T1865" s="17"/>
    </row>
    <row r="1866">
      <c r="A1866" s="21">
        <v>669.0</v>
      </c>
      <c r="B1866" s="20" t="s">
        <v>48</v>
      </c>
      <c r="C1866" s="20" t="s">
        <v>14</v>
      </c>
      <c r="D1866" s="20" t="s">
        <v>15</v>
      </c>
      <c r="E1866" s="12" t="str">
        <f>IFERROR(__xludf.DUMMYFUNCTION("FILTER(colegios!$B$2:$B5618,colegios!$A$2:$A5618=L1866)"),"14144 SANTA ROSA")</f>
        <v>14144 SANTA ROSA</v>
      </c>
      <c r="F1866" s="14" t="s">
        <v>16</v>
      </c>
      <c r="G1866" s="20" t="s">
        <v>17</v>
      </c>
      <c r="H1866" s="14" t="s">
        <v>24</v>
      </c>
      <c r="I1866" s="22">
        <v>2023.0</v>
      </c>
      <c r="J1866" s="16" t="str">
        <f>IFERROR(__xludf.DUMMYFUNCTION("FILTER('CLASFICACIÓN'!$F$3:$F5618,'CLASFICACIÓN'!$G$3:$G5618=M1866)"),"LOS 3 AÑOS")</f>
        <v>LOS 3 AÑOS</v>
      </c>
      <c r="K1866" s="16"/>
      <c r="L1866" s="14" t="s">
        <v>130</v>
      </c>
      <c r="M1866" s="16" t="str">
        <f t="shared" si="1"/>
        <v>14144 SANTA ROSA2 Primaria</v>
      </c>
      <c r="N1866" s="17"/>
      <c r="O1866" s="17"/>
      <c r="P1866" s="17"/>
      <c r="Q1866" s="17"/>
      <c r="R1866" s="17"/>
      <c r="S1866" s="17"/>
      <c r="T1866" s="17"/>
    </row>
    <row r="1867">
      <c r="A1867" s="21">
        <v>670.0</v>
      </c>
      <c r="B1867" s="20" t="s">
        <v>48</v>
      </c>
      <c r="C1867" s="20" t="s">
        <v>14</v>
      </c>
      <c r="D1867" s="20" t="s">
        <v>15</v>
      </c>
      <c r="E1867" s="12" t="str">
        <f>IFERROR(__xludf.DUMMYFUNCTION("FILTER(colegios!$B$2:$B5618,colegios!$A$2:$A5618=L1867)"),"14144 SANTA ROSA")</f>
        <v>14144 SANTA ROSA</v>
      </c>
      <c r="F1867" s="14" t="s">
        <v>16</v>
      </c>
      <c r="G1867" s="20" t="s">
        <v>21</v>
      </c>
      <c r="H1867" s="14" t="s">
        <v>24</v>
      </c>
      <c r="I1867" s="22">
        <v>2023.0</v>
      </c>
      <c r="J1867" s="16" t="str">
        <f>IFERROR(__xludf.DUMMYFUNCTION("FILTER('CLASFICACIÓN'!$F$3:$F5618,'CLASFICACIÓN'!$G$3:$G5618=M1867)"),"LOS 3 AÑOS")</f>
        <v>LOS 3 AÑOS</v>
      </c>
      <c r="K1867" s="16"/>
      <c r="L1867" s="14" t="s">
        <v>130</v>
      </c>
      <c r="M1867" s="16" t="str">
        <f t="shared" si="1"/>
        <v>14144 SANTA ROSA2 Primaria</v>
      </c>
      <c r="N1867" s="17"/>
      <c r="O1867" s="17"/>
      <c r="P1867" s="17"/>
      <c r="Q1867" s="17"/>
      <c r="R1867" s="17"/>
      <c r="S1867" s="17"/>
      <c r="T1867" s="17"/>
    </row>
    <row r="1868">
      <c r="A1868" s="21">
        <v>671.0</v>
      </c>
      <c r="B1868" s="20" t="s">
        <v>48</v>
      </c>
      <c r="C1868" s="20" t="s">
        <v>14</v>
      </c>
      <c r="D1868" s="20" t="s">
        <v>15</v>
      </c>
      <c r="E1868" s="12" t="str">
        <f>IFERROR(__xludf.DUMMYFUNCTION("FILTER(colegios!$B$2:$B5618,colegios!$A$2:$A5618=L1868)"),"14144 SANTA ROSA")</f>
        <v>14144 SANTA ROSA</v>
      </c>
      <c r="F1868" s="14" t="s">
        <v>16</v>
      </c>
      <c r="G1868" s="20" t="s">
        <v>21</v>
      </c>
      <c r="H1868" s="14" t="s">
        <v>24</v>
      </c>
      <c r="I1868" s="22">
        <v>2023.0</v>
      </c>
      <c r="J1868" s="16" t="str">
        <f>IFERROR(__xludf.DUMMYFUNCTION("FILTER('CLASFICACIÓN'!$F$3:$F5618,'CLASFICACIÓN'!$G$3:$G5618=M1868)"),"LOS 3 AÑOS")</f>
        <v>LOS 3 AÑOS</v>
      </c>
      <c r="K1868" s="16"/>
      <c r="L1868" s="14" t="s">
        <v>130</v>
      </c>
      <c r="M1868" s="16" t="str">
        <f t="shared" si="1"/>
        <v>14144 SANTA ROSA2 Primaria</v>
      </c>
      <c r="N1868" s="17"/>
      <c r="O1868" s="17"/>
      <c r="P1868" s="17"/>
      <c r="Q1868" s="17"/>
      <c r="R1868" s="17"/>
      <c r="S1868" s="17"/>
      <c r="T1868" s="17"/>
    </row>
    <row r="1869">
      <c r="A1869" s="21">
        <v>672.0</v>
      </c>
      <c r="B1869" s="20" t="s">
        <v>48</v>
      </c>
      <c r="C1869" s="20" t="s">
        <v>14</v>
      </c>
      <c r="D1869" s="20" t="s">
        <v>15</v>
      </c>
      <c r="E1869" s="12" t="str">
        <f>IFERROR(__xludf.DUMMYFUNCTION("FILTER(colegios!$B$2:$B5618,colegios!$A$2:$A5618=L1869)"),"14144 SANTA ROSA")</f>
        <v>14144 SANTA ROSA</v>
      </c>
      <c r="F1869" s="14" t="s">
        <v>16</v>
      </c>
      <c r="G1869" s="20" t="s">
        <v>21</v>
      </c>
      <c r="H1869" s="14" t="s">
        <v>24</v>
      </c>
      <c r="I1869" s="22">
        <v>2023.0</v>
      </c>
      <c r="J1869" s="16" t="str">
        <f>IFERROR(__xludf.DUMMYFUNCTION("FILTER('CLASFICACIÓN'!$F$3:$F5618,'CLASFICACIÓN'!$G$3:$G5618=M1869)"),"LOS 3 AÑOS")</f>
        <v>LOS 3 AÑOS</v>
      </c>
      <c r="K1869" s="16"/>
      <c r="L1869" s="14" t="s">
        <v>130</v>
      </c>
      <c r="M1869" s="16" t="str">
        <f t="shared" si="1"/>
        <v>14144 SANTA ROSA2 Primaria</v>
      </c>
      <c r="N1869" s="17"/>
      <c r="O1869" s="17"/>
      <c r="P1869" s="17"/>
      <c r="Q1869" s="17"/>
      <c r="R1869" s="17"/>
      <c r="S1869" s="17"/>
      <c r="T1869" s="17"/>
    </row>
    <row r="1870">
      <c r="A1870" s="21">
        <v>673.0</v>
      </c>
      <c r="B1870" s="20" t="s">
        <v>48</v>
      </c>
      <c r="C1870" s="20" t="s">
        <v>14</v>
      </c>
      <c r="D1870" s="20" t="s">
        <v>15</v>
      </c>
      <c r="E1870" s="12" t="str">
        <f>IFERROR(__xludf.DUMMYFUNCTION("FILTER(colegios!$B$2:$B5618,colegios!$A$2:$A5618=L1870)"),"14144 SANTA ROSA")</f>
        <v>14144 SANTA ROSA</v>
      </c>
      <c r="F1870" s="14" t="s">
        <v>16</v>
      </c>
      <c r="G1870" s="20" t="s">
        <v>17</v>
      </c>
      <c r="H1870" s="14" t="s">
        <v>24</v>
      </c>
      <c r="I1870" s="22">
        <v>2023.0</v>
      </c>
      <c r="J1870" s="16" t="str">
        <f>IFERROR(__xludf.DUMMYFUNCTION("FILTER('CLASFICACIÓN'!$F$3:$F5618,'CLASFICACIÓN'!$G$3:$G5618=M1870)"),"LOS 3 AÑOS")</f>
        <v>LOS 3 AÑOS</v>
      </c>
      <c r="K1870" s="16"/>
      <c r="L1870" s="14" t="s">
        <v>130</v>
      </c>
      <c r="M1870" s="16" t="str">
        <f t="shared" si="1"/>
        <v>14144 SANTA ROSA2 Primaria</v>
      </c>
      <c r="N1870" s="17"/>
      <c r="O1870" s="17"/>
      <c r="P1870" s="17"/>
      <c r="Q1870" s="17"/>
      <c r="R1870" s="17"/>
      <c r="S1870" s="17"/>
      <c r="T1870" s="17"/>
    </row>
    <row r="1871">
      <c r="A1871" s="21">
        <v>674.0</v>
      </c>
      <c r="B1871" s="20" t="s">
        <v>48</v>
      </c>
      <c r="C1871" s="20" t="s">
        <v>14</v>
      </c>
      <c r="D1871" s="20" t="s">
        <v>15</v>
      </c>
      <c r="E1871" s="12" t="str">
        <f>IFERROR(__xludf.DUMMYFUNCTION("FILTER(colegios!$B$2:$B5618,colegios!$A$2:$A5618=L1871)"),"14144 SANTA ROSA")</f>
        <v>14144 SANTA ROSA</v>
      </c>
      <c r="F1871" s="14" t="s">
        <v>16</v>
      </c>
      <c r="G1871" s="20" t="s">
        <v>21</v>
      </c>
      <c r="H1871" s="14" t="s">
        <v>24</v>
      </c>
      <c r="I1871" s="22">
        <v>2023.0</v>
      </c>
      <c r="J1871" s="16" t="str">
        <f>IFERROR(__xludf.DUMMYFUNCTION("FILTER('CLASFICACIÓN'!$F$3:$F5618,'CLASFICACIÓN'!$G$3:$G5618=M1871)"),"LOS 3 AÑOS")</f>
        <v>LOS 3 AÑOS</v>
      </c>
      <c r="K1871" s="16"/>
      <c r="L1871" s="14" t="s">
        <v>130</v>
      </c>
      <c r="M1871" s="16" t="str">
        <f t="shared" si="1"/>
        <v>14144 SANTA ROSA2 Primaria</v>
      </c>
      <c r="N1871" s="17"/>
      <c r="O1871" s="17"/>
      <c r="P1871" s="17"/>
      <c r="Q1871" s="17"/>
      <c r="R1871" s="17"/>
      <c r="S1871" s="17"/>
      <c r="T1871" s="17"/>
    </row>
    <row r="1872">
      <c r="A1872" s="21">
        <v>675.0</v>
      </c>
      <c r="B1872" s="20" t="s">
        <v>48</v>
      </c>
      <c r="C1872" s="20" t="s">
        <v>14</v>
      </c>
      <c r="D1872" s="20" t="s">
        <v>15</v>
      </c>
      <c r="E1872" s="12" t="str">
        <f>IFERROR(__xludf.DUMMYFUNCTION("FILTER(colegios!$B$2:$B5618,colegios!$A$2:$A5618=L1872)"),"14144 SANTA ROSA")</f>
        <v>14144 SANTA ROSA</v>
      </c>
      <c r="F1872" s="14" t="s">
        <v>16</v>
      </c>
      <c r="G1872" s="20" t="s">
        <v>21</v>
      </c>
      <c r="H1872" s="14" t="s">
        <v>24</v>
      </c>
      <c r="I1872" s="22">
        <v>2023.0</v>
      </c>
      <c r="J1872" s="16" t="str">
        <f>IFERROR(__xludf.DUMMYFUNCTION("FILTER('CLASFICACIÓN'!$F$3:$F5618,'CLASFICACIÓN'!$G$3:$G5618=M1872)"),"LOS 3 AÑOS")</f>
        <v>LOS 3 AÑOS</v>
      </c>
      <c r="K1872" s="16"/>
      <c r="L1872" s="14" t="s">
        <v>130</v>
      </c>
      <c r="M1872" s="16" t="str">
        <f t="shared" si="1"/>
        <v>14144 SANTA ROSA2 Primaria</v>
      </c>
      <c r="N1872" s="17"/>
      <c r="O1872" s="17"/>
      <c r="P1872" s="17"/>
      <c r="Q1872" s="17"/>
      <c r="R1872" s="17"/>
      <c r="S1872" s="17"/>
      <c r="T1872" s="17"/>
    </row>
    <row r="1873">
      <c r="A1873" s="21">
        <v>676.0</v>
      </c>
      <c r="B1873" s="20" t="s">
        <v>48</v>
      </c>
      <c r="C1873" s="20" t="s">
        <v>14</v>
      </c>
      <c r="D1873" s="20" t="s">
        <v>15</v>
      </c>
      <c r="E1873" s="12" t="str">
        <f>IFERROR(__xludf.DUMMYFUNCTION("FILTER(colegios!$B$2:$B5618,colegios!$A$2:$A5618=L1873)"),"14144 SANTA ROSA")</f>
        <v>14144 SANTA ROSA</v>
      </c>
      <c r="F1873" s="14" t="s">
        <v>16</v>
      </c>
      <c r="G1873" s="20" t="s">
        <v>21</v>
      </c>
      <c r="H1873" s="14" t="s">
        <v>24</v>
      </c>
      <c r="I1873" s="22">
        <v>2023.0</v>
      </c>
      <c r="J1873" s="16" t="str">
        <f>IFERROR(__xludf.DUMMYFUNCTION("FILTER('CLASFICACIÓN'!$F$3:$F5618,'CLASFICACIÓN'!$G$3:$G5618=M1873)"),"LOS 3 AÑOS")</f>
        <v>LOS 3 AÑOS</v>
      </c>
      <c r="K1873" s="16"/>
      <c r="L1873" s="14" t="s">
        <v>130</v>
      </c>
      <c r="M1873" s="16" t="str">
        <f t="shared" si="1"/>
        <v>14144 SANTA ROSA2 Primaria</v>
      </c>
      <c r="N1873" s="17"/>
      <c r="O1873" s="17"/>
      <c r="P1873" s="17"/>
      <c r="Q1873" s="17"/>
      <c r="R1873" s="17"/>
      <c r="S1873" s="17"/>
      <c r="T1873" s="17"/>
    </row>
    <row r="1874">
      <c r="A1874" s="21">
        <v>677.0</v>
      </c>
      <c r="B1874" s="20" t="s">
        <v>48</v>
      </c>
      <c r="C1874" s="20" t="s">
        <v>14</v>
      </c>
      <c r="D1874" s="20" t="s">
        <v>15</v>
      </c>
      <c r="E1874" s="12" t="str">
        <f>IFERROR(__xludf.DUMMYFUNCTION("FILTER(colegios!$B$2:$B5618,colegios!$A$2:$A5618=L1874)"),"14144 SANTA ROSA")</f>
        <v>14144 SANTA ROSA</v>
      </c>
      <c r="F1874" s="14" t="s">
        <v>16</v>
      </c>
      <c r="G1874" s="20" t="s">
        <v>17</v>
      </c>
      <c r="H1874" s="14" t="s">
        <v>24</v>
      </c>
      <c r="I1874" s="22">
        <v>2023.0</v>
      </c>
      <c r="J1874" s="16" t="str">
        <f>IFERROR(__xludf.DUMMYFUNCTION("FILTER('CLASFICACIÓN'!$F$3:$F5618,'CLASFICACIÓN'!$G$3:$G5618=M1874)"),"LOS 3 AÑOS")</f>
        <v>LOS 3 AÑOS</v>
      </c>
      <c r="K1874" s="16"/>
      <c r="L1874" s="14" t="s">
        <v>130</v>
      </c>
      <c r="M1874" s="16" t="str">
        <f t="shared" si="1"/>
        <v>14144 SANTA ROSA2 Primaria</v>
      </c>
      <c r="N1874" s="17"/>
      <c r="O1874" s="17"/>
      <c r="P1874" s="17"/>
      <c r="Q1874" s="17"/>
      <c r="R1874" s="17"/>
      <c r="S1874" s="17"/>
      <c r="T1874" s="17"/>
    </row>
    <row r="1875">
      <c r="A1875" s="21">
        <v>678.0</v>
      </c>
      <c r="B1875" s="20" t="s">
        <v>48</v>
      </c>
      <c r="C1875" s="20" t="s">
        <v>14</v>
      </c>
      <c r="D1875" s="20" t="s">
        <v>15</v>
      </c>
      <c r="E1875" s="12" t="str">
        <f>IFERROR(__xludf.DUMMYFUNCTION("FILTER(colegios!$B$2:$B5618,colegios!$A$2:$A5618=L1875)"),"14144 SANTA ROSA")</f>
        <v>14144 SANTA ROSA</v>
      </c>
      <c r="F1875" s="14" t="s">
        <v>16</v>
      </c>
      <c r="G1875" s="20" t="s">
        <v>21</v>
      </c>
      <c r="H1875" s="14" t="s">
        <v>24</v>
      </c>
      <c r="I1875" s="22">
        <v>2023.0</v>
      </c>
      <c r="J1875" s="16" t="str">
        <f>IFERROR(__xludf.DUMMYFUNCTION("FILTER('CLASFICACIÓN'!$F$3:$F5618,'CLASFICACIÓN'!$G$3:$G5618=M1875)"),"LOS 3 AÑOS")</f>
        <v>LOS 3 AÑOS</v>
      </c>
      <c r="K1875" s="16"/>
      <c r="L1875" s="14" t="s">
        <v>130</v>
      </c>
      <c r="M1875" s="16" t="str">
        <f t="shared" si="1"/>
        <v>14144 SANTA ROSA2 Primaria</v>
      </c>
      <c r="N1875" s="17"/>
      <c r="O1875" s="17"/>
      <c r="P1875" s="17"/>
      <c r="Q1875" s="17"/>
      <c r="R1875" s="17"/>
      <c r="S1875" s="17"/>
      <c r="T1875" s="17"/>
    </row>
    <row r="1876">
      <c r="A1876" s="21">
        <v>679.0</v>
      </c>
      <c r="B1876" s="20" t="s">
        <v>48</v>
      </c>
      <c r="C1876" s="20" t="s">
        <v>14</v>
      </c>
      <c r="D1876" s="20" t="s">
        <v>15</v>
      </c>
      <c r="E1876" s="12" t="str">
        <f>IFERROR(__xludf.DUMMYFUNCTION("FILTER(colegios!$B$2:$B5618,colegios!$A$2:$A5618=L1876)"),"14144 SANTA ROSA")</f>
        <v>14144 SANTA ROSA</v>
      </c>
      <c r="F1876" s="14" t="s">
        <v>16</v>
      </c>
      <c r="G1876" s="20" t="s">
        <v>21</v>
      </c>
      <c r="H1876" s="14" t="s">
        <v>24</v>
      </c>
      <c r="I1876" s="22">
        <v>2023.0</v>
      </c>
      <c r="J1876" s="16" t="str">
        <f>IFERROR(__xludf.DUMMYFUNCTION("FILTER('CLASFICACIÓN'!$F$3:$F5618,'CLASFICACIÓN'!$G$3:$G5618=M1876)"),"LOS 3 AÑOS")</f>
        <v>LOS 3 AÑOS</v>
      </c>
      <c r="K1876" s="16"/>
      <c r="L1876" s="14" t="s">
        <v>130</v>
      </c>
      <c r="M1876" s="16" t="str">
        <f t="shared" si="1"/>
        <v>14144 SANTA ROSA2 Primaria</v>
      </c>
      <c r="N1876" s="17"/>
      <c r="O1876" s="17"/>
      <c r="P1876" s="17"/>
      <c r="Q1876" s="17"/>
      <c r="R1876" s="17"/>
      <c r="S1876" s="17"/>
      <c r="T1876" s="17"/>
    </row>
    <row r="1877">
      <c r="A1877" s="21">
        <v>680.0</v>
      </c>
      <c r="B1877" s="20" t="s">
        <v>48</v>
      </c>
      <c r="C1877" s="20" t="s">
        <v>14</v>
      </c>
      <c r="D1877" s="20" t="s">
        <v>15</v>
      </c>
      <c r="E1877" s="12" t="str">
        <f>IFERROR(__xludf.DUMMYFUNCTION("FILTER(colegios!$B$2:$B5618,colegios!$A$2:$A5618=L1877)"),"14144 SANTA ROSA")</f>
        <v>14144 SANTA ROSA</v>
      </c>
      <c r="F1877" s="14" t="s">
        <v>16</v>
      </c>
      <c r="G1877" s="20" t="s">
        <v>17</v>
      </c>
      <c r="H1877" s="14" t="s">
        <v>24</v>
      </c>
      <c r="I1877" s="22">
        <v>2023.0</v>
      </c>
      <c r="J1877" s="16" t="str">
        <f>IFERROR(__xludf.DUMMYFUNCTION("FILTER('CLASFICACIÓN'!$F$3:$F5618,'CLASFICACIÓN'!$G$3:$G5618=M1877)"),"LOS 3 AÑOS")</f>
        <v>LOS 3 AÑOS</v>
      </c>
      <c r="K1877" s="16"/>
      <c r="L1877" s="14" t="s">
        <v>130</v>
      </c>
      <c r="M1877" s="16" t="str">
        <f t="shared" si="1"/>
        <v>14144 SANTA ROSA2 Primaria</v>
      </c>
      <c r="N1877" s="17"/>
      <c r="O1877" s="17"/>
      <c r="P1877" s="17"/>
      <c r="Q1877" s="17"/>
      <c r="R1877" s="17"/>
      <c r="S1877" s="17"/>
      <c r="T1877" s="17"/>
    </row>
    <row r="1878">
      <c r="A1878" s="21">
        <v>681.0</v>
      </c>
      <c r="B1878" s="20" t="s">
        <v>48</v>
      </c>
      <c r="C1878" s="20" t="s">
        <v>14</v>
      </c>
      <c r="D1878" s="20" t="s">
        <v>15</v>
      </c>
      <c r="E1878" s="12" t="str">
        <f>IFERROR(__xludf.DUMMYFUNCTION("FILTER(colegios!$B$2:$B5618,colegios!$A$2:$A5618=L1878)"),"14144 SANTA ROSA")</f>
        <v>14144 SANTA ROSA</v>
      </c>
      <c r="F1878" s="14" t="s">
        <v>16</v>
      </c>
      <c r="G1878" s="20" t="s">
        <v>21</v>
      </c>
      <c r="H1878" s="14" t="s">
        <v>24</v>
      </c>
      <c r="I1878" s="22">
        <v>2023.0</v>
      </c>
      <c r="J1878" s="16" t="str">
        <f>IFERROR(__xludf.DUMMYFUNCTION("FILTER('CLASFICACIÓN'!$F$3:$F5618,'CLASFICACIÓN'!$G$3:$G5618=M1878)"),"LOS 3 AÑOS")</f>
        <v>LOS 3 AÑOS</v>
      </c>
      <c r="K1878" s="16"/>
      <c r="L1878" s="14" t="s">
        <v>130</v>
      </c>
      <c r="M1878" s="16" t="str">
        <f t="shared" si="1"/>
        <v>14144 SANTA ROSA2 Primaria</v>
      </c>
      <c r="N1878" s="17"/>
      <c r="O1878" s="17"/>
      <c r="P1878" s="17"/>
      <c r="Q1878" s="17"/>
      <c r="R1878" s="17"/>
      <c r="S1878" s="17"/>
      <c r="T1878" s="17"/>
    </row>
    <row r="1879">
      <c r="A1879" s="21">
        <v>682.0</v>
      </c>
      <c r="B1879" s="20" t="s">
        <v>48</v>
      </c>
      <c r="C1879" s="20" t="s">
        <v>14</v>
      </c>
      <c r="D1879" s="20" t="s">
        <v>15</v>
      </c>
      <c r="E1879" s="12" t="str">
        <f>IFERROR(__xludf.DUMMYFUNCTION("FILTER(colegios!$B$2:$B5618,colegios!$A$2:$A5618=L1879)"),"14144 SANTA ROSA")</f>
        <v>14144 SANTA ROSA</v>
      </c>
      <c r="F1879" s="14" t="s">
        <v>16</v>
      </c>
      <c r="G1879" s="20" t="s">
        <v>21</v>
      </c>
      <c r="H1879" s="14" t="s">
        <v>18</v>
      </c>
      <c r="I1879" s="22">
        <v>2023.0</v>
      </c>
      <c r="J1879" s="16" t="str">
        <f>IFERROR(__xludf.DUMMYFUNCTION("FILTER('CLASFICACIÓN'!$F$3:$F5618,'CLASFICACIÓN'!$G$3:$G5618=M1879)"),"LOS 3 AÑOS")</f>
        <v>LOS 3 AÑOS</v>
      </c>
      <c r="K1879" s="16"/>
      <c r="L1879" s="14" t="s">
        <v>130</v>
      </c>
      <c r="M1879" s="16" t="str">
        <f t="shared" si="1"/>
        <v>14144 SANTA ROSA2 Primaria</v>
      </c>
      <c r="N1879" s="17"/>
      <c r="O1879" s="17"/>
      <c r="P1879" s="17"/>
      <c r="Q1879" s="17"/>
      <c r="R1879" s="17"/>
      <c r="S1879" s="17"/>
      <c r="T1879" s="17"/>
    </row>
    <row r="1880">
      <c r="A1880" s="21">
        <v>683.0</v>
      </c>
      <c r="B1880" s="20" t="s">
        <v>48</v>
      </c>
      <c r="C1880" s="20" t="s">
        <v>14</v>
      </c>
      <c r="D1880" s="20" t="s">
        <v>15</v>
      </c>
      <c r="E1880" s="12" t="str">
        <f>IFERROR(__xludf.DUMMYFUNCTION("FILTER(colegios!$B$2:$B5618,colegios!$A$2:$A5618=L1880)"),"14144 SANTA ROSA")</f>
        <v>14144 SANTA ROSA</v>
      </c>
      <c r="F1880" s="14" t="s">
        <v>16</v>
      </c>
      <c r="G1880" s="20" t="s">
        <v>17</v>
      </c>
      <c r="H1880" s="14" t="s">
        <v>24</v>
      </c>
      <c r="I1880" s="22">
        <v>2023.0</v>
      </c>
      <c r="J1880" s="16" t="str">
        <f>IFERROR(__xludf.DUMMYFUNCTION("FILTER('CLASFICACIÓN'!$F$3:$F5618,'CLASFICACIÓN'!$G$3:$G5618=M1880)"),"LOS 3 AÑOS")</f>
        <v>LOS 3 AÑOS</v>
      </c>
      <c r="K1880" s="16"/>
      <c r="L1880" s="14" t="s">
        <v>130</v>
      </c>
      <c r="M1880" s="16" t="str">
        <f t="shared" si="1"/>
        <v>14144 SANTA ROSA2 Primaria</v>
      </c>
      <c r="N1880" s="17"/>
      <c r="O1880" s="17"/>
      <c r="P1880" s="17"/>
      <c r="Q1880" s="17"/>
      <c r="R1880" s="17"/>
      <c r="S1880" s="17"/>
      <c r="T1880" s="17"/>
    </row>
    <row r="1881">
      <c r="A1881" s="21">
        <v>684.0</v>
      </c>
      <c r="B1881" s="20" t="s">
        <v>48</v>
      </c>
      <c r="C1881" s="20" t="s">
        <v>14</v>
      </c>
      <c r="D1881" s="20" t="s">
        <v>15</v>
      </c>
      <c r="E1881" s="12" t="str">
        <f>IFERROR(__xludf.DUMMYFUNCTION("FILTER(colegios!$B$2:$B5618,colegios!$A$2:$A5618=L1881)"),"14144 SANTA ROSA")</f>
        <v>14144 SANTA ROSA</v>
      </c>
      <c r="F1881" s="14" t="s">
        <v>16</v>
      </c>
      <c r="G1881" s="20" t="s">
        <v>17</v>
      </c>
      <c r="H1881" s="14" t="s">
        <v>24</v>
      </c>
      <c r="I1881" s="22">
        <v>2023.0</v>
      </c>
      <c r="J1881" s="16" t="str">
        <f>IFERROR(__xludf.DUMMYFUNCTION("FILTER('CLASFICACIÓN'!$F$3:$F5618,'CLASFICACIÓN'!$G$3:$G5618=M1881)"),"LOS 3 AÑOS")</f>
        <v>LOS 3 AÑOS</v>
      </c>
      <c r="K1881" s="16"/>
      <c r="L1881" s="14" t="s">
        <v>130</v>
      </c>
      <c r="M1881" s="16" t="str">
        <f t="shared" si="1"/>
        <v>14144 SANTA ROSA2 Primaria</v>
      </c>
      <c r="N1881" s="17"/>
      <c r="O1881" s="17"/>
      <c r="P1881" s="17"/>
      <c r="Q1881" s="17"/>
      <c r="R1881" s="17"/>
      <c r="S1881" s="17"/>
      <c r="T1881" s="17"/>
    </row>
    <row r="1882">
      <c r="A1882" s="21">
        <v>685.0</v>
      </c>
      <c r="B1882" s="20" t="s">
        <v>48</v>
      </c>
      <c r="C1882" s="20" t="s">
        <v>14</v>
      </c>
      <c r="D1882" s="20" t="s">
        <v>15</v>
      </c>
      <c r="E1882" s="12" t="str">
        <f>IFERROR(__xludf.DUMMYFUNCTION("FILTER(colegios!$B$2:$B5618,colegios!$A$2:$A5618=L1882)"),"14144 SANTA ROSA")</f>
        <v>14144 SANTA ROSA</v>
      </c>
      <c r="F1882" s="14" t="s">
        <v>16</v>
      </c>
      <c r="G1882" s="20" t="s">
        <v>17</v>
      </c>
      <c r="H1882" s="14" t="s">
        <v>18</v>
      </c>
      <c r="I1882" s="22">
        <v>2023.0</v>
      </c>
      <c r="J1882" s="16" t="str">
        <f>IFERROR(__xludf.DUMMYFUNCTION("FILTER('CLASFICACIÓN'!$F$3:$F5618,'CLASFICACIÓN'!$G$3:$G5618=M1882)"),"LOS 3 AÑOS")</f>
        <v>LOS 3 AÑOS</v>
      </c>
      <c r="K1882" s="16"/>
      <c r="L1882" s="14" t="s">
        <v>130</v>
      </c>
      <c r="M1882" s="16" t="str">
        <f t="shared" si="1"/>
        <v>14144 SANTA ROSA2 Primaria</v>
      </c>
      <c r="N1882" s="17"/>
      <c r="O1882" s="17"/>
      <c r="P1882" s="17"/>
      <c r="Q1882" s="17"/>
      <c r="R1882" s="17"/>
      <c r="S1882" s="17"/>
      <c r="T1882" s="17"/>
    </row>
    <row r="1883">
      <c r="A1883" s="21">
        <v>686.0</v>
      </c>
      <c r="B1883" s="20" t="s">
        <v>48</v>
      </c>
      <c r="C1883" s="20" t="s">
        <v>14</v>
      </c>
      <c r="D1883" s="20" t="s">
        <v>15</v>
      </c>
      <c r="E1883" s="12" t="str">
        <f>IFERROR(__xludf.DUMMYFUNCTION("FILTER(colegios!$B$2:$B5618,colegios!$A$2:$A5618=L1883)"),"14144 SANTA ROSA")</f>
        <v>14144 SANTA ROSA</v>
      </c>
      <c r="F1883" s="14" t="s">
        <v>16</v>
      </c>
      <c r="G1883" s="20" t="s">
        <v>17</v>
      </c>
      <c r="H1883" s="14" t="s">
        <v>24</v>
      </c>
      <c r="I1883" s="22">
        <v>2023.0</v>
      </c>
      <c r="J1883" s="16" t="str">
        <f>IFERROR(__xludf.DUMMYFUNCTION("FILTER('CLASFICACIÓN'!$F$3:$F5618,'CLASFICACIÓN'!$G$3:$G5618=M1883)"),"LOS 3 AÑOS")</f>
        <v>LOS 3 AÑOS</v>
      </c>
      <c r="K1883" s="16"/>
      <c r="L1883" s="14" t="s">
        <v>130</v>
      </c>
      <c r="M1883" s="16" t="str">
        <f t="shared" si="1"/>
        <v>14144 SANTA ROSA2 Primaria</v>
      </c>
      <c r="N1883" s="17"/>
      <c r="O1883" s="17"/>
      <c r="P1883" s="17"/>
      <c r="Q1883" s="17"/>
      <c r="R1883" s="17"/>
      <c r="S1883" s="17"/>
      <c r="T1883" s="17"/>
    </row>
    <row r="1884">
      <c r="A1884" s="21">
        <v>687.0</v>
      </c>
      <c r="B1884" s="20" t="s">
        <v>48</v>
      </c>
      <c r="C1884" s="20" t="s">
        <v>14</v>
      </c>
      <c r="D1884" s="20" t="s">
        <v>15</v>
      </c>
      <c r="E1884" s="12" t="str">
        <f>IFERROR(__xludf.DUMMYFUNCTION("FILTER(colegios!$B$2:$B5618,colegios!$A$2:$A5618=L1884)"),"14144 SANTA ROSA")</f>
        <v>14144 SANTA ROSA</v>
      </c>
      <c r="F1884" s="14" t="s">
        <v>16</v>
      </c>
      <c r="G1884" s="20" t="s">
        <v>21</v>
      </c>
      <c r="H1884" s="14" t="s">
        <v>24</v>
      </c>
      <c r="I1884" s="22">
        <v>2023.0</v>
      </c>
      <c r="J1884" s="16" t="str">
        <f>IFERROR(__xludf.DUMMYFUNCTION("FILTER('CLASFICACIÓN'!$F$3:$F5618,'CLASFICACIÓN'!$G$3:$G5618=M1884)"),"LOS 3 AÑOS")</f>
        <v>LOS 3 AÑOS</v>
      </c>
      <c r="K1884" s="16"/>
      <c r="L1884" s="14" t="s">
        <v>130</v>
      </c>
      <c r="M1884" s="16" t="str">
        <f t="shared" si="1"/>
        <v>14144 SANTA ROSA2 Primaria</v>
      </c>
      <c r="N1884" s="17"/>
      <c r="O1884" s="17"/>
      <c r="P1884" s="17"/>
      <c r="Q1884" s="17"/>
      <c r="R1884" s="17"/>
      <c r="S1884" s="17"/>
      <c r="T1884" s="17"/>
    </row>
    <row r="1885">
      <c r="A1885" s="21">
        <v>688.0</v>
      </c>
      <c r="B1885" s="20" t="s">
        <v>48</v>
      </c>
      <c r="C1885" s="20" t="s">
        <v>14</v>
      </c>
      <c r="D1885" s="20" t="s">
        <v>15</v>
      </c>
      <c r="E1885" s="12" t="str">
        <f>IFERROR(__xludf.DUMMYFUNCTION("FILTER(colegios!$B$2:$B5618,colegios!$A$2:$A5618=L1885)"),"14144 SANTA ROSA")</f>
        <v>14144 SANTA ROSA</v>
      </c>
      <c r="F1885" s="14" t="s">
        <v>16</v>
      </c>
      <c r="G1885" s="20" t="s">
        <v>17</v>
      </c>
      <c r="H1885" s="14" t="s">
        <v>18</v>
      </c>
      <c r="I1885" s="22">
        <v>2023.0</v>
      </c>
      <c r="J1885" s="16" t="str">
        <f>IFERROR(__xludf.DUMMYFUNCTION("FILTER('CLASFICACIÓN'!$F$3:$F5618,'CLASFICACIÓN'!$G$3:$G5618=M1885)"),"LOS 3 AÑOS")</f>
        <v>LOS 3 AÑOS</v>
      </c>
      <c r="K1885" s="16"/>
      <c r="L1885" s="14" t="s">
        <v>130</v>
      </c>
      <c r="M1885" s="16" t="str">
        <f t="shared" si="1"/>
        <v>14144 SANTA ROSA2 Primaria</v>
      </c>
      <c r="N1885" s="17"/>
      <c r="O1885" s="17"/>
      <c r="P1885" s="17"/>
      <c r="Q1885" s="17"/>
      <c r="R1885" s="17"/>
      <c r="S1885" s="17"/>
      <c r="T1885" s="17"/>
    </row>
    <row r="1886">
      <c r="A1886" s="21">
        <v>689.0</v>
      </c>
      <c r="B1886" s="20" t="s">
        <v>48</v>
      </c>
      <c r="C1886" s="20" t="s">
        <v>14</v>
      </c>
      <c r="D1886" s="20" t="s">
        <v>15</v>
      </c>
      <c r="E1886" s="12" t="str">
        <f>IFERROR(__xludf.DUMMYFUNCTION("FILTER(colegios!$B$2:$B5618,colegios!$A$2:$A5618=L1886)"),"14144 SANTA ROSA")</f>
        <v>14144 SANTA ROSA</v>
      </c>
      <c r="F1886" s="14" t="s">
        <v>16</v>
      </c>
      <c r="G1886" s="20" t="s">
        <v>17</v>
      </c>
      <c r="H1886" s="14" t="s">
        <v>24</v>
      </c>
      <c r="I1886" s="22">
        <v>2023.0</v>
      </c>
      <c r="J1886" s="16" t="str">
        <f>IFERROR(__xludf.DUMMYFUNCTION("FILTER('CLASFICACIÓN'!$F$3:$F5618,'CLASFICACIÓN'!$G$3:$G5618=M1886)"),"LOS 3 AÑOS")</f>
        <v>LOS 3 AÑOS</v>
      </c>
      <c r="K1886" s="16"/>
      <c r="L1886" s="14" t="s">
        <v>130</v>
      </c>
      <c r="M1886" s="16" t="str">
        <f t="shared" si="1"/>
        <v>14144 SANTA ROSA2 Primaria</v>
      </c>
      <c r="N1886" s="17"/>
      <c r="O1886" s="17"/>
      <c r="P1886" s="17"/>
      <c r="Q1886" s="17"/>
      <c r="R1886" s="17"/>
      <c r="S1886" s="17"/>
      <c r="T1886" s="17"/>
    </row>
    <row r="1887">
      <c r="A1887" s="21">
        <v>690.0</v>
      </c>
      <c r="B1887" s="20" t="s">
        <v>48</v>
      </c>
      <c r="C1887" s="20" t="s">
        <v>14</v>
      </c>
      <c r="D1887" s="20" t="s">
        <v>20</v>
      </c>
      <c r="E1887" s="12" t="str">
        <f>IFERROR(__xludf.DUMMYFUNCTION("FILTER(colegios!$B$2:$B5618,colegios!$A$2:$A5618=L1887)"),"14144 SANTA ROSA")</f>
        <v>14144 SANTA ROSA</v>
      </c>
      <c r="F1887" s="14" t="s">
        <v>16</v>
      </c>
      <c r="G1887" s="20" t="s">
        <v>21</v>
      </c>
      <c r="H1887" s="14" t="s">
        <v>24</v>
      </c>
      <c r="I1887" s="22">
        <v>2023.0</v>
      </c>
      <c r="J1887" s="16" t="str">
        <f>IFERROR(__xludf.DUMMYFUNCTION("FILTER('CLASFICACIÓN'!$F$3:$F5618,'CLASFICACIÓN'!$G$3:$G5618=M1887)"),"LOS 3 AÑOS")</f>
        <v>LOS 3 AÑOS</v>
      </c>
      <c r="K1887" s="16"/>
      <c r="L1887" s="14" t="s">
        <v>130</v>
      </c>
      <c r="M1887" s="16" t="str">
        <f t="shared" si="1"/>
        <v>14144 SANTA ROSA4 Primaria</v>
      </c>
      <c r="N1887" s="17"/>
      <c r="O1887" s="17"/>
      <c r="P1887" s="17"/>
      <c r="Q1887" s="17"/>
      <c r="R1887" s="17"/>
      <c r="S1887" s="17"/>
      <c r="T1887" s="17"/>
    </row>
    <row r="1888">
      <c r="A1888" s="21">
        <v>691.0</v>
      </c>
      <c r="B1888" s="20" t="s">
        <v>48</v>
      </c>
      <c r="C1888" s="20" t="s">
        <v>14</v>
      </c>
      <c r="D1888" s="20" t="s">
        <v>20</v>
      </c>
      <c r="E1888" s="12" t="str">
        <f>IFERROR(__xludf.DUMMYFUNCTION("FILTER(colegios!$B$2:$B5618,colegios!$A$2:$A5618=L1888)"),"14144 SANTA ROSA")</f>
        <v>14144 SANTA ROSA</v>
      </c>
      <c r="F1888" s="14" t="s">
        <v>16</v>
      </c>
      <c r="G1888" s="20" t="s">
        <v>17</v>
      </c>
      <c r="H1888" s="14" t="s">
        <v>18</v>
      </c>
      <c r="I1888" s="22">
        <v>2023.0</v>
      </c>
      <c r="J1888" s="16" t="str">
        <f>IFERROR(__xludf.DUMMYFUNCTION("FILTER('CLASFICACIÓN'!$F$3:$F5618,'CLASFICACIÓN'!$G$3:$G5618=M1888)"),"LOS 3 AÑOS")</f>
        <v>LOS 3 AÑOS</v>
      </c>
      <c r="K1888" s="16"/>
      <c r="L1888" s="14" t="s">
        <v>130</v>
      </c>
      <c r="M1888" s="16" t="str">
        <f t="shared" si="1"/>
        <v>14144 SANTA ROSA4 Primaria</v>
      </c>
      <c r="N1888" s="17"/>
      <c r="O1888" s="17"/>
      <c r="P1888" s="17"/>
      <c r="Q1888" s="17"/>
      <c r="R1888" s="17"/>
      <c r="S1888" s="17"/>
      <c r="T1888" s="17"/>
    </row>
    <row r="1889">
      <c r="A1889" s="21">
        <v>692.0</v>
      </c>
      <c r="B1889" s="20" t="s">
        <v>48</v>
      </c>
      <c r="C1889" s="20" t="s">
        <v>14</v>
      </c>
      <c r="D1889" s="20" t="s">
        <v>20</v>
      </c>
      <c r="E1889" s="12" t="str">
        <f>IFERROR(__xludf.DUMMYFUNCTION("FILTER(colegios!$B$2:$B5618,colegios!$A$2:$A5618=L1889)"),"14144 SANTA ROSA")</f>
        <v>14144 SANTA ROSA</v>
      </c>
      <c r="F1889" s="14" t="s">
        <v>16</v>
      </c>
      <c r="G1889" s="20" t="s">
        <v>17</v>
      </c>
      <c r="H1889" s="14" t="s">
        <v>18</v>
      </c>
      <c r="I1889" s="22">
        <v>2023.0</v>
      </c>
      <c r="J1889" s="16" t="str">
        <f>IFERROR(__xludf.DUMMYFUNCTION("FILTER('CLASFICACIÓN'!$F$3:$F5618,'CLASFICACIÓN'!$G$3:$G5618=M1889)"),"LOS 3 AÑOS")</f>
        <v>LOS 3 AÑOS</v>
      </c>
      <c r="K1889" s="16"/>
      <c r="L1889" s="14" t="s">
        <v>130</v>
      </c>
      <c r="M1889" s="16" t="str">
        <f t="shared" si="1"/>
        <v>14144 SANTA ROSA4 Primaria</v>
      </c>
      <c r="N1889" s="17"/>
      <c r="O1889" s="17"/>
      <c r="P1889" s="17"/>
      <c r="Q1889" s="17"/>
      <c r="R1889" s="17"/>
      <c r="S1889" s="17"/>
      <c r="T1889" s="17"/>
    </row>
    <row r="1890">
      <c r="A1890" s="21">
        <v>693.0</v>
      </c>
      <c r="B1890" s="20" t="s">
        <v>48</v>
      </c>
      <c r="C1890" s="20" t="s">
        <v>14</v>
      </c>
      <c r="D1890" s="20" t="s">
        <v>20</v>
      </c>
      <c r="E1890" s="12" t="str">
        <f>IFERROR(__xludf.DUMMYFUNCTION("FILTER(colegios!$B$2:$B5618,colegios!$A$2:$A5618=L1890)"),"14144 SANTA ROSA")</f>
        <v>14144 SANTA ROSA</v>
      </c>
      <c r="F1890" s="14" t="s">
        <v>16</v>
      </c>
      <c r="G1890" s="20" t="s">
        <v>17</v>
      </c>
      <c r="H1890" s="14" t="s">
        <v>24</v>
      </c>
      <c r="I1890" s="22">
        <v>2023.0</v>
      </c>
      <c r="J1890" s="16" t="str">
        <f>IFERROR(__xludf.DUMMYFUNCTION("FILTER('CLASFICACIÓN'!$F$3:$F5618,'CLASFICACIÓN'!$G$3:$G5618=M1890)"),"LOS 3 AÑOS")</f>
        <v>LOS 3 AÑOS</v>
      </c>
      <c r="K1890" s="16"/>
      <c r="L1890" s="14" t="s">
        <v>130</v>
      </c>
      <c r="M1890" s="16" t="str">
        <f t="shared" si="1"/>
        <v>14144 SANTA ROSA4 Primaria</v>
      </c>
      <c r="N1890" s="17"/>
      <c r="O1890" s="17"/>
      <c r="P1890" s="17"/>
      <c r="Q1890" s="17"/>
      <c r="R1890" s="17"/>
      <c r="S1890" s="17"/>
      <c r="T1890" s="17"/>
    </row>
    <row r="1891">
      <c r="A1891" s="21">
        <v>694.0</v>
      </c>
      <c r="B1891" s="20" t="s">
        <v>48</v>
      </c>
      <c r="C1891" s="20" t="s">
        <v>14</v>
      </c>
      <c r="D1891" s="20" t="s">
        <v>20</v>
      </c>
      <c r="E1891" s="12" t="str">
        <f>IFERROR(__xludf.DUMMYFUNCTION("FILTER(colegios!$B$2:$B5618,colegios!$A$2:$A5618=L1891)"),"14144 SANTA ROSA")</f>
        <v>14144 SANTA ROSA</v>
      </c>
      <c r="F1891" s="14" t="s">
        <v>16</v>
      </c>
      <c r="G1891" s="20" t="s">
        <v>17</v>
      </c>
      <c r="H1891" s="14" t="s">
        <v>24</v>
      </c>
      <c r="I1891" s="22">
        <v>2023.0</v>
      </c>
      <c r="J1891" s="16" t="str">
        <f>IFERROR(__xludf.DUMMYFUNCTION("FILTER('CLASFICACIÓN'!$F$3:$F5618,'CLASFICACIÓN'!$G$3:$G5618=M1891)"),"LOS 3 AÑOS")</f>
        <v>LOS 3 AÑOS</v>
      </c>
      <c r="K1891" s="16"/>
      <c r="L1891" s="14" t="s">
        <v>130</v>
      </c>
      <c r="M1891" s="16" t="str">
        <f t="shared" si="1"/>
        <v>14144 SANTA ROSA4 Primaria</v>
      </c>
      <c r="N1891" s="17"/>
      <c r="O1891" s="17"/>
      <c r="P1891" s="17"/>
      <c r="Q1891" s="17"/>
      <c r="R1891" s="17"/>
      <c r="S1891" s="17"/>
      <c r="T1891" s="17"/>
    </row>
    <row r="1892">
      <c r="A1892" s="21">
        <v>695.0</v>
      </c>
      <c r="B1892" s="20" t="s">
        <v>48</v>
      </c>
      <c r="C1892" s="20" t="s">
        <v>14</v>
      </c>
      <c r="D1892" s="20" t="s">
        <v>20</v>
      </c>
      <c r="E1892" s="12" t="str">
        <f>IFERROR(__xludf.DUMMYFUNCTION("FILTER(colegios!$B$2:$B5618,colegios!$A$2:$A5618=L1892)"),"14144 SANTA ROSA")</f>
        <v>14144 SANTA ROSA</v>
      </c>
      <c r="F1892" s="14" t="s">
        <v>16</v>
      </c>
      <c r="G1892" s="20" t="s">
        <v>17</v>
      </c>
      <c r="H1892" s="14" t="s">
        <v>24</v>
      </c>
      <c r="I1892" s="22">
        <v>2023.0</v>
      </c>
      <c r="J1892" s="16" t="str">
        <f>IFERROR(__xludf.DUMMYFUNCTION("FILTER('CLASFICACIÓN'!$F$3:$F5618,'CLASFICACIÓN'!$G$3:$G5618=M1892)"),"LOS 3 AÑOS")</f>
        <v>LOS 3 AÑOS</v>
      </c>
      <c r="K1892" s="16"/>
      <c r="L1892" s="14" t="s">
        <v>130</v>
      </c>
      <c r="M1892" s="16" t="str">
        <f t="shared" si="1"/>
        <v>14144 SANTA ROSA4 Primaria</v>
      </c>
      <c r="N1892" s="17"/>
      <c r="O1892" s="17"/>
      <c r="P1892" s="17"/>
      <c r="Q1892" s="17"/>
      <c r="R1892" s="17"/>
      <c r="S1892" s="17"/>
      <c r="T1892" s="17"/>
    </row>
    <row r="1893">
      <c r="A1893" s="21">
        <v>696.0</v>
      </c>
      <c r="B1893" s="20" t="s">
        <v>48</v>
      </c>
      <c r="C1893" s="20" t="s">
        <v>14</v>
      </c>
      <c r="D1893" s="20" t="s">
        <v>20</v>
      </c>
      <c r="E1893" s="12" t="str">
        <f>IFERROR(__xludf.DUMMYFUNCTION("FILTER(colegios!$B$2:$B5618,colegios!$A$2:$A5618=L1893)"),"14144 SANTA ROSA")</f>
        <v>14144 SANTA ROSA</v>
      </c>
      <c r="F1893" s="14" t="s">
        <v>16</v>
      </c>
      <c r="G1893" s="20" t="s">
        <v>21</v>
      </c>
      <c r="H1893" s="14" t="s">
        <v>18</v>
      </c>
      <c r="I1893" s="22">
        <v>2023.0</v>
      </c>
      <c r="J1893" s="16" t="str">
        <f>IFERROR(__xludf.DUMMYFUNCTION("FILTER('CLASFICACIÓN'!$F$3:$F5618,'CLASFICACIÓN'!$G$3:$G5618=M1893)"),"LOS 3 AÑOS")</f>
        <v>LOS 3 AÑOS</v>
      </c>
      <c r="K1893" s="16"/>
      <c r="L1893" s="14" t="s">
        <v>130</v>
      </c>
      <c r="M1893" s="16" t="str">
        <f t="shared" si="1"/>
        <v>14144 SANTA ROSA4 Primaria</v>
      </c>
      <c r="N1893" s="17"/>
      <c r="O1893" s="17"/>
      <c r="P1893" s="17"/>
      <c r="Q1893" s="17"/>
      <c r="R1893" s="17"/>
      <c r="S1893" s="17"/>
      <c r="T1893" s="17"/>
    </row>
    <row r="1894">
      <c r="A1894" s="21">
        <v>697.0</v>
      </c>
      <c r="B1894" s="20" t="s">
        <v>48</v>
      </c>
      <c r="C1894" s="20" t="s">
        <v>14</v>
      </c>
      <c r="D1894" s="20" t="s">
        <v>20</v>
      </c>
      <c r="E1894" s="12" t="str">
        <f>IFERROR(__xludf.DUMMYFUNCTION("FILTER(colegios!$B$2:$B5618,colegios!$A$2:$A5618=L1894)"),"14144 SANTA ROSA")</f>
        <v>14144 SANTA ROSA</v>
      </c>
      <c r="F1894" s="14" t="s">
        <v>16</v>
      </c>
      <c r="G1894" s="20" t="s">
        <v>21</v>
      </c>
      <c r="H1894" s="14" t="s">
        <v>18</v>
      </c>
      <c r="I1894" s="22">
        <v>2023.0</v>
      </c>
      <c r="J1894" s="16" t="str">
        <f>IFERROR(__xludf.DUMMYFUNCTION("FILTER('CLASFICACIÓN'!$F$3:$F5618,'CLASFICACIÓN'!$G$3:$G5618=M1894)"),"LOS 3 AÑOS")</f>
        <v>LOS 3 AÑOS</v>
      </c>
      <c r="K1894" s="16"/>
      <c r="L1894" s="14" t="s">
        <v>130</v>
      </c>
      <c r="M1894" s="16" t="str">
        <f t="shared" si="1"/>
        <v>14144 SANTA ROSA4 Primaria</v>
      </c>
      <c r="N1894" s="17"/>
      <c r="O1894" s="17"/>
      <c r="P1894" s="17"/>
      <c r="Q1894" s="17"/>
      <c r="R1894" s="17"/>
      <c r="S1894" s="17"/>
      <c r="T1894" s="17"/>
    </row>
    <row r="1895">
      <c r="A1895" s="21">
        <v>698.0</v>
      </c>
      <c r="B1895" s="20" t="s">
        <v>48</v>
      </c>
      <c r="C1895" s="20" t="s">
        <v>14</v>
      </c>
      <c r="D1895" s="20" t="s">
        <v>20</v>
      </c>
      <c r="E1895" s="12" t="str">
        <f>IFERROR(__xludf.DUMMYFUNCTION("FILTER(colegios!$B$2:$B5618,colegios!$A$2:$A5618=L1895)"),"14144 SANTA ROSA")</f>
        <v>14144 SANTA ROSA</v>
      </c>
      <c r="F1895" s="14" t="s">
        <v>16</v>
      </c>
      <c r="G1895" s="20" t="s">
        <v>21</v>
      </c>
      <c r="H1895" s="14" t="s">
        <v>24</v>
      </c>
      <c r="I1895" s="22">
        <v>2023.0</v>
      </c>
      <c r="J1895" s="16" t="str">
        <f>IFERROR(__xludf.DUMMYFUNCTION("FILTER('CLASFICACIÓN'!$F$3:$F5618,'CLASFICACIÓN'!$G$3:$G5618=M1895)"),"LOS 3 AÑOS")</f>
        <v>LOS 3 AÑOS</v>
      </c>
      <c r="K1895" s="16"/>
      <c r="L1895" s="14" t="s">
        <v>130</v>
      </c>
      <c r="M1895" s="16" t="str">
        <f t="shared" si="1"/>
        <v>14144 SANTA ROSA4 Primaria</v>
      </c>
      <c r="N1895" s="17"/>
      <c r="O1895" s="17"/>
      <c r="P1895" s="17"/>
      <c r="Q1895" s="17"/>
      <c r="R1895" s="17"/>
      <c r="S1895" s="17"/>
      <c r="T1895" s="17"/>
    </row>
    <row r="1896">
      <c r="A1896" s="21">
        <v>699.0</v>
      </c>
      <c r="B1896" s="20" t="s">
        <v>48</v>
      </c>
      <c r="C1896" s="20" t="s">
        <v>14</v>
      </c>
      <c r="D1896" s="20" t="s">
        <v>20</v>
      </c>
      <c r="E1896" s="12" t="str">
        <f>IFERROR(__xludf.DUMMYFUNCTION("FILTER(colegios!$B$2:$B5618,colegios!$A$2:$A5618=L1896)"),"14144 SANTA ROSA")</f>
        <v>14144 SANTA ROSA</v>
      </c>
      <c r="F1896" s="14" t="s">
        <v>16</v>
      </c>
      <c r="G1896" s="20" t="s">
        <v>17</v>
      </c>
      <c r="H1896" s="14" t="s">
        <v>24</v>
      </c>
      <c r="I1896" s="22">
        <v>2023.0</v>
      </c>
      <c r="J1896" s="16" t="str">
        <f>IFERROR(__xludf.DUMMYFUNCTION("FILTER('CLASFICACIÓN'!$F$3:$F5618,'CLASFICACIÓN'!$G$3:$G5618=M1896)"),"LOS 3 AÑOS")</f>
        <v>LOS 3 AÑOS</v>
      </c>
      <c r="K1896" s="16"/>
      <c r="L1896" s="14" t="s">
        <v>130</v>
      </c>
      <c r="M1896" s="16" t="str">
        <f t="shared" si="1"/>
        <v>14144 SANTA ROSA4 Primaria</v>
      </c>
      <c r="N1896" s="17"/>
      <c r="O1896" s="17"/>
      <c r="P1896" s="17"/>
      <c r="Q1896" s="17"/>
      <c r="R1896" s="17"/>
      <c r="S1896" s="17"/>
      <c r="T1896" s="17"/>
    </row>
    <row r="1897">
      <c r="A1897" s="21">
        <v>700.0</v>
      </c>
      <c r="B1897" s="20" t="s">
        <v>48</v>
      </c>
      <c r="C1897" s="20" t="s">
        <v>14</v>
      </c>
      <c r="D1897" s="20" t="s">
        <v>20</v>
      </c>
      <c r="E1897" s="12" t="str">
        <f>IFERROR(__xludf.DUMMYFUNCTION("FILTER(colegios!$B$2:$B5618,colegios!$A$2:$A5618=L1897)"),"14144 SANTA ROSA")</f>
        <v>14144 SANTA ROSA</v>
      </c>
      <c r="F1897" s="14" t="s">
        <v>16</v>
      </c>
      <c r="G1897" s="20" t="s">
        <v>17</v>
      </c>
      <c r="H1897" s="14" t="s">
        <v>24</v>
      </c>
      <c r="I1897" s="22">
        <v>2023.0</v>
      </c>
      <c r="J1897" s="16" t="str">
        <f>IFERROR(__xludf.DUMMYFUNCTION("FILTER('CLASFICACIÓN'!$F$3:$F5618,'CLASFICACIÓN'!$G$3:$G5618=M1897)"),"LOS 3 AÑOS")</f>
        <v>LOS 3 AÑOS</v>
      </c>
      <c r="K1897" s="16"/>
      <c r="L1897" s="14" t="s">
        <v>130</v>
      </c>
      <c r="M1897" s="16" t="str">
        <f t="shared" si="1"/>
        <v>14144 SANTA ROSA4 Primaria</v>
      </c>
      <c r="N1897" s="17"/>
      <c r="O1897" s="17"/>
      <c r="P1897" s="17"/>
      <c r="Q1897" s="17"/>
      <c r="R1897" s="17"/>
      <c r="S1897" s="17"/>
      <c r="T1897" s="17"/>
    </row>
    <row r="1898">
      <c r="A1898" s="21">
        <v>701.0</v>
      </c>
      <c r="B1898" s="20" t="s">
        <v>48</v>
      </c>
      <c r="C1898" s="20" t="s">
        <v>14</v>
      </c>
      <c r="D1898" s="20" t="s">
        <v>20</v>
      </c>
      <c r="E1898" s="12" t="str">
        <f>IFERROR(__xludf.DUMMYFUNCTION("FILTER(colegios!$B$2:$B5618,colegios!$A$2:$A5618=L1898)"),"14144 SANTA ROSA")</f>
        <v>14144 SANTA ROSA</v>
      </c>
      <c r="F1898" s="14" t="s">
        <v>16</v>
      </c>
      <c r="G1898" s="20" t="s">
        <v>21</v>
      </c>
      <c r="H1898" s="14" t="s">
        <v>18</v>
      </c>
      <c r="I1898" s="22">
        <v>2023.0</v>
      </c>
      <c r="J1898" s="16" t="str">
        <f>IFERROR(__xludf.DUMMYFUNCTION("FILTER('CLASFICACIÓN'!$F$3:$F5618,'CLASFICACIÓN'!$G$3:$G5618=M1898)"),"LOS 3 AÑOS")</f>
        <v>LOS 3 AÑOS</v>
      </c>
      <c r="K1898" s="16"/>
      <c r="L1898" s="14" t="s">
        <v>130</v>
      </c>
      <c r="M1898" s="16" t="str">
        <f t="shared" si="1"/>
        <v>14144 SANTA ROSA4 Primaria</v>
      </c>
      <c r="N1898" s="17"/>
      <c r="O1898" s="17"/>
      <c r="P1898" s="17"/>
      <c r="Q1898" s="17"/>
      <c r="R1898" s="17"/>
      <c r="S1898" s="17"/>
      <c r="T1898" s="17"/>
    </row>
    <row r="1899">
      <c r="A1899" s="21">
        <v>702.0</v>
      </c>
      <c r="B1899" s="20" t="s">
        <v>48</v>
      </c>
      <c r="C1899" s="20" t="s">
        <v>14</v>
      </c>
      <c r="D1899" s="20" t="s">
        <v>20</v>
      </c>
      <c r="E1899" s="12" t="str">
        <f>IFERROR(__xludf.DUMMYFUNCTION("FILTER(colegios!$B$2:$B5618,colegios!$A$2:$A5618=L1899)"),"14144 SANTA ROSA")</f>
        <v>14144 SANTA ROSA</v>
      </c>
      <c r="F1899" s="14" t="s">
        <v>16</v>
      </c>
      <c r="G1899" s="20" t="s">
        <v>17</v>
      </c>
      <c r="H1899" s="14" t="s">
        <v>24</v>
      </c>
      <c r="I1899" s="22">
        <v>2023.0</v>
      </c>
      <c r="J1899" s="16" t="str">
        <f>IFERROR(__xludf.DUMMYFUNCTION("FILTER('CLASFICACIÓN'!$F$3:$F5618,'CLASFICACIÓN'!$G$3:$G5618=M1899)"),"LOS 3 AÑOS")</f>
        <v>LOS 3 AÑOS</v>
      </c>
      <c r="K1899" s="16"/>
      <c r="L1899" s="14" t="s">
        <v>130</v>
      </c>
      <c r="M1899" s="16" t="str">
        <f t="shared" si="1"/>
        <v>14144 SANTA ROSA4 Primaria</v>
      </c>
      <c r="N1899" s="17"/>
      <c r="O1899" s="17"/>
      <c r="P1899" s="17"/>
      <c r="Q1899" s="17"/>
      <c r="R1899" s="17"/>
      <c r="S1899" s="17"/>
      <c r="T1899" s="17"/>
    </row>
    <row r="1900">
      <c r="A1900" s="21">
        <v>703.0</v>
      </c>
      <c r="B1900" s="20" t="s">
        <v>48</v>
      </c>
      <c r="C1900" s="20" t="s">
        <v>14</v>
      </c>
      <c r="D1900" s="20" t="s">
        <v>20</v>
      </c>
      <c r="E1900" s="12" t="str">
        <f>IFERROR(__xludf.DUMMYFUNCTION("FILTER(colegios!$B$2:$B5618,colegios!$A$2:$A5618=L1900)"),"14144 SANTA ROSA")</f>
        <v>14144 SANTA ROSA</v>
      </c>
      <c r="F1900" s="14" t="s">
        <v>16</v>
      </c>
      <c r="G1900" s="20" t="s">
        <v>17</v>
      </c>
      <c r="H1900" s="14" t="s">
        <v>24</v>
      </c>
      <c r="I1900" s="22">
        <v>2023.0</v>
      </c>
      <c r="J1900" s="16" t="str">
        <f>IFERROR(__xludf.DUMMYFUNCTION("FILTER('CLASFICACIÓN'!$F$3:$F5618,'CLASFICACIÓN'!$G$3:$G5618=M1900)"),"LOS 3 AÑOS")</f>
        <v>LOS 3 AÑOS</v>
      </c>
      <c r="K1900" s="16"/>
      <c r="L1900" s="14" t="s">
        <v>130</v>
      </c>
      <c r="M1900" s="16" t="str">
        <f t="shared" si="1"/>
        <v>14144 SANTA ROSA4 Primaria</v>
      </c>
      <c r="N1900" s="17"/>
      <c r="O1900" s="17"/>
      <c r="P1900" s="17"/>
      <c r="Q1900" s="17"/>
      <c r="R1900" s="17"/>
      <c r="S1900" s="17"/>
      <c r="T1900" s="17"/>
    </row>
    <row r="1901">
      <c r="A1901" s="21">
        <v>704.0</v>
      </c>
      <c r="B1901" s="20" t="s">
        <v>48</v>
      </c>
      <c r="C1901" s="20" t="s">
        <v>14</v>
      </c>
      <c r="D1901" s="20" t="s">
        <v>20</v>
      </c>
      <c r="E1901" s="12" t="str">
        <f>IFERROR(__xludf.DUMMYFUNCTION("FILTER(colegios!$B$2:$B5618,colegios!$A$2:$A5618=L1901)"),"14144 SANTA ROSA")</f>
        <v>14144 SANTA ROSA</v>
      </c>
      <c r="F1901" s="14" t="s">
        <v>16</v>
      </c>
      <c r="G1901" s="20" t="s">
        <v>17</v>
      </c>
      <c r="H1901" s="14" t="s">
        <v>24</v>
      </c>
      <c r="I1901" s="22">
        <v>2023.0</v>
      </c>
      <c r="J1901" s="16" t="str">
        <f>IFERROR(__xludf.DUMMYFUNCTION("FILTER('CLASFICACIÓN'!$F$3:$F5618,'CLASFICACIÓN'!$G$3:$G5618=M1901)"),"LOS 3 AÑOS")</f>
        <v>LOS 3 AÑOS</v>
      </c>
      <c r="K1901" s="16"/>
      <c r="L1901" s="14" t="s">
        <v>130</v>
      </c>
      <c r="M1901" s="16" t="str">
        <f t="shared" si="1"/>
        <v>14144 SANTA ROSA4 Primaria</v>
      </c>
      <c r="N1901" s="17"/>
      <c r="O1901" s="17"/>
      <c r="P1901" s="17"/>
      <c r="Q1901" s="17"/>
      <c r="R1901" s="17"/>
      <c r="S1901" s="17"/>
      <c r="T1901" s="17"/>
    </row>
    <row r="1902">
      <c r="A1902" s="21">
        <v>705.0</v>
      </c>
      <c r="B1902" s="20" t="s">
        <v>48</v>
      </c>
      <c r="C1902" s="20" t="s">
        <v>14</v>
      </c>
      <c r="D1902" s="20" t="s">
        <v>20</v>
      </c>
      <c r="E1902" s="12" t="str">
        <f>IFERROR(__xludf.DUMMYFUNCTION("FILTER(colegios!$B$2:$B5618,colegios!$A$2:$A5618=L1902)"),"14144 SANTA ROSA")</f>
        <v>14144 SANTA ROSA</v>
      </c>
      <c r="F1902" s="14" t="s">
        <v>16</v>
      </c>
      <c r="G1902" s="20" t="s">
        <v>17</v>
      </c>
      <c r="H1902" s="14" t="s">
        <v>24</v>
      </c>
      <c r="I1902" s="22">
        <v>2023.0</v>
      </c>
      <c r="J1902" s="16" t="str">
        <f>IFERROR(__xludf.DUMMYFUNCTION("FILTER('CLASFICACIÓN'!$F$3:$F5618,'CLASFICACIÓN'!$G$3:$G5618=M1902)"),"LOS 3 AÑOS")</f>
        <v>LOS 3 AÑOS</v>
      </c>
      <c r="K1902" s="16"/>
      <c r="L1902" s="14" t="s">
        <v>130</v>
      </c>
      <c r="M1902" s="16" t="str">
        <f t="shared" si="1"/>
        <v>14144 SANTA ROSA4 Primaria</v>
      </c>
      <c r="N1902" s="17"/>
      <c r="O1902" s="17"/>
      <c r="P1902" s="17"/>
      <c r="Q1902" s="17"/>
      <c r="R1902" s="17"/>
      <c r="S1902" s="17"/>
      <c r="T1902" s="17"/>
    </row>
    <row r="1903">
      <c r="A1903" s="21">
        <v>706.0</v>
      </c>
      <c r="B1903" s="20" t="s">
        <v>48</v>
      </c>
      <c r="C1903" s="20" t="s">
        <v>14</v>
      </c>
      <c r="D1903" s="20" t="s">
        <v>20</v>
      </c>
      <c r="E1903" s="12" t="str">
        <f>IFERROR(__xludf.DUMMYFUNCTION("FILTER(colegios!$B$2:$B5618,colegios!$A$2:$A5618=L1903)"),"14144 SANTA ROSA")</f>
        <v>14144 SANTA ROSA</v>
      </c>
      <c r="F1903" s="14" t="s">
        <v>16</v>
      </c>
      <c r="G1903" s="20" t="s">
        <v>17</v>
      </c>
      <c r="H1903" s="14" t="s">
        <v>24</v>
      </c>
      <c r="I1903" s="22">
        <v>2023.0</v>
      </c>
      <c r="J1903" s="16" t="str">
        <f>IFERROR(__xludf.DUMMYFUNCTION("FILTER('CLASFICACIÓN'!$F$3:$F5618,'CLASFICACIÓN'!$G$3:$G5618=M1903)"),"LOS 3 AÑOS")</f>
        <v>LOS 3 AÑOS</v>
      </c>
      <c r="K1903" s="16"/>
      <c r="L1903" s="14" t="s">
        <v>130</v>
      </c>
      <c r="M1903" s="16" t="str">
        <f t="shared" si="1"/>
        <v>14144 SANTA ROSA4 Primaria</v>
      </c>
      <c r="N1903" s="17"/>
      <c r="O1903" s="17"/>
      <c r="P1903" s="17"/>
      <c r="Q1903" s="17"/>
      <c r="R1903" s="17"/>
      <c r="S1903" s="17"/>
      <c r="T1903" s="17"/>
    </row>
    <row r="1904">
      <c r="A1904" s="21">
        <v>707.0</v>
      </c>
      <c r="B1904" s="20" t="s">
        <v>48</v>
      </c>
      <c r="C1904" s="20" t="s">
        <v>14</v>
      </c>
      <c r="D1904" s="20" t="s">
        <v>20</v>
      </c>
      <c r="E1904" s="12" t="str">
        <f>IFERROR(__xludf.DUMMYFUNCTION("FILTER(colegios!$B$2:$B5618,colegios!$A$2:$A5618=L1904)"),"14144 SANTA ROSA")</f>
        <v>14144 SANTA ROSA</v>
      </c>
      <c r="F1904" s="14" t="s">
        <v>16</v>
      </c>
      <c r="G1904" s="20" t="s">
        <v>17</v>
      </c>
      <c r="H1904" s="14" t="s">
        <v>24</v>
      </c>
      <c r="I1904" s="22">
        <v>2023.0</v>
      </c>
      <c r="J1904" s="16" t="str">
        <f>IFERROR(__xludf.DUMMYFUNCTION("FILTER('CLASFICACIÓN'!$F$3:$F5618,'CLASFICACIÓN'!$G$3:$G5618=M1904)"),"LOS 3 AÑOS")</f>
        <v>LOS 3 AÑOS</v>
      </c>
      <c r="K1904" s="16"/>
      <c r="L1904" s="14" t="s">
        <v>130</v>
      </c>
      <c r="M1904" s="16" t="str">
        <f t="shared" si="1"/>
        <v>14144 SANTA ROSA4 Primaria</v>
      </c>
      <c r="N1904" s="17"/>
      <c r="O1904" s="17"/>
      <c r="P1904" s="17"/>
      <c r="Q1904" s="17"/>
      <c r="R1904" s="17"/>
      <c r="S1904" s="17"/>
      <c r="T1904" s="17"/>
    </row>
    <row r="1905">
      <c r="A1905" s="21">
        <v>708.0</v>
      </c>
      <c r="B1905" s="20" t="s">
        <v>48</v>
      </c>
      <c r="C1905" s="20" t="s">
        <v>14</v>
      </c>
      <c r="D1905" s="20" t="s">
        <v>20</v>
      </c>
      <c r="E1905" s="12" t="str">
        <f>IFERROR(__xludf.DUMMYFUNCTION("FILTER(colegios!$B$2:$B5618,colegios!$A$2:$A5618=L1905)"),"14144 SANTA ROSA")</f>
        <v>14144 SANTA ROSA</v>
      </c>
      <c r="F1905" s="14" t="s">
        <v>16</v>
      </c>
      <c r="G1905" s="20" t="s">
        <v>17</v>
      </c>
      <c r="H1905" s="14" t="s">
        <v>18</v>
      </c>
      <c r="I1905" s="22">
        <v>2023.0</v>
      </c>
      <c r="J1905" s="16" t="str">
        <f>IFERROR(__xludf.DUMMYFUNCTION("FILTER('CLASFICACIÓN'!$F$3:$F5618,'CLASFICACIÓN'!$G$3:$G5618=M1905)"),"LOS 3 AÑOS")</f>
        <v>LOS 3 AÑOS</v>
      </c>
      <c r="K1905" s="16"/>
      <c r="L1905" s="14" t="s">
        <v>130</v>
      </c>
      <c r="M1905" s="16" t="str">
        <f t="shared" si="1"/>
        <v>14144 SANTA ROSA4 Primaria</v>
      </c>
      <c r="N1905" s="17"/>
      <c r="O1905" s="17"/>
      <c r="P1905" s="17"/>
      <c r="Q1905" s="17"/>
      <c r="R1905" s="17"/>
      <c r="S1905" s="17"/>
      <c r="T1905" s="17"/>
    </row>
    <row r="1906">
      <c r="A1906" s="21">
        <v>709.0</v>
      </c>
      <c r="B1906" s="20" t="s">
        <v>48</v>
      </c>
      <c r="C1906" s="20" t="s">
        <v>14</v>
      </c>
      <c r="D1906" s="20" t="s">
        <v>20</v>
      </c>
      <c r="E1906" s="12" t="str">
        <f>IFERROR(__xludf.DUMMYFUNCTION("FILTER(colegios!$B$2:$B5618,colegios!$A$2:$A5618=L1906)"),"14144 SANTA ROSA")</f>
        <v>14144 SANTA ROSA</v>
      </c>
      <c r="F1906" s="14" t="s">
        <v>16</v>
      </c>
      <c r="G1906" s="20" t="s">
        <v>21</v>
      </c>
      <c r="H1906" s="14" t="s">
        <v>24</v>
      </c>
      <c r="I1906" s="22">
        <v>2023.0</v>
      </c>
      <c r="J1906" s="16" t="str">
        <f>IFERROR(__xludf.DUMMYFUNCTION("FILTER('CLASFICACIÓN'!$F$3:$F5618,'CLASFICACIÓN'!$G$3:$G5618=M1906)"),"LOS 3 AÑOS")</f>
        <v>LOS 3 AÑOS</v>
      </c>
      <c r="K1906" s="16"/>
      <c r="L1906" s="14" t="s">
        <v>130</v>
      </c>
      <c r="M1906" s="16" t="str">
        <f t="shared" si="1"/>
        <v>14144 SANTA ROSA4 Primaria</v>
      </c>
      <c r="N1906" s="17"/>
      <c r="O1906" s="17"/>
      <c r="P1906" s="17"/>
      <c r="Q1906" s="17"/>
      <c r="R1906" s="17"/>
      <c r="S1906" s="17"/>
      <c r="T1906" s="17"/>
    </row>
    <row r="1907">
      <c r="A1907" s="21">
        <v>710.0</v>
      </c>
      <c r="B1907" s="20" t="s">
        <v>48</v>
      </c>
      <c r="C1907" s="20" t="s">
        <v>14</v>
      </c>
      <c r="D1907" s="20" t="s">
        <v>20</v>
      </c>
      <c r="E1907" s="12" t="str">
        <f>IFERROR(__xludf.DUMMYFUNCTION("FILTER(colegios!$B$2:$B5618,colegios!$A$2:$A5618=L1907)"),"14144 SANTA ROSA")</f>
        <v>14144 SANTA ROSA</v>
      </c>
      <c r="F1907" s="14" t="s">
        <v>16</v>
      </c>
      <c r="G1907" s="20" t="s">
        <v>21</v>
      </c>
      <c r="H1907" s="14" t="s">
        <v>18</v>
      </c>
      <c r="I1907" s="22">
        <v>2023.0</v>
      </c>
      <c r="J1907" s="16" t="str">
        <f>IFERROR(__xludf.DUMMYFUNCTION("FILTER('CLASFICACIÓN'!$F$3:$F5618,'CLASFICACIÓN'!$G$3:$G5618=M1907)"),"LOS 3 AÑOS")</f>
        <v>LOS 3 AÑOS</v>
      </c>
      <c r="K1907" s="16"/>
      <c r="L1907" s="14" t="s">
        <v>130</v>
      </c>
      <c r="M1907" s="16" t="str">
        <f t="shared" si="1"/>
        <v>14144 SANTA ROSA4 Primaria</v>
      </c>
      <c r="N1907" s="17"/>
      <c r="O1907" s="17"/>
      <c r="P1907" s="17"/>
      <c r="Q1907" s="17"/>
      <c r="R1907" s="17"/>
      <c r="S1907" s="17"/>
      <c r="T1907" s="17"/>
    </row>
    <row r="1908">
      <c r="A1908" s="21">
        <v>711.0</v>
      </c>
      <c r="B1908" s="20" t="s">
        <v>48</v>
      </c>
      <c r="C1908" s="20" t="s">
        <v>14</v>
      </c>
      <c r="D1908" s="20" t="s">
        <v>20</v>
      </c>
      <c r="E1908" s="12" t="str">
        <f>IFERROR(__xludf.DUMMYFUNCTION("FILTER(colegios!$B$2:$B5618,colegios!$A$2:$A5618=L1908)"),"14144 SANTA ROSA")</f>
        <v>14144 SANTA ROSA</v>
      </c>
      <c r="F1908" s="14" t="s">
        <v>16</v>
      </c>
      <c r="G1908" s="20" t="s">
        <v>17</v>
      </c>
      <c r="H1908" s="14" t="s">
        <v>24</v>
      </c>
      <c r="I1908" s="22">
        <v>2023.0</v>
      </c>
      <c r="J1908" s="16" t="str">
        <f>IFERROR(__xludf.DUMMYFUNCTION("FILTER('CLASFICACIÓN'!$F$3:$F5618,'CLASFICACIÓN'!$G$3:$G5618=M1908)"),"LOS 3 AÑOS")</f>
        <v>LOS 3 AÑOS</v>
      </c>
      <c r="K1908" s="16"/>
      <c r="L1908" s="14" t="s">
        <v>130</v>
      </c>
      <c r="M1908" s="16" t="str">
        <f t="shared" si="1"/>
        <v>14144 SANTA ROSA4 Primaria</v>
      </c>
      <c r="N1908" s="17"/>
      <c r="O1908" s="17"/>
      <c r="P1908" s="17"/>
      <c r="Q1908" s="17"/>
      <c r="R1908" s="17"/>
      <c r="S1908" s="17"/>
      <c r="T1908" s="17"/>
    </row>
    <row r="1909">
      <c r="A1909" s="21">
        <v>712.0</v>
      </c>
      <c r="B1909" s="20" t="s">
        <v>48</v>
      </c>
      <c r="C1909" s="20" t="s">
        <v>14</v>
      </c>
      <c r="D1909" s="20" t="s">
        <v>20</v>
      </c>
      <c r="E1909" s="12" t="str">
        <f>IFERROR(__xludf.DUMMYFUNCTION("FILTER(colegios!$B$2:$B5618,colegios!$A$2:$A5618=L1909)"),"14144 SANTA ROSA")</f>
        <v>14144 SANTA ROSA</v>
      </c>
      <c r="F1909" s="14" t="s">
        <v>16</v>
      </c>
      <c r="G1909" s="20" t="s">
        <v>17</v>
      </c>
      <c r="H1909" s="14" t="s">
        <v>18</v>
      </c>
      <c r="I1909" s="22">
        <v>2023.0</v>
      </c>
      <c r="J1909" s="16" t="str">
        <f>IFERROR(__xludf.DUMMYFUNCTION("FILTER('CLASFICACIÓN'!$F$3:$F5618,'CLASFICACIÓN'!$G$3:$G5618=M1909)"),"LOS 3 AÑOS")</f>
        <v>LOS 3 AÑOS</v>
      </c>
      <c r="K1909" s="16"/>
      <c r="L1909" s="14" t="s">
        <v>130</v>
      </c>
      <c r="M1909" s="16" t="str">
        <f t="shared" si="1"/>
        <v>14144 SANTA ROSA4 Primaria</v>
      </c>
      <c r="N1909" s="17"/>
      <c r="O1909" s="17"/>
      <c r="P1909" s="17"/>
      <c r="Q1909" s="17"/>
      <c r="R1909" s="17"/>
      <c r="S1909" s="17"/>
      <c r="T1909" s="17"/>
    </row>
    <row r="1910">
      <c r="A1910" s="21">
        <v>713.0</v>
      </c>
      <c r="B1910" s="20" t="s">
        <v>48</v>
      </c>
      <c r="C1910" s="20" t="s">
        <v>14</v>
      </c>
      <c r="D1910" s="20" t="s">
        <v>20</v>
      </c>
      <c r="E1910" s="12" t="str">
        <f>IFERROR(__xludf.DUMMYFUNCTION("FILTER(colegios!$B$2:$B5618,colegios!$A$2:$A5618=L1910)"),"14144 SANTA ROSA")</f>
        <v>14144 SANTA ROSA</v>
      </c>
      <c r="F1910" s="14" t="s">
        <v>16</v>
      </c>
      <c r="G1910" s="20" t="s">
        <v>17</v>
      </c>
      <c r="H1910" s="14" t="s">
        <v>18</v>
      </c>
      <c r="I1910" s="22">
        <v>2023.0</v>
      </c>
      <c r="J1910" s="16" t="str">
        <f>IFERROR(__xludf.DUMMYFUNCTION("FILTER('CLASFICACIÓN'!$F$3:$F5618,'CLASFICACIÓN'!$G$3:$G5618=M1910)"),"LOS 3 AÑOS")</f>
        <v>LOS 3 AÑOS</v>
      </c>
      <c r="K1910" s="16"/>
      <c r="L1910" s="14" t="s">
        <v>130</v>
      </c>
      <c r="M1910" s="16" t="str">
        <f t="shared" si="1"/>
        <v>14144 SANTA ROSA4 Primaria</v>
      </c>
      <c r="N1910" s="17"/>
      <c r="O1910" s="17"/>
      <c r="P1910" s="17"/>
      <c r="Q1910" s="17"/>
      <c r="R1910" s="17"/>
      <c r="S1910" s="17"/>
      <c r="T1910" s="17"/>
    </row>
    <row r="1911">
      <c r="A1911" s="21">
        <v>714.0</v>
      </c>
      <c r="B1911" s="20" t="s">
        <v>48</v>
      </c>
      <c r="C1911" s="20" t="s">
        <v>14</v>
      </c>
      <c r="D1911" s="20" t="s">
        <v>20</v>
      </c>
      <c r="E1911" s="12" t="str">
        <f>IFERROR(__xludf.DUMMYFUNCTION("FILTER(colegios!$B$2:$B5618,colegios!$A$2:$A5618=L1911)"),"14144 SANTA ROSA")</f>
        <v>14144 SANTA ROSA</v>
      </c>
      <c r="F1911" s="14" t="s">
        <v>16</v>
      </c>
      <c r="G1911" s="20" t="s">
        <v>17</v>
      </c>
      <c r="H1911" s="14" t="s">
        <v>24</v>
      </c>
      <c r="I1911" s="22">
        <v>2023.0</v>
      </c>
      <c r="J1911" s="16" t="str">
        <f>IFERROR(__xludf.DUMMYFUNCTION("FILTER('CLASFICACIÓN'!$F$3:$F5618,'CLASFICACIÓN'!$G$3:$G5618=M1911)"),"LOS 3 AÑOS")</f>
        <v>LOS 3 AÑOS</v>
      </c>
      <c r="K1911" s="16"/>
      <c r="L1911" s="14" t="s">
        <v>130</v>
      </c>
      <c r="M1911" s="16" t="str">
        <f t="shared" si="1"/>
        <v>14144 SANTA ROSA4 Primaria</v>
      </c>
      <c r="N1911" s="17"/>
      <c r="O1911" s="17"/>
      <c r="P1911" s="17"/>
      <c r="Q1911" s="17"/>
      <c r="R1911" s="17"/>
      <c r="S1911" s="17"/>
      <c r="T1911" s="17"/>
    </row>
    <row r="1912">
      <c r="A1912" s="21">
        <v>715.0</v>
      </c>
      <c r="B1912" s="20" t="s">
        <v>48</v>
      </c>
      <c r="C1912" s="20" t="s">
        <v>14</v>
      </c>
      <c r="D1912" s="20" t="s">
        <v>20</v>
      </c>
      <c r="E1912" s="12" t="str">
        <f>IFERROR(__xludf.DUMMYFUNCTION("FILTER(colegios!$B$2:$B5618,colegios!$A$2:$A5618=L1912)"),"14144 SANTA ROSA")</f>
        <v>14144 SANTA ROSA</v>
      </c>
      <c r="F1912" s="14" t="s">
        <v>16</v>
      </c>
      <c r="G1912" s="20" t="s">
        <v>17</v>
      </c>
      <c r="H1912" s="14" t="s">
        <v>24</v>
      </c>
      <c r="I1912" s="22">
        <v>2023.0</v>
      </c>
      <c r="J1912" s="16" t="str">
        <f>IFERROR(__xludf.DUMMYFUNCTION("FILTER('CLASFICACIÓN'!$F$3:$F5618,'CLASFICACIÓN'!$G$3:$G5618=M1912)"),"LOS 3 AÑOS")</f>
        <v>LOS 3 AÑOS</v>
      </c>
      <c r="K1912" s="16"/>
      <c r="L1912" s="14" t="s">
        <v>130</v>
      </c>
      <c r="M1912" s="16" t="str">
        <f t="shared" si="1"/>
        <v>14144 SANTA ROSA4 Primaria</v>
      </c>
      <c r="N1912" s="17"/>
      <c r="O1912" s="17"/>
      <c r="P1912" s="17"/>
      <c r="Q1912" s="17"/>
      <c r="R1912" s="17"/>
      <c r="S1912" s="17"/>
      <c r="T1912" s="17"/>
    </row>
    <row r="1913">
      <c r="A1913" s="21">
        <v>716.0</v>
      </c>
      <c r="B1913" s="20" t="s">
        <v>48</v>
      </c>
      <c r="C1913" s="20" t="s">
        <v>14</v>
      </c>
      <c r="D1913" s="20" t="s">
        <v>20</v>
      </c>
      <c r="E1913" s="12" t="str">
        <f>IFERROR(__xludf.DUMMYFUNCTION("FILTER(colegios!$B$2:$B5618,colegios!$A$2:$A5618=L1913)"),"14144 SANTA ROSA")</f>
        <v>14144 SANTA ROSA</v>
      </c>
      <c r="F1913" s="14" t="s">
        <v>16</v>
      </c>
      <c r="G1913" s="20" t="s">
        <v>21</v>
      </c>
      <c r="H1913" s="14" t="s">
        <v>24</v>
      </c>
      <c r="I1913" s="22">
        <v>2023.0</v>
      </c>
      <c r="J1913" s="16" t="str">
        <f>IFERROR(__xludf.DUMMYFUNCTION("FILTER('CLASFICACIÓN'!$F$3:$F5618,'CLASFICACIÓN'!$G$3:$G5618=M1913)"),"LOS 3 AÑOS")</f>
        <v>LOS 3 AÑOS</v>
      </c>
      <c r="K1913" s="16"/>
      <c r="L1913" s="14" t="s">
        <v>130</v>
      </c>
      <c r="M1913" s="16" t="str">
        <f t="shared" si="1"/>
        <v>14144 SANTA ROSA4 Primaria</v>
      </c>
      <c r="N1913" s="17"/>
      <c r="O1913" s="17"/>
      <c r="P1913" s="17"/>
      <c r="Q1913" s="17"/>
      <c r="R1913" s="17"/>
      <c r="S1913" s="17"/>
      <c r="T1913" s="17"/>
    </row>
    <row r="1914">
      <c r="A1914" s="21">
        <v>717.0</v>
      </c>
      <c r="B1914" s="20" t="s">
        <v>48</v>
      </c>
      <c r="C1914" s="20" t="s">
        <v>14</v>
      </c>
      <c r="D1914" s="20" t="s">
        <v>20</v>
      </c>
      <c r="E1914" s="12" t="str">
        <f>IFERROR(__xludf.DUMMYFUNCTION("FILTER(colegios!$B$2:$B5618,colegios!$A$2:$A5618=L1914)"),"14144 SANTA ROSA")</f>
        <v>14144 SANTA ROSA</v>
      </c>
      <c r="F1914" s="14" t="s">
        <v>16</v>
      </c>
      <c r="G1914" s="20" t="s">
        <v>17</v>
      </c>
      <c r="H1914" s="14" t="s">
        <v>24</v>
      </c>
      <c r="I1914" s="22">
        <v>2023.0</v>
      </c>
      <c r="J1914" s="16" t="str">
        <f>IFERROR(__xludf.DUMMYFUNCTION("FILTER('CLASFICACIÓN'!$F$3:$F5618,'CLASFICACIÓN'!$G$3:$G5618=M1914)"),"LOS 3 AÑOS")</f>
        <v>LOS 3 AÑOS</v>
      </c>
      <c r="K1914" s="16"/>
      <c r="L1914" s="14" t="s">
        <v>130</v>
      </c>
      <c r="M1914" s="16" t="str">
        <f t="shared" si="1"/>
        <v>14144 SANTA ROSA4 Primaria</v>
      </c>
      <c r="N1914" s="17"/>
      <c r="O1914" s="17"/>
      <c r="P1914" s="17"/>
      <c r="Q1914" s="17"/>
      <c r="R1914" s="17"/>
      <c r="S1914" s="17"/>
      <c r="T1914" s="17"/>
    </row>
    <row r="1915">
      <c r="A1915" s="21">
        <v>718.0</v>
      </c>
      <c r="B1915" s="20" t="s">
        <v>48</v>
      </c>
      <c r="C1915" s="20" t="s">
        <v>14</v>
      </c>
      <c r="D1915" s="20" t="s">
        <v>20</v>
      </c>
      <c r="E1915" s="12" t="str">
        <f>IFERROR(__xludf.DUMMYFUNCTION("FILTER(colegios!$B$2:$B5618,colegios!$A$2:$A5618=L1915)"),"14144 SANTA ROSA")</f>
        <v>14144 SANTA ROSA</v>
      </c>
      <c r="F1915" s="14" t="s">
        <v>16</v>
      </c>
      <c r="G1915" s="20" t="s">
        <v>21</v>
      </c>
      <c r="H1915" s="14" t="s">
        <v>18</v>
      </c>
      <c r="I1915" s="22">
        <v>2023.0</v>
      </c>
      <c r="J1915" s="16" t="str">
        <f>IFERROR(__xludf.DUMMYFUNCTION("FILTER('CLASFICACIÓN'!$F$3:$F5618,'CLASFICACIÓN'!$G$3:$G5618=M1915)"),"LOS 3 AÑOS")</f>
        <v>LOS 3 AÑOS</v>
      </c>
      <c r="K1915" s="16"/>
      <c r="L1915" s="14" t="s">
        <v>130</v>
      </c>
      <c r="M1915" s="16" t="str">
        <f t="shared" si="1"/>
        <v>14144 SANTA ROSA4 Primaria</v>
      </c>
      <c r="N1915" s="17"/>
      <c r="O1915" s="17"/>
      <c r="P1915" s="17"/>
      <c r="Q1915" s="17"/>
      <c r="R1915" s="17"/>
      <c r="S1915" s="17"/>
      <c r="T1915" s="17"/>
    </row>
    <row r="1916">
      <c r="A1916" s="21">
        <v>719.0</v>
      </c>
      <c r="B1916" s="20" t="s">
        <v>48</v>
      </c>
      <c r="C1916" s="20" t="s">
        <v>14</v>
      </c>
      <c r="D1916" s="20" t="s">
        <v>20</v>
      </c>
      <c r="E1916" s="12" t="str">
        <f>IFERROR(__xludf.DUMMYFUNCTION("FILTER(colegios!$B$2:$B5618,colegios!$A$2:$A5618=L1916)"),"14144 SANTA ROSA")</f>
        <v>14144 SANTA ROSA</v>
      </c>
      <c r="F1916" s="14" t="s">
        <v>16</v>
      </c>
      <c r="G1916" s="20" t="s">
        <v>17</v>
      </c>
      <c r="H1916" s="14" t="s">
        <v>24</v>
      </c>
      <c r="I1916" s="22">
        <v>2023.0</v>
      </c>
      <c r="J1916" s="16" t="str">
        <f>IFERROR(__xludf.DUMMYFUNCTION("FILTER('CLASFICACIÓN'!$F$3:$F5618,'CLASFICACIÓN'!$G$3:$G5618=M1916)"),"LOS 3 AÑOS")</f>
        <v>LOS 3 AÑOS</v>
      </c>
      <c r="K1916" s="16"/>
      <c r="L1916" s="14" t="s">
        <v>130</v>
      </c>
      <c r="M1916" s="16" t="str">
        <f t="shared" si="1"/>
        <v>14144 SANTA ROSA4 Primaria</v>
      </c>
      <c r="N1916" s="17"/>
      <c r="O1916" s="17"/>
      <c r="P1916" s="17"/>
      <c r="Q1916" s="17"/>
      <c r="R1916" s="17"/>
      <c r="S1916" s="17"/>
      <c r="T1916" s="17"/>
    </row>
    <row r="1917">
      <c r="A1917" s="21">
        <v>720.0</v>
      </c>
      <c r="B1917" s="20" t="s">
        <v>48</v>
      </c>
      <c r="C1917" s="20" t="s">
        <v>14</v>
      </c>
      <c r="D1917" s="20" t="s">
        <v>20</v>
      </c>
      <c r="E1917" s="12" t="str">
        <f>IFERROR(__xludf.DUMMYFUNCTION("FILTER(colegios!$B$2:$B5618,colegios!$A$2:$A5618=L1917)"),"14144 SANTA ROSA")</f>
        <v>14144 SANTA ROSA</v>
      </c>
      <c r="F1917" s="14" t="s">
        <v>16</v>
      </c>
      <c r="G1917" s="20" t="s">
        <v>17</v>
      </c>
      <c r="H1917" s="14" t="s">
        <v>18</v>
      </c>
      <c r="I1917" s="22">
        <v>2023.0</v>
      </c>
      <c r="J1917" s="16" t="str">
        <f>IFERROR(__xludf.DUMMYFUNCTION("FILTER('CLASFICACIÓN'!$F$3:$F5618,'CLASFICACIÓN'!$G$3:$G5618=M1917)"),"LOS 3 AÑOS")</f>
        <v>LOS 3 AÑOS</v>
      </c>
      <c r="K1917" s="16"/>
      <c r="L1917" s="14" t="s">
        <v>130</v>
      </c>
      <c r="M1917" s="16" t="str">
        <f t="shared" si="1"/>
        <v>14144 SANTA ROSA4 Primaria</v>
      </c>
      <c r="N1917" s="17"/>
      <c r="O1917" s="17"/>
      <c r="P1917" s="17"/>
      <c r="Q1917" s="17"/>
      <c r="R1917" s="17"/>
      <c r="S1917" s="17"/>
      <c r="T1917" s="17"/>
    </row>
    <row r="1918">
      <c r="A1918" s="21">
        <v>721.0</v>
      </c>
      <c r="B1918" s="20" t="s">
        <v>48</v>
      </c>
      <c r="C1918" s="20" t="s">
        <v>14</v>
      </c>
      <c r="D1918" s="20" t="s">
        <v>20</v>
      </c>
      <c r="E1918" s="12" t="str">
        <f>IFERROR(__xludf.DUMMYFUNCTION("FILTER(colegios!$B$2:$B5618,colegios!$A$2:$A5618=L1918)"),"14144 SANTA ROSA")</f>
        <v>14144 SANTA ROSA</v>
      </c>
      <c r="F1918" s="14" t="s">
        <v>16</v>
      </c>
      <c r="G1918" s="20" t="s">
        <v>21</v>
      </c>
      <c r="H1918" s="14" t="s">
        <v>24</v>
      </c>
      <c r="I1918" s="22">
        <v>2023.0</v>
      </c>
      <c r="J1918" s="16" t="str">
        <f>IFERROR(__xludf.DUMMYFUNCTION("FILTER('CLASFICACIÓN'!$F$3:$F5618,'CLASFICACIÓN'!$G$3:$G5618=M1918)"),"LOS 3 AÑOS")</f>
        <v>LOS 3 AÑOS</v>
      </c>
      <c r="K1918" s="16"/>
      <c r="L1918" s="14" t="s">
        <v>130</v>
      </c>
      <c r="M1918" s="16" t="str">
        <f t="shared" si="1"/>
        <v>14144 SANTA ROSA4 Primaria</v>
      </c>
      <c r="N1918" s="17"/>
      <c r="O1918" s="17"/>
      <c r="P1918" s="17"/>
      <c r="Q1918" s="17"/>
      <c r="R1918" s="17"/>
      <c r="S1918" s="17"/>
      <c r="T1918" s="17"/>
    </row>
    <row r="1919">
      <c r="A1919" s="21">
        <v>722.0</v>
      </c>
      <c r="B1919" s="20" t="s">
        <v>48</v>
      </c>
      <c r="C1919" s="20" t="s">
        <v>14</v>
      </c>
      <c r="D1919" s="20" t="s">
        <v>20</v>
      </c>
      <c r="E1919" s="12" t="str">
        <f>IFERROR(__xludf.DUMMYFUNCTION("FILTER(colegios!$B$2:$B5618,colegios!$A$2:$A5618=L1919)"),"14144 SANTA ROSA")</f>
        <v>14144 SANTA ROSA</v>
      </c>
      <c r="F1919" s="14" t="s">
        <v>16</v>
      </c>
      <c r="G1919" s="20" t="s">
        <v>21</v>
      </c>
      <c r="H1919" s="14" t="s">
        <v>18</v>
      </c>
      <c r="I1919" s="22">
        <v>2023.0</v>
      </c>
      <c r="J1919" s="16" t="str">
        <f>IFERROR(__xludf.DUMMYFUNCTION("FILTER('CLASFICACIÓN'!$F$3:$F5618,'CLASFICACIÓN'!$G$3:$G5618=M1919)"),"LOS 3 AÑOS")</f>
        <v>LOS 3 AÑOS</v>
      </c>
      <c r="K1919" s="16"/>
      <c r="L1919" s="14" t="s">
        <v>130</v>
      </c>
      <c r="M1919" s="16" t="str">
        <f t="shared" si="1"/>
        <v>14144 SANTA ROSA4 Primaria</v>
      </c>
      <c r="N1919" s="17"/>
      <c r="O1919" s="17"/>
      <c r="P1919" s="17"/>
      <c r="Q1919" s="17"/>
      <c r="R1919" s="17"/>
      <c r="S1919" s="17"/>
      <c r="T1919" s="17"/>
    </row>
    <row r="1920">
      <c r="A1920" s="21">
        <v>723.0</v>
      </c>
      <c r="B1920" s="20" t="s">
        <v>48</v>
      </c>
      <c r="C1920" s="20" t="s">
        <v>14</v>
      </c>
      <c r="D1920" s="20" t="s">
        <v>20</v>
      </c>
      <c r="E1920" s="12" t="str">
        <f>IFERROR(__xludf.DUMMYFUNCTION("FILTER(colegios!$B$2:$B5618,colegios!$A$2:$A5618=L1920)"),"14144 SANTA ROSA")</f>
        <v>14144 SANTA ROSA</v>
      </c>
      <c r="F1920" s="14" t="s">
        <v>16</v>
      </c>
      <c r="G1920" s="20" t="s">
        <v>21</v>
      </c>
      <c r="H1920" s="14" t="s">
        <v>24</v>
      </c>
      <c r="I1920" s="22">
        <v>2023.0</v>
      </c>
      <c r="J1920" s="16" t="str">
        <f>IFERROR(__xludf.DUMMYFUNCTION("FILTER('CLASFICACIÓN'!$F$3:$F5618,'CLASFICACIÓN'!$G$3:$G5618=M1920)"),"LOS 3 AÑOS")</f>
        <v>LOS 3 AÑOS</v>
      </c>
      <c r="K1920" s="16"/>
      <c r="L1920" s="14" t="s">
        <v>130</v>
      </c>
      <c r="M1920" s="16" t="str">
        <f t="shared" si="1"/>
        <v>14144 SANTA ROSA4 Primaria</v>
      </c>
      <c r="N1920" s="17"/>
      <c r="O1920" s="17"/>
      <c r="P1920" s="17"/>
      <c r="Q1920" s="17"/>
      <c r="R1920" s="17"/>
      <c r="S1920" s="17"/>
      <c r="T1920" s="17"/>
    </row>
    <row r="1921">
      <c r="A1921" s="21">
        <v>724.0</v>
      </c>
      <c r="B1921" s="20" t="s">
        <v>48</v>
      </c>
      <c r="C1921" s="20" t="s">
        <v>14</v>
      </c>
      <c r="D1921" s="20" t="s">
        <v>20</v>
      </c>
      <c r="E1921" s="12" t="str">
        <f>IFERROR(__xludf.DUMMYFUNCTION("FILTER(colegios!$B$2:$B5618,colegios!$A$2:$A5618=L1921)"),"14144 SANTA ROSA")</f>
        <v>14144 SANTA ROSA</v>
      </c>
      <c r="F1921" s="14" t="s">
        <v>16</v>
      </c>
      <c r="G1921" s="20" t="s">
        <v>17</v>
      </c>
      <c r="H1921" s="14" t="s">
        <v>24</v>
      </c>
      <c r="I1921" s="22">
        <v>2023.0</v>
      </c>
      <c r="J1921" s="16" t="str">
        <f>IFERROR(__xludf.DUMMYFUNCTION("FILTER('CLASFICACIÓN'!$F$3:$F5618,'CLASFICACIÓN'!$G$3:$G5618=M1921)"),"LOS 3 AÑOS")</f>
        <v>LOS 3 AÑOS</v>
      </c>
      <c r="K1921" s="16"/>
      <c r="L1921" s="14" t="s">
        <v>130</v>
      </c>
      <c r="M1921" s="16" t="str">
        <f t="shared" si="1"/>
        <v>14144 SANTA ROSA4 Primaria</v>
      </c>
      <c r="N1921" s="17"/>
      <c r="O1921" s="17"/>
      <c r="P1921" s="17"/>
      <c r="Q1921" s="17"/>
      <c r="R1921" s="17"/>
      <c r="S1921" s="17"/>
      <c r="T1921" s="17"/>
    </row>
    <row r="1922">
      <c r="A1922" s="21">
        <v>725.0</v>
      </c>
      <c r="B1922" s="20" t="s">
        <v>48</v>
      </c>
      <c r="C1922" s="20" t="s">
        <v>14</v>
      </c>
      <c r="D1922" s="20" t="s">
        <v>20</v>
      </c>
      <c r="E1922" s="12" t="str">
        <f>IFERROR(__xludf.DUMMYFUNCTION("FILTER(colegios!$B$2:$B5618,colegios!$A$2:$A5618=L1922)"),"14144 SANTA ROSA")</f>
        <v>14144 SANTA ROSA</v>
      </c>
      <c r="F1922" s="14" t="s">
        <v>16</v>
      </c>
      <c r="G1922" s="20" t="s">
        <v>21</v>
      </c>
      <c r="H1922" s="14" t="s">
        <v>18</v>
      </c>
      <c r="I1922" s="22">
        <v>2023.0</v>
      </c>
      <c r="J1922" s="16" t="str">
        <f>IFERROR(__xludf.DUMMYFUNCTION("FILTER('CLASFICACIÓN'!$F$3:$F5618,'CLASFICACIÓN'!$G$3:$G5618=M1922)"),"LOS 3 AÑOS")</f>
        <v>LOS 3 AÑOS</v>
      </c>
      <c r="K1922" s="16"/>
      <c r="L1922" s="14" t="s">
        <v>130</v>
      </c>
      <c r="M1922" s="16" t="str">
        <f t="shared" si="1"/>
        <v>14144 SANTA ROSA4 Primaria</v>
      </c>
      <c r="N1922" s="17"/>
      <c r="O1922" s="17"/>
      <c r="P1922" s="17"/>
      <c r="Q1922" s="17"/>
      <c r="R1922" s="17"/>
      <c r="S1922" s="17"/>
      <c r="T1922" s="17"/>
    </row>
    <row r="1923">
      <c r="A1923" s="21">
        <v>726.0</v>
      </c>
      <c r="B1923" s="20" t="s">
        <v>48</v>
      </c>
      <c r="C1923" s="20" t="s">
        <v>14</v>
      </c>
      <c r="D1923" s="20" t="s">
        <v>20</v>
      </c>
      <c r="E1923" s="12" t="str">
        <f>IFERROR(__xludf.DUMMYFUNCTION("FILTER(colegios!$B$2:$B5618,colegios!$A$2:$A5618=L1923)"),"14144 SANTA ROSA")</f>
        <v>14144 SANTA ROSA</v>
      </c>
      <c r="F1923" s="14" t="s">
        <v>16</v>
      </c>
      <c r="G1923" s="20" t="s">
        <v>21</v>
      </c>
      <c r="H1923" s="14" t="s">
        <v>18</v>
      </c>
      <c r="I1923" s="22">
        <v>2023.0</v>
      </c>
      <c r="J1923" s="16" t="str">
        <f>IFERROR(__xludf.DUMMYFUNCTION("FILTER('CLASFICACIÓN'!$F$3:$F5618,'CLASFICACIÓN'!$G$3:$G5618=M1923)"),"LOS 3 AÑOS")</f>
        <v>LOS 3 AÑOS</v>
      </c>
      <c r="K1923" s="16"/>
      <c r="L1923" s="14" t="s">
        <v>130</v>
      </c>
      <c r="M1923" s="16" t="str">
        <f t="shared" si="1"/>
        <v>14144 SANTA ROSA4 Primaria</v>
      </c>
      <c r="N1923" s="17"/>
      <c r="O1923" s="17"/>
      <c r="P1923" s="17"/>
      <c r="Q1923" s="17"/>
      <c r="R1923" s="17"/>
      <c r="S1923" s="17"/>
      <c r="T1923" s="17"/>
    </row>
    <row r="1924">
      <c r="A1924" s="21">
        <v>727.0</v>
      </c>
      <c r="B1924" s="20" t="s">
        <v>48</v>
      </c>
      <c r="C1924" s="20" t="s">
        <v>14</v>
      </c>
      <c r="D1924" s="20" t="s">
        <v>20</v>
      </c>
      <c r="E1924" s="12" t="str">
        <f>IFERROR(__xludf.DUMMYFUNCTION("FILTER(colegios!$B$2:$B5618,colegios!$A$2:$A5618=L1924)"),"14144 SANTA ROSA")</f>
        <v>14144 SANTA ROSA</v>
      </c>
      <c r="F1924" s="14" t="s">
        <v>16</v>
      </c>
      <c r="G1924" s="20" t="s">
        <v>21</v>
      </c>
      <c r="H1924" s="14" t="s">
        <v>18</v>
      </c>
      <c r="I1924" s="22">
        <v>2023.0</v>
      </c>
      <c r="J1924" s="16" t="str">
        <f>IFERROR(__xludf.DUMMYFUNCTION("FILTER('CLASFICACIÓN'!$F$3:$F5618,'CLASFICACIÓN'!$G$3:$G5618=M1924)"),"LOS 3 AÑOS")</f>
        <v>LOS 3 AÑOS</v>
      </c>
      <c r="K1924" s="16"/>
      <c r="L1924" s="14" t="s">
        <v>130</v>
      </c>
      <c r="M1924" s="16" t="str">
        <f t="shared" si="1"/>
        <v>14144 SANTA ROSA4 Primaria</v>
      </c>
      <c r="N1924" s="17"/>
      <c r="O1924" s="17"/>
      <c r="P1924" s="17"/>
      <c r="Q1924" s="17"/>
      <c r="R1924" s="17"/>
      <c r="S1924" s="17"/>
      <c r="T1924" s="17"/>
    </row>
    <row r="1925">
      <c r="A1925" s="21">
        <v>728.0</v>
      </c>
      <c r="B1925" s="20" t="s">
        <v>48</v>
      </c>
      <c r="C1925" s="20" t="s">
        <v>14</v>
      </c>
      <c r="D1925" s="20" t="s">
        <v>20</v>
      </c>
      <c r="E1925" s="12" t="str">
        <f>IFERROR(__xludf.DUMMYFUNCTION("FILTER(colegios!$B$2:$B5618,colegios!$A$2:$A5618=L1925)"),"14144 SANTA ROSA")</f>
        <v>14144 SANTA ROSA</v>
      </c>
      <c r="F1925" s="14" t="s">
        <v>16</v>
      </c>
      <c r="G1925" s="20" t="s">
        <v>17</v>
      </c>
      <c r="H1925" s="14" t="s">
        <v>18</v>
      </c>
      <c r="I1925" s="22">
        <v>2023.0</v>
      </c>
      <c r="J1925" s="16" t="str">
        <f>IFERROR(__xludf.DUMMYFUNCTION("FILTER('CLASFICACIÓN'!$F$3:$F5618,'CLASFICACIÓN'!$G$3:$G5618=M1925)"),"LOS 3 AÑOS")</f>
        <v>LOS 3 AÑOS</v>
      </c>
      <c r="K1925" s="16"/>
      <c r="L1925" s="14" t="s">
        <v>130</v>
      </c>
      <c r="M1925" s="16" t="str">
        <f t="shared" si="1"/>
        <v>14144 SANTA ROSA4 Primaria</v>
      </c>
      <c r="N1925" s="17"/>
      <c r="O1925" s="17"/>
      <c r="P1925" s="17"/>
      <c r="Q1925" s="17"/>
      <c r="R1925" s="17"/>
      <c r="S1925" s="17"/>
      <c r="T1925" s="17"/>
    </row>
    <row r="1926">
      <c r="A1926" s="21">
        <v>729.0</v>
      </c>
      <c r="B1926" s="20" t="s">
        <v>48</v>
      </c>
      <c r="C1926" s="20" t="s">
        <v>14</v>
      </c>
      <c r="D1926" s="20" t="s">
        <v>20</v>
      </c>
      <c r="E1926" s="12" t="str">
        <f>IFERROR(__xludf.DUMMYFUNCTION("FILTER(colegios!$B$2:$B5618,colegios!$A$2:$A5618=L1926)"),"14144 SANTA ROSA")</f>
        <v>14144 SANTA ROSA</v>
      </c>
      <c r="F1926" s="14" t="s">
        <v>16</v>
      </c>
      <c r="G1926" s="20" t="s">
        <v>17</v>
      </c>
      <c r="H1926" s="14" t="s">
        <v>24</v>
      </c>
      <c r="I1926" s="22">
        <v>2023.0</v>
      </c>
      <c r="J1926" s="16" t="str">
        <f>IFERROR(__xludf.DUMMYFUNCTION("FILTER('CLASFICACIÓN'!$F$3:$F5618,'CLASFICACIÓN'!$G$3:$G5618=M1926)"),"LOS 3 AÑOS")</f>
        <v>LOS 3 AÑOS</v>
      </c>
      <c r="K1926" s="16"/>
      <c r="L1926" s="14" t="s">
        <v>130</v>
      </c>
      <c r="M1926" s="16" t="str">
        <f t="shared" si="1"/>
        <v>14144 SANTA ROSA4 Primaria</v>
      </c>
      <c r="N1926" s="17"/>
      <c r="O1926" s="17"/>
      <c r="P1926" s="17"/>
      <c r="Q1926" s="17"/>
      <c r="R1926" s="17"/>
      <c r="S1926" s="17"/>
      <c r="T1926" s="17"/>
    </row>
    <row r="1927">
      <c r="A1927" s="21">
        <v>730.0</v>
      </c>
      <c r="B1927" s="20" t="s">
        <v>48</v>
      </c>
      <c r="C1927" s="20" t="s">
        <v>14</v>
      </c>
      <c r="D1927" s="20" t="s">
        <v>20</v>
      </c>
      <c r="E1927" s="12" t="str">
        <f>IFERROR(__xludf.DUMMYFUNCTION("FILTER(colegios!$B$2:$B5618,colegios!$A$2:$A5618=L1927)"),"14144 SANTA ROSA")</f>
        <v>14144 SANTA ROSA</v>
      </c>
      <c r="F1927" s="14" t="s">
        <v>16</v>
      </c>
      <c r="G1927" s="20" t="s">
        <v>21</v>
      </c>
      <c r="H1927" s="14" t="s">
        <v>18</v>
      </c>
      <c r="I1927" s="22">
        <v>2023.0</v>
      </c>
      <c r="J1927" s="16" t="str">
        <f>IFERROR(__xludf.DUMMYFUNCTION("FILTER('CLASFICACIÓN'!$F$3:$F5618,'CLASFICACIÓN'!$G$3:$G5618=M1927)"),"LOS 3 AÑOS")</f>
        <v>LOS 3 AÑOS</v>
      </c>
      <c r="K1927" s="16"/>
      <c r="L1927" s="14" t="s">
        <v>130</v>
      </c>
      <c r="M1927" s="16" t="str">
        <f t="shared" si="1"/>
        <v>14144 SANTA ROSA4 Primaria</v>
      </c>
      <c r="N1927" s="17"/>
      <c r="O1927" s="17"/>
      <c r="P1927" s="17"/>
      <c r="Q1927" s="17"/>
      <c r="R1927" s="17"/>
      <c r="S1927" s="17"/>
      <c r="T1927" s="17"/>
    </row>
    <row r="1928">
      <c r="A1928" s="21">
        <v>731.0</v>
      </c>
      <c r="B1928" s="20" t="s">
        <v>48</v>
      </c>
      <c r="C1928" s="20" t="s">
        <v>14</v>
      </c>
      <c r="D1928" s="20" t="s">
        <v>20</v>
      </c>
      <c r="E1928" s="12" t="str">
        <f>IFERROR(__xludf.DUMMYFUNCTION("FILTER(colegios!$B$2:$B5618,colegios!$A$2:$A5618=L1928)"),"14144 SANTA ROSA")</f>
        <v>14144 SANTA ROSA</v>
      </c>
      <c r="F1928" s="14" t="s">
        <v>16</v>
      </c>
      <c r="G1928" s="20" t="s">
        <v>17</v>
      </c>
      <c r="H1928" s="14" t="s">
        <v>24</v>
      </c>
      <c r="I1928" s="22">
        <v>2023.0</v>
      </c>
      <c r="J1928" s="16" t="str">
        <f>IFERROR(__xludf.DUMMYFUNCTION("FILTER('CLASFICACIÓN'!$F$3:$F5618,'CLASFICACIÓN'!$G$3:$G5618=M1928)"),"LOS 3 AÑOS")</f>
        <v>LOS 3 AÑOS</v>
      </c>
      <c r="K1928" s="16"/>
      <c r="L1928" s="14" t="s">
        <v>130</v>
      </c>
      <c r="M1928" s="16" t="str">
        <f t="shared" si="1"/>
        <v>14144 SANTA ROSA4 Primaria</v>
      </c>
      <c r="N1928" s="17"/>
      <c r="O1928" s="17"/>
      <c r="P1928" s="17"/>
      <c r="Q1928" s="17"/>
      <c r="R1928" s="17"/>
      <c r="S1928" s="17"/>
      <c r="T1928" s="17"/>
    </row>
    <row r="1929">
      <c r="A1929" s="21">
        <v>732.0</v>
      </c>
      <c r="B1929" s="20" t="s">
        <v>48</v>
      </c>
      <c r="C1929" s="20" t="s">
        <v>14</v>
      </c>
      <c r="D1929" s="20" t="s">
        <v>20</v>
      </c>
      <c r="E1929" s="12" t="str">
        <f>IFERROR(__xludf.DUMMYFUNCTION("FILTER(colegios!$B$2:$B5618,colegios!$A$2:$A5618=L1929)"),"14144 SANTA ROSA")</f>
        <v>14144 SANTA ROSA</v>
      </c>
      <c r="F1929" s="14" t="s">
        <v>16</v>
      </c>
      <c r="G1929" s="20" t="s">
        <v>21</v>
      </c>
      <c r="H1929" s="14" t="s">
        <v>18</v>
      </c>
      <c r="I1929" s="22">
        <v>2023.0</v>
      </c>
      <c r="J1929" s="16" t="str">
        <f>IFERROR(__xludf.DUMMYFUNCTION("FILTER('CLASFICACIÓN'!$F$3:$F5618,'CLASFICACIÓN'!$G$3:$G5618=M1929)"),"LOS 3 AÑOS")</f>
        <v>LOS 3 AÑOS</v>
      </c>
      <c r="K1929" s="16"/>
      <c r="L1929" s="14" t="s">
        <v>130</v>
      </c>
      <c r="M1929" s="16" t="str">
        <f t="shared" si="1"/>
        <v>14144 SANTA ROSA4 Primaria</v>
      </c>
      <c r="N1929" s="17"/>
      <c r="O1929" s="17"/>
      <c r="P1929" s="17"/>
      <c r="Q1929" s="17"/>
      <c r="R1929" s="17"/>
      <c r="S1929" s="17"/>
      <c r="T1929" s="17"/>
    </row>
    <row r="1930">
      <c r="A1930" s="21">
        <v>733.0</v>
      </c>
      <c r="B1930" s="20" t="s">
        <v>48</v>
      </c>
      <c r="C1930" s="20" t="s">
        <v>14</v>
      </c>
      <c r="D1930" s="20" t="s">
        <v>20</v>
      </c>
      <c r="E1930" s="12" t="str">
        <f>IFERROR(__xludf.DUMMYFUNCTION("FILTER(colegios!$B$2:$B5618,colegios!$A$2:$A5618=L1930)"),"14144 SANTA ROSA")</f>
        <v>14144 SANTA ROSA</v>
      </c>
      <c r="F1930" s="14" t="s">
        <v>16</v>
      </c>
      <c r="G1930" s="20" t="s">
        <v>17</v>
      </c>
      <c r="H1930" s="14" t="s">
        <v>24</v>
      </c>
      <c r="I1930" s="22">
        <v>2023.0</v>
      </c>
      <c r="J1930" s="16" t="str">
        <f>IFERROR(__xludf.DUMMYFUNCTION("FILTER('CLASFICACIÓN'!$F$3:$F5618,'CLASFICACIÓN'!$G$3:$G5618=M1930)"),"LOS 3 AÑOS")</f>
        <v>LOS 3 AÑOS</v>
      </c>
      <c r="K1930" s="16"/>
      <c r="L1930" s="14" t="s">
        <v>130</v>
      </c>
      <c r="M1930" s="16" t="str">
        <f t="shared" si="1"/>
        <v>14144 SANTA ROSA4 Primaria</v>
      </c>
      <c r="N1930" s="17"/>
      <c r="O1930" s="17"/>
      <c r="P1930" s="17"/>
      <c r="Q1930" s="17"/>
      <c r="R1930" s="17"/>
      <c r="S1930" s="17"/>
      <c r="T1930" s="17"/>
    </row>
    <row r="1931">
      <c r="A1931" s="21">
        <v>734.0</v>
      </c>
      <c r="B1931" s="20" t="s">
        <v>48</v>
      </c>
      <c r="C1931" s="20" t="s">
        <v>14</v>
      </c>
      <c r="D1931" s="20" t="s">
        <v>20</v>
      </c>
      <c r="E1931" s="12" t="str">
        <f>IFERROR(__xludf.DUMMYFUNCTION("FILTER(colegios!$B$2:$B5618,colegios!$A$2:$A5618=L1931)"),"14144 SANTA ROSA")</f>
        <v>14144 SANTA ROSA</v>
      </c>
      <c r="F1931" s="14" t="s">
        <v>16</v>
      </c>
      <c r="G1931" s="20" t="s">
        <v>21</v>
      </c>
      <c r="H1931" s="14" t="s">
        <v>18</v>
      </c>
      <c r="I1931" s="22">
        <v>2023.0</v>
      </c>
      <c r="J1931" s="16" t="str">
        <f>IFERROR(__xludf.DUMMYFUNCTION("FILTER('CLASFICACIÓN'!$F$3:$F5618,'CLASFICACIÓN'!$G$3:$G5618=M1931)"),"LOS 3 AÑOS")</f>
        <v>LOS 3 AÑOS</v>
      </c>
      <c r="K1931" s="16"/>
      <c r="L1931" s="14" t="s">
        <v>130</v>
      </c>
      <c r="M1931" s="16" t="str">
        <f t="shared" si="1"/>
        <v>14144 SANTA ROSA4 Primaria</v>
      </c>
      <c r="N1931" s="17"/>
      <c r="O1931" s="17"/>
      <c r="P1931" s="17"/>
      <c r="Q1931" s="17"/>
      <c r="R1931" s="17"/>
      <c r="S1931" s="17"/>
      <c r="T1931" s="17"/>
    </row>
    <row r="1932">
      <c r="A1932" s="21">
        <v>735.0</v>
      </c>
      <c r="B1932" s="20" t="s">
        <v>48</v>
      </c>
      <c r="C1932" s="20" t="s">
        <v>14</v>
      </c>
      <c r="D1932" s="20" t="s">
        <v>20</v>
      </c>
      <c r="E1932" s="12" t="str">
        <f>IFERROR(__xludf.DUMMYFUNCTION("FILTER(colegios!$B$2:$B5618,colegios!$A$2:$A5618=L1932)"),"14144 SANTA ROSA")</f>
        <v>14144 SANTA ROSA</v>
      </c>
      <c r="F1932" s="14" t="s">
        <v>16</v>
      </c>
      <c r="G1932" s="20" t="s">
        <v>21</v>
      </c>
      <c r="H1932" s="14" t="s">
        <v>24</v>
      </c>
      <c r="I1932" s="22">
        <v>2023.0</v>
      </c>
      <c r="J1932" s="16" t="str">
        <f>IFERROR(__xludf.DUMMYFUNCTION("FILTER('CLASFICACIÓN'!$F$3:$F5618,'CLASFICACIÓN'!$G$3:$G5618=M1932)"),"LOS 3 AÑOS")</f>
        <v>LOS 3 AÑOS</v>
      </c>
      <c r="K1932" s="16"/>
      <c r="L1932" s="14" t="s">
        <v>130</v>
      </c>
      <c r="M1932" s="16" t="str">
        <f t="shared" si="1"/>
        <v>14144 SANTA ROSA4 Primaria</v>
      </c>
      <c r="N1932" s="17"/>
      <c r="O1932" s="17"/>
      <c r="P1932" s="17"/>
      <c r="Q1932" s="17"/>
      <c r="R1932" s="17"/>
      <c r="S1932" s="17"/>
      <c r="T1932" s="17"/>
    </row>
    <row r="1933">
      <c r="A1933" s="21">
        <v>736.0</v>
      </c>
      <c r="B1933" s="20" t="s">
        <v>48</v>
      </c>
      <c r="C1933" s="20" t="s">
        <v>14</v>
      </c>
      <c r="D1933" s="20" t="s">
        <v>20</v>
      </c>
      <c r="E1933" s="12" t="str">
        <f>IFERROR(__xludf.DUMMYFUNCTION("FILTER(colegios!$B$2:$B5618,colegios!$A$2:$A5618=L1933)"),"14144 SANTA ROSA")</f>
        <v>14144 SANTA ROSA</v>
      </c>
      <c r="F1933" s="14" t="s">
        <v>16</v>
      </c>
      <c r="G1933" s="20" t="s">
        <v>21</v>
      </c>
      <c r="H1933" s="14" t="s">
        <v>18</v>
      </c>
      <c r="I1933" s="22">
        <v>2023.0</v>
      </c>
      <c r="J1933" s="16" t="str">
        <f>IFERROR(__xludf.DUMMYFUNCTION("FILTER('CLASFICACIÓN'!$F$3:$F5618,'CLASFICACIÓN'!$G$3:$G5618=M1933)"),"LOS 3 AÑOS")</f>
        <v>LOS 3 AÑOS</v>
      </c>
      <c r="K1933" s="16"/>
      <c r="L1933" s="14" t="s">
        <v>130</v>
      </c>
      <c r="M1933" s="16" t="str">
        <f t="shared" si="1"/>
        <v>14144 SANTA ROSA4 Primaria</v>
      </c>
      <c r="N1933" s="17"/>
      <c r="O1933" s="17"/>
      <c r="P1933" s="17"/>
      <c r="Q1933" s="17"/>
      <c r="R1933" s="17"/>
      <c r="S1933" s="17"/>
      <c r="T1933" s="17"/>
    </row>
    <row r="1934">
      <c r="A1934" s="21">
        <v>737.0</v>
      </c>
      <c r="B1934" s="20" t="s">
        <v>48</v>
      </c>
      <c r="C1934" s="20" t="s">
        <v>14</v>
      </c>
      <c r="D1934" s="20" t="s">
        <v>20</v>
      </c>
      <c r="E1934" s="12" t="str">
        <f>IFERROR(__xludf.DUMMYFUNCTION("FILTER(colegios!$B$2:$B5618,colegios!$A$2:$A5618=L1934)"),"14144 SANTA ROSA")</f>
        <v>14144 SANTA ROSA</v>
      </c>
      <c r="F1934" s="14" t="s">
        <v>16</v>
      </c>
      <c r="G1934" s="20" t="s">
        <v>21</v>
      </c>
      <c r="H1934" s="14" t="s">
        <v>18</v>
      </c>
      <c r="I1934" s="22">
        <v>2023.0</v>
      </c>
      <c r="J1934" s="16" t="str">
        <f>IFERROR(__xludf.DUMMYFUNCTION("FILTER('CLASFICACIÓN'!$F$3:$F5618,'CLASFICACIÓN'!$G$3:$G5618=M1934)"),"LOS 3 AÑOS")</f>
        <v>LOS 3 AÑOS</v>
      </c>
      <c r="K1934" s="16"/>
      <c r="L1934" s="14" t="s">
        <v>130</v>
      </c>
      <c r="M1934" s="16" t="str">
        <f t="shared" si="1"/>
        <v>14144 SANTA ROSA4 Primaria</v>
      </c>
      <c r="N1934" s="17"/>
      <c r="O1934" s="17"/>
      <c r="P1934" s="17"/>
      <c r="Q1934" s="17"/>
      <c r="R1934" s="17"/>
      <c r="S1934" s="17"/>
      <c r="T1934" s="17"/>
    </row>
    <row r="1935">
      <c r="A1935" s="21">
        <v>738.0</v>
      </c>
      <c r="B1935" s="20" t="s">
        <v>48</v>
      </c>
      <c r="C1935" s="20" t="s">
        <v>14</v>
      </c>
      <c r="D1935" s="20" t="s">
        <v>20</v>
      </c>
      <c r="E1935" s="12" t="str">
        <f>IFERROR(__xludf.DUMMYFUNCTION("FILTER(colegios!$B$2:$B5618,colegios!$A$2:$A5618=L1935)"),"14144 SANTA ROSA")</f>
        <v>14144 SANTA ROSA</v>
      </c>
      <c r="F1935" s="14" t="s">
        <v>16</v>
      </c>
      <c r="G1935" s="20" t="s">
        <v>17</v>
      </c>
      <c r="H1935" s="14" t="s">
        <v>24</v>
      </c>
      <c r="I1935" s="22">
        <v>2023.0</v>
      </c>
      <c r="J1935" s="16" t="str">
        <f>IFERROR(__xludf.DUMMYFUNCTION("FILTER('CLASFICACIÓN'!$F$3:$F5618,'CLASFICACIÓN'!$G$3:$G5618=M1935)"),"LOS 3 AÑOS")</f>
        <v>LOS 3 AÑOS</v>
      </c>
      <c r="K1935" s="16"/>
      <c r="L1935" s="14" t="s">
        <v>130</v>
      </c>
      <c r="M1935" s="16" t="str">
        <f t="shared" si="1"/>
        <v>14144 SANTA ROSA4 Primaria</v>
      </c>
      <c r="N1935" s="17"/>
      <c r="O1935" s="17"/>
      <c r="P1935" s="17"/>
      <c r="Q1935" s="17"/>
      <c r="R1935" s="17"/>
      <c r="S1935" s="17"/>
      <c r="T1935" s="17"/>
    </row>
    <row r="1936">
      <c r="A1936" s="21">
        <v>739.0</v>
      </c>
      <c r="B1936" s="20" t="s">
        <v>48</v>
      </c>
      <c r="C1936" s="20" t="s">
        <v>14</v>
      </c>
      <c r="D1936" s="20" t="s">
        <v>20</v>
      </c>
      <c r="E1936" s="12" t="str">
        <f>IFERROR(__xludf.DUMMYFUNCTION("FILTER(colegios!$B$2:$B5618,colegios!$A$2:$A5618=L1936)"),"14144 SANTA ROSA")</f>
        <v>14144 SANTA ROSA</v>
      </c>
      <c r="F1936" s="14" t="s">
        <v>16</v>
      </c>
      <c r="G1936" s="20" t="s">
        <v>17</v>
      </c>
      <c r="H1936" s="14" t="s">
        <v>18</v>
      </c>
      <c r="I1936" s="22">
        <v>2023.0</v>
      </c>
      <c r="J1936" s="16" t="str">
        <f>IFERROR(__xludf.DUMMYFUNCTION("FILTER('CLASFICACIÓN'!$F$3:$F5618,'CLASFICACIÓN'!$G$3:$G5618=M1936)"),"LOS 3 AÑOS")</f>
        <v>LOS 3 AÑOS</v>
      </c>
      <c r="K1936" s="16"/>
      <c r="L1936" s="14" t="s">
        <v>130</v>
      </c>
      <c r="M1936" s="16" t="str">
        <f t="shared" si="1"/>
        <v>14144 SANTA ROSA4 Primaria</v>
      </c>
      <c r="N1936" s="17"/>
      <c r="O1936" s="17"/>
      <c r="P1936" s="17"/>
      <c r="Q1936" s="17"/>
      <c r="R1936" s="17"/>
      <c r="S1936" s="17"/>
      <c r="T1936" s="17"/>
    </row>
    <row r="1937">
      <c r="A1937" s="21">
        <v>740.0</v>
      </c>
      <c r="B1937" s="20" t="s">
        <v>48</v>
      </c>
      <c r="C1937" s="20" t="s">
        <v>14</v>
      </c>
      <c r="D1937" s="20" t="s">
        <v>20</v>
      </c>
      <c r="E1937" s="12" t="str">
        <f>IFERROR(__xludf.DUMMYFUNCTION("FILTER(colegios!$B$2:$B5618,colegios!$A$2:$A5618=L1937)"),"14144 SANTA ROSA")</f>
        <v>14144 SANTA ROSA</v>
      </c>
      <c r="F1937" s="14" t="s">
        <v>16</v>
      </c>
      <c r="G1937" s="20" t="s">
        <v>17</v>
      </c>
      <c r="H1937" s="14" t="s">
        <v>24</v>
      </c>
      <c r="I1937" s="22">
        <v>2023.0</v>
      </c>
      <c r="J1937" s="16" t="str">
        <f>IFERROR(__xludf.DUMMYFUNCTION("FILTER('CLASFICACIÓN'!$F$3:$F5618,'CLASFICACIÓN'!$G$3:$G5618=M1937)"),"LOS 3 AÑOS")</f>
        <v>LOS 3 AÑOS</v>
      </c>
      <c r="K1937" s="16"/>
      <c r="L1937" s="14" t="s">
        <v>130</v>
      </c>
      <c r="M1937" s="16" t="str">
        <f t="shared" si="1"/>
        <v>14144 SANTA ROSA4 Primaria</v>
      </c>
      <c r="N1937" s="17"/>
      <c r="O1937" s="17"/>
      <c r="P1937" s="17"/>
      <c r="Q1937" s="17"/>
      <c r="R1937" s="17"/>
      <c r="S1937" s="17"/>
      <c r="T1937" s="17"/>
    </row>
    <row r="1938">
      <c r="A1938" s="21">
        <v>741.0</v>
      </c>
      <c r="B1938" s="20" t="s">
        <v>48</v>
      </c>
      <c r="C1938" s="20" t="s">
        <v>14</v>
      </c>
      <c r="D1938" s="20" t="s">
        <v>20</v>
      </c>
      <c r="E1938" s="12" t="str">
        <f>IFERROR(__xludf.DUMMYFUNCTION("FILTER(colegios!$B$2:$B5618,colegios!$A$2:$A5618=L1938)"),"14144 SANTA ROSA")</f>
        <v>14144 SANTA ROSA</v>
      </c>
      <c r="F1938" s="14" t="s">
        <v>16</v>
      </c>
      <c r="G1938" s="20" t="s">
        <v>21</v>
      </c>
      <c r="H1938" s="14" t="s">
        <v>24</v>
      </c>
      <c r="I1938" s="22">
        <v>2023.0</v>
      </c>
      <c r="J1938" s="16" t="str">
        <f>IFERROR(__xludf.DUMMYFUNCTION("FILTER('CLASFICACIÓN'!$F$3:$F5618,'CLASFICACIÓN'!$G$3:$G5618=M1938)"),"LOS 3 AÑOS")</f>
        <v>LOS 3 AÑOS</v>
      </c>
      <c r="K1938" s="16"/>
      <c r="L1938" s="14" t="s">
        <v>130</v>
      </c>
      <c r="M1938" s="16" t="str">
        <f t="shared" si="1"/>
        <v>14144 SANTA ROSA4 Primaria</v>
      </c>
      <c r="N1938" s="17"/>
      <c r="O1938" s="17"/>
      <c r="P1938" s="17"/>
      <c r="Q1938" s="17"/>
      <c r="R1938" s="17"/>
      <c r="S1938" s="17"/>
      <c r="T1938" s="17"/>
    </row>
    <row r="1939">
      <c r="A1939" s="21">
        <v>742.0</v>
      </c>
      <c r="B1939" s="20" t="s">
        <v>48</v>
      </c>
      <c r="C1939" s="20" t="s">
        <v>14</v>
      </c>
      <c r="D1939" s="20" t="s">
        <v>20</v>
      </c>
      <c r="E1939" s="12" t="str">
        <f>IFERROR(__xludf.DUMMYFUNCTION("FILTER(colegios!$B$2:$B5618,colegios!$A$2:$A5618=L1939)"),"14144 SANTA ROSA")</f>
        <v>14144 SANTA ROSA</v>
      </c>
      <c r="F1939" s="14" t="s">
        <v>16</v>
      </c>
      <c r="G1939" s="20" t="s">
        <v>21</v>
      </c>
      <c r="H1939" s="14" t="s">
        <v>24</v>
      </c>
      <c r="I1939" s="22">
        <v>2023.0</v>
      </c>
      <c r="J1939" s="16" t="str">
        <f>IFERROR(__xludf.DUMMYFUNCTION("FILTER('CLASFICACIÓN'!$F$3:$F5618,'CLASFICACIÓN'!$G$3:$G5618=M1939)"),"LOS 3 AÑOS")</f>
        <v>LOS 3 AÑOS</v>
      </c>
      <c r="K1939" s="16"/>
      <c r="L1939" s="14" t="s">
        <v>130</v>
      </c>
      <c r="M1939" s="16" t="str">
        <f t="shared" si="1"/>
        <v>14144 SANTA ROSA4 Primaria</v>
      </c>
      <c r="N1939" s="17"/>
      <c r="O1939" s="17"/>
      <c r="P1939" s="17"/>
      <c r="Q1939" s="17"/>
      <c r="R1939" s="17"/>
      <c r="S1939" s="17"/>
      <c r="T1939" s="17"/>
    </row>
    <row r="1940">
      <c r="A1940" s="21">
        <v>743.0</v>
      </c>
      <c r="B1940" s="20" t="s">
        <v>48</v>
      </c>
      <c r="C1940" s="20" t="s">
        <v>14</v>
      </c>
      <c r="D1940" s="20" t="s">
        <v>20</v>
      </c>
      <c r="E1940" s="12" t="str">
        <f>IFERROR(__xludf.DUMMYFUNCTION("FILTER(colegios!$B$2:$B5618,colegios!$A$2:$A5618=L1940)"),"14144 SANTA ROSA")</f>
        <v>14144 SANTA ROSA</v>
      </c>
      <c r="F1940" s="14" t="s">
        <v>16</v>
      </c>
      <c r="G1940" s="20" t="s">
        <v>21</v>
      </c>
      <c r="H1940" s="14" t="s">
        <v>24</v>
      </c>
      <c r="I1940" s="22">
        <v>2023.0</v>
      </c>
      <c r="J1940" s="16" t="str">
        <f>IFERROR(__xludf.DUMMYFUNCTION("FILTER('CLASFICACIÓN'!$F$3:$F5618,'CLASFICACIÓN'!$G$3:$G5618=M1940)"),"LOS 3 AÑOS")</f>
        <v>LOS 3 AÑOS</v>
      </c>
      <c r="K1940" s="16"/>
      <c r="L1940" s="14" t="s">
        <v>130</v>
      </c>
      <c r="M1940" s="16" t="str">
        <f t="shared" si="1"/>
        <v>14144 SANTA ROSA4 Primaria</v>
      </c>
      <c r="N1940" s="17"/>
      <c r="O1940" s="17"/>
      <c r="P1940" s="17"/>
      <c r="Q1940" s="17"/>
      <c r="R1940" s="17"/>
      <c r="S1940" s="17"/>
      <c r="T1940" s="17"/>
    </row>
    <row r="1941">
      <c r="A1941" s="21">
        <v>744.0</v>
      </c>
      <c r="B1941" s="20" t="s">
        <v>48</v>
      </c>
      <c r="C1941" s="20" t="s">
        <v>14</v>
      </c>
      <c r="D1941" s="20" t="s">
        <v>20</v>
      </c>
      <c r="E1941" s="12" t="str">
        <f>IFERROR(__xludf.DUMMYFUNCTION("FILTER(colegios!$B$2:$B5618,colegios!$A$2:$A5618=L1941)"),"14144 SANTA ROSA")</f>
        <v>14144 SANTA ROSA</v>
      </c>
      <c r="F1941" s="14" t="s">
        <v>16</v>
      </c>
      <c r="G1941" s="20" t="s">
        <v>21</v>
      </c>
      <c r="H1941" s="14" t="s">
        <v>24</v>
      </c>
      <c r="I1941" s="22">
        <v>2023.0</v>
      </c>
      <c r="J1941" s="16" t="str">
        <f>IFERROR(__xludf.DUMMYFUNCTION("FILTER('CLASFICACIÓN'!$F$3:$F5618,'CLASFICACIÓN'!$G$3:$G5618=M1941)"),"LOS 3 AÑOS")</f>
        <v>LOS 3 AÑOS</v>
      </c>
      <c r="K1941" s="16"/>
      <c r="L1941" s="14" t="s">
        <v>130</v>
      </c>
      <c r="M1941" s="16" t="str">
        <f t="shared" si="1"/>
        <v>14144 SANTA ROSA4 Primaria</v>
      </c>
      <c r="N1941" s="17"/>
      <c r="O1941" s="17"/>
      <c r="P1941" s="17"/>
      <c r="Q1941" s="17"/>
      <c r="R1941" s="17"/>
      <c r="S1941" s="17"/>
      <c r="T1941" s="17"/>
    </row>
    <row r="1942">
      <c r="A1942" s="21">
        <v>745.0</v>
      </c>
      <c r="B1942" s="20" t="s">
        <v>48</v>
      </c>
      <c r="C1942" s="20" t="s">
        <v>14</v>
      </c>
      <c r="D1942" s="20" t="s">
        <v>20</v>
      </c>
      <c r="E1942" s="12" t="str">
        <f>IFERROR(__xludf.DUMMYFUNCTION("FILTER(colegios!$B$2:$B5618,colegios!$A$2:$A5618=L1942)"),"14144 SANTA ROSA")</f>
        <v>14144 SANTA ROSA</v>
      </c>
      <c r="F1942" s="14" t="s">
        <v>16</v>
      </c>
      <c r="G1942" s="20" t="s">
        <v>21</v>
      </c>
      <c r="H1942" s="14" t="s">
        <v>18</v>
      </c>
      <c r="I1942" s="22">
        <v>2023.0</v>
      </c>
      <c r="J1942" s="16" t="str">
        <f>IFERROR(__xludf.DUMMYFUNCTION("FILTER('CLASFICACIÓN'!$F$3:$F5618,'CLASFICACIÓN'!$G$3:$G5618=M1942)"),"LOS 3 AÑOS")</f>
        <v>LOS 3 AÑOS</v>
      </c>
      <c r="K1942" s="16"/>
      <c r="L1942" s="14" t="s">
        <v>130</v>
      </c>
      <c r="M1942" s="16" t="str">
        <f t="shared" si="1"/>
        <v>14144 SANTA ROSA4 Primaria</v>
      </c>
      <c r="N1942" s="17"/>
      <c r="O1942" s="17"/>
      <c r="P1942" s="17"/>
      <c r="Q1942" s="17"/>
      <c r="R1942" s="17"/>
      <c r="S1942" s="17"/>
      <c r="T1942" s="17"/>
    </row>
    <row r="1943">
      <c r="A1943" s="21">
        <v>746.0</v>
      </c>
      <c r="B1943" s="20" t="s">
        <v>48</v>
      </c>
      <c r="C1943" s="20" t="s">
        <v>14</v>
      </c>
      <c r="D1943" s="20" t="s">
        <v>20</v>
      </c>
      <c r="E1943" s="12" t="str">
        <f>IFERROR(__xludf.DUMMYFUNCTION("FILTER(colegios!$B$2:$B5618,colegios!$A$2:$A5618=L1943)"),"14144 SANTA ROSA")</f>
        <v>14144 SANTA ROSA</v>
      </c>
      <c r="F1943" s="14" t="s">
        <v>16</v>
      </c>
      <c r="G1943" s="20" t="s">
        <v>21</v>
      </c>
      <c r="H1943" s="14" t="s">
        <v>18</v>
      </c>
      <c r="I1943" s="22">
        <v>2023.0</v>
      </c>
      <c r="J1943" s="16" t="str">
        <f>IFERROR(__xludf.DUMMYFUNCTION("FILTER('CLASFICACIÓN'!$F$3:$F5618,'CLASFICACIÓN'!$G$3:$G5618=M1943)"),"LOS 3 AÑOS")</f>
        <v>LOS 3 AÑOS</v>
      </c>
      <c r="K1943" s="16"/>
      <c r="L1943" s="14" t="s">
        <v>130</v>
      </c>
      <c r="M1943" s="16" t="str">
        <f t="shared" si="1"/>
        <v>14144 SANTA ROSA4 Primaria</v>
      </c>
      <c r="N1943" s="17"/>
      <c r="O1943" s="17"/>
      <c r="P1943" s="17"/>
      <c r="Q1943" s="17"/>
      <c r="R1943" s="17"/>
      <c r="S1943" s="17"/>
      <c r="T1943" s="17"/>
    </row>
    <row r="1944">
      <c r="A1944" s="21">
        <v>747.0</v>
      </c>
      <c r="B1944" s="20" t="s">
        <v>48</v>
      </c>
      <c r="C1944" s="20" t="s">
        <v>14</v>
      </c>
      <c r="D1944" s="20" t="s">
        <v>20</v>
      </c>
      <c r="E1944" s="12" t="str">
        <f>IFERROR(__xludf.DUMMYFUNCTION("FILTER(colegios!$B$2:$B5618,colegios!$A$2:$A5618=L1944)"),"14144 SANTA ROSA")</f>
        <v>14144 SANTA ROSA</v>
      </c>
      <c r="F1944" s="14" t="s">
        <v>16</v>
      </c>
      <c r="G1944" s="20" t="s">
        <v>21</v>
      </c>
      <c r="H1944" s="14" t="s">
        <v>24</v>
      </c>
      <c r="I1944" s="22">
        <v>2023.0</v>
      </c>
      <c r="J1944" s="16" t="str">
        <f>IFERROR(__xludf.DUMMYFUNCTION("FILTER('CLASFICACIÓN'!$F$3:$F5618,'CLASFICACIÓN'!$G$3:$G5618=M1944)"),"LOS 3 AÑOS")</f>
        <v>LOS 3 AÑOS</v>
      </c>
      <c r="K1944" s="16"/>
      <c r="L1944" s="14" t="s">
        <v>130</v>
      </c>
      <c r="M1944" s="16" t="str">
        <f t="shared" si="1"/>
        <v>14144 SANTA ROSA4 Primaria</v>
      </c>
      <c r="N1944" s="17"/>
      <c r="O1944" s="17"/>
      <c r="P1944" s="17"/>
      <c r="Q1944" s="17"/>
      <c r="R1944" s="17"/>
      <c r="S1944" s="17"/>
      <c r="T1944" s="17"/>
    </row>
    <row r="1945">
      <c r="A1945" s="21">
        <v>748.0</v>
      </c>
      <c r="B1945" s="20" t="s">
        <v>48</v>
      </c>
      <c r="C1945" s="20" t="s">
        <v>14</v>
      </c>
      <c r="D1945" s="20" t="s">
        <v>20</v>
      </c>
      <c r="E1945" s="12" t="str">
        <f>IFERROR(__xludf.DUMMYFUNCTION("FILTER(colegios!$B$2:$B5618,colegios!$A$2:$A5618=L1945)"),"14144 SANTA ROSA")</f>
        <v>14144 SANTA ROSA</v>
      </c>
      <c r="F1945" s="14" t="s">
        <v>16</v>
      </c>
      <c r="G1945" s="20" t="s">
        <v>17</v>
      </c>
      <c r="H1945" s="14" t="s">
        <v>24</v>
      </c>
      <c r="I1945" s="22">
        <v>2023.0</v>
      </c>
      <c r="J1945" s="16" t="str">
        <f>IFERROR(__xludf.DUMMYFUNCTION("FILTER('CLASFICACIÓN'!$F$3:$F5618,'CLASFICACIÓN'!$G$3:$G5618=M1945)"),"LOS 3 AÑOS")</f>
        <v>LOS 3 AÑOS</v>
      </c>
      <c r="K1945" s="16"/>
      <c r="L1945" s="14" t="s">
        <v>130</v>
      </c>
      <c r="M1945" s="16" t="str">
        <f t="shared" si="1"/>
        <v>14144 SANTA ROSA4 Primaria</v>
      </c>
      <c r="N1945" s="17"/>
      <c r="O1945" s="17"/>
      <c r="P1945" s="17"/>
      <c r="Q1945" s="17"/>
      <c r="R1945" s="17"/>
      <c r="S1945" s="17"/>
      <c r="T1945" s="17"/>
    </row>
    <row r="1946">
      <c r="A1946" s="21">
        <v>749.0</v>
      </c>
      <c r="B1946" s="20" t="s">
        <v>48</v>
      </c>
      <c r="C1946" s="20" t="s">
        <v>14</v>
      </c>
      <c r="D1946" s="20" t="s">
        <v>20</v>
      </c>
      <c r="E1946" s="12" t="str">
        <f>IFERROR(__xludf.DUMMYFUNCTION("FILTER(colegios!$B$2:$B5618,colegios!$A$2:$A5618=L1946)"),"14144 SANTA ROSA")</f>
        <v>14144 SANTA ROSA</v>
      </c>
      <c r="F1946" s="14" t="s">
        <v>16</v>
      </c>
      <c r="G1946" s="20" t="s">
        <v>17</v>
      </c>
      <c r="H1946" s="14" t="s">
        <v>18</v>
      </c>
      <c r="I1946" s="22">
        <v>2023.0</v>
      </c>
      <c r="J1946" s="16" t="str">
        <f>IFERROR(__xludf.DUMMYFUNCTION("FILTER('CLASFICACIÓN'!$F$3:$F5618,'CLASFICACIÓN'!$G$3:$G5618=M1946)"),"LOS 3 AÑOS")</f>
        <v>LOS 3 AÑOS</v>
      </c>
      <c r="K1946" s="16"/>
      <c r="L1946" s="14" t="s">
        <v>130</v>
      </c>
      <c r="M1946" s="16" t="str">
        <f t="shared" si="1"/>
        <v>14144 SANTA ROSA4 Primaria</v>
      </c>
      <c r="N1946" s="17"/>
      <c r="O1946" s="17"/>
      <c r="P1946" s="17"/>
      <c r="Q1946" s="17"/>
      <c r="R1946" s="17"/>
      <c r="S1946" s="17"/>
      <c r="T1946" s="17"/>
    </row>
    <row r="1947">
      <c r="A1947" s="21">
        <v>750.0</v>
      </c>
      <c r="B1947" s="20" t="s">
        <v>48</v>
      </c>
      <c r="C1947" s="20" t="s">
        <v>14</v>
      </c>
      <c r="D1947" s="20" t="s">
        <v>20</v>
      </c>
      <c r="E1947" s="12" t="str">
        <f>IFERROR(__xludf.DUMMYFUNCTION("FILTER(colegios!$B$2:$B5618,colegios!$A$2:$A5618=L1947)"),"14144 SANTA ROSA")</f>
        <v>14144 SANTA ROSA</v>
      </c>
      <c r="F1947" s="14" t="s">
        <v>16</v>
      </c>
      <c r="G1947" s="20" t="s">
        <v>17</v>
      </c>
      <c r="H1947" s="14" t="s">
        <v>24</v>
      </c>
      <c r="I1947" s="22">
        <v>2023.0</v>
      </c>
      <c r="J1947" s="16" t="str">
        <f>IFERROR(__xludf.DUMMYFUNCTION("FILTER('CLASFICACIÓN'!$F$3:$F5618,'CLASFICACIÓN'!$G$3:$G5618=M1947)"),"LOS 3 AÑOS")</f>
        <v>LOS 3 AÑOS</v>
      </c>
      <c r="K1947" s="16"/>
      <c r="L1947" s="14" t="s">
        <v>130</v>
      </c>
      <c r="M1947" s="16" t="str">
        <f t="shared" si="1"/>
        <v>14144 SANTA ROSA4 Primaria</v>
      </c>
      <c r="N1947" s="17"/>
      <c r="O1947" s="17"/>
      <c r="P1947" s="17"/>
      <c r="Q1947" s="17"/>
      <c r="R1947" s="17"/>
      <c r="S1947" s="17"/>
      <c r="T1947" s="17"/>
    </row>
    <row r="1948">
      <c r="A1948" s="21">
        <v>751.0</v>
      </c>
      <c r="B1948" s="20" t="s">
        <v>48</v>
      </c>
      <c r="C1948" s="20" t="s">
        <v>14</v>
      </c>
      <c r="D1948" s="20" t="s">
        <v>20</v>
      </c>
      <c r="E1948" s="12" t="str">
        <f>IFERROR(__xludf.DUMMYFUNCTION("FILTER(colegios!$B$2:$B5618,colegios!$A$2:$A5618=L1948)"),"14144 SANTA ROSA")</f>
        <v>14144 SANTA ROSA</v>
      </c>
      <c r="F1948" s="14" t="s">
        <v>16</v>
      </c>
      <c r="G1948" s="20" t="s">
        <v>21</v>
      </c>
      <c r="H1948" s="14" t="s">
        <v>24</v>
      </c>
      <c r="I1948" s="22">
        <v>2023.0</v>
      </c>
      <c r="J1948" s="16" t="str">
        <f>IFERROR(__xludf.DUMMYFUNCTION("FILTER('CLASFICACIÓN'!$F$3:$F5618,'CLASFICACIÓN'!$G$3:$G5618=M1948)"),"LOS 3 AÑOS")</f>
        <v>LOS 3 AÑOS</v>
      </c>
      <c r="K1948" s="16"/>
      <c r="L1948" s="14" t="s">
        <v>130</v>
      </c>
      <c r="M1948" s="16" t="str">
        <f t="shared" si="1"/>
        <v>14144 SANTA ROSA4 Primaria</v>
      </c>
      <c r="N1948" s="17"/>
      <c r="O1948" s="17"/>
      <c r="P1948" s="17"/>
      <c r="Q1948" s="17"/>
      <c r="R1948" s="17"/>
      <c r="S1948" s="17"/>
      <c r="T1948" s="17"/>
    </row>
    <row r="1949">
      <c r="A1949" s="21">
        <v>752.0</v>
      </c>
      <c r="B1949" s="20" t="s">
        <v>48</v>
      </c>
      <c r="C1949" s="20" t="s">
        <v>14</v>
      </c>
      <c r="D1949" s="20" t="s">
        <v>20</v>
      </c>
      <c r="E1949" s="12" t="str">
        <f>IFERROR(__xludf.DUMMYFUNCTION("FILTER(colegios!$B$2:$B5618,colegios!$A$2:$A5618=L1949)"),"14144 SANTA ROSA")</f>
        <v>14144 SANTA ROSA</v>
      </c>
      <c r="F1949" s="14" t="s">
        <v>16</v>
      </c>
      <c r="G1949" s="20" t="s">
        <v>21</v>
      </c>
      <c r="H1949" s="14" t="s">
        <v>24</v>
      </c>
      <c r="I1949" s="22">
        <v>2023.0</v>
      </c>
      <c r="J1949" s="16" t="str">
        <f>IFERROR(__xludf.DUMMYFUNCTION("FILTER('CLASFICACIÓN'!$F$3:$F5618,'CLASFICACIÓN'!$G$3:$G5618=M1949)"),"LOS 3 AÑOS")</f>
        <v>LOS 3 AÑOS</v>
      </c>
      <c r="K1949" s="16"/>
      <c r="L1949" s="14" t="s">
        <v>130</v>
      </c>
      <c r="M1949" s="16" t="str">
        <f t="shared" si="1"/>
        <v>14144 SANTA ROSA4 Primaria</v>
      </c>
      <c r="N1949" s="17"/>
      <c r="O1949" s="17"/>
      <c r="P1949" s="17"/>
      <c r="Q1949" s="17"/>
      <c r="R1949" s="17"/>
      <c r="S1949" s="17"/>
      <c r="T1949" s="17"/>
    </row>
    <row r="1950">
      <c r="A1950" s="21">
        <v>753.0</v>
      </c>
      <c r="B1950" s="20" t="s">
        <v>48</v>
      </c>
      <c r="C1950" s="20" t="s">
        <v>14</v>
      </c>
      <c r="D1950" s="20" t="s">
        <v>20</v>
      </c>
      <c r="E1950" s="12" t="str">
        <f>IFERROR(__xludf.DUMMYFUNCTION("FILTER(colegios!$B$2:$B5618,colegios!$A$2:$A5618=L1950)"),"14144 SANTA ROSA")</f>
        <v>14144 SANTA ROSA</v>
      </c>
      <c r="F1950" s="14" t="s">
        <v>16</v>
      </c>
      <c r="G1950" s="20" t="s">
        <v>21</v>
      </c>
      <c r="H1950" s="14" t="s">
        <v>24</v>
      </c>
      <c r="I1950" s="22">
        <v>2023.0</v>
      </c>
      <c r="J1950" s="16" t="str">
        <f>IFERROR(__xludf.DUMMYFUNCTION("FILTER('CLASFICACIÓN'!$F$3:$F5618,'CLASFICACIÓN'!$G$3:$G5618=M1950)"),"LOS 3 AÑOS")</f>
        <v>LOS 3 AÑOS</v>
      </c>
      <c r="K1950" s="16"/>
      <c r="L1950" s="14" t="s">
        <v>130</v>
      </c>
      <c r="M1950" s="16" t="str">
        <f t="shared" si="1"/>
        <v>14144 SANTA ROSA4 Primaria</v>
      </c>
      <c r="N1950" s="17"/>
      <c r="O1950" s="17"/>
      <c r="P1950" s="17"/>
      <c r="Q1950" s="17"/>
      <c r="R1950" s="17"/>
      <c r="S1950" s="17"/>
      <c r="T1950" s="17"/>
    </row>
    <row r="1951">
      <c r="A1951" s="21">
        <v>754.0</v>
      </c>
      <c r="B1951" s="20" t="s">
        <v>48</v>
      </c>
      <c r="C1951" s="20" t="s">
        <v>14</v>
      </c>
      <c r="D1951" s="20" t="s">
        <v>20</v>
      </c>
      <c r="E1951" s="12" t="str">
        <f>IFERROR(__xludf.DUMMYFUNCTION("FILTER(colegios!$B$2:$B5618,colegios!$A$2:$A5618=L1951)"),"14144 SANTA ROSA")</f>
        <v>14144 SANTA ROSA</v>
      </c>
      <c r="F1951" s="14" t="s">
        <v>16</v>
      </c>
      <c r="G1951" s="20" t="s">
        <v>17</v>
      </c>
      <c r="H1951" s="14" t="s">
        <v>24</v>
      </c>
      <c r="I1951" s="22">
        <v>2023.0</v>
      </c>
      <c r="J1951" s="16" t="str">
        <f>IFERROR(__xludf.DUMMYFUNCTION("FILTER('CLASFICACIÓN'!$F$3:$F5618,'CLASFICACIÓN'!$G$3:$G5618=M1951)"),"LOS 3 AÑOS")</f>
        <v>LOS 3 AÑOS</v>
      </c>
      <c r="K1951" s="16"/>
      <c r="L1951" s="14" t="s">
        <v>130</v>
      </c>
      <c r="M1951" s="16" t="str">
        <f t="shared" si="1"/>
        <v>14144 SANTA ROSA4 Primaria</v>
      </c>
      <c r="N1951" s="17"/>
      <c r="O1951" s="17"/>
      <c r="P1951" s="17"/>
      <c r="Q1951" s="17"/>
      <c r="R1951" s="17"/>
      <c r="S1951" s="17"/>
      <c r="T1951" s="17"/>
    </row>
    <row r="1952">
      <c r="A1952" s="21">
        <v>755.0</v>
      </c>
      <c r="B1952" s="20" t="s">
        <v>48</v>
      </c>
      <c r="C1952" s="20" t="s">
        <v>14</v>
      </c>
      <c r="D1952" s="20" t="s">
        <v>20</v>
      </c>
      <c r="E1952" s="12" t="str">
        <f>IFERROR(__xludf.DUMMYFUNCTION("FILTER(colegios!$B$2:$B5618,colegios!$A$2:$A5618=L1952)"),"14144 SANTA ROSA")</f>
        <v>14144 SANTA ROSA</v>
      </c>
      <c r="F1952" s="14" t="s">
        <v>16</v>
      </c>
      <c r="G1952" s="20" t="s">
        <v>17</v>
      </c>
      <c r="H1952" s="14" t="s">
        <v>24</v>
      </c>
      <c r="I1952" s="22">
        <v>2023.0</v>
      </c>
      <c r="J1952" s="16" t="str">
        <f>IFERROR(__xludf.DUMMYFUNCTION("FILTER('CLASFICACIÓN'!$F$3:$F5618,'CLASFICACIÓN'!$G$3:$G5618=M1952)"),"LOS 3 AÑOS")</f>
        <v>LOS 3 AÑOS</v>
      </c>
      <c r="K1952" s="16"/>
      <c r="L1952" s="14" t="s">
        <v>130</v>
      </c>
      <c r="M1952" s="16" t="str">
        <f t="shared" si="1"/>
        <v>14144 SANTA ROSA4 Primaria</v>
      </c>
      <c r="N1952" s="17"/>
      <c r="O1952" s="17"/>
      <c r="P1952" s="17"/>
      <c r="Q1952" s="17"/>
      <c r="R1952" s="17"/>
      <c r="S1952" s="17"/>
      <c r="T1952" s="17"/>
    </row>
    <row r="1953">
      <c r="A1953" s="21">
        <v>756.0</v>
      </c>
      <c r="B1953" s="20" t="s">
        <v>48</v>
      </c>
      <c r="C1953" s="20" t="s">
        <v>14</v>
      </c>
      <c r="D1953" s="20" t="s">
        <v>20</v>
      </c>
      <c r="E1953" s="12" t="str">
        <f>IFERROR(__xludf.DUMMYFUNCTION("FILTER(colegios!$B$2:$B5618,colegios!$A$2:$A5618=L1953)"),"14144 SANTA ROSA")</f>
        <v>14144 SANTA ROSA</v>
      </c>
      <c r="F1953" s="14" t="s">
        <v>16</v>
      </c>
      <c r="G1953" s="20" t="s">
        <v>21</v>
      </c>
      <c r="H1953" s="14" t="s">
        <v>24</v>
      </c>
      <c r="I1953" s="22">
        <v>2023.0</v>
      </c>
      <c r="J1953" s="16" t="str">
        <f>IFERROR(__xludf.DUMMYFUNCTION("FILTER('CLASFICACIÓN'!$F$3:$F5618,'CLASFICACIÓN'!$G$3:$G5618=M1953)"),"LOS 3 AÑOS")</f>
        <v>LOS 3 AÑOS</v>
      </c>
      <c r="K1953" s="16"/>
      <c r="L1953" s="14" t="s">
        <v>130</v>
      </c>
      <c r="M1953" s="16" t="str">
        <f t="shared" si="1"/>
        <v>14144 SANTA ROSA4 Primaria</v>
      </c>
      <c r="N1953" s="17"/>
      <c r="O1953" s="17"/>
      <c r="P1953" s="17"/>
      <c r="Q1953" s="17"/>
      <c r="R1953" s="17"/>
      <c r="S1953" s="17"/>
      <c r="T1953" s="17"/>
    </row>
    <row r="1954">
      <c r="A1954" s="21">
        <v>757.0</v>
      </c>
      <c r="B1954" s="20" t="s">
        <v>48</v>
      </c>
      <c r="C1954" s="20" t="s">
        <v>14</v>
      </c>
      <c r="D1954" s="20" t="s">
        <v>20</v>
      </c>
      <c r="E1954" s="12" t="str">
        <f>IFERROR(__xludf.DUMMYFUNCTION("FILTER(colegios!$B$2:$B5618,colegios!$A$2:$A5618=L1954)"),"14144 SANTA ROSA")</f>
        <v>14144 SANTA ROSA</v>
      </c>
      <c r="F1954" s="14" t="s">
        <v>16</v>
      </c>
      <c r="G1954" s="20" t="s">
        <v>21</v>
      </c>
      <c r="H1954" s="14" t="s">
        <v>18</v>
      </c>
      <c r="I1954" s="22">
        <v>2023.0</v>
      </c>
      <c r="J1954" s="16" t="str">
        <f>IFERROR(__xludf.DUMMYFUNCTION("FILTER('CLASFICACIÓN'!$F$3:$F5618,'CLASFICACIÓN'!$G$3:$G5618=M1954)"),"LOS 3 AÑOS")</f>
        <v>LOS 3 AÑOS</v>
      </c>
      <c r="K1954" s="16"/>
      <c r="L1954" s="14" t="s">
        <v>130</v>
      </c>
      <c r="M1954" s="16" t="str">
        <f t="shared" si="1"/>
        <v>14144 SANTA ROSA4 Primaria</v>
      </c>
      <c r="N1954" s="17"/>
      <c r="O1954" s="17"/>
      <c r="P1954" s="17"/>
      <c r="Q1954" s="17"/>
      <c r="R1954" s="17"/>
      <c r="S1954" s="17"/>
      <c r="T1954" s="17"/>
    </row>
    <row r="1955">
      <c r="A1955" s="21">
        <v>758.0</v>
      </c>
      <c r="B1955" s="20" t="s">
        <v>48</v>
      </c>
      <c r="C1955" s="20" t="s">
        <v>14</v>
      </c>
      <c r="D1955" s="20" t="s">
        <v>20</v>
      </c>
      <c r="E1955" s="12" t="str">
        <f>IFERROR(__xludf.DUMMYFUNCTION("FILTER(colegios!$B$2:$B5618,colegios!$A$2:$A5618=L1955)"),"14144 SANTA ROSA")</f>
        <v>14144 SANTA ROSA</v>
      </c>
      <c r="F1955" s="14" t="s">
        <v>16</v>
      </c>
      <c r="G1955" s="20" t="s">
        <v>17</v>
      </c>
      <c r="H1955" s="14" t="s">
        <v>24</v>
      </c>
      <c r="I1955" s="22">
        <v>2023.0</v>
      </c>
      <c r="J1955" s="16" t="str">
        <f>IFERROR(__xludf.DUMMYFUNCTION("FILTER('CLASFICACIÓN'!$F$3:$F5618,'CLASFICACIÓN'!$G$3:$G5618=M1955)"),"LOS 3 AÑOS")</f>
        <v>LOS 3 AÑOS</v>
      </c>
      <c r="K1955" s="16"/>
      <c r="L1955" s="14" t="s">
        <v>130</v>
      </c>
      <c r="M1955" s="16" t="str">
        <f t="shared" si="1"/>
        <v>14144 SANTA ROSA4 Primaria</v>
      </c>
      <c r="N1955" s="17"/>
      <c r="O1955" s="17"/>
      <c r="P1955" s="17"/>
      <c r="Q1955" s="17"/>
      <c r="R1955" s="17"/>
      <c r="S1955" s="17"/>
      <c r="T1955" s="17"/>
    </row>
    <row r="1956">
      <c r="A1956" s="21">
        <v>759.0</v>
      </c>
      <c r="B1956" s="20" t="s">
        <v>48</v>
      </c>
      <c r="C1956" s="20" t="s">
        <v>14</v>
      </c>
      <c r="D1956" s="20" t="s">
        <v>20</v>
      </c>
      <c r="E1956" s="12" t="str">
        <f>IFERROR(__xludf.DUMMYFUNCTION("FILTER(colegios!$B$2:$B5618,colegios!$A$2:$A5618=L1956)"),"14144 SANTA ROSA")</f>
        <v>14144 SANTA ROSA</v>
      </c>
      <c r="F1956" s="14" t="s">
        <v>16</v>
      </c>
      <c r="G1956" s="20" t="s">
        <v>21</v>
      </c>
      <c r="H1956" s="14" t="s">
        <v>24</v>
      </c>
      <c r="I1956" s="22">
        <v>2023.0</v>
      </c>
      <c r="J1956" s="16" t="str">
        <f>IFERROR(__xludf.DUMMYFUNCTION("FILTER('CLASFICACIÓN'!$F$3:$F5618,'CLASFICACIÓN'!$G$3:$G5618=M1956)"),"LOS 3 AÑOS")</f>
        <v>LOS 3 AÑOS</v>
      </c>
      <c r="K1956" s="16"/>
      <c r="L1956" s="14" t="s">
        <v>130</v>
      </c>
      <c r="M1956" s="16" t="str">
        <f t="shared" si="1"/>
        <v>14144 SANTA ROSA4 Primaria</v>
      </c>
      <c r="N1956" s="17"/>
      <c r="O1956" s="17"/>
      <c r="P1956" s="17"/>
      <c r="Q1956" s="17"/>
      <c r="R1956" s="17"/>
      <c r="S1956" s="17"/>
      <c r="T1956" s="17"/>
    </row>
    <row r="1957">
      <c r="A1957" s="21">
        <v>760.0</v>
      </c>
      <c r="B1957" s="20" t="s">
        <v>48</v>
      </c>
      <c r="C1957" s="20" t="s">
        <v>14</v>
      </c>
      <c r="D1957" s="20" t="s">
        <v>20</v>
      </c>
      <c r="E1957" s="12" t="str">
        <f>IFERROR(__xludf.DUMMYFUNCTION("FILTER(colegios!$B$2:$B5618,colegios!$A$2:$A5618=L1957)"),"14144 SANTA ROSA")</f>
        <v>14144 SANTA ROSA</v>
      </c>
      <c r="F1957" s="14" t="s">
        <v>16</v>
      </c>
      <c r="G1957" s="20" t="s">
        <v>17</v>
      </c>
      <c r="H1957" s="14" t="s">
        <v>24</v>
      </c>
      <c r="I1957" s="22">
        <v>2023.0</v>
      </c>
      <c r="J1957" s="16" t="str">
        <f>IFERROR(__xludf.DUMMYFUNCTION("FILTER('CLASFICACIÓN'!$F$3:$F5618,'CLASFICACIÓN'!$G$3:$G5618=M1957)"),"LOS 3 AÑOS")</f>
        <v>LOS 3 AÑOS</v>
      </c>
      <c r="K1957" s="16"/>
      <c r="L1957" s="14" t="s">
        <v>130</v>
      </c>
      <c r="M1957" s="16" t="str">
        <f t="shared" si="1"/>
        <v>14144 SANTA ROSA4 Primaria</v>
      </c>
      <c r="N1957" s="17"/>
      <c r="O1957" s="17"/>
      <c r="P1957" s="17"/>
      <c r="Q1957" s="17"/>
      <c r="R1957" s="17"/>
      <c r="S1957" s="17"/>
      <c r="T1957" s="17"/>
    </row>
    <row r="1958">
      <c r="A1958" s="21">
        <v>761.0</v>
      </c>
      <c r="B1958" s="20" t="s">
        <v>48</v>
      </c>
      <c r="C1958" s="20" t="s">
        <v>14</v>
      </c>
      <c r="D1958" s="20" t="s">
        <v>20</v>
      </c>
      <c r="E1958" s="12" t="str">
        <f>IFERROR(__xludf.DUMMYFUNCTION("FILTER(colegios!$B$2:$B5618,colegios!$A$2:$A5618=L1958)"),"14144 SANTA ROSA")</f>
        <v>14144 SANTA ROSA</v>
      </c>
      <c r="F1958" s="14" t="s">
        <v>16</v>
      </c>
      <c r="G1958" s="20" t="s">
        <v>17</v>
      </c>
      <c r="H1958" s="14" t="s">
        <v>24</v>
      </c>
      <c r="I1958" s="22">
        <v>2023.0</v>
      </c>
      <c r="J1958" s="16" t="str">
        <f>IFERROR(__xludf.DUMMYFUNCTION("FILTER('CLASFICACIÓN'!$F$3:$F5618,'CLASFICACIÓN'!$G$3:$G5618=M1958)"),"LOS 3 AÑOS")</f>
        <v>LOS 3 AÑOS</v>
      </c>
      <c r="K1958" s="16"/>
      <c r="L1958" s="14" t="s">
        <v>130</v>
      </c>
      <c r="M1958" s="16" t="str">
        <f t="shared" si="1"/>
        <v>14144 SANTA ROSA4 Primaria</v>
      </c>
      <c r="N1958" s="17"/>
      <c r="O1958" s="17"/>
      <c r="P1958" s="17"/>
      <c r="Q1958" s="17"/>
      <c r="R1958" s="17"/>
      <c r="S1958" s="17"/>
      <c r="T1958" s="17"/>
    </row>
    <row r="1959">
      <c r="A1959" s="21">
        <v>762.0</v>
      </c>
      <c r="B1959" s="20" t="s">
        <v>48</v>
      </c>
      <c r="C1959" s="20" t="s">
        <v>14</v>
      </c>
      <c r="D1959" s="20" t="s">
        <v>20</v>
      </c>
      <c r="E1959" s="12" t="str">
        <f>IFERROR(__xludf.DUMMYFUNCTION("FILTER(colegios!$B$2:$B5618,colegios!$A$2:$A5618=L1959)"),"14144 SANTA ROSA")</f>
        <v>14144 SANTA ROSA</v>
      </c>
      <c r="F1959" s="14" t="s">
        <v>16</v>
      </c>
      <c r="G1959" s="20" t="s">
        <v>17</v>
      </c>
      <c r="H1959" s="14" t="s">
        <v>24</v>
      </c>
      <c r="I1959" s="22">
        <v>2023.0</v>
      </c>
      <c r="J1959" s="16" t="str">
        <f>IFERROR(__xludf.DUMMYFUNCTION("FILTER('CLASFICACIÓN'!$F$3:$F5618,'CLASFICACIÓN'!$G$3:$G5618=M1959)"),"LOS 3 AÑOS")</f>
        <v>LOS 3 AÑOS</v>
      </c>
      <c r="K1959" s="16"/>
      <c r="L1959" s="14" t="s">
        <v>130</v>
      </c>
      <c r="M1959" s="16" t="str">
        <f t="shared" si="1"/>
        <v>14144 SANTA ROSA4 Primaria</v>
      </c>
      <c r="N1959" s="17"/>
      <c r="O1959" s="17"/>
      <c r="P1959" s="17"/>
      <c r="Q1959" s="17"/>
      <c r="R1959" s="17"/>
      <c r="S1959" s="17"/>
      <c r="T1959" s="17"/>
    </row>
    <row r="1960">
      <c r="A1960" s="21">
        <v>763.0</v>
      </c>
      <c r="B1960" s="20" t="s">
        <v>48</v>
      </c>
      <c r="C1960" s="20" t="s">
        <v>14</v>
      </c>
      <c r="D1960" s="20" t="s">
        <v>20</v>
      </c>
      <c r="E1960" s="12" t="str">
        <f>IFERROR(__xludf.DUMMYFUNCTION("FILTER(colegios!$B$2:$B5618,colegios!$A$2:$A5618=L1960)"),"14144 SANTA ROSA")</f>
        <v>14144 SANTA ROSA</v>
      </c>
      <c r="F1960" s="14" t="s">
        <v>16</v>
      </c>
      <c r="G1960" s="20" t="s">
        <v>17</v>
      </c>
      <c r="H1960" s="14" t="s">
        <v>24</v>
      </c>
      <c r="I1960" s="22">
        <v>2023.0</v>
      </c>
      <c r="J1960" s="16" t="str">
        <f>IFERROR(__xludf.DUMMYFUNCTION("FILTER('CLASFICACIÓN'!$F$3:$F5618,'CLASFICACIÓN'!$G$3:$G5618=M1960)"),"LOS 3 AÑOS")</f>
        <v>LOS 3 AÑOS</v>
      </c>
      <c r="K1960" s="16"/>
      <c r="L1960" s="14" t="s">
        <v>130</v>
      </c>
      <c r="M1960" s="16" t="str">
        <f t="shared" si="1"/>
        <v>14144 SANTA ROSA4 Primaria</v>
      </c>
      <c r="N1960" s="17"/>
      <c r="O1960" s="17"/>
      <c r="P1960" s="17"/>
      <c r="Q1960" s="17"/>
      <c r="R1960" s="17"/>
      <c r="S1960" s="17"/>
      <c r="T1960" s="17"/>
    </row>
    <row r="1961">
      <c r="A1961" s="21">
        <v>764.0</v>
      </c>
      <c r="B1961" s="20" t="s">
        <v>48</v>
      </c>
      <c r="C1961" s="20" t="s">
        <v>14</v>
      </c>
      <c r="D1961" s="20" t="s">
        <v>20</v>
      </c>
      <c r="E1961" s="12" t="str">
        <f>IFERROR(__xludf.DUMMYFUNCTION("FILTER(colegios!$B$2:$B5618,colegios!$A$2:$A5618=L1961)"),"14144 SANTA ROSA")</f>
        <v>14144 SANTA ROSA</v>
      </c>
      <c r="F1961" s="14" t="s">
        <v>16</v>
      </c>
      <c r="G1961" s="20" t="s">
        <v>21</v>
      </c>
      <c r="H1961" s="14" t="s">
        <v>24</v>
      </c>
      <c r="I1961" s="22">
        <v>2023.0</v>
      </c>
      <c r="J1961" s="16" t="str">
        <f>IFERROR(__xludf.DUMMYFUNCTION("FILTER('CLASFICACIÓN'!$F$3:$F5618,'CLASFICACIÓN'!$G$3:$G5618=M1961)"),"LOS 3 AÑOS")</f>
        <v>LOS 3 AÑOS</v>
      </c>
      <c r="K1961" s="16"/>
      <c r="L1961" s="14" t="s">
        <v>130</v>
      </c>
      <c r="M1961" s="16" t="str">
        <f t="shared" si="1"/>
        <v>14144 SANTA ROSA4 Primaria</v>
      </c>
      <c r="N1961" s="17"/>
      <c r="O1961" s="17"/>
      <c r="P1961" s="17"/>
      <c r="Q1961" s="17"/>
      <c r="R1961" s="17"/>
      <c r="S1961" s="17"/>
      <c r="T1961" s="17"/>
    </row>
    <row r="1962">
      <c r="A1962" s="21">
        <v>765.0</v>
      </c>
      <c r="B1962" s="20" t="s">
        <v>48</v>
      </c>
      <c r="C1962" s="20" t="s">
        <v>14</v>
      </c>
      <c r="D1962" s="20" t="s">
        <v>20</v>
      </c>
      <c r="E1962" s="12" t="str">
        <f>IFERROR(__xludf.DUMMYFUNCTION("FILTER(colegios!$B$2:$B5618,colegios!$A$2:$A5618=L1962)"),"14144 SANTA ROSA")</f>
        <v>14144 SANTA ROSA</v>
      </c>
      <c r="F1962" s="14" t="s">
        <v>16</v>
      </c>
      <c r="G1962" s="20" t="s">
        <v>17</v>
      </c>
      <c r="H1962" s="14" t="s">
        <v>18</v>
      </c>
      <c r="I1962" s="22">
        <v>2023.0</v>
      </c>
      <c r="J1962" s="16" t="str">
        <f>IFERROR(__xludf.DUMMYFUNCTION("FILTER('CLASFICACIÓN'!$F$3:$F5618,'CLASFICACIÓN'!$G$3:$G5618=M1962)"),"LOS 3 AÑOS")</f>
        <v>LOS 3 AÑOS</v>
      </c>
      <c r="K1962" s="16"/>
      <c r="L1962" s="14" t="s">
        <v>130</v>
      </c>
      <c r="M1962" s="16" t="str">
        <f t="shared" si="1"/>
        <v>14144 SANTA ROSA4 Primaria</v>
      </c>
      <c r="N1962" s="17"/>
      <c r="O1962" s="17"/>
      <c r="P1962" s="17"/>
      <c r="Q1962" s="17"/>
      <c r="R1962" s="17"/>
      <c r="S1962" s="17"/>
      <c r="T1962" s="17"/>
    </row>
    <row r="1963">
      <c r="A1963" s="21">
        <v>766.0</v>
      </c>
      <c r="B1963" s="20" t="s">
        <v>48</v>
      </c>
      <c r="C1963" s="20" t="s">
        <v>14</v>
      </c>
      <c r="D1963" s="20" t="s">
        <v>20</v>
      </c>
      <c r="E1963" s="12" t="str">
        <f>IFERROR(__xludf.DUMMYFUNCTION("FILTER(colegios!$B$2:$B5618,colegios!$A$2:$A5618=L1963)"),"14144 SANTA ROSA")</f>
        <v>14144 SANTA ROSA</v>
      </c>
      <c r="F1963" s="14" t="s">
        <v>16</v>
      </c>
      <c r="G1963" s="20" t="s">
        <v>21</v>
      </c>
      <c r="H1963" s="14" t="s">
        <v>18</v>
      </c>
      <c r="I1963" s="22">
        <v>2023.0</v>
      </c>
      <c r="J1963" s="16" t="str">
        <f>IFERROR(__xludf.DUMMYFUNCTION("FILTER('CLASFICACIÓN'!$F$3:$F5618,'CLASFICACIÓN'!$G$3:$G5618=M1963)"),"LOS 3 AÑOS")</f>
        <v>LOS 3 AÑOS</v>
      </c>
      <c r="K1963" s="16"/>
      <c r="L1963" s="14" t="s">
        <v>130</v>
      </c>
      <c r="M1963" s="16" t="str">
        <f t="shared" si="1"/>
        <v>14144 SANTA ROSA4 Primaria</v>
      </c>
      <c r="N1963" s="17"/>
      <c r="O1963" s="17"/>
      <c r="P1963" s="17"/>
      <c r="Q1963" s="17"/>
      <c r="R1963" s="17"/>
      <c r="S1963" s="17"/>
      <c r="T1963" s="17"/>
    </row>
    <row r="1964">
      <c r="A1964" s="21">
        <v>767.0</v>
      </c>
      <c r="B1964" s="20" t="s">
        <v>48</v>
      </c>
      <c r="C1964" s="20" t="s">
        <v>14</v>
      </c>
      <c r="D1964" s="20" t="s">
        <v>20</v>
      </c>
      <c r="E1964" s="12" t="str">
        <f>IFERROR(__xludf.DUMMYFUNCTION("FILTER(colegios!$B$2:$B5618,colegios!$A$2:$A5618=L1964)"),"14144 SANTA ROSA")</f>
        <v>14144 SANTA ROSA</v>
      </c>
      <c r="F1964" s="14" t="s">
        <v>16</v>
      </c>
      <c r="G1964" s="20" t="s">
        <v>17</v>
      </c>
      <c r="H1964" s="14" t="s">
        <v>24</v>
      </c>
      <c r="I1964" s="22">
        <v>2023.0</v>
      </c>
      <c r="J1964" s="16" t="str">
        <f>IFERROR(__xludf.DUMMYFUNCTION("FILTER('CLASFICACIÓN'!$F$3:$F5618,'CLASFICACIÓN'!$G$3:$G5618=M1964)"),"LOS 3 AÑOS")</f>
        <v>LOS 3 AÑOS</v>
      </c>
      <c r="K1964" s="16"/>
      <c r="L1964" s="14" t="s">
        <v>130</v>
      </c>
      <c r="M1964" s="16" t="str">
        <f t="shared" si="1"/>
        <v>14144 SANTA ROSA4 Primaria</v>
      </c>
      <c r="N1964" s="17"/>
      <c r="O1964" s="17"/>
      <c r="P1964" s="17"/>
      <c r="Q1964" s="17"/>
      <c r="R1964" s="17"/>
      <c r="S1964" s="17"/>
      <c r="T1964" s="17"/>
    </row>
    <row r="1965">
      <c r="A1965" s="21">
        <v>768.0</v>
      </c>
      <c r="B1965" s="20" t="s">
        <v>48</v>
      </c>
      <c r="C1965" s="20" t="s">
        <v>14</v>
      </c>
      <c r="D1965" s="20" t="s">
        <v>20</v>
      </c>
      <c r="E1965" s="12" t="str">
        <f>IFERROR(__xludf.DUMMYFUNCTION("FILTER(colegios!$B$2:$B5618,colegios!$A$2:$A5618=L1965)"),"14144 SANTA ROSA")</f>
        <v>14144 SANTA ROSA</v>
      </c>
      <c r="F1965" s="14" t="s">
        <v>16</v>
      </c>
      <c r="G1965" s="20" t="s">
        <v>17</v>
      </c>
      <c r="H1965" s="14" t="s">
        <v>24</v>
      </c>
      <c r="I1965" s="22">
        <v>2023.0</v>
      </c>
      <c r="J1965" s="16" t="str">
        <f>IFERROR(__xludf.DUMMYFUNCTION("FILTER('CLASFICACIÓN'!$F$3:$F5618,'CLASFICACIÓN'!$G$3:$G5618=M1965)"),"LOS 3 AÑOS")</f>
        <v>LOS 3 AÑOS</v>
      </c>
      <c r="K1965" s="16"/>
      <c r="L1965" s="14" t="s">
        <v>130</v>
      </c>
      <c r="M1965" s="16" t="str">
        <f t="shared" si="1"/>
        <v>14144 SANTA ROSA4 Primaria</v>
      </c>
      <c r="N1965" s="17"/>
      <c r="O1965" s="17"/>
      <c r="P1965" s="17"/>
      <c r="Q1965" s="17"/>
      <c r="R1965" s="17"/>
      <c r="S1965" s="17"/>
      <c r="T1965" s="17"/>
    </row>
    <row r="1966">
      <c r="A1966" s="21">
        <v>769.0</v>
      </c>
      <c r="B1966" s="20" t="s">
        <v>48</v>
      </c>
      <c r="C1966" s="20" t="s">
        <v>14</v>
      </c>
      <c r="D1966" s="20" t="s">
        <v>20</v>
      </c>
      <c r="E1966" s="12" t="str">
        <f>IFERROR(__xludf.DUMMYFUNCTION("FILTER(colegios!$B$2:$B5618,colegios!$A$2:$A5618=L1966)"),"14144 SANTA ROSA")</f>
        <v>14144 SANTA ROSA</v>
      </c>
      <c r="F1966" s="14" t="s">
        <v>16</v>
      </c>
      <c r="G1966" s="20" t="s">
        <v>17</v>
      </c>
      <c r="H1966" s="14" t="s">
        <v>18</v>
      </c>
      <c r="I1966" s="22">
        <v>2023.0</v>
      </c>
      <c r="J1966" s="16" t="str">
        <f>IFERROR(__xludf.DUMMYFUNCTION("FILTER('CLASFICACIÓN'!$F$3:$F5618,'CLASFICACIÓN'!$G$3:$G5618=M1966)"),"LOS 3 AÑOS")</f>
        <v>LOS 3 AÑOS</v>
      </c>
      <c r="K1966" s="16"/>
      <c r="L1966" s="14" t="s">
        <v>130</v>
      </c>
      <c r="M1966" s="16" t="str">
        <f t="shared" si="1"/>
        <v>14144 SANTA ROSA4 Primaria</v>
      </c>
      <c r="N1966" s="17"/>
      <c r="O1966" s="17"/>
      <c r="P1966" s="17"/>
      <c r="Q1966" s="17"/>
      <c r="R1966" s="17"/>
      <c r="S1966" s="17"/>
      <c r="T1966" s="17"/>
    </row>
    <row r="1967">
      <c r="A1967" s="21">
        <v>770.0</v>
      </c>
      <c r="B1967" s="20" t="s">
        <v>48</v>
      </c>
      <c r="C1967" s="20" t="s">
        <v>14</v>
      </c>
      <c r="D1967" s="20" t="s">
        <v>20</v>
      </c>
      <c r="E1967" s="12" t="str">
        <f>IFERROR(__xludf.DUMMYFUNCTION("FILTER(colegios!$B$2:$B5618,colegios!$A$2:$A5618=L1967)"),"14144 SANTA ROSA")</f>
        <v>14144 SANTA ROSA</v>
      </c>
      <c r="F1967" s="14" t="s">
        <v>16</v>
      </c>
      <c r="G1967" s="20" t="s">
        <v>21</v>
      </c>
      <c r="H1967" s="14" t="s">
        <v>24</v>
      </c>
      <c r="I1967" s="22">
        <v>2023.0</v>
      </c>
      <c r="J1967" s="16" t="str">
        <f>IFERROR(__xludf.DUMMYFUNCTION("FILTER('CLASFICACIÓN'!$F$3:$F5618,'CLASFICACIÓN'!$G$3:$G5618=M1967)"),"LOS 3 AÑOS")</f>
        <v>LOS 3 AÑOS</v>
      </c>
      <c r="K1967" s="16"/>
      <c r="L1967" s="14" t="s">
        <v>130</v>
      </c>
      <c r="M1967" s="16" t="str">
        <f t="shared" si="1"/>
        <v>14144 SANTA ROSA4 Primaria</v>
      </c>
      <c r="N1967" s="17"/>
      <c r="O1967" s="17"/>
      <c r="P1967" s="17"/>
      <c r="Q1967" s="17"/>
      <c r="R1967" s="17"/>
      <c r="S1967" s="17"/>
      <c r="T1967" s="17"/>
    </row>
    <row r="1968">
      <c r="A1968" s="21">
        <v>771.0</v>
      </c>
      <c r="B1968" s="20" t="s">
        <v>48</v>
      </c>
      <c r="C1968" s="20" t="s">
        <v>14</v>
      </c>
      <c r="D1968" s="20" t="s">
        <v>20</v>
      </c>
      <c r="E1968" s="12" t="str">
        <f>IFERROR(__xludf.DUMMYFUNCTION("FILTER(colegios!$B$2:$B5618,colegios!$A$2:$A5618=L1968)"),"14144 SANTA ROSA")</f>
        <v>14144 SANTA ROSA</v>
      </c>
      <c r="F1968" s="14" t="s">
        <v>16</v>
      </c>
      <c r="G1968" s="20" t="s">
        <v>17</v>
      </c>
      <c r="H1968" s="14" t="s">
        <v>24</v>
      </c>
      <c r="I1968" s="22">
        <v>2023.0</v>
      </c>
      <c r="J1968" s="16" t="str">
        <f>IFERROR(__xludf.DUMMYFUNCTION("FILTER('CLASFICACIÓN'!$F$3:$F5618,'CLASFICACIÓN'!$G$3:$G5618=M1968)"),"LOS 3 AÑOS")</f>
        <v>LOS 3 AÑOS</v>
      </c>
      <c r="K1968" s="16"/>
      <c r="L1968" s="14" t="s">
        <v>130</v>
      </c>
      <c r="M1968" s="16" t="str">
        <f t="shared" si="1"/>
        <v>14144 SANTA ROSA4 Primaria</v>
      </c>
      <c r="N1968" s="17"/>
      <c r="O1968" s="17"/>
      <c r="P1968" s="17"/>
      <c r="Q1968" s="17"/>
      <c r="R1968" s="17"/>
      <c r="S1968" s="17"/>
      <c r="T1968" s="17"/>
    </row>
    <row r="1969">
      <c r="A1969" s="21">
        <v>772.0</v>
      </c>
      <c r="B1969" s="20" t="s">
        <v>48</v>
      </c>
      <c r="C1969" s="20" t="s">
        <v>14</v>
      </c>
      <c r="D1969" s="20" t="s">
        <v>20</v>
      </c>
      <c r="E1969" s="12" t="str">
        <f>IFERROR(__xludf.DUMMYFUNCTION("FILTER(colegios!$B$2:$B5618,colegios!$A$2:$A5618=L1969)"),"14144 SANTA ROSA")</f>
        <v>14144 SANTA ROSA</v>
      </c>
      <c r="F1969" s="14" t="s">
        <v>16</v>
      </c>
      <c r="G1969" s="20" t="s">
        <v>21</v>
      </c>
      <c r="H1969" s="14" t="s">
        <v>18</v>
      </c>
      <c r="I1969" s="22">
        <v>2023.0</v>
      </c>
      <c r="J1969" s="16" t="str">
        <f>IFERROR(__xludf.DUMMYFUNCTION("FILTER('CLASFICACIÓN'!$F$3:$F5618,'CLASFICACIÓN'!$G$3:$G5618=M1969)"),"LOS 3 AÑOS")</f>
        <v>LOS 3 AÑOS</v>
      </c>
      <c r="K1969" s="16"/>
      <c r="L1969" s="14" t="s">
        <v>130</v>
      </c>
      <c r="M1969" s="16" t="str">
        <f t="shared" si="1"/>
        <v>14144 SANTA ROSA4 Primaria</v>
      </c>
      <c r="N1969" s="17"/>
      <c r="O1969" s="17"/>
      <c r="P1969" s="17"/>
      <c r="Q1969" s="17"/>
      <c r="R1969" s="17"/>
      <c r="S1969" s="17"/>
      <c r="T1969" s="17"/>
    </row>
    <row r="1970">
      <c r="A1970" s="21">
        <v>773.0</v>
      </c>
      <c r="B1970" s="20" t="s">
        <v>48</v>
      </c>
      <c r="C1970" s="20" t="s">
        <v>14</v>
      </c>
      <c r="D1970" s="20" t="s">
        <v>20</v>
      </c>
      <c r="E1970" s="12" t="str">
        <f>IFERROR(__xludf.DUMMYFUNCTION("FILTER(colegios!$B$2:$B5618,colegios!$A$2:$A5618=L1970)"),"14144 SANTA ROSA")</f>
        <v>14144 SANTA ROSA</v>
      </c>
      <c r="F1970" s="14" t="s">
        <v>16</v>
      </c>
      <c r="G1970" s="20" t="s">
        <v>17</v>
      </c>
      <c r="H1970" s="14" t="s">
        <v>24</v>
      </c>
      <c r="I1970" s="22">
        <v>2023.0</v>
      </c>
      <c r="J1970" s="16" t="str">
        <f>IFERROR(__xludf.DUMMYFUNCTION("FILTER('CLASFICACIÓN'!$F$3:$F5618,'CLASFICACIÓN'!$G$3:$G5618=M1970)"),"LOS 3 AÑOS")</f>
        <v>LOS 3 AÑOS</v>
      </c>
      <c r="K1970" s="16"/>
      <c r="L1970" s="14" t="s">
        <v>130</v>
      </c>
      <c r="M1970" s="16" t="str">
        <f t="shared" si="1"/>
        <v>14144 SANTA ROSA4 Primaria</v>
      </c>
      <c r="N1970" s="17"/>
      <c r="O1970" s="17"/>
      <c r="P1970" s="17"/>
      <c r="Q1970" s="17"/>
      <c r="R1970" s="17"/>
      <c r="S1970" s="17"/>
      <c r="T1970" s="17"/>
    </row>
    <row r="1971">
      <c r="A1971" s="21">
        <v>774.0</v>
      </c>
      <c r="B1971" s="20" t="s">
        <v>48</v>
      </c>
      <c r="C1971" s="20" t="s">
        <v>14</v>
      </c>
      <c r="D1971" s="20" t="s">
        <v>20</v>
      </c>
      <c r="E1971" s="12" t="str">
        <f>IFERROR(__xludf.DUMMYFUNCTION("FILTER(colegios!$B$2:$B5618,colegios!$A$2:$A5618=L1971)"),"14144 SANTA ROSA")</f>
        <v>14144 SANTA ROSA</v>
      </c>
      <c r="F1971" s="14" t="s">
        <v>16</v>
      </c>
      <c r="G1971" s="20" t="s">
        <v>17</v>
      </c>
      <c r="H1971" s="14" t="s">
        <v>24</v>
      </c>
      <c r="I1971" s="22">
        <v>2023.0</v>
      </c>
      <c r="J1971" s="16" t="str">
        <f>IFERROR(__xludf.DUMMYFUNCTION("FILTER('CLASFICACIÓN'!$F$3:$F5618,'CLASFICACIÓN'!$G$3:$G5618=M1971)"),"LOS 3 AÑOS")</f>
        <v>LOS 3 AÑOS</v>
      </c>
      <c r="K1971" s="16"/>
      <c r="L1971" s="14" t="s">
        <v>130</v>
      </c>
      <c r="M1971" s="16" t="str">
        <f t="shared" si="1"/>
        <v>14144 SANTA ROSA4 Primaria</v>
      </c>
      <c r="N1971" s="17"/>
      <c r="O1971" s="17"/>
      <c r="P1971" s="17"/>
      <c r="Q1971" s="17"/>
      <c r="R1971" s="17"/>
      <c r="S1971" s="17"/>
      <c r="T1971" s="17"/>
    </row>
    <row r="1972">
      <c r="A1972" s="21">
        <v>775.0</v>
      </c>
      <c r="B1972" s="20" t="s">
        <v>48</v>
      </c>
      <c r="C1972" s="20" t="s">
        <v>14</v>
      </c>
      <c r="D1972" s="20" t="s">
        <v>20</v>
      </c>
      <c r="E1972" s="12" t="str">
        <f>IFERROR(__xludf.DUMMYFUNCTION("FILTER(colegios!$B$2:$B5618,colegios!$A$2:$A5618=L1972)"),"14144 SANTA ROSA")</f>
        <v>14144 SANTA ROSA</v>
      </c>
      <c r="F1972" s="14" t="s">
        <v>16</v>
      </c>
      <c r="G1972" s="20" t="s">
        <v>21</v>
      </c>
      <c r="H1972" s="14" t="s">
        <v>18</v>
      </c>
      <c r="I1972" s="22">
        <v>2023.0</v>
      </c>
      <c r="J1972" s="16" t="str">
        <f>IFERROR(__xludf.DUMMYFUNCTION("FILTER('CLASFICACIÓN'!$F$3:$F5618,'CLASFICACIÓN'!$G$3:$G5618=M1972)"),"LOS 3 AÑOS")</f>
        <v>LOS 3 AÑOS</v>
      </c>
      <c r="K1972" s="16"/>
      <c r="L1972" s="14" t="s">
        <v>130</v>
      </c>
      <c r="M1972" s="16" t="str">
        <f t="shared" si="1"/>
        <v>14144 SANTA ROSA4 Primaria</v>
      </c>
      <c r="N1972" s="17"/>
      <c r="O1972" s="17"/>
      <c r="P1972" s="17"/>
      <c r="Q1972" s="17"/>
      <c r="R1972" s="17"/>
      <c r="S1972" s="17"/>
      <c r="T1972" s="17"/>
    </row>
    <row r="1973">
      <c r="A1973" s="21">
        <v>776.0</v>
      </c>
      <c r="B1973" s="20" t="s">
        <v>48</v>
      </c>
      <c r="C1973" s="20" t="s">
        <v>14</v>
      </c>
      <c r="D1973" s="20" t="s">
        <v>20</v>
      </c>
      <c r="E1973" s="12" t="str">
        <f>IFERROR(__xludf.DUMMYFUNCTION("FILTER(colegios!$B$2:$B5618,colegios!$A$2:$A5618=L1973)"),"14144 SANTA ROSA")</f>
        <v>14144 SANTA ROSA</v>
      </c>
      <c r="F1973" s="14" t="s">
        <v>16</v>
      </c>
      <c r="G1973" s="20" t="s">
        <v>21</v>
      </c>
      <c r="H1973" s="14" t="s">
        <v>24</v>
      </c>
      <c r="I1973" s="22">
        <v>2023.0</v>
      </c>
      <c r="J1973" s="16" t="str">
        <f>IFERROR(__xludf.DUMMYFUNCTION("FILTER('CLASFICACIÓN'!$F$3:$F5618,'CLASFICACIÓN'!$G$3:$G5618=M1973)"),"LOS 3 AÑOS")</f>
        <v>LOS 3 AÑOS</v>
      </c>
      <c r="K1973" s="16"/>
      <c r="L1973" s="14" t="s">
        <v>130</v>
      </c>
      <c r="M1973" s="16" t="str">
        <f t="shared" si="1"/>
        <v>14144 SANTA ROSA4 Primaria</v>
      </c>
      <c r="N1973" s="17"/>
      <c r="O1973" s="17"/>
      <c r="P1973" s="17"/>
      <c r="Q1973" s="17"/>
      <c r="R1973" s="17"/>
      <c r="S1973" s="17"/>
      <c r="T1973" s="17"/>
    </row>
    <row r="1974">
      <c r="A1974" s="21">
        <v>777.0</v>
      </c>
      <c r="B1974" s="20" t="s">
        <v>48</v>
      </c>
      <c r="C1974" s="20" t="s">
        <v>14</v>
      </c>
      <c r="D1974" s="20" t="s">
        <v>20</v>
      </c>
      <c r="E1974" s="12" t="str">
        <f>IFERROR(__xludf.DUMMYFUNCTION("FILTER(colegios!$B$2:$B5618,colegios!$A$2:$A5618=L1974)"),"14144 SANTA ROSA")</f>
        <v>14144 SANTA ROSA</v>
      </c>
      <c r="F1974" s="14" t="s">
        <v>16</v>
      </c>
      <c r="G1974" s="20" t="s">
        <v>17</v>
      </c>
      <c r="H1974" s="14" t="s">
        <v>18</v>
      </c>
      <c r="I1974" s="22">
        <v>2023.0</v>
      </c>
      <c r="J1974" s="16" t="str">
        <f>IFERROR(__xludf.DUMMYFUNCTION("FILTER('CLASFICACIÓN'!$F$3:$F5618,'CLASFICACIÓN'!$G$3:$G5618=M1974)"),"LOS 3 AÑOS")</f>
        <v>LOS 3 AÑOS</v>
      </c>
      <c r="K1974" s="16"/>
      <c r="L1974" s="14" t="s">
        <v>130</v>
      </c>
      <c r="M1974" s="16" t="str">
        <f t="shared" si="1"/>
        <v>14144 SANTA ROSA4 Primaria</v>
      </c>
      <c r="N1974" s="17"/>
      <c r="O1974" s="17"/>
      <c r="P1974" s="17"/>
      <c r="Q1974" s="17"/>
      <c r="R1974" s="17"/>
      <c r="S1974" s="17"/>
      <c r="T1974" s="17"/>
    </row>
    <row r="1975">
      <c r="A1975" s="21">
        <v>778.0</v>
      </c>
      <c r="B1975" s="20" t="s">
        <v>48</v>
      </c>
      <c r="C1975" s="20" t="s">
        <v>14</v>
      </c>
      <c r="D1975" s="20" t="s">
        <v>20</v>
      </c>
      <c r="E1975" s="12" t="str">
        <f>IFERROR(__xludf.DUMMYFUNCTION("FILTER(colegios!$B$2:$B5618,colegios!$A$2:$A5618=L1975)"),"14144 SANTA ROSA")</f>
        <v>14144 SANTA ROSA</v>
      </c>
      <c r="F1975" s="14" t="s">
        <v>16</v>
      </c>
      <c r="G1975" s="20" t="s">
        <v>17</v>
      </c>
      <c r="H1975" s="14" t="s">
        <v>24</v>
      </c>
      <c r="I1975" s="22">
        <v>2023.0</v>
      </c>
      <c r="J1975" s="16" t="str">
        <f>IFERROR(__xludf.DUMMYFUNCTION("FILTER('CLASFICACIÓN'!$F$3:$F5618,'CLASFICACIÓN'!$G$3:$G5618=M1975)"),"LOS 3 AÑOS")</f>
        <v>LOS 3 AÑOS</v>
      </c>
      <c r="K1975" s="16"/>
      <c r="L1975" s="14" t="s">
        <v>130</v>
      </c>
      <c r="M1975" s="16" t="str">
        <f t="shared" si="1"/>
        <v>14144 SANTA ROSA4 Primaria</v>
      </c>
      <c r="N1975" s="17"/>
      <c r="O1975" s="17"/>
      <c r="P1975" s="17"/>
      <c r="Q1975" s="17"/>
      <c r="R1975" s="17"/>
      <c r="S1975" s="17"/>
      <c r="T1975" s="17"/>
    </row>
    <row r="1976">
      <c r="A1976" s="21">
        <v>779.0</v>
      </c>
      <c r="B1976" s="20" t="s">
        <v>48</v>
      </c>
      <c r="C1976" s="20" t="s">
        <v>14</v>
      </c>
      <c r="D1976" s="20" t="s">
        <v>22</v>
      </c>
      <c r="E1976" s="12" t="str">
        <f>IFERROR(__xludf.DUMMYFUNCTION("FILTER(colegios!$B$2:$B5618,colegios!$A$2:$A5618=L1976)"),"14144 SANTA ROSA")</f>
        <v>14144 SANTA ROSA</v>
      </c>
      <c r="F1976" s="14" t="s">
        <v>16</v>
      </c>
      <c r="G1976" s="20" t="s">
        <v>17</v>
      </c>
      <c r="H1976" s="14" t="s">
        <v>18</v>
      </c>
      <c r="I1976" s="22">
        <v>2023.0</v>
      </c>
      <c r="J1976" s="16" t="str">
        <f>IFERROR(__xludf.DUMMYFUNCTION("FILTER('CLASFICACIÓN'!$F$3:$F5618,'CLASFICACIÓN'!$G$3:$G5618=M1976)"),"LOS 3 AÑOS")</f>
        <v>LOS 3 AÑOS</v>
      </c>
      <c r="K1976" s="16"/>
      <c r="L1976" s="14" t="s">
        <v>130</v>
      </c>
      <c r="M1976" s="16" t="str">
        <f t="shared" si="1"/>
        <v>14144 SANTA ROSA6 Primaria</v>
      </c>
      <c r="N1976" s="17"/>
      <c r="O1976" s="17"/>
      <c r="P1976" s="17"/>
      <c r="Q1976" s="17"/>
      <c r="R1976" s="17"/>
      <c r="S1976" s="17"/>
      <c r="T1976" s="17"/>
    </row>
    <row r="1977">
      <c r="A1977" s="21">
        <v>780.0</v>
      </c>
      <c r="B1977" s="20" t="s">
        <v>48</v>
      </c>
      <c r="C1977" s="20" t="s">
        <v>14</v>
      </c>
      <c r="D1977" s="20" t="s">
        <v>22</v>
      </c>
      <c r="E1977" s="12" t="str">
        <f>IFERROR(__xludf.DUMMYFUNCTION("FILTER(colegios!$B$2:$B5618,colegios!$A$2:$A5618=L1977)"),"14144 SANTA ROSA")</f>
        <v>14144 SANTA ROSA</v>
      </c>
      <c r="F1977" s="14" t="s">
        <v>16</v>
      </c>
      <c r="G1977" s="20" t="s">
        <v>17</v>
      </c>
      <c r="H1977" s="14" t="s">
        <v>18</v>
      </c>
      <c r="I1977" s="22">
        <v>2023.0</v>
      </c>
      <c r="J1977" s="16" t="str">
        <f>IFERROR(__xludf.DUMMYFUNCTION("FILTER('CLASFICACIÓN'!$F$3:$F5618,'CLASFICACIÓN'!$G$3:$G5618=M1977)"),"LOS 3 AÑOS")</f>
        <v>LOS 3 AÑOS</v>
      </c>
      <c r="K1977" s="16"/>
      <c r="L1977" s="14" t="s">
        <v>130</v>
      </c>
      <c r="M1977" s="16" t="str">
        <f t="shared" si="1"/>
        <v>14144 SANTA ROSA6 Primaria</v>
      </c>
      <c r="N1977" s="17"/>
      <c r="O1977" s="17"/>
      <c r="P1977" s="17"/>
      <c r="Q1977" s="17"/>
      <c r="R1977" s="17"/>
      <c r="S1977" s="17"/>
      <c r="T1977" s="17"/>
    </row>
    <row r="1978">
      <c r="A1978" s="21">
        <v>781.0</v>
      </c>
      <c r="B1978" s="20" t="s">
        <v>48</v>
      </c>
      <c r="C1978" s="20" t="s">
        <v>14</v>
      </c>
      <c r="D1978" s="20" t="s">
        <v>22</v>
      </c>
      <c r="E1978" s="12" t="str">
        <f>IFERROR(__xludf.DUMMYFUNCTION("FILTER(colegios!$B$2:$B5618,colegios!$A$2:$A5618=L1978)"),"14144 SANTA ROSA")</f>
        <v>14144 SANTA ROSA</v>
      </c>
      <c r="F1978" s="14" t="s">
        <v>16</v>
      </c>
      <c r="G1978" s="20" t="s">
        <v>17</v>
      </c>
      <c r="H1978" s="14" t="s">
        <v>18</v>
      </c>
      <c r="I1978" s="22">
        <v>2023.0</v>
      </c>
      <c r="J1978" s="16" t="str">
        <f>IFERROR(__xludf.DUMMYFUNCTION("FILTER('CLASFICACIÓN'!$F$3:$F5618,'CLASFICACIÓN'!$G$3:$G5618=M1978)"),"LOS 3 AÑOS")</f>
        <v>LOS 3 AÑOS</v>
      </c>
      <c r="K1978" s="16"/>
      <c r="L1978" s="14" t="s">
        <v>130</v>
      </c>
      <c r="M1978" s="16" t="str">
        <f t="shared" si="1"/>
        <v>14144 SANTA ROSA6 Primaria</v>
      </c>
      <c r="N1978" s="17"/>
      <c r="O1978" s="17"/>
      <c r="P1978" s="17"/>
      <c r="Q1978" s="17"/>
      <c r="R1978" s="17"/>
      <c r="S1978" s="17"/>
      <c r="T1978" s="17"/>
    </row>
    <row r="1979">
      <c r="A1979" s="21">
        <v>782.0</v>
      </c>
      <c r="B1979" s="20" t="s">
        <v>48</v>
      </c>
      <c r="C1979" s="20" t="s">
        <v>14</v>
      </c>
      <c r="D1979" s="20" t="s">
        <v>22</v>
      </c>
      <c r="E1979" s="12" t="str">
        <f>IFERROR(__xludf.DUMMYFUNCTION("FILTER(colegios!$B$2:$B5618,colegios!$A$2:$A5618=L1979)"),"14144 SANTA ROSA")</f>
        <v>14144 SANTA ROSA</v>
      </c>
      <c r="F1979" s="14" t="s">
        <v>16</v>
      </c>
      <c r="G1979" s="20" t="s">
        <v>21</v>
      </c>
      <c r="H1979" s="14" t="s">
        <v>18</v>
      </c>
      <c r="I1979" s="22">
        <v>2023.0</v>
      </c>
      <c r="J1979" s="16" t="str">
        <f>IFERROR(__xludf.DUMMYFUNCTION("FILTER('CLASFICACIÓN'!$F$3:$F5618,'CLASFICACIÓN'!$G$3:$G5618=M1979)"),"LOS 3 AÑOS")</f>
        <v>LOS 3 AÑOS</v>
      </c>
      <c r="K1979" s="16"/>
      <c r="L1979" s="14" t="s">
        <v>130</v>
      </c>
      <c r="M1979" s="16" t="str">
        <f t="shared" si="1"/>
        <v>14144 SANTA ROSA6 Primaria</v>
      </c>
      <c r="N1979" s="17"/>
      <c r="O1979" s="17"/>
      <c r="P1979" s="17"/>
      <c r="Q1979" s="17"/>
      <c r="R1979" s="17"/>
      <c r="S1979" s="17"/>
      <c r="T1979" s="17"/>
    </row>
    <row r="1980">
      <c r="A1980" s="21">
        <v>783.0</v>
      </c>
      <c r="B1980" s="20" t="s">
        <v>48</v>
      </c>
      <c r="C1980" s="20" t="s">
        <v>14</v>
      </c>
      <c r="D1980" s="20" t="s">
        <v>22</v>
      </c>
      <c r="E1980" s="12" t="str">
        <f>IFERROR(__xludf.DUMMYFUNCTION("FILTER(colegios!$B$2:$B5618,colegios!$A$2:$A5618=L1980)"),"14144 SANTA ROSA")</f>
        <v>14144 SANTA ROSA</v>
      </c>
      <c r="F1980" s="14" t="s">
        <v>16</v>
      </c>
      <c r="G1980" s="20" t="s">
        <v>21</v>
      </c>
      <c r="H1980" s="14" t="s">
        <v>18</v>
      </c>
      <c r="I1980" s="22">
        <v>2023.0</v>
      </c>
      <c r="J1980" s="16" t="str">
        <f>IFERROR(__xludf.DUMMYFUNCTION("FILTER('CLASFICACIÓN'!$F$3:$F5618,'CLASFICACIÓN'!$G$3:$G5618=M1980)"),"LOS 3 AÑOS")</f>
        <v>LOS 3 AÑOS</v>
      </c>
      <c r="K1980" s="16"/>
      <c r="L1980" s="14" t="s">
        <v>130</v>
      </c>
      <c r="M1980" s="16" t="str">
        <f t="shared" si="1"/>
        <v>14144 SANTA ROSA6 Primaria</v>
      </c>
      <c r="N1980" s="17"/>
      <c r="O1980" s="17"/>
      <c r="P1980" s="17"/>
      <c r="Q1980" s="17"/>
      <c r="R1980" s="17"/>
      <c r="S1980" s="17"/>
      <c r="T1980" s="17"/>
    </row>
    <row r="1981">
      <c r="A1981" s="21">
        <v>784.0</v>
      </c>
      <c r="B1981" s="20" t="s">
        <v>48</v>
      </c>
      <c r="C1981" s="20" t="s">
        <v>14</v>
      </c>
      <c r="D1981" s="20" t="s">
        <v>22</v>
      </c>
      <c r="E1981" s="12" t="str">
        <f>IFERROR(__xludf.DUMMYFUNCTION("FILTER(colegios!$B$2:$B5618,colegios!$A$2:$A5618=L1981)"),"14144 SANTA ROSA")</f>
        <v>14144 SANTA ROSA</v>
      </c>
      <c r="F1981" s="14" t="s">
        <v>16</v>
      </c>
      <c r="G1981" s="20" t="s">
        <v>21</v>
      </c>
      <c r="H1981" s="14" t="s">
        <v>18</v>
      </c>
      <c r="I1981" s="22">
        <v>2023.0</v>
      </c>
      <c r="J1981" s="16" t="str">
        <f>IFERROR(__xludf.DUMMYFUNCTION("FILTER('CLASFICACIÓN'!$F$3:$F5618,'CLASFICACIÓN'!$G$3:$G5618=M1981)"),"LOS 3 AÑOS")</f>
        <v>LOS 3 AÑOS</v>
      </c>
      <c r="K1981" s="16"/>
      <c r="L1981" s="14" t="s">
        <v>130</v>
      </c>
      <c r="M1981" s="16" t="str">
        <f t="shared" si="1"/>
        <v>14144 SANTA ROSA6 Primaria</v>
      </c>
      <c r="N1981" s="17"/>
      <c r="O1981" s="17"/>
      <c r="P1981" s="17"/>
      <c r="Q1981" s="17"/>
      <c r="R1981" s="17"/>
      <c r="S1981" s="17"/>
      <c r="T1981" s="17"/>
    </row>
    <row r="1982">
      <c r="A1982" s="21">
        <v>785.0</v>
      </c>
      <c r="B1982" s="20" t="s">
        <v>48</v>
      </c>
      <c r="C1982" s="20" t="s">
        <v>14</v>
      </c>
      <c r="D1982" s="20" t="s">
        <v>22</v>
      </c>
      <c r="E1982" s="12" t="str">
        <f>IFERROR(__xludf.DUMMYFUNCTION("FILTER(colegios!$B$2:$B5618,colegios!$A$2:$A5618=L1982)"),"14144 SANTA ROSA")</f>
        <v>14144 SANTA ROSA</v>
      </c>
      <c r="F1982" s="14" t="s">
        <v>16</v>
      </c>
      <c r="G1982" s="20" t="s">
        <v>21</v>
      </c>
      <c r="H1982" s="14" t="s">
        <v>18</v>
      </c>
      <c r="I1982" s="22">
        <v>2023.0</v>
      </c>
      <c r="J1982" s="16" t="str">
        <f>IFERROR(__xludf.DUMMYFUNCTION("FILTER('CLASFICACIÓN'!$F$3:$F5618,'CLASFICACIÓN'!$G$3:$G5618=M1982)"),"LOS 3 AÑOS")</f>
        <v>LOS 3 AÑOS</v>
      </c>
      <c r="K1982" s="16"/>
      <c r="L1982" s="14" t="s">
        <v>130</v>
      </c>
      <c r="M1982" s="16" t="str">
        <f t="shared" si="1"/>
        <v>14144 SANTA ROSA6 Primaria</v>
      </c>
      <c r="N1982" s="17"/>
      <c r="O1982" s="17"/>
      <c r="P1982" s="17"/>
      <c r="Q1982" s="17"/>
      <c r="R1982" s="17"/>
      <c r="S1982" s="17"/>
      <c r="T1982" s="17"/>
    </row>
    <row r="1983">
      <c r="A1983" s="21">
        <v>786.0</v>
      </c>
      <c r="B1983" s="20" t="s">
        <v>48</v>
      </c>
      <c r="C1983" s="20" t="s">
        <v>14</v>
      </c>
      <c r="D1983" s="20" t="s">
        <v>22</v>
      </c>
      <c r="E1983" s="12" t="str">
        <f>IFERROR(__xludf.DUMMYFUNCTION("FILTER(colegios!$B$2:$B5618,colegios!$A$2:$A5618=L1983)"),"14144 SANTA ROSA")</f>
        <v>14144 SANTA ROSA</v>
      </c>
      <c r="F1983" s="14" t="s">
        <v>16</v>
      </c>
      <c r="G1983" s="20" t="s">
        <v>21</v>
      </c>
      <c r="H1983" s="14" t="s">
        <v>18</v>
      </c>
      <c r="I1983" s="22">
        <v>2023.0</v>
      </c>
      <c r="J1983" s="16" t="str">
        <f>IFERROR(__xludf.DUMMYFUNCTION("FILTER('CLASFICACIÓN'!$F$3:$F5618,'CLASFICACIÓN'!$G$3:$G5618=M1983)"),"LOS 3 AÑOS")</f>
        <v>LOS 3 AÑOS</v>
      </c>
      <c r="K1983" s="16"/>
      <c r="L1983" s="14" t="s">
        <v>130</v>
      </c>
      <c r="M1983" s="16" t="str">
        <f t="shared" si="1"/>
        <v>14144 SANTA ROSA6 Primaria</v>
      </c>
      <c r="N1983" s="17"/>
      <c r="O1983" s="17"/>
      <c r="P1983" s="17"/>
      <c r="Q1983" s="17"/>
      <c r="R1983" s="17"/>
      <c r="S1983" s="17"/>
      <c r="T1983" s="17"/>
    </row>
    <row r="1984">
      <c r="A1984" s="21">
        <v>787.0</v>
      </c>
      <c r="B1984" s="20" t="s">
        <v>48</v>
      </c>
      <c r="C1984" s="20" t="s">
        <v>14</v>
      </c>
      <c r="D1984" s="20" t="s">
        <v>22</v>
      </c>
      <c r="E1984" s="12" t="str">
        <f>IFERROR(__xludf.DUMMYFUNCTION("FILTER(colegios!$B$2:$B5618,colegios!$A$2:$A5618=L1984)"),"14144 SANTA ROSA")</f>
        <v>14144 SANTA ROSA</v>
      </c>
      <c r="F1984" s="14" t="s">
        <v>16</v>
      </c>
      <c r="G1984" s="20" t="s">
        <v>21</v>
      </c>
      <c r="H1984" s="14" t="s">
        <v>18</v>
      </c>
      <c r="I1984" s="22">
        <v>2023.0</v>
      </c>
      <c r="J1984" s="16" t="str">
        <f>IFERROR(__xludf.DUMMYFUNCTION("FILTER('CLASFICACIÓN'!$F$3:$F5618,'CLASFICACIÓN'!$G$3:$G5618=M1984)"),"LOS 3 AÑOS")</f>
        <v>LOS 3 AÑOS</v>
      </c>
      <c r="K1984" s="16"/>
      <c r="L1984" s="14" t="s">
        <v>130</v>
      </c>
      <c r="M1984" s="16" t="str">
        <f t="shared" si="1"/>
        <v>14144 SANTA ROSA6 Primaria</v>
      </c>
      <c r="N1984" s="17"/>
      <c r="O1984" s="17"/>
      <c r="P1984" s="17"/>
      <c r="Q1984" s="17"/>
      <c r="R1984" s="17"/>
      <c r="S1984" s="17"/>
      <c r="T1984" s="17"/>
    </row>
    <row r="1985">
      <c r="A1985" s="21">
        <v>788.0</v>
      </c>
      <c r="B1985" s="20" t="s">
        <v>48</v>
      </c>
      <c r="C1985" s="20" t="s">
        <v>14</v>
      </c>
      <c r="D1985" s="20" t="s">
        <v>22</v>
      </c>
      <c r="E1985" s="12" t="str">
        <f>IFERROR(__xludf.DUMMYFUNCTION("FILTER(colegios!$B$2:$B5618,colegios!$A$2:$A5618=L1985)"),"14144 SANTA ROSA")</f>
        <v>14144 SANTA ROSA</v>
      </c>
      <c r="F1985" s="14" t="s">
        <v>16</v>
      </c>
      <c r="G1985" s="20" t="s">
        <v>21</v>
      </c>
      <c r="H1985" s="14" t="s">
        <v>24</v>
      </c>
      <c r="I1985" s="22">
        <v>2023.0</v>
      </c>
      <c r="J1985" s="16" t="str">
        <f>IFERROR(__xludf.DUMMYFUNCTION("FILTER('CLASFICACIÓN'!$F$3:$F5618,'CLASFICACIÓN'!$G$3:$G5618=M1985)"),"LOS 3 AÑOS")</f>
        <v>LOS 3 AÑOS</v>
      </c>
      <c r="K1985" s="16"/>
      <c r="L1985" s="14" t="s">
        <v>130</v>
      </c>
      <c r="M1985" s="16" t="str">
        <f t="shared" si="1"/>
        <v>14144 SANTA ROSA6 Primaria</v>
      </c>
      <c r="N1985" s="17"/>
      <c r="O1985" s="17"/>
      <c r="P1985" s="17"/>
      <c r="Q1985" s="17"/>
      <c r="R1985" s="17"/>
      <c r="S1985" s="17"/>
      <c r="T1985" s="17"/>
    </row>
    <row r="1986">
      <c r="A1986" s="21">
        <v>789.0</v>
      </c>
      <c r="B1986" s="20" t="s">
        <v>48</v>
      </c>
      <c r="C1986" s="20" t="s">
        <v>14</v>
      </c>
      <c r="D1986" s="20" t="s">
        <v>22</v>
      </c>
      <c r="E1986" s="12" t="str">
        <f>IFERROR(__xludf.DUMMYFUNCTION("FILTER(colegios!$B$2:$B5618,colegios!$A$2:$A5618=L1986)"),"14144 SANTA ROSA")</f>
        <v>14144 SANTA ROSA</v>
      </c>
      <c r="F1986" s="14" t="s">
        <v>16</v>
      </c>
      <c r="G1986" s="20" t="s">
        <v>17</v>
      </c>
      <c r="H1986" s="14" t="s">
        <v>18</v>
      </c>
      <c r="I1986" s="22">
        <v>2023.0</v>
      </c>
      <c r="J1986" s="16" t="str">
        <f>IFERROR(__xludf.DUMMYFUNCTION("FILTER('CLASFICACIÓN'!$F$3:$F5618,'CLASFICACIÓN'!$G$3:$G5618=M1986)"),"LOS 3 AÑOS")</f>
        <v>LOS 3 AÑOS</v>
      </c>
      <c r="K1986" s="16"/>
      <c r="L1986" s="14" t="s">
        <v>130</v>
      </c>
      <c r="M1986" s="16" t="str">
        <f t="shared" si="1"/>
        <v>14144 SANTA ROSA6 Primaria</v>
      </c>
      <c r="N1986" s="17"/>
      <c r="O1986" s="17"/>
      <c r="P1986" s="17"/>
      <c r="Q1986" s="17"/>
      <c r="R1986" s="17"/>
      <c r="S1986" s="17"/>
      <c r="T1986" s="17"/>
    </row>
    <row r="1987">
      <c r="A1987" s="21">
        <v>790.0</v>
      </c>
      <c r="B1987" s="20" t="s">
        <v>48</v>
      </c>
      <c r="C1987" s="20" t="s">
        <v>14</v>
      </c>
      <c r="D1987" s="20" t="s">
        <v>22</v>
      </c>
      <c r="E1987" s="12" t="str">
        <f>IFERROR(__xludf.DUMMYFUNCTION("FILTER(colegios!$B$2:$B5618,colegios!$A$2:$A5618=L1987)"),"14144 SANTA ROSA")</f>
        <v>14144 SANTA ROSA</v>
      </c>
      <c r="F1987" s="14" t="s">
        <v>16</v>
      </c>
      <c r="G1987" s="20" t="s">
        <v>17</v>
      </c>
      <c r="H1987" s="14" t="s">
        <v>18</v>
      </c>
      <c r="I1987" s="22">
        <v>2023.0</v>
      </c>
      <c r="J1987" s="16" t="str">
        <f>IFERROR(__xludf.DUMMYFUNCTION("FILTER('CLASFICACIÓN'!$F$3:$F5618,'CLASFICACIÓN'!$G$3:$G5618=M1987)"),"LOS 3 AÑOS")</f>
        <v>LOS 3 AÑOS</v>
      </c>
      <c r="K1987" s="16"/>
      <c r="L1987" s="14" t="s">
        <v>130</v>
      </c>
      <c r="M1987" s="16" t="str">
        <f t="shared" si="1"/>
        <v>14144 SANTA ROSA6 Primaria</v>
      </c>
      <c r="N1987" s="17"/>
      <c r="O1987" s="17"/>
      <c r="P1987" s="17"/>
      <c r="Q1987" s="17"/>
      <c r="R1987" s="17"/>
      <c r="S1987" s="17"/>
      <c r="T1987" s="17"/>
    </row>
    <row r="1988">
      <c r="A1988" s="21">
        <v>791.0</v>
      </c>
      <c r="B1988" s="20" t="s">
        <v>48</v>
      </c>
      <c r="C1988" s="20" t="s">
        <v>14</v>
      </c>
      <c r="D1988" s="20" t="s">
        <v>22</v>
      </c>
      <c r="E1988" s="12" t="str">
        <f>IFERROR(__xludf.DUMMYFUNCTION("FILTER(colegios!$B$2:$B5618,colegios!$A$2:$A5618=L1988)"),"14144 SANTA ROSA")</f>
        <v>14144 SANTA ROSA</v>
      </c>
      <c r="F1988" s="14" t="s">
        <v>16</v>
      </c>
      <c r="G1988" s="20" t="s">
        <v>21</v>
      </c>
      <c r="H1988" s="14" t="s">
        <v>24</v>
      </c>
      <c r="I1988" s="22">
        <v>2023.0</v>
      </c>
      <c r="J1988" s="16" t="str">
        <f>IFERROR(__xludf.DUMMYFUNCTION("FILTER('CLASFICACIÓN'!$F$3:$F5618,'CLASFICACIÓN'!$G$3:$G5618=M1988)"),"LOS 3 AÑOS")</f>
        <v>LOS 3 AÑOS</v>
      </c>
      <c r="K1988" s="16"/>
      <c r="L1988" s="14" t="s">
        <v>130</v>
      </c>
      <c r="M1988" s="16" t="str">
        <f t="shared" si="1"/>
        <v>14144 SANTA ROSA6 Primaria</v>
      </c>
      <c r="N1988" s="17"/>
      <c r="O1988" s="17"/>
      <c r="P1988" s="17"/>
      <c r="Q1988" s="17"/>
      <c r="R1988" s="17"/>
      <c r="S1988" s="17"/>
      <c r="T1988" s="17"/>
    </row>
    <row r="1989">
      <c r="A1989" s="21">
        <v>792.0</v>
      </c>
      <c r="B1989" s="20" t="s">
        <v>48</v>
      </c>
      <c r="C1989" s="20" t="s">
        <v>14</v>
      </c>
      <c r="D1989" s="20" t="s">
        <v>22</v>
      </c>
      <c r="E1989" s="12" t="str">
        <f>IFERROR(__xludf.DUMMYFUNCTION("FILTER(colegios!$B$2:$B5618,colegios!$A$2:$A5618=L1989)"),"14144 SANTA ROSA")</f>
        <v>14144 SANTA ROSA</v>
      </c>
      <c r="F1989" s="14" t="s">
        <v>16</v>
      </c>
      <c r="G1989" s="20" t="s">
        <v>21</v>
      </c>
      <c r="H1989" s="14" t="s">
        <v>18</v>
      </c>
      <c r="I1989" s="22">
        <v>2023.0</v>
      </c>
      <c r="J1989" s="16" t="str">
        <f>IFERROR(__xludf.DUMMYFUNCTION("FILTER('CLASFICACIÓN'!$F$3:$F5618,'CLASFICACIÓN'!$G$3:$G5618=M1989)"),"LOS 3 AÑOS")</f>
        <v>LOS 3 AÑOS</v>
      </c>
      <c r="K1989" s="16"/>
      <c r="L1989" s="14" t="s">
        <v>130</v>
      </c>
      <c r="M1989" s="16" t="str">
        <f t="shared" si="1"/>
        <v>14144 SANTA ROSA6 Primaria</v>
      </c>
      <c r="N1989" s="17"/>
      <c r="O1989" s="17"/>
      <c r="P1989" s="17"/>
      <c r="Q1989" s="17"/>
      <c r="R1989" s="17"/>
      <c r="S1989" s="17"/>
      <c r="T1989" s="17"/>
    </row>
    <row r="1990">
      <c r="A1990" s="21">
        <v>793.0</v>
      </c>
      <c r="B1990" s="20" t="s">
        <v>48</v>
      </c>
      <c r="C1990" s="20" t="s">
        <v>14</v>
      </c>
      <c r="D1990" s="20" t="s">
        <v>22</v>
      </c>
      <c r="E1990" s="12" t="str">
        <f>IFERROR(__xludf.DUMMYFUNCTION("FILTER(colegios!$B$2:$B5618,colegios!$A$2:$A5618=L1990)"),"14144 SANTA ROSA")</f>
        <v>14144 SANTA ROSA</v>
      </c>
      <c r="F1990" s="14" t="s">
        <v>16</v>
      </c>
      <c r="G1990" s="20" t="s">
        <v>17</v>
      </c>
      <c r="H1990" s="14" t="s">
        <v>18</v>
      </c>
      <c r="I1990" s="22">
        <v>2023.0</v>
      </c>
      <c r="J1990" s="16" t="str">
        <f>IFERROR(__xludf.DUMMYFUNCTION("FILTER('CLASFICACIÓN'!$F$3:$F5618,'CLASFICACIÓN'!$G$3:$G5618=M1990)"),"LOS 3 AÑOS")</f>
        <v>LOS 3 AÑOS</v>
      </c>
      <c r="K1990" s="16"/>
      <c r="L1990" s="14" t="s">
        <v>130</v>
      </c>
      <c r="M1990" s="16" t="str">
        <f t="shared" si="1"/>
        <v>14144 SANTA ROSA6 Primaria</v>
      </c>
      <c r="N1990" s="17"/>
      <c r="O1990" s="17"/>
      <c r="P1990" s="17"/>
      <c r="Q1990" s="17"/>
      <c r="R1990" s="17"/>
      <c r="S1990" s="17"/>
      <c r="T1990" s="17"/>
    </row>
    <row r="1991">
      <c r="A1991" s="21">
        <v>794.0</v>
      </c>
      <c r="B1991" s="20" t="s">
        <v>48</v>
      </c>
      <c r="C1991" s="20" t="s">
        <v>14</v>
      </c>
      <c r="D1991" s="20" t="s">
        <v>22</v>
      </c>
      <c r="E1991" s="12" t="str">
        <f>IFERROR(__xludf.DUMMYFUNCTION("FILTER(colegios!$B$2:$B5618,colegios!$A$2:$A5618=L1991)"),"14144 SANTA ROSA")</f>
        <v>14144 SANTA ROSA</v>
      </c>
      <c r="F1991" s="14" t="s">
        <v>16</v>
      </c>
      <c r="G1991" s="20" t="s">
        <v>21</v>
      </c>
      <c r="H1991" s="14" t="s">
        <v>18</v>
      </c>
      <c r="I1991" s="22">
        <v>2023.0</v>
      </c>
      <c r="J1991" s="16" t="str">
        <f>IFERROR(__xludf.DUMMYFUNCTION("FILTER('CLASFICACIÓN'!$F$3:$F5618,'CLASFICACIÓN'!$G$3:$G5618=M1991)"),"LOS 3 AÑOS")</f>
        <v>LOS 3 AÑOS</v>
      </c>
      <c r="K1991" s="16"/>
      <c r="L1991" s="14" t="s">
        <v>130</v>
      </c>
      <c r="M1991" s="16" t="str">
        <f t="shared" si="1"/>
        <v>14144 SANTA ROSA6 Primaria</v>
      </c>
      <c r="N1991" s="17"/>
      <c r="O1991" s="17"/>
      <c r="P1991" s="17"/>
      <c r="Q1991" s="17"/>
      <c r="R1991" s="17"/>
      <c r="S1991" s="17"/>
      <c r="T1991" s="17"/>
    </row>
    <row r="1992">
      <c r="A1992" s="21">
        <v>795.0</v>
      </c>
      <c r="B1992" s="20" t="s">
        <v>48</v>
      </c>
      <c r="C1992" s="20" t="s">
        <v>14</v>
      </c>
      <c r="D1992" s="20" t="s">
        <v>22</v>
      </c>
      <c r="E1992" s="12" t="str">
        <f>IFERROR(__xludf.DUMMYFUNCTION("FILTER(colegios!$B$2:$B5618,colegios!$A$2:$A5618=L1992)"),"14144 SANTA ROSA")</f>
        <v>14144 SANTA ROSA</v>
      </c>
      <c r="F1992" s="14" t="s">
        <v>16</v>
      </c>
      <c r="G1992" s="20" t="s">
        <v>21</v>
      </c>
      <c r="H1992" s="14" t="s">
        <v>24</v>
      </c>
      <c r="I1992" s="22">
        <v>2023.0</v>
      </c>
      <c r="J1992" s="16" t="str">
        <f>IFERROR(__xludf.DUMMYFUNCTION("FILTER('CLASFICACIÓN'!$F$3:$F5618,'CLASFICACIÓN'!$G$3:$G5618=M1992)"),"LOS 3 AÑOS")</f>
        <v>LOS 3 AÑOS</v>
      </c>
      <c r="K1992" s="16"/>
      <c r="L1992" s="14" t="s">
        <v>130</v>
      </c>
      <c r="M1992" s="16" t="str">
        <f t="shared" si="1"/>
        <v>14144 SANTA ROSA6 Primaria</v>
      </c>
      <c r="N1992" s="17"/>
      <c r="O1992" s="17"/>
      <c r="P1992" s="17"/>
      <c r="Q1992" s="17"/>
      <c r="R1992" s="17"/>
      <c r="S1992" s="17"/>
      <c r="T1992" s="17"/>
    </row>
    <row r="1993">
      <c r="A1993" s="21">
        <v>796.0</v>
      </c>
      <c r="B1993" s="20" t="s">
        <v>48</v>
      </c>
      <c r="C1993" s="20" t="s">
        <v>14</v>
      </c>
      <c r="D1993" s="20" t="s">
        <v>22</v>
      </c>
      <c r="E1993" s="12" t="str">
        <f>IFERROR(__xludf.DUMMYFUNCTION("FILTER(colegios!$B$2:$B5618,colegios!$A$2:$A5618=L1993)"),"14144 SANTA ROSA")</f>
        <v>14144 SANTA ROSA</v>
      </c>
      <c r="F1993" s="14" t="s">
        <v>16</v>
      </c>
      <c r="G1993" s="20" t="s">
        <v>17</v>
      </c>
      <c r="H1993" s="14" t="s">
        <v>18</v>
      </c>
      <c r="I1993" s="22">
        <v>2023.0</v>
      </c>
      <c r="J1993" s="16" t="str">
        <f>IFERROR(__xludf.DUMMYFUNCTION("FILTER('CLASFICACIÓN'!$F$3:$F5618,'CLASFICACIÓN'!$G$3:$G5618=M1993)"),"LOS 3 AÑOS")</f>
        <v>LOS 3 AÑOS</v>
      </c>
      <c r="K1993" s="16"/>
      <c r="L1993" s="14" t="s">
        <v>130</v>
      </c>
      <c r="M1993" s="16" t="str">
        <f t="shared" si="1"/>
        <v>14144 SANTA ROSA6 Primaria</v>
      </c>
      <c r="N1993" s="17"/>
      <c r="O1993" s="17"/>
      <c r="P1993" s="17"/>
      <c r="Q1993" s="17"/>
      <c r="R1993" s="17"/>
      <c r="S1993" s="17"/>
      <c r="T1993" s="17"/>
    </row>
    <row r="1994">
      <c r="A1994" s="21">
        <v>797.0</v>
      </c>
      <c r="B1994" s="20" t="s">
        <v>48</v>
      </c>
      <c r="C1994" s="20" t="s">
        <v>14</v>
      </c>
      <c r="D1994" s="20" t="s">
        <v>22</v>
      </c>
      <c r="E1994" s="12" t="str">
        <f>IFERROR(__xludf.DUMMYFUNCTION("FILTER(colegios!$B$2:$B5618,colegios!$A$2:$A5618=L1994)"),"14144 SANTA ROSA")</f>
        <v>14144 SANTA ROSA</v>
      </c>
      <c r="F1994" s="14" t="s">
        <v>16</v>
      </c>
      <c r="G1994" s="20" t="s">
        <v>17</v>
      </c>
      <c r="H1994" s="14" t="s">
        <v>24</v>
      </c>
      <c r="I1994" s="22">
        <v>2023.0</v>
      </c>
      <c r="J1994" s="16" t="str">
        <f>IFERROR(__xludf.DUMMYFUNCTION("FILTER('CLASFICACIÓN'!$F$3:$F5618,'CLASFICACIÓN'!$G$3:$G5618=M1994)"),"LOS 3 AÑOS")</f>
        <v>LOS 3 AÑOS</v>
      </c>
      <c r="K1994" s="16"/>
      <c r="L1994" s="14" t="s">
        <v>130</v>
      </c>
      <c r="M1994" s="16" t="str">
        <f t="shared" si="1"/>
        <v>14144 SANTA ROSA6 Primaria</v>
      </c>
      <c r="N1994" s="17"/>
      <c r="O1994" s="17"/>
      <c r="P1994" s="17"/>
      <c r="Q1994" s="17"/>
      <c r="R1994" s="17"/>
      <c r="S1994" s="17"/>
      <c r="T1994" s="17"/>
    </row>
    <row r="1995">
      <c r="A1995" s="21">
        <v>798.0</v>
      </c>
      <c r="B1995" s="20" t="s">
        <v>48</v>
      </c>
      <c r="C1995" s="20" t="s">
        <v>14</v>
      </c>
      <c r="D1995" s="20" t="s">
        <v>22</v>
      </c>
      <c r="E1995" s="12" t="str">
        <f>IFERROR(__xludf.DUMMYFUNCTION("FILTER(colegios!$B$2:$B5618,colegios!$A$2:$A5618=L1995)"),"14144 SANTA ROSA")</f>
        <v>14144 SANTA ROSA</v>
      </c>
      <c r="F1995" s="14" t="s">
        <v>16</v>
      </c>
      <c r="G1995" s="20" t="s">
        <v>21</v>
      </c>
      <c r="H1995" s="14" t="s">
        <v>18</v>
      </c>
      <c r="I1995" s="22">
        <v>2023.0</v>
      </c>
      <c r="J1995" s="16" t="str">
        <f>IFERROR(__xludf.DUMMYFUNCTION("FILTER('CLASFICACIÓN'!$F$3:$F5618,'CLASFICACIÓN'!$G$3:$G5618=M1995)"),"LOS 3 AÑOS")</f>
        <v>LOS 3 AÑOS</v>
      </c>
      <c r="K1995" s="16"/>
      <c r="L1995" s="14" t="s">
        <v>130</v>
      </c>
      <c r="M1995" s="16" t="str">
        <f t="shared" si="1"/>
        <v>14144 SANTA ROSA6 Primaria</v>
      </c>
      <c r="N1995" s="17"/>
      <c r="O1995" s="17"/>
      <c r="P1995" s="17"/>
      <c r="Q1995" s="17"/>
      <c r="R1995" s="17"/>
      <c r="S1995" s="17"/>
      <c r="T1995" s="17"/>
    </row>
    <row r="1996">
      <c r="A1996" s="21">
        <v>799.0</v>
      </c>
      <c r="B1996" s="20" t="s">
        <v>48</v>
      </c>
      <c r="C1996" s="20" t="s">
        <v>14</v>
      </c>
      <c r="D1996" s="20" t="s">
        <v>22</v>
      </c>
      <c r="E1996" s="12" t="str">
        <f>IFERROR(__xludf.DUMMYFUNCTION("FILTER(colegios!$B$2:$B5618,colegios!$A$2:$A5618=L1996)"),"14144 SANTA ROSA")</f>
        <v>14144 SANTA ROSA</v>
      </c>
      <c r="F1996" s="14" t="s">
        <v>16</v>
      </c>
      <c r="G1996" s="20" t="s">
        <v>17</v>
      </c>
      <c r="H1996" s="14" t="s">
        <v>18</v>
      </c>
      <c r="I1996" s="22">
        <v>2023.0</v>
      </c>
      <c r="J1996" s="16" t="str">
        <f>IFERROR(__xludf.DUMMYFUNCTION("FILTER('CLASFICACIÓN'!$F$3:$F5618,'CLASFICACIÓN'!$G$3:$G5618=M1996)"),"LOS 3 AÑOS")</f>
        <v>LOS 3 AÑOS</v>
      </c>
      <c r="K1996" s="16"/>
      <c r="L1996" s="14" t="s">
        <v>130</v>
      </c>
      <c r="M1996" s="16" t="str">
        <f t="shared" si="1"/>
        <v>14144 SANTA ROSA6 Primaria</v>
      </c>
      <c r="N1996" s="17"/>
      <c r="O1996" s="17"/>
      <c r="P1996" s="17"/>
      <c r="Q1996" s="17"/>
      <c r="R1996" s="17"/>
      <c r="S1996" s="17"/>
      <c r="T1996" s="17"/>
    </row>
    <row r="1997">
      <c r="A1997" s="21">
        <v>800.0</v>
      </c>
      <c r="B1997" s="20" t="s">
        <v>48</v>
      </c>
      <c r="C1997" s="20" t="s">
        <v>14</v>
      </c>
      <c r="D1997" s="20" t="s">
        <v>22</v>
      </c>
      <c r="E1997" s="12" t="str">
        <f>IFERROR(__xludf.DUMMYFUNCTION("FILTER(colegios!$B$2:$B5618,colegios!$A$2:$A5618=L1997)"),"14144 SANTA ROSA")</f>
        <v>14144 SANTA ROSA</v>
      </c>
      <c r="F1997" s="14" t="s">
        <v>16</v>
      </c>
      <c r="G1997" s="20" t="s">
        <v>21</v>
      </c>
      <c r="H1997" s="14" t="s">
        <v>18</v>
      </c>
      <c r="I1997" s="22">
        <v>2023.0</v>
      </c>
      <c r="J1997" s="16" t="str">
        <f>IFERROR(__xludf.DUMMYFUNCTION("FILTER('CLASFICACIÓN'!$F$3:$F5618,'CLASFICACIÓN'!$G$3:$G5618=M1997)"),"LOS 3 AÑOS")</f>
        <v>LOS 3 AÑOS</v>
      </c>
      <c r="K1997" s="16"/>
      <c r="L1997" s="14" t="s">
        <v>130</v>
      </c>
      <c r="M1997" s="16" t="str">
        <f t="shared" si="1"/>
        <v>14144 SANTA ROSA6 Primaria</v>
      </c>
      <c r="N1997" s="17"/>
      <c r="O1997" s="17"/>
      <c r="P1997" s="17"/>
      <c r="Q1997" s="17"/>
      <c r="R1997" s="17"/>
      <c r="S1997" s="17"/>
      <c r="T1997" s="17"/>
    </row>
    <row r="1998">
      <c r="A1998" s="21">
        <v>801.0</v>
      </c>
      <c r="B1998" s="20" t="s">
        <v>48</v>
      </c>
      <c r="C1998" s="20" t="s">
        <v>14</v>
      </c>
      <c r="D1998" s="20" t="s">
        <v>22</v>
      </c>
      <c r="E1998" s="12" t="str">
        <f>IFERROR(__xludf.DUMMYFUNCTION("FILTER(colegios!$B$2:$B5618,colegios!$A$2:$A5618=L1998)"),"14144 SANTA ROSA")</f>
        <v>14144 SANTA ROSA</v>
      </c>
      <c r="F1998" s="14" t="s">
        <v>16</v>
      </c>
      <c r="G1998" s="20" t="s">
        <v>17</v>
      </c>
      <c r="H1998" s="14" t="s">
        <v>18</v>
      </c>
      <c r="I1998" s="22">
        <v>2023.0</v>
      </c>
      <c r="J1998" s="16" t="str">
        <f>IFERROR(__xludf.DUMMYFUNCTION("FILTER('CLASFICACIÓN'!$F$3:$F5618,'CLASFICACIÓN'!$G$3:$G5618=M1998)"),"LOS 3 AÑOS")</f>
        <v>LOS 3 AÑOS</v>
      </c>
      <c r="K1998" s="16"/>
      <c r="L1998" s="14" t="s">
        <v>130</v>
      </c>
      <c r="M1998" s="16" t="str">
        <f t="shared" si="1"/>
        <v>14144 SANTA ROSA6 Primaria</v>
      </c>
      <c r="N1998" s="17"/>
      <c r="O1998" s="17"/>
      <c r="P1998" s="17"/>
      <c r="Q1998" s="17"/>
      <c r="R1998" s="17"/>
      <c r="S1998" s="17"/>
      <c r="T1998" s="17"/>
    </row>
    <row r="1999">
      <c r="A1999" s="21">
        <v>802.0</v>
      </c>
      <c r="B1999" s="20" t="s">
        <v>48</v>
      </c>
      <c r="C1999" s="20" t="s">
        <v>14</v>
      </c>
      <c r="D1999" s="20" t="s">
        <v>22</v>
      </c>
      <c r="E1999" s="12" t="str">
        <f>IFERROR(__xludf.DUMMYFUNCTION("FILTER(colegios!$B$2:$B5618,colegios!$A$2:$A5618=L1999)"),"14144 SANTA ROSA")</f>
        <v>14144 SANTA ROSA</v>
      </c>
      <c r="F1999" s="14" t="s">
        <v>16</v>
      </c>
      <c r="G1999" s="20" t="s">
        <v>17</v>
      </c>
      <c r="H1999" s="14" t="s">
        <v>18</v>
      </c>
      <c r="I1999" s="22">
        <v>2023.0</v>
      </c>
      <c r="J1999" s="16" t="str">
        <f>IFERROR(__xludf.DUMMYFUNCTION("FILTER('CLASFICACIÓN'!$F$3:$F5618,'CLASFICACIÓN'!$G$3:$G5618=M1999)"),"LOS 3 AÑOS")</f>
        <v>LOS 3 AÑOS</v>
      </c>
      <c r="K1999" s="16"/>
      <c r="L1999" s="14" t="s">
        <v>130</v>
      </c>
      <c r="M1999" s="16" t="str">
        <f t="shared" si="1"/>
        <v>14144 SANTA ROSA6 Primaria</v>
      </c>
      <c r="N1999" s="17"/>
      <c r="O1999" s="17"/>
      <c r="P1999" s="17"/>
      <c r="Q1999" s="17"/>
      <c r="R1999" s="17"/>
      <c r="S1999" s="17"/>
      <c r="T1999" s="17"/>
    </row>
    <row r="2000">
      <c r="A2000" s="21">
        <v>803.0</v>
      </c>
      <c r="B2000" s="20" t="s">
        <v>48</v>
      </c>
      <c r="C2000" s="20" t="s">
        <v>14</v>
      </c>
      <c r="D2000" s="20" t="s">
        <v>22</v>
      </c>
      <c r="E2000" s="12" t="str">
        <f>IFERROR(__xludf.DUMMYFUNCTION("FILTER(colegios!$B$2:$B5618,colegios!$A$2:$A5618=L2000)"),"14144 SANTA ROSA")</f>
        <v>14144 SANTA ROSA</v>
      </c>
      <c r="F2000" s="14" t="s">
        <v>16</v>
      </c>
      <c r="G2000" s="20" t="s">
        <v>17</v>
      </c>
      <c r="H2000" s="14" t="s">
        <v>18</v>
      </c>
      <c r="I2000" s="22">
        <v>2023.0</v>
      </c>
      <c r="J2000" s="16" t="str">
        <f>IFERROR(__xludf.DUMMYFUNCTION("FILTER('CLASFICACIÓN'!$F$3:$F5618,'CLASFICACIÓN'!$G$3:$G5618=M2000)"),"LOS 3 AÑOS")</f>
        <v>LOS 3 AÑOS</v>
      </c>
      <c r="K2000" s="16"/>
      <c r="L2000" s="14" t="s">
        <v>130</v>
      </c>
      <c r="M2000" s="16" t="str">
        <f t="shared" si="1"/>
        <v>14144 SANTA ROSA6 Primaria</v>
      </c>
      <c r="N2000" s="17"/>
      <c r="O2000" s="17"/>
      <c r="P2000" s="17"/>
      <c r="Q2000" s="17"/>
      <c r="R2000" s="17"/>
      <c r="S2000" s="17"/>
      <c r="T2000" s="17"/>
    </row>
    <row r="2001">
      <c r="A2001" s="21">
        <v>804.0</v>
      </c>
      <c r="B2001" s="20" t="s">
        <v>13</v>
      </c>
      <c r="C2001" s="20" t="s">
        <v>14</v>
      </c>
      <c r="D2001" s="20" t="s">
        <v>15</v>
      </c>
      <c r="E2001" s="12" t="str">
        <f>IFERROR(__xludf.DUMMYFUNCTION("FILTER(colegios!$B$2:$B5618,colegios!$A$2:$A5618=L2001)"),"601448")</f>
        <v>601448</v>
      </c>
      <c r="F2001" s="14" t="s">
        <v>16</v>
      </c>
      <c r="G2001" s="20" t="s">
        <v>17</v>
      </c>
      <c r="H2001" s="14" t="s">
        <v>18</v>
      </c>
      <c r="I2001" s="22">
        <v>2023.0</v>
      </c>
      <c r="J2001" s="16" t="str">
        <f>IFERROR(__xludf.DUMMYFUNCTION("FILTER('CLASFICACIÓN'!$F$3:$F5618,'CLASFICACIÓN'!$G$3:$G5618=M2001)"),"LOS 3 AÑOS")</f>
        <v>LOS 3 AÑOS</v>
      </c>
      <c r="K2001" s="16"/>
      <c r="L2001" s="14" t="s">
        <v>131</v>
      </c>
      <c r="M2001" s="16" t="str">
        <f t="shared" si="1"/>
        <v>6014482 Primaria</v>
      </c>
      <c r="N2001" s="17"/>
      <c r="O2001" s="17"/>
      <c r="P2001" s="17"/>
      <c r="Q2001" s="17"/>
      <c r="R2001" s="17"/>
      <c r="S2001" s="17"/>
      <c r="T2001" s="17"/>
    </row>
    <row r="2002">
      <c r="A2002" s="21">
        <v>805.0</v>
      </c>
      <c r="B2002" s="20" t="s">
        <v>13</v>
      </c>
      <c r="C2002" s="20" t="s">
        <v>14</v>
      </c>
      <c r="D2002" s="20" t="s">
        <v>15</v>
      </c>
      <c r="E2002" s="12" t="str">
        <f>IFERROR(__xludf.DUMMYFUNCTION("FILTER(colegios!$B$2:$B5618,colegios!$A$2:$A5618=L2002)"),"601448")</f>
        <v>601448</v>
      </c>
      <c r="F2002" s="14" t="s">
        <v>16</v>
      </c>
      <c r="G2002" s="20" t="s">
        <v>17</v>
      </c>
      <c r="H2002" s="14" t="s">
        <v>18</v>
      </c>
      <c r="I2002" s="22">
        <v>2023.0</v>
      </c>
      <c r="J2002" s="16" t="str">
        <f>IFERROR(__xludf.DUMMYFUNCTION("FILTER('CLASFICACIÓN'!$F$3:$F5618,'CLASFICACIÓN'!$G$3:$G5618=M2002)"),"LOS 3 AÑOS")</f>
        <v>LOS 3 AÑOS</v>
      </c>
      <c r="K2002" s="16"/>
      <c r="L2002" s="14" t="s">
        <v>131</v>
      </c>
      <c r="M2002" s="16" t="str">
        <f t="shared" si="1"/>
        <v>6014482 Primaria</v>
      </c>
      <c r="N2002" s="17"/>
      <c r="O2002" s="17"/>
      <c r="P2002" s="17"/>
      <c r="Q2002" s="17"/>
      <c r="R2002" s="17"/>
      <c r="S2002" s="17"/>
      <c r="T2002" s="17"/>
    </row>
    <row r="2003">
      <c r="A2003" s="21">
        <v>806.0</v>
      </c>
      <c r="B2003" s="20" t="s">
        <v>13</v>
      </c>
      <c r="C2003" s="20" t="s">
        <v>14</v>
      </c>
      <c r="D2003" s="20" t="s">
        <v>15</v>
      </c>
      <c r="E2003" s="12" t="str">
        <f>IFERROR(__xludf.DUMMYFUNCTION("FILTER(colegios!$B$2:$B5618,colegios!$A$2:$A5618=L2003)"),"601448")</f>
        <v>601448</v>
      </c>
      <c r="F2003" s="14" t="s">
        <v>16</v>
      </c>
      <c r="G2003" s="20" t="s">
        <v>21</v>
      </c>
      <c r="H2003" s="14" t="s">
        <v>24</v>
      </c>
      <c r="I2003" s="22">
        <v>2023.0</v>
      </c>
      <c r="J2003" s="16" t="str">
        <f>IFERROR(__xludf.DUMMYFUNCTION("FILTER('CLASFICACIÓN'!$F$3:$F5618,'CLASFICACIÓN'!$G$3:$G5618=M2003)"),"LOS 3 AÑOS")</f>
        <v>LOS 3 AÑOS</v>
      </c>
      <c r="K2003" s="16"/>
      <c r="L2003" s="14" t="s">
        <v>131</v>
      </c>
      <c r="M2003" s="16" t="str">
        <f t="shared" si="1"/>
        <v>6014482 Primaria</v>
      </c>
      <c r="N2003" s="17"/>
      <c r="O2003" s="17"/>
      <c r="P2003" s="17"/>
      <c r="Q2003" s="17"/>
      <c r="R2003" s="17"/>
      <c r="S2003" s="17"/>
      <c r="T2003" s="17"/>
    </row>
    <row r="2004">
      <c r="A2004" s="21">
        <v>807.0</v>
      </c>
      <c r="B2004" s="20" t="s">
        <v>13</v>
      </c>
      <c r="C2004" s="20" t="s">
        <v>14</v>
      </c>
      <c r="D2004" s="20" t="s">
        <v>15</v>
      </c>
      <c r="E2004" s="12" t="str">
        <f>IFERROR(__xludf.DUMMYFUNCTION("FILTER(colegios!$B$2:$B5618,colegios!$A$2:$A5618=L2004)"),"601448")</f>
        <v>601448</v>
      </c>
      <c r="F2004" s="14" t="s">
        <v>16</v>
      </c>
      <c r="G2004" s="20" t="s">
        <v>17</v>
      </c>
      <c r="H2004" s="14" t="s">
        <v>18</v>
      </c>
      <c r="I2004" s="22">
        <v>2023.0</v>
      </c>
      <c r="J2004" s="16" t="str">
        <f>IFERROR(__xludf.DUMMYFUNCTION("FILTER('CLASFICACIÓN'!$F$3:$F5618,'CLASFICACIÓN'!$G$3:$G5618=M2004)"),"LOS 3 AÑOS")</f>
        <v>LOS 3 AÑOS</v>
      </c>
      <c r="K2004" s="16"/>
      <c r="L2004" s="14" t="s">
        <v>131</v>
      </c>
      <c r="M2004" s="16" t="str">
        <f t="shared" si="1"/>
        <v>6014482 Primaria</v>
      </c>
      <c r="N2004" s="17"/>
      <c r="O2004" s="17"/>
      <c r="P2004" s="17"/>
      <c r="Q2004" s="17"/>
      <c r="R2004" s="17"/>
      <c r="S2004" s="17"/>
      <c r="T2004" s="17"/>
    </row>
    <row r="2005">
      <c r="A2005" s="21">
        <v>808.0</v>
      </c>
      <c r="B2005" s="20" t="s">
        <v>13</v>
      </c>
      <c r="C2005" s="20" t="s">
        <v>14</v>
      </c>
      <c r="D2005" s="20" t="s">
        <v>15</v>
      </c>
      <c r="E2005" s="12" t="str">
        <f>IFERROR(__xludf.DUMMYFUNCTION("FILTER(colegios!$B$2:$B5618,colegios!$A$2:$A5618=L2005)"),"601448")</f>
        <v>601448</v>
      </c>
      <c r="F2005" s="14" t="s">
        <v>16</v>
      </c>
      <c r="G2005" s="20" t="s">
        <v>21</v>
      </c>
      <c r="H2005" s="14" t="s">
        <v>18</v>
      </c>
      <c r="I2005" s="22">
        <v>2023.0</v>
      </c>
      <c r="J2005" s="16" t="str">
        <f>IFERROR(__xludf.DUMMYFUNCTION("FILTER('CLASFICACIÓN'!$F$3:$F5618,'CLASFICACIÓN'!$G$3:$G5618=M2005)"),"LOS 3 AÑOS")</f>
        <v>LOS 3 AÑOS</v>
      </c>
      <c r="K2005" s="16"/>
      <c r="L2005" s="14" t="s">
        <v>131</v>
      </c>
      <c r="M2005" s="16" t="str">
        <f t="shared" si="1"/>
        <v>6014482 Primaria</v>
      </c>
      <c r="N2005" s="17"/>
      <c r="O2005" s="17"/>
      <c r="P2005" s="17"/>
      <c r="Q2005" s="17"/>
      <c r="R2005" s="17"/>
      <c r="S2005" s="17"/>
      <c r="T2005" s="17"/>
    </row>
    <row r="2006">
      <c r="A2006" s="21">
        <v>809.0</v>
      </c>
      <c r="B2006" s="20" t="s">
        <v>13</v>
      </c>
      <c r="C2006" s="20" t="s">
        <v>14</v>
      </c>
      <c r="D2006" s="20" t="s">
        <v>15</v>
      </c>
      <c r="E2006" s="12" t="str">
        <f>IFERROR(__xludf.DUMMYFUNCTION("FILTER(colegios!$B$2:$B5618,colegios!$A$2:$A5618=L2006)"),"601448")</f>
        <v>601448</v>
      </c>
      <c r="F2006" s="14" t="s">
        <v>16</v>
      </c>
      <c r="G2006" s="20" t="s">
        <v>21</v>
      </c>
      <c r="H2006" s="14" t="s">
        <v>18</v>
      </c>
      <c r="I2006" s="22">
        <v>2023.0</v>
      </c>
      <c r="J2006" s="16" t="str">
        <f>IFERROR(__xludf.DUMMYFUNCTION("FILTER('CLASFICACIÓN'!$F$3:$F5618,'CLASFICACIÓN'!$G$3:$G5618=M2006)"),"LOS 3 AÑOS")</f>
        <v>LOS 3 AÑOS</v>
      </c>
      <c r="K2006" s="16"/>
      <c r="L2006" s="14" t="s">
        <v>132</v>
      </c>
      <c r="M2006" s="16" t="str">
        <f t="shared" si="1"/>
        <v>6014482 Primaria</v>
      </c>
      <c r="N2006" s="17"/>
      <c r="O2006" s="17"/>
      <c r="P2006" s="17"/>
      <c r="Q2006" s="17"/>
      <c r="R2006" s="17"/>
      <c r="S2006" s="17"/>
      <c r="T2006" s="17"/>
    </row>
    <row r="2007">
      <c r="A2007" s="21">
        <v>810.0</v>
      </c>
      <c r="B2007" s="20" t="s">
        <v>13</v>
      </c>
      <c r="C2007" s="20" t="s">
        <v>14</v>
      </c>
      <c r="D2007" s="20" t="s">
        <v>15</v>
      </c>
      <c r="E2007" s="12" t="str">
        <f>IFERROR(__xludf.DUMMYFUNCTION("FILTER(colegios!$B$2:$B5618,colegios!$A$2:$A5618=L2007)"),"601448")</f>
        <v>601448</v>
      </c>
      <c r="F2007" s="14" t="s">
        <v>16</v>
      </c>
      <c r="G2007" s="20" t="s">
        <v>21</v>
      </c>
      <c r="H2007" s="14" t="s">
        <v>18</v>
      </c>
      <c r="I2007" s="22">
        <v>2023.0</v>
      </c>
      <c r="J2007" s="16" t="str">
        <f>IFERROR(__xludf.DUMMYFUNCTION("FILTER('CLASFICACIÓN'!$F$3:$F5618,'CLASFICACIÓN'!$G$3:$G5618=M2007)"),"LOS 3 AÑOS")</f>
        <v>LOS 3 AÑOS</v>
      </c>
      <c r="K2007" s="16"/>
      <c r="L2007" s="14" t="s">
        <v>131</v>
      </c>
      <c r="M2007" s="16" t="str">
        <f t="shared" si="1"/>
        <v>6014482 Primaria</v>
      </c>
      <c r="N2007" s="17"/>
      <c r="O2007" s="17"/>
      <c r="P2007" s="17"/>
      <c r="Q2007" s="17"/>
      <c r="R2007" s="17"/>
      <c r="S2007" s="17"/>
      <c r="T2007" s="17"/>
    </row>
    <row r="2008">
      <c r="A2008" s="21">
        <v>811.0</v>
      </c>
      <c r="B2008" s="20" t="s">
        <v>13</v>
      </c>
      <c r="C2008" s="20" t="s">
        <v>14</v>
      </c>
      <c r="D2008" s="20" t="s">
        <v>15</v>
      </c>
      <c r="E2008" s="12" t="str">
        <f>IFERROR(__xludf.DUMMYFUNCTION("FILTER(colegios!$B$2:$B5618,colegios!$A$2:$A5618=L2008)"),"601448")</f>
        <v>601448</v>
      </c>
      <c r="F2008" s="14" t="s">
        <v>16</v>
      </c>
      <c r="G2008" s="20" t="s">
        <v>17</v>
      </c>
      <c r="H2008" s="14" t="s">
        <v>18</v>
      </c>
      <c r="I2008" s="22">
        <v>2023.0</v>
      </c>
      <c r="J2008" s="16" t="str">
        <f>IFERROR(__xludf.DUMMYFUNCTION("FILTER('CLASFICACIÓN'!$F$3:$F5618,'CLASFICACIÓN'!$G$3:$G5618=M2008)"),"LOS 3 AÑOS")</f>
        <v>LOS 3 AÑOS</v>
      </c>
      <c r="K2008" s="16"/>
      <c r="L2008" s="14" t="s">
        <v>131</v>
      </c>
      <c r="M2008" s="16" t="str">
        <f t="shared" si="1"/>
        <v>6014482 Primaria</v>
      </c>
      <c r="N2008" s="17"/>
      <c r="O2008" s="17"/>
      <c r="P2008" s="17"/>
      <c r="Q2008" s="17"/>
      <c r="R2008" s="17"/>
      <c r="S2008" s="17"/>
      <c r="T2008" s="17"/>
    </row>
    <row r="2009">
      <c r="A2009" s="21">
        <v>812.0</v>
      </c>
      <c r="B2009" s="20" t="s">
        <v>13</v>
      </c>
      <c r="C2009" s="20" t="s">
        <v>14</v>
      </c>
      <c r="D2009" s="20" t="s">
        <v>20</v>
      </c>
      <c r="E2009" s="12" t="str">
        <f>IFERROR(__xludf.DUMMYFUNCTION("FILTER(colegios!$B$2:$B5618,colegios!$A$2:$A5618=L2009)"),"601448")</f>
        <v>601448</v>
      </c>
      <c r="F2009" s="14" t="s">
        <v>16</v>
      </c>
      <c r="G2009" s="20" t="s">
        <v>21</v>
      </c>
      <c r="H2009" s="14" t="s">
        <v>18</v>
      </c>
      <c r="I2009" s="22">
        <v>2023.0</v>
      </c>
      <c r="J2009" s="16" t="str">
        <f>IFERROR(__xludf.DUMMYFUNCTION("FILTER('CLASFICACIÓN'!$F$3:$F5618,'CLASFICACIÓN'!$G$3:$G5618=M2009)"),"LOS 3 AÑOS")</f>
        <v>LOS 3 AÑOS</v>
      </c>
      <c r="K2009" s="16"/>
      <c r="L2009" s="14" t="s">
        <v>131</v>
      </c>
      <c r="M2009" s="16" t="str">
        <f t="shared" si="1"/>
        <v>6014484 Primaria</v>
      </c>
      <c r="N2009" s="17"/>
      <c r="O2009" s="17"/>
      <c r="P2009" s="17"/>
      <c r="Q2009" s="17"/>
      <c r="R2009" s="17"/>
      <c r="S2009" s="17"/>
      <c r="T2009" s="17"/>
    </row>
    <row r="2010">
      <c r="A2010" s="21">
        <v>813.0</v>
      </c>
      <c r="B2010" s="20" t="s">
        <v>13</v>
      </c>
      <c r="C2010" s="20" t="s">
        <v>14</v>
      </c>
      <c r="D2010" s="20" t="s">
        <v>20</v>
      </c>
      <c r="E2010" s="12" t="str">
        <f>IFERROR(__xludf.DUMMYFUNCTION("FILTER(colegios!$B$2:$B5618,colegios!$A$2:$A5618=L2010)"),"601448")</f>
        <v>601448</v>
      </c>
      <c r="F2010" s="14" t="s">
        <v>16</v>
      </c>
      <c r="G2010" s="20" t="s">
        <v>17</v>
      </c>
      <c r="H2010" s="14" t="s">
        <v>24</v>
      </c>
      <c r="I2010" s="22">
        <v>2023.0</v>
      </c>
      <c r="J2010" s="16" t="str">
        <f>IFERROR(__xludf.DUMMYFUNCTION("FILTER('CLASFICACIÓN'!$F$3:$F5618,'CLASFICACIÓN'!$G$3:$G5618=M2010)"),"LOS 3 AÑOS")</f>
        <v>LOS 3 AÑOS</v>
      </c>
      <c r="K2010" s="16"/>
      <c r="L2010" s="14" t="s">
        <v>131</v>
      </c>
      <c r="M2010" s="16" t="str">
        <f t="shared" si="1"/>
        <v>6014484 Primaria</v>
      </c>
      <c r="N2010" s="17"/>
      <c r="O2010" s="17"/>
      <c r="P2010" s="17"/>
      <c r="Q2010" s="17"/>
      <c r="R2010" s="17"/>
      <c r="S2010" s="17"/>
      <c r="T2010" s="17"/>
    </row>
    <row r="2011">
      <c r="A2011" s="21">
        <v>814.0</v>
      </c>
      <c r="B2011" s="20" t="s">
        <v>13</v>
      </c>
      <c r="C2011" s="20" t="s">
        <v>14</v>
      </c>
      <c r="D2011" s="20" t="s">
        <v>20</v>
      </c>
      <c r="E2011" s="12" t="str">
        <f>IFERROR(__xludf.DUMMYFUNCTION("FILTER(colegios!$B$2:$B5618,colegios!$A$2:$A5618=L2011)"),"601448")</f>
        <v>601448</v>
      </c>
      <c r="F2011" s="14" t="s">
        <v>16</v>
      </c>
      <c r="G2011" s="20" t="s">
        <v>21</v>
      </c>
      <c r="H2011" s="14" t="s">
        <v>24</v>
      </c>
      <c r="I2011" s="22">
        <v>2023.0</v>
      </c>
      <c r="J2011" s="16" t="str">
        <f>IFERROR(__xludf.DUMMYFUNCTION("FILTER('CLASFICACIÓN'!$F$3:$F5618,'CLASFICACIÓN'!$G$3:$G5618=M2011)"),"LOS 3 AÑOS")</f>
        <v>LOS 3 AÑOS</v>
      </c>
      <c r="K2011" s="16"/>
      <c r="L2011" s="14" t="s">
        <v>131</v>
      </c>
      <c r="M2011" s="16" t="str">
        <f t="shared" si="1"/>
        <v>6014484 Primaria</v>
      </c>
      <c r="N2011" s="17"/>
      <c r="O2011" s="17"/>
      <c r="P2011" s="17"/>
      <c r="Q2011" s="17"/>
      <c r="R2011" s="17"/>
      <c r="S2011" s="17"/>
      <c r="T2011" s="17"/>
    </row>
    <row r="2012">
      <c r="A2012" s="21">
        <v>815.0</v>
      </c>
      <c r="B2012" s="20" t="s">
        <v>13</v>
      </c>
      <c r="C2012" s="20" t="s">
        <v>14</v>
      </c>
      <c r="D2012" s="20" t="s">
        <v>20</v>
      </c>
      <c r="E2012" s="12" t="str">
        <f>IFERROR(__xludf.DUMMYFUNCTION("FILTER(colegios!$B$2:$B5618,colegios!$A$2:$A5618=L2012)"),"601448")</f>
        <v>601448</v>
      </c>
      <c r="F2012" s="14" t="s">
        <v>16</v>
      </c>
      <c r="G2012" s="20" t="s">
        <v>21</v>
      </c>
      <c r="H2012" s="14" t="s">
        <v>24</v>
      </c>
      <c r="I2012" s="22">
        <v>2023.0</v>
      </c>
      <c r="J2012" s="16" t="str">
        <f>IFERROR(__xludf.DUMMYFUNCTION("FILTER('CLASFICACIÓN'!$F$3:$F5618,'CLASFICACIÓN'!$G$3:$G5618=M2012)"),"LOS 3 AÑOS")</f>
        <v>LOS 3 AÑOS</v>
      </c>
      <c r="K2012" s="16"/>
      <c r="L2012" s="14" t="s">
        <v>131</v>
      </c>
      <c r="M2012" s="16" t="str">
        <f t="shared" si="1"/>
        <v>6014484 Primaria</v>
      </c>
      <c r="N2012" s="17"/>
      <c r="O2012" s="17"/>
      <c r="P2012" s="17"/>
      <c r="Q2012" s="17"/>
      <c r="R2012" s="17"/>
      <c r="S2012" s="17"/>
      <c r="T2012" s="17"/>
    </row>
    <row r="2013">
      <c r="A2013" s="21">
        <v>816.0</v>
      </c>
      <c r="B2013" s="20" t="s">
        <v>13</v>
      </c>
      <c r="C2013" s="20" t="s">
        <v>14</v>
      </c>
      <c r="D2013" s="20" t="s">
        <v>20</v>
      </c>
      <c r="E2013" s="12" t="str">
        <f>IFERROR(__xludf.DUMMYFUNCTION("FILTER(colegios!$B$2:$B5618,colegios!$A$2:$A5618=L2013)"),"601448")</f>
        <v>601448</v>
      </c>
      <c r="F2013" s="14" t="s">
        <v>16</v>
      </c>
      <c r="G2013" s="20" t="s">
        <v>21</v>
      </c>
      <c r="H2013" s="14" t="s">
        <v>18</v>
      </c>
      <c r="I2013" s="22">
        <v>2023.0</v>
      </c>
      <c r="J2013" s="16" t="str">
        <f>IFERROR(__xludf.DUMMYFUNCTION("FILTER('CLASFICACIÓN'!$F$3:$F5618,'CLASFICACIÓN'!$G$3:$G5618=M2013)"),"LOS 3 AÑOS")</f>
        <v>LOS 3 AÑOS</v>
      </c>
      <c r="K2013" s="16"/>
      <c r="L2013" s="14" t="s">
        <v>131</v>
      </c>
      <c r="M2013" s="16" t="str">
        <f t="shared" si="1"/>
        <v>6014484 Primaria</v>
      </c>
      <c r="N2013" s="17"/>
      <c r="O2013" s="17"/>
      <c r="P2013" s="17"/>
      <c r="Q2013" s="17"/>
      <c r="R2013" s="17"/>
      <c r="S2013" s="17"/>
      <c r="T2013" s="17"/>
    </row>
    <row r="2014">
      <c r="A2014" s="21">
        <v>817.0</v>
      </c>
      <c r="B2014" s="20" t="s">
        <v>13</v>
      </c>
      <c r="C2014" s="20" t="s">
        <v>14</v>
      </c>
      <c r="D2014" s="20" t="s">
        <v>20</v>
      </c>
      <c r="E2014" s="12" t="str">
        <f>IFERROR(__xludf.DUMMYFUNCTION("FILTER(colegios!$B$2:$B5618,colegios!$A$2:$A5618=L2014)"),"601448")</f>
        <v>601448</v>
      </c>
      <c r="F2014" s="14" t="s">
        <v>16</v>
      </c>
      <c r="G2014" s="20" t="s">
        <v>21</v>
      </c>
      <c r="H2014" s="14" t="s">
        <v>24</v>
      </c>
      <c r="I2014" s="22">
        <v>2023.0</v>
      </c>
      <c r="J2014" s="16" t="str">
        <f>IFERROR(__xludf.DUMMYFUNCTION("FILTER('CLASFICACIÓN'!$F$3:$F5618,'CLASFICACIÓN'!$G$3:$G5618=M2014)"),"LOS 3 AÑOS")</f>
        <v>LOS 3 AÑOS</v>
      </c>
      <c r="K2014" s="16"/>
      <c r="L2014" s="14" t="s">
        <v>131</v>
      </c>
      <c r="M2014" s="16" t="str">
        <f t="shared" si="1"/>
        <v>6014484 Primaria</v>
      </c>
      <c r="N2014" s="17"/>
      <c r="O2014" s="17"/>
      <c r="P2014" s="17"/>
      <c r="Q2014" s="17"/>
      <c r="R2014" s="17"/>
      <c r="S2014" s="17"/>
      <c r="T2014" s="17"/>
    </row>
    <row r="2015">
      <c r="A2015" s="21">
        <v>818.0</v>
      </c>
      <c r="B2015" s="20" t="s">
        <v>13</v>
      </c>
      <c r="C2015" s="20" t="s">
        <v>14</v>
      </c>
      <c r="D2015" s="20" t="s">
        <v>20</v>
      </c>
      <c r="E2015" s="12" t="str">
        <f>IFERROR(__xludf.DUMMYFUNCTION("FILTER(colegios!$B$2:$B5618,colegios!$A$2:$A5618=L2015)"),"601448")</f>
        <v>601448</v>
      </c>
      <c r="F2015" s="14" t="s">
        <v>16</v>
      </c>
      <c r="G2015" s="20" t="s">
        <v>21</v>
      </c>
      <c r="H2015" s="14" t="s">
        <v>24</v>
      </c>
      <c r="I2015" s="22">
        <v>2023.0</v>
      </c>
      <c r="J2015" s="16" t="str">
        <f>IFERROR(__xludf.DUMMYFUNCTION("FILTER('CLASFICACIÓN'!$F$3:$F5618,'CLASFICACIÓN'!$G$3:$G5618=M2015)"),"LOS 3 AÑOS")</f>
        <v>LOS 3 AÑOS</v>
      </c>
      <c r="K2015" s="16"/>
      <c r="L2015" s="14" t="s">
        <v>131</v>
      </c>
      <c r="M2015" s="16" t="str">
        <f t="shared" si="1"/>
        <v>6014484 Primaria</v>
      </c>
      <c r="N2015" s="17"/>
      <c r="O2015" s="17"/>
      <c r="P2015" s="17"/>
      <c r="Q2015" s="17"/>
      <c r="R2015" s="17"/>
      <c r="S2015" s="17"/>
      <c r="T2015" s="17"/>
    </row>
    <row r="2016">
      <c r="A2016" s="21">
        <v>819.0</v>
      </c>
      <c r="B2016" s="20" t="s">
        <v>13</v>
      </c>
      <c r="C2016" s="20" t="s">
        <v>14</v>
      </c>
      <c r="D2016" s="20" t="s">
        <v>22</v>
      </c>
      <c r="E2016" s="12" t="str">
        <f>IFERROR(__xludf.DUMMYFUNCTION("FILTER(colegios!$B$2:$B5618,colegios!$A$2:$A5618=L2016)"),"601448")</f>
        <v>601448</v>
      </c>
      <c r="F2016" s="14" t="s">
        <v>16</v>
      </c>
      <c r="G2016" s="20" t="s">
        <v>21</v>
      </c>
      <c r="H2016" s="14" t="s">
        <v>18</v>
      </c>
      <c r="I2016" s="22">
        <v>2023.0</v>
      </c>
      <c r="J2016" s="16" t="str">
        <f>IFERROR(__xludf.DUMMYFUNCTION("FILTER('CLASFICACIÓN'!$F$3:$F5618,'CLASFICACIÓN'!$G$3:$G5618=M2016)"),"LOS 3 AÑOS")</f>
        <v>LOS 3 AÑOS</v>
      </c>
      <c r="K2016" s="16"/>
      <c r="L2016" s="14" t="s">
        <v>131</v>
      </c>
      <c r="M2016" s="16" t="str">
        <f t="shared" si="1"/>
        <v>6014486 Primaria</v>
      </c>
      <c r="N2016" s="17"/>
      <c r="O2016" s="17"/>
      <c r="P2016" s="17"/>
      <c r="Q2016" s="17"/>
      <c r="R2016" s="17"/>
      <c r="S2016" s="17"/>
      <c r="T2016" s="17"/>
    </row>
    <row r="2017">
      <c r="A2017" s="21">
        <v>820.0</v>
      </c>
      <c r="B2017" s="20" t="s">
        <v>13</v>
      </c>
      <c r="C2017" s="20" t="s">
        <v>14</v>
      </c>
      <c r="D2017" s="20" t="s">
        <v>22</v>
      </c>
      <c r="E2017" s="12" t="str">
        <f>IFERROR(__xludf.DUMMYFUNCTION("FILTER(colegios!$B$2:$B5618,colegios!$A$2:$A5618=L2017)"),"601448")</f>
        <v>601448</v>
      </c>
      <c r="F2017" s="14" t="s">
        <v>16</v>
      </c>
      <c r="G2017" s="20" t="s">
        <v>21</v>
      </c>
      <c r="H2017" s="14" t="s">
        <v>18</v>
      </c>
      <c r="I2017" s="22">
        <v>2023.0</v>
      </c>
      <c r="J2017" s="16" t="str">
        <f>IFERROR(__xludf.DUMMYFUNCTION("FILTER('CLASFICACIÓN'!$F$3:$F5618,'CLASFICACIÓN'!$G$3:$G5618=M2017)"),"LOS 3 AÑOS")</f>
        <v>LOS 3 AÑOS</v>
      </c>
      <c r="K2017" s="16"/>
      <c r="L2017" s="14" t="s">
        <v>131</v>
      </c>
      <c r="M2017" s="16" t="str">
        <f t="shared" si="1"/>
        <v>6014486 Primaria</v>
      </c>
      <c r="N2017" s="17"/>
      <c r="O2017" s="17"/>
      <c r="P2017" s="17"/>
      <c r="Q2017" s="17"/>
      <c r="R2017" s="17"/>
      <c r="S2017" s="17"/>
      <c r="T2017" s="17"/>
    </row>
    <row r="2018">
      <c r="A2018" s="21">
        <v>821.0</v>
      </c>
      <c r="B2018" s="20" t="s">
        <v>13</v>
      </c>
      <c r="C2018" s="20" t="s">
        <v>14</v>
      </c>
      <c r="D2018" s="20" t="s">
        <v>22</v>
      </c>
      <c r="E2018" s="12" t="str">
        <f>IFERROR(__xludf.DUMMYFUNCTION("FILTER(colegios!$B$2:$B5618,colegios!$A$2:$A5618=L2018)"),"601448")</f>
        <v>601448</v>
      </c>
      <c r="F2018" s="14" t="s">
        <v>16</v>
      </c>
      <c r="G2018" s="20" t="s">
        <v>21</v>
      </c>
      <c r="H2018" s="14" t="s">
        <v>18</v>
      </c>
      <c r="I2018" s="22">
        <v>2023.0</v>
      </c>
      <c r="J2018" s="16" t="str">
        <f>IFERROR(__xludf.DUMMYFUNCTION("FILTER('CLASFICACIÓN'!$F$3:$F5618,'CLASFICACIÓN'!$G$3:$G5618=M2018)"),"LOS 3 AÑOS")</f>
        <v>LOS 3 AÑOS</v>
      </c>
      <c r="K2018" s="16"/>
      <c r="L2018" s="14" t="s">
        <v>131</v>
      </c>
      <c r="M2018" s="16" t="str">
        <f t="shared" si="1"/>
        <v>6014486 Primaria</v>
      </c>
      <c r="N2018" s="17"/>
      <c r="O2018" s="17"/>
      <c r="P2018" s="17"/>
      <c r="Q2018" s="17"/>
      <c r="R2018" s="17"/>
      <c r="S2018" s="17"/>
      <c r="T2018" s="17"/>
    </row>
    <row r="2019">
      <c r="A2019" s="21">
        <v>822.0</v>
      </c>
      <c r="B2019" s="20" t="s">
        <v>13</v>
      </c>
      <c r="C2019" s="20" t="s">
        <v>14</v>
      </c>
      <c r="D2019" s="20" t="s">
        <v>22</v>
      </c>
      <c r="E2019" s="12" t="str">
        <f>IFERROR(__xludf.DUMMYFUNCTION("FILTER(colegios!$B$2:$B5618,colegios!$A$2:$A5618=L2019)"),"601448")</f>
        <v>601448</v>
      </c>
      <c r="F2019" s="14" t="s">
        <v>16</v>
      </c>
      <c r="G2019" s="20" t="s">
        <v>21</v>
      </c>
      <c r="H2019" s="14" t="s">
        <v>18</v>
      </c>
      <c r="I2019" s="22">
        <v>2023.0</v>
      </c>
      <c r="J2019" s="16" t="str">
        <f>IFERROR(__xludf.DUMMYFUNCTION("FILTER('CLASFICACIÓN'!$F$3:$F5618,'CLASFICACIÓN'!$G$3:$G5618=M2019)"),"LOS 3 AÑOS")</f>
        <v>LOS 3 AÑOS</v>
      </c>
      <c r="K2019" s="16"/>
      <c r="L2019" s="14" t="s">
        <v>131</v>
      </c>
      <c r="M2019" s="16" t="str">
        <f t="shared" si="1"/>
        <v>6014486 Primaria</v>
      </c>
      <c r="N2019" s="17"/>
      <c r="O2019" s="17"/>
      <c r="P2019" s="17"/>
      <c r="Q2019" s="17"/>
      <c r="R2019" s="17"/>
      <c r="S2019" s="17"/>
      <c r="T2019" s="17"/>
    </row>
    <row r="2020">
      <c r="A2020" s="21">
        <v>823.0</v>
      </c>
      <c r="B2020" s="20" t="s">
        <v>13</v>
      </c>
      <c r="C2020" s="20" t="s">
        <v>14</v>
      </c>
      <c r="D2020" s="20" t="s">
        <v>22</v>
      </c>
      <c r="E2020" s="12" t="str">
        <f>IFERROR(__xludf.DUMMYFUNCTION("FILTER(colegios!$B$2:$B5618,colegios!$A$2:$A5618=L2020)"),"601448")</f>
        <v>601448</v>
      </c>
      <c r="F2020" s="14" t="s">
        <v>16</v>
      </c>
      <c r="G2020" s="20" t="s">
        <v>17</v>
      </c>
      <c r="H2020" s="14" t="s">
        <v>18</v>
      </c>
      <c r="I2020" s="22">
        <v>2023.0</v>
      </c>
      <c r="J2020" s="16" t="str">
        <f>IFERROR(__xludf.DUMMYFUNCTION("FILTER('CLASFICACIÓN'!$F$3:$F5618,'CLASFICACIÓN'!$G$3:$G5618=M2020)"),"LOS 3 AÑOS")</f>
        <v>LOS 3 AÑOS</v>
      </c>
      <c r="K2020" s="16"/>
      <c r="L2020" s="14" t="s">
        <v>131</v>
      </c>
      <c r="M2020" s="16" t="str">
        <f t="shared" si="1"/>
        <v>6014486 Primaria</v>
      </c>
      <c r="N2020" s="17"/>
      <c r="O2020" s="17"/>
      <c r="P2020" s="17"/>
      <c r="Q2020" s="17"/>
      <c r="R2020" s="17"/>
      <c r="S2020" s="17"/>
      <c r="T2020" s="17"/>
    </row>
    <row r="2021">
      <c r="A2021" s="21">
        <v>824.0</v>
      </c>
      <c r="B2021" s="20" t="s">
        <v>13</v>
      </c>
      <c r="C2021" s="20" t="s">
        <v>14</v>
      </c>
      <c r="D2021" s="20" t="s">
        <v>20</v>
      </c>
      <c r="E2021" s="12" t="str">
        <f>IFERROR(__xludf.DUMMYFUNCTION("FILTER(colegios!$B$2:$B5618,colegios!$A$2:$A5618=L2021)"),"601614")</f>
        <v>601614</v>
      </c>
      <c r="F2021" s="14" t="s">
        <v>16</v>
      </c>
      <c r="G2021" s="20" t="s">
        <v>21</v>
      </c>
      <c r="H2021" s="14" t="s">
        <v>24</v>
      </c>
      <c r="I2021" s="22">
        <v>2023.0</v>
      </c>
      <c r="J2021" s="16" t="str">
        <f>IFERROR(__xludf.DUMMYFUNCTION("FILTER('CLASFICACIÓN'!$F$3:$F5618,'CLASFICACIÓN'!$G$3:$G5618=M2021)"),"2023 Y 2024")</f>
        <v>2023 Y 2024</v>
      </c>
      <c r="K2021" s="16"/>
      <c r="L2021" s="14" t="s">
        <v>133</v>
      </c>
      <c r="M2021" s="16" t="str">
        <f t="shared" si="1"/>
        <v>6016144 Primaria</v>
      </c>
      <c r="N2021" s="17"/>
      <c r="O2021" s="17"/>
      <c r="P2021" s="17"/>
      <c r="Q2021" s="17"/>
      <c r="R2021" s="17"/>
      <c r="S2021" s="17"/>
      <c r="T2021" s="17"/>
    </row>
    <row r="2022">
      <c r="A2022" s="21">
        <v>825.0</v>
      </c>
      <c r="B2022" s="20" t="s">
        <v>13</v>
      </c>
      <c r="C2022" s="20" t="s">
        <v>14</v>
      </c>
      <c r="D2022" s="20" t="s">
        <v>22</v>
      </c>
      <c r="E2022" s="12" t="str">
        <f>IFERROR(__xludf.DUMMYFUNCTION("FILTER(colegios!$B$2:$B5618,colegios!$A$2:$A5618=L2022)"),"601614")</f>
        <v>601614</v>
      </c>
      <c r="F2022" s="14" t="s">
        <v>16</v>
      </c>
      <c r="G2022" s="20" t="s">
        <v>21</v>
      </c>
      <c r="H2022" s="14" t="s">
        <v>18</v>
      </c>
      <c r="I2022" s="22">
        <v>2023.0</v>
      </c>
      <c r="J2022" s="16" t="str">
        <f>IFERROR(__xludf.DUMMYFUNCTION("FILTER('CLASFICACIÓN'!$F$3:$F5618,'CLASFICACIÓN'!$G$3:$G5618=M2022)"),"SOLO 2023")</f>
        <v>SOLO 2023</v>
      </c>
      <c r="K2022" s="16"/>
      <c r="L2022" s="14" t="s">
        <v>133</v>
      </c>
      <c r="M2022" s="16" t="str">
        <f t="shared" si="1"/>
        <v>6016146 Primaria</v>
      </c>
      <c r="N2022" s="17"/>
      <c r="O2022" s="17"/>
      <c r="P2022" s="17"/>
      <c r="Q2022" s="17"/>
      <c r="R2022" s="17"/>
      <c r="S2022" s="17"/>
      <c r="T2022" s="17"/>
    </row>
    <row r="2023">
      <c r="A2023" s="21">
        <v>826.0</v>
      </c>
      <c r="B2023" s="20" t="s">
        <v>13</v>
      </c>
      <c r="C2023" s="20" t="s">
        <v>14</v>
      </c>
      <c r="D2023" s="20" t="s">
        <v>22</v>
      </c>
      <c r="E2023" s="12" t="str">
        <f>IFERROR(__xludf.DUMMYFUNCTION("FILTER(colegios!$B$2:$B5618,colegios!$A$2:$A5618=L2023)"),"601614")</f>
        <v>601614</v>
      </c>
      <c r="F2023" s="14" t="s">
        <v>16</v>
      </c>
      <c r="G2023" s="20" t="s">
        <v>21</v>
      </c>
      <c r="H2023" s="14" t="s">
        <v>18</v>
      </c>
      <c r="I2023" s="22">
        <v>2023.0</v>
      </c>
      <c r="J2023" s="16" t="str">
        <f>IFERROR(__xludf.DUMMYFUNCTION("FILTER('CLASFICACIÓN'!$F$3:$F5618,'CLASFICACIÓN'!$G$3:$G5618=M2023)"),"SOLO 2023")</f>
        <v>SOLO 2023</v>
      </c>
      <c r="K2023" s="16"/>
      <c r="L2023" s="14" t="s">
        <v>133</v>
      </c>
      <c r="M2023" s="16" t="str">
        <f t="shared" si="1"/>
        <v>6016146 Primaria</v>
      </c>
      <c r="N2023" s="17"/>
      <c r="O2023" s="17"/>
      <c r="P2023" s="17"/>
      <c r="Q2023" s="17"/>
      <c r="R2023" s="17"/>
      <c r="S2023" s="17"/>
      <c r="T2023" s="17"/>
    </row>
    <row r="2024">
      <c r="A2024" s="21">
        <v>827.0</v>
      </c>
      <c r="B2024" s="20" t="s">
        <v>13</v>
      </c>
      <c r="C2024" s="20" t="s">
        <v>14</v>
      </c>
      <c r="D2024" s="20" t="s">
        <v>22</v>
      </c>
      <c r="E2024" s="12" t="str">
        <f>IFERROR(__xludf.DUMMYFUNCTION("FILTER(colegios!$B$2:$B5618,colegios!$A$2:$A5618=L2024)"),"601614")</f>
        <v>601614</v>
      </c>
      <c r="F2024" s="14" t="s">
        <v>16</v>
      </c>
      <c r="G2024" s="20" t="s">
        <v>21</v>
      </c>
      <c r="H2024" s="14" t="s">
        <v>24</v>
      </c>
      <c r="I2024" s="22">
        <v>2023.0</v>
      </c>
      <c r="J2024" s="16" t="str">
        <f>IFERROR(__xludf.DUMMYFUNCTION("FILTER('CLASFICACIÓN'!$F$3:$F5618,'CLASFICACIÓN'!$G$3:$G5618=M2024)"),"SOLO 2023")</f>
        <v>SOLO 2023</v>
      </c>
      <c r="K2024" s="16"/>
      <c r="L2024" s="14" t="s">
        <v>133</v>
      </c>
      <c r="M2024" s="16" t="str">
        <f t="shared" si="1"/>
        <v>6016146 Primaria</v>
      </c>
      <c r="N2024" s="17"/>
      <c r="O2024" s="17"/>
      <c r="P2024" s="17"/>
      <c r="Q2024" s="17"/>
      <c r="R2024" s="17"/>
      <c r="S2024" s="17"/>
      <c r="T2024" s="17"/>
    </row>
    <row r="2025">
      <c r="A2025" s="21">
        <v>828.0</v>
      </c>
      <c r="B2025" s="20" t="s">
        <v>13</v>
      </c>
      <c r="C2025" s="20" t="s">
        <v>27</v>
      </c>
      <c r="D2025" s="20" t="s">
        <v>28</v>
      </c>
      <c r="E2025" s="12" t="str">
        <f>IFERROR(__xludf.DUMMYFUNCTION("FILTER(colegios!$B$2:$B5618,colegios!$A$2:$A5618=L2025)"),"EL MILAGRO")</f>
        <v>EL MILAGRO</v>
      </c>
      <c r="F2025" s="14" t="s">
        <v>16</v>
      </c>
      <c r="G2025" s="20" t="s">
        <v>17</v>
      </c>
      <c r="H2025" s="14" t="s">
        <v>18</v>
      </c>
      <c r="I2025" s="22">
        <v>2023.0</v>
      </c>
      <c r="J2025" s="16" t="str">
        <f>IFERROR(__xludf.DUMMYFUNCTION("FILTER('CLASFICACIÓN'!$F$3:$F5618,'CLASFICACIÓN'!$G$3:$G5618=M2025)"),"LOS 3 AÑOS")</f>
        <v>LOS 3 AÑOS</v>
      </c>
      <c r="K2025" s="16"/>
      <c r="L2025" s="14" t="s">
        <v>134</v>
      </c>
      <c r="M2025" s="16" t="str">
        <f t="shared" si="1"/>
        <v>EL MILAGRO2 Secundaria</v>
      </c>
      <c r="N2025" s="17"/>
      <c r="O2025" s="17"/>
      <c r="P2025" s="17"/>
      <c r="Q2025" s="17"/>
      <c r="R2025" s="17"/>
      <c r="S2025" s="17"/>
      <c r="T2025" s="17"/>
    </row>
    <row r="2026">
      <c r="A2026" s="21">
        <v>829.0</v>
      </c>
      <c r="B2026" s="20" t="s">
        <v>13</v>
      </c>
      <c r="C2026" s="20" t="s">
        <v>27</v>
      </c>
      <c r="D2026" s="20" t="s">
        <v>28</v>
      </c>
      <c r="E2026" s="12" t="str">
        <f>IFERROR(__xludf.DUMMYFUNCTION("FILTER(colegios!$B$2:$B5618,colegios!$A$2:$A5618=L2026)"),"EL MILAGRO")</f>
        <v>EL MILAGRO</v>
      </c>
      <c r="F2026" s="14" t="s">
        <v>16</v>
      </c>
      <c r="G2026" s="20" t="s">
        <v>21</v>
      </c>
      <c r="H2026" s="14" t="s">
        <v>24</v>
      </c>
      <c r="I2026" s="22">
        <v>2023.0</v>
      </c>
      <c r="J2026" s="16" t="str">
        <f>IFERROR(__xludf.DUMMYFUNCTION("FILTER('CLASFICACIÓN'!$F$3:$F5618,'CLASFICACIÓN'!$G$3:$G5618=M2026)"),"LOS 3 AÑOS")</f>
        <v>LOS 3 AÑOS</v>
      </c>
      <c r="K2026" s="16"/>
      <c r="L2026" s="14" t="s">
        <v>134</v>
      </c>
      <c r="M2026" s="16" t="str">
        <f t="shared" si="1"/>
        <v>EL MILAGRO2 Secundaria</v>
      </c>
      <c r="N2026" s="17"/>
      <c r="O2026" s="17"/>
      <c r="P2026" s="17"/>
      <c r="Q2026" s="17"/>
      <c r="R2026" s="17"/>
      <c r="S2026" s="17"/>
      <c r="T2026" s="17"/>
    </row>
    <row r="2027">
      <c r="A2027" s="21">
        <v>830.0</v>
      </c>
      <c r="B2027" s="20" t="s">
        <v>13</v>
      </c>
      <c r="C2027" s="20" t="s">
        <v>27</v>
      </c>
      <c r="D2027" s="20" t="s">
        <v>28</v>
      </c>
      <c r="E2027" s="12" t="str">
        <f>IFERROR(__xludf.DUMMYFUNCTION("FILTER(colegios!$B$2:$B5618,colegios!$A$2:$A5618=L2027)"),"EL MILAGRO")</f>
        <v>EL MILAGRO</v>
      </c>
      <c r="F2027" s="14" t="s">
        <v>16</v>
      </c>
      <c r="G2027" s="20" t="s">
        <v>17</v>
      </c>
      <c r="H2027" s="14" t="s">
        <v>18</v>
      </c>
      <c r="I2027" s="22">
        <v>2023.0</v>
      </c>
      <c r="J2027" s="16" t="str">
        <f>IFERROR(__xludf.DUMMYFUNCTION("FILTER('CLASFICACIÓN'!$F$3:$F5618,'CLASFICACIÓN'!$G$3:$G5618=M2027)"),"LOS 3 AÑOS")</f>
        <v>LOS 3 AÑOS</v>
      </c>
      <c r="K2027" s="16"/>
      <c r="L2027" s="14" t="s">
        <v>134</v>
      </c>
      <c r="M2027" s="16" t="str">
        <f t="shared" si="1"/>
        <v>EL MILAGRO2 Secundaria</v>
      </c>
      <c r="N2027" s="17"/>
      <c r="O2027" s="17"/>
      <c r="P2027" s="17"/>
      <c r="Q2027" s="17"/>
      <c r="R2027" s="17"/>
      <c r="S2027" s="17"/>
      <c r="T2027" s="17"/>
    </row>
    <row r="2028">
      <c r="A2028" s="21">
        <v>831.0</v>
      </c>
      <c r="B2028" s="20" t="s">
        <v>13</v>
      </c>
      <c r="C2028" s="20" t="s">
        <v>27</v>
      </c>
      <c r="D2028" s="20" t="s">
        <v>28</v>
      </c>
      <c r="E2028" s="12" t="str">
        <f>IFERROR(__xludf.DUMMYFUNCTION("FILTER(colegios!$B$2:$B5618,colegios!$A$2:$A5618=L2028)"),"EL MILAGRO")</f>
        <v>EL MILAGRO</v>
      </c>
      <c r="F2028" s="14" t="s">
        <v>16</v>
      </c>
      <c r="G2028" s="20" t="s">
        <v>21</v>
      </c>
      <c r="H2028" s="14" t="s">
        <v>18</v>
      </c>
      <c r="I2028" s="22">
        <v>2023.0</v>
      </c>
      <c r="J2028" s="16" t="str">
        <f>IFERROR(__xludf.DUMMYFUNCTION("FILTER('CLASFICACIÓN'!$F$3:$F5618,'CLASFICACIÓN'!$G$3:$G5618=M2028)"),"LOS 3 AÑOS")</f>
        <v>LOS 3 AÑOS</v>
      </c>
      <c r="K2028" s="16"/>
      <c r="L2028" s="14" t="s">
        <v>134</v>
      </c>
      <c r="M2028" s="16" t="str">
        <f t="shared" si="1"/>
        <v>EL MILAGRO2 Secundaria</v>
      </c>
      <c r="N2028" s="17"/>
      <c r="O2028" s="17"/>
      <c r="P2028" s="17"/>
      <c r="Q2028" s="17"/>
      <c r="R2028" s="17"/>
      <c r="S2028" s="17"/>
      <c r="T2028" s="17"/>
    </row>
    <row r="2029">
      <c r="A2029" s="21">
        <v>832.0</v>
      </c>
      <c r="B2029" s="20" t="s">
        <v>13</v>
      </c>
      <c r="C2029" s="20" t="s">
        <v>27</v>
      </c>
      <c r="D2029" s="20" t="s">
        <v>28</v>
      </c>
      <c r="E2029" s="12" t="str">
        <f>IFERROR(__xludf.DUMMYFUNCTION("FILTER(colegios!$B$2:$B5618,colegios!$A$2:$A5618=L2029)"),"EL MILAGRO")</f>
        <v>EL MILAGRO</v>
      </c>
      <c r="F2029" s="14" t="s">
        <v>16</v>
      </c>
      <c r="G2029" s="20" t="s">
        <v>17</v>
      </c>
      <c r="H2029" s="14" t="s">
        <v>18</v>
      </c>
      <c r="I2029" s="22">
        <v>2023.0</v>
      </c>
      <c r="J2029" s="16" t="str">
        <f>IFERROR(__xludf.DUMMYFUNCTION("FILTER('CLASFICACIÓN'!$F$3:$F5618,'CLASFICACIÓN'!$G$3:$G5618=M2029)"),"LOS 3 AÑOS")</f>
        <v>LOS 3 AÑOS</v>
      </c>
      <c r="K2029" s="16"/>
      <c r="L2029" s="14" t="s">
        <v>134</v>
      </c>
      <c r="M2029" s="16" t="str">
        <f t="shared" si="1"/>
        <v>EL MILAGRO2 Secundaria</v>
      </c>
      <c r="N2029" s="17"/>
      <c r="O2029" s="17"/>
      <c r="P2029" s="17"/>
      <c r="Q2029" s="17"/>
      <c r="R2029" s="17"/>
      <c r="S2029" s="17"/>
      <c r="T2029" s="17"/>
    </row>
    <row r="2030">
      <c r="A2030" s="21">
        <v>833.0</v>
      </c>
      <c r="B2030" s="20" t="s">
        <v>13</v>
      </c>
      <c r="C2030" s="20" t="s">
        <v>27</v>
      </c>
      <c r="D2030" s="20" t="s">
        <v>28</v>
      </c>
      <c r="E2030" s="12" t="str">
        <f>IFERROR(__xludf.DUMMYFUNCTION("FILTER(colegios!$B$2:$B5618,colegios!$A$2:$A5618=L2030)"),"EL MILAGRO")</f>
        <v>EL MILAGRO</v>
      </c>
      <c r="F2030" s="14" t="s">
        <v>16</v>
      </c>
      <c r="G2030" s="20" t="s">
        <v>21</v>
      </c>
      <c r="H2030" s="14" t="s">
        <v>18</v>
      </c>
      <c r="I2030" s="22">
        <v>2023.0</v>
      </c>
      <c r="J2030" s="16" t="str">
        <f>IFERROR(__xludf.DUMMYFUNCTION("FILTER('CLASFICACIÓN'!$F$3:$F5618,'CLASFICACIÓN'!$G$3:$G5618=M2030)"),"LOS 3 AÑOS")</f>
        <v>LOS 3 AÑOS</v>
      </c>
      <c r="K2030" s="16"/>
      <c r="L2030" s="14" t="s">
        <v>134</v>
      </c>
      <c r="M2030" s="16" t="str">
        <f t="shared" si="1"/>
        <v>EL MILAGRO2 Secundaria</v>
      </c>
      <c r="N2030" s="17"/>
      <c r="O2030" s="17"/>
      <c r="P2030" s="17"/>
      <c r="Q2030" s="17"/>
      <c r="R2030" s="17"/>
      <c r="S2030" s="17"/>
      <c r="T2030" s="17"/>
    </row>
    <row r="2031">
      <c r="A2031" s="21">
        <v>834.0</v>
      </c>
      <c r="B2031" s="20" t="s">
        <v>13</v>
      </c>
      <c r="C2031" s="20" t="s">
        <v>27</v>
      </c>
      <c r="D2031" s="20" t="s">
        <v>28</v>
      </c>
      <c r="E2031" s="12" t="str">
        <f>IFERROR(__xludf.DUMMYFUNCTION("FILTER(colegios!$B$2:$B5618,colegios!$A$2:$A5618=L2031)"),"EL MILAGRO")</f>
        <v>EL MILAGRO</v>
      </c>
      <c r="F2031" s="14" t="s">
        <v>16</v>
      </c>
      <c r="G2031" s="20" t="s">
        <v>21</v>
      </c>
      <c r="H2031" s="14" t="s">
        <v>18</v>
      </c>
      <c r="I2031" s="22">
        <v>2023.0</v>
      </c>
      <c r="J2031" s="16" t="str">
        <f>IFERROR(__xludf.DUMMYFUNCTION("FILTER('CLASFICACIÓN'!$F$3:$F5618,'CLASFICACIÓN'!$G$3:$G5618=M2031)"),"LOS 3 AÑOS")</f>
        <v>LOS 3 AÑOS</v>
      </c>
      <c r="K2031" s="16"/>
      <c r="L2031" s="14" t="s">
        <v>134</v>
      </c>
      <c r="M2031" s="16" t="str">
        <f t="shared" si="1"/>
        <v>EL MILAGRO2 Secundaria</v>
      </c>
      <c r="N2031" s="17"/>
      <c r="O2031" s="17"/>
      <c r="P2031" s="17"/>
      <c r="Q2031" s="17"/>
      <c r="R2031" s="17"/>
      <c r="S2031" s="17"/>
      <c r="T2031" s="17"/>
    </row>
    <row r="2032">
      <c r="A2032" s="21">
        <v>835.0</v>
      </c>
      <c r="B2032" s="20" t="s">
        <v>13</v>
      </c>
      <c r="C2032" s="20" t="s">
        <v>27</v>
      </c>
      <c r="D2032" s="20" t="s">
        <v>28</v>
      </c>
      <c r="E2032" s="12" t="str">
        <f>IFERROR(__xludf.DUMMYFUNCTION("FILTER(colegios!$B$2:$B5618,colegios!$A$2:$A5618=L2032)"),"EL MILAGRO")</f>
        <v>EL MILAGRO</v>
      </c>
      <c r="F2032" s="14" t="s">
        <v>16</v>
      </c>
      <c r="G2032" s="20" t="s">
        <v>21</v>
      </c>
      <c r="H2032" s="14" t="s">
        <v>18</v>
      </c>
      <c r="I2032" s="22">
        <v>2023.0</v>
      </c>
      <c r="J2032" s="16" t="str">
        <f>IFERROR(__xludf.DUMMYFUNCTION("FILTER('CLASFICACIÓN'!$F$3:$F5618,'CLASFICACIÓN'!$G$3:$G5618=M2032)"),"LOS 3 AÑOS")</f>
        <v>LOS 3 AÑOS</v>
      </c>
      <c r="K2032" s="16"/>
      <c r="L2032" s="14" t="s">
        <v>134</v>
      </c>
      <c r="M2032" s="16" t="str">
        <f t="shared" si="1"/>
        <v>EL MILAGRO2 Secundaria</v>
      </c>
      <c r="N2032" s="17"/>
      <c r="O2032" s="17"/>
      <c r="P2032" s="17"/>
      <c r="Q2032" s="17"/>
      <c r="R2032" s="17"/>
      <c r="S2032" s="17"/>
      <c r="T2032" s="17"/>
    </row>
    <row r="2033">
      <c r="A2033" s="21">
        <v>836.0</v>
      </c>
      <c r="B2033" s="20" t="s">
        <v>13</v>
      </c>
      <c r="C2033" s="20" t="s">
        <v>27</v>
      </c>
      <c r="D2033" s="20" t="s">
        <v>28</v>
      </c>
      <c r="E2033" s="12" t="str">
        <f>IFERROR(__xludf.DUMMYFUNCTION("FILTER(colegios!$B$2:$B5618,colegios!$A$2:$A5618=L2033)"),"EL MILAGRO")</f>
        <v>EL MILAGRO</v>
      </c>
      <c r="F2033" s="14" t="s">
        <v>16</v>
      </c>
      <c r="G2033" s="20" t="s">
        <v>17</v>
      </c>
      <c r="H2033" s="14" t="s">
        <v>18</v>
      </c>
      <c r="I2033" s="22">
        <v>2023.0</v>
      </c>
      <c r="J2033" s="16" t="str">
        <f>IFERROR(__xludf.DUMMYFUNCTION("FILTER('CLASFICACIÓN'!$F$3:$F5618,'CLASFICACIÓN'!$G$3:$G5618=M2033)"),"LOS 3 AÑOS")</f>
        <v>LOS 3 AÑOS</v>
      </c>
      <c r="K2033" s="16"/>
      <c r="L2033" s="14" t="s">
        <v>134</v>
      </c>
      <c r="M2033" s="16" t="str">
        <f t="shared" si="1"/>
        <v>EL MILAGRO2 Secundaria</v>
      </c>
      <c r="N2033" s="17"/>
      <c r="O2033" s="17"/>
      <c r="P2033" s="17"/>
      <c r="Q2033" s="17"/>
      <c r="R2033" s="17"/>
      <c r="S2033" s="17"/>
      <c r="T2033" s="17"/>
    </row>
    <row r="2034">
      <c r="A2034" s="21">
        <v>837.0</v>
      </c>
      <c r="B2034" s="20" t="s">
        <v>13</v>
      </c>
      <c r="C2034" s="20" t="s">
        <v>27</v>
      </c>
      <c r="D2034" s="20" t="s">
        <v>28</v>
      </c>
      <c r="E2034" s="12" t="str">
        <f>IFERROR(__xludf.DUMMYFUNCTION("FILTER(colegios!$B$2:$B5618,colegios!$A$2:$A5618=L2034)"),"EL MILAGRO")</f>
        <v>EL MILAGRO</v>
      </c>
      <c r="F2034" s="14" t="s">
        <v>16</v>
      </c>
      <c r="G2034" s="20" t="s">
        <v>17</v>
      </c>
      <c r="H2034" s="14" t="s">
        <v>18</v>
      </c>
      <c r="I2034" s="22">
        <v>2023.0</v>
      </c>
      <c r="J2034" s="16" t="str">
        <f>IFERROR(__xludf.DUMMYFUNCTION("FILTER('CLASFICACIÓN'!$F$3:$F5618,'CLASFICACIÓN'!$G$3:$G5618=M2034)"),"LOS 3 AÑOS")</f>
        <v>LOS 3 AÑOS</v>
      </c>
      <c r="K2034" s="16"/>
      <c r="L2034" s="14" t="s">
        <v>134</v>
      </c>
      <c r="M2034" s="16" t="str">
        <f t="shared" si="1"/>
        <v>EL MILAGRO2 Secundaria</v>
      </c>
      <c r="N2034" s="17"/>
      <c r="O2034" s="17"/>
      <c r="P2034" s="17"/>
      <c r="Q2034" s="17"/>
      <c r="R2034" s="17"/>
      <c r="S2034" s="17"/>
      <c r="T2034" s="17"/>
    </row>
    <row r="2035">
      <c r="A2035" s="21">
        <v>838.0</v>
      </c>
      <c r="B2035" s="20" t="s">
        <v>13</v>
      </c>
      <c r="C2035" s="20" t="s">
        <v>27</v>
      </c>
      <c r="D2035" s="20" t="s">
        <v>28</v>
      </c>
      <c r="E2035" s="12" t="str">
        <f>IFERROR(__xludf.DUMMYFUNCTION("FILTER(colegios!$B$2:$B5618,colegios!$A$2:$A5618=L2035)"),"EL MILAGRO")</f>
        <v>EL MILAGRO</v>
      </c>
      <c r="F2035" s="14" t="s">
        <v>16</v>
      </c>
      <c r="G2035" s="20" t="s">
        <v>21</v>
      </c>
      <c r="H2035" s="14" t="s">
        <v>18</v>
      </c>
      <c r="I2035" s="22">
        <v>2023.0</v>
      </c>
      <c r="J2035" s="16" t="str">
        <f>IFERROR(__xludf.DUMMYFUNCTION("FILTER('CLASFICACIÓN'!$F$3:$F5618,'CLASFICACIÓN'!$G$3:$G5618=M2035)"),"LOS 3 AÑOS")</f>
        <v>LOS 3 AÑOS</v>
      </c>
      <c r="K2035" s="16"/>
      <c r="L2035" s="14" t="s">
        <v>134</v>
      </c>
      <c r="M2035" s="16" t="str">
        <f t="shared" si="1"/>
        <v>EL MILAGRO2 Secundaria</v>
      </c>
      <c r="N2035" s="17"/>
      <c r="O2035" s="17"/>
      <c r="P2035" s="17"/>
      <c r="Q2035" s="17"/>
      <c r="R2035" s="17"/>
      <c r="S2035" s="17"/>
      <c r="T2035" s="17"/>
    </row>
    <row r="2036">
      <c r="A2036" s="21">
        <v>839.0</v>
      </c>
      <c r="B2036" s="20" t="s">
        <v>13</v>
      </c>
      <c r="C2036" s="20" t="s">
        <v>27</v>
      </c>
      <c r="D2036" s="20" t="s">
        <v>28</v>
      </c>
      <c r="E2036" s="12" t="str">
        <f>IFERROR(__xludf.DUMMYFUNCTION("FILTER(colegios!$B$2:$B5618,colegios!$A$2:$A5618=L2036)"),"EL MILAGRO")</f>
        <v>EL MILAGRO</v>
      </c>
      <c r="F2036" s="14" t="s">
        <v>16</v>
      </c>
      <c r="G2036" s="20" t="s">
        <v>21</v>
      </c>
      <c r="H2036" s="14" t="s">
        <v>18</v>
      </c>
      <c r="I2036" s="22">
        <v>2023.0</v>
      </c>
      <c r="J2036" s="16" t="str">
        <f>IFERROR(__xludf.DUMMYFUNCTION("FILTER('CLASFICACIÓN'!$F$3:$F5618,'CLASFICACIÓN'!$G$3:$G5618=M2036)"),"LOS 3 AÑOS")</f>
        <v>LOS 3 AÑOS</v>
      </c>
      <c r="K2036" s="16"/>
      <c r="L2036" s="14" t="s">
        <v>134</v>
      </c>
      <c r="M2036" s="16" t="str">
        <f t="shared" si="1"/>
        <v>EL MILAGRO2 Secundaria</v>
      </c>
      <c r="N2036" s="17"/>
      <c r="O2036" s="17"/>
      <c r="P2036" s="17"/>
      <c r="Q2036" s="17"/>
      <c r="R2036" s="17"/>
      <c r="S2036" s="17"/>
      <c r="T2036" s="17"/>
    </row>
    <row r="2037">
      <c r="A2037" s="21">
        <v>840.0</v>
      </c>
      <c r="B2037" s="20" t="s">
        <v>13</v>
      </c>
      <c r="C2037" s="20" t="s">
        <v>27</v>
      </c>
      <c r="D2037" s="20" t="s">
        <v>28</v>
      </c>
      <c r="E2037" s="12" t="str">
        <f>IFERROR(__xludf.DUMMYFUNCTION("FILTER(colegios!$B$2:$B5618,colegios!$A$2:$A5618=L2037)"),"EL MILAGRO")</f>
        <v>EL MILAGRO</v>
      </c>
      <c r="F2037" s="14" t="s">
        <v>16</v>
      </c>
      <c r="G2037" s="20" t="s">
        <v>17</v>
      </c>
      <c r="H2037" s="14" t="s">
        <v>18</v>
      </c>
      <c r="I2037" s="22">
        <v>2023.0</v>
      </c>
      <c r="J2037" s="16" t="str">
        <f>IFERROR(__xludf.DUMMYFUNCTION("FILTER('CLASFICACIÓN'!$F$3:$F5618,'CLASFICACIÓN'!$G$3:$G5618=M2037)"),"LOS 3 AÑOS")</f>
        <v>LOS 3 AÑOS</v>
      </c>
      <c r="K2037" s="16"/>
      <c r="L2037" s="14" t="s">
        <v>134</v>
      </c>
      <c r="M2037" s="16" t="str">
        <f t="shared" si="1"/>
        <v>EL MILAGRO2 Secundaria</v>
      </c>
      <c r="N2037" s="17"/>
      <c r="O2037" s="17"/>
      <c r="P2037" s="17"/>
      <c r="Q2037" s="17"/>
      <c r="R2037" s="17"/>
      <c r="S2037" s="17"/>
      <c r="T2037" s="17"/>
    </row>
    <row r="2038">
      <c r="A2038" s="21">
        <v>841.0</v>
      </c>
      <c r="B2038" s="20" t="s">
        <v>13</v>
      </c>
      <c r="C2038" s="20" t="s">
        <v>27</v>
      </c>
      <c r="D2038" s="20" t="s">
        <v>28</v>
      </c>
      <c r="E2038" s="12" t="str">
        <f>IFERROR(__xludf.DUMMYFUNCTION("FILTER(colegios!$B$2:$B5618,colegios!$A$2:$A5618=L2038)"),"EL MILAGRO")</f>
        <v>EL MILAGRO</v>
      </c>
      <c r="F2038" s="14" t="s">
        <v>16</v>
      </c>
      <c r="G2038" s="20" t="s">
        <v>21</v>
      </c>
      <c r="H2038" s="14" t="s">
        <v>18</v>
      </c>
      <c r="I2038" s="22">
        <v>2023.0</v>
      </c>
      <c r="J2038" s="16" t="str">
        <f>IFERROR(__xludf.DUMMYFUNCTION("FILTER('CLASFICACIÓN'!$F$3:$F5618,'CLASFICACIÓN'!$G$3:$G5618=M2038)"),"LOS 3 AÑOS")</f>
        <v>LOS 3 AÑOS</v>
      </c>
      <c r="K2038" s="16"/>
      <c r="L2038" s="14" t="s">
        <v>134</v>
      </c>
      <c r="M2038" s="16" t="str">
        <f t="shared" si="1"/>
        <v>EL MILAGRO2 Secundaria</v>
      </c>
      <c r="N2038" s="17"/>
      <c r="O2038" s="17"/>
      <c r="P2038" s="17"/>
      <c r="Q2038" s="17"/>
      <c r="R2038" s="17"/>
      <c r="S2038" s="17"/>
      <c r="T2038" s="17"/>
    </row>
    <row r="2039">
      <c r="A2039" s="21">
        <v>842.0</v>
      </c>
      <c r="B2039" s="20" t="s">
        <v>13</v>
      </c>
      <c r="C2039" s="20" t="s">
        <v>27</v>
      </c>
      <c r="D2039" s="20" t="s">
        <v>28</v>
      </c>
      <c r="E2039" s="12" t="str">
        <f>IFERROR(__xludf.DUMMYFUNCTION("FILTER(colegios!$B$2:$B5618,colegios!$A$2:$A5618=L2039)"),"EL MILAGRO")</f>
        <v>EL MILAGRO</v>
      </c>
      <c r="F2039" s="14" t="s">
        <v>16</v>
      </c>
      <c r="G2039" s="20" t="s">
        <v>21</v>
      </c>
      <c r="H2039" s="14" t="s">
        <v>18</v>
      </c>
      <c r="I2039" s="22">
        <v>2023.0</v>
      </c>
      <c r="J2039" s="16" t="str">
        <f>IFERROR(__xludf.DUMMYFUNCTION("FILTER('CLASFICACIÓN'!$F$3:$F5618,'CLASFICACIÓN'!$G$3:$G5618=M2039)"),"LOS 3 AÑOS")</f>
        <v>LOS 3 AÑOS</v>
      </c>
      <c r="K2039" s="16"/>
      <c r="L2039" s="14" t="s">
        <v>134</v>
      </c>
      <c r="M2039" s="16" t="str">
        <f t="shared" si="1"/>
        <v>EL MILAGRO2 Secundaria</v>
      </c>
      <c r="N2039" s="17"/>
      <c r="O2039" s="17"/>
      <c r="P2039" s="17"/>
      <c r="Q2039" s="17"/>
      <c r="R2039" s="17"/>
      <c r="S2039" s="17"/>
      <c r="T2039" s="17"/>
    </row>
    <row r="2040">
      <c r="A2040" s="21">
        <v>843.0</v>
      </c>
      <c r="B2040" s="20" t="s">
        <v>13</v>
      </c>
      <c r="C2040" s="20" t="s">
        <v>27</v>
      </c>
      <c r="D2040" s="20" t="s">
        <v>28</v>
      </c>
      <c r="E2040" s="12" t="str">
        <f>IFERROR(__xludf.DUMMYFUNCTION("FILTER(colegios!$B$2:$B5618,colegios!$A$2:$A5618=L2040)"),"EL MILAGRO")</f>
        <v>EL MILAGRO</v>
      </c>
      <c r="F2040" s="14" t="s">
        <v>16</v>
      </c>
      <c r="G2040" s="20" t="s">
        <v>21</v>
      </c>
      <c r="H2040" s="14" t="s">
        <v>18</v>
      </c>
      <c r="I2040" s="22">
        <v>2023.0</v>
      </c>
      <c r="J2040" s="16" t="str">
        <f>IFERROR(__xludf.DUMMYFUNCTION("FILTER('CLASFICACIÓN'!$F$3:$F5618,'CLASFICACIÓN'!$G$3:$G5618=M2040)"),"LOS 3 AÑOS")</f>
        <v>LOS 3 AÑOS</v>
      </c>
      <c r="K2040" s="16"/>
      <c r="L2040" s="14" t="s">
        <v>134</v>
      </c>
      <c r="M2040" s="16" t="str">
        <f t="shared" si="1"/>
        <v>EL MILAGRO2 Secundaria</v>
      </c>
      <c r="N2040" s="17"/>
      <c r="O2040" s="17"/>
      <c r="P2040" s="17"/>
      <c r="Q2040" s="17"/>
      <c r="R2040" s="17"/>
      <c r="S2040" s="17"/>
      <c r="T2040" s="17"/>
    </row>
    <row r="2041">
      <c r="A2041" s="21">
        <v>844.0</v>
      </c>
      <c r="B2041" s="20" t="s">
        <v>13</v>
      </c>
      <c r="C2041" s="20" t="s">
        <v>27</v>
      </c>
      <c r="D2041" s="20" t="s">
        <v>28</v>
      </c>
      <c r="E2041" s="12" t="str">
        <f>IFERROR(__xludf.DUMMYFUNCTION("FILTER(colegios!$B$2:$B5618,colegios!$A$2:$A5618=L2041)"),"EL MILAGRO")</f>
        <v>EL MILAGRO</v>
      </c>
      <c r="F2041" s="14" t="s">
        <v>16</v>
      </c>
      <c r="G2041" s="20" t="s">
        <v>21</v>
      </c>
      <c r="H2041" s="14" t="s">
        <v>18</v>
      </c>
      <c r="I2041" s="22">
        <v>2023.0</v>
      </c>
      <c r="J2041" s="16" t="str">
        <f>IFERROR(__xludf.DUMMYFUNCTION("FILTER('CLASFICACIÓN'!$F$3:$F5618,'CLASFICACIÓN'!$G$3:$G5618=M2041)"),"LOS 3 AÑOS")</f>
        <v>LOS 3 AÑOS</v>
      </c>
      <c r="K2041" s="16"/>
      <c r="L2041" s="14" t="s">
        <v>134</v>
      </c>
      <c r="M2041" s="16" t="str">
        <f t="shared" si="1"/>
        <v>EL MILAGRO2 Secundaria</v>
      </c>
      <c r="N2041" s="17"/>
      <c r="O2041" s="17"/>
      <c r="P2041" s="17"/>
      <c r="Q2041" s="17"/>
      <c r="R2041" s="17"/>
      <c r="S2041" s="17"/>
      <c r="T2041" s="17"/>
    </row>
    <row r="2042">
      <c r="A2042" s="21">
        <v>845.0</v>
      </c>
      <c r="B2042" s="20" t="s">
        <v>13</v>
      </c>
      <c r="C2042" s="20" t="s">
        <v>27</v>
      </c>
      <c r="D2042" s="20" t="s">
        <v>28</v>
      </c>
      <c r="E2042" s="12" t="str">
        <f>IFERROR(__xludf.DUMMYFUNCTION("FILTER(colegios!$B$2:$B5618,colegios!$A$2:$A5618=L2042)"),"EL MILAGRO")</f>
        <v>EL MILAGRO</v>
      </c>
      <c r="F2042" s="14" t="s">
        <v>16</v>
      </c>
      <c r="G2042" s="20" t="s">
        <v>21</v>
      </c>
      <c r="H2042" s="14" t="s">
        <v>18</v>
      </c>
      <c r="I2042" s="22">
        <v>2023.0</v>
      </c>
      <c r="J2042" s="16" t="str">
        <f>IFERROR(__xludf.DUMMYFUNCTION("FILTER('CLASFICACIÓN'!$F$3:$F5618,'CLASFICACIÓN'!$G$3:$G5618=M2042)"),"LOS 3 AÑOS")</f>
        <v>LOS 3 AÑOS</v>
      </c>
      <c r="K2042" s="16"/>
      <c r="L2042" s="14" t="s">
        <v>134</v>
      </c>
      <c r="M2042" s="16" t="str">
        <f t="shared" si="1"/>
        <v>EL MILAGRO2 Secundaria</v>
      </c>
      <c r="N2042" s="17"/>
      <c r="O2042" s="17"/>
      <c r="P2042" s="17"/>
      <c r="Q2042" s="17"/>
      <c r="R2042" s="17"/>
      <c r="S2042" s="17"/>
      <c r="T2042" s="17"/>
    </row>
    <row r="2043">
      <c r="A2043" s="21">
        <v>846.0</v>
      </c>
      <c r="B2043" s="20" t="s">
        <v>13</v>
      </c>
      <c r="C2043" s="20" t="s">
        <v>27</v>
      </c>
      <c r="D2043" s="20" t="s">
        <v>28</v>
      </c>
      <c r="E2043" s="12" t="str">
        <f>IFERROR(__xludf.DUMMYFUNCTION("FILTER(colegios!$B$2:$B5618,colegios!$A$2:$A5618=L2043)"),"EL MILAGRO")</f>
        <v>EL MILAGRO</v>
      </c>
      <c r="F2043" s="14" t="s">
        <v>16</v>
      </c>
      <c r="G2043" s="20" t="s">
        <v>21</v>
      </c>
      <c r="H2043" s="14" t="s">
        <v>18</v>
      </c>
      <c r="I2043" s="22">
        <v>2023.0</v>
      </c>
      <c r="J2043" s="16" t="str">
        <f>IFERROR(__xludf.DUMMYFUNCTION("FILTER('CLASFICACIÓN'!$F$3:$F5618,'CLASFICACIÓN'!$G$3:$G5618=M2043)"),"LOS 3 AÑOS")</f>
        <v>LOS 3 AÑOS</v>
      </c>
      <c r="K2043" s="16"/>
      <c r="L2043" s="14" t="s">
        <v>134</v>
      </c>
      <c r="M2043" s="16" t="str">
        <f t="shared" si="1"/>
        <v>EL MILAGRO2 Secundaria</v>
      </c>
      <c r="N2043" s="17"/>
      <c r="O2043" s="17"/>
      <c r="P2043" s="17"/>
      <c r="Q2043" s="17"/>
      <c r="R2043" s="17"/>
      <c r="S2043" s="17"/>
      <c r="T2043" s="17"/>
    </row>
    <row r="2044">
      <c r="A2044" s="21">
        <v>847.0</v>
      </c>
      <c r="B2044" s="20" t="s">
        <v>13</v>
      </c>
      <c r="C2044" s="20" t="s">
        <v>27</v>
      </c>
      <c r="D2044" s="20" t="s">
        <v>28</v>
      </c>
      <c r="E2044" s="12" t="str">
        <f>IFERROR(__xludf.DUMMYFUNCTION("FILTER(colegios!$B$2:$B5618,colegios!$A$2:$A5618=L2044)"),"EL MILAGRO")</f>
        <v>EL MILAGRO</v>
      </c>
      <c r="F2044" s="14" t="s">
        <v>16</v>
      </c>
      <c r="G2044" s="20" t="s">
        <v>21</v>
      </c>
      <c r="H2044" s="14" t="s">
        <v>18</v>
      </c>
      <c r="I2044" s="22">
        <v>2023.0</v>
      </c>
      <c r="J2044" s="16" t="str">
        <f>IFERROR(__xludf.DUMMYFUNCTION("FILTER('CLASFICACIÓN'!$F$3:$F5618,'CLASFICACIÓN'!$G$3:$G5618=M2044)"),"LOS 3 AÑOS")</f>
        <v>LOS 3 AÑOS</v>
      </c>
      <c r="K2044" s="16"/>
      <c r="L2044" s="14" t="s">
        <v>134</v>
      </c>
      <c r="M2044" s="16" t="str">
        <f t="shared" si="1"/>
        <v>EL MILAGRO2 Secundaria</v>
      </c>
      <c r="N2044" s="17"/>
      <c r="O2044" s="17"/>
      <c r="P2044" s="17"/>
      <c r="Q2044" s="17"/>
      <c r="R2044" s="17"/>
      <c r="S2044" s="17"/>
      <c r="T2044" s="17"/>
    </row>
    <row r="2045">
      <c r="A2045" s="21">
        <v>848.0</v>
      </c>
      <c r="B2045" s="20" t="s">
        <v>13</v>
      </c>
      <c r="C2045" s="20" t="s">
        <v>27</v>
      </c>
      <c r="D2045" s="20" t="s">
        <v>28</v>
      </c>
      <c r="E2045" s="12" t="str">
        <f>IFERROR(__xludf.DUMMYFUNCTION("FILTER(colegios!$B$2:$B5618,colegios!$A$2:$A5618=L2045)"),"EL MILAGRO")</f>
        <v>EL MILAGRO</v>
      </c>
      <c r="F2045" s="14" t="s">
        <v>16</v>
      </c>
      <c r="G2045" s="20" t="s">
        <v>21</v>
      </c>
      <c r="H2045" s="14" t="s">
        <v>18</v>
      </c>
      <c r="I2045" s="22">
        <v>2023.0</v>
      </c>
      <c r="J2045" s="16" t="str">
        <f>IFERROR(__xludf.DUMMYFUNCTION("FILTER('CLASFICACIÓN'!$F$3:$F5618,'CLASFICACIÓN'!$G$3:$G5618=M2045)"),"LOS 3 AÑOS")</f>
        <v>LOS 3 AÑOS</v>
      </c>
      <c r="K2045" s="16"/>
      <c r="L2045" s="14" t="s">
        <v>134</v>
      </c>
      <c r="M2045" s="16" t="str">
        <f t="shared" si="1"/>
        <v>EL MILAGRO2 Secundaria</v>
      </c>
      <c r="N2045" s="17"/>
      <c r="O2045" s="17"/>
      <c r="P2045" s="17"/>
      <c r="Q2045" s="17"/>
      <c r="R2045" s="17"/>
      <c r="S2045" s="17"/>
      <c r="T2045" s="17"/>
    </row>
    <row r="2046">
      <c r="A2046" s="21">
        <v>849.0</v>
      </c>
      <c r="B2046" s="20" t="s">
        <v>13</v>
      </c>
      <c r="C2046" s="20" t="s">
        <v>27</v>
      </c>
      <c r="D2046" s="20" t="s">
        <v>28</v>
      </c>
      <c r="E2046" s="12" t="str">
        <f>IFERROR(__xludf.DUMMYFUNCTION("FILTER(colegios!$B$2:$B5618,colegios!$A$2:$A5618=L2046)"),"EL MILAGRO")</f>
        <v>EL MILAGRO</v>
      </c>
      <c r="F2046" s="14" t="s">
        <v>16</v>
      </c>
      <c r="G2046" s="20" t="s">
        <v>21</v>
      </c>
      <c r="H2046" s="14" t="s">
        <v>18</v>
      </c>
      <c r="I2046" s="22">
        <v>2023.0</v>
      </c>
      <c r="J2046" s="16" t="str">
        <f>IFERROR(__xludf.DUMMYFUNCTION("FILTER('CLASFICACIÓN'!$F$3:$F5618,'CLASFICACIÓN'!$G$3:$G5618=M2046)"),"LOS 3 AÑOS")</f>
        <v>LOS 3 AÑOS</v>
      </c>
      <c r="K2046" s="16"/>
      <c r="L2046" s="14" t="s">
        <v>134</v>
      </c>
      <c r="M2046" s="16" t="str">
        <f t="shared" si="1"/>
        <v>EL MILAGRO2 Secundaria</v>
      </c>
      <c r="N2046" s="17"/>
      <c r="O2046" s="17"/>
      <c r="P2046" s="17"/>
      <c r="Q2046" s="17"/>
      <c r="R2046" s="17"/>
      <c r="S2046" s="17"/>
      <c r="T2046" s="17"/>
    </row>
    <row r="2047">
      <c r="A2047" s="21">
        <v>850.0</v>
      </c>
      <c r="B2047" s="20" t="s">
        <v>13</v>
      </c>
      <c r="C2047" s="20" t="s">
        <v>27</v>
      </c>
      <c r="D2047" s="20" t="s">
        <v>28</v>
      </c>
      <c r="E2047" s="12" t="str">
        <f>IFERROR(__xludf.DUMMYFUNCTION("FILTER(colegios!$B$2:$B5618,colegios!$A$2:$A5618=L2047)"),"EL MILAGRO")</f>
        <v>EL MILAGRO</v>
      </c>
      <c r="F2047" s="14" t="s">
        <v>16</v>
      </c>
      <c r="G2047" s="20" t="s">
        <v>21</v>
      </c>
      <c r="H2047" s="14" t="s">
        <v>18</v>
      </c>
      <c r="I2047" s="22">
        <v>2023.0</v>
      </c>
      <c r="J2047" s="16" t="str">
        <f>IFERROR(__xludf.DUMMYFUNCTION("FILTER('CLASFICACIÓN'!$F$3:$F5618,'CLASFICACIÓN'!$G$3:$G5618=M2047)"),"LOS 3 AÑOS")</f>
        <v>LOS 3 AÑOS</v>
      </c>
      <c r="K2047" s="16"/>
      <c r="L2047" s="14" t="s">
        <v>134</v>
      </c>
      <c r="M2047" s="16" t="str">
        <f t="shared" si="1"/>
        <v>EL MILAGRO2 Secundaria</v>
      </c>
      <c r="N2047" s="17"/>
      <c r="O2047" s="17"/>
      <c r="P2047" s="17"/>
      <c r="Q2047" s="17"/>
      <c r="R2047" s="17"/>
      <c r="S2047" s="17"/>
      <c r="T2047" s="17"/>
    </row>
    <row r="2048">
      <c r="A2048" s="21">
        <v>851.0</v>
      </c>
      <c r="B2048" s="20" t="s">
        <v>13</v>
      </c>
      <c r="C2048" s="20" t="s">
        <v>27</v>
      </c>
      <c r="D2048" s="20" t="s">
        <v>28</v>
      </c>
      <c r="E2048" s="12" t="str">
        <f>IFERROR(__xludf.DUMMYFUNCTION("FILTER(colegios!$B$2:$B5618,colegios!$A$2:$A5618=L2048)"),"EL MILAGRO")</f>
        <v>EL MILAGRO</v>
      </c>
      <c r="F2048" s="14" t="s">
        <v>16</v>
      </c>
      <c r="G2048" s="20" t="s">
        <v>21</v>
      </c>
      <c r="H2048" s="14" t="s">
        <v>18</v>
      </c>
      <c r="I2048" s="22">
        <v>2023.0</v>
      </c>
      <c r="J2048" s="16" t="str">
        <f>IFERROR(__xludf.DUMMYFUNCTION("FILTER('CLASFICACIÓN'!$F$3:$F5618,'CLASFICACIÓN'!$G$3:$G5618=M2048)"),"LOS 3 AÑOS")</f>
        <v>LOS 3 AÑOS</v>
      </c>
      <c r="K2048" s="16"/>
      <c r="L2048" s="14" t="s">
        <v>134</v>
      </c>
      <c r="M2048" s="16" t="str">
        <f t="shared" si="1"/>
        <v>EL MILAGRO2 Secundaria</v>
      </c>
      <c r="N2048" s="17"/>
      <c r="O2048" s="17"/>
      <c r="P2048" s="17"/>
      <c r="Q2048" s="17"/>
      <c r="R2048" s="17"/>
      <c r="S2048" s="17"/>
      <c r="T2048" s="17"/>
    </row>
    <row r="2049">
      <c r="A2049" s="21">
        <v>852.0</v>
      </c>
      <c r="B2049" s="20" t="s">
        <v>13</v>
      </c>
      <c r="C2049" s="20" t="s">
        <v>27</v>
      </c>
      <c r="D2049" s="20" t="s">
        <v>28</v>
      </c>
      <c r="E2049" s="12" t="str">
        <f>IFERROR(__xludf.DUMMYFUNCTION("FILTER(colegios!$B$2:$B5618,colegios!$A$2:$A5618=L2049)"),"EL MILAGRO")</f>
        <v>EL MILAGRO</v>
      </c>
      <c r="F2049" s="14" t="s">
        <v>16</v>
      </c>
      <c r="G2049" s="20" t="s">
        <v>21</v>
      </c>
      <c r="H2049" s="14" t="s">
        <v>18</v>
      </c>
      <c r="I2049" s="22">
        <v>2023.0</v>
      </c>
      <c r="J2049" s="16" t="str">
        <f>IFERROR(__xludf.DUMMYFUNCTION("FILTER('CLASFICACIÓN'!$F$3:$F5618,'CLASFICACIÓN'!$G$3:$G5618=M2049)"),"LOS 3 AÑOS")</f>
        <v>LOS 3 AÑOS</v>
      </c>
      <c r="K2049" s="16"/>
      <c r="L2049" s="14" t="s">
        <v>134</v>
      </c>
      <c r="M2049" s="16" t="str">
        <f t="shared" si="1"/>
        <v>EL MILAGRO2 Secundaria</v>
      </c>
      <c r="N2049" s="17"/>
      <c r="O2049" s="17"/>
      <c r="P2049" s="17"/>
      <c r="Q2049" s="17"/>
      <c r="R2049" s="17"/>
      <c r="S2049" s="17"/>
      <c r="T2049" s="17"/>
    </row>
    <row r="2050">
      <c r="A2050" s="21">
        <v>853.0</v>
      </c>
      <c r="B2050" s="20" t="s">
        <v>13</v>
      </c>
      <c r="C2050" s="20" t="s">
        <v>27</v>
      </c>
      <c r="D2050" s="20" t="s">
        <v>28</v>
      </c>
      <c r="E2050" s="12" t="str">
        <f>IFERROR(__xludf.DUMMYFUNCTION("FILTER(colegios!$B$2:$B5618,colegios!$A$2:$A5618=L2050)"),"EL MILAGRO")</f>
        <v>EL MILAGRO</v>
      </c>
      <c r="F2050" s="14" t="s">
        <v>16</v>
      </c>
      <c r="G2050" s="20" t="s">
        <v>21</v>
      </c>
      <c r="H2050" s="14" t="s">
        <v>18</v>
      </c>
      <c r="I2050" s="22">
        <v>2023.0</v>
      </c>
      <c r="J2050" s="16" t="str">
        <f>IFERROR(__xludf.DUMMYFUNCTION("FILTER('CLASFICACIÓN'!$F$3:$F5618,'CLASFICACIÓN'!$G$3:$G5618=M2050)"),"LOS 3 AÑOS")</f>
        <v>LOS 3 AÑOS</v>
      </c>
      <c r="K2050" s="16"/>
      <c r="L2050" s="14" t="s">
        <v>134</v>
      </c>
      <c r="M2050" s="16" t="str">
        <f t="shared" si="1"/>
        <v>EL MILAGRO2 Secundaria</v>
      </c>
      <c r="N2050" s="17"/>
      <c r="O2050" s="17"/>
      <c r="P2050" s="17"/>
      <c r="Q2050" s="17"/>
      <c r="R2050" s="17"/>
      <c r="S2050" s="17"/>
      <c r="T2050" s="17"/>
    </row>
    <row r="2051">
      <c r="A2051" s="21">
        <v>854.0</v>
      </c>
      <c r="B2051" s="20" t="s">
        <v>13</v>
      </c>
      <c r="C2051" s="20" t="s">
        <v>27</v>
      </c>
      <c r="D2051" s="20" t="s">
        <v>28</v>
      </c>
      <c r="E2051" s="12" t="str">
        <f>IFERROR(__xludf.DUMMYFUNCTION("FILTER(colegios!$B$2:$B5618,colegios!$A$2:$A5618=L2051)"),"EL MILAGRO")</f>
        <v>EL MILAGRO</v>
      </c>
      <c r="F2051" s="14" t="s">
        <v>16</v>
      </c>
      <c r="G2051" s="20" t="s">
        <v>17</v>
      </c>
      <c r="H2051" s="14" t="s">
        <v>18</v>
      </c>
      <c r="I2051" s="22">
        <v>2023.0</v>
      </c>
      <c r="J2051" s="16" t="str">
        <f>IFERROR(__xludf.DUMMYFUNCTION("FILTER('CLASFICACIÓN'!$F$3:$F5618,'CLASFICACIÓN'!$G$3:$G5618=M2051)"),"LOS 3 AÑOS")</f>
        <v>LOS 3 AÑOS</v>
      </c>
      <c r="K2051" s="16"/>
      <c r="L2051" s="14" t="s">
        <v>134</v>
      </c>
      <c r="M2051" s="16" t="str">
        <f t="shared" si="1"/>
        <v>EL MILAGRO2 Secundaria</v>
      </c>
      <c r="N2051" s="17"/>
      <c r="O2051" s="17"/>
      <c r="P2051" s="17"/>
      <c r="Q2051" s="17"/>
      <c r="R2051" s="17"/>
      <c r="S2051" s="17"/>
      <c r="T2051" s="17"/>
    </row>
    <row r="2052">
      <c r="A2052" s="21">
        <v>855.0</v>
      </c>
      <c r="B2052" s="20" t="s">
        <v>13</v>
      </c>
      <c r="C2052" s="20" t="s">
        <v>27</v>
      </c>
      <c r="D2052" s="20" t="s">
        <v>28</v>
      </c>
      <c r="E2052" s="12" t="str">
        <f>IFERROR(__xludf.DUMMYFUNCTION("FILTER(colegios!$B$2:$B5618,colegios!$A$2:$A5618=L2052)"),"EL MILAGRO")</f>
        <v>EL MILAGRO</v>
      </c>
      <c r="F2052" s="14" t="s">
        <v>16</v>
      </c>
      <c r="G2052" s="20" t="s">
        <v>21</v>
      </c>
      <c r="H2052" s="14" t="s">
        <v>18</v>
      </c>
      <c r="I2052" s="22">
        <v>2023.0</v>
      </c>
      <c r="J2052" s="16" t="str">
        <f>IFERROR(__xludf.DUMMYFUNCTION("FILTER('CLASFICACIÓN'!$F$3:$F5618,'CLASFICACIÓN'!$G$3:$G5618=M2052)"),"LOS 3 AÑOS")</f>
        <v>LOS 3 AÑOS</v>
      </c>
      <c r="K2052" s="16"/>
      <c r="L2052" s="14" t="s">
        <v>134</v>
      </c>
      <c r="M2052" s="16" t="str">
        <f t="shared" si="1"/>
        <v>EL MILAGRO2 Secundaria</v>
      </c>
      <c r="N2052" s="17"/>
      <c r="O2052" s="17"/>
      <c r="P2052" s="17"/>
      <c r="Q2052" s="17"/>
      <c r="R2052" s="17"/>
      <c r="S2052" s="17"/>
      <c r="T2052" s="17"/>
    </row>
    <row r="2053">
      <c r="A2053" s="21">
        <v>856.0</v>
      </c>
      <c r="B2053" s="20" t="s">
        <v>13</v>
      </c>
      <c r="C2053" s="20" t="s">
        <v>27</v>
      </c>
      <c r="D2053" s="20" t="s">
        <v>28</v>
      </c>
      <c r="E2053" s="12" t="str">
        <f>IFERROR(__xludf.DUMMYFUNCTION("FILTER(colegios!$B$2:$B5618,colegios!$A$2:$A5618=L2053)"),"EL MILAGRO")</f>
        <v>EL MILAGRO</v>
      </c>
      <c r="F2053" s="14" t="s">
        <v>16</v>
      </c>
      <c r="G2053" s="20" t="s">
        <v>21</v>
      </c>
      <c r="H2053" s="14" t="s">
        <v>18</v>
      </c>
      <c r="I2053" s="22">
        <v>2023.0</v>
      </c>
      <c r="J2053" s="16" t="str">
        <f>IFERROR(__xludf.DUMMYFUNCTION("FILTER('CLASFICACIÓN'!$F$3:$F5618,'CLASFICACIÓN'!$G$3:$G5618=M2053)"),"LOS 3 AÑOS")</f>
        <v>LOS 3 AÑOS</v>
      </c>
      <c r="K2053" s="16"/>
      <c r="L2053" s="14" t="s">
        <v>134</v>
      </c>
      <c r="M2053" s="16" t="str">
        <f t="shared" si="1"/>
        <v>EL MILAGRO2 Secundaria</v>
      </c>
      <c r="N2053" s="17"/>
      <c r="O2053" s="17"/>
      <c r="P2053" s="17"/>
      <c r="Q2053" s="17"/>
      <c r="R2053" s="17"/>
      <c r="S2053" s="17"/>
      <c r="T2053" s="17"/>
    </row>
    <row r="2054">
      <c r="A2054" s="21">
        <v>857.0</v>
      </c>
      <c r="B2054" s="20" t="s">
        <v>13</v>
      </c>
      <c r="C2054" s="20" t="s">
        <v>27</v>
      </c>
      <c r="D2054" s="20" t="s">
        <v>28</v>
      </c>
      <c r="E2054" s="12" t="str">
        <f>IFERROR(__xludf.DUMMYFUNCTION("FILTER(colegios!$B$2:$B5618,colegios!$A$2:$A5618=L2054)"),"EL MILAGRO")</f>
        <v>EL MILAGRO</v>
      </c>
      <c r="F2054" s="14" t="s">
        <v>16</v>
      </c>
      <c r="G2054" s="20" t="s">
        <v>17</v>
      </c>
      <c r="H2054" s="14" t="s">
        <v>24</v>
      </c>
      <c r="I2054" s="22">
        <v>2023.0</v>
      </c>
      <c r="J2054" s="16" t="str">
        <f>IFERROR(__xludf.DUMMYFUNCTION("FILTER('CLASFICACIÓN'!$F$3:$F5618,'CLASFICACIÓN'!$G$3:$G5618=M2054)"),"LOS 3 AÑOS")</f>
        <v>LOS 3 AÑOS</v>
      </c>
      <c r="K2054" s="16"/>
      <c r="L2054" s="14" t="s">
        <v>134</v>
      </c>
      <c r="M2054" s="16" t="str">
        <f t="shared" si="1"/>
        <v>EL MILAGRO2 Secundaria</v>
      </c>
      <c r="N2054" s="17"/>
      <c r="O2054" s="17"/>
      <c r="P2054" s="17"/>
      <c r="Q2054" s="17"/>
      <c r="R2054" s="17"/>
      <c r="S2054" s="17"/>
      <c r="T2054" s="17"/>
    </row>
    <row r="2055">
      <c r="A2055" s="21">
        <v>858.0</v>
      </c>
      <c r="B2055" s="20" t="s">
        <v>13</v>
      </c>
      <c r="C2055" s="20" t="s">
        <v>27</v>
      </c>
      <c r="D2055" s="20" t="s">
        <v>28</v>
      </c>
      <c r="E2055" s="12" t="str">
        <f>IFERROR(__xludf.DUMMYFUNCTION("FILTER(colegios!$B$2:$B5618,colegios!$A$2:$A5618=L2055)"),"EL MILAGRO")</f>
        <v>EL MILAGRO</v>
      </c>
      <c r="F2055" s="14" t="s">
        <v>16</v>
      </c>
      <c r="G2055" s="20" t="s">
        <v>17</v>
      </c>
      <c r="H2055" s="14" t="s">
        <v>18</v>
      </c>
      <c r="I2055" s="22">
        <v>2023.0</v>
      </c>
      <c r="J2055" s="16" t="str">
        <f>IFERROR(__xludf.DUMMYFUNCTION("FILTER('CLASFICACIÓN'!$F$3:$F5618,'CLASFICACIÓN'!$G$3:$G5618=M2055)"),"LOS 3 AÑOS")</f>
        <v>LOS 3 AÑOS</v>
      </c>
      <c r="K2055" s="16"/>
      <c r="L2055" s="14" t="s">
        <v>134</v>
      </c>
      <c r="M2055" s="16" t="str">
        <f t="shared" si="1"/>
        <v>EL MILAGRO2 Secundaria</v>
      </c>
      <c r="N2055" s="17"/>
      <c r="O2055" s="17"/>
      <c r="P2055" s="17"/>
      <c r="Q2055" s="17"/>
      <c r="R2055" s="17"/>
      <c r="S2055" s="17"/>
      <c r="T2055" s="17"/>
    </row>
    <row r="2056">
      <c r="A2056" s="21">
        <v>859.0</v>
      </c>
      <c r="B2056" s="20" t="s">
        <v>13</v>
      </c>
      <c r="C2056" s="20" t="s">
        <v>27</v>
      </c>
      <c r="D2056" s="20" t="s">
        <v>28</v>
      </c>
      <c r="E2056" s="12" t="str">
        <f>IFERROR(__xludf.DUMMYFUNCTION("FILTER(colegios!$B$2:$B5618,colegios!$A$2:$A5618=L2056)"),"EL MILAGRO")</f>
        <v>EL MILAGRO</v>
      </c>
      <c r="F2056" s="14" t="s">
        <v>16</v>
      </c>
      <c r="G2056" s="20" t="s">
        <v>21</v>
      </c>
      <c r="H2056" s="14" t="s">
        <v>18</v>
      </c>
      <c r="I2056" s="22">
        <v>2023.0</v>
      </c>
      <c r="J2056" s="16" t="str">
        <f>IFERROR(__xludf.DUMMYFUNCTION("FILTER('CLASFICACIÓN'!$F$3:$F5618,'CLASFICACIÓN'!$G$3:$G5618=M2056)"),"LOS 3 AÑOS")</f>
        <v>LOS 3 AÑOS</v>
      </c>
      <c r="K2056" s="16"/>
      <c r="L2056" s="14" t="s">
        <v>134</v>
      </c>
      <c r="M2056" s="16" t="str">
        <f t="shared" si="1"/>
        <v>EL MILAGRO2 Secundaria</v>
      </c>
      <c r="N2056" s="17"/>
      <c r="O2056" s="17"/>
      <c r="P2056" s="17"/>
      <c r="Q2056" s="17"/>
      <c r="R2056" s="17"/>
      <c r="S2056" s="17"/>
      <c r="T2056" s="17"/>
    </row>
    <row r="2057">
      <c r="A2057" s="21">
        <v>860.0</v>
      </c>
      <c r="B2057" s="20" t="s">
        <v>13</v>
      </c>
      <c r="C2057" s="20" t="s">
        <v>27</v>
      </c>
      <c r="D2057" s="20" t="s">
        <v>28</v>
      </c>
      <c r="E2057" s="12" t="str">
        <f>IFERROR(__xludf.DUMMYFUNCTION("FILTER(colegios!$B$2:$B5618,colegios!$A$2:$A5618=L2057)"),"EL MILAGRO")</f>
        <v>EL MILAGRO</v>
      </c>
      <c r="F2057" s="14" t="s">
        <v>16</v>
      </c>
      <c r="G2057" s="20" t="s">
        <v>17</v>
      </c>
      <c r="H2057" s="14" t="s">
        <v>18</v>
      </c>
      <c r="I2057" s="22">
        <v>2023.0</v>
      </c>
      <c r="J2057" s="16" t="str">
        <f>IFERROR(__xludf.DUMMYFUNCTION("FILTER('CLASFICACIÓN'!$F$3:$F5618,'CLASFICACIÓN'!$G$3:$G5618=M2057)"),"LOS 3 AÑOS")</f>
        <v>LOS 3 AÑOS</v>
      </c>
      <c r="K2057" s="16"/>
      <c r="L2057" s="14" t="s">
        <v>134</v>
      </c>
      <c r="M2057" s="16" t="str">
        <f t="shared" si="1"/>
        <v>EL MILAGRO2 Secundaria</v>
      </c>
      <c r="N2057" s="17"/>
      <c r="O2057" s="17"/>
      <c r="P2057" s="17"/>
      <c r="Q2057" s="17"/>
      <c r="R2057" s="17"/>
      <c r="S2057" s="17"/>
      <c r="T2057" s="17"/>
    </row>
    <row r="2058">
      <c r="A2058" s="21">
        <v>861.0</v>
      </c>
      <c r="B2058" s="20" t="s">
        <v>13</v>
      </c>
      <c r="C2058" s="20" t="s">
        <v>27</v>
      </c>
      <c r="D2058" s="20" t="s">
        <v>28</v>
      </c>
      <c r="E2058" s="12" t="str">
        <f>IFERROR(__xludf.DUMMYFUNCTION("FILTER(colegios!$B$2:$B5618,colegios!$A$2:$A5618=L2058)"),"EL MILAGRO")</f>
        <v>EL MILAGRO</v>
      </c>
      <c r="F2058" s="14" t="s">
        <v>16</v>
      </c>
      <c r="G2058" s="20" t="s">
        <v>17</v>
      </c>
      <c r="H2058" s="14" t="s">
        <v>18</v>
      </c>
      <c r="I2058" s="22">
        <v>2023.0</v>
      </c>
      <c r="J2058" s="16" t="str">
        <f>IFERROR(__xludf.DUMMYFUNCTION("FILTER('CLASFICACIÓN'!$F$3:$F5618,'CLASFICACIÓN'!$G$3:$G5618=M2058)"),"LOS 3 AÑOS")</f>
        <v>LOS 3 AÑOS</v>
      </c>
      <c r="K2058" s="16"/>
      <c r="L2058" s="14" t="s">
        <v>134</v>
      </c>
      <c r="M2058" s="16" t="str">
        <f t="shared" si="1"/>
        <v>EL MILAGRO2 Secundaria</v>
      </c>
      <c r="N2058" s="17"/>
      <c r="O2058" s="17"/>
      <c r="P2058" s="17"/>
      <c r="Q2058" s="17"/>
      <c r="R2058" s="17"/>
      <c r="S2058" s="17"/>
      <c r="T2058" s="17"/>
    </row>
    <row r="2059">
      <c r="A2059" s="21">
        <v>862.0</v>
      </c>
      <c r="B2059" s="20" t="s">
        <v>13</v>
      </c>
      <c r="C2059" s="20" t="s">
        <v>27</v>
      </c>
      <c r="D2059" s="20" t="s">
        <v>28</v>
      </c>
      <c r="E2059" s="12" t="str">
        <f>IFERROR(__xludf.DUMMYFUNCTION("FILTER(colegios!$B$2:$B5618,colegios!$A$2:$A5618=L2059)"),"EL MILAGRO")</f>
        <v>EL MILAGRO</v>
      </c>
      <c r="F2059" s="14" t="s">
        <v>16</v>
      </c>
      <c r="G2059" s="20" t="s">
        <v>17</v>
      </c>
      <c r="H2059" s="14" t="s">
        <v>18</v>
      </c>
      <c r="I2059" s="22">
        <v>2023.0</v>
      </c>
      <c r="J2059" s="16" t="str">
        <f>IFERROR(__xludf.DUMMYFUNCTION("FILTER('CLASFICACIÓN'!$F$3:$F5618,'CLASFICACIÓN'!$G$3:$G5618=M2059)"),"LOS 3 AÑOS")</f>
        <v>LOS 3 AÑOS</v>
      </c>
      <c r="K2059" s="16"/>
      <c r="L2059" s="14" t="s">
        <v>134</v>
      </c>
      <c r="M2059" s="16" t="str">
        <f t="shared" si="1"/>
        <v>EL MILAGRO2 Secundaria</v>
      </c>
      <c r="N2059" s="17"/>
      <c r="O2059" s="17"/>
      <c r="P2059" s="17"/>
      <c r="Q2059" s="17"/>
      <c r="R2059" s="17"/>
      <c r="S2059" s="17"/>
      <c r="T2059" s="17"/>
    </row>
    <row r="2060">
      <c r="A2060" s="21">
        <v>863.0</v>
      </c>
      <c r="B2060" s="20" t="s">
        <v>13</v>
      </c>
      <c r="C2060" s="20" t="s">
        <v>27</v>
      </c>
      <c r="D2060" s="20" t="s">
        <v>28</v>
      </c>
      <c r="E2060" s="12" t="str">
        <f>IFERROR(__xludf.DUMMYFUNCTION("FILTER(colegios!$B$2:$B5618,colegios!$A$2:$A5618=L2060)"),"EL MILAGRO")</f>
        <v>EL MILAGRO</v>
      </c>
      <c r="F2060" s="14" t="s">
        <v>16</v>
      </c>
      <c r="G2060" s="20" t="s">
        <v>21</v>
      </c>
      <c r="H2060" s="14" t="s">
        <v>18</v>
      </c>
      <c r="I2060" s="22">
        <v>2023.0</v>
      </c>
      <c r="J2060" s="16" t="str">
        <f>IFERROR(__xludf.DUMMYFUNCTION("FILTER('CLASFICACIÓN'!$F$3:$F5618,'CLASFICACIÓN'!$G$3:$G5618=M2060)"),"LOS 3 AÑOS")</f>
        <v>LOS 3 AÑOS</v>
      </c>
      <c r="K2060" s="16"/>
      <c r="L2060" s="14" t="s">
        <v>134</v>
      </c>
      <c r="M2060" s="16" t="str">
        <f t="shared" si="1"/>
        <v>EL MILAGRO2 Secundaria</v>
      </c>
      <c r="N2060" s="17"/>
      <c r="O2060" s="17"/>
      <c r="P2060" s="17"/>
      <c r="Q2060" s="17"/>
      <c r="R2060" s="17"/>
      <c r="S2060" s="17"/>
      <c r="T2060" s="17"/>
    </row>
    <row r="2061">
      <c r="A2061" s="21">
        <v>864.0</v>
      </c>
      <c r="B2061" s="20" t="s">
        <v>13</v>
      </c>
      <c r="C2061" s="20" t="s">
        <v>27</v>
      </c>
      <c r="D2061" s="20" t="s">
        <v>28</v>
      </c>
      <c r="E2061" s="12" t="str">
        <f>IFERROR(__xludf.DUMMYFUNCTION("FILTER(colegios!$B$2:$B5618,colegios!$A$2:$A5618=L2061)"),"EL MILAGRO")</f>
        <v>EL MILAGRO</v>
      </c>
      <c r="F2061" s="14" t="s">
        <v>16</v>
      </c>
      <c r="G2061" s="20" t="s">
        <v>17</v>
      </c>
      <c r="H2061" s="14" t="s">
        <v>18</v>
      </c>
      <c r="I2061" s="22">
        <v>2023.0</v>
      </c>
      <c r="J2061" s="16" t="str">
        <f>IFERROR(__xludf.DUMMYFUNCTION("FILTER('CLASFICACIÓN'!$F$3:$F5618,'CLASFICACIÓN'!$G$3:$G5618=M2061)"),"LOS 3 AÑOS")</f>
        <v>LOS 3 AÑOS</v>
      </c>
      <c r="K2061" s="16"/>
      <c r="L2061" s="14" t="s">
        <v>134</v>
      </c>
      <c r="M2061" s="16" t="str">
        <f t="shared" si="1"/>
        <v>EL MILAGRO2 Secundaria</v>
      </c>
      <c r="N2061" s="17"/>
      <c r="O2061" s="17"/>
      <c r="P2061" s="17"/>
      <c r="Q2061" s="17"/>
      <c r="R2061" s="17"/>
      <c r="S2061" s="17"/>
      <c r="T2061" s="17"/>
    </row>
    <row r="2062">
      <c r="A2062" s="21">
        <v>865.0</v>
      </c>
      <c r="B2062" s="20" t="s">
        <v>13</v>
      </c>
      <c r="C2062" s="20" t="s">
        <v>27</v>
      </c>
      <c r="D2062" s="20" t="s">
        <v>28</v>
      </c>
      <c r="E2062" s="12" t="str">
        <f>IFERROR(__xludf.DUMMYFUNCTION("FILTER(colegios!$B$2:$B5618,colegios!$A$2:$A5618=L2062)"),"EL MILAGRO")</f>
        <v>EL MILAGRO</v>
      </c>
      <c r="F2062" s="14" t="s">
        <v>16</v>
      </c>
      <c r="G2062" s="20" t="s">
        <v>17</v>
      </c>
      <c r="H2062" s="14" t="s">
        <v>18</v>
      </c>
      <c r="I2062" s="22">
        <v>2023.0</v>
      </c>
      <c r="J2062" s="16" t="str">
        <f>IFERROR(__xludf.DUMMYFUNCTION("FILTER('CLASFICACIÓN'!$F$3:$F5618,'CLASFICACIÓN'!$G$3:$G5618=M2062)"),"LOS 3 AÑOS")</f>
        <v>LOS 3 AÑOS</v>
      </c>
      <c r="K2062" s="16"/>
      <c r="L2062" s="14" t="s">
        <v>134</v>
      </c>
      <c r="M2062" s="16" t="str">
        <f t="shared" si="1"/>
        <v>EL MILAGRO2 Secundaria</v>
      </c>
      <c r="N2062" s="17"/>
      <c r="O2062" s="17"/>
      <c r="P2062" s="17"/>
      <c r="Q2062" s="17"/>
      <c r="R2062" s="17"/>
      <c r="S2062" s="17"/>
      <c r="T2062" s="17"/>
    </row>
    <row r="2063">
      <c r="A2063" s="21">
        <v>866.0</v>
      </c>
      <c r="B2063" s="20" t="s">
        <v>13</v>
      </c>
      <c r="C2063" s="20" t="s">
        <v>27</v>
      </c>
      <c r="D2063" s="20" t="s">
        <v>28</v>
      </c>
      <c r="E2063" s="12" t="str">
        <f>IFERROR(__xludf.DUMMYFUNCTION("FILTER(colegios!$B$2:$B5618,colegios!$A$2:$A5618=L2063)"),"EL MILAGRO")</f>
        <v>EL MILAGRO</v>
      </c>
      <c r="F2063" s="14" t="s">
        <v>16</v>
      </c>
      <c r="G2063" s="20" t="s">
        <v>17</v>
      </c>
      <c r="H2063" s="14" t="s">
        <v>18</v>
      </c>
      <c r="I2063" s="22">
        <v>2023.0</v>
      </c>
      <c r="J2063" s="16" t="str">
        <f>IFERROR(__xludf.DUMMYFUNCTION("FILTER('CLASFICACIÓN'!$F$3:$F5618,'CLASFICACIÓN'!$G$3:$G5618=M2063)"),"LOS 3 AÑOS")</f>
        <v>LOS 3 AÑOS</v>
      </c>
      <c r="K2063" s="16"/>
      <c r="L2063" s="14" t="s">
        <v>134</v>
      </c>
      <c r="M2063" s="16" t="str">
        <f t="shared" si="1"/>
        <v>EL MILAGRO2 Secundaria</v>
      </c>
      <c r="N2063" s="17"/>
      <c r="O2063" s="17"/>
      <c r="P2063" s="17"/>
      <c r="Q2063" s="17"/>
      <c r="R2063" s="17"/>
      <c r="S2063" s="17"/>
      <c r="T2063" s="17"/>
    </row>
    <row r="2064">
      <c r="A2064" s="21">
        <v>867.0</v>
      </c>
      <c r="B2064" s="20" t="s">
        <v>13</v>
      </c>
      <c r="C2064" s="20" t="s">
        <v>27</v>
      </c>
      <c r="D2064" s="20" t="s">
        <v>28</v>
      </c>
      <c r="E2064" s="12" t="str">
        <f>IFERROR(__xludf.DUMMYFUNCTION("FILTER(colegios!$B$2:$B5618,colegios!$A$2:$A5618=L2064)"),"EL MILAGRO")</f>
        <v>EL MILAGRO</v>
      </c>
      <c r="F2064" s="14" t="s">
        <v>16</v>
      </c>
      <c r="G2064" s="20" t="s">
        <v>17</v>
      </c>
      <c r="H2064" s="14" t="s">
        <v>18</v>
      </c>
      <c r="I2064" s="22">
        <v>2023.0</v>
      </c>
      <c r="J2064" s="16" t="str">
        <f>IFERROR(__xludf.DUMMYFUNCTION("FILTER('CLASFICACIÓN'!$F$3:$F5618,'CLASFICACIÓN'!$G$3:$G5618=M2064)"),"LOS 3 AÑOS")</f>
        <v>LOS 3 AÑOS</v>
      </c>
      <c r="K2064" s="16"/>
      <c r="L2064" s="14" t="s">
        <v>134</v>
      </c>
      <c r="M2064" s="16" t="str">
        <f t="shared" si="1"/>
        <v>EL MILAGRO2 Secundaria</v>
      </c>
      <c r="N2064" s="17"/>
      <c r="O2064" s="17"/>
      <c r="P2064" s="17"/>
      <c r="Q2064" s="17"/>
      <c r="R2064" s="17"/>
      <c r="S2064" s="17"/>
      <c r="T2064" s="17"/>
    </row>
    <row r="2065">
      <c r="A2065" s="21">
        <v>868.0</v>
      </c>
      <c r="B2065" s="20" t="s">
        <v>13</v>
      </c>
      <c r="C2065" s="20" t="s">
        <v>27</v>
      </c>
      <c r="D2065" s="20" t="s">
        <v>30</v>
      </c>
      <c r="E2065" s="12" t="str">
        <f>IFERROR(__xludf.DUMMYFUNCTION("FILTER(colegios!$B$2:$B5618,colegios!$A$2:$A5618=L2065)"),"EL MILAGRO")</f>
        <v>EL MILAGRO</v>
      </c>
      <c r="F2065" s="14" t="s">
        <v>16</v>
      </c>
      <c r="G2065" s="20" t="s">
        <v>17</v>
      </c>
      <c r="H2065" s="14" t="s">
        <v>18</v>
      </c>
      <c r="I2065" s="22">
        <v>2023.0</v>
      </c>
      <c r="J2065" s="16" t="str">
        <f>IFERROR(__xludf.DUMMYFUNCTION("FILTER('CLASFICACIÓN'!$F$3:$F5618,'CLASFICACIÓN'!$G$3:$G5618=M2065)"),"LOS 3 AÑOS")</f>
        <v>LOS 3 AÑOS</v>
      </c>
      <c r="K2065" s="16"/>
      <c r="L2065" s="14" t="s">
        <v>134</v>
      </c>
      <c r="M2065" s="16" t="str">
        <f t="shared" si="1"/>
        <v>EL MILAGRO4 Secundaria</v>
      </c>
      <c r="N2065" s="17"/>
      <c r="O2065" s="17"/>
      <c r="P2065" s="17"/>
      <c r="Q2065" s="17"/>
      <c r="R2065" s="17"/>
      <c r="S2065" s="17"/>
      <c r="T2065" s="17"/>
    </row>
    <row r="2066">
      <c r="A2066" s="21">
        <v>869.0</v>
      </c>
      <c r="B2066" s="20" t="s">
        <v>13</v>
      </c>
      <c r="C2066" s="20" t="s">
        <v>27</v>
      </c>
      <c r="D2066" s="20" t="s">
        <v>30</v>
      </c>
      <c r="E2066" s="12" t="str">
        <f>IFERROR(__xludf.DUMMYFUNCTION("FILTER(colegios!$B$2:$B5618,colegios!$A$2:$A5618=L2066)"),"EL MILAGRO")</f>
        <v>EL MILAGRO</v>
      </c>
      <c r="F2066" s="14" t="s">
        <v>16</v>
      </c>
      <c r="G2066" s="20" t="s">
        <v>17</v>
      </c>
      <c r="H2066" s="14" t="s">
        <v>18</v>
      </c>
      <c r="I2066" s="22">
        <v>2023.0</v>
      </c>
      <c r="J2066" s="16" t="str">
        <f>IFERROR(__xludf.DUMMYFUNCTION("FILTER('CLASFICACIÓN'!$F$3:$F5618,'CLASFICACIÓN'!$G$3:$G5618=M2066)"),"LOS 3 AÑOS")</f>
        <v>LOS 3 AÑOS</v>
      </c>
      <c r="K2066" s="16"/>
      <c r="L2066" s="14" t="s">
        <v>134</v>
      </c>
      <c r="M2066" s="16" t="str">
        <f t="shared" si="1"/>
        <v>EL MILAGRO4 Secundaria</v>
      </c>
      <c r="N2066" s="17"/>
      <c r="O2066" s="17"/>
      <c r="P2066" s="17"/>
      <c r="Q2066" s="17"/>
      <c r="R2066" s="17"/>
      <c r="S2066" s="17"/>
      <c r="T2066" s="17"/>
    </row>
    <row r="2067">
      <c r="A2067" s="21">
        <v>870.0</v>
      </c>
      <c r="B2067" s="20" t="s">
        <v>13</v>
      </c>
      <c r="C2067" s="20" t="s">
        <v>27</v>
      </c>
      <c r="D2067" s="20" t="s">
        <v>30</v>
      </c>
      <c r="E2067" s="12" t="str">
        <f>IFERROR(__xludf.DUMMYFUNCTION("FILTER(colegios!$B$2:$B5618,colegios!$A$2:$A5618=L2067)"),"EL MILAGRO")</f>
        <v>EL MILAGRO</v>
      </c>
      <c r="F2067" s="14" t="s">
        <v>16</v>
      </c>
      <c r="G2067" s="20" t="s">
        <v>21</v>
      </c>
      <c r="H2067" s="14" t="s">
        <v>18</v>
      </c>
      <c r="I2067" s="22">
        <v>2023.0</v>
      </c>
      <c r="J2067" s="16" t="str">
        <f>IFERROR(__xludf.DUMMYFUNCTION("FILTER('CLASFICACIÓN'!$F$3:$F5618,'CLASFICACIÓN'!$G$3:$G5618=M2067)"),"LOS 3 AÑOS")</f>
        <v>LOS 3 AÑOS</v>
      </c>
      <c r="K2067" s="16"/>
      <c r="L2067" s="14" t="s">
        <v>134</v>
      </c>
      <c r="M2067" s="16" t="str">
        <f t="shared" si="1"/>
        <v>EL MILAGRO4 Secundaria</v>
      </c>
      <c r="N2067" s="17"/>
      <c r="O2067" s="17"/>
      <c r="P2067" s="17"/>
      <c r="Q2067" s="17"/>
      <c r="R2067" s="17"/>
      <c r="S2067" s="17"/>
      <c r="T2067" s="17"/>
    </row>
    <row r="2068">
      <c r="A2068" s="21">
        <v>871.0</v>
      </c>
      <c r="B2068" s="20" t="s">
        <v>13</v>
      </c>
      <c r="C2068" s="20" t="s">
        <v>27</v>
      </c>
      <c r="D2068" s="20" t="s">
        <v>30</v>
      </c>
      <c r="E2068" s="12" t="str">
        <f>IFERROR(__xludf.DUMMYFUNCTION("FILTER(colegios!$B$2:$B5618,colegios!$A$2:$A5618=L2068)"),"EL MILAGRO")</f>
        <v>EL MILAGRO</v>
      </c>
      <c r="F2068" s="14" t="s">
        <v>16</v>
      </c>
      <c r="G2068" s="20" t="s">
        <v>21</v>
      </c>
      <c r="H2068" s="14" t="s">
        <v>18</v>
      </c>
      <c r="I2068" s="22">
        <v>2023.0</v>
      </c>
      <c r="J2068" s="16" t="str">
        <f>IFERROR(__xludf.DUMMYFUNCTION("FILTER('CLASFICACIÓN'!$F$3:$F5618,'CLASFICACIÓN'!$G$3:$G5618=M2068)"),"LOS 3 AÑOS")</f>
        <v>LOS 3 AÑOS</v>
      </c>
      <c r="K2068" s="16"/>
      <c r="L2068" s="14" t="s">
        <v>134</v>
      </c>
      <c r="M2068" s="16" t="str">
        <f t="shared" si="1"/>
        <v>EL MILAGRO4 Secundaria</v>
      </c>
      <c r="N2068" s="17"/>
      <c r="O2068" s="17"/>
      <c r="P2068" s="17"/>
      <c r="Q2068" s="17"/>
      <c r="R2068" s="17"/>
      <c r="S2068" s="17"/>
      <c r="T2068" s="17"/>
    </row>
    <row r="2069">
      <c r="A2069" s="21">
        <v>872.0</v>
      </c>
      <c r="B2069" s="20" t="s">
        <v>13</v>
      </c>
      <c r="C2069" s="20" t="s">
        <v>27</v>
      </c>
      <c r="D2069" s="20" t="s">
        <v>30</v>
      </c>
      <c r="E2069" s="12" t="str">
        <f>IFERROR(__xludf.DUMMYFUNCTION("FILTER(colegios!$B$2:$B5618,colegios!$A$2:$A5618=L2069)"),"EL MILAGRO")</f>
        <v>EL MILAGRO</v>
      </c>
      <c r="F2069" s="14" t="s">
        <v>16</v>
      </c>
      <c r="G2069" s="20" t="s">
        <v>17</v>
      </c>
      <c r="H2069" s="14" t="s">
        <v>18</v>
      </c>
      <c r="I2069" s="22">
        <v>2023.0</v>
      </c>
      <c r="J2069" s="16" t="str">
        <f>IFERROR(__xludf.DUMMYFUNCTION("FILTER('CLASFICACIÓN'!$F$3:$F5618,'CLASFICACIÓN'!$G$3:$G5618=M2069)"),"LOS 3 AÑOS")</f>
        <v>LOS 3 AÑOS</v>
      </c>
      <c r="K2069" s="16"/>
      <c r="L2069" s="14" t="s">
        <v>134</v>
      </c>
      <c r="M2069" s="16" t="str">
        <f t="shared" si="1"/>
        <v>EL MILAGRO4 Secundaria</v>
      </c>
      <c r="N2069" s="17"/>
      <c r="O2069" s="17"/>
      <c r="P2069" s="17"/>
      <c r="Q2069" s="17"/>
      <c r="R2069" s="17"/>
      <c r="S2069" s="17"/>
      <c r="T2069" s="17"/>
    </row>
    <row r="2070">
      <c r="A2070" s="21">
        <v>873.0</v>
      </c>
      <c r="B2070" s="20" t="s">
        <v>13</v>
      </c>
      <c r="C2070" s="20" t="s">
        <v>27</v>
      </c>
      <c r="D2070" s="20" t="s">
        <v>30</v>
      </c>
      <c r="E2070" s="12" t="str">
        <f>IFERROR(__xludf.DUMMYFUNCTION("FILTER(colegios!$B$2:$B5618,colegios!$A$2:$A5618=L2070)"),"EL MILAGRO")</f>
        <v>EL MILAGRO</v>
      </c>
      <c r="F2070" s="14" t="s">
        <v>16</v>
      </c>
      <c r="G2070" s="20" t="s">
        <v>21</v>
      </c>
      <c r="H2070" s="14" t="s">
        <v>18</v>
      </c>
      <c r="I2070" s="22">
        <v>2023.0</v>
      </c>
      <c r="J2070" s="16" t="str">
        <f>IFERROR(__xludf.DUMMYFUNCTION("FILTER('CLASFICACIÓN'!$F$3:$F5618,'CLASFICACIÓN'!$G$3:$G5618=M2070)"),"LOS 3 AÑOS")</f>
        <v>LOS 3 AÑOS</v>
      </c>
      <c r="K2070" s="16"/>
      <c r="L2070" s="14" t="s">
        <v>134</v>
      </c>
      <c r="M2070" s="16" t="str">
        <f t="shared" si="1"/>
        <v>EL MILAGRO4 Secundaria</v>
      </c>
      <c r="N2070" s="17"/>
      <c r="O2070" s="17"/>
      <c r="P2070" s="17"/>
      <c r="Q2070" s="17"/>
      <c r="R2070" s="17"/>
      <c r="S2070" s="17"/>
      <c r="T2070" s="17"/>
    </row>
    <row r="2071">
      <c r="A2071" s="21">
        <v>874.0</v>
      </c>
      <c r="B2071" s="20" t="s">
        <v>13</v>
      </c>
      <c r="C2071" s="20" t="s">
        <v>27</v>
      </c>
      <c r="D2071" s="20" t="s">
        <v>30</v>
      </c>
      <c r="E2071" s="12" t="str">
        <f>IFERROR(__xludf.DUMMYFUNCTION("FILTER(colegios!$B$2:$B5618,colegios!$A$2:$A5618=L2071)"),"EL MILAGRO")</f>
        <v>EL MILAGRO</v>
      </c>
      <c r="F2071" s="14" t="s">
        <v>16</v>
      </c>
      <c r="G2071" s="20" t="s">
        <v>17</v>
      </c>
      <c r="H2071" s="14" t="s">
        <v>18</v>
      </c>
      <c r="I2071" s="22">
        <v>2023.0</v>
      </c>
      <c r="J2071" s="16" t="str">
        <f>IFERROR(__xludf.DUMMYFUNCTION("FILTER('CLASFICACIÓN'!$F$3:$F5618,'CLASFICACIÓN'!$G$3:$G5618=M2071)"),"LOS 3 AÑOS")</f>
        <v>LOS 3 AÑOS</v>
      </c>
      <c r="K2071" s="16"/>
      <c r="L2071" s="14" t="s">
        <v>134</v>
      </c>
      <c r="M2071" s="16" t="str">
        <f t="shared" si="1"/>
        <v>EL MILAGRO4 Secundaria</v>
      </c>
      <c r="N2071" s="17"/>
      <c r="O2071" s="17"/>
      <c r="P2071" s="17"/>
      <c r="Q2071" s="17"/>
      <c r="R2071" s="17"/>
      <c r="S2071" s="17"/>
      <c r="T2071" s="17"/>
    </row>
    <row r="2072">
      <c r="A2072" s="21">
        <v>875.0</v>
      </c>
      <c r="B2072" s="20" t="s">
        <v>13</v>
      </c>
      <c r="C2072" s="20" t="s">
        <v>27</v>
      </c>
      <c r="D2072" s="20" t="s">
        <v>30</v>
      </c>
      <c r="E2072" s="12" t="str">
        <f>IFERROR(__xludf.DUMMYFUNCTION("FILTER(colegios!$B$2:$B5618,colegios!$A$2:$A5618=L2072)"),"EL MILAGRO")</f>
        <v>EL MILAGRO</v>
      </c>
      <c r="F2072" s="14" t="s">
        <v>16</v>
      </c>
      <c r="G2072" s="20" t="s">
        <v>17</v>
      </c>
      <c r="H2072" s="14" t="s">
        <v>18</v>
      </c>
      <c r="I2072" s="22">
        <v>2023.0</v>
      </c>
      <c r="J2072" s="16" t="str">
        <f>IFERROR(__xludf.DUMMYFUNCTION("FILTER('CLASFICACIÓN'!$F$3:$F5618,'CLASFICACIÓN'!$G$3:$G5618=M2072)"),"LOS 3 AÑOS")</f>
        <v>LOS 3 AÑOS</v>
      </c>
      <c r="K2072" s="16"/>
      <c r="L2072" s="14" t="s">
        <v>134</v>
      </c>
      <c r="M2072" s="16" t="str">
        <f t="shared" si="1"/>
        <v>EL MILAGRO4 Secundaria</v>
      </c>
      <c r="N2072" s="17"/>
      <c r="O2072" s="17"/>
      <c r="P2072" s="17"/>
      <c r="Q2072" s="17"/>
      <c r="R2072" s="17"/>
      <c r="S2072" s="17"/>
      <c r="T2072" s="17"/>
    </row>
    <row r="2073">
      <c r="A2073" s="21">
        <v>876.0</v>
      </c>
      <c r="B2073" s="20" t="s">
        <v>13</v>
      </c>
      <c r="C2073" s="20" t="s">
        <v>27</v>
      </c>
      <c r="D2073" s="20" t="s">
        <v>30</v>
      </c>
      <c r="E2073" s="12" t="str">
        <f>IFERROR(__xludf.DUMMYFUNCTION("FILTER(colegios!$B$2:$B5618,colegios!$A$2:$A5618=L2073)"),"EL MILAGRO")</f>
        <v>EL MILAGRO</v>
      </c>
      <c r="F2073" s="14" t="s">
        <v>16</v>
      </c>
      <c r="G2073" s="20" t="s">
        <v>17</v>
      </c>
      <c r="H2073" s="14" t="s">
        <v>18</v>
      </c>
      <c r="I2073" s="22">
        <v>2023.0</v>
      </c>
      <c r="J2073" s="16" t="str">
        <f>IFERROR(__xludf.DUMMYFUNCTION("FILTER('CLASFICACIÓN'!$F$3:$F5618,'CLASFICACIÓN'!$G$3:$G5618=M2073)"),"LOS 3 AÑOS")</f>
        <v>LOS 3 AÑOS</v>
      </c>
      <c r="K2073" s="16"/>
      <c r="L2073" s="14" t="s">
        <v>134</v>
      </c>
      <c r="M2073" s="16" t="str">
        <f t="shared" si="1"/>
        <v>EL MILAGRO4 Secundaria</v>
      </c>
      <c r="N2073" s="17"/>
      <c r="O2073" s="17"/>
      <c r="P2073" s="17"/>
      <c r="Q2073" s="17"/>
      <c r="R2073" s="17"/>
      <c r="S2073" s="17"/>
      <c r="T2073" s="17"/>
    </row>
    <row r="2074">
      <c r="A2074" s="21">
        <v>877.0</v>
      </c>
      <c r="B2074" s="20" t="s">
        <v>13</v>
      </c>
      <c r="C2074" s="20" t="s">
        <v>27</v>
      </c>
      <c r="D2074" s="20" t="s">
        <v>30</v>
      </c>
      <c r="E2074" s="12" t="str">
        <f>IFERROR(__xludf.DUMMYFUNCTION("FILTER(colegios!$B$2:$B5618,colegios!$A$2:$A5618=L2074)"),"EL MILAGRO")</f>
        <v>EL MILAGRO</v>
      </c>
      <c r="F2074" s="14" t="s">
        <v>16</v>
      </c>
      <c r="G2074" s="20" t="s">
        <v>17</v>
      </c>
      <c r="H2074" s="14" t="s">
        <v>18</v>
      </c>
      <c r="I2074" s="22">
        <v>2023.0</v>
      </c>
      <c r="J2074" s="16" t="str">
        <f>IFERROR(__xludf.DUMMYFUNCTION("FILTER('CLASFICACIÓN'!$F$3:$F5618,'CLASFICACIÓN'!$G$3:$G5618=M2074)"),"LOS 3 AÑOS")</f>
        <v>LOS 3 AÑOS</v>
      </c>
      <c r="K2074" s="16"/>
      <c r="L2074" s="14" t="s">
        <v>134</v>
      </c>
      <c r="M2074" s="16" t="str">
        <f t="shared" si="1"/>
        <v>EL MILAGRO4 Secundaria</v>
      </c>
      <c r="N2074" s="17"/>
      <c r="O2074" s="17"/>
      <c r="P2074" s="17"/>
      <c r="Q2074" s="17"/>
      <c r="R2074" s="17"/>
      <c r="S2074" s="17"/>
      <c r="T2074" s="17"/>
    </row>
    <row r="2075">
      <c r="A2075" s="21">
        <v>878.0</v>
      </c>
      <c r="B2075" s="20" t="s">
        <v>13</v>
      </c>
      <c r="C2075" s="20" t="s">
        <v>27</v>
      </c>
      <c r="D2075" s="20" t="s">
        <v>30</v>
      </c>
      <c r="E2075" s="12" t="str">
        <f>IFERROR(__xludf.DUMMYFUNCTION("FILTER(colegios!$B$2:$B5618,colegios!$A$2:$A5618=L2075)"),"EL MILAGRO")</f>
        <v>EL MILAGRO</v>
      </c>
      <c r="F2075" s="14" t="s">
        <v>16</v>
      </c>
      <c r="G2075" s="20" t="s">
        <v>21</v>
      </c>
      <c r="H2075" s="14" t="s">
        <v>18</v>
      </c>
      <c r="I2075" s="22">
        <v>2023.0</v>
      </c>
      <c r="J2075" s="16" t="str">
        <f>IFERROR(__xludf.DUMMYFUNCTION("FILTER('CLASFICACIÓN'!$F$3:$F5618,'CLASFICACIÓN'!$G$3:$G5618=M2075)"),"LOS 3 AÑOS")</f>
        <v>LOS 3 AÑOS</v>
      </c>
      <c r="K2075" s="16"/>
      <c r="L2075" s="14" t="s">
        <v>134</v>
      </c>
      <c r="M2075" s="16" t="str">
        <f t="shared" si="1"/>
        <v>EL MILAGRO4 Secundaria</v>
      </c>
      <c r="N2075" s="17"/>
      <c r="O2075" s="17"/>
      <c r="P2075" s="17"/>
      <c r="Q2075" s="17"/>
      <c r="R2075" s="17"/>
      <c r="S2075" s="17"/>
      <c r="T2075" s="17"/>
    </row>
    <row r="2076">
      <c r="A2076" s="21">
        <v>879.0</v>
      </c>
      <c r="B2076" s="20" t="s">
        <v>13</v>
      </c>
      <c r="C2076" s="20" t="s">
        <v>27</v>
      </c>
      <c r="D2076" s="20" t="s">
        <v>30</v>
      </c>
      <c r="E2076" s="12" t="str">
        <f>IFERROR(__xludf.DUMMYFUNCTION("FILTER(colegios!$B$2:$B5618,colegios!$A$2:$A5618=L2076)"),"EL MILAGRO")</f>
        <v>EL MILAGRO</v>
      </c>
      <c r="F2076" s="14" t="s">
        <v>16</v>
      </c>
      <c r="G2076" s="20" t="s">
        <v>17</v>
      </c>
      <c r="H2076" s="14" t="s">
        <v>18</v>
      </c>
      <c r="I2076" s="22">
        <v>2023.0</v>
      </c>
      <c r="J2076" s="16" t="str">
        <f>IFERROR(__xludf.DUMMYFUNCTION("FILTER('CLASFICACIÓN'!$F$3:$F5618,'CLASFICACIÓN'!$G$3:$G5618=M2076)"),"LOS 3 AÑOS")</f>
        <v>LOS 3 AÑOS</v>
      </c>
      <c r="K2076" s="16"/>
      <c r="L2076" s="14" t="s">
        <v>134</v>
      </c>
      <c r="M2076" s="16" t="str">
        <f t="shared" si="1"/>
        <v>EL MILAGRO4 Secundaria</v>
      </c>
      <c r="N2076" s="17"/>
      <c r="O2076" s="17"/>
      <c r="P2076" s="17"/>
      <c r="Q2076" s="17"/>
      <c r="R2076" s="17"/>
      <c r="S2076" s="17"/>
      <c r="T2076" s="17"/>
    </row>
    <row r="2077">
      <c r="A2077" s="21">
        <v>880.0</v>
      </c>
      <c r="B2077" s="20" t="s">
        <v>13</v>
      </c>
      <c r="C2077" s="20" t="s">
        <v>27</v>
      </c>
      <c r="D2077" s="20" t="s">
        <v>30</v>
      </c>
      <c r="E2077" s="12" t="str">
        <f>IFERROR(__xludf.DUMMYFUNCTION("FILTER(colegios!$B$2:$B5618,colegios!$A$2:$A5618=L2077)"),"EL MILAGRO")</f>
        <v>EL MILAGRO</v>
      </c>
      <c r="F2077" s="14" t="s">
        <v>16</v>
      </c>
      <c r="G2077" s="20" t="s">
        <v>21</v>
      </c>
      <c r="H2077" s="14" t="s">
        <v>18</v>
      </c>
      <c r="I2077" s="22">
        <v>2023.0</v>
      </c>
      <c r="J2077" s="16" t="str">
        <f>IFERROR(__xludf.DUMMYFUNCTION("FILTER('CLASFICACIÓN'!$F$3:$F5618,'CLASFICACIÓN'!$G$3:$G5618=M2077)"),"LOS 3 AÑOS")</f>
        <v>LOS 3 AÑOS</v>
      </c>
      <c r="K2077" s="16"/>
      <c r="L2077" s="14" t="s">
        <v>134</v>
      </c>
      <c r="M2077" s="16" t="str">
        <f t="shared" si="1"/>
        <v>EL MILAGRO4 Secundaria</v>
      </c>
      <c r="N2077" s="17"/>
      <c r="O2077" s="17"/>
      <c r="P2077" s="17"/>
      <c r="Q2077" s="17"/>
      <c r="R2077" s="17"/>
      <c r="S2077" s="17"/>
      <c r="T2077" s="17"/>
    </row>
    <row r="2078">
      <c r="A2078" s="21">
        <v>881.0</v>
      </c>
      <c r="B2078" s="20" t="s">
        <v>13</v>
      </c>
      <c r="C2078" s="20" t="s">
        <v>27</v>
      </c>
      <c r="D2078" s="20" t="s">
        <v>30</v>
      </c>
      <c r="E2078" s="12" t="str">
        <f>IFERROR(__xludf.DUMMYFUNCTION("FILTER(colegios!$B$2:$B5618,colegios!$A$2:$A5618=L2078)"),"EL MILAGRO")</f>
        <v>EL MILAGRO</v>
      </c>
      <c r="F2078" s="14" t="s">
        <v>16</v>
      </c>
      <c r="G2078" s="20" t="s">
        <v>21</v>
      </c>
      <c r="H2078" s="14" t="s">
        <v>18</v>
      </c>
      <c r="I2078" s="22">
        <v>2023.0</v>
      </c>
      <c r="J2078" s="16" t="str">
        <f>IFERROR(__xludf.DUMMYFUNCTION("FILTER('CLASFICACIÓN'!$F$3:$F5618,'CLASFICACIÓN'!$G$3:$G5618=M2078)"),"LOS 3 AÑOS")</f>
        <v>LOS 3 AÑOS</v>
      </c>
      <c r="K2078" s="16"/>
      <c r="L2078" s="14" t="s">
        <v>134</v>
      </c>
      <c r="M2078" s="16" t="str">
        <f t="shared" si="1"/>
        <v>EL MILAGRO4 Secundaria</v>
      </c>
      <c r="N2078" s="17"/>
      <c r="O2078" s="17"/>
      <c r="P2078" s="17"/>
      <c r="Q2078" s="17"/>
      <c r="R2078" s="17"/>
      <c r="S2078" s="17"/>
      <c r="T2078" s="17"/>
    </row>
    <row r="2079">
      <c r="A2079" s="21">
        <v>882.0</v>
      </c>
      <c r="B2079" s="20" t="s">
        <v>13</v>
      </c>
      <c r="C2079" s="20" t="s">
        <v>27</v>
      </c>
      <c r="D2079" s="20" t="s">
        <v>30</v>
      </c>
      <c r="E2079" s="12" t="str">
        <f>IFERROR(__xludf.DUMMYFUNCTION("FILTER(colegios!$B$2:$B5618,colegios!$A$2:$A5618=L2079)"),"EL MILAGRO")</f>
        <v>EL MILAGRO</v>
      </c>
      <c r="F2079" s="14" t="s">
        <v>16</v>
      </c>
      <c r="G2079" s="20" t="s">
        <v>21</v>
      </c>
      <c r="H2079" s="14" t="s">
        <v>18</v>
      </c>
      <c r="I2079" s="22">
        <v>2023.0</v>
      </c>
      <c r="J2079" s="16" t="str">
        <f>IFERROR(__xludf.DUMMYFUNCTION("FILTER('CLASFICACIÓN'!$F$3:$F5618,'CLASFICACIÓN'!$G$3:$G5618=M2079)"),"LOS 3 AÑOS")</f>
        <v>LOS 3 AÑOS</v>
      </c>
      <c r="K2079" s="16"/>
      <c r="L2079" s="14" t="s">
        <v>134</v>
      </c>
      <c r="M2079" s="16" t="str">
        <f t="shared" si="1"/>
        <v>EL MILAGRO4 Secundaria</v>
      </c>
      <c r="N2079" s="17"/>
      <c r="O2079" s="17"/>
      <c r="P2079" s="17"/>
      <c r="Q2079" s="17"/>
      <c r="R2079" s="17"/>
      <c r="S2079" s="17"/>
      <c r="T2079" s="17"/>
    </row>
    <row r="2080">
      <c r="A2080" s="21">
        <v>883.0</v>
      </c>
      <c r="B2080" s="20" t="s">
        <v>13</v>
      </c>
      <c r="C2080" s="20" t="s">
        <v>27</v>
      </c>
      <c r="D2080" s="20" t="s">
        <v>30</v>
      </c>
      <c r="E2080" s="12" t="str">
        <f>IFERROR(__xludf.DUMMYFUNCTION("FILTER(colegios!$B$2:$B5618,colegios!$A$2:$A5618=L2080)"),"EL MILAGRO")</f>
        <v>EL MILAGRO</v>
      </c>
      <c r="F2080" s="14" t="s">
        <v>16</v>
      </c>
      <c r="G2080" s="20" t="s">
        <v>21</v>
      </c>
      <c r="H2080" s="14" t="s">
        <v>18</v>
      </c>
      <c r="I2080" s="22">
        <v>2023.0</v>
      </c>
      <c r="J2080" s="16" t="str">
        <f>IFERROR(__xludf.DUMMYFUNCTION("FILTER('CLASFICACIÓN'!$F$3:$F5618,'CLASFICACIÓN'!$G$3:$G5618=M2080)"),"LOS 3 AÑOS")</f>
        <v>LOS 3 AÑOS</v>
      </c>
      <c r="K2080" s="16"/>
      <c r="L2080" s="14" t="s">
        <v>134</v>
      </c>
      <c r="M2080" s="16" t="str">
        <f t="shared" si="1"/>
        <v>EL MILAGRO4 Secundaria</v>
      </c>
      <c r="N2080" s="17"/>
      <c r="O2080" s="17"/>
      <c r="P2080" s="17"/>
      <c r="Q2080" s="17"/>
      <c r="R2080" s="17"/>
      <c r="S2080" s="17"/>
      <c r="T2080" s="17"/>
    </row>
    <row r="2081">
      <c r="A2081" s="21">
        <v>884.0</v>
      </c>
      <c r="B2081" s="20" t="s">
        <v>13</v>
      </c>
      <c r="C2081" s="20" t="s">
        <v>27</v>
      </c>
      <c r="D2081" s="20" t="s">
        <v>30</v>
      </c>
      <c r="E2081" s="12" t="str">
        <f>IFERROR(__xludf.DUMMYFUNCTION("FILTER(colegios!$B$2:$B5618,colegios!$A$2:$A5618=L2081)"),"EL MILAGRO")</f>
        <v>EL MILAGRO</v>
      </c>
      <c r="F2081" s="14" t="s">
        <v>16</v>
      </c>
      <c r="G2081" s="20" t="s">
        <v>17</v>
      </c>
      <c r="H2081" s="14" t="s">
        <v>18</v>
      </c>
      <c r="I2081" s="22">
        <v>2023.0</v>
      </c>
      <c r="J2081" s="16" t="str">
        <f>IFERROR(__xludf.DUMMYFUNCTION("FILTER('CLASFICACIÓN'!$F$3:$F5618,'CLASFICACIÓN'!$G$3:$G5618=M2081)"),"LOS 3 AÑOS")</f>
        <v>LOS 3 AÑOS</v>
      </c>
      <c r="K2081" s="16"/>
      <c r="L2081" s="14" t="s">
        <v>134</v>
      </c>
      <c r="M2081" s="16" t="str">
        <f t="shared" si="1"/>
        <v>EL MILAGRO4 Secundaria</v>
      </c>
      <c r="N2081" s="17"/>
      <c r="O2081" s="17"/>
      <c r="P2081" s="17"/>
      <c r="Q2081" s="17"/>
      <c r="R2081" s="17"/>
      <c r="S2081" s="17"/>
      <c r="T2081" s="17"/>
    </row>
    <row r="2082">
      <c r="A2082" s="21">
        <v>885.0</v>
      </c>
      <c r="B2082" s="20" t="s">
        <v>13</v>
      </c>
      <c r="C2082" s="20" t="s">
        <v>27</v>
      </c>
      <c r="D2082" s="20" t="s">
        <v>30</v>
      </c>
      <c r="E2082" s="12" t="str">
        <f>IFERROR(__xludf.DUMMYFUNCTION("FILTER(colegios!$B$2:$B5618,colegios!$A$2:$A5618=L2082)"),"EL MILAGRO")</f>
        <v>EL MILAGRO</v>
      </c>
      <c r="F2082" s="14" t="s">
        <v>16</v>
      </c>
      <c r="G2082" s="20" t="s">
        <v>21</v>
      </c>
      <c r="H2082" s="14" t="s">
        <v>18</v>
      </c>
      <c r="I2082" s="22">
        <v>2023.0</v>
      </c>
      <c r="J2082" s="16" t="str">
        <f>IFERROR(__xludf.DUMMYFUNCTION("FILTER('CLASFICACIÓN'!$F$3:$F5618,'CLASFICACIÓN'!$G$3:$G5618=M2082)"),"LOS 3 AÑOS")</f>
        <v>LOS 3 AÑOS</v>
      </c>
      <c r="K2082" s="16"/>
      <c r="L2082" s="14" t="s">
        <v>134</v>
      </c>
      <c r="M2082" s="16" t="str">
        <f t="shared" si="1"/>
        <v>EL MILAGRO4 Secundaria</v>
      </c>
      <c r="N2082" s="17"/>
      <c r="O2082" s="17"/>
      <c r="P2082" s="17"/>
      <c r="Q2082" s="17"/>
      <c r="R2082" s="17"/>
      <c r="S2082" s="17"/>
      <c r="T2082" s="17"/>
    </row>
    <row r="2083">
      <c r="A2083" s="21">
        <v>886.0</v>
      </c>
      <c r="B2083" s="20" t="s">
        <v>13</v>
      </c>
      <c r="C2083" s="20" t="s">
        <v>27</v>
      </c>
      <c r="D2083" s="20" t="s">
        <v>30</v>
      </c>
      <c r="E2083" s="12" t="str">
        <f>IFERROR(__xludf.DUMMYFUNCTION("FILTER(colegios!$B$2:$B5618,colegios!$A$2:$A5618=L2083)"),"EL MILAGRO")</f>
        <v>EL MILAGRO</v>
      </c>
      <c r="F2083" s="14" t="s">
        <v>16</v>
      </c>
      <c r="G2083" s="20" t="s">
        <v>17</v>
      </c>
      <c r="H2083" s="14" t="s">
        <v>18</v>
      </c>
      <c r="I2083" s="22">
        <v>2023.0</v>
      </c>
      <c r="J2083" s="16" t="str">
        <f>IFERROR(__xludf.DUMMYFUNCTION("FILTER('CLASFICACIÓN'!$F$3:$F5618,'CLASFICACIÓN'!$G$3:$G5618=M2083)"),"LOS 3 AÑOS")</f>
        <v>LOS 3 AÑOS</v>
      </c>
      <c r="K2083" s="16"/>
      <c r="L2083" s="14" t="s">
        <v>134</v>
      </c>
      <c r="M2083" s="16" t="str">
        <f t="shared" si="1"/>
        <v>EL MILAGRO4 Secundaria</v>
      </c>
      <c r="N2083" s="17"/>
      <c r="O2083" s="17"/>
      <c r="P2083" s="17"/>
      <c r="Q2083" s="17"/>
      <c r="R2083" s="17"/>
      <c r="S2083" s="17"/>
      <c r="T2083" s="17"/>
    </row>
    <row r="2084">
      <c r="A2084" s="21">
        <v>887.0</v>
      </c>
      <c r="B2084" s="20" t="s">
        <v>13</v>
      </c>
      <c r="C2084" s="20" t="s">
        <v>27</v>
      </c>
      <c r="D2084" s="20" t="s">
        <v>30</v>
      </c>
      <c r="E2084" s="12" t="str">
        <f>IFERROR(__xludf.DUMMYFUNCTION("FILTER(colegios!$B$2:$B5618,colegios!$A$2:$A5618=L2084)"),"EL MILAGRO")</f>
        <v>EL MILAGRO</v>
      </c>
      <c r="F2084" s="14" t="s">
        <v>16</v>
      </c>
      <c r="G2084" s="20" t="s">
        <v>21</v>
      </c>
      <c r="H2084" s="14" t="s">
        <v>18</v>
      </c>
      <c r="I2084" s="22">
        <v>2023.0</v>
      </c>
      <c r="J2084" s="16" t="str">
        <f>IFERROR(__xludf.DUMMYFUNCTION("FILTER('CLASFICACIÓN'!$F$3:$F5618,'CLASFICACIÓN'!$G$3:$G5618=M2084)"),"LOS 3 AÑOS")</f>
        <v>LOS 3 AÑOS</v>
      </c>
      <c r="K2084" s="16"/>
      <c r="L2084" s="14" t="s">
        <v>134</v>
      </c>
      <c r="M2084" s="16" t="str">
        <f t="shared" si="1"/>
        <v>EL MILAGRO4 Secundaria</v>
      </c>
      <c r="N2084" s="17"/>
      <c r="O2084" s="17"/>
      <c r="P2084" s="17"/>
      <c r="Q2084" s="17"/>
      <c r="R2084" s="17"/>
      <c r="S2084" s="17"/>
      <c r="T2084" s="17"/>
    </row>
    <row r="2085">
      <c r="A2085" s="21">
        <v>888.0</v>
      </c>
      <c r="B2085" s="20" t="s">
        <v>13</v>
      </c>
      <c r="C2085" s="20" t="s">
        <v>27</v>
      </c>
      <c r="D2085" s="20" t="s">
        <v>30</v>
      </c>
      <c r="E2085" s="12" t="str">
        <f>IFERROR(__xludf.DUMMYFUNCTION("FILTER(colegios!$B$2:$B5618,colegios!$A$2:$A5618=L2085)"),"EL MILAGRO")</f>
        <v>EL MILAGRO</v>
      </c>
      <c r="F2085" s="14" t="s">
        <v>16</v>
      </c>
      <c r="G2085" s="20" t="s">
        <v>21</v>
      </c>
      <c r="H2085" s="14" t="s">
        <v>18</v>
      </c>
      <c r="I2085" s="22">
        <v>2023.0</v>
      </c>
      <c r="J2085" s="16" t="str">
        <f>IFERROR(__xludf.DUMMYFUNCTION("FILTER('CLASFICACIÓN'!$F$3:$F5618,'CLASFICACIÓN'!$G$3:$G5618=M2085)"),"LOS 3 AÑOS")</f>
        <v>LOS 3 AÑOS</v>
      </c>
      <c r="K2085" s="16"/>
      <c r="L2085" s="14" t="s">
        <v>134</v>
      </c>
      <c r="M2085" s="16" t="str">
        <f t="shared" si="1"/>
        <v>EL MILAGRO4 Secundaria</v>
      </c>
      <c r="N2085" s="17"/>
      <c r="O2085" s="17"/>
      <c r="P2085" s="17"/>
      <c r="Q2085" s="17"/>
      <c r="R2085" s="17"/>
      <c r="S2085" s="17"/>
      <c r="T2085" s="17"/>
    </row>
    <row r="2086">
      <c r="A2086" s="21">
        <v>889.0</v>
      </c>
      <c r="B2086" s="20" t="s">
        <v>13</v>
      </c>
      <c r="C2086" s="20" t="s">
        <v>27</v>
      </c>
      <c r="D2086" s="20" t="s">
        <v>30</v>
      </c>
      <c r="E2086" s="12" t="str">
        <f>IFERROR(__xludf.DUMMYFUNCTION("FILTER(colegios!$B$2:$B5618,colegios!$A$2:$A5618=L2086)"),"EL MILAGRO")</f>
        <v>EL MILAGRO</v>
      </c>
      <c r="F2086" s="14" t="s">
        <v>16</v>
      </c>
      <c r="G2086" s="20" t="s">
        <v>17</v>
      </c>
      <c r="H2086" s="14" t="s">
        <v>18</v>
      </c>
      <c r="I2086" s="22">
        <v>2023.0</v>
      </c>
      <c r="J2086" s="16" t="str">
        <f>IFERROR(__xludf.DUMMYFUNCTION("FILTER('CLASFICACIÓN'!$F$3:$F5618,'CLASFICACIÓN'!$G$3:$G5618=M2086)"),"LOS 3 AÑOS")</f>
        <v>LOS 3 AÑOS</v>
      </c>
      <c r="K2086" s="16"/>
      <c r="L2086" s="14" t="s">
        <v>134</v>
      </c>
      <c r="M2086" s="16" t="str">
        <f t="shared" si="1"/>
        <v>EL MILAGRO4 Secundaria</v>
      </c>
      <c r="N2086" s="17"/>
      <c r="O2086" s="17"/>
      <c r="P2086" s="17"/>
      <c r="Q2086" s="17"/>
      <c r="R2086" s="17"/>
      <c r="S2086" s="17"/>
      <c r="T2086" s="17"/>
    </row>
    <row r="2087">
      <c r="A2087" s="21">
        <v>890.0</v>
      </c>
      <c r="B2087" s="20" t="s">
        <v>13</v>
      </c>
      <c r="C2087" s="20" t="s">
        <v>27</v>
      </c>
      <c r="D2087" s="20" t="s">
        <v>30</v>
      </c>
      <c r="E2087" s="12" t="str">
        <f>IFERROR(__xludf.DUMMYFUNCTION("FILTER(colegios!$B$2:$B5618,colegios!$A$2:$A5618=L2087)"),"EL MILAGRO")</f>
        <v>EL MILAGRO</v>
      </c>
      <c r="F2087" s="14" t="s">
        <v>16</v>
      </c>
      <c r="G2087" s="20" t="s">
        <v>21</v>
      </c>
      <c r="H2087" s="14" t="s">
        <v>18</v>
      </c>
      <c r="I2087" s="22">
        <v>2023.0</v>
      </c>
      <c r="J2087" s="16" t="str">
        <f>IFERROR(__xludf.DUMMYFUNCTION("FILTER('CLASFICACIÓN'!$F$3:$F5618,'CLASFICACIÓN'!$G$3:$G5618=M2087)"),"LOS 3 AÑOS")</f>
        <v>LOS 3 AÑOS</v>
      </c>
      <c r="K2087" s="16"/>
      <c r="L2087" s="14" t="s">
        <v>134</v>
      </c>
      <c r="M2087" s="16" t="str">
        <f t="shared" si="1"/>
        <v>EL MILAGRO4 Secundaria</v>
      </c>
      <c r="N2087" s="17"/>
      <c r="O2087" s="17"/>
      <c r="P2087" s="17"/>
      <c r="Q2087" s="17"/>
      <c r="R2087" s="17"/>
      <c r="S2087" s="17"/>
      <c r="T2087" s="17"/>
    </row>
    <row r="2088">
      <c r="A2088" s="21">
        <v>891.0</v>
      </c>
      <c r="B2088" s="20" t="s">
        <v>13</v>
      </c>
      <c r="C2088" s="20" t="s">
        <v>14</v>
      </c>
      <c r="D2088" s="20" t="s">
        <v>15</v>
      </c>
      <c r="E2088" s="12" t="str">
        <f>IFERROR(__xludf.DUMMYFUNCTION("FILTER(colegios!$B$2:$B5618,colegios!$A$2:$A5618=L2088)"),"601514")</f>
        <v>601514</v>
      </c>
      <c r="F2088" s="14" t="s">
        <v>16</v>
      </c>
      <c r="G2088" s="20" t="s">
        <v>21</v>
      </c>
      <c r="H2088" s="14" t="s">
        <v>24</v>
      </c>
      <c r="I2088" s="22">
        <v>2023.0</v>
      </c>
      <c r="J2088" s="16" t="str">
        <f>IFERROR(__xludf.DUMMYFUNCTION("FILTER('CLASFICACIÓN'!$F$3:$F5618,'CLASFICACIÓN'!$G$3:$G5618=M2088)"),"2023 Y 2024")</f>
        <v>2023 Y 2024</v>
      </c>
      <c r="K2088" s="16"/>
      <c r="L2088" s="14" t="s">
        <v>135</v>
      </c>
      <c r="M2088" s="16" t="str">
        <f t="shared" si="1"/>
        <v>6015142 Primaria</v>
      </c>
      <c r="N2088" s="17"/>
      <c r="O2088" s="17"/>
      <c r="P2088" s="17"/>
      <c r="Q2088" s="17"/>
      <c r="R2088" s="17"/>
      <c r="S2088" s="17"/>
      <c r="T2088" s="17"/>
    </row>
    <row r="2089">
      <c r="A2089" s="21">
        <v>892.0</v>
      </c>
      <c r="B2089" s="20" t="s">
        <v>13</v>
      </c>
      <c r="C2089" s="20" t="s">
        <v>14</v>
      </c>
      <c r="D2089" s="20" t="s">
        <v>15</v>
      </c>
      <c r="E2089" s="12" t="str">
        <f>IFERROR(__xludf.DUMMYFUNCTION("FILTER(colegios!$B$2:$B5618,colegios!$A$2:$A5618=L2089)"),"601514")</f>
        <v>601514</v>
      </c>
      <c r="F2089" s="14" t="s">
        <v>16</v>
      </c>
      <c r="G2089" s="20" t="s">
        <v>21</v>
      </c>
      <c r="H2089" s="14" t="s">
        <v>18</v>
      </c>
      <c r="I2089" s="22">
        <v>2023.0</v>
      </c>
      <c r="J2089" s="16" t="str">
        <f>IFERROR(__xludf.DUMMYFUNCTION("FILTER('CLASFICACIÓN'!$F$3:$F5618,'CLASFICACIÓN'!$G$3:$G5618=M2089)"),"2023 Y 2024")</f>
        <v>2023 Y 2024</v>
      </c>
      <c r="K2089" s="16"/>
      <c r="L2089" s="14" t="s">
        <v>135</v>
      </c>
      <c r="M2089" s="16" t="str">
        <f t="shared" si="1"/>
        <v>6015142 Primaria</v>
      </c>
      <c r="N2089" s="17"/>
      <c r="O2089" s="17"/>
      <c r="P2089" s="17"/>
      <c r="Q2089" s="17"/>
      <c r="R2089" s="17"/>
      <c r="S2089" s="17"/>
      <c r="T2089" s="17"/>
    </row>
    <row r="2090">
      <c r="A2090" s="21">
        <v>893.0</v>
      </c>
      <c r="B2090" s="20" t="s">
        <v>13</v>
      </c>
      <c r="C2090" s="20" t="s">
        <v>14</v>
      </c>
      <c r="D2090" s="20" t="s">
        <v>15</v>
      </c>
      <c r="E2090" s="12" t="str">
        <f>IFERROR(__xludf.DUMMYFUNCTION("FILTER(colegios!$B$2:$B5618,colegios!$A$2:$A5618=L2090)"),"601514")</f>
        <v>601514</v>
      </c>
      <c r="F2090" s="14" t="s">
        <v>16</v>
      </c>
      <c r="G2090" s="20" t="s">
        <v>21</v>
      </c>
      <c r="H2090" s="14" t="s">
        <v>18</v>
      </c>
      <c r="I2090" s="22">
        <v>2023.0</v>
      </c>
      <c r="J2090" s="16" t="str">
        <f>IFERROR(__xludf.DUMMYFUNCTION("FILTER('CLASFICACIÓN'!$F$3:$F5618,'CLASFICACIÓN'!$G$3:$G5618=M2090)"),"2023 Y 2024")</f>
        <v>2023 Y 2024</v>
      </c>
      <c r="K2090" s="16"/>
      <c r="L2090" s="14" t="s">
        <v>135</v>
      </c>
      <c r="M2090" s="16" t="str">
        <f t="shared" si="1"/>
        <v>6015142 Primaria</v>
      </c>
      <c r="N2090" s="17"/>
      <c r="O2090" s="17"/>
      <c r="P2090" s="17"/>
      <c r="Q2090" s="17"/>
      <c r="R2090" s="17"/>
      <c r="S2090" s="17"/>
      <c r="T2090" s="17"/>
    </row>
    <row r="2091">
      <c r="A2091" s="21">
        <v>894.0</v>
      </c>
      <c r="B2091" s="20" t="s">
        <v>13</v>
      </c>
      <c r="C2091" s="20" t="s">
        <v>14</v>
      </c>
      <c r="D2091" s="20" t="s">
        <v>15</v>
      </c>
      <c r="E2091" s="12" t="str">
        <f>IFERROR(__xludf.DUMMYFUNCTION("FILTER(colegios!$B$2:$B5618,colegios!$A$2:$A5618=L2091)"),"601514")</f>
        <v>601514</v>
      </c>
      <c r="F2091" s="14" t="s">
        <v>16</v>
      </c>
      <c r="G2091" s="20" t="s">
        <v>17</v>
      </c>
      <c r="H2091" s="14" t="s">
        <v>24</v>
      </c>
      <c r="I2091" s="22">
        <v>2023.0</v>
      </c>
      <c r="J2091" s="16" t="str">
        <f>IFERROR(__xludf.DUMMYFUNCTION("FILTER('CLASFICACIÓN'!$F$3:$F5618,'CLASFICACIÓN'!$G$3:$G5618=M2091)"),"2023 Y 2024")</f>
        <v>2023 Y 2024</v>
      </c>
      <c r="K2091" s="16"/>
      <c r="L2091" s="14" t="s">
        <v>135</v>
      </c>
      <c r="M2091" s="16" t="str">
        <f t="shared" si="1"/>
        <v>6015142 Primaria</v>
      </c>
      <c r="N2091" s="17"/>
      <c r="O2091" s="17"/>
      <c r="P2091" s="17"/>
      <c r="Q2091" s="17"/>
      <c r="R2091" s="17"/>
      <c r="S2091" s="17"/>
      <c r="T2091" s="17"/>
    </row>
    <row r="2092">
      <c r="A2092" s="21">
        <v>895.0</v>
      </c>
      <c r="B2092" s="20" t="s">
        <v>13</v>
      </c>
      <c r="C2092" s="20" t="s">
        <v>14</v>
      </c>
      <c r="D2092" s="20" t="s">
        <v>20</v>
      </c>
      <c r="E2092" s="12" t="str">
        <f>IFERROR(__xludf.DUMMYFUNCTION("FILTER(colegios!$B$2:$B5618,colegios!$A$2:$A5618=L2092)"),"601514")</f>
        <v>601514</v>
      </c>
      <c r="F2092" s="14" t="s">
        <v>16</v>
      </c>
      <c r="G2092" s="20" t="s">
        <v>17</v>
      </c>
      <c r="H2092" s="14" t="s">
        <v>18</v>
      </c>
      <c r="I2092" s="22">
        <v>2023.0</v>
      </c>
      <c r="J2092" s="16" t="str">
        <f>IFERROR(__xludf.DUMMYFUNCTION("FILTER('CLASFICACIÓN'!$F$3:$F5618,'CLASFICACIÓN'!$G$3:$G5618=M2092)"),"2023 Y 2024")</f>
        <v>2023 Y 2024</v>
      </c>
      <c r="K2092" s="16"/>
      <c r="L2092" s="14" t="s">
        <v>135</v>
      </c>
      <c r="M2092" s="16" t="str">
        <f t="shared" si="1"/>
        <v>6015144 Primaria</v>
      </c>
      <c r="N2092" s="17"/>
      <c r="O2092" s="17"/>
      <c r="P2092" s="17"/>
      <c r="Q2092" s="17"/>
      <c r="R2092" s="17"/>
      <c r="S2092" s="17"/>
      <c r="T2092" s="17"/>
    </row>
    <row r="2093">
      <c r="A2093" s="21">
        <v>896.0</v>
      </c>
      <c r="B2093" s="20" t="s">
        <v>13</v>
      </c>
      <c r="C2093" s="20" t="s">
        <v>14</v>
      </c>
      <c r="D2093" s="20" t="s">
        <v>20</v>
      </c>
      <c r="E2093" s="12" t="str">
        <f>IFERROR(__xludf.DUMMYFUNCTION("FILTER(colegios!$B$2:$B5618,colegios!$A$2:$A5618=L2093)"),"601514")</f>
        <v>601514</v>
      </c>
      <c r="F2093" s="14" t="s">
        <v>16</v>
      </c>
      <c r="G2093" s="20" t="s">
        <v>17</v>
      </c>
      <c r="H2093" s="14" t="s">
        <v>18</v>
      </c>
      <c r="I2093" s="22">
        <v>2023.0</v>
      </c>
      <c r="J2093" s="16" t="str">
        <f>IFERROR(__xludf.DUMMYFUNCTION("FILTER('CLASFICACIÓN'!$F$3:$F5618,'CLASFICACIÓN'!$G$3:$G5618=M2093)"),"2023 Y 2024")</f>
        <v>2023 Y 2024</v>
      </c>
      <c r="K2093" s="16"/>
      <c r="L2093" s="14" t="s">
        <v>135</v>
      </c>
      <c r="M2093" s="16" t="str">
        <f t="shared" si="1"/>
        <v>6015144 Primaria</v>
      </c>
      <c r="N2093" s="17"/>
      <c r="O2093" s="17"/>
      <c r="P2093" s="17"/>
      <c r="Q2093" s="17"/>
      <c r="R2093" s="17"/>
      <c r="S2093" s="17"/>
      <c r="T2093" s="17"/>
    </row>
    <row r="2094">
      <c r="A2094" s="21">
        <v>897.0</v>
      </c>
      <c r="B2094" s="20" t="s">
        <v>13</v>
      </c>
      <c r="C2094" s="20" t="s">
        <v>14</v>
      </c>
      <c r="D2094" s="20" t="s">
        <v>20</v>
      </c>
      <c r="E2094" s="12" t="str">
        <f>IFERROR(__xludf.DUMMYFUNCTION("FILTER(colegios!$B$2:$B5618,colegios!$A$2:$A5618=L2094)"),"601514")</f>
        <v>601514</v>
      </c>
      <c r="F2094" s="14" t="s">
        <v>16</v>
      </c>
      <c r="G2094" s="20" t="s">
        <v>17</v>
      </c>
      <c r="H2094" s="14" t="s">
        <v>24</v>
      </c>
      <c r="I2094" s="22">
        <v>2023.0</v>
      </c>
      <c r="J2094" s="16" t="str">
        <f>IFERROR(__xludf.DUMMYFUNCTION("FILTER('CLASFICACIÓN'!$F$3:$F5618,'CLASFICACIÓN'!$G$3:$G5618=M2094)"),"2023 Y 2024")</f>
        <v>2023 Y 2024</v>
      </c>
      <c r="K2094" s="16"/>
      <c r="L2094" s="14" t="s">
        <v>135</v>
      </c>
      <c r="M2094" s="16" t="str">
        <f t="shared" si="1"/>
        <v>6015144 Primaria</v>
      </c>
      <c r="N2094" s="17"/>
      <c r="O2094" s="17"/>
      <c r="P2094" s="17"/>
      <c r="Q2094" s="17"/>
      <c r="R2094" s="17"/>
      <c r="S2094" s="17"/>
      <c r="T2094" s="17"/>
    </row>
    <row r="2095">
      <c r="A2095" s="21">
        <v>898.0</v>
      </c>
      <c r="B2095" s="20" t="s">
        <v>13</v>
      </c>
      <c r="C2095" s="20" t="s">
        <v>14</v>
      </c>
      <c r="D2095" s="20" t="s">
        <v>20</v>
      </c>
      <c r="E2095" s="12" t="str">
        <f>IFERROR(__xludf.DUMMYFUNCTION("FILTER(colegios!$B$2:$B5618,colegios!$A$2:$A5618=L2095)"),"601514")</f>
        <v>601514</v>
      </c>
      <c r="F2095" s="14" t="s">
        <v>16</v>
      </c>
      <c r="G2095" s="20" t="s">
        <v>21</v>
      </c>
      <c r="H2095" s="14" t="s">
        <v>24</v>
      </c>
      <c r="I2095" s="22">
        <v>2023.0</v>
      </c>
      <c r="J2095" s="16" t="str">
        <f>IFERROR(__xludf.DUMMYFUNCTION("FILTER('CLASFICACIÓN'!$F$3:$F5618,'CLASFICACIÓN'!$G$3:$G5618=M2095)"),"2023 Y 2024")</f>
        <v>2023 Y 2024</v>
      </c>
      <c r="K2095" s="16"/>
      <c r="L2095" s="14" t="s">
        <v>135</v>
      </c>
      <c r="M2095" s="16" t="str">
        <f t="shared" si="1"/>
        <v>6015144 Primaria</v>
      </c>
      <c r="N2095" s="17"/>
      <c r="O2095" s="17"/>
      <c r="P2095" s="17"/>
      <c r="Q2095" s="17"/>
      <c r="R2095" s="17"/>
      <c r="S2095" s="17"/>
      <c r="T2095" s="17"/>
    </row>
    <row r="2096">
      <c r="A2096" s="21">
        <v>899.0</v>
      </c>
      <c r="B2096" s="20" t="s">
        <v>13</v>
      </c>
      <c r="C2096" s="20" t="s">
        <v>14</v>
      </c>
      <c r="D2096" s="20" t="s">
        <v>20</v>
      </c>
      <c r="E2096" s="12" t="str">
        <f>IFERROR(__xludf.DUMMYFUNCTION("FILTER(colegios!$B$2:$B5618,colegios!$A$2:$A5618=L2096)"),"601514")</f>
        <v>601514</v>
      </c>
      <c r="F2096" s="14" t="s">
        <v>16</v>
      </c>
      <c r="G2096" s="20" t="s">
        <v>21</v>
      </c>
      <c r="H2096" s="14" t="s">
        <v>24</v>
      </c>
      <c r="I2096" s="22">
        <v>2023.0</v>
      </c>
      <c r="J2096" s="16" t="str">
        <f>IFERROR(__xludf.DUMMYFUNCTION("FILTER('CLASFICACIÓN'!$F$3:$F5618,'CLASFICACIÓN'!$G$3:$G5618=M2096)"),"2023 Y 2024")</f>
        <v>2023 Y 2024</v>
      </c>
      <c r="K2096" s="16"/>
      <c r="L2096" s="14" t="s">
        <v>135</v>
      </c>
      <c r="M2096" s="16" t="str">
        <f t="shared" si="1"/>
        <v>6015144 Primaria</v>
      </c>
      <c r="N2096" s="17"/>
      <c r="O2096" s="17"/>
      <c r="P2096" s="17"/>
      <c r="Q2096" s="17"/>
      <c r="R2096" s="17"/>
      <c r="S2096" s="17"/>
      <c r="T2096" s="17"/>
    </row>
    <row r="2097">
      <c r="A2097" s="21">
        <v>900.0</v>
      </c>
      <c r="B2097" s="20" t="s">
        <v>13</v>
      </c>
      <c r="C2097" s="20" t="s">
        <v>14</v>
      </c>
      <c r="D2097" s="20" t="s">
        <v>20</v>
      </c>
      <c r="E2097" s="12" t="str">
        <f>IFERROR(__xludf.DUMMYFUNCTION("FILTER(colegios!$B$2:$B5618,colegios!$A$2:$A5618=L2097)"),"601514")</f>
        <v>601514</v>
      </c>
      <c r="F2097" s="14" t="s">
        <v>16</v>
      </c>
      <c r="G2097" s="20" t="s">
        <v>17</v>
      </c>
      <c r="H2097" s="14" t="s">
        <v>18</v>
      </c>
      <c r="I2097" s="22">
        <v>2023.0</v>
      </c>
      <c r="J2097" s="16" t="str">
        <f>IFERROR(__xludf.DUMMYFUNCTION("FILTER('CLASFICACIÓN'!$F$3:$F5618,'CLASFICACIÓN'!$G$3:$G5618=M2097)"),"2023 Y 2024")</f>
        <v>2023 Y 2024</v>
      </c>
      <c r="K2097" s="16"/>
      <c r="L2097" s="14" t="s">
        <v>135</v>
      </c>
      <c r="M2097" s="16" t="str">
        <f t="shared" si="1"/>
        <v>6015144 Primaria</v>
      </c>
      <c r="N2097" s="17"/>
      <c r="O2097" s="17"/>
      <c r="P2097" s="17"/>
      <c r="Q2097" s="17"/>
      <c r="R2097" s="17"/>
      <c r="S2097" s="17"/>
      <c r="T2097" s="17"/>
    </row>
    <row r="2098">
      <c r="A2098" s="21">
        <v>901.0</v>
      </c>
      <c r="B2098" s="20" t="s">
        <v>13</v>
      </c>
      <c r="C2098" s="20" t="s">
        <v>14</v>
      </c>
      <c r="D2098" s="20" t="s">
        <v>20</v>
      </c>
      <c r="E2098" s="12" t="str">
        <f>IFERROR(__xludf.DUMMYFUNCTION("FILTER(colegios!$B$2:$B5618,colegios!$A$2:$A5618=L2098)"),"601514")</f>
        <v>601514</v>
      </c>
      <c r="F2098" s="14" t="s">
        <v>16</v>
      </c>
      <c r="G2098" s="20" t="s">
        <v>21</v>
      </c>
      <c r="H2098" s="14" t="s">
        <v>18</v>
      </c>
      <c r="I2098" s="22">
        <v>2023.0</v>
      </c>
      <c r="J2098" s="16" t="str">
        <f>IFERROR(__xludf.DUMMYFUNCTION("FILTER('CLASFICACIÓN'!$F$3:$F5618,'CLASFICACIÓN'!$G$3:$G5618=M2098)"),"2023 Y 2024")</f>
        <v>2023 Y 2024</v>
      </c>
      <c r="K2098" s="16"/>
      <c r="L2098" s="14" t="s">
        <v>135</v>
      </c>
      <c r="M2098" s="16" t="str">
        <f t="shared" si="1"/>
        <v>6015144 Primaria</v>
      </c>
      <c r="N2098" s="17"/>
      <c r="O2098" s="17"/>
      <c r="P2098" s="17"/>
      <c r="Q2098" s="17"/>
      <c r="R2098" s="17"/>
      <c r="S2098" s="17"/>
      <c r="T2098" s="17"/>
    </row>
    <row r="2099">
      <c r="A2099" s="21">
        <v>902.0</v>
      </c>
      <c r="B2099" s="20" t="s">
        <v>13</v>
      </c>
      <c r="C2099" s="20" t="s">
        <v>14</v>
      </c>
      <c r="D2099" s="20" t="s">
        <v>20</v>
      </c>
      <c r="E2099" s="12" t="str">
        <f>IFERROR(__xludf.DUMMYFUNCTION("FILTER(colegios!$B$2:$B5618,colegios!$A$2:$A5618=L2099)"),"601514")</f>
        <v>601514</v>
      </c>
      <c r="F2099" s="14" t="s">
        <v>16</v>
      </c>
      <c r="G2099" s="20" t="s">
        <v>21</v>
      </c>
      <c r="H2099" s="14" t="s">
        <v>24</v>
      </c>
      <c r="I2099" s="22">
        <v>2023.0</v>
      </c>
      <c r="J2099" s="16" t="str">
        <f>IFERROR(__xludf.DUMMYFUNCTION("FILTER('CLASFICACIÓN'!$F$3:$F5618,'CLASFICACIÓN'!$G$3:$G5618=M2099)"),"2023 Y 2024")</f>
        <v>2023 Y 2024</v>
      </c>
      <c r="K2099" s="16"/>
      <c r="L2099" s="14" t="s">
        <v>135</v>
      </c>
      <c r="M2099" s="16" t="str">
        <f t="shared" si="1"/>
        <v>6015144 Primaria</v>
      </c>
      <c r="N2099" s="17"/>
      <c r="O2099" s="17"/>
      <c r="P2099" s="17"/>
      <c r="Q2099" s="17"/>
      <c r="R2099" s="17"/>
      <c r="S2099" s="17"/>
      <c r="T2099" s="17"/>
    </row>
    <row r="2100">
      <c r="A2100" s="21">
        <v>903.0</v>
      </c>
      <c r="B2100" s="20" t="s">
        <v>13</v>
      </c>
      <c r="C2100" s="20" t="s">
        <v>14</v>
      </c>
      <c r="D2100" s="20" t="s">
        <v>22</v>
      </c>
      <c r="E2100" s="12" t="str">
        <f>IFERROR(__xludf.DUMMYFUNCTION("FILTER(colegios!$B$2:$B5618,colegios!$A$2:$A5618=L2100)"),"601514")</f>
        <v>601514</v>
      </c>
      <c r="F2100" s="14" t="s">
        <v>16</v>
      </c>
      <c r="G2100" s="20" t="s">
        <v>17</v>
      </c>
      <c r="H2100" s="14" t="s">
        <v>18</v>
      </c>
      <c r="I2100" s="22">
        <v>2023.0</v>
      </c>
      <c r="J2100" s="16" t="str">
        <f>IFERROR(__xludf.DUMMYFUNCTION("FILTER('CLASFICACIÓN'!$F$3:$F5618,'CLASFICACIÓN'!$G$3:$G5618=M2100)"),"2023 Y 2024")</f>
        <v>2023 Y 2024</v>
      </c>
      <c r="K2100" s="16"/>
      <c r="L2100" s="14" t="s">
        <v>135</v>
      </c>
      <c r="M2100" s="16" t="str">
        <f t="shared" si="1"/>
        <v>6015146 Primaria</v>
      </c>
      <c r="N2100" s="17"/>
      <c r="O2100" s="17"/>
      <c r="P2100" s="17"/>
      <c r="Q2100" s="17"/>
      <c r="R2100" s="17"/>
      <c r="S2100" s="17"/>
      <c r="T2100" s="17"/>
    </row>
    <row r="2101">
      <c r="A2101" s="21">
        <v>904.0</v>
      </c>
      <c r="B2101" s="20" t="s">
        <v>13</v>
      </c>
      <c r="C2101" s="20" t="s">
        <v>14</v>
      </c>
      <c r="D2101" s="20" t="s">
        <v>22</v>
      </c>
      <c r="E2101" s="12" t="str">
        <f>IFERROR(__xludf.DUMMYFUNCTION("FILTER(colegios!$B$2:$B5618,colegios!$A$2:$A5618=L2101)"),"601514")</f>
        <v>601514</v>
      </c>
      <c r="F2101" s="14" t="s">
        <v>16</v>
      </c>
      <c r="G2101" s="20" t="s">
        <v>17</v>
      </c>
      <c r="H2101" s="14" t="s">
        <v>18</v>
      </c>
      <c r="I2101" s="22">
        <v>2023.0</v>
      </c>
      <c r="J2101" s="16" t="str">
        <f>IFERROR(__xludf.DUMMYFUNCTION("FILTER('CLASFICACIÓN'!$F$3:$F5618,'CLASFICACIÓN'!$G$3:$G5618=M2101)"),"2023 Y 2024")</f>
        <v>2023 Y 2024</v>
      </c>
      <c r="K2101" s="16"/>
      <c r="L2101" s="14" t="s">
        <v>135</v>
      </c>
      <c r="M2101" s="16" t="str">
        <f t="shared" si="1"/>
        <v>6015146 Primaria</v>
      </c>
      <c r="N2101" s="17"/>
      <c r="O2101" s="17"/>
      <c r="P2101" s="17"/>
      <c r="Q2101" s="17"/>
      <c r="R2101" s="17"/>
      <c r="S2101" s="17"/>
      <c r="T2101" s="17"/>
    </row>
    <row r="2102">
      <c r="A2102" s="21">
        <v>905.0</v>
      </c>
      <c r="B2102" s="20" t="s">
        <v>13</v>
      </c>
      <c r="C2102" s="20" t="s">
        <v>14</v>
      </c>
      <c r="D2102" s="20" t="s">
        <v>22</v>
      </c>
      <c r="E2102" s="12" t="str">
        <f>IFERROR(__xludf.DUMMYFUNCTION("FILTER(colegios!$B$2:$B5618,colegios!$A$2:$A5618=L2102)"),"601514")</f>
        <v>601514</v>
      </c>
      <c r="F2102" s="14" t="s">
        <v>16</v>
      </c>
      <c r="G2102" s="20" t="s">
        <v>17</v>
      </c>
      <c r="H2102" s="14" t="s">
        <v>18</v>
      </c>
      <c r="I2102" s="22">
        <v>2023.0</v>
      </c>
      <c r="J2102" s="16" t="str">
        <f>IFERROR(__xludf.DUMMYFUNCTION("FILTER('CLASFICACIÓN'!$F$3:$F5618,'CLASFICACIÓN'!$G$3:$G5618=M2102)"),"2023 Y 2024")</f>
        <v>2023 Y 2024</v>
      </c>
      <c r="K2102" s="16"/>
      <c r="L2102" s="14" t="s">
        <v>135</v>
      </c>
      <c r="M2102" s="16" t="str">
        <f t="shared" si="1"/>
        <v>6015146 Primaria</v>
      </c>
      <c r="N2102" s="17"/>
      <c r="O2102" s="17"/>
      <c r="P2102" s="17"/>
      <c r="Q2102" s="17"/>
      <c r="R2102" s="17"/>
      <c r="S2102" s="17"/>
      <c r="T2102" s="17"/>
    </row>
    <row r="2103">
      <c r="A2103" s="21">
        <v>906.0</v>
      </c>
      <c r="B2103" s="20" t="s">
        <v>13</v>
      </c>
      <c r="C2103" s="20" t="s">
        <v>14</v>
      </c>
      <c r="D2103" s="20" t="s">
        <v>22</v>
      </c>
      <c r="E2103" s="12" t="str">
        <f>IFERROR(__xludf.DUMMYFUNCTION("FILTER(colegios!$B$2:$B5618,colegios!$A$2:$A5618=L2103)"),"601514")</f>
        <v>601514</v>
      </c>
      <c r="F2103" s="14" t="s">
        <v>16</v>
      </c>
      <c r="G2103" s="20" t="s">
        <v>21</v>
      </c>
      <c r="H2103" s="14" t="s">
        <v>18</v>
      </c>
      <c r="I2103" s="22">
        <v>2023.0</v>
      </c>
      <c r="J2103" s="16" t="str">
        <f>IFERROR(__xludf.DUMMYFUNCTION("FILTER('CLASFICACIÓN'!$F$3:$F5618,'CLASFICACIÓN'!$G$3:$G5618=M2103)"),"2023 Y 2024")</f>
        <v>2023 Y 2024</v>
      </c>
      <c r="K2103" s="16"/>
      <c r="L2103" s="14" t="s">
        <v>135</v>
      </c>
      <c r="M2103" s="16" t="str">
        <f t="shared" si="1"/>
        <v>6015146 Primaria</v>
      </c>
      <c r="N2103" s="17"/>
      <c r="O2103" s="17"/>
      <c r="P2103" s="17"/>
      <c r="Q2103" s="17"/>
      <c r="R2103" s="17"/>
      <c r="S2103" s="17"/>
      <c r="T2103" s="17"/>
    </row>
    <row r="2104">
      <c r="A2104" s="21">
        <v>907.0</v>
      </c>
      <c r="B2104" s="20" t="s">
        <v>13</v>
      </c>
      <c r="C2104" s="20" t="s">
        <v>14</v>
      </c>
      <c r="D2104" s="20" t="s">
        <v>22</v>
      </c>
      <c r="E2104" s="12" t="str">
        <f>IFERROR(__xludf.DUMMYFUNCTION("FILTER(colegios!$B$2:$B5618,colegios!$A$2:$A5618=L2104)"),"601514")</f>
        <v>601514</v>
      </c>
      <c r="F2104" s="14" t="s">
        <v>16</v>
      </c>
      <c r="G2104" s="20" t="s">
        <v>21</v>
      </c>
      <c r="H2104" s="14" t="s">
        <v>18</v>
      </c>
      <c r="I2104" s="22">
        <v>2023.0</v>
      </c>
      <c r="J2104" s="16" t="str">
        <f>IFERROR(__xludf.DUMMYFUNCTION("FILTER('CLASFICACIÓN'!$F$3:$F5618,'CLASFICACIÓN'!$G$3:$G5618=M2104)"),"2023 Y 2024")</f>
        <v>2023 Y 2024</v>
      </c>
      <c r="K2104" s="16"/>
      <c r="L2104" s="14" t="s">
        <v>135</v>
      </c>
      <c r="M2104" s="16" t="str">
        <f t="shared" si="1"/>
        <v>6015146 Primaria</v>
      </c>
      <c r="N2104" s="17"/>
      <c r="O2104" s="17"/>
      <c r="P2104" s="17"/>
      <c r="Q2104" s="17"/>
      <c r="R2104" s="17"/>
      <c r="S2104" s="17"/>
      <c r="T2104" s="17"/>
    </row>
    <row r="2105">
      <c r="A2105" s="21">
        <v>908.0</v>
      </c>
      <c r="B2105" s="20" t="s">
        <v>13</v>
      </c>
      <c r="C2105" s="20" t="s">
        <v>14</v>
      </c>
      <c r="D2105" s="20" t="s">
        <v>22</v>
      </c>
      <c r="E2105" s="12" t="str">
        <f>IFERROR(__xludf.DUMMYFUNCTION("FILTER(colegios!$B$2:$B5618,colegios!$A$2:$A5618=L2105)"),"601514")</f>
        <v>601514</v>
      </c>
      <c r="F2105" s="14" t="s">
        <v>16</v>
      </c>
      <c r="G2105" s="20" t="s">
        <v>21</v>
      </c>
      <c r="H2105" s="14" t="s">
        <v>18</v>
      </c>
      <c r="I2105" s="22">
        <v>2023.0</v>
      </c>
      <c r="J2105" s="16" t="str">
        <f>IFERROR(__xludf.DUMMYFUNCTION("FILTER('CLASFICACIÓN'!$F$3:$F5618,'CLASFICACIÓN'!$G$3:$G5618=M2105)"),"2023 Y 2024")</f>
        <v>2023 Y 2024</v>
      </c>
      <c r="K2105" s="16"/>
      <c r="L2105" s="14" t="s">
        <v>135</v>
      </c>
      <c r="M2105" s="16" t="str">
        <f t="shared" si="1"/>
        <v>6015146 Primaria</v>
      </c>
      <c r="N2105" s="17"/>
      <c r="O2105" s="17"/>
      <c r="P2105" s="17"/>
      <c r="Q2105" s="17"/>
      <c r="R2105" s="17"/>
      <c r="S2105" s="17"/>
      <c r="T2105" s="17"/>
    </row>
    <row r="2106">
      <c r="A2106" s="21">
        <v>909.0</v>
      </c>
      <c r="B2106" s="20" t="s">
        <v>13</v>
      </c>
      <c r="C2106" s="20" t="s">
        <v>14</v>
      </c>
      <c r="D2106" s="20" t="s">
        <v>22</v>
      </c>
      <c r="E2106" s="12" t="str">
        <f>IFERROR(__xludf.DUMMYFUNCTION("FILTER(colegios!$B$2:$B5618,colegios!$A$2:$A5618=L2106)"),"601514")</f>
        <v>601514</v>
      </c>
      <c r="F2106" s="14" t="s">
        <v>16</v>
      </c>
      <c r="G2106" s="20" t="s">
        <v>21</v>
      </c>
      <c r="H2106" s="14" t="s">
        <v>24</v>
      </c>
      <c r="I2106" s="22">
        <v>2023.0</v>
      </c>
      <c r="J2106" s="16" t="str">
        <f>IFERROR(__xludf.DUMMYFUNCTION("FILTER('CLASFICACIÓN'!$F$3:$F5618,'CLASFICACIÓN'!$G$3:$G5618=M2106)"),"2023 Y 2024")</f>
        <v>2023 Y 2024</v>
      </c>
      <c r="K2106" s="16"/>
      <c r="L2106" s="14" t="s">
        <v>135</v>
      </c>
      <c r="M2106" s="16" t="str">
        <f t="shared" si="1"/>
        <v>6015146 Primaria</v>
      </c>
      <c r="N2106" s="17"/>
      <c r="O2106" s="17"/>
      <c r="P2106" s="17"/>
      <c r="Q2106" s="17"/>
      <c r="R2106" s="17"/>
      <c r="S2106" s="17"/>
      <c r="T2106" s="17"/>
    </row>
    <row r="2107">
      <c r="A2107" s="21">
        <v>910.0</v>
      </c>
      <c r="B2107" s="20" t="s">
        <v>13</v>
      </c>
      <c r="C2107" s="20" t="s">
        <v>14</v>
      </c>
      <c r="D2107" s="20" t="s">
        <v>22</v>
      </c>
      <c r="E2107" s="12" t="str">
        <f>IFERROR(__xludf.DUMMYFUNCTION("FILTER(colegios!$B$2:$B5618,colegios!$A$2:$A5618=L2107)"),"601514")</f>
        <v>601514</v>
      </c>
      <c r="F2107" s="14" t="s">
        <v>16</v>
      </c>
      <c r="G2107" s="20" t="s">
        <v>21</v>
      </c>
      <c r="H2107" s="14" t="s">
        <v>18</v>
      </c>
      <c r="I2107" s="22">
        <v>2023.0</v>
      </c>
      <c r="J2107" s="16" t="str">
        <f>IFERROR(__xludf.DUMMYFUNCTION("FILTER('CLASFICACIÓN'!$F$3:$F5618,'CLASFICACIÓN'!$G$3:$G5618=M2107)"),"2023 Y 2024")</f>
        <v>2023 Y 2024</v>
      </c>
      <c r="K2107" s="16"/>
      <c r="L2107" s="14" t="s">
        <v>135</v>
      </c>
      <c r="M2107" s="16" t="str">
        <f t="shared" si="1"/>
        <v>6015146 Primaria</v>
      </c>
      <c r="N2107" s="17"/>
      <c r="O2107" s="17"/>
      <c r="P2107" s="17"/>
      <c r="Q2107" s="17"/>
      <c r="R2107" s="17"/>
      <c r="S2107" s="17"/>
      <c r="T2107" s="17"/>
    </row>
    <row r="2108">
      <c r="A2108" s="21">
        <v>911.0</v>
      </c>
      <c r="B2108" s="20" t="s">
        <v>13</v>
      </c>
      <c r="C2108" s="20" t="s">
        <v>14</v>
      </c>
      <c r="D2108" s="20" t="s">
        <v>22</v>
      </c>
      <c r="E2108" s="12" t="str">
        <f>IFERROR(__xludf.DUMMYFUNCTION("FILTER(colegios!$B$2:$B5618,colegios!$A$2:$A5618=L2108)"),"601514")</f>
        <v>601514</v>
      </c>
      <c r="F2108" s="14" t="s">
        <v>16</v>
      </c>
      <c r="G2108" s="20" t="s">
        <v>21</v>
      </c>
      <c r="H2108" s="14" t="s">
        <v>18</v>
      </c>
      <c r="I2108" s="22">
        <v>2023.0</v>
      </c>
      <c r="J2108" s="16" t="str">
        <f>IFERROR(__xludf.DUMMYFUNCTION("FILTER('CLASFICACIÓN'!$F$3:$F5618,'CLASFICACIÓN'!$G$3:$G5618=M2108)"),"2023 Y 2024")</f>
        <v>2023 Y 2024</v>
      </c>
      <c r="K2108" s="16"/>
      <c r="L2108" s="14" t="s">
        <v>135</v>
      </c>
      <c r="M2108" s="16" t="str">
        <f t="shared" si="1"/>
        <v>6015146 Primaria</v>
      </c>
      <c r="N2108" s="17"/>
      <c r="O2108" s="17"/>
      <c r="P2108" s="17"/>
      <c r="Q2108" s="17"/>
      <c r="R2108" s="17"/>
      <c r="S2108" s="17"/>
      <c r="T2108" s="17"/>
    </row>
    <row r="2109">
      <c r="A2109" s="21">
        <v>912.0</v>
      </c>
      <c r="B2109" s="20" t="s">
        <v>13</v>
      </c>
      <c r="C2109" s="20" t="s">
        <v>14</v>
      </c>
      <c r="D2109" s="20" t="s">
        <v>15</v>
      </c>
      <c r="E2109" s="12" t="str">
        <f>IFERROR(__xludf.DUMMYFUNCTION("FILTER(colegios!$B$2:$B5618,colegios!$A$2:$A5618=L2109)"),"601331")</f>
        <v>601331</v>
      </c>
      <c r="F2109" s="14" t="s">
        <v>16</v>
      </c>
      <c r="G2109" s="20" t="s">
        <v>21</v>
      </c>
      <c r="H2109" s="14" t="s">
        <v>18</v>
      </c>
      <c r="I2109" s="22">
        <v>2023.0</v>
      </c>
      <c r="J2109" s="16" t="str">
        <f>IFERROR(__xludf.DUMMYFUNCTION("FILTER('CLASFICACIÓN'!$F$3:$F5618,'CLASFICACIÓN'!$G$3:$G5618=M2109)"),"LOS 3 AÑOS")</f>
        <v>LOS 3 AÑOS</v>
      </c>
      <c r="K2109" s="16"/>
      <c r="L2109" s="14" t="s">
        <v>136</v>
      </c>
      <c r="M2109" s="16" t="str">
        <f t="shared" si="1"/>
        <v>6013312 Primaria</v>
      </c>
      <c r="N2109" s="17"/>
      <c r="O2109" s="17"/>
      <c r="P2109" s="17"/>
      <c r="Q2109" s="17"/>
      <c r="R2109" s="17"/>
      <c r="S2109" s="17"/>
      <c r="T2109" s="17"/>
    </row>
    <row r="2110">
      <c r="A2110" s="21">
        <v>913.0</v>
      </c>
      <c r="B2110" s="20" t="s">
        <v>13</v>
      </c>
      <c r="C2110" s="20" t="s">
        <v>14</v>
      </c>
      <c r="D2110" s="20" t="s">
        <v>15</v>
      </c>
      <c r="E2110" s="12" t="str">
        <f>IFERROR(__xludf.DUMMYFUNCTION("FILTER(colegios!$B$2:$B5618,colegios!$A$2:$A5618=L2110)"),"601331")</f>
        <v>601331</v>
      </c>
      <c r="F2110" s="14" t="s">
        <v>16</v>
      </c>
      <c r="G2110" s="20" t="s">
        <v>17</v>
      </c>
      <c r="H2110" s="14" t="s">
        <v>18</v>
      </c>
      <c r="I2110" s="22">
        <v>2023.0</v>
      </c>
      <c r="J2110" s="16" t="str">
        <f>IFERROR(__xludf.DUMMYFUNCTION("FILTER('CLASFICACIÓN'!$F$3:$F5618,'CLASFICACIÓN'!$G$3:$G5618=M2110)"),"LOS 3 AÑOS")</f>
        <v>LOS 3 AÑOS</v>
      </c>
      <c r="K2110" s="16"/>
      <c r="L2110" s="14" t="s">
        <v>136</v>
      </c>
      <c r="M2110" s="16" t="str">
        <f t="shared" si="1"/>
        <v>6013312 Primaria</v>
      </c>
      <c r="N2110" s="17"/>
      <c r="O2110" s="17"/>
      <c r="P2110" s="17"/>
      <c r="Q2110" s="17"/>
      <c r="R2110" s="17"/>
      <c r="S2110" s="17"/>
      <c r="T2110" s="17"/>
    </row>
    <row r="2111">
      <c r="A2111" s="21">
        <v>914.0</v>
      </c>
      <c r="B2111" s="20" t="s">
        <v>13</v>
      </c>
      <c r="C2111" s="20" t="s">
        <v>14</v>
      </c>
      <c r="D2111" s="20" t="s">
        <v>15</v>
      </c>
      <c r="E2111" s="12" t="str">
        <f>IFERROR(__xludf.DUMMYFUNCTION("FILTER(colegios!$B$2:$B5618,colegios!$A$2:$A5618=L2111)"),"601331")</f>
        <v>601331</v>
      </c>
      <c r="F2111" s="14" t="s">
        <v>16</v>
      </c>
      <c r="G2111" s="20" t="s">
        <v>21</v>
      </c>
      <c r="H2111" s="14" t="s">
        <v>18</v>
      </c>
      <c r="I2111" s="22">
        <v>2023.0</v>
      </c>
      <c r="J2111" s="16" t="str">
        <f>IFERROR(__xludf.DUMMYFUNCTION("FILTER('CLASFICACIÓN'!$F$3:$F5618,'CLASFICACIÓN'!$G$3:$G5618=M2111)"),"LOS 3 AÑOS")</f>
        <v>LOS 3 AÑOS</v>
      </c>
      <c r="K2111" s="16"/>
      <c r="L2111" s="14" t="s">
        <v>136</v>
      </c>
      <c r="M2111" s="16" t="str">
        <f t="shared" si="1"/>
        <v>6013312 Primaria</v>
      </c>
      <c r="N2111" s="17"/>
      <c r="O2111" s="17"/>
      <c r="P2111" s="17"/>
      <c r="Q2111" s="17"/>
      <c r="R2111" s="17"/>
      <c r="S2111" s="17"/>
      <c r="T2111" s="17"/>
    </row>
    <row r="2112">
      <c r="A2112" s="21">
        <v>915.0</v>
      </c>
      <c r="B2112" s="20" t="s">
        <v>13</v>
      </c>
      <c r="C2112" s="20" t="s">
        <v>14</v>
      </c>
      <c r="D2112" s="20" t="s">
        <v>15</v>
      </c>
      <c r="E2112" s="12" t="str">
        <f>IFERROR(__xludf.DUMMYFUNCTION("FILTER(colegios!$B$2:$B5618,colegios!$A$2:$A5618=L2112)"),"601331")</f>
        <v>601331</v>
      </c>
      <c r="F2112" s="14" t="s">
        <v>16</v>
      </c>
      <c r="G2112" s="20" t="s">
        <v>21</v>
      </c>
      <c r="H2112" s="14" t="s">
        <v>18</v>
      </c>
      <c r="I2112" s="22">
        <v>2023.0</v>
      </c>
      <c r="J2112" s="16" t="str">
        <f>IFERROR(__xludf.DUMMYFUNCTION("FILTER('CLASFICACIÓN'!$F$3:$F5618,'CLASFICACIÓN'!$G$3:$G5618=M2112)"),"LOS 3 AÑOS")</f>
        <v>LOS 3 AÑOS</v>
      </c>
      <c r="K2112" s="16"/>
      <c r="L2112" s="14" t="s">
        <v>136</v>
      </c>
      <c r="M2112" s="16" t="str">
        <f t="shared" si="1"/>
        <v>6013312 Primaria</v>
      </c>
      <c r="N2112" s="17"/>
      <c r="O2112" s="17"/>
      <c r="P2112" s="17"/>
      <c r="Q2112" s="17"/>
      <c r="R2112" s="17"/>
      <c r="S2112" s="17"/>
      <c r="T2112" s="17"/>
    </row>
    <row r="2113">
      <c r="A2113" s="21">
        <v>916.0</v>
      </c>
      <c r="B2113" s="20" t="s">
        <v>13</v>
      </c>
      <c r="C2113" s="20" t="s">
        <v>14</v>
      </c>
      <c r="D2113" s="20" t="s">
        <v>15</v>
      </c>
      <c r="E2113" s="12" t="str">
        <f>IFERROR(__xludf.DUMMYFUNCTION("FILTER(colegios!$B$2:$B5618,colegios!$A$2:$A5618=L2113)"),"601331")</f>
        <v>601331</v>
      </c>
      <c r="F2113" s="14" t="s">
        <v>16</v>
      </c>
      <c r="G2113" s="20" t="s">
        <v>21</v>
      </c>
      <c r="H2113" s="14" t="s">
        <v>18</v>
      </c>
      <c r="I2113" s="22">
        <v>2023.0</v>
      </c>
      <c r="J2113" s="16" t="str">
        <f>IFERROR(__xludf.DUMMYFUNCTION("FILTER('CLASFICACIÓN'!$F$3:$F5618,'CLASFICACIÓN'!$G$3:$G5618=M2113)"),"LOS 3 AÑOS")</f>
        <v>LOS 3 AÑOS</v>
      </c>
      <c r="K2113" s="16"/>
      <c r="L2113" s="14" t="s">
        <v>136</v>
      </c>
      <c r="M2113" s="16" t="str">
        <f t="shared" si="1"/>
        <v>6013312 Primaria</v>
      </c>
      <c r="N2113" s="17"/>
      <c r="O2113" s="17"/>
      <c r="P2113" s="17"/>
      <c r="Q2113" s="17"/>
      <c r="R2113" s="17"/>
      <c r="S2113" s="17"/>
      <c r="T2113" s="17"/>
    </row>
    <row r="2114">
      <c r="A2114" s="21">
        <v>917.0</v>
      </c>
      <c r="B2114" s="20" t="s">
        <v>13</v>
      </c>
      <c r="C2114" s="20" t="s">
        <v>14</v>
      </c>
      <c r="D2114" s="20" t="s">
        <v>15</v>
      </c>
      <c r="E2114" s="12" t="str">
        <f>IFERROR(__xludf.DUMMYFUNCTION("FILTER(colegios!$B$2:$B5618,colegios!$A$2:$A5618=L2114)"),"601331")</f>
        <v>601331</v>
      </c>
      <c r="F2114" s="14" t="s">
        <v>16</v>
      </c>
      <c r="G2114" s="20" t="s">
        <v>17</v>
      </c>
      <c r="H2114" s="14" t="s">
        <v>18</v>
      </c>
      <c r="I2114" s="22">
        <v>2023.0</v>
      </c>
      <c r="J2114" s="16" t="str">
        <f>IFERROR(__xludf.DUMMYFUNCTION("FILTER('CLASFICACIÓN'!$F$3:$F5618,'CLASFICACIÓN'!$G$3:$G5618=M2114)"),"LOS 3 AÑOS")</f>
        <v>LOS 3 AÑOS</v>
      </c>
      <c r="K2114" s="16"/>
      <c r="L2114" s="14" t="s">
        <v>136</v>
      </c>
      <c r="M2114" s="16" t="str">
        <f t="shared" si="1"/>
        <v>6013312 Primaria</v>
      </c>
      <c r="N2114" s="17"/>
      <c r="O2114" s="17"/>
      <c r="P2114" s="17"/>
      <c r="Q2114" s="17"/>
      <c r="R2114" s="17"/>
      <c r="S2114" s="17"/>
      <c r="T2114" s="17"/>
    </row>
    <row r="2115">
      <c r="A2115" s="21">
        <v>918.0</v>
      </c>
      <c r="B2115" s="20" t="s">
        <v>13</v>
      </c>
      <c r="C2115" s="20" t="s">
        <v>14</v>
      </c>
      <c r="D2115" s="20" t="s">
        <v>15</v>
      </c>
      <c r="E2115" s="12" t="str">
        <f>IFERROR(__xludf.DUMMYFUNCTION("FILTER(colegios!$B$2:$B5618,colegios!$A$2:$A5618=L2115)"),"601331")</f>
        <v>601331</v>
      </c>
      <c r="F2115" s="14" t="s">
        <v>16</v>
      </c>
      <c r="G2115" s="20" t="s">
        <v>21</v>
      </c>
      <c r="H2115" s="14" t="s">
        <v>18</v>
      </c>
      <c r="I2115" s="22">
        <v>2023.0</v>
      </c>
      <c r="J2115" s="16" t="str">
        <f>IFERROR(__xludf.DUMMYFUNCTION("FILTER('CLASFICACIÓN'!$F$3:$F5618,'CLASFICACIÓN'!$G$3:$G5618=M2115)"),"LOS 3 AÑOS")</f>
        <v>LOS 3 AÑOS</v>
      </c>
      <c r="K2115" s="16"/>
      <c r="L2115" s="14" t="s">
        <v>136</v>
      </c>
      <c r="M2115" s="16" t="str">
        <f t="shared" si="1"/>
        <v>6013312 Primaria</v>
      </c>
      <c r="N2115" s="17"/>
      <c r="O2115" s="17"/>
      <c r="P2115" s="17"/>
      <c r="Q2115" s="17"/>
      <c r="R2115" s="17"/>
      <c r="S2115" s="17"/>
      <c r="T2115" s="17"/>
    </row>
    <row r="2116">
      <c r="A2116" s="21">
        <v>919.0</v>
      </c>
      <c r="B2116" s="20" t="s">
        <v>13</v>
      </c>
      <c r="C2116" s="20" t="s">
        <v>14</v>
      </c>
      <c r="D2116" s="20" t="s">
        <v>15</v>
      </c>
      <c r="E2116" s="12" t="str">
        <f>IFERROR(__xludf.DUMMYFUNCTION("FILTER(colegios!$B$2:$B5618,colegios!$A$2:$A5618=L2116)"),"601331")</f>
        <v>601331</v>
      </c>
      <c r="F2116" s="14" t="s">
        <v>16</v>
      </c>
      <c r="G2116" s="20" t="s">
        <v>17</v>
      </c>
      <c r="H2116" s="14" t="s">
        <v>18</v>
      </c>
      <c r="I2116" s="22">
        <v>2023.0</v>
      </c>
      <c r="J2116" s="16" t="str">
        <f>IFERROR(__xludf.DUMMYFUNCTION("FILTER('CLASFICACIÓN'!$F$3:$F5618,'CLASFICACIÓN'!$G$3:$G5618=M2116)"),"LOS 3 AÑOS")</f>
        <v>LOS 3 AÑOS</v>
      </c>
      <c r="K2116" s="16"/>
      <c r="L2116" s="14" t="s">
        <v>136</v>
      </c>
      <c r="M2116" s="16" t="str">
        <f t="shared" si="1"/>
        <v>6013312 Primaria</v>
      </c>
      <c r="N2116" s="17"/>
      <c r="O2116" s="17"/>
      <c r="P2116" s="17"/>
      <c r="Q2116" s="17"/>
      <c r="R2116" s="17"/>
      <c r="S2116" s="17"/>
      <c r="T2116" s="17"/>
    </row>
    <row r="2117">
      <c r="A2117" s="21">
        <v>920.0</v>
      </c>
      <c r="B2117" s="20" t="s">
        <v>13</v>
      </c>
      <c r="C2117" s="20" t="s">
        <v>14</v>
      </c>
      <c r="D2117" s="20" t="s">
        <v>15</v>
      </c>
      <c r="E2117" s="12" t="str">
        <f>IFERROR(__xludf.DUMMYFUNCTION("FILTER(colegios!$B$2:$B5618,colegios!$A$2:$A5618=L2117)"),"601331")</f>
        <v>601331</v>
      </c>
      <c r="F2117" s="14" t="s">
        <v>16</v>
      </c>
      <c r="G2117" s="20" t="s">
        <v>17</v>
      </c>
      <c r="H2117" s="14" t="s">
        <v>18</v>
      </c>
      <c r="I2117" s="22">
        <v>2023.0</v>
      </c>
      <c r="J2117" s="16" t="str">
        <f>IFERROR(__xludf.DUMMYFUNCTION("FILTER('CLASFICACIÓN'!$F$3:$F5618,'CLASFICACIÓN'!$G$3:$G5618=M2117)"),"LOS 3 AÑOS")</f>
        <v>LOS 3 AÑOS</v>
      </c>
      <c r="K2117" s="16"/>
      <c r="L2117" s="14" t="s">
        <v>136</v>
      </c>
      <c r="M2117" s="16" t="str">
        <f t="shared" si="1"/>
        <v>6013312 Primaria</v>
      </c>
      <c r="N2117" s="17"/>
      <c r="O2117" s="17"/>
      <c r="P2117" s="17"/>
      <c r="Q2117" s="17"/>
      <c r="R2117" s="17"/>
      <c r="S2117" s="17"/>
      <c r="T2117" s="17"/>
    </row>
    <row r="2118">
      <c r="A2118" s="21">
        <v>921.0</v>
      </c>
      <c r="B2118" s="20" t="s">
        <v>13</v>
      </c>
      <c r="C2118" s="20" t="s">
        <v>14</v>
      </c>
      <c r="D2118" s="20" t="s">
        <v>15</v>
      </c>
      <c r="E2118" s="12" t="str">
        <f>IFERROR(__xludf.DUMMYFUNCTION("FILTER(colegios!$B$2:$B5618,colegios!$A$2:$A5618=L2118)"),"601331")</f>
        <v>601331</v>
      </c>
      <c r="F2118" s="14" t="s">
        <v>16</v>
      </c>
      <c r="G2118" s="20" t="s">
        <v>21</v>
      </c>
      <c r="H2118" s="14" t="s">
        <v>18</v>
      </c>
      <c r="I2118" s="22">
        <v>2023.0</v>
      </c>
      <c r="J2118" s="16" t="str">
        <f>IFERROR(__xludf.DUMMYFUNCTION("FILTER('CLASFICACIÓN'!$F$3:$F5618,'CLASFICACIÓN'!$G$3:$G5618=M2118)"),"LOS 3 AÑOS")</f>
        <v>LOS 3 AÑOS</v>
      </c>
      <c r="K2118" s="16"/>
      <c r="L2118" s="14" t="s">
        <v>136</v>
      </c>
      <c r="M2118" s="16" t="str">
        <f t="shared" si="1"/>
        <v>6013312 Primaria</v>
      </c>
      <c r="N2118" s="17"/>
      <c r="O2118" s="17"/>
      <c r="P2118" s="17"/>
      <c r="Q2118" s="17"/>
      <c r="R2118" s="17"/>
      <c r="S2118" s="17"/>
      <c r="T2118" s="17"/>
    </row>
    <row r="2119">
      <c r="A2119" s="21">
        <v>922.0</v>
      </c>
      <c r="B2119" s="20" t="s">
        <v>13</v>
      </c>
      <c r="C2119" s="20" t="s">
        <v>14</v>
      </c>
      <c r="D2119" s="20" t="s">
        <v>15</v>
      </c>
      <c r="E2119" s="12" t="str">
        <f>IFERROR(__xludf.DUMMYFUNCTION("FILTER(colegios!$B$2:$B5618,colegios!$A$2:$A5618=L2119)"),"601331")</f>
        <v>601331</v>
      </c>
      <c r="F2119" s="14" t="s">
        <v>16</v>
      </c>
      <c r="G2119" s="20" t="s">
        <v>21</v>
      </c>
      <c r="H2119" s="14" t="s">
        <v>18</v>
      </c>
      <c r="I2119" s="22">
        <v>2023.0</v>
      </c>
      <c r="J2119" s="16" t="str">
        <f>IFERROR(__xludf.DUMMYFUNCTION("FILTER('CLASFICACIÓN'!$F$3:$F5618,'CLASFICACIÓN'!$G$3:$G5618=M2119)"),"LOS 3 AÑOS")</f>
        <v>LOS 3 AÑOS</v>
      </c>
      <c r="K2119" s="16"/>
      <c r="L2119" s="14" t="s">
        <v>136</v>
      </c>
      <c r="M2119" s="16" t="str">
        <f t="shared" si="1"/>
        <v>6013312 Primaria</v>
      </c>
      <c r="N2119" s="17"/>
      <c r="O2119" s="17"/>
      <c r="P2119" s="17"/>
      <c r="Q2119" s="17"/>
      <c r="R2119" s="17"/>
      <c r="S2119" s="17"/>
      <c r="T2119" s="17"/>
    </row>
    <row r="2120">
      <c r="A2120" s="21">
        <v>923.0</v>
      </c>
      <c r="B2120" s="20" t="s">
        <v>13</v>
      </c>
      <c r="C2120" s="20" t="s">
        <v>14</v>
      </c>
      <c r="D2120" s="20" t="s">
        <v>15</v>
      </c>
      <c r="E2120" s="12" t="str">
        <f>IFERROR(__xludf.DUMMYFUNCTION("FILTER(colegios!$B$2:$B5618,colegios!$A$2:$A5618=L2120)"),"601331")</f>
        <v>601331</v>
      </c>
      <c r="F2120" s="14" t="s">
        <v>16</v>
      </c>
      <c r="G2120" s="20" t="s">
        <v>17</v>
      </c>
      <c r="H2120" s="14" t="s">
        <v>18</v>
      </c>
      <c r="I2120" s="22">
        <v>2023.0</v>
      </c>
      <c r="J2120" s="16" t="str">
        <f>IFERROR(__xludf.DUMMYFUNCTION("FILTER('CLASFICACIÓN'!$F$3:$F5618,'CLASFICACIÓN'!$G$3:$G5618=M2120)"),"LOS 3 AÑOS")</f>
        <v>LOS 3 AÑOS</v>
      </c>
      <c r="K2120" s="16"/>
      <c r="L2120" s="14" t="s">
        <v>136</v>
      </c>
      <c r="M2120" s="16" t="str">
        <f t="shared" si="1"/>
        <v>6013312 Primaria</v>
      </c>
      <c r="N2120" s="17"/>
      <c r="O2120" s="17"/>
      <c r="P2120" s="17"/>
      <c r="Q2120" s="17"/>
      <c r="R2120" s="17"/>
      <c r="S2120" s="17"/>
      <c r="T2120" s="17"/>
    </row>
    <row r="2121">
      <c r="A2121" s="21">
        <v>924.0</v>
      </c>
      <c r="B2121" s="20" t="s">
        <v>13</v>
      </c>
      <c r="C2121" s="20" t="s">
        <v>14</v>
      </c>
      <c r="D2121" s="20" t="s">
        <v>15</v>
      </c>
      <c r="E2121" s="12" t="str">
        <f>IFERROR(__xludf.DUMMYFUNCTION("FILTER(colegios!$B$2:$B5618,colegios!$A$2:$A5618=L2121)"),"601331")</f>
        <v>601331</v>
      </c>
      <c r="F2121" s="14" t="s">
        <v>16</v>
      </c>
      <c r="G2121" s="20" t="s">
        <v>21</v>
      </c>
      <c r="H2121" s="14" t="s">
        <v>18</v>
      </c>
      <c r="I2121" s="22">
        <v>2023.0</v>
      </c>
      <c r="J2121" s="16" t="str">
        <f>IFERROR(__xludf.DUMMYFUNCTION("FILTER('CLASFICACIÓN'!$F$3:$F5618,'CLASFICACIÓN'!$G$3:$G5618=M2121)"),"LOS 3 AÑOS")</f>
        <v>LOS 3 AÑOS</v>
      </c>
      <c r="K2121" s="16"/>
      <c r="L2121" s="14" t="s">
        <v>136</v>
      </c>
      <c r="M2121" s="16" t="str">
        <f t="shared" si="1"/>
        <v>6013312 Primaria</v>
      </c>
      <c r="N2121" s="17"/>
      <c r="O2121" s="17"/>
      <c r="P2121" s="17"/>
      <c r="Q2121" s="17"/>
      <c r="R2121" s="17"/>
      <c r="S2121" s="17"/>
      <c r="T2121" s="17"/>
    </row>
    <row r="2122">
      <c r="A2122" s="21">
        <v>925.0</v>
      </c>
      <c r="B2122" s="20" t="s">
        <v>13</v>
      </c>
      <c r="C2122" s="20" t="s">
        <v>14</v>
      </c>
      <c r="D2122" s="20" t="s">
        <v>15</v>
      </c>
      <c r="E2122" s="12" t="str">
        <f>IFERROR(__xludf.DUMMYFUNCTION("FILTER(colegios!$B$2:$B5618,colegios!$A$2:$A5618=L2122)"),"601331")</f>
        <v>601331</v>
      </c>
      <c r="F2122" s="14" t="s">
        <v>16</v>
      </c>
      <c r="G2122" s="20" t="s">
        <v>17</v>
      </c>
      <c r="H2122" s="14" t="s">
        <v>24</v>
      </c>
      <c r="I2122" s="22">
        <v>2023.0</v>
      </c>
      <c r="J2122" s="16" t="str">
        <f>IFERROR(__xludf.DUMMYFUNCTION("FILTER('CLASFICACIÓN'!$F$3:$F5618,'CLASFICACIÓN'!$G$3:$G5618=M2122)"),"LOS 3 AÑOS")</f>
        <v>LOS 3 AÑOS</v>
      </c>
      <c r="K2122" s="16"/>
      <c r="L2122" s="14" t="s">
        <v>136</v>
      </c>
      <c r="M2122" s="16" t="str">
        <f t="shared" si="1"/>
        <v>6013312 Primaria</v>
      </c>
      <c r="N2122" s="17"/>
      <c r="O2122" s="17"/>
      <c r="P2122" s="17"/>
      <c r="Q2122" s="17"/>
      <c r="R2122" s="17"/>
      <c r="S2122" s="17"/>
      <c r="T2122" s="17"/>
    </row>
    <row r="2123">
      <c r="A2123" s="21">
        <v>926.0</v>
      </c>
      <c r="B2123" s="20" t="s">
        <v>13</v>
      </c>
      <c r="C2123" s="20" t="s">
        <v>14</v>
      </c>
      <c r="D2123" s="20" t="s">
        <v>15</v>
      </c>
      <c r="E2123" s="12" t="str">
        <f>IFERROR(__xludf.DUMMYFUNCTION("FILTER(colegios!$B$2:$B5618,colegios!$A$2:$A5618=L2123)"),"601331")</f>
        <v>601331</v>
      </c>
      <c r="F2123" s="14" t="s">
        <v>16</v>
      </c>
      <c r="G2123" s="20" t="s">
        <v>21</v>
      </c>
      <c r="H2123" s="14" t="s">
        <v>18</v>
      </c>
      <c r="I2123" s="22">
        <v>2023.0</v>
      </c>
      <c r="J2123" s="16" t="str">
        <f>IFERROR(__xludf.DUMMYFUNCTION("FILTER('CLASFICACIÓN'!$F$3:$F5618,'CLASFICACIÓN'!$G$3:$G5618=M2123)"),"LOS 3 AÑOS")</f>
        <v>LOS 3 AÑOS</v>
      </c>
      <c r="K2123" s="16"/>
      <c r="L2123" s="14" t="s">
        <v>136</v>
      </c>
      <c r="M2123" s="16" t="str">
        <f t="shared" si="1"/>
        <v>6013312 Primaria</v>
      </c>
      <c r="N2123" s="17"/>
      <c r="O2123" s="17"/>
      <c r="P2123" s="17"/>
      <c r="Q2123" s="17"/>
      <c r="R2123" s="17"/>
      <c r="S2123" s="17"/>
      <c r="T2123" s="17"/>
    </row>
    <row r="2124">
      <c r="A2124" s="21">
        <v>927.0</v>
      </c>
      <c r="B2124" s="20" t="s">
        <v>13</v>
      </c>
      <c r="C2124" s="20" t="s">
        <v>14</v>
      </c>
      <c r="D2124" s="20" t="s">
        <v>15</v>
      </c>
      <c r="E2124" s="12" t="str">
        <f>IFERROR(__xludf.DUMMYFUNCTION("FILTER(colegios!$B$2:$B5618,colegios!$A$2:$A5618=L2124)"),"601331")</f>
        <v>601331</v>
      </c>
      <c r="F2124" s="14" t="s">
        <v>16</v>
      </c>
      <c r="G2124" s="20" t="s">
        <v>21</v>
      </c>
      <c r="H2124" s="14" t="s">
        <v>18</v>
      </c>
      <c r="I2124" s="22">
        <v>2023.0</v>
      </c>
      <c r="J2124" s="16" t="str">
        <f>IFERROR(__xludf.DUMMYFUNCTION("FILTER('CLASFICACIÓN'!$F$3:$F5618,'CLASFICACIÓN'!$G$3:$G5618=M2124)"),"LOS 3 AÑOS")</f>
        <v>LOS 3 AÑOS</v>
      </c>
      <c r="K2124" s="16"/>
      <c r="L2124" s="14" t="s">
        <v>136</v>
      </c>
      <c r="M2124" s="16" t="str">
        <f t="shared" si="1"/>
        <v>6013312 Primaria</v>
      </c>
      <c r="N2124" s="17"/>
      <c r="O2124" s="17"/>
      <c r="P2124" s="17"/>
      <c r="Q2124" s="17"/>
      <c r="R2124" s="17"/>
      <c r="S2124" s="17"/>
      <c r="T2124" s="17"/>
    </row>
    <row r="2125">
      <c r="A2125" s="21">
        <v>928.0</v>
      </c>
      <c r="B2125" s="20" t="s">
        <v>13</v>
      </c>
      <c r="C2125" s="20" t="s">
        <v>14</v>
      </c>
      <c r="D2125" s="20" t="s">
        <v>15</v>
      </c>
      <c r="E2125" s="12" t="str">
        <f>IFERROR(__xludf.DUMMYFUNCTION("FILTER(colegios!$B$2:$B5618,colegios!$A$2:$A5618=L2125)"),"601331")</f>
        <v>601331</v>
      </c>
      <c r="F2125" s="14" t="s">
        <v>16</v>
      </c>
      <c r="G2125" s="20" t="s">
        <v>17</v>
      </c>
      <c r="H2125" s="14" t="s">
        <v>24</v>
      </c>
      <c r="I2125" s="22">
        <v>2023.0</v>
      </c>
      <c r="J2125" s="16" t="str">
        <f>IFERROR(__xludf.DUMMYFUNCTION("FILTER('CLASFICACIÓN'!$F$3:$F5618,'CLASFICACIÓN'!$G$3:$G5618=M2125)"),"LOS 3 AÑOS")</f>
        <v>LOS 3 AÑOS</v>
      </c>
      <c r="K2125" s="16"/>
      <c r="L2125" s="14" t="s">
        <v>136</v>
      </c>
      <c r="M2125" s="16" t="str">
        <f t="shared" si="1"/>
        <v>6013312 Primaria</v>
      </c>
      <c r="N2125" s="17"/>
      <c r="O2125" s="17"/>
      <c r="P2125" s="17"/>
      <c r="Q2125" s="17"/>
      <c r="R2125" s="17"/>
      <c r="S2125" s="17"/>
      <c r="T2125" s="17"/>
    </row>
    <row r="2126">
      <c r="A2126" s="21">
        <v>929.0</v>
      </c>
      <c r="B2126" s="20" t="s">
        <v>13</v>
      </c>
      <c r="C2126" s="20" t="s">
        <v>14</v>
      </c>
      <c r="D2126" s="20" t="s">
        <v>15</v>
      </c>
      <c r="E2126" s="12" t="str">
        <f>IFERROR(__xludf.DUMMYFUNCTION("FILTER(colegios!$B$2:$B5618,colegios!$A$2:$A5618=L2126)"),"601331")</f>
        <v>601331</v>
      </c>
      <c r="F2126" s="14" t="s">
        <v>16</v>
      </c>
      <c r="G2126" s="20" t="s">
        <v>17</v>
      </c>
      <c r="H2126" s="14" t="s">
        <v>18</v>
      </c>
      <c r="I2126" s="22">
        <v>2023.0</v>
      </c>
      <c r="J2126" s="16" t="str">
        <f>IFERROR(__xludf.DUMMYFUNCTION("FILTER('CLASFICACIÓN'!$F$3:$F5618,'CLASFICACIÓN'!$G$3:$G5618=M2126)"),"LOS 3 AÑOS")</f>
        <v>LOS 3 AÑOS</v>
      </c>
      <c r="K2126" s="16"/>
      <c r="L2126" s="14" t="s">
        <v>136</v>
      </c>
      <c r="M2126" s="16" t="str">
        <f t="shared" si="1"/>
        <v>6013312 Primaria</v>
      </c>
      <c r="N2126" s="17"/>
      <c r="O2126" s="17"/>
      <c r="P2126" s="17"/>
      <c r="Q2126" s="17"/>
      <c r="R2126" s="17"/>
      <c r="S2126" s="17"/>
      <c r="T2126" s="17"/>
    </row>
    <row r="2127">
      <c r="A2127" s="21">
        <v>930.0</v>
      </c>
      <c r="B2127" s="20" t="s">
        <v>13</v>
      </c>
      <c r="C2127" s="20" t="s">
        <v>14</v>
      </c>
      <c r="D2127" s="20" t="s">
        <v>15</v>
      </c>
      <c r="E2127" s="12" t="str">
        <f>IFERROR(__xludf.DUMMYFUNCTION("FILTER(colegios!$B$2:$B5618,colegios!$A$2:$A5618=L2127)"),"601331")</f>
        <v>601331</v>
      </c>
      <c r="F2127" s="14" t="s">
        <v>16</v>
      </c>
      <c r="G2127" s="20" t="s">
        <v>17</v>
      </c>
      <c r="H2127" s="14" t="s">
        <v>18</v>
      </c>
      <c r="I2127" s="22">
        <v>2023.0</v>
      </c>
      <c r="J2127" s="16" t="str">
        <f>IFERROR(__xludf.DUMMYFUNCTION("FILTER('CLASFICACIÓN'!$F$3:$F5618,'CLASFICACIÓN'!$G$3:$G5618=M2127)"),"LOS 3 AÑOS")</f>
        <v>LOS 3 AÑOS</v>
      </c>
      <c r="K2127" s="16"/>
      <c r="L2127" s="14" t="s">
        <v>136</v>
      </c>
      <c r="M2127" s="16" t="str">
        <f t="shared" si="1"/>
        <v>6013312 Primaria</v>
      </c>
      <c r="N2127" s="17"/>
      <c r="O2127" s="17"/>
      <c r="P2127" s="17"/>
      <c r="Q2127" s="17"/>
      <c r="R2127" s="17"/>
      <c r="S2127" s="17"/>
      <c r="T2127" s="17"/>
    </row>
    <row r="2128">
      <c r="A2128" s="21">
        <v>931.0</v>
      </c>
      <c r="B2128" s="20" t="s">
        <v>13</v>
      </c>
      <c r="C2128" s="20" t="s">
        <v>14</v>
      </c>
      <c r="D2128" s="20" t="s">
        <v>15</v>
      </c>
      <c r="E2128" s="12" t="str">
        <f>IFERROR(__xludf.DUMMYFUNCTION("FILTER(colegios!$B$2:$B5618,colegios!$A$2:$A5618=L2128)"),"601331")</f>
        <v>601331</v>
      </c>
      <c r="F2128" s="14" t="s">
        <v>16</v>
      </c>
      <c r="G2128" s="20" t="s">
        <v>21</v>
      </c>
      <c r="H2128" s="14" t="s">
        <v>18</v>
      </c>
      <c r="I2128" s="22">
        <v>2023.0</v>
      </c>
      <c r="J2128" s="16" t="str">
        <f>IFERROR(__xludf.DUMMYFUNCTION("FILTER('CLASFICACIÓN'!$F$3:$F5618,'CLASFICACIÓN'!$G$3:$G5618=M2128)"),"LOS 3 AÑOS")</f>
        <v>LOS 3 AÑOS</v>
      </c>
      <c r="K2128" s="16"/>
      <c r="L2128" s="14" t="s">
        <v>136</v>
      </c>
      <c r="M2128" s="16" t="str">
        <f t="shared" si="1"/>
        <v>6013312 Primaria</v>
      </c>
      <c r="N2128" s="17"/>
      <c r="O2128" s="17"/>
      <c r="P2128" s="17"/>
      <c r="Q2128" s="17"/>
      <c r="R2128" s="17"/>
      <c r="S2128" s="17"/>
      <c r="T2128" s="17"/>
    </row>
    <row r="2129">
      <c r="A2129" s="21">
        <v>932.0</v>
      </c>
      <c r="B2129" s="20" t="s">
        <v>13</v>
      </c>
      <c r="C2129" s="20" t="s">
        <v>14</v>
      </c>
      <c r="D2129" s="20" t="s">
        <v>15</v>
      </c>
      <c r="E2129" s="12" t="str">
        <f>IFERROR(__xludf.DUMMYFUNCTION("FILTER(colegios!$B$2:$B5618,colegios!$A$2:$A5618=L2129)"),"601331")</f>
        <v>601331</v>
      </c>
      <c r="F2129" s="14" t="s">
        <v>16</v>
      </c>
      <c r="G2129" s="20" t="s">
        <v>21</v>
      </c>
      <c r="H2129" s="14" t="s">
        <v>18</v>
      </c>
      <c r="I2129" s="22">
        <v>2023.0</v>
      </c>
      <c r="J2129" s="16" t="str">
        <f>IFERROR(__xludf.DUMMYFUNCTION("FILTER('CLASFICACIÓN'!$F$3:$F5618,'CLASFICACIÓN'!$G$3:$G5618=M2129)"),"LOS 3 AÑOS")</f>
        <v>LOS 3 AÑOS</v>
      </c>
      <c r="K2129" s="16"/>
      <c r="L2129" s="14" t="s">
        <v>136</v>
      </c>
      <c r="M2129" s="16" t="str">
        <f t="shared" si="1"/>
        <v>6013312 Primaria</v>
      </c>
      <c r="N2129" s="17"/>
      <c r="O2129" s="17"/>
      <c r="P2129" s="17"/>
      <c r="Q2129" s="17"/>
      <c r="R2129" s="17"/>
      <c r="S2129" s="17"/>
      <c r="T2129" s="17"/>
    </row>
    <row r="2130">
      <c r="A2130" s="21">
        <v>933.0</v>
      </c>
      <c r="B2130" s="20" t="s">
        <v>13</v>
      </c>
      <c r="C2130" s="20" t="s">
        <v>14</v>
      </c>
      <c r="D2130" s="20" t="s">
        <v>15</v>
      </c>
      <c r="E2130" s="12" t="str">
        <f>IFERROR(__xludf.DUMMYFUNCTION("FILTER(colegios!$B$2:$B5618,colegios!$A$2:$A5618=L2130)"),"601331")</f>
        <v>601331</v>
      </c>
      <c r="F2130" s="14" t="s">
        <v>16</v>
      </c>
      <c r="G2130" s="20" t="s">
        <v>21</v>
      </c>
      <c r="H2130" s="14" t="s">
        <v>18</v>
      </c>
      <c r="I2130" s="22">
        <v>2023.0</v>
      </c>
      <c r="J2130" s="16" t="str">
        <f>IFERROR(__xludf.DUMMYFUNCTION("FILTER('CLASFICACIÓN'!$F$3:$F5618,'CLASFICACIÓN'!$G$3:$G5618=M2130)"),"LOS 3 AÑOS")</f>
        <v>LOS 3 AÑOS</v>
      </c>
      <c r="K2130" s="16"/>
      <c r="L2130" s="14" t="s">
        <v>136</v>
      </c>
      <c r="M2130" s="16" t="str">
        <f t="shared" si="1"/>
        <v>6013312 Primaria</v>
      </c>
      <c r="N2130" s="17"/>
      <c r="O2130" s="17"/>
      <c r="P2130" s="17"/>
      <c r="Q2130" s="17"/>
      <c r="R2130" s="17"/>
      <c r="S2130" s="17"/>
      <c r="T2130" s="17"/>
    </row>
    <row r="2131">
      <c r="A2131" s="21">
        <v>934.0</v>
      </c>
      <c r="B2131" s="20" t="s">
        <v>13</v>
      </c>
      <c r="C2131" s="20" t="s">
        <v>14</v>
      </c>
      <c r="D2131" s="20" t="s">
        <v>20</v>
      </c>
      <c r="E2131" s="12" t="str">
        <f>IFERROR(__xludf.DUMMYFUNCTION("FILTER(colegios!$B$2:$B5618,colegios!$A$2:$A5618=L2131)"),"601331")</f>
        <v>601331</v>
      </c>
      <c r="F2131" s="14" t="s">
        <v>16</v>
      </c>
      <c r="G2131" s="20" t="s">
        <v>17</v>
      </c>
      <c r="H2131" s="14" t="s">
        <v>18</v>
      </c>
      <c r="I2131" s="22">
        <v>2023.0</v>
      </c>
      <c r="J2131" s="16" t="str">
        <f>IFERROR(__xludf.DUMMYFUNCTION("FILTER('CLASFICACIÓN'!$F$3:$F5618,'CLASFICACIÓN'!$G$3:$G5618=M2131)"),"LOS 3 AÑOS")</f>
        <v>LOS 3 AÑOS</v>
      </c>
      <c r="K2131" s="16"/>
      <c r="L2131" s="14" t="s">
        <v>136</v>
      </c>
      <c r="M2131" s="16" t="str">
        <f t="shared" si="1"/>
        <v>6013314 Primaria</v>
      </c>
      <c r="N2131" s="17"/>
      <c r="O2131" s="17"/>
      <c r="P2131" s="17"/>
      <c r="Q2131" s="17"/>
      <c r="R2131" s="17"/>
      <c r="S2131" s="17"/>
      <c r="T2131" s="17"/>
    </row>
    <row r="2132">
      <c r="A2132" s="21">
        <v>935.0</v>
      </c>
      <c r="B2132" s="20" t="s">
        <v>13</v>
      </c>
      <c r="C2132" s="20" t="s">
        <v>14</v>
      </c>
      <c r="D2132" s="20" t="s">
        <v>20</v>
      </c>
      <c r="E2132" s="12" t="str">
        <f>IFERROR(__xludf.DUMMYFUNCTION("FILTER(colegios!$B$2:$B5618,colegios!$A$2:$A5618=L2132)"),"601331")</f>
        <v>601331</v>
      </c>
      <c r="F2132" s="14" t="s">
        <v>16</v>
      </c>
      <c r="G2132" s="20" t="s">
        <v>21</v>
      </c>
      <c r="H2132" s="14" t="s">
        <v>18</v>
      </c>
      <c r="I2132" s="22">
        <v>2023.0</v>
      </c>
      <c r="J2132" s="16" t="str">
        <f>IFERROR(__xludf.DUMMYFUNCTION("FILTER('CLASFICACIÓN'!$F$3:$F5618,'CLASFICACIÓN'!$G$3:$G5618=M2132)"),"LOS 3 AÑOS")</f>
        <v>LOS 3 AÑOS</v>
      </c>
      <c r="K2132" s="16"/>
      <c r="L2132" s="14" t="s">
        <v>136</v>
      </c>
      <c r="M2132" s="16" t="str">
        <f t="shared" si="1"/>
        <v>6013314 Primaria</v>
      </c>
      <c r="N2132" s="17"/>
      <c r="O2132" s="17"/>
      <c r="P2132" s="17"/>
      <c r="Q2132" s="17"/>
      <c r="R2132" s="17"/>
      <c r="S2132" s="17"/>
      <c r="T2132" s="17"/>
    </row>
    <row r="2133">
      <c r="A2133" s="21">
        <v>936.0</v>
      </c>
      <c r="B2133" s="20" t="s">
        <v>13</v>
      </c>
      <c r="C2133" s="20" t="s">
        <v>14</v>
      </c>
      <c r="D2133" s="20" t="s">
        <v>20</v>
      </c>
      <c r="E2133" s="12" t="str">
        <f>IFERROR(__xludf.DUMMYFUNCTION("FILTER(colegios!$B$2:$B5618,colegios!$A$2:$A5618=L2133)"),"601331")</f>
        <v>601331</v>
      </c>
      <c r="F2133" s="14" t="s">
        <v>16</v>
      </c>
      <c r="G2133" s="20" t="s">
        <v>17</v>
      </c>
      <c r="H2133" s="14" t="s">
        <v>18</v>
      </c>
      <c r="I2133" s="22">
        <v>2023.0</v>
      </c>
      <c r="J2133" s="16" t="str">
        <f>IFERROR(__xludf.DUMMYFUNCTION("FILTER('CLASFICACIÓN'!$F$3:$F5618,'CLASFICACIÓN'!$G$3:$G5618=M2133)"),"LOS 3 AÑOS")</f>
        <v>LOS 3 AÑOS</v>
      </c>
      <c r="K2133" s="16"/>
      <c r="L2133" s="14" t="s">
        <v>136</v>
      </c>
      <c r="M2133" s="16" t="str">
        <f t="shared" si="1"/>
        <v>6013314 Primaria</v>
      </c>
      <c r="N2133" s="17"/>
      <c r="O2133" s="17"/>
      <c r="P2133" s="17"/>
      <c r="Q2133" s="17"/>
      <c r="R2133" s="17"/>
      <c r="S2133" s="17"/>
      <c r="T2133" s="17"/>
    </row>
    <row r="2134">
      <c r="A2134" s="21">
        <v>937.0</v>
      </c>
      <c r="B2134" s="20" t="s">
        <v>13</v>
      </c>
      <c r="C2134" s="20" t="s">
        <v>14</v>
      </c>
      <c r="D2134" s="20" t="s">
        <v>20</v>
      </c>
      <c r="E2134" s="12" t="str">
        <f>IFERROR(__xludf.DUMMYFUNCTION("FILTER(colegios!$B$2:$B5618,colegios!$A$2:$A5618=L2134)"),"601331")</f>
        <v>601331</v>
      </c>
      <c r="F2134" s="14" t="s">
        <v>16</v>
      </c>
      <c r="G2134" s="20" t="s">
        <v>17</v>
      </c>
      <c r="H2134" s="14" t="s">
        <v>18</v>
      </c>
      <c r="I2134" s="22">
        <v>2023.0</v>
      </c>
      <c r="J2134" s="16" t="str">
        <f>IFERROR(__xludf.DUMMYFUNCTION("FILTER('CLASFICACIÓN'!$F$3:$F5618,'CLASFICACIÓN'!$G$3:$G5618=M2134)"),"LOS 3 AÑOS")</f>
        <v>LOS 3 AÑOS</v>
      </c>
      <c r="K2134" s="16"/>
      <c r="L2134" s="14" t="s">
        <v>136</v>
      </c>
      <c r="M2134" s="16" t="str">
        <f t="shared" si="1"/>
        <v>6013314 Primaria</v>
      </c>
      <c r="N2134" s="17"/>
      <c r="O2134" s="17"/>
      <c r="P2134" s="17"/>
      <c r="Q2134" s="17"/>
      <c r="R2134" s="17"/>
      <c r="S2134" s="17"/>
      <c r="T2134" s="17"/>
    </row>
    <row r="2135">
      <c r="A2135" s="21">
        <v>938.0</v>
      </c>
      <c r="B2135" s="20" t="s">
        <v>13</v>
      </c>
      <c r="C2135" s="20" t="s">
        <v>14</v>
      </c>
      <c r="D2135" s="20" t="s">
        <v>20</v>
      </c>
      <c r="E2135" s="12" t="str">
        <f>IFERROR(__xludf.DUMMYFUNCTION("FILTER(colegios!$B$2:$B5618,colegios!$A$2:$A5618=L2135)"),"601331")</f>
        <v>601331</v>
      </c>
      <c r="F2135" s="14" t="s">
        <v>16</v>
      </c>
      <c r="G2135" s="20" t="s">
        <v>17</v>
      </c>
      <c r="H2135" s="14" t="s">
        <v>18</v>
      </c>
      <c r="I2135" s="22">
        <v>2023.0</v>
      </c>
      <c r="J2135" s="16" t="str">
        <f>IFERROR(__xludf.DUMMYFUNCTION("FILTER('CLASFICACIÓN'!$F$3:$F5618,'CLASFICACIÓN'!$G$3:$G5618=M2135)"),"LOS 3 AÑOS")</f>
        <v>LOS 3 AÑOS</v>
      </c>
      <c r="K2135" s="16"/>
      <c r="L2135" s="14" t="s">
        <v>136</v>
      </c>
      <c r="M2135" s="16" t="str">
        <f t="shared" si="1"/>
        <v>6013314 Primaria</v>
      </c>
      <c r="N2135" s="17"/>
      <c r="O2135" s="17"/>
      <c r="P2135" s="17"/>
      <c r="Q2135" s="17"/>
      <c r="R2135" s="17"/>
      <c r="S2135" s="17"/>
      <c r="T2135" s="17"/>
    </row>
    <row r="2136">
      <c r="A2136" s="21">
        <v>939.0</v>
      </c>
      <c r="B2136" s="20" t="s">
        <v>13</v>
      </c>
      <c r="C2136" s="20" t="s">
        <v>14</v>
      </c>
      <c r="D2136" s="20" t="s">
        <v>20</v>
      </c>
      <c r="E2136" s="12" t="str">
        <f>IFERROR(__xludf.DUMMYFUNCTION("FILTER(colegios!$B$2:$B5618,colegios!$A$2:$A5618=L2136)"),"601331")</f>
        <v>601331</v>
      </c>
      <c r="F2136" s="14" t="s">
        <v>16</v>
      </c>
      <c r="G2136" s="20" t="s">
        <v>21</v>
      </c>
      <c r="H2136" s="14" t="s">
        <v>24</v>
      </c>
      <c r="I2136" s="22">
        <v>2023.0</v>
      </c>
      <c r="J2136" s="16" t="str">
        <f>IFERROR(__xludf.DUMMYFUNCTION("FILTER('CLASFICACIÓN'!$F$3:$F5618,'CLASFICACIÓN'!$G$3:$G5618=M2136)"),"LOS 3 AÑOS")</f>
        <v>LOS 3 AÑOS</v>
      </c>
      <c r="K2136" s="16"/>
      <c r="L2136" s="14" t="s">
        <v>136</v>
      </c>
      <c r="M2136" s="16" t="str">
        <f t="shared" si="1"/>
        <v>6013314 Primaria</v>
      </c>
      <c r="N2136" s="17"/>
      <c r="O2136" s="17"/>
      <c r="P2136" s="17"/>
      <c r="Q2136" s="17"/>
      <c r="R2136" s="17"/>
      <c r="S2136" s="17"/>
      <c r="T2136" s="17"/>
    </row>
    <row r="2137">
      <c r="A2137" s="21">
        <v>940.0</v>
      </c>
      <c r="B2137" s="20" t="s">
        <v>13</v>
      </c>
      <c r="C2137" s="20" t="s">
        <v>14</v>
      </c>
      <c r="D2137" s="20" t="s">
        <v>20</v>
      </c>
      <c r="E2137" s="12" t="str">
        <f>IFERROR(__xludf.DUMMYFUNCTION("FILTER(colegios!$B$2:$B5618,colegios!$A$2:$A5618=L2137)"),"601331")</f>
        <v>601331</v>
      </c>
      <c r="F2137" s="14" t="s">
        <v>16</v>
      </c>
      <c r="G2137" s="20" t="s">
        <v>21</v>
      </c>
      <c r="H2137" s="14" t="s">
        <v>18</v>
      </c>
      <c r="I2137" s="22">
        <v>2023.0</v>
      </c>
      <c r="J2137" s="16" t="str">
        <f>IFERROR(__xludf.DUMMYFUNCTION("FILTER('CLASFICACIÓN'!$F$3:$F5618,'CLASFICACIÓN'!$G$3:$G5618=M2137)"),"LOS 3 AÑOS")</f>
        <v>LOS 3 AÑOS</v>
      </c>
      <c r="K2137" s="16"/>
      <c r="L2137" s="14" t="s">
        <v>136</v>
      </c>
      <c r="M2137" s="16" t="str">
        <f t="shared" si="1"/>
        <v>6013314 Primaria</v>
      </c>
      <c r="N2137" s="17"/>
      <c r="O2137" s="17"/>
      <c r="P2137" s="17"/>
      <c r="Q2137" s="17"/>
      <c r="R2137" s="17"/>
      <c r="S2137" s="17"/>
      <c r="T2137" s="17"/>
    </row>
    <row r="2138">
      <c r="A2138" s="21">
        <v>941.0</v>
      </c>
      <c r="B2138" s="20" t="s">
        <v>13</v>
      </c>
      <c r="C2138" s="20" t="s">
        <v>14</v>
      </c>
      <c r="D2138" s="20" t="s">
        <v>20</v>
      </c>
      <c r="E2138" s="12" t="str">
        <f>IFERROR(__xludf.DUMMYFUNCTION("FILTER(colegios!$B$2:$B5618,colegios!$A$2:$A5618=L2138)"),"601331")</f>
        <v>601331</v>
      </c>
      <c r="F2138" s="14" t="s">
        <v>16</v>
      </c>
      <c r="G2138" s="20" t="s">
        <v>17</v>
      </c>
      <c r="H2138" s="14" t="s">
        <v>18</v>
      </c>
      <c r="I2138" s="22">
        <v>2023.0</v>
      </c>
      <c r="J2138" s="16" t="str">
        <f>IFERROR(__xludf.DUMMYFUNCTION("FILTER('CLASFICACIÓN'!$F$3:$F5618,'CLASFICACIÓN'!$G$3:$G5618=M2138)"),"LOS 3 AÑOS")</f>
        <v>LOS 3 AÑOS</v>
      </c>
      <c r="K2138" s="16"/>
      <c r="L2138" s="14" t="s">
        <v>136</v>
      </c>
      <c r="M2138" s="16" t="str">
        <f t="shared" si="1"/>
        <v>6013314 Primaria</v>
      </c>
      <c r="N2138" s="17"/>
      <c r="O2138" s="17"/>
      <c r="P2138" s="17"/>
      <c r="Q2138" s="17"/>
      <c r="R2138" s="17"/>
      <c r="S2138" s="17"/>
      <c r="T2138" s="17"/>
    </row>
    <row r="2139">
      <c r="A2139" s="21">
        <v>942.0</v>
      </c>
      <c r="B2139" s="20" t="s">
        <v>13</v>
      </c>
      <c r="C2139" s="20" t="s">
        <v>14</v>
      </c>
      <c r="D2139" s="20" t="s">
        <v>20</v>
      </c>
      <c r="E2139" s="12" t="str">
        <f>IFERROR(__xludf.DUMMYFUNCTION("FILTER(colegios!$B$2:$B5618,colegios!$A$2:$A5618=L2139)"),"601331")</f>
        <v>601331</v>
      </c>
      <c r="F2139" s="14" t="s">
        <v>16</v>
      </c>
      <c r="G2139" s="20" t="s">
        <v>21</v>
      </c>
      <c r="H2139" s="14" t="s">
        <v>18</v>
      </c>
      <c r="I2139" s="22">
        <v>2023.0</v>
      </c>
      <c r="J2139" s="16" t="str">
        <f>IFERROR(__xludf.DUMMYFUNCTION("FILTER('CLASFICACIÓN'!$F$3:$F5618,'CLASFICACIÓN'!$G$3:$G5618=M2139)"),"LOS 3 AÑOS")</f>
        <v>LOS 3 AÑOS</v>
      </c>
      <c r="K2139" s="16"/>
      <c r="L2139" s="14" t="s">
        <v>136</v>
      </c>
      <c r="M2139" s="16" t="str">
        <f t="shared" si="1"/>
        <v>6013314 Primaria</v>
      </c>
      <c r="N2139" s="17"/>
      <c r="O2139" s="17"/>
      <c r="P2139" s="17"/>
      <c r="Q2139" s="17"/>
      <c r="R2139" s="17"/>
      <c r="S2139" s="17"/>
      <c r="T2139" s="17"/>
    </row>
    <row r="2140">
      <c r="A2140" s="21">
        <v>943.0</v>
      </c>
      <c r="B2140" s="20" t="s">
        <v>13</v>
      </c>
      <c r="C2140" s="20" t="s">
        <v>14</v>
      </c>
      <c r="D2140" s="20" t="s">
        <v>20</v>
      </c>
      <c r="E2140" s="12" t="str">
        <f>IFERROR(__xludf.DUMMYFUNCTION("FILTER(colegios!$B$2:$B5618,colegios!$A$2:$A5618=L2140)"),"601331")</f>
        <v>601331</v>
      </c>
      <c r="F2140" s="14" t="s">
        <v>16</v>
      </c>
      <c r="G2140" s="20" t="s">
        <v>21</v>
      </c>
      <c r="H2140" s="14" t="s">
        <v>24</v>
      </c>
      <c r="I2140" s="22">
        <v>2023.0</v>
      </c>
      <c r="J2140" s="16" t="str">
        <f>IFERROR(__xludf.DUMMYFUNCTION("FILTER('CLASFICACIÓN'!$F$3:$F5618,'CLASFICACIÓN'!$G$3:$G5618=M2140)"),"LOS 3 AÑOS")</f>
        <v>LOS 3 AÑOS</v>
      </c>
      <c r="K2140" s="16"/>
      <c r="L2140" s="14" t="s">
        <v>136</v>
      </c>
      <c r="M2140" s="16" t="str">
        <f t="shared" si="1"/>
        <v>6013314 Primaria</v>
      </c>
      <c r="N2140" s="17"/>
      <c r="O2140" s="17"/>
      <c r="P2140" s="17"/>
      <c r="Q2140" s="17"/>
      <c r="R2140" s="17"/>
      <c r="S2140" s="17"/>
      <c r="T2140" s="17"/>
    </row>
    <row r="2141">
      <c r="A2141" s="21">
        <v>944.0</v>
      </c>
      <c r="B2141" s="20" t="s">
        <v>13</v>
      </c>
      <c r="C2141" s="20" t="s">
        <v>14</v>
      </c>
      <c r="D2141" s="20" t="s">
        <v>20</v>
      </c>
      <c r="E2141" s="12" t="str">
        <f>IFERROR(__xludf.DUMMYFUNCTION("FILTER(colegios!$B$2:$B5618,colegios!$A$2:$A5618=L2141)"),"601331")</f>
        <v>601331</v>
      </c>
      <c r="F2141" s="14" t="s">
        <v>16</v>
      </c>
      <c r="G2141" s="20" t="s">
        <v>21</v>
      </c>
      <c r="H2141" s="14" t="s">
        <v>24</v>
      </c>
      <c r="I2141" s="22">
        <v>2023.0</v>
      </c>
      <c r="J2141" s="16" t="str">
        <f>IFERROR(__xludf.DUMMYFUNCTION("FILTER('CLASFICACIÓN'!$F$3:$F5618,'CLASFICACIÓN'!$G$3:$G5618=M2141)"),"LOS 3 AÑOS")</f>
        <v>LOS 3 AÑOS</v>
      </c>
      <c r="K2141" s="16"/>
      <c r="L2141" s="14" t="s">
        <v>136</v>
      </c>
      <c r="M2141" s="16" t="str">
        <f t="shared" si="1"/>
        <v>6013314 Primaria</v>
      </c>
      <c r="N2141" s="17"/>
      <c r="O2141" s="17"/>
      <c r="P2141" s="17"/>
      <c r="Q2141" s="17"/>
      <c r="R2141" s="17"/>
      <c r="S2141" s="17"/>
      <c r="T2141" s="17"/>
    </row>
    <row r="2142">
      <c r="A2142" s="21">
        <v>945.0</v>
      </c>
      <c r="B2142" s="20" t="s">
        <v>13</v>
      </c>
      <c r="C2142" s="20" t="s">
        <v>14</v>
      </c>
      <c r="D2142" s="20" t="s">
        <v>20</v>
      </c>
      <c r="E2142" s="12" t="str">
        <f>IFERROR(__xludf.DUMMYFUNCTION("FILTER(colegios!$B$2:$B5618,colegios!$A$2:$A5618=L2142)"),"601331")</f>
        <v>601331</v>
      </c>
      <c r="F2142" s="14" t="s">
        <v>16</v>
      </c>
      <c r="G2142" s="20" t="s">
        <v>17</v>
      </c>
      <c r="H2142" s="14" t="s">
        <v>24</v>
      </c>
      <c r="I2142" s="22">
        <v>2023.0</v>
      </c>
      <c r="J2142" s="16" t="str">
        <f>IFERROR(__xludf.DUMMYFUNCTION("FILTER('CLASFICACIÓN'!$F$3:$F5618,'CLASFICACIÓN'!$G$3:$G5618=M2142)"),"LOS 3 AÑOS")</f>
        <v>LOS 3 AÑOS</v>
      </c>
      <c r="K2142" s="16"/>
      <c r="L2142" s="14" t="s">
        <v>136</v>
      </c>
      <c r="M2142" s="16" t="str">
        <f t="shared" si="1"/>
        <v>6013314 Primaria</v>
      </c>
      <c r="N2142" s="17"/>
      <c r="O2142" s="17"/>
      <c r="P2142" s="17"/>
      <c r="Q2142" s="17"/>
      <c r="R2142" s="17"/>
      <c r="S2142" s="17"/>
      <c r="T2142" s="17"/>
    </row>
    <row r="2143">
      <c r="A2143" s="21">
        <v>946.0</v>
      </c>
      <c r="B2143" s="20" t="s">
        <v>13</v>
      </c>
      <c r="C2143" s="20" t="s">
        <v>14</v>
      </c>
      <c r="D2143" s="20" t="s">
        <v>20</v>
      </c>
      <c r="E2143" s="12" t="str">
        <f>IFERROR(__xludf.DUMMYFUNCTION("FILTER(colegios!$B$2:$B5618,colegios!$A$2:$A5618=L2143)"),"601331")</f>
        <v>601331</v>
      </c>
      <c r="F2143" s="14" t="s">
        <v>16</v>
      </c>
      <c r="G2143" s="20" t="s">
        <v>17</v>
      </c>
      <c r="H2143" s="14" t="s">
        <v>18</v>
      </c>
      <c r="I2143" s="22">
        <v>2023.0</v>
      </c>
      <c r="J2143" s="16" t="str">
        <f>IFERROR(__xludf.DUMMYFUNCTION("FILTER('CLASFICACIÓN'!$F$3:$F5618,'CLASFICACIÓN'!$G$3:$G5618=M2143)"),"LOS 3 AÑOS")</f>
        <v>LOS 3 AÑOS</v>
      </c>
      <c r="K2143" s="16"/>
      <c r="L2143" s="14" t="s">
        <v>136</v>
      </c>
      <c r="M2143" s="16" t="str">
        <f t="shared" si="1"/>
        <v>6013314 Primaria</v>
      </c>
      <c r="N2143" s="17"/>
      <c r="O2143" s="17"/>
      <c r="P2143" s="17"/>
      <c r="Q2143" s="17"/>
      <c r="R2143" s="17"/>
      <c r="S2143" s="17"/>
      <c r="T2143" s="17"/>
    </row>
    <row r="2144">
      <c r="A2144" s="21">
        <v>947.0</v>
      </c>
      <c r="B2144" s="20" t="s">
        <v>13</v>
      </c>
      <c r="C2144" s="20" t="s">
        <v>14</v>
      </c>
      <c r="D2144" s="20" t="s">
        <v>22</v>
      </c>
      <c r="E2144" s="12" t="str">
        <f>IFERROR(__xludf.DUMMYFUNCTION("FILTER(colegios!$B$2:$B5618,colegios!$A$2:$A5618=L2144)"),"601331")</f>
        <v>601331</v>
      </c>
      <c r="F2144" s="14" t="s">
        <v>16</v>
      </c>
      <c r="G2144" s="20" t="s">
        <v>21</v>
      </c>
      <c r="H2144" s="14" t="s">
        <v>18</v>
      </c>
      <c r="I2144" s="22">
        <v>2023.0</v>
      </c>
      <c r="J2144" s="16" t="str">
        <f>IFERROR(__xludf.DUMMYFUNCTION("FILTER('CLASFICACIÓN'!$F$3:$F5618,'CLASFICACIÓN'!$G$3:$G5618=M2144)"),"LOS 3 AÑOS")</f>
        <v>LOS 3 AÑOS</v>
      </c>
      <c r="K2144" s="16"/>
      <c r="L2144" s="14" t="s">
        <v>136</v>
      </c>
      <c r="M2144" s="16" t="str">
        <f t="shared" si="1"/>
        <v>6013316 Primaria</v>
      </c>
      <c r="N2144" s="17"/>
      <c r="O2144" s="17"/>
      <c r="P2144" s="17"/>
      <c r="Q2144" s="17"/>
      <c r="R2144" s="17"/>
      <c r="S2144" s="17"/>
      <c r="T2144" s="17"/>
    </row>
    <row r="2145">
      <c r="A2145" s="21">
        <v>948.0</v>
      </c>
      <c r="B2145" s="20" t="s">
        <v>13</v>
      </c>
      <c r="C2145" s="20" t="s">
        <v>14</v>
      </c>
      <c r="D2145" s="20" t="s">
        <v>22</v>
      </c>
      <c r="E2145" s="12" t="str">
        <f>IFERROR(__xludf.DUMMYFUNCTION("FILTER(colegios!$B$2:$B5618,colegios!$A$2:$A5618=L2145)"),"601331")</f>
        <v>601331</v>
      </c>
      <c r="F2145" s="14" t="s">
        <v>16</v>
      </c>
      <c r="G2145" s="20" t="s">
        <v>17</v>
      </c>
      <c r="H2145" s="14" t="s">
        <v>18</v>
      </c>
      <c r="I2145" s="22">
        <v>2023.0</v>
      </c>
      <c r="J2145" s="16" t="str">
        <f>IFERROR(__xludf.DUMMYFUNCTION("FILTER('CLASFICACIÓN'!$F$3:$F5618,'CLASFICACIÓN'!$G$3:$G5618=M2145)"),"LOS 3 AÑOS")</f>
        <v>LOS 3 AÑOS</v>
      </c>
      <c r="K2145" s="16"/>
      <c r="L2145" s="14" t="s">
        <v>136</v>
      </c>
      <c r="M2145" s="16" t="str">
        <f t="shared" si="1"/>
        <v>6013316 Primaria</v>
      </c>
      <c r="N2145" s="17"/>
      <c r="O2145" s="17"/>
      <c r="P2145" s="17"/>
      <c r="Q2145" s="17"/>
      <c r="R2145" s="17"/>
      <c r="S2145" s="17"/>
      <c r="T2145" s="17"/>
    </row>
    <row r="2146">
      <c r="A2146" s="21">
        <v>949.0</v>
      </c>
      <c r="B2146" s="20" t="s">
        <v>13</v>
      </c>
      <c r="C2146" s="20" t="s">
        <v>14</v>
      </c>
      <c r="D2146" s="20" t="s">
        <v>22</v>
      </c>
      <c r="E2146" s="12" t="str">
        <f>IFERROR(__xludf.DUMMYFUNCTION("FILTER(colegios!$B$2:$B5618,colegios!$A$2:$A5618=L2146)"),"601331")</f>
        <v>601331</v>
      </c>
      <c r="F2146" s="14" t="s">
        <v>16</v>
      </c>
      <c r="G2146" s="20" t="s">
        <v>17</v>
      </c>
      <c r="H2146" s="14" t="s">
        <v>18</v>
      </c>
      <c r="I2146" s="22">
        <v>2023.0</v>
      </c>
      <c r="J2146" s="16" t="str">
        <f>IFERROR(__xludf.DUMMYFUNCTION("FILTER('CLASFICACIÓN'!$F$3:$F5618,'CLASFICACIÓN'!$G$3:$G5618=M2146)"),"LOS 3 AÑOS")</f>
        <v>LOS 3 AÑOS</v>
      </c>
      <c r="K2146" s="16"/>
      <c r="L2146" s="14" t="s">
        <v>136</v>
      </c>
      <c r="M2146" s="16" t="str">
        <f t="shared" si="1"/>
        <v>6013316 Primaria</v>
      </c>
      <c r="N2146" s="17"/>
      <c r="O2146" s="17"/>
      <c r="P2146" s="17"/>
      <c r="Q2146" s="17"/>
      <c r="R2146" s="17"/>
      <c r="S2146" s="17"/>
      <c r="T2146" s="17"/>
    </row>
    <row r="2147">
      <c r="A2147" s="21">
        <v>950.0</v>
      </c>
      <c r="B2147" s="20" t="s">
        <v>13</v>
      </c>
      <c r="C2147" s="20" t="s">
        <v>14</v>
      </c>
      <c r="D2147" s="20" t="s">
        <v>22</v>
      </c>
      <c r="E2147" s="12" t="str">
        <f>IFERROR(__xludf.DUMMYFUNCTION("FILTER(colegios!$B$2:$B5618,colegios!$A$2:$A5618=L2147)"),"601331")</f>
        <v>601331</v>
      </c>
      <c r="F2147" s="14" t="s">
        <v>16</v>
      </c>
      <c r="G2147" s="20" t="s">
        <v>17</v>
      </c>
      <c r="H2147" s="14" t="s">
        <v>24</v>
      </c>
      <c r="I2147" s="22">
        <v>2023.0</v>
      </c>
      <c r="J2147" s="16" t="str">
        <f>IFERROR(__xludf.DUMMYFUNCTION("FILTER('CLASFICACIÓN'!$F$3:$F5618,'CLASFICACIÓN'!$G$3:$G5618=M2147)"),"LOS 3 AÑOS")</f>
        <v>LOS 3 AÑOS</v>
      </c>
      <c r="K2147" s="16"/>
      <c r="L2147" s="14" t="s">
        <v>136</v>
      </c>
      <c r="M2147" s="16" t="str">
        <f t="shared" si="1"/>
        <v>6013316 Primaria</v>
      </c>
      <c r="N2147" s="17"/>
      <c r="O2147" s="17"/>
      <c r="P2147" s="17"/>
      <c r="Q2147" s="17"/>
      <c r="R2147" s="17"/>
      <c r="S2147" s="17"/>
      <c r="T2147" s="17"/>
    </row>
    <row r="2148">
      <c r="A2148" s="21">
        <v>951.0</v>
      </c>
      <c r="B2148" s="20" t="s">
        <v>13</v>
      </c>
      <c r="C2148" s="20" t="s">
        <v>14</v>
      </c>
      <c r="D2148" s="20" t="s">
        <v>22</v>
      </c>
      <c r="E2148" s="12" t="str">
        <f>IFERROR(__xludf.DUMMYFUNCTION("FILTER(colegios!$B$2:$B5618,colegios!$A$2:$A5618=L2148)"),"601331")</f>
        <v>601331</v>
      </c>
      <c r="F2148" s="14" t="s">
        <v>16</v>
      </c>
      <c r="G2148" s="20" t="s">
        <v>21</v>
      </c>
      <c r="H2148" s="14" t="s">
        <v>18</v>
      </c>
      <c r="I2148" s="22">
        <v>2023.0</v>
      </c>
      <c r="J2148" s="16" t="str">
        <f>IFERROR(__xludf.DUMMYFUNCTION("FILTER('CLASFICACIÓN'!$F$3:$F5618,'CLASFICACIÓN'!$G$3:$G5618=M2148)"),"LOS 3 AÑOS")</f>
        <v>LOS 3 AÑOS</v>
      </c>
      <c r="K2148" s="16"/>
      <c r="L2148" s="14" t="s">
        <v>136</v>
      </c>
      <c r="M2148" s="16" t="str">
        <f t="shared" si="1"/>
        <v>6013316 Primaria</v>
      </c>
      <c r="N2148" s="17"/>
      <c r="O2148" s="17"/>
      <c r="P2148" s="17"/>
      <c r="Q2148" s="17"/>
      <c r="R2148" s="17"/>
      <c r="S2148" s="17"/>
      <c r="T2148" s="17"/>
    </row>
    <row r="2149">
      <c r="A2149" s="21">
        <v>952.0</v>
      </c>
      <c r="B2149" s="20" t="s">
        <v>13</v>
      </c>
      <c r="C2149" s="20" t="s">
        <v>14</v>
      </c>
      <c r="D2149" s="20" t="s">
        <v>22</v>
      </c>
      <c r="E2149" s="12" t="str">
        <f>IFERROR(__xludf.DUMMYFUNCTION("FILTER(colegios!$B$2:$B5618,colegios!$A$2:$A5618=L2149)"),"601331")</f>
        <v>601331</v>
      </c>
      <c r="F2149" s="14" t="s">
        <v>16</v>
      </c>
      <c r="G2149" s="20" t="s">
        <v>17</v>
      </c>
      <c r="H2149" s="14" t="s">
        <v>18</v>
      </c>
      <c r="I2149" s="22">
        <v>2023.0</v>
      </c>
      <c r="J2149" s="16" t="str">
        <f>IFERROR(__xludf.DUMMYFUNCTION("FILTER('CLASFICACIÓN'!$F$3:$F5618,'CLASFICACIÓN'!$G$3:$G5618=M2149)"),"LOS 3 AÑOS")</f>
        <v>LOS 3 AÑOS</v>
      </c>
      <c r="K2149" s="16"/>
      <c r="L2149" s="14" t="s">
        <v>136</v>
      </c>
      <c r="M2149" s="16" t="str">
        <f t="shared" si="1"/>
        <v>6013316 Primaria</v>
      </c>
      <c r="N2149" s="17"/>
      <c r="O2149" s="17"/>
      <c r="P2149" s="17"/>
      <c r="Q2149" s="17"/>
      <c r="R2149" s="17"/>
      <c r="S2149" s="17"/>
      <c r="T2149" s="17"/>
    </row>
    <row r="2150">
      <c r="A2150" s="21">
        <v>953.0</v>
      </c>
      <c r="B2150" s="20" t="s">
        <v>13</v>
      </c>
      <c r="C2150" s="20" t="s">
        <v>14</v>
      </c>
      <c r="D2150" s="20" t="s">
        <v>22</v>
      </c>
      <c r="E2150" s="12" t="str">
        <f>IFERROR(__xludf.DUMMYFUNCTION("FILTER(colegios!$B$2:$B5618,colegios!$A$2:$A5618=L2150)"),"601331")</f>
        <v>601331</v>
      </c>
      <c r="F2150" s="14" t="s">
        <v>16</v>
      </c>
      <c r="G2150" s="20" t="s">
        <v>17</v>
      </c>
      <c r="H2150" s="14" t="s">
        <v>18</v>
      </c>
      <c r="I2150" s="22">
        <v>2023.0</v>
      </c>
      <c r="J2150" s="16" t="str">
        <f>IFERROR(__xludf.DUMMYFUNCTION("FILTER('CLASFICACIÓN'!$F$3:$F5618,'CLASFICACIÓN'!$G$3:$G5618=M2150)"),"LOS 3 AÑOS")</f>
        <v>LOS 3 AÑOS</v>
      </c>
      <c r="K2150" s="16"/>
      <c r="L2150" s="14" t="s">
        <v>136</v>
      </c>
      <c r="M2150" s="16" t="str">
        <f t="shared" si="1"/>
        <v>6013316 Primaria</v>
      </c>
      <c r="N2150" s="17"/>
      <c r="O2150" s="17"/>
      <c r="P2150" s="17"/>
      <c r="Q2150" s="17"/>
      <c r="R2150" s="17"/>
      <c r="S2150" s="17"/>
      <c r="T2150" s="17"/>
    </row>
    <row r="2151">
      <c r="A2151" s="21">
        <v>954.0</v>
      </c>
      <c r="B2151" s="20" t="s">
        <v>13</v>
      </c>
      <c r="C2151" s="20" t="s">
        <v>14</v>
      </c>
      <c r="D2151" s="20" t="s">
        <v>22</v>
      </c>
      <c r="E2151" s="12" t="str">
        <f>IFERROR(__xludf.DUMMYFUNCTION("FILTER(colegios!$B$2:$B5618,colegios!$A$2:$A5618=L2151)"),"601331")</f>
        <v>601331</v>
      </c>
      <c r="F2151" s="14" t="s">
        <v>16</v>
      </c>
      <c r="G2151" s="20" t="s">
        <v>17</v>
      </c>
      <c r="H2151" s="14" t="s">
        <v>18</v>
      </c>
      <c r="I2151" s="22">
        <v>2023.0</v>
      </c>
      <c r="J2151" s="16" t="str">
        <f>IFERROR(__xludf.DUMMYFUNCTION("FILTER('CLASFICACIÓN'!$F$3:$F5618,'CLASFICACIÓN'!$G$3:$G5618=M2151)"),"LOS 3 AÑOS")</f>
        <v>LOS 3 AÑOS</v>
      </c>
      <c r="K2151" s="16"/>
      <c r="L2151" s="14" t="s">
        <v>136</v>
      </c>
      <c r="M2151" s="16" t="str">
        <f t="shared" si="1"/>
        <v>6013316 Primaria</v>
      </c>
      <c r="N2151" s="17"/>
      <c r="O2151" s="17"/>
      <c r="P2151" s="17"/>
      <c r="Q2151" s="17"/>
      <c r="R2151" s="17"/>
      <c r="S2151" s="17"/>
      <c r="T2151" s="17"/>
    </row>
    <row r="2152">
      <c r="A2152" s="21">
        <v>955.0</v>
      </c>
      <c r="B2152" s="20" t="s">
        <v>13</v>
      </c>
      <c r="C2152" s="20" t="s">
        <v>14</v>
      </c>
      <c r="D2152" s="20" t="s">
        <v>22</v>
      </c>
      <c r="E2152" s="12" t="str">
        <f>IFERROR(__xludf.DUMMYFUNCTION("FILTER(colegios!$B$2:$B5618,colegios!$A$2:$A5618=L2152)"),"601331")</f>
        <v>601331</v>
      </c>
      <c r="F2152" s="14" t="s">
        <v>16</v>
      </c>
      <c r="G2152" s="20" t="s">
        <v>17</v>
      </c>
      <c r="H2152" s="14" t="s">
        <v>18</v>
      </c>
      <c r="I2152" s="22">
        <v>2023.0</v>
      </c>
      <c r="J2152" s="16" t="str">
        <f>IFERROR(__xludf.DUMMYFUNCTION("FILTER('CLASFICACIÓN'!$F$3:$F5618,'CLASFICACIÓN'!$G$3:$G5618=M2152)"),"LOS 3 AÑOS")</f>
        <v>LOS 3 AÑOS</v>
      </c>
      <c r="K2152" s="16"/>
      <c r="L2152" s="14" t="s">
        <v>136</v>
      </c>
      <c r="M2152" s="16" t="str">
        <f t="shared" si="1"/>
        <v>6013316 Primaria</v>
      </c>
      <c r="N2152" s="17"/>
      <c r="O2152" s="17"/>
      <c r="P2152" s="17"/>
      <c r="Q2152" s="17"/>
      <c r="R2152" s="17"/>
      <c r="S2152" s="17"/>
      <c r="T2152" s="17"/>
    </row>
    <row r="2153">
      <c r="A2153" s="21">
        <v>956.0</v>
      </c>
      <c r="B2153" s="20" t="s">
        <v>13</v>
      </c>
      <c r="C2153" s="20" t="s">
        <v>14</v>
      </c>
      <c r="D2153" s="20" t="s">
        <v>22</v>
      </c>
      <c r="E2153" s="12" t="str">
        <f>IFERROR(__xludf.DUMMYFUNCTION("FILTER(colegios!$B$2:$B5618,colegios!$A$2:$A5618=L2153)"),"601331")</f>
        <v>601331</v>
      </c>
      <c r="F2153" s="14" t="s">
        <v>16</v>
      </c>
      <c r="G2153" s="20" t="s">
        <v>17</v>
      </c>
      <c r="H2153" s="14" t="s">
        <v>18</v>
      </c>
      <c r="I2153" s="22">
        <v>2023.0</v>
      </c>
      <c r="J2153" s="16" t="str">
        <f>IFERROR(__xludf.DUMMYFUNCTION("FILTER('CLASFICACIÓN'!$F$3:$F5618,'CLASFICACIÓN'!$G$3:$G5618=M2153)"),"LOS 3 AÑOS")</f>
        <v>LOS 3 AÑOS</v>
      </c>
      <c r="K2153" s="16"/>
      <c r="L2153" s="14" t="s">
        <v>136</v>
      </c>
      <c r="M2153" s="16" t="str">
        <f t="shared" si="1"/>
        <v>6013316 Primaria</v>
      </c>
      <c r="N2153" s="17"/>
      <c r="O2153" s="17"/>
      <c r="P2153" s="17"/>
      <c r="Q2153" s="17"/>
      <c r="R2153" s="17"/>
      <c r="S2153" s="17"/>
      <c r="T2153" s="17"/>
    </row>
    <row r="2154">
      <c r="A2154" s="21">
        <v>957.0</v>
      </c>
      <c r="B2154" s="20" t="s">
        <v>13</v>
      </c>
      <c r="C2154" s="20" t="s">
        <v>14</v>
      </c>
      <c r="D2154" s="20" t="s">
        <v>22</v>
      </c>
      <c r="E2154" s="12" t="str">
        <f>IFERROR(__xludf.DUMMYFUNCTION("FILTER(colegios!$B$2:$B5618,colegios!$A$2:$A5618=L2154)"),"601331")</f>
        <v>601331</v>
      </c>
      <c r="F2154" s="14" t="s">
        <v>16</v>
      </c>
      <c r="G2154" s="20" t="s">
        <v>21</v>
      </c>
      <c r="H2154" s="14" t="s">
        <v>18</v>
      </c>
      <c r="I2154" s="22">
        <v>2023.0</v>
      </c>
      <c r="J2154" s="16" t="str">
        <f>IFERROR(__xludf.DUMMYFUNCTION("FILTER('CLASFICACIÓN'!$F$3:$F5618,'CLASFICACIÓN'!$G$3:$G5618=M2154)"),"LOS 3 AÑOS")</f>
        <v>LOS 3 AÑOS</v>
      </c>
      <c r="K2154" s="16"/>
      <c r="L2154" s="14" t="s">
        <v>136</v>
      </c>
      <c r="M2154" s="16" t="str">
        <f t="shared" si="1"/>
        <v>6013316 Primaria</v>
      </c>
      <c r="N2154" s="17"/>
      <c r="O2154" s="17"/>
      <c r="P2154" s="17"/>
      <c r="Q2154" s="17"/>
      <c r="R2154" s="17"/>
      <c r="S2154" s="17"/>
      <c r="T2154" s="17"/>
    </row>
    <row r="2155">
      <c r="A2155" s="21">
        <v>958.0</v>
      </c>
      <c r="B2155" s="20" t="s">
        <v>13</v>
      </c>
      <c r="C2155" s="20" t="s">
        <v>14</v>
      </c>
      <c r="D2155" s="20" t="s">
        <v>22</v>
      </c>
      <c r="E2155" s="12" t="str">
        <f>IFERROR(__xludf.DUMMYFUNCTION("FILTER(colegios!$B$2:$B5618,colegios!$A$2:$A5618=L2155)"),"601331")</f>
        <v>601331</v>
      </c>
      <c r="F2155" s="14" t="s">
        <v>16</v>
      </c>
      <c r="G2155" s="20" t="s">
        <v>21</v>
      </c>
      <c r="H2155" s="14" t="s">
        <v>18</v>
      </c>
      <c r="I2155" s="22">
        <v>2023.0</v>
      </c>
      <c r="J2155" s="16" t="str">
        <f>IFERROR(__xludf.DUMMYFUNCTION("FILTER('CLASFICACIÓN'!$F$3:$F5618,'CLASFICACIÓN'!$G$3:$G5618=M2155)"),"LOS 3 AÑOS")</f>
        <v>LOS 3 AÑOS</v>
      </c>
      <c r="K2155" s="16"/>
      <c r="L2155" s="14" t="s">
        <v>136</v>
      </c>
      <c r="M2155" s="16" t="str">
        <f t="shared" si="1"/>
        <v>6013316 Primaria</v>
      </c>
      <c r="N2155" s="17"/>
      <c r="O2155" s="17"/>
      <c r="P2155" s="17"/>
      <c r="Q2155" s="17"/>
      <c r="R2155" s="17"/>
      <c r="S2155" s="17"/>
      <c r="T2155" s="17"/>
    </row>
    <row r="2156">
      <c r="A2156" s="21">
        <v>959.0</v>
      </c>
      <c r="B2156" s="20" t="s">
        <v>13</v>
      </c>
      <c r="C2156" s="20" t="s">
        <v>14</v>
      </c>
      <c r="D2156" s="20" t="s">
        <v>22</v>
      </c>
      <c r="E2156" s="12" t="str">
        <f>IFERROR(__xludf.DUMMYFUNCTION("FILTER(colegios!$B$2:$B5618,colegios!$A$2:$A5618=L2156)"),"601331")</f>
        <v>601331</v>
      </c>
      <c r="F2156" s="14" t="s">
        <v>16</v>
      </c>
      <c r="G2156" s="20" t="s">
        <v>21</v>
      </c>
      <c r="H2156" s="14" t="s">
        <v>18</v>
      </c>
      <c r="I2156" s="22">
        <v>2023.0</v>
      </c>
      <c r="J2156" s="16" t="str">
        <f>IFERROR(__xludf.DUMMYFUNCTION("FILTER('CLASFICACIÓN'!$F$3:$F5618,'CLASFICACIÓN'!$G$3:$G5618=M2156)"),"LOS 3 AÑOS")</f>
        <v>LOS 3 AÑOS</v>
      </c>
      <c r="K2156" s="16"/>
      <c r="L2156" s="14" t="s">
        <v>136</v>
      </c>
      <c r="M2156" s="16" t="str">
        <f t="shared" si="1"/>
        <v>6013316 Primaria</v>
      </c>
      <c r="N2156" s="17"/>
      <c r="O2156" s="17"/>
      <c r="P2156" s="17"/>
      <c r="Q2156" s="17"/>
      <c r="R2156" s="17"/>
      <c r="S2156" s="17"/>
      <c r="T2156" s="17"/>
    </row>
    <row r="2157">
      <c r="A2157" s="21">
        <v>960.0</v>
      </c>
      <c r="B2157" s="20" t="s">
        <v>13</v>
      </c>
      <c r="C2157" s="20" t="s">
        <v>14</v>
      </c>
      <c r="D2157" s="20" t="s">
        <v>22</v>
      </c>
      <c r="E2157" s="12" t="str">
        <f>IFERROR(__xludf.DUMMYFUNCTION("FILTER(colegios!$B$2:$B5618,colegios!$A$2:$A5618=L2157)"),"601331")</f>
        <v>601331</v>
      </c>
      <c r="F2157" s="14" t="s">
        <v>16</v>
      </c>
      <c r="G2157" s="20" t="s">
        <v>21</v>
      </c>
      <c r="H2157" s="14" t="s">
        <v>18</v>
      </c>
      <c r="I2157" s="22">
        <v>2023.0</v>
      </c>
      <c r="J2157" s="16" t="str">
        <f>IFERROR(__xludf.DUMMYFUNCTION("FILTER('CLASFICACIÓN'!$F$3:$F5618,'CLASFICACIÓN'!$G$3:$G5618=M2157)"),"LOS 3 AÑOS")</f>
        <v>LOS 3 AÑOS</v>
      </c>
      <c r="K2157" s="16"/>
      <c r="L2157" s="14" t="s">
        <v>136</v>
      </c>
      <c r="M2157" s="16" t="str">
        <f t="shared" si="1"/>
        <v>6013316 Primaria</v>
      </c>
      <c r="N2157" s="17"/>
      <c r="O2157" s="17"/>
      <c r="P2157" s="17"/>
      <c r="Q2157" s="17"/>
      <c r="R2157" s="17"/>
      <c r="S2157" s="17"/>
      <c r="T2157" s="17"/>
    </row>
    <row r="2158">
      <c r="A2158" s="21">
        <v>961.0</v>
      </c>
      <c r="B2158" s="20" t="s">
        <v>13</v>
      </c>
      <c r="C2158" s="20" t="s">
        <v>14</v>
      </c>
      <c r="D2158" s="20" t="s">
        <v>22</v>
      </c>
      <c r="E2158" s="12" t="str">
        <f>IFERROR(__xludf.DUMMYFUNCTION("FILTER(colegios!$B$2:$B5618,colegios!$A$2:$A5618=L2158)"),"601331")</f>
        <v>601331</v>
      </c>
      <c r="F2158" s="14" t="s">
        <v>16</v>
      </c>
      <c r="G2158" s="20" t="s">
        <v>21</v>
      </c>
      <c r="H2158" s="14" t="s">
        <v>18</v>
      </c>
      <c r="I2158" s="22">
        <v>2023.0</v>
      </c>
      <c r="J2158" s="16" t="str">
        <f>IFERROR(__xludf.DUMMYFUNCTION("FILTER('CLASFICACIÓN'!$F$3:$F5618,'CLASFICACIÓN'!$G$3:$G5618=M2158)"),"LOS 3 AÑOS")</f>
        <v>LOS 3 AÑOS</v>
      </c>
      <c r="K2158" s="16"/>
      <c r="L2158" s="14" t="s">
        <v>136</v>
      </c>
      <c r="M2158" s="16" t="str">
        <f t="shared" si="1"/>
        <v>6013316 Primaria</v>
      </c>
      <c r="N2158" s="17"/>
      <c r="O2158" s="17"/>
      <c r="P2158" s="17"/>
      <c r="Q2158" s="17"/>
      <c r="R2158" s="17"/>
      <c r="S2158" s="17"/>
      <c r="T2158" s="17"/>
    </row>
    <row r="2159">
      <c r="A2159" s="21">
        <v>962.0</v>
      </c>
      <c r="B2159" s="20" t="s">
        <v>13</v>
      </c>
      <c r="C2159" s="20" t="s">
        <v>14</v>
      </c>
      <c r="D2159" s="20" t="s">
        <v>22</v>
      </c>
      <c r="E2159" s="12" t="str">
        <f>IFERROR(__xludf.DUMMYFUNCTION("FILTER(colegios!$B$2:$B5618,colegios!$A$2:$A5618=L2159)"),"601331")</f>
        <v>601331</v>
      </c>
      <c r="F2159" s="14" t="s">
        <v>16</v>
      </c>
      <c r="G2159" s="20" t="s">
        <v>21</v>
      </c>
      <c r="H2159" s="14" t="s">
        <v>18</v>
      </c>
      <c r="I2159" s="22">
        <v>2023.0</v>
      </c>
      <c r="J2159" s="16" t="str">
        <f>IFERROR(__xludf.DUMMYFUNCTION("FILTER('CLASFICACIÓN'!$F$3:$F5618,'CLASFICACIÓN'!$G$3:$G5618=M2159)"),"LOS 3 AÑOS")</f>
        <v>LOS 3 AÑOS</v>
      </c>
      <c r="K2159" s="16"/>
      <c r="L2159" s="14" t="s">
        <v>136</v>
      </c>
      <c r="M2159" s="16" t="str">
        <f t="shared" si="1"/>
        <v>6013316 Primaria</v>
      </c>
      <c r="N2159" s="17"/>
      <c r="O2159" s="17"/>
      <c r="P2159" s="17"/>
      <c r="Q2159" s="17"/>
      <c r="R2159" s="17"/>
      <c r="S2159" s="17"/>
      <c r="T2159" s="17"/>
    </row>
    <row r="2160">
      <c r="A2160" s="21">
        <v>963.0</v>
      </c>
      <c r="B2160" s="20" t="s">
        <v>13</v>
      </c>
      <c r="C2160" s="20" t="s">
        <v>14</v>
      </c>
      <c r="D2160" s="20" t="s">
        <v>22</v>
      </c>
      <c r="E2160" s="12" t="str">
        <f>IFERROR(__xludf.DUMMYFUNCTION("FILTER(colegios!$B$2:$B5618,colegios!$A$2:$A5618=L2160)"),"601331")</f>
        <v>601331</v>
      </c>
      <c r="F2160" s="14" t="s">
        <v>16</v>
      </c>
      <c r="G2160" s="20" t="s">
        <v>21</v>
      </c>
      <c r="H2160" s="14" t="s">
        <v>18</v>
      </c>
      <c r="I2160" s="22">
        <v>2023.0</v>
      </c>
      <c r="J2160" s="16" t="str">
        <f>IFERROR(__xludf.DUMMYFUNCTION("FILTER('CLASFICACIÓN'!$F$3:$F5618,'CLASFICACIÓN'!$G$3:$G5618=M2160)"),"LOS 3 AÑOS")</f>
        <v>LOS 3 AÑOS</v>
      </c>
      <c r="K2160" s="16"/>
      <c r="L2160" s="14" t="s">
        <v>136</v>
      </c>
      <c r="M2160" s="16" t="str">
        <f t="shared" si="1"/>
        <v>6013316 Primaria</v>
      </c>
      <c r="N2160" s="17"/>
      <c r="O2160" s="17"/>
      <c r="P2160" s="17"/>
      <c r="Q2160" s="17"/>
      <c r="R2160" s="17"/>
      <c r="S2160" s="17"/>
      <c r="T2160" s="17"/>
    </row>
    <row r="2161">
      <c r="A2161" s="21">
        <v>964.0</v>
      </c>
      <c r="B2161" s="20" t="s">
        <v>13</v>
      </c>
      <c r="C2161" s="20" t="s">
        <v>14</v>
      </c>
      <c r="D2161" s="20" t="s">
        <v>22</v>
      </c>
      <c r="E2161" s="12" t="str">
        <f>IFERROR(__xludf.DUMMYFUNCTION("FILTER(colegios!$B$2:$B5618,colegios!$A$2:$A5618=L2161)"),"601331")</f>
        <v>601331</v>
      </c>
      <c r="F2161" s="14" t="s">
        <v>16</v>
      </c>
      <c r="G2161" s="20" t="s">
        <v>21</v>
      </c>
      <c r="H2161" s="14" t="s">
        <v>18</v>
      </c>
      <c r="I2161" s="22">
        <v>2023.0</v>
      </c>
      <c r="J2161" s="16" t="str">
        <f>IFERROR(__xludf.DUMMYFUNCTION("FILTER('CLASFICACIÓN'!$F$3:$F5618,'CLASFICACIÓN'!$G$3:$G5618=M2161)"),"LOS 3 AÑOS")</f>
        <v>LOS 3 AÑOS</v>
      </c>
      <c r="K2161" s="16"/>
      <c r="L2161" s="14" t="s">
        <v>136</v>
      </c>
      <c r="M2161" s="16" t="str">
        <f t="shared" si="1"/>
        <v>6013316 Primaria</v>
      </c>
      <c r="N2161" s="17"/>
      <c r="O2161" s="17"/>
      <c r="P2161" s="17"/>
      <c r="Q2161" s="17"/>
      <c r="R2161" s="17"/>
      <c r="S2161" s="17"/>
      <c r="T2161" s="17"/>
    </row>
    <row r="2162">
      <c r="A2162" s="21">
        <v>965.0</v>
      </c>
      <c r="B2162" s="20" t="s">
        <v>13</v>
      </c>
      <c r="C2162" s="20" t="s">
        <v>27</v>
      </c>
      <c r="D2162" s="20" t="s">
        <v>28</v>
      </c>
      <c r="E2162" s="12" t="str">
        <f>IFERROR(__xludf.DUMMYFUNCTION("FILTER(colegios!$B$2:$B5618,colegios!$A$2:$A5618=L2162)"),"601331")</f>
        <v>601331</v>
      </c>
      <c r="F2162" s="14" t="s">
        <v>16</v>
      </c>
      <c r="G2162" s="20" t="s">
        <v>17</v>
      </c>
      <c r="H2162" s="14" t="s">
        <v>18</v>
      </c>
      <c r="I2162" s="22">
        <v>2023.0</v>
      </c>
      <c r="J2162" s="16" t="str">
        <f>IFERROR(__xludf.DUMMYFUNCTION("FILTER('CLASFICACIÓN'!$F$3:$F5618,'CLASFICACIÓN'!$G$3:$G5618=M2162)"),"LOS 3 AÑOS")</f>
        <v>LOS 3 AÑOS</v>
      </c>
      <c r="K2162" s="16"/>
      <c r="L2162" s="14" t="s">
        <v>136</v>
      </c>
      <c r="M2162" s="16" t="str">
        <f t="shared" si="1"/>
        <v>6013312 Secundaria</v>
      </c>
      <c r="N2162" s="17"/>
      <c r="O2162" s="17"/>
      <c r="P2162" s="17"/>
      <c r="Q2162" s="17"/>
      <c r="R2162" s="17"/>
      <c r="S2162" s="17"/>
      <c r="T2162" s="17"/>
    </row>
    <row r="2163">
      <c r="A2163" s="21">
        <v>966.0</v>
      </c>
      <c r="B2163" s="20" t="s">
        <v>13</v>
      </c>
      <c r="C2163" s="20" t="s">
        <v>27</v>
      </c>
      <c r="D2163" s="20" t="s">
        <v>28</v>
      </c>
      <c r="E2163" s="12" t="str">
        <f>IFERROR(__xludf.DUMMYFUNCTION("FILTER(colegios!$B$2:$B5618,colegios!$A$2:$A5618=L2163)"),"601331")</f>
        <v>601331</v>
      </c>
      <c r="F2163" s="14" t="s">
        <v>16</v>
      </c>
      <c r="G2163" s="20" t="s">
        <v>21</v>
      </c>
      <c r="H2163" s="14" t="s">
        <v>18</v>
      </c>
      <c r="I2163" s="22">
        <v>2023.0</v>
      </c>
      <c r="J2163" s="16" t="str">
        <f>IFERROR(__xludf.DUMMYFUNCTION("FILTER('CLASFICACIÓN'!$F$3:$F5618,'CLASFICACIÓN'!$G$3:$G5618=M2163)"),"LOS 3 AÑOS")</f>
        <v>LOS 3 AÑOS</v>
      </c>
      <c r="K2163" s="16"/>
      <c r="L2163" s="14" t="s">
        <v>136</v>
      </c>
      <c r="M2163" s="16" t="str">
        <f t="shared" si="1"/>
        <v>6013312 Secundaria</v>
      </c>
      <c r="N2163" s="17"/>
      <c r="O2163" s="17"/>
      <c r="P2163" s="17"/>
      <c r="Q2163" s="17"/>
      <c r="R2163" s="17"/>
      <c r="S2163" s="17"/>
      <c r="T2163" s="17"/>
    </row>
    <row r="2164">
      <c r="A2164" s="21">
        <v>967.0</v>
      </c>
      <c r="B2164" s="20" t="s">
        <v>13</v>
      </c>
      <c r="C2164" s="20" t="s">
        <v>27</v>
      </c>
      <c r="D2164" s="20" t="s">
        <v>28</v>
      </c>
      <c r="E2164" s="12" t="str">
        <f>IFERROR(__xludf.DUMMYFUNCTION("FILTER(colegios!$B$2:$B5618,colegios!$A$2:$A5618=L2164)"),"601331")</f>
        <v>601331</v>
      </c>
      <c r="F2164" s="14" t="s">
        <v>16</v>
      </c>
      <c r="G2164" s="20" t="s">
        <v>21</v>
      </c>
      <c r="H2164" s="14" t="s">
        <v>18</v>
      </c>
      <c r="I2164" s="22">
        <v>2023.0</v>
      </c>
      <c r="J2164" s="16" t="str">
        <f>IFERROR(__xludf.DUMMYFUNCTION("FILTER('CLASFICACIÓN'!$F$3:$F5618,'CLASFICACIÓN'!$G$3:$G5618=M2164)"),"LOS 3 AÑOS")</f>
        <v>LOS 3 AÑOS</v>
      </c>
      <c r="K2164" s="16"/>
      <c r="L2164" s="14" t="s">
        <v>136</v>
      </c>
      <c r="M2164" s="16" t="str">
        <f t="shared" si="1"/>
        <v>6013312 Secundaria</v>
      </c>
      <c r="N2164" s="17"/>
      <c r="O2164" s="17"/>
      <c r="P2164" s="17"/>
      <c r="Q2164" s="17"/>
      <c r="R2164" s="17"/>
      <c r="S2164" s="17"/>
      <c r="T2164" s="17"/>
    </row>
    <row r="2165">
      <c r="A2165" s="21">
        <v>968.0</v>
      </c>
      <c r="B2165" s="20" t="s">
        <v>13</v>
      </c>
      <c r="C2165" s="20" t="s">
        <v>27</v>
      </c>
      <c r="D2165" s="20" t="s">
        <v>28</v>
      </c>
      <c r="E2165" s="12" t="str">
        <f>IFERROR(__xludf.DUMMYFUNCTION("FILTER(colegios!$B$2:$B5618,colegios!$A$2:$A5618=L2165)"),"601331")</f>
        <v>601331</v>
      </c>
      <c r="F2165" s="14" t="s">
        <v>16</v>
      </c>
      <c r="G2165" s="20" t="s">
        <v>21</v>
      </c>
      <c r="H2165" s="14" t="s">
        <v>18</v>
      </c>
      <c r="I2165" s="22">
        <v>2023.0</v>
      </c>
      <c r="J2165" s="16" t="str">
        <f>IFERROR(__xludf.DUMMYFUNCTION("FILTER('CLASFICACIÓN'!$F$3:$F5618,'CLASFICACIÓN'!$G$3:$G5618=M2165)"),"LOS 3 AÑOS")</f>
        <v>LOS 3 AÑOS</v>
      </c>
      <c r="K2165" s="16"/>
      <c r="L2165" s="14" t="s">
        <v>136</v>
      </c>
      <c r="M2165" s="16" t="str">
        <f t="shared" si="1"/>
        <v>6013312 Secundaria</v>
      </c>
      <c r="N2165" s="17"/>
      <c r="O2165" s="17"/>
      <c r="P2165" s="17"/>
      <c r="Q2165" s="17"/>
      <c r="R2165" s="17"/>
      <c r="S2165" s="17"/>
      <c r="T2165" s="17"/>
    </row>
    <row r="2166">
      <c r="A2166" s="21">
        <v>969.0</v>
      </c>
      <c r="B2166" s="20" t="s">
        <v>13</v>
      </c>
      <c r="C2166" s="20" t="s">
        <v>27</v>
      </c>
      <c r="D2166" s="20" t="s">
        <v>28</v>
      </c>
      <c r="E2166" s="12" t="str">
        <f>IFERROR(__xludf.DUMMYFUNCTION("FILTER(colegios!$B$2:$B5618,colegios!$A$2:$A5618=L2166)"),"601331")</f>
        <v>601331</v>
      </c>
      <c r="F2166" s="14" t="s">
        <v>16</v>
      </c>
      <c r="G2166" s="20" t="s">
        <v>17</v>
      </c>
      <c r="H2166" s="14" t="s">
        <v>18</v>
      </c>
      <c r="I2166" s="22">
        <v>2023.0</v>
      </c>
      <c r="J2166" s="16" t="str">
        <f>IFERROR(__xludf.DUMMYFUNCTION("FILTER('CLASFICACIÓN'!$F$3:$F5618,'CLASFICACIÓN'!$G$3:$G5618=M2166)"),"LOS 3 AÑOS")</f>
        <v>LOS 3 AÑOS</v>
      </c>
      <c r="K2166" s="16"/>
      <c r="L2166" s="14" t="s">
        <v>136</v>
      </c>
      <c r="M2166" s="16" t="str">
        <f t="shared" si="1"/>
        <v>6013312 Secundaria</v>
      </c>
      <c r="N2166" s="17"/>
      <c r="O2166" s="17"/>
      <c r="P2166" s="17"/>
      <c r="Q2166" s="17"/>
      <c r="R2166" s="17"/>
      <c r="S2166" s="17"/>
      <c r="T2166" s="17"/>
    </row>
    <row r="2167">
      <c r="A2167" s="21">
        <v>970.0</v>
      </c>
      <c r="B2167" s="20" t="s">
        <v>13</v>
      </c>
      <c r="C2167" s="20" t="s">
        <v>27</v>
      </c>
      <c r="D2167" s="20" t="s">
        <v>28</v>
      </c>
      <c r="E2167" s="12" t="str">
        <f>IFERROR(__xludf.DUMMYFUNCTION("FILTER(colegios!$B$2:$B5618,colegios!$A$2:$A5618=L2167)"),"601331")</f>
        <v>601331</v>
      </c>
      <c r="F2167" s="14" t="s">
        <v>16</v>
      </c>
      <c r="G2167" s="20" t="s">
        <v>21</v>
      </c>
      <c r="H2167" s="14" t="s">
        <v>18</v>
      </c>
      <c r="I2167" s="22">
        <v>2023.0</v>
      </c>
      <c r="J2167" s="16" t="str">
        <f>IFERROR(__xludf.DUMMYFUNCTION("FILTER('CLASFICACIÓN'!$F$3:$F5618,'CLASFICACIÓN'!$G$3:$G5618=M2167)"),"LOS 3 AÑOS")</f>
        <v>LOS 3 AÑOS</v>
      </c>
      <c r="K2167" s="16"/>
      <c r="L2167" s="14" t="s">
        <v>136</v>
      </c>
      <c r="M2167" s="16" t="str">
        <f t="shared" si="1"/>
        <v>6013312 Secundaria</v>
      </c>
      <c r="N2167" s="17"/>
      <c r="O2167" s="17"/>
      <c r="P2167" s="17"/>
      <c r="Q2167" s="17"/>
      <c r="R2167" s="17"/>
      <c r="S2167" s="17"/>
      <c r="T2167" s="17"/>
    </row>
    <row r="2168">
      <c r="A2168" s="21">
        <v>971.0</v>
      </c>
      <c r="B2168" s="20" t="s">
        <v>13</v>
      </c>
      <c r="C2168" s="20" t="s">
        <v>27</v>
      </c>
      <c r="D2168" s="20" t="s">
        <v>28</v>
      </c>
      <c r="E2168" s="12" t="str">
        <f>IFERROR(__xludf.DUMMYFUNCTION("FILTER(colegios!$B$2:$B5618,colegios!$A$2:$A5618=L2168)"),"601331")</f>
        <v>601331</v>
      </c>
      <c r="F2168" s="14" t="s">
        <v>16</v>
      </c>
      <c r="G2168" s="20" t="s">
        <v>17</v>
      </c>
      <c r="H2168" s="14" t="s">
        <v>18</v>
      </c>
      <c r="I2168" s="22">
        <v>2023.0</v>
      </c>
      <c r="J2168" s="16" t="str">
        <f>IFERROR(__xludf.DUMMYFUNCTION("FILTER('CLASFICACIÓN'!$F$3:$F5618,'CLASFICACIÓN'!$G$3:$G5618=M2168)"),"LOS 3 AÑOS")</f>
        <v>LOS 3 AÑOS</v>
      </c>
      <c r="K2168" s="16"/>
      <c r="L2168" s="14" t="s">
        <v>136</v>
      </c>
      <c r="M2168" s="16" t="str">
        <f t="shared" si="1"/>
        <v>6013312 Secundaria</v>
      </c>
      <c r="N2168" s="17"/>
      <c r="O2168" s="17"/>
      <c r="P2168" s="17"/>
      <c r="Q2168" s="17"/>
      <c r="R2168" s="17"/>
      <c r="S2168" s="17"/>
      <c r="T2168" s="17"/>
    </row>
    <row r="2169">
      <c r="A2169" s="21">
        <v>972.0</v>
      </c>
      <c r="B2169" s="20" t="s">
        <v>13</v>
      </c>
      <c r="C2169" s="20" t="s">
        <v>27</v>
      </c>
      <c r="D2169" s="20" t="s">
        <v>28</v>
      </c>
      <c r="E2169" s="12" t="str">
        <f>IFERROR(__xludf.DUMMYFUNCTION("FILTER(colegios!$B$2:$B5618,colegios!$A$2:$A5618=L2169)"),"601331")</f>
        <v>601331</v>
      </c>
      <c r="F2169" s="14" t="s">
        <v>16</v>
      </c>
      <c r="G2169" s="20" t="s">
        <v>17</v>
      </c>
      <c r="H2169" s="14" t="s">
        <v>18</v>
      </c>
      <c r="I2169" s="22">
        <v>2023.0</v>
      </c>
      <c r="J2169" s="16" t="str">
        <f>IFERROR(__xludf.DUMMYFUNCTION("FILTER('CLASFICACIÓN'!$F$3:$F5618,'CLASFICACIÓN'!$G$3:$G5618=M2169)"),"LOS 3 AÑOS")</f>
        <v>LOS 3 AÑOS</v>
      </c>
      <c r="K2169" s="16"/>
      <c r="L2169" s="14" t="s">
        <v>136</v>
      </c>
      <c r="M2169" s="16" t="str">
        <f t="shared" si="1"/>
        <v>6013312 Secundaria</v>
      </c>
      <c r="N2169" s="17"/>
      <c r="O2169" s="17"/>
      <c r="P2169" s="17"/>
      <c r="Q2169" s="17"/>
      <c r="R2169" s="17"/>
      <c r="S2169" s="17"/>
      <c r="T2169" s="17"/>
    </row>
    <row r="2170">
      <c r="A2170" s="21">
        <v>973.0</v>
      </c>
      <c r="B2170" s="20" t="s">
        <v>13</v>
      </c>
      <c r="C2170" s="20" t="s">
        <v>27</v>
      </c>
      <c r="D2170" s="20" t="s">
        <v>28</v>
      </c>
      <c r="E2170" s="12" t="str">
        <f>IFERROR(__xludf.DUMMYFUNCTION("FILTER(colegios!$B$2:$B5618,colegios!$A$2:$A5618=L2170)"),"601331")</f>
        <v>601331</v>
      </c>
      <c r="F2170" s="14" t="s">
        <v>16</v>
      </c>
      <c r="G2170" s="20" t="s">
        <v>17</v>
      </c>
      <c r="H2170" s="14" t="s">
        <v>18</v>
      </c>
      <c r="I2170" s="22">
        <v>2023.0</v>
      </c>
      <c r="J2170" s="16" t="str">
        <f>IFERROR(__xludf.DUMMYFUNCTION("FILTER('CLASFICACIÓN'!$F$3:$F5618,'CLASFICACIÓN'!$G$3:$G5618=M2170)"),"LOS 3 AÑOS")</f>
        <v>LOS 3 AÑOS</v>
      </c>
      <c r="K2170" s="16"/>
      <c r="L2170" s="14" t="s">
        <v>136</v>
      </c>
      <c r="M2170" s="16" t="str">
        <f t="shared" si="1"/>
        <v>6013312 Secundaria</v>
      </c>
      <c r="N2170" s="17"/>
      <c r="O2170" s="17"/>
      <c r="P2170" s="17"/>
      <c r="Q2170" s="17"/>
      <c r="R2170" s="17"/>
      <c r="S2170" s="17"/>
      <c r="T2170" s="17"/>
    </row>
    <row r="2171">
      <c r="A2171" s="21">
        <v>974.0</v>
      </c>
      <c r="B2171" s="20" t="s">
        <v>13</v>
      </c>
      <c r="C2171" s="20" t="s">
        <v>27</v>
      </c>
      <c r="D2171" s="20" t="s">
        <v>28</v>
      </c>
      <c r="E2171" s="12" t="str">
        <f>IFERROR(__xludf.DUMMYFUNCTION("FILTER(colegios!$B$2:$B5618,colegios!$A$2:$A5618=L2171)"),"601331")</f>
        <v>601331</v>
      </c>
      <c r="F2171" s="14" t="s">
        <v>16</v>
      </c>
      <c r="G2171" s="20" t="s">
        <v>17</v>
      </c>
      <c r="H2171" s="14" t="s">
        <v>18</v>
      </c>
      <c r="I2171" s="22">
        <v>2023.0</v>
      </c>
      <c r="J2171" s="16" t="str">
        <f>IFERROR(__xludf.DUMMYFUNCTION("FILTER('CLASFICACIÓN'!$F$3:$F5618,'CLASFICACIÓN'!$G$3:$G5618=M2171)"),"LOS 3 AÑOS")</f>
        <v>LOS 3 AÑOS</v>
      </c>
      <c r="K2171" s="16"/>
      <c r="L2171" s="14" t="s">
        <v>136</v>
      </c>
      <c r="M2171" s="16" t="str">
        <f t="shared" si="1"/>
        <v>6013312 Secundaria</v>
      </c>
      <c r="N2171" s="17"/>
      <c r="O2171" s="17"/>
      <c r="P2171" s="17"/>
      <c r="Q2171" s="17"/>
      <c r="R2171" s="17"/>
      <c r="S2171" s="17"/>
      <c r="T2171" s="17"/>
    </row>
    <row r="2172">
      <c r="A2172" s="21">
        <v>975.0</v>
      </c>
      <c r="B2172" s="20" t="s">
        <v>13</v>
      </c>
      <c r="C2172" s="20" t="s">
        <v>27</v>
      </c>
      <c r="D2172" s="20" t="s">
        <v>28</v>
      </c>
      <c r="E2172" s="12" t="str">
        <f>IFERROR(__xludf.DUMMYFUNCTION("FILTER(colegios!$B$2:$B5618,colegios!$A$2:$A5618=L2172)"),"601331")</f>
        <v>601331</v>
      </c>
      <c r="F2172" s="14" t="s">
        <v>16</v>
      </c>
      <c r="G2172" s="20" t="s">
        <v>21</v>
      </c>
      <c r="H2172" s="14" t="s">
        <v>18</v>
      </c>
      <c r="I2172" s="22">
        <v>2023.0</v>
      </c>
      <c r="J2172" s="16" t="str">
        <f>IFERROR(__xludf.DUMMYFUNCTION("FILTER('CLASFICACIÓN'!$F$3:$F5618,'CLASFICACIÓN'!$G$3:$G5618=M2172)"),"LOS 3 AÑOS")</f>
        <v>LOS 3 AÑOS</v>
      </c>
      <c r="K2172" s="16"/>
      <c r="L2172" s="14" t="s">
        <v>136</v>
      </c>
      <c r="M2172" s="16" t="str">
        <f t="shared" si="1"/>
        <v>6013312 Secundaria</v>
      </c>
      <c r="N2172" s="17"/>
      <c r="O2172" s="17"/>
      <c r="P2172" s="17"/>
      <c r="Q2172" s="17"/>
      <c r="R2172" s="17"/>
      <c r="S2172" s="17"/>
      <c r="T2172" s="17"/>
    </row>
    <row r="2173">
      <c r="A2173" s="21">
        <v>976.0</v>
      </c>
      <c r="B2173" s="20" t="s">
        <v>13</v>
      </c>
      <c r="C2173" s="20" t="s">
        <v>27</v>
      </c>
      <c r="D2173" s="20" t="s">
        <v>28</v>
      </c>
      <c r="E2173" s="12" t="str">
        <f>IFERROR(__xludf.DUMMYFUNCTION("FILTER(colegios!$B$2:$B5618,colegios!$A$2:$A5618=L2173)"),"601331")</f>
        <v>601331</v>
      </c>
      <c r="F2173" s="14" t="s">
        <v>16</v>
      </c>
      <c r="G2173" s="20" t="s">
        <v>17</v>
      </c>
      <c r="H2173" s="14" t="s">
        <v>18</v>
      </c>
      <c r="I2173" s="22">
        <v>2023.0</v>
      </c>
      <c r="J2173" s="16" t="str">
        <f>IFERROR(__xludf.DUMMYFUNCTION("FILTER('CLASFICACIÓN'!$F$3:$F5618,'CLASFICACIÓN'!$G$3:$G5618=M2173)"),"LOS 3 AÑOS")</f>
        <v>LOS 3 AÑOS</v>
      </c>
      <c r="K2173" s="16"/>
      <c r="L2173" s="14" t="s">
        <v>136</v>
      </c>
      <c r="M2173" s="16" t="str">
        <f t="shared" si="1"/>
        <v>6013312 Secundaria</v>
      </c>
      <c r="N2173" s="17"/>
      <c r="O2173" s="17"/>
      <c r="P2173" s="17"/>
      <c r="Q2173" s="17"/>
      <c r="R2173" s="17"/>
      <c r="S2173" s="17"/>
      <c r="T2173" s="17"/>
    </row>
    <row r="2174">
      <c r="A2174" s="21">
        <v>977.0</v>
      </c>
      <c r="B2174" s="20" t="s">
        <v>13</v>
      </c>
      <c r="C2174" s="20" t="s">
        <v>27</v>
      </c>
      <c r="D2174" s="20" t="s">
        <v>28</v>
      </c>
      <c r="E2174" s="12" t="str">
        <f>IFERROR(__xludf.DUMMYFUNCTION("FILTER(colegios!$B$2:$B5618,colegios!$A$2:$A5618=L2174)"),"601331")</f>
        <v>601331</v>
      </c>
      <c r="F2174" s="14" t="s">
        <v>16</v>
      </c>
      <c r="G2174" s="20" t="s">
        <v>21</v>
      </c>
      <c r="H2174" s="14" t="s">
        <v>18</v>
      </c>
      <c r="I2174" s="22">
        <v>2023.0</v>
      </c>
      <c r="J2174" s="16" t="str">
        <f>IFERROR(__xludf.DUMMYFUNCTION("FILTER('CLASFICACIÓN'!$F$3:$F5618,'CLASFICACIÓN'!$G$3:$G5618=M2174)"),"LOS 3 AÑOS")</f>
        <v>LOS 3 AÑOS</v>
      </c>
      <c r="K2174" s="16"/>
      <c r="L2174" s="14" t="s">
        <v>136</v>
      </c>
      <c r="M2174" s="16" t="str">
        <f t="shared" si="1"/>
        <v>6013312 Secundaria</v>
      </c>
      <c r="N2174" s="17"/>
      <c r="O2174" s="17"/>
      <c r="P2174" s="17"/>
      <c r="Q2174" s="17"/>
      <c r="R2174" s="17"/>
      <c r="S2174" s="17"/>
      <c r="T2174" s="17"/>
    </row>
    <row r="2175">
      <c r="A2175" s="21">
        <v>978.0</v>
      </c>
      <c r="B2175" s="20" t="s">
        <v>13</v>
      </c>
      <c r="C2175" s="20" t="s">
        <v>27</v>
      </c>
      <c r="D2175" s="20" t="s">
        <v>28</v>
      </c>
      <c r="E2175" s="12" t="str">
        <f>IFERROR(__xludf.DUMMYFUNCTION("FILTER(colegios!$B$2:$B5618,colegios!$A$2:$A5618=L2175)"),"601331")</f>
        <v>601331</v>
      </c>
      <c r="F2175" s="14" t="s">
        <v>16</v>
      </c>
      <c r="G2175" s="20" t="s">
        <v>21</v>
      </c>
      <c r="H2175" s="14" t="s">
        <v>18</v>
      </c>
      <c r="I2175" s="22">
        <v>2023.0</v>
      </c>
      <c r="J2175" s="16" t="str">
        <f>IFERROR(__xludf.DUMMYFUNCTION("FILTER('CLASFICACIÓN'!$F$3:$F5618,'CLASFICACIÓN'!$G$3:$G5618=M2175)"),"LOS 3 AÑOS")</f>
        <v>LOS 3 AÑOS</v>
      </c>
      <c r="K2175" s="16"/>
      <c r="L2175" s="14" t="s">
        <v>136</v>
      </c>
      <c r="M2175" s="16" t="str">
        <f t="shared" si="1"/>
        <v>6013312 Secundaria</v>
      </c>
      <c r="N2175" s="17"/>
      <c r="O2175" s="17"/>
      <c r="P2175" s="17"/>
      <c r="Q2175" s="17"/>
      <c r="R2175" s="17"/>
      <c r="S2175" s="17"/>
      <c r="T2175" s="17"/>
    </row>
    <row r="2176">
      <c r="A2176" s="21">
        <v>979.0</v>
      </c>
      <c r="B2176" s="20" t="s">
        <v>13</v>
      </c>
      <c r="C2176" s="20" t="s">
        <v>27</v>
      </c>
      <c r="D2176" s="20" t="s">
        <v>28</v>
      </c>
      <c r="E2176" s="12" t="str">
        <f>IFERROR(__xludf.DUMMYFUNCTION("FILTER(colegios!$B$2:$B5618,colegios!$A$2:$A5618=L2176)"),"601331")</f>
        <v>601331</v>
      </c>
      <c r="F2176" s="14" t="s">
        <v>16</v>
      </c>
      <c r="G2176" s="20" t="s">
        <v>21</v>
      </c>
      <c r="H2176" s="14" t="s">
        <v>18</v>
      </c>
      <c r="I2176" s="22">
        <v>2023.0</v>
      </c>
      <c r="J2176" s="16" t="str">
        <f>IFERROR(__xludf.DUMMYFUNCTION("FILTER('CLASFICACIÓN'!$F$3:$F5618,'CLASFICACIÓN'!$G$3:$G5618=M2176)"),"LOS 3 AÑOS")</f>
        <v>LOS 3 AÑOS</v>
      </c>
      <c r="K2176" s="16"/>
      <c r="L2176" s="14" t="s">
        <v>136</v>
      </c>
      <c r="M2176" s="16" t="str">
        <f t="shared" si="1"/>
        <v>6013312 Secundaria</v>
      </c>
      <c r="N2176" s="17"/>
      <c r="O2176" s="17"/>
      <c r="P2176" s="17"/>
      <c r="Q2176" s="17"/>
      <c r="R2176" s="17"/>
      <c r="S2176" s="17"/>
      <c r="T2176" s="17"/>
    </row>
    <row r="2177">
      <c r="A2177" s="21">
        <v>980.0</v>
      </c>
      <c r="B2177" s="20" t="s">
        <v>13</v>
      </c>
      <c r="C2177" s="20" t="s">
        <v>27</v>
      </c>
      <c r="D2177" s="20" t="s">
        <v>28</v>
      </c>
      <c r="E2177" s="12" t="str">
        <f>IFERROR(__xludf.DUMMYFUNCTION("FILTER(colegios!$B$2:$B5618,colegios!$A$2:$A5618=L2177)"),"601331")</f>
        <v>601331</v>
      </c>
      <c r="F2177" s="14" t="s">
        <v>16</v>
      </c>
      <c r="G2177" s="20" t="s">
        <v>21</v>
      </c>
      <c r="H2177" s="14" t="s">
        <v>24</v>
      </c>
      <c r="I2177" s="22">
        <v>2023.0</v>
      </c>
      <c r="J2177" s="16" t="str">
        <f>IFERROR(__xludf.DUMMYFUNCTION("FILTER('CLASFICACIÓN'!$F$3:$F5618,'CLASFICACIÓN'!$G$3:$G5618=M2177)"),"LOS 3 AÑOS")</f>
        <v>LOS 3 AÑOS</v>
      </c>
      <c r="K2177" s="16"/>
      <c r="L2177" s="14" t="s">
        <v>136</v>
      </c>
      <c r="M2177" s="16" t="str">
        <f t="shared" si="1"/>
        <v>6013312 Secundaria</v>
      </c>
      <c r="N2177" s="17"/>
      <c r="O2177" s="17"/>
      <c r="P2177" s="17"/>
      <c r="Q2177" s="17"/>
      <c r="R2177" s="17"/>
      <c r="S2177" s="17"/>
      <c r="T2177" s="17"/>
    </row>
    <row r="2178">
      <c r="A2178" s="21">
        <v>981.0</v>
      </c>
      <c r="B2178" s="20" t="s">
        <v>13</v>
      </c>
      <c r="C2178" s="20" t="s">
        <v>27</v>
      </c>
      <c r="D2178" s="20" t="s">
        <v>28</v>
      </c>
      <c r="E2178" s="12" t="str">
        <f>IFERROR(__xludf.DUMMYFUNCTION("FILTER(colegios!$B$2:$B5618,colegios!$A$2:$A5618=L2178)"),"601331")</f>
        <v>601331</v>
      </c>
      <c r="F2178" s="14" t="s">
        <v>16</v>
      </c>
      <c r="G2178" s="20" t="s">
        <v>17</v>
      </c>
      <c r="H2178" s="14" t="s">
        <v>18</v>
      </c>
      <c r="I2178" s="22">
        <v>2023.0</v>
      </c>
      <c r="J2178" s="16" t="str">
        <f>IFERROR(__xludf.DUMMYFUNCTION("FILTER('CLASFICACIÓN'!$F$3:$F5618,'CLASFICACIÓN'!$G$3:$G5618=M2178)"),"LOS 3 AÑOS")</f>
        <v>LOS 3 AÑOS</v>
      </c>
      <c r="K2178" s="16"/>
      <c r="L2178" s="14" t="s">
        <v>136</v>
      </c>
      <c r="M2178" s="16" t="str">
        <f t="shared" si="1"/>
        <v>6013312 Secundaria</v>
      </c>
      <c r="N2178" s="17"/>
      <c r="O2178" s="17"/>
      <c r="P2178" s="17"/>
      <c r="Q2178" s="17"/>
      <c r="R2178" s="17"/>
      <c r="S2178" s="17"/>
      <c r="T2178" s="17"/>
    </row>
    <row r="2179">
      <c r="A2179" s="21">
        <v>982.0</v>
      </c>
      <c r="B2179" s="20" t="s">
        <v>13</v>
      </c>
      <c r="C2179" s="20" t="s">
        <v>27</v>
      </c>
      <c r="D2179" s="20" t="s">
        <v>28</v>
      </c>
      <c r="E2179" s="12" t="str">
        <f>IFERROR(__xludf.DUMMYFUNCTION("FILTER(colegios!$B$2:$B5618,colegios!$A$2:$A5618=L2179)"),"601331")</f>
        <v>601331</v>
      </c>
      <c r="F2179" s="14" t="s">
        <v>16</v>
      </c>
      <c r="G2179" s="20" t="s">
        <v>17</v>
      </c>
      <c r="H2179" s="14" t="s">
        <v>18</v>
      </c>
      <c r="I2179" s="22">
        <v>2023.0</v>
      </c>
      <c r="J2179" s="16" t="str">
        <f>IFERROR(__xludf.DUMMYFUNCTION("FILTER('CLASFICACIÓN'!$F$3:$F5618,'CLASFICACIÓN'!$G$3:$G5618=M2179)"),"LOS 3 AÑOS")</f>
        <v>LOS 3 AÑOS</v>
      </c>
      <c r="K2179" s="16"/>
      <c r="L2179" s="14" t="s">
        <v>136</v>
      </c>
      <c r="M2179" s="16" t="str">
        <f t="shared" si="1"/>
        <v>6013312 Secundaria</v>
      </c>
      <c r="N2179" s="17"/>
      <c r="O2179" s="17"/>
      <c r="P2179" s="17"/>
      <c r="Q2179" s="17"/>
      <c r="R2179" s="17"/>
      <c r="S2179" s="17"/>
      <c r="T2179" s="17"/>
    </row>
    <row r="2180">
      <c r="A2180" s="21">
        <v>983.0</v>
      </c>
      <c r="B2180" s="20" t="s">
        <v>13</v>
      </c>
      <c r="C2180" s="20" t="s">
        <v>27</v>
      </c>
      <c r="D2180" s="20" t="s">
        <v>30</v>
      </c>
      <c r="E2180" s="12" t="str">
        <f>IFERROR(__xludf.DUMMYFUNCTION("FILTER(colegios!$B$2:$B5618,colegios!$A$2:$A5618=L2180)"),"601331")</f>
        <v>601331</v>
      </c>
      <c r="F2180" s="14" t="s">
        <v>16</v>
      </c>
      <c r="G2180" s="20" t="s">
        <v>21</v>
      </c>
      <c r="H2180" s="14" t="s">
        <v>18</v>
      </c>
      <c r="I2180" s="22">
        <v>2023.0</v>
      </c>
      <c r="J2180" s="16" t="str">
        <f>IFERROR(__xludf.DUMMYFUNCTION("FILTER('CLASFICACIÓN'!$F$3:$F5618,'CLASFICACIÓN'!$G$3:$G5618=M2180)"),"LOS 3 AÑOS")</f>
        <v>LOS 3 AÑOS</v>
      </c>
      <c r="K2180" s="16"/>
      <c r="L2180" s="14" t="s">
        <v>136</v>
      </c>
      <c r="M2180" s="16" t="str">
        <f t="shared" si="1"/>
        <v>6013314 Secundaria</v>
      </c>
      <c r="N2180" s="17"/>
      <c r="O2180" s="17"/>
      <c r="P2180" s="17"/>
      <c r="Q2180" s="17"/>
      <c r="R2180" s="17"/>
      <c r="S2180" s="17"/>
      <c r="T2180" s="17"/>
    </row>
    <row r="2181">
      <c r="A2181" s="21">
        <v>984.0</v>
      </c>
      <c r="B2181" s="20" t="s">
        <v>13</v>
      </c>
      <c r="C2181" s="20" t="s">
        <v>27</v>
      </c>
      <c r="D2181" s="20" t="s">
        <v>30</v>
      </c>
      <c r="E2181" s="12" t="str">
        <f>IFERROR(__xludf.DUMMYFUNCTION("FILTER(colegios!$B$2:$B5618,colegios!$A$2:$A5618=L2181)"),"601331")</f>
        <v>601331</v>
      </c>
      <c r="F2181" s="14" t="s">
        <v>16</v>
      </c>
      <c r="G2181" s="20" t="s">
        <v>21</v>
      </c>
      <c r="H2181" s="14" t="s">
        <v>18</v>
      </c>
      <c r="I2181" s="22">
        <v>2023.0</v>
      </c>
      <c r="J2181" s="16" t="str">
        <f>IFERROR(__xludf.DUMMYFUNCTION("FILTER('CLASFICACIÓN'!$F$3:$F5618,'CLASFICACIÓN'!$G$3:$G5618=M2181)"),"LOS 3 AÑOS")</f>
        <v>LOS 3 AÑOS</v>
      </c>
      <c r="K2181" s="16"/>
      <c r="L2181" s="14" t="s">
        <v>136</v>
      </c>
      <c r="M2181" s="16" t="str">
        <f t="shared" si="1"/>
        <v>6013314 Secundaria</v>
      </c>
      <c r="N2181" s="17"/>
      <c r="O2181" s="17"/>
      <c r="P2181" s="17"/>
      <c r="Q2181" s="17"/>
      <c r="R2181" s="17"/>
      <c r="S2181" s="17"/>
      <c r="T2181" s="17"/>
    </row>
    <row r="2182">
      <c r="A2182" s="21">
        <v>985.0</v>
      </c>
      <c r="B2182" s="20" t="s">
        <v>13</v>
      </c>
      <c r="C2182" s="20" t="s">
        <v>27</v>
      </c>
      <c r="D2182" s="20" t="s">
        <v>30</v>
      </c>
      <c r="E2182" s="12" t="str">
        <f>IFERROR(__xludf.DUMMYFUNCTION("FILTER(colegios!$B$2:$B5618,colegios!$A$2:$A5618=L2182)"),"601331")</f>
        <v>601331</v>
      </c>
      <c r="F2182" s="14" t="s">
        <v>16</v>
      </c>
      <c r="G2182" s="20" t="s">
        <v>21</v>
      </c>
      <c r="H2182" s="14" t="s">
        <v>18</v>
      </c>
      <c r="I2182" s="22">
        <v>2023.0</v>
      </c>
      <c r="J2182" s="16" t="str">
        <f>IFERROR(__xludf.DUMMYFUNCTION("FILTER('CLASFICACIÓN'!$F$3:$F5618,'CLASFICACIÓN'!$G$3:$G5618=M2182)"),"LOS 3 AÑOS")</f>
        <v>LOS 3 AÑOS</v>
      </c>
      <c r="K2182" s="16"/>
      <c r="L2182" s="14" t="s">
        <v>136</v>
      </c>
      <c r="M2182" s="16" t="str">
        <f t="shared" si="1"/>
        <v>6013314 Secundaria</v>
      </c>
      <c r="N2182" s="17"/>
      <c r="O2182" s="17"/>
      <c r="P2182" s="17"/>
      <c r="Q2182" s="17"/>
      <c r="R2182" s="17"/>
      <c r="S2182" s="17"/>
      <c r="T2182" s="17"/>
    </row>
    <row r="2183">
      <c r="A2183" s="21">
        <v>986.0</v>
      </c>
      <c r="B2183" s="20" t="s">
        <v>13</v>
      </c>
      <c r="C2183" s="20" t="s">
        <v>27</v>
      </c>
      <c r="D2183" s="20" t="s">
        <v>30</v>
      </c>
      <c r="E2183" s="12" t="str">
        <f>IFERROR(__xludf.DUMMYFUNCTION("FILTER(colegios!$B$2:$B5618,colegios!$A$2:$A5618=L2183)"),"601331")</f>
        <v>601331</v>
      </c>
      <c r="F2183" s="14" t="s">
        <v>16</v>
      </c>
      <c r="G2183" s="20" t="s">
        <v>21</v>
      </c>
      <c r="H2183" s="14" t="s">
        <v>18</v>
      </c>
      <c r="I2183" s="22">
        <v>2023.0</v>
      </c>
      <c r="J2183" s="16" t="str">
        <f>IFERROR(__xludf.DUMMYFUNCTION("FILTER('CLASFICACIÓN'!$F$3:$F5618,'CLASFICACIÓN'!$G$3:$G5618=M2183)"),"LOS 3 AÑOS")</f>
        <v>LOS 3 AÑOS</v>
      </c>
      <c r="K2183" s="16"/>
      <c r="L2183" s="14" t="s">
        <v>136</v>
      </c>
      <c r="M2183" s="16" t="str">
        <f t="shared" si="1"/>
        <v>6013314 Secundaria</v>
      </c>
      <c r="N2183" s="17"/>
      <c r="O2183" s="17"/>
      <c r="P2183" s="17"/>
      <c r="Q2183" s="17"/>
      <c r="R2183" s="17"/>
      <c r="S2183" s="17"/>
      <c r="T2183" s="17"/>
    </row>
    <row r="2184">
      <c r="A2184" s="21">
        <v>987.0</v>
      </c>
      <c r="B2184" s="20" t="s">
        <v>13</v>
      </c>
      <c r="C2184" s="20" t="s">
        <v>27</v>
      </c>
      <c r="D2184" s="20" t="s">
        <v>30</v>
      </c>
      <c r="E2184" s="12" t="str">
        <f>IFERROR(__xludf.DUMMYFUNCTION("FILTER(colegios!$B$2:$B5618,colegios!$A$2:$A5618=L2184)"),"601331")</f>
        <v>601331</v>
      </c>
      <c r="F2184" s="14" t="s">
        <v>16</v>
      </c>
      <c r="G2184" s="20" t="s">
        <v>17</v>
      </c>
      <c r="H2184" s="14" t="s">
        <v>18</v>
      </c>
      <c r="I2184" s="22">
        <v>2023.0</v>
      </c>
      <c r="J2184" s="16" t="str">
        <f>IFERROR(__xludf.DUMMYFUNCTION("FILTER('CLASFICACIÓN'!$F$3:$F5618,'CLASFICACIÓN'!$G$3:$G5618=M2184)"),"LOS 3 AÑOS")</f>
        <v>LOS 3 AÑOS</v>
      </c>
      <c r="K2184" s="16"/>
      <c r="L2184" s="14" t="s">
        <v>136</v>
      </c>
      <c r="M2184" s="16" t="str">
        <f t="shared" si="1"/>
        <v>6013314 Secundaria</v>
      </c>
      <c r="N2184" s="17"/>
      <c r="O2184" s="17"/>
      <c r="P2184" s="17"/>
      <c r="Q2184" s="17"/>
      <c r="R2184" s="17"/>
      <c r="S2184" s="17"/>
      <c r="T2184" s="17"/>
    </row>
    <row r="2185">
      <c r="A2185" s="21">
        <v>988.0</v>
      </c>
      <c r="B2185" s="20" t="s">
        <v>13</v>
      </c>
      <c r="C2185" s="20" t="s">
        <v>27</v>
      </c>
      <c r="D2185" s="20" t="s">
        <v>30</v>
      </c>
      <c r="E2185" s="12" t="str">
        <f>IFERROR(__xludf.DUMMYFUNCTION("FILTER(colegios!$B$2:$B5618,colegios!$A$2:$A5618=L2185)"),"601331")</f>
        <v>601331</v>
      </c>
      <c r="F2185" s="14" t="s">
        <v>16</v>
      </c>
      <c r="G2185" s="20" t="s">
        <v>17</v>
      </c>
      <c r="H2185" s="14" t="s">
        <v>18</v>
      </c>
      <c r="I2185" s="22">
        <v>2023.0</v>
      </c>
      <c r="J2185" s="16" t="str">
        <f>IFERROR(__xludf.DUMMYFUNCTION("FILTER('CLASFICACIÓN'!$F$3:$F5618,'CLASFICACIÓN'!$G$3:$G5618=M2185)"),"LOS 3 AÑOS")</f>
        <v>LOS 3 AÑOS</v>
      </c>
      <c r="K2185" s="16"/>
      <c r="L2185" s="14" t="s">
        <v>136</v>
      </c>
      <c r="M2185" s="16" t="str">
        <f t="shared" si="1"/>
        <v>6013314 Secundaria</v>
      </c>
      <c r="N2185" s="17"/>
      <c r="O2185" s="17"/>
      <c r="P2185" s="17"/>
      <c r="Q2185" s="17"/>
      <c r="R2185" s="17"/>
      <c r="S2185" s="17"/>
      <c r="T2185" s="17"/>
    </row>
    <row r="2186">
      <c r="A2186" s="21">
        <v>989.0</v>
      </c>
      <c r="B2186" s="20" t="s">
        <v>13</v>
      </c>
      <c r="C2186" s="20" t="s">
        <v>27</v>
      </c>
      <c r="D2186" s="20" t="s">
        <v>30</v>
      </c>
      <c r="E2186" s="12" t="str">
        <f>IFERROR(__xludf.DUMMYFUNCTION("FILTER(colegios!$B$2:$B5618,colegios!$A$2:$A5618=L2186)"),"601331")</f>
        <v>601331</v>
      </c>
      <c r="F2186" s="14" t="s">
        <v>16</v>
      </c>
      <c r="G2186" s="20" t="s">
        <v>17</v>
      </c>
      <c r="H2186" s="14" t="s">
        <v>18</v>
      </c>
      <c r="I2186" s="22">
        <v>2023.0</v>
      </c>
      <c r="J2186" s="16" t="str">
        <f>IFERROR(__xludf.DUMMYFUNCTION("FILTER('CLASFICACIÓN'!$F$3:$F5618,'CLASFICACIÓN'!$G$3:$G5618=M2186)"),"LOS 3 AÑOS")</f>
        <v>LOS 3 AÑOS</v>
      </c>
      <c r="K2186" s="16"/>
      <c r="L2186" s="14" t="s">
        <v>136</v>
      </c>
      <c r="M2186" s="16" t="str">
        <f t="shared" si="1"/>
        <v>6013314 Secundaria</v>
      </c>
      <c r="N2186" s="17"/>
      <c r="O2186" s="17"/>
      <c r="P2186" s="17"/>
      <c r="Q2186" s="17"/>
      <c r="R2186" s="17"/>
      <c r="S2186" s="17"/>
      <c r="T2186" s="17"/>
    </row>
    <row r="2187">
      <c r="A2187" s="21">
        <v>990.0</v>
      </c>
      <c r="B2187" s="20" t="s">
        <v>13</v>
      </c>
      <c r="C2187" s="20" t="s">
        <v>27</v>
      </c>
      <c r="D2187" s="20" t="s">
        <v>30</v>
      </c>
      <c r="E2187" s="12" t="str">
        <f>IFERROR(__xludf.DUMMYFUNCTION("FILTER(colegios!$B$2:$B5618,colegios!$A$2:$A5618=L2187)"),"601331")</f>
        <v>601331</v>
      </c>
      <c r="F2187" s="14" t="s">
        <v>16</v>
      </c>
      <c r="G2187" s="20" t="s">
        <v>21</v>
      </c>
      <c r="H2187" s="14" t="s">
        <v>18</v>
      </c>
      <c r="I2187" s="22">
        <v>2023.0</v>
      </c>
      <c r="J2187" s="16" t="str">
        <f>IFERROR(__xludf.DUMMYFUNCTION("FILTER('CLASFICACIÓN'!$F$3:$F5618,'CLASFICACIÓN'!$G$3:$G5618=M2187)"),"LOS 3 AÑOS")</f>
        <v>LOS 3 AÑOS</v>
      </c>
      <c r="K2187" s="16"/>
      <c r="L2187" s="14" t="s">
        <v>136</v>
      </c>
      <c r="M2187" s="16" t="str">
        <f t="shared" si="1"/>
        <v>6013314 Secundaria</v>
      </c>
      <c r="N2187" s="17"/>
      <c r="O2187" s="17"/>
      <c r="P2187" s="17"/>
      <c r="Q2187" s="17"/>
      <c r="R2187" s="17"/>
      <c r="S2187" s="17"/>
      <c r="T2187" s="17"/>
    </row>
    <row r="2188">
      <c r="A2188" s="21">
        <v>991.0</v>
      </c>
      <c r="B2188" s="20" t="s">
        <v>13</v>
      </c>
      <c r="C2188" s="20" t="s">
        <v>27</v>
      </c>
      <c r="D2188" s="20" t="s">
        <v>30</v>
      </c>
      <c r="E2188" s="12" t="str">
        <f>IFERROR(__xludf.DUMMYFUNCTION("FILTER(colegios!$B$2:$B5618,colegios!$A$2:$A5618=L2188)"),"601331")</f>
        <v>601331</v>
      </c>
      <c r="F2188" s="14" t="s">
        <v>16</v>
      </c>
      <c r="G2188" s="20" t="s">
        <v>17</v>
      </c>
      <c r="H2188" s="14" t="s">
        <v>18</v>
      </c>
      <c r="I2188" s="22">
        <v>2023.0</v>
      </c>
      <c r="J2188" s="16" t="str">
        <f>IFERROR(__xludf.DUMMYFUNCTION("FILTER('CLASFICACIÓN'!$F$3:$F5618,'CLASFICACIÓN'!$G$3:$G5618=M2188)"),"LOS 3 AÑOS")</f>
        <v>LOS 3 AÑOS</v>
      </c>
      <c r="K2188" s="16"/>
      <c r="L2188" s="14" t="s">
        <v>136</v>
      </c>
      <c r="M2188" s="16" t="str">
        <f t="shared" si="1"/>
        <v>6013314 Secundaria</v>
      </c>
      <c r="N2188" s="17"/>
      <c r="O2188" s="17"/>
      <c r="P2188" s="17"/>
      <c r="Q2188" s="17"/>
      <c r="R2188" s="17"/>
      <c r="S2188" s="17"/>
      <c r="T2188" s="17"/>
    </row>
    <row r="2189">
      <c r="A2189" s="21">
        <v>992.0</v>
      </c>
      <c r="B2189" s="20" t="s">
        <v>13</v>
      </c>
      <c r="C2189" s="20" t="s">
        <v>27</v>
      </c>
      <c r="D2189" s="20" t="s">
        <v>30</v>
      </c>
      <c r="E2189" s="12" t="str">
        <f>IFERROR(__xludf.DUMMYFUNCTION("FILTER(colegios!$B$2:$B5618,colegios!$A$2:$A5618=L2189)"),"601331")</f>
        <v>601331</v>
      </c>
      <c r="F2189" s="14" t="s">
        <v>16</v>
      </c>
      <c r="G2189" s="20" t="s">
        <v>21</v>
      </c>
      <c r="H2189" s="14" t="s">
        <v>18</v>
      </c>
      <c r="I2189" s="22">
        <v>2023.0</v>
      </c>
      <c r="J2189" s="16" t="str">
        <f>IFERROR(__xludf.DUMMYFUNCTION("FILTER('CLASFICACIÓN'!$F$3:$F5618,'CLASFICACIÓN'!$G$3:$G5618=M2189)"),"LOS 3 AÑOS")</f>
        <v>LOS 3 AÑOS</v>
      </c>
      <c r="K2189" s="16"/>
      <c r="L2189" s="14" t="s">
        <v>136</v>
      </c>
      <c r="M2189" s="16" t="str">
        <f t="shared" si="1"/>
        <v>6013314 Secundaria</v>
      </c>
      <c r="N2189" s="17"/>
      <c r="O2189" s="17"/>
      <c r="P2189" s="17"/>
      <c r="Q2189" s="17"/>
      <c r="R2189" s="17"/>
      <c r="S2189" s="17"/>
      <c r="T2189" s="17"/>
    </row>
    <row r="2190">
      <c r="A2190" s="21">
        <v>993.0</v>
      </c>
      <c r="B2190" s="20" t="s">
        <v>13</v>
      </c>
      <c r="C2190" s="20" t="s">
        <v>27</v>
      </c>
      <c r="D2190" s="20" t="s">
        <v>30</v>
      </c>
      <c r="E2190" s="12" t="str">
        <f>IFERROR(__xludf.DUMMYFUNCTION("FILTER(colegios!$B$2:$B5618,colegios!$A$2:$A5618=L2190)"),"601331")</f>
        <v>601331</v>
      </c>
      <c r="F2190" s="14" t="s">
        <v>16</v>
      </c>
      <c r="G2190" s="20" t="s">
        <v>21</v>
      </c>
      <c r="H2190" s="14" t="s">
        <v>18</v>
      </c>
      <c r="I2190" s="22">
        <v>2023.0</v>
      </c>
      <c r="J2190" s="16" t="str">
        <f>IFERROR(__xludf.DUMMYFUNCTION("FILTER('CLASFICACIÓN'!$F$3:$F5618,'CLASFICACIÓN'!$G$3:$G5618=M2190)"),"LOS 3 AÑOS")</f>
        <v>LOS 3 AÑOS</v>
      </c>
      <c r="K2190" s="16"/>
      <c r="L2190" s="14" t="s">
        <v>136</v>
      </c>
      <c r="M2190" s="16" t="str">
        <f t="shared" si="1"/>
        <v>6013314 Secundaria</v>
      </c>
      <c r="N2190" s="17"/>
      <c r="O2190" s="17"/>
      <c r="P2190" s="17"/>
      <c r="Q2190" s="17"/>
      <c r="R2190" s="17"/>
      <c r="S2190" s="17"/>
      <c r="T2190" s="17"/>
    </row>
    <row r="2191">
      <c r="A2191" s="21">
        <v>994.0</v>
      </c>
      <c r="B2191" s="20" t="s">
        <v>13</v>
      </c>
      <c r="C2191" s="20" t="s">
        <v>27</v>
      </c>
      <c r="D2191" s="20" t="s">
        <v>30</v>
      </c>
      <c r="E2191" s="12" t="str">
        <f>IFERROR(__xludf.DUMMYFUNCTION("FILTER(colegios!$B$2:$B5618,colegios!$A$2:$A5618=L2191)"),"601331")</f>
        <v>601331</v>
      </c>
      <c r="F2191" s="14" t="s">
        <v>16</v>
      </c>
      <c r="G2191" s="20" t="s">
        <v>17</v>
      </c>
      <c r="H2191" s="14" t="s">
        <v>18</v>
      </c>
      <c r="I2191" s="22">
        <v>2023.0</v>
      </c>
      <c r="J2191" s="16" t="str">
        <f>IFERROR(__xludf.DUMMYFUNCTION("FILTER('CLASFICACIÓN'!$F$3:$F5618,'CLASFICACIÓN'!$G$3:$G5618=M2191)"),"LOS 3 AÑOS")</f>
        <v>LOS 3 AÑOS</v>
      </c>
      <c r="K2191" s="16"/>
      <c r="L2191" s="14" t="s">
        <v>136</v>
      </c>
      <c r="M2191" s="16" t="str">
        <f t="shared" si="1"/>
        <v>6013314 Secundaria</v>
      </c>
      <c r="N2191" s="17"/>
      <c r="O2191" s="17"/>
      <c r="P2191" s="17"/>
      <c r="Q2191" s="17"/>
      <c r="R2191" s="17"/>
      <c r="S2191" s="17"/>
      <c r="T2191" s="17"/>
    </row>
    <row r="2192">
      <c r="A2192" s="21">
        <v>995.0</v>
      </c>
      <c r="B2192" s="20" t="s">
        <v>13</v>
      </c>
      <c r="C2192" s="20" t="s">
        <v>27</v>
      </c>
      <c r="D2192" s="20" t="s">
        <v>30</v>
      </c>
      <c r="E2192" s="12" t="str">
        <f>IFERROR(__xludf.DUMMYFUNCTION("FILTER(colegios!$B$2:$B5618,colegios!$A$2:$A5618=L2192)"),"601331")</f>
        <v>601331</v>
      </c>
      <c r="F2192" s="14" t="s">
        <v>16</v>
      </c>
      <c r="G2192" s="20" t="s">
        <v>17</v>
      </c>
      <c r="H2192" s="14" t="s">
        <v>18</v>
      </c>
      <c r="I2192" s="22">
        <v>2023.0</v>
      </c>
      <c r="J2192" s="16" t="str">
        <f>IFERROR(__xludf.DUMMYFUNCTION("FILTER('CLASFICACIÓN'!$F$3:$F5618,'CLASFICACIÓN'!$G$3:$G5618=M2192)"),"LOS 3 AÑOS")</f>
        <v>LOS 3 AÑOS</v>
      </c>
      <c r="K2192" s="16"/>
      <c r="L2192" s="14" t="s">
        <v>136</v>
      </c>
      <c r="M2192" s="16" t="str">
        <f t="shared" si="1"/>
        <v>6013314 Secundaria</v>
      </c>
      <c r="N2192" s="17"/>
      <c r="O2192" s="17"/>
      <c r="P2192" s="17"/>
      <c r="Q2192" s="17"/>
      <c r="R2192" s="17"/>
      <c r="S2192" s="17"/>
      <c r="T2192" s="17"/>
    </row>
    <row r="2193">
      <c r="A2193" s="21">
        <v>996.0</v>
      </c>
      <c r="B2193" s="20" t="s">
        <v>13</v>
      </c>
      <c r="C2193" s="20" t="s">
        <v>27</v>
      </c>
      <c r="D2193" s="20" t="s">
        <v>30</v>
      </c>
      <c r="E2193" s="12" t="str">
        <f>IFERROR(__xludf.DUMMYFUNCTION("FILTER(colegios!$B$2:$B5618,colegios!$A$2:$A5618=L2193)"),"601331")</f>
        <v>601331</v>
      </c>
      <c r="F2193" s="14" t="s">
        <v>16</v>
      </c>
      <c r="G2193" s="20" t="s">
        <v>17</v>
      </c>
      <c r="H2193" s="14" t="s">
        <v>18</v>
      </c>
      <c r="I2193" s="22">
        <v>2023.0</v>
      </c>
      <c r="J2193" s="16" t="str">
        <f>IFERROR(__xludf.DUMMYFUNCTION("FILTER('CLASFICACIÓN'!$F$3:$F5618,'CLASFICACIÓN'!$G$3:$G5618=M2193)"),"LOS 3 AÑOS")</f>
        <v>LOS 3 AÑOS</v>
      </c>
      <c r="K2193" s="16"/>
      <c r="L2193" s="14" t="s">
        <v>136</v>
      </c>
      <c r="M2193" s="16" t="str">
        <f t="shared" si="1"/>
        <v>6013314 Secundaria</v>
      </c>
      <c r="N2193" s="17"/>
      <c r="O2193" s="17"/>
      <c r="P2193" s="17"/>
      <c r="Q2193" s="17"/>
      <c r="R2193" s="17"/>
      <c r="S2193" s="17"/>
      <c r="T2193" s="17"/>
    </row>
    <row r="2194">
      <c r="A2194" s="21">
        <v>997.0</v>
      </c>
      <c r="B2194" s="20" t="s">
        <v>13</v>
      </c>
      <c r="C2194" s="20" t="s">
        <v>27</v>
      </c>
      <c r="D2194" s="20" t="s">
        <v>30</v>
      </c>
      <c r="E2194" s="12" t="str">
        <f>IFERROR(__xludf.DUMMYFUNCTION("FILTER(colegios!$B$2:$B5618,colegios!$A$2:$A5618=L2194)"),"601331")</f>
        <v>601331</v>
      </c>
      <c r="F2194" s="14" t="s">
        <v>16</v>
      </c>
      <c r="G2194" s="20" t="s">
        <v>17</v>
      </c>
      <c r="H2194" s="14" t="s">
        <v>18</v>
      </c>
      <c r="I2194" s="22">
        <v>2023.0</v>
      </c>
      <c r="J2194" s="16" t="str">
        <f>IFERROR(__xludf.DUMMYFUNCTION("FILTER('CLASFICACIÓN'!$F$3:$F5618,'CLASFICACIÓN'!$G$3:$G5618=M2194)"),"LOS 3 AÑOS")</f>
        <v>LOS 3 AÑOS</v>
      </c>
      <c r="K2194" s="16"/>
      <c r="L2194" s="14" t="s">
        <v>136</v>
      </c>
      <c r="M2194" s="16" t="str">
        <f t="shared" si="1"/>
        <v>6013314 Secundaria</v>
      </c>
      <c r="N2194" s="17"/>
      <c r="O2194" s="17"/>
      <c r="P2194" s="17"/>
      <c r="Q2194" s="17"/>
      <c r="R2194" s="17"/>
      <c r="S2194" s="17"/>
      <c r="T2194" s="17"/>
    </row>
    <row r="2195">
      <c r="A2195" s="21">
        <v>998.0</v>
      </c>
      <c r="B2195" s="20" t="s">
        <v>13</v>
      </c>
      <c r="C2195" s="20" t="s">
        <v>27</v>
      </c>
      <c r="D2195" s="20" t="s">
        <v>30</v>
      </c>
      <c r="E2195" s="12" t="str">
        <f>IFERROR(__xludf.DUMMYFUNCTION("FILTER(colegios!$B$2:$B5618,colegios!$A$2:$A5618=L2195)"),"601331")</f>
        <v>601331</v>
      </c>
      <c r="F2195" s="14" t="s">
        <v>16</v>
      </c>
      <c r="G2195" s="20" t="s">
        <v>21</v>
      </c>
      <c r="H2195" s="14" t="s">
        <v>18</v>
      </c>
      <c r="I2195" s="22">
        <v>2023.0</v>
      </c>
      <c r="J2195" s="16" t="str">
        <f>IFERROR(__xludf.DUMMYFUNCTION("FILTER('CLASFICACIÓN'!$F$3:$F5618,'CLASFICACIÓN'!$G$3:$G5618=M2195)"),"LOS 3 AÑOS")</f>
        <v>LOS 3 AÑOS</v>
      </c>
      <c r="K2195" s="16"/>
      <c r="L2195" s="14" t="s">
        <v>136</v>
      </c>
      <c r="M2195" s="16" t="str">
        <f t="shared" si="1"/>
        <v>6013314 Secundaria</v>
      </c>
      <c r="N2195" s="17"/>
      <c r="O2195" s="17"/>
      <c r="P2195" s="17"/>
      <c r="Q2195" s="17"/>
      <c r="R2195" s="17"/>
      <c r="S2195" s="17"/>
      <c r="T2195" s="17"/>
    </row>
    <row r="2196">
      <c r="A2196" s="21">
        <v>999.0</v>
      </c>
      <c r="B2196" s="20" t="s">
        <v>13</v>
      </c>
      <c r="C2196" s="20" t="s">
        <v>14</v>
      </c>
      <c r="D2196" s="20" t="s">
        <v>15</v>
      </c>
      <c r="E2196" s="12" t="str">
        <f>IFERROR(__xludf.DUMMYFUNCTION("FILTER(colegios!$B$2:$B5618,colegios!$A$2:$A5618=L2196)"),"6010230 BARBARA D'ACHILLE")</f>
        <v>6010230 BARBARA D'ACHILLE</v>
      </c>
      <c r="F2196" s="14" t="s">
        <v>16</v>
      </c>
      <c r="G2196" s="20" t="s">
        <v>17</v>
      </c>
      <c r="H2196" s="14" t="s">
        <v>18</v>
      </c>
      <c r="I2196" s="22">
        <v>2023.0</v>
      </c>
      <c r="J2196" s="16" t="str">
        <f>IFERROR(__xludf.DUMMYFUNCTION("FILTER('CLASFICACIÓN'!$F$3:$F5618,'CLASFICACIÓN'!$G$3:$G5618=M2196)"),"LOS 3 AÑOS")</f>
        <v>LOS 3 AÑOS</v>
      </c>
      <c r="K2196" s="16"/>
      <c r="L2196" s="14" t="s">
        <v>137</v>
      </c>
      <c r="M2196" s="16" t="str">
        <f t="shared" si="1"/>
        <v>6010230 BARBARA D'ACHILLE2 Primaria</v>
      </c>
      <c r="N2196" s="17"/>
      <c r="O2196" s="17"/>
      <c r="P2196" s="17"/>
      <c r="Q2196" s="17"/>
      <c r="R2196" s="17"/>
      <c r="S2196" s="17"/>
      <c r="T2196" s="17"/>
    </row>
    <row r="2197">
      <c r="A2197" s="21">
        <v>1000.0</v>
      </c>
      <c r="B2197" s="20" t="s">
        <v>13</v>
      </c>
      <c r="C2197" s="20" t="s">
        <v>14</v>
      </c>
      <c r="D2197" s="20" t="s">
        <v>15</v>
      </c>
      <c r="E2197" s="12" t="str">
        <f>IFERROR(__xludf.DUMMYFUNCTION("FILTER(colegios!$B$2:$B5618,colegios!$A$2:$A5618=L2197)"),"6010230 BARBARA D'ACHILLE")</f>
        <v>6010230 BARBARA D'ACHILLE</v>
      </c>
      <c r="F2197" s="14" t="s">
        <v>16</v>
      </c>
      <c r="G2197" s="20" t="s">
        <v>17</v>
      </c>
      <c r="H2197" s="14" t="s">
        <v>18</v>
      </c>
      <c r="I2197" s="22">
        <v>2023.0</v>
      </c>
      <c r="J2197" s="16" t="str">
        <f>IFERROR(__xludf.DUMMYFUNCTION("FILTER('CLASFICACIÓN'!$F$3:$F5618,'CLASFICACIÓN'!$G$3:$G5618=M2197)"),"LOS 3 AÑOS")</f>
        <v>LOS 3 AÑOS</v>
      </c>
      <c r="K2197" s="16"/>
      <c r="L2197" s="14" t="s">
        <v>137</v>
      </c>
      <c r="M2197" s="16" t="str">
        <f t="shared" si="1"/>
        <v>6010230 BARBARA D'ACHILLE2 Primaria</v>
      </c>
      <c r="N2197" s="17"/>
      <c r="O2197" s="17"/>
      <c r="P2197" s="17"/>
      <c r="Q2197" s="17"/>
      <c r="R2197" s="17"/>
      <c r="S2197" s="17"/>
      <c r="T2197" s="17"/>
    </row>
    <row r="2198">
      <c r="A2198" s="21">
        <v>1001.0</v>
      </c>
      <c r="B2198" s="20" t="s">
        <v>13</v>
      </c>
      <c r="C2198" s="20" t="s">
        <v>14</v>
      </c>
      <c r="D2198" s="20" t="s">
        <v>15</v>
      </c>
      <c r="E2198" s="12" t="str">
        <f>IFERROR(__xludf.DUMMYFUNCTION("FILTER(colegios!$B$2:$B5618,colegios!$A$2:$A5618=L2198)"),"6010230 BARBARA D'ACHILLE")</f>
        <v>6010230 BARBARA D'ACHILLE</v>
      </c>
      <c r="F2198" s="14" t="s">
        <v>16</v>
      </c>
      <c r="G2198" s="20" t="s">
        <v>21</v>
      </c>
      <c r="H2198" s="14" t="s">
        <v>18</v>
      </c>
      <c r="I2198" s="22">
        <v>2023.0</v>
      </c>
      <c r="J2198" s="16" t="str">
        <f>IFERROR(__xludf.DUMMYFUNCTION("FILTER('CLASFICACIÓN'!$F$3:$F5618,'CLASFICACIÓN'!$G$3:$G5618=M2198)"),"LOS 3 AÑOS")</f>
        <v>LOS 3 AÑOS</v>
      </c>
      <c r="K2198" s="16"/>
      <c r="L2198" s="14" t="s">
        <v>137</v>
      </c>
      <c r="M2198" s="16" t="str">
        <f t="shared" si="1"/>
        <v>6010230 BARBARA D'ACHILLE2 Primaria</v>
      </c>
      <c r="N2198" s="17"/>
      <c r="O2198" s="17"/>
      <c r="P2198" s="17"/>
      <c r="Q2198" s="17"/>
      <c r="R2198" s="17"/>
      <c r="S2198" s="17"/>
      <c r="T2198" s="17"/>
    </row>
    <row r="2199">
      <c r="A2199" s="21">
        <v>1002.0</v>
      </c>
      <c r="B2199" s="20" t="s">
        <v>13</v>
      </c>
      <c r="C2199" s="20" t="s">
        <v>14</v>
      </c>
      <c r="D2199" s="20" t="s">
        <v>15</v>
      </c>
      <c r="E2199" s="12" t="str">
        <f>IFERROR(__xludf.DUMMYFUNCTION("FILTER(colegios!$B$2:$B5618,colegios!$A$2:$A5618=L2199)"),"6010230 BARBARA D'ACHILLE")</f>
        <v>6010230 BARBARA D'ACHILLE</v>
      </c>
      <c r="F2199" s="14" t="s">
        <v>16</v>
      </c>
      <c r="G2199" s="20" t="s">
        <v>21</v>
      </c>
      <c r="H2199" s="14" t="s">
        <v>18</v>
      </c>
      <c r="I2199" s="22">
        <v>2023.0</v>
      </c>
      <c r="J2199" s="16" t="str">
        <f>IFERROR(__xludf.DUMMYFUNCTION("FILTER('CLASFICACIÓN'!$F$3:$F5618,'CLASFICACIÓN'!$G$3:$G5618=M2199)"),"LOS 3 AÑOS")</f>
        <v>LOS 3 AÑOS</v>
      </c>
      <c r="K2199" s="16"/>
      <c r="L2199" s="14" t="s">
        <v>137</v>
      </c>
      <c r="M2199" s="16" t="str">
        <f t="shared" si="1"/>
        <v>6010230 BARBARA D'ACHILLE2 Primaria</v>
      </c>
      <c r="N2199" s="17"/>
      <c r="O2199" s="17"/>
      <c r="P2199" s="17"/>
      <c r="Q2199" s="17"/>
      <c r="R2199" s="17"/>
      <c r="S2199" s="17"/>
      <c r="T2199" s="17"/>
    </row>
    <row r="2200">
      <c r="A2200" s="21">
        <v>1003.0</v>
      </c>
      <c r="B2200" s="20" t="s">
        <v>13</v>
      </c>
      <c r="C2200" s="20" t="s">
        <v>14</v>
      </c>
      <c r="D2200" s="20" t="s">
        <v>20</v>
      </c>
      <c r="E2200" s="12" t="str">
        <f>IFERROR(__xludf.DUMMYFUNCTION("FILTER(colegios!$B$2:$B5618,colegios!$A$2:$A5618=L2200)"),"6010230 BARBARA D'ACHILLE")</f>
        <v>6010230 BARBARA D'ACHILLE</v>
      </c>
      <c r="F2200" s="14" t="s">
        <v>16</v>
      </c>
      <c r="G2200" s="20" t="s">
        <v>21</v>
      </c>
      <c r="H2200" s="14" t="s">
        <v>18</v>
      </c>
      <c r="I2200" s="22">
        <v>2023.0</v>
      </c>
      <c r="J2200" s="16" t="str">
        <f>IFERROR(__xludf.DUMMYFUNCTION("FILTER('CLASFICACIÓN'!$F$3:$F5618,'CLASFICACIÓN'!$G$3:$G5618=M2200)"),"LOS 3 AÑOS")</f>
        <v>LOS 3 AÑOS</v>
      </c>
      <c r="K2200" s="16"/>
      <c r="L2200" s="14" t="s">
        <v>137</v>
      </c>
      <c r="M2200" s="16" t="str">
        <f t="shared" si="1"/>
        <v>6010230 BARBARA D'ACHILLE4 Primaria</v>
      </c>
      <c r="N2200" s="17"/>
      <c r="O2200" s="17"/>
      <c r="P2200" s="17"/>
      <c r="Q2200" s="17"/>
      <c r="R2200" s="17"/>
      <c r="S2200" s="17"/>
      <c r="T2200" s="17"/>
    </row>
    <row r="2201">
      <c r="A2201" s="21">
        <v>1004.0</v>
      </c>
      <c r="B2201" s="20" t="s">
        <v>13</v>
      </c>
      <c r="C2201" s="20" t="s">
        <v>14</v>
      </c>
      <c r="D2201" s="20" t="s">
        <v>20</v>
      </c>
      <c r="E2201" s="12" t="str">
        <f>IFERROR(__xludf.DUMMYFUNCTION("FILTER(colegios!$B$2:$B5618,colegios!$A$2:$A5618=L2201)"),"6010230 BARBARA D'ACHILLE")</f>
        <v>6010230 BARBARA D'ACHILLE</v>
      </c>
      <c r="F2201" s="14" t="s">
        <v>16</v>
      </c>
      <c r="G2201" s="20" t="s">
        <v>21</v>
      </c>
      <c r="H2201" s="14" t="s">
        <v>24</v>
      </c>
      <c r="I2201" s="22">
        <v>2023.0</v>
      </c>
      <c r="J2201" s="16" t="str">
        <f>IFERROR(__xludf.DUMMYFUNCTION("FILTER('CLASFICACIÓN'!$F$3:$F5618,'CLASFICACIÓN'!$G$3:$G5618=M2201)"),"LOS 3 AÑOS")</f>
        <v>LOS 3 AÑOS</v>
      </c>
      <c r="K2201" s="16"/>
      <c r="L2201" s="14" t="s">
        <v>137</v>
      </c>
      <c r="M2201" s="16" t="str">
        <f t="shared" si="1"/>
        <v>6010230 BARBARA D'ACHILLE4 Primaria</v>
      </c>
      <c r="N2201" s="17"/>
      <c r="O2201" s="17"/>
      <c r="P2201" s="17"/>
      <c r="Q2201" s="17"/>
      <c r="R2201" s="17"/>
      <c r="S2201" s="17"/>
      <c r="T2201" s="17"/>
    </row>
    <row r="2202">
      <c r="A2202" s="21">
        <v>1005.0</v>
      </c>
      <c r="B2202" s="20" t="s">
        <v>13</v>
      </c>
      <c r="C2202" s="20" t="s">
        <v>14</v>
      </c>
      <c r="D2202" s="20" t="s">
        <v>20</v>
      </c>
      <c r="E2202" s="12" t="str">
        <f>IFERROR(__xludf.DUMMYFUNCTION("FILTER(colegios!$B$2:$B5618,colegios!$A$2:$A5618=L2202)"),"6010230 BARBARA D'ACHILLE")</f>
        <v>6010230 BARBARA D'ACHILLE</v>
      </c>
      <c r="F2202" s="14" t="s">
        <v>16</v>
      </c>
      <c r="G2202" s="20" t="s">
        <v>21</v>
      </c>
      <c r="H2202" s="14" t="s">
        <v>18</v>
      </c>
      <c r="I2202" s="22">
        <v>2023.0</v>
      </c>
      <c r="J2202" s="16" t="str">
        <f>IFERROR(__xludf.DUMMYFUNCTION("FILTER('CLASFICACIÓN'!$F$3:$F5618,'CLASFICACIÓN'!$G$3:$G5618=M2202)"),"LOS 3 AÑOS")</f>
        <v>LOS 3 AÑOS</v>
      </c>
      <c r="K2202" s="16"/>
      <c r="L2202" s="14" t="s">
        <v>137</v>
      </c>
      <c r="M2202" s="16" t="str">
        <f t="shared" si="1"/>
        <v>6010230 BARBARA D'ACHILLE4 Primaria</v>
      </c>
      <c r="N2202" s="17"/>
      <c r="O2202" s="17"/>
      <c r="P2202" s="17"/>
      <c r="Q2202" s="17"/>
      <c r="R2202" s="17"/>
      <c r="S2202" s="17"/>
      <c r="T2202" s="17"/>
    </row>
    <row r="2203">
      <c r="A2203" s="21">
        <v>1006.0</v>
      </c>
      <c r="B2203" s="20" t="s">
        <v>13</v>
      </c>
      <c r="C2203" s="20" t="s">
        <v>14</v>
      </c>
      <c r="D2203" s="20" t="s">
        <v>20</v>
      </c>
      <c r="E2203" s="12" t="str">
        <f>IFERROR(__xludf.DUMMYFUNCTION("FILTER(colegios!$B$2:$B5618,colegios!$A$2:$A5618=L2203)"),"6010230 BARBARA D'ACHILLE")</f>
        <v>6010230 BARBARA D'ACHILLE</v>
      </c>
      <c r="F2203" s="14" t="s">
        <v>16</v>
      </c>
      <c r="G2203" s="20" t="s">
        <v>17</v>
      </c>
      <c r="H2203" s="14" t="s">
        <v>18</v>
      </c>
      <c r="I2203" s="22">
        <v>2023.0</v>
      </c>
      <c r="J2203" s="16" t="str">
        <f>IFERROR(__xludf.DUMMYFUNCTION("FILTER('CLASFICACIÓN'!$F$3:$F5618,'CLASFICACIÓN'!$G$3:$G5618=M2203)"),"LOS 3 AÑOS")</f>
        <v>LOS 3 AÑOS</v>
      </c>
      <c r="K2203" s="16"/>
      <c r="L2203" s="14" t="s">
        <v>137</v>
      </c>
      <c r="M2203" s="16" t="str">
        <f t="shared" si="1"/>
        <v>6010230 BARBARA D'ACHILLE4 Primaria</v>
      </c>
      <c r="N2203" s="17"/>
      <c r="O2203" s="17"/>
      <c r="P2203" s="17"/>
      <c r="Q2203" s="17"/>
      <c r="R2203" s="17"/>
      <c r="S2203" s="17"/>
      <c r="T2203" s="17"/>
    </row>
    <row r="2204">
      <c r="A2204" s="21">
        <v>1007.0</v>
      </c>
      <c r="B2204" s="20" t="s">
        <v>13</v>
      </c>
      <c r="C2204" s="20" t="s">
        <v>14</v>
      </c>
      <c r="D2204" s="20" t="s">
        <v>20</v>
      </c>
      <c r="E2204" s="12" t="str">
        <f>IFERROR(__xludf.DUMMYFUNCTION("FILTER(colegios!$B$2:$B5618,colegios!$A$2:$A5618=L2204)"),"6010230 BARBARA D'ACHILLE")</f>
        <v>6010230 BARBARA D'ACHILLE</v>
      </c>
      <c r="F2204" s="14" t="s">
        <v>16</v>
      </c>
      <c r="G2204" s="20" t="s">
        <v>21</v>
      </c>
      <c r="H2204" s="14" t="s">
        <v>18</v>
      </c>
      <c r="I2204" s="22">
        <v>2023.0</v>
      </c>
      <c r="J2204" s="16" t="str">
        <f>IFERROR(__xludf.DUMMYFUNCTION("FILTER('CLASFICACIÓN'!$F$3:$F5618,'CLASFICACIÓN'!$G$3:$G5618=M2204)"),"LOS 3 AÑOS")</f>
        <v>LOS 3 AÑOS</v>
      </c>
      <c r="K2204" s="16"/>
      <c r="L2204" s="14" t="s">
        <v>137</v>
      </c>
      <c r="M2204" s="16" t="str">
        <f t="shared" si="1"/>
        <v>6010230 BARBARA D'ACHILLE4 Primaria</v>
      </c>
      <c r="N2204" s="17"/>
      <c r="O2204" s="17"/>
      <c r="P2204" s="17"/>
      <c r="Q2204" s="17"/>
      <c r="R2204" s="17"/>
      <c r="S2204" s="17"/>
      <c r="T2204" s="17"/>
    </row>
    <row r="2205">
      <c r="A2205" s="21">
        <v>1008.0</v>
      </c>
      <c r="B2205" s="20" t="s">
        <v>13</v>
      </c>
      <c r="C2205" s="20" t="s">
        <v>14</v>
      </c>
      <c r="D2205" s="20" t="s">
        <v>20</v>
      </c>
      <c r="E2205" s="12" t="str">
        <f>IFERROR(__xludf.DUMMYFUNCTION("FILTER(colegios!$B$2:$B5618,colegios!$A$2:$A5618=L2205)"),"6010230 BARBARA D'ACHILLE")</f>
        <v>6010230 BARBARA D'ACHILLE</v>
      </c>
      <c r="F2205" s="14" t="s">
        <v>16</v>
      </c>
      <c r="G2205" s="20" t="s">
        <v>21</v>
      </c>
      <c r="H2205" s="14" t="s">
        <v>18</v>
      </c>
      <c r="I2205" s="22">
        <v>2023.0</v>
      </c>
      <c r="J2205" s="16" t="str">
        <f>IFERROR(__xludf.DUMMYFUNCTION("FILTER('CLASFICACIÓN'!$F$3:$F5618,'CLASFICACIÓN'!$G$3:$G5618=M2205)"),"LOS 3 AÑOS")</f>
        <v>LOS 3 AÑOS</v>
      </c>
      <c r="K2205" s="16"/>
      <c r="L2205" s="14" t="s">
        <v>137</v>
      </c>
      <c r="M2205" s="16" t="str">
        <f t="shared" si="1"/>
        <v>6010230 BARBARA D'ACHILLE4 Primaria</v>
      </c>
      <c r="N2205" s="17"/>
      <c r="O2205" s="17"/>
      <c r="P2205" s="17"/>
      <c r="Q2205" s="17"/>
      <c r="R2205" s="17"/>
      <c r="S2205" s="17"/>
      <c r="T2205" s="17"/>
    </row>
    <row r="2206">
      <c r="A2206" s="21">
        <v>1009.0</v>
      </c>
      <c r="B2206" s="20" t="s">
        <v>13</v>
      </c>
      <c r="C2206" s="20" t="s">
        <v>14</v>
      </c>
      <c r="D2206" s="20" t="s">
        <v>20</v>
      </c>
      <c r="E2206" s="12" t="str">
        <f>IFERROR(__xludf.DUMMYFUNCTION("FILTER(colegios!$B$2:$B5618,colegios!$A$2:$A5618=L2206)"),"6010230 BARBARA D'ACHILLE")</f>
        <v>6010230 BARBARA D'ACHILLE</v>
      </c>
      <c r="F2206" s="14" t="s">
        <v>16</v>
      </c>
      <c r="G2206" s="20" t="s">
        <v>17</v>
      </c>
      <c r="H2206" s="14" t="s">
        <v>18</v>
      </c>
      <c r="I2206" s="22">
        <v>2023.0</v>
      </c>
      <c r="J2206" s="16" t="str">
        <f>IFERROR(__xludf.DUMMYFUNCTION("FILTER('CLASFICACIÓN'!$F$3:$F5618,'CLASFICACIÓN'!$G$3:$G5618=M2206)"),"LOS 3 AÑOS")</f>
        <v>LOS 3 AÑOS</v>
      </c>
      <c r="K2206" s="16"/>
      <c r="L2206" s="14" t="s">
        <v>137</v>
      </c>
      <c r="M2206" s="16" t="str">
        <f t="shared" si="1"/>
        <v>6010230 BARBARA D'ACHILLE4 Primaria</v>
      </c>
      <c r="N2206" s="17"/>
      <c r="O2206" s="17"/>
      <c r="P2206" s="17"/>
      <c r="Q2206" s="17"/>
      <c r="R2206" s="17"/>
      <c r="S2206" s="17"/>
      <c r="T2206" s="17"/>
    </row>
    <row r="2207">
      <c r="A2207" s="21">
        <v>1010.0</v>
      </c>
      <c r="B2207" s="20" t="s">
        <v>13</v>
      </c>
      <c r="C2207" s="20" t="s">
        <v>14</v>
      </c>
      <c r="D2207" s="20" t="s">
        <v>20</v>
      </c>
      <c r="E2207" s="12" t="str">
        <f>IFERROR(__xludf.DUMMYFUNCTION("FILTER(colegios!$B$2:$B5618,colegios!$A$2:$A5618=L2207)"),"6010230 BARBARA D'ACHILLE")</f>
        <v>6010230 BARBARA D'ACHILLE</v>
      </c>
      <c r="F2207" s="14" t="s">
        <v>16</v>
      </c>
      <c r="G2207" s="20" t="s">
        <v>21</v>
      </c>
      <c r="H2207" s="14" t="s">
        <v>18</v>
      </c>
      <c r="I2207" s="22">
        <v>2023.0</v>
      </c>
      <c r="J2207" s="16" t="str">
        <f>IFERROR(__xludf.DUMMYFUNCTION("FILTER('CLASFICACIÓN'!$F$3:$F5618,'CLASFICACIÓN'!$G$3:$G5618=M2207)"),"LOS 3 AÑOS")</f>
        <v>LOS 3 AÑOS</v>
      </c>
      <c r="K2207" s="16"/>
      <c r="L2207" s="14" t="s">
        <v>137</v>
      </c>
      <c r="M2207" s="16" t="str">
        <f t="shared" si="1"/>
        <v>6010230 BARBARA D'ACHILLE4 Primaria</v>
      </c>
      <c r="N2207" s="17"/>
      <c r="O2207" s="17"/>
      <c r="P2207" s="17"/>
      <c r="Q2207" s="17"/>
      <c r="R2207" s="17"/>
      <c r="S2207" s="17"/>
      <c r="T2207" s="17"/>
    </row>
    <row r="2208">
      <c r="A2208" s="21">
        <v>1011.0</v>
      </c>
      <c r="B2208" s="20" t="s">
        <v>13</v>
      </c>
      <c r="C2208" s="20" t="s">
        <v>14</v>
      </c>
      <c r="D2208" s="20" t="s">
        <v>22</v>
      </c>
      <c r="E2208" s="12" t="str">
        <f>IFERROR(__xludf.DUMMYFUNCTION("FILTER(colegios!$B$2:$B5618,colegios!$A$2:$A5618=L2208)"),"6010230 BARBARA D'ACHILLE")</f>
        <v>6010230 BARBARA D'ACHILLE</v>
      </c>
      <c r="F2208" s="14" t="s">
        <v>16</v>
      </c>
      <c r="G2208" s="20" t="s">
        <v>21</v>
      </c>
      <c r="H2208" s="14" t="s">
        <v>18</v>
      </c>
      <c r="I2208" s="22">
        <v>2023.0</v>
      </c>
      <c r="J2208" s="16" t="str">
        <f>IFERROR(__xludf.DUMMYFUNCTION("FILTER('CLASFICACIÓN'!$F$3:$F5618,'CLASFICACIÓN'!$G$3:$G5618=M2208)"),"LOS 3 AÑOS")</f>
        <v>LOS 3 AÑOS</v>
      </c>
      <c r="K2208" s="16"/>
      <c r="L2208" s="14" t="s">
        <v>137</v>
      </c>
      <c r="M2208" s="16" t="str">
        <f t="shared" si="1"/>
        <v>6010230 BARBARA D'ACHILLE6 Primaria</v>
      </c>
      <c r="N2208" s="17"/>
      <c r="O2208" s="17"/>
      <c r="P2208" s="17"/>
      <c r="Q2208" s="17"/>
      <c r="R2208" s="17"/>
      <c r="S2208" s="17"/>
      <c r="T2208" s="17"/>
    </row>
    <row r="2209">
      <c r="A2209" s="21">
        <v>1012.0</v>
      </c>
      <c r="B2209" s="20" t="s">
        <v>13</v>
      </c>
      <c r="C2209" s="20" t="s">
        <v>14</v>
      </c>
      <c r="D2209" s="20" t="s">
        <v>22</v>
      </c>
      <c r="E2209" s="12" t="str">
        <f>IFERROR(__xludf.DUMMYFUNCTION("FILTER(colegios!$B$2:$B5618,colegios!$A$2:$A5618=L2209)"),"6010230 BARBARA D'ACHILLE")</f>
        <v>6010230 BARBARA D'ACHILLE</v>
      </c>
      <c r="F2209" s="14" t="s">
        <v>16</v>
      </c>
      <c r="G2209" s="20" t="s">
        <v>21</v>
      </c>
      <c r="H2209" s="14" t="s">
        <v>18</v>
      </c>
      <c r="I2209" s="22">
        <v>2023.0</v>
      </c>
      <c r="J2209" s="16" t="str">
        <f>IFERROR(__xludf.DUMMYFUNCTION("FILTER('CLASFICACIÓN'!$F$3:$F5618,'CLASFICACIÓN'!$G$3:$G5618=M2209)"),"LOS 3 AÑOS")</f>
        <v>LOS 3 AÑOS</v>
      </c>
      <c r="K2209" s="16"/>
      <c r="L2209" s="14" t="s">
        <v>137</v>
      </c>
      <c r="M2209" s="16" t="str">
        <f t="shared" si="1"/>
        <v>6010230 BARBARA D'ACHILLE6 Primaria</v>
      </c>
      <c r="N2209" s="17"/>
      <c r="O2209" s="17"/>
      <c r="P2209" s="17"/>
      <c r="Q2209" s="17"/>
      <c r="R2209" s="17"/>
      <c r="S2209" s="17"/>
      <c r="T2209" s="17"/>
    </row>
    <row r="2210">
      <c r="A2210" s="21">
        <v>1013.0</v>
      </c>
      <c r="B2210" s="20" t="s">
        <v>13</v>
      </c>
      <c r="C2210" s="20" t="s">
        <v>14</v>
      </c>
      <c r="D2210" s="20" t="s">
        <v>22</v>
      </c>
      <c r="E2210" s="12" t="str">
        <f>IFERROR(__xludf.DUMMYFUNCTION("FILTER(colegios!$B$2:$B5618,colegios!$A$2:$A5618=L2210)"),"6010230 BARBARA D'ACHILLE")</f>
        <v>6010230 BARBARA D'ACHILLE</v>
      </c>
      <c r="F2210" s="14" t="s">
        <v>16</v>
      </c>
      <c r="G2210" s="20" t="s">
        <v>17</v>
      </c>
      <c r="H2210" s="14" t="s">
        <v>18</v>
      </c>
      <c r="I2210" s="22">
        <v>2023.0</v>
      </c>
      <c r="J2210" s="16" t="str">
        <f>IFERROR(__xludf.DUMMYFUNCTION("FILTER('CLASFICACIÓN'!$F$3:$F5618,'CLASFICACIÓN'!$G$3:$G5618=M2210)"),"LOS 3 AÑOS")</f>
        <v>LOS 3 AÑOS</v>
      </c>
      <c r="K2210" s="16"/>
      <c r="L2210" s="14" t="s">
        <v>137</v>
      </c>
      <c r="M2210" s="16" t="str">
        <f t="shared" si="1"/>
        <v>6010230 BARBARA D'ACHILLE6 Primaria</v>
      </c>
      <c r="N2210" s="17"/>
      <c r="O2210" s="17"/>
      <c r="P2210" s="17"/>
      <c r="Q2210" s="17"/>
      <c r="R2210" s="17"/>
      <c r="S2210" s="17"/>
      <c r="T2210" s="17"/>
    </row>
    <row r="2211">
      <c r="A2211" s="21">
        <v>1014.0</v>
      </c>
      <c r="B2211" s="20" t="s">
        <v>13</v>
      </c>
      <c r="C2211" s="20" t="s">
        <v>14</v>
      </c>
      <c r="D2211" s="20" t="s">
        <v>22</v>
      </c>
      <c r="E2211" s="12" t="str">
        <f>IFERROR(__xludf.DUMMYFUNCTION("FILTER(colegios!$B$2:$B5618,colegios!$A$2:$A5618=L2211)"),"6010230 BARBARA D'ACHILLE")</f>
        <v>6010230 BARBARA D'ACHILLE</v>
      </c>
      <c r="F2211" s="14" t="s">
        <v>16</v>
      </c>
      <c r="G2211" s="20" t="s">
        <v>17</v>
      </c>
      <c r="H2211" s="14" t="s">
        <v>18</v>
      </c>
      <c r="I2211" s="22">
        <v>2023.0</v>
      </c>
      <c r="J2211" s="16" t="str">
        <f>IFERROR(__xludf.DUMMYFUNCTION("FILTER('CLASFICACIÓN'!$F$3:$F5618,'CLASFICACIÓN'!$G$3:$G5618=M2211)"),"LOS 3 AÑOS")</f>
        <v>LOS 3 AÑOS</v>
      </c>
      <c r="K2211" s="16"/>
      <c r="L2211" s="14" t="s">
        <v>137</v>
      </c>
      <c r="M2211" s="16" t="str">
        <f t="shared" si="1"/>
        <v>6010230 BARBARA D'ACHILLE6 Primaria</v>
      </c>
      <c r="N2211" s="17"/>
      <c r="O2211" s="17"/>
      <c r="P2211" s="17"/>
      <c r="Q2211" s="17"/>
      <c r="R2211" s="17"/>
      <c r="S2211" s="17"/>
      <c r="T2211" s="17"/>
    </row>
    <row r="2212">
      <c r="A2212" s="21">
        <v>1015.0</v>
      </c>
      <c r="B2212" s="20" t="s">
        <v>13</v>
      </c>
      <c r="C2212" s="20" t="s">
        <v>14</v>
      </c>
      <c r="D2212" s="20" t="s">
        <v>22</v>
      </c>
      <c r="E2212" s="12" t="str">
        <f>IFERROR(__xludf.DUMMYFUNCTION("FILTER(colegios!$B$2:$B5618,colegios!$A$2:$A5618=L2212)"),"6010230 BARBARA D'ACHILLE")</f>
        <v>6010230 BARBARA D'ACHILLE</v>
      </c>
      <c r="F2212" s="14" t="s">
        <v>16</v>
      </c>
      <c r="G2212" s="20" t="s">
        <v>17</v>
      </c>
      <c r="H2212" s="14" t="s">
        <v>18</v>
      </c>
      <c r="I2212" s="22">
        <v>2023.0</v>
      </c>
      <c r="J2212" s="16" t="str">
        <f>IFERROR(__xludf.DUMMYFUNCTION("FILTER('CLASFICACIÓN'!$F$3:$F5618,'CLASFICACIÓN'!$G$3:$G5618=M2212)"),"LOS 3 AÑOS")</f>
        <v>LOS 3 AÑOS</v>
      </c>
      <c r="K2212" s="16"/>
      <c r="L2212" s="14" t="s">
        <v>137</v>
      </c>
      <c r="M2212" s="16" t="str">
        <f t="shared" si="1"/>
        <v>6010230 BARBARA D'ACHILLE6 Primaria</v>
      </c>
      <c r="N2212" s="17"/>
      <c r="O2212" s="17"/>
      <c r="P2212" s="17"/>
      <c r="Q2212" s="17"/>
      <c r="R2212" s="17"/>
      <c r="S2212" s="17"/>
      <c r="T2212" s="17"/>
    </row>
    <row r="2213">
      <c r="A2213" s="21">
        <v>1016.0</v>
      </c>
      <c r="B2213" s="20" t="s">
        <v>13</v>
      </c>
      <c r="C2213" s="20" t="s">
        <v>14</v>
      </c>
      <c r="D2213" s="20" t="s">
        <v>22</v>
      </c>
      <c r="E2213" s="12" t="str">
        <f>IFERROR(__xludf.DUMMYFUNCTION("FILTER(colegios!$B$2:$B5618,colegios!$A$2:$A5618=L2213)"),"6010230 BARBARA D'ACHILLE")</f>
        <v>6010230 BARBARA D'ACHILLE</v>
      </c>
      <c r="F2213" s="14" t="s">
        <v>16</v>
      </c>
      <c r="G2213" s="20" t="s">
        <v>21</v>
      </c>
      <c r="H2213" s="14" t="s">
        <v>18</v>
      </c>
      <c r="I2213" s="22">
        <v>2023.0</v>
      </c>
      <c r="J2213" s="16" t="str">
        <f>IFERROR(__xludf.DUMMYFUNCTION("FILTER('CLASFICACIÓN'!$F$3:$F5618,'CLASFICACIÓN'!$G$3:$G5618=M2213)"),"LOS 3 AÑOS")</f>
        <v>LOS 3 AÑOS</v>
      </c>
      <c r="K2213" s="16"/>
      <c r="L2213" s="14" t="s">
        <v>137</v>
      </c>
      <c r="M2213" s="16" t="str">
        <f t="shared" si="1"/>
        <v>6010230 BARBARA D'ACHILLE6 Primaria</v>
      </c>
      <c r="N2213" s="17"/>
      <c r="O2213" s="17"/>
      <c r="P2213" s="17"/>
      <c r="Q2213" s="17"/>
      <c r="R2213" s="17"/>
      <c r="S2213" s="17"/>
      <c r="T2213" s="17"/>
    </row>
    <row r="2214">
      <c r="A2214" s="21">
        <v>1017.0</v>
      </c>
      <c r="B2214" s="20" t="s">
        <v>13</v>
      </c>
      <c r="C2214" s="20" t="s">
        <v>27</v>
      </c>
      <c r="D2214" s="20" t="s">
        <v>28</v>
      </c>
      <c r="E2214" s="12" t="str">
        <f>IFERROR(__xludf.DUMMYFUNCTION("FILTER(colegios!$B$2:$B5618,colegios!$A$2:$A5618=L2214)"),"6010230 BARBARA D'ACHILLE")</f>
        <v>6010230 BARBARA D'ACHILLE</v>
      </c>
      <c r="F2214" s="14" t="s">
        <v>16</v>
      </c>
      <c r="G2214" s="20" t="s">
        <v>21</v>
      </c>
      <c r="H2214" s="14" t="s">
        <v>18</v>
      </c>
      <c r="I2214" s="22">
        <v>2023.0</v>
      </c>
      <c r="J2214" s="16" t="str">
        <f>IFERROR(__xludf.DUMMYFUNCTION("FILTER('CLASFICACIÓN'!$F$3:$F5618,'CLASFICACIÓN'!$G$3:$G5618=M2214)"),"LOS 3 AÑOS")</f>
        <v>LOS 3 AÑOS</v>
      </c>
      <c r="K2214" s="16"/>
      <c r="L2214" s="14" t="s">
        <v>137</v>
      </c>
      <c r="M2214" s="16" t="str">
        <f t="shared" si="1"/>
        <v>6010230 BARBARA D'ACHILLE2 Secundaria</v>
      </c>
      <c r="N2214" s="17"/>
      <c r="O2214" s="17"/>
      <c r="P2214" s="17"/>
      <c r="Q2214" s="17"/>
      <c r="R2214" s="17"/>
      <c r="S2214" s="17"/>
      <c r="T2214" s="17"/>
    </row>
    <row r="2215">
      <c r="A2215" s="21">
        <v>1018.0</v>
      </c>
      <c r="B2215" s="20" t="s">
        <v>13</v>
      </c>
      <c r="C2215" s="20" t="s">
        <v>27</v>
      </c>
      <c r="D2215" s="20" t="s">
        <v>28</v>
      </c>
      <c r="E2215" s="12" t="str">
        <f>IFERROR(__xludf.DUMMYFUNCTION("FILTER(colegios!$B$2:$B5618,colegios!$A$2:$A5618=L2215)"),"6010230 BARBARA D'ACHILLE")</f>
        <v>6010230 BARBARA D'ACHILLE</v>
      </c>
      <c r="F2215" s="14" t="s">
        <v>16</v>
      </c>
      <c r="G2215" s="20" t="s">
        <v>17</v>
      </c>
      <c r="H2215" s="14" t="s">
        <v>18</v>
      </c>
      <c r="I2215" s="22">
        <v>2023.0</v>
      </c>
      <c r="J2215" s="16" t="str">
        <f>IFERROR(__xludf.DUMMYFUNCTION("FILTER('CLASFICACIÓN'!$F$3:$F5618,'CLASFICACIÓN'!$G$3:$G5618=M2215)"),"LOS 3 AÑOS")</f>
        <v>LOS 3 AÑOS</v>
      </c>
      <c r="K2215" s="16"/>
      <c r="L2215" s="14" t="s">
        <v>137</v>
      </c>
      <c r="M2215" s="16" t="str">
        <f t="shared" si="1"/>
        <v>6010230 BARBARA D'ACHILLE2 Secundaria</v>
      </c>
      <c r="N2215" s="17"/>
      <c r="O2215" s="17"/>
      <c r="P2215" s="17"/>
      <c r="Q2215" s="17"/>
      <c r="R2215" s="17"/>
      <c r="S2215" s="17"/>
      <c r="T2215" s="17"/>
    </row>
    <row r="2216">
      <c r="A2216" s="21">
        <v>1019.0</v>
      </c>
      <c r="B2216" s="20" t="s">
        <v>13</v>
      </c>
      <c r="C2216" s="20" t="s">
        <v>27</v>
      </c>
      <c r="D2216" s="20" t="s">
        <v>28</v>
      </c>
      <c r="E2216" s="12" t="str">
        <f>IFERROR(__xludf.DUMMYFUNCTION("FILTER(colegios!$B$2:$B5618,colegios!$A$2:$A5618=L2216)"),"6010230 BARBARA D'ACHILLE")</f>
        <v>6010230 BARBARA D'ACHILLE</v>
      </c>
      <c r="F2216" s="14" t="s">
        <v>16</v>
      </c>
      <c r="G2216" s="20" t="s">
        <v>21</v>
      </c>
      <c r="H2216" s="14" t="s">
        <v>18</v>
      </c>
      <c r="I2216" s="22">
        <v>2023.0</v>
      </c>
      <c r="J2216" s="16" t="str">
        <f>IFERROR(__xludf.DUMMYFUNCTION("FILTER('CLASFICACIÓN'!$F$3:$F5618,'CLASFICACIÓN'!$G$3:$G5618=M2216)"),"LOS 3 AÑOS")</f>
        <v>LOS 3 AÑOS</v>
      </c>
      <c r="K2216" s="16"/>
      <c r="L2216" s="14" t="s">
        <v>137</v>
      </c>
      <c r="M2216" s="16" t="str">
        <f t="shared" si="1"/>
        <v>6010230 BARBARA D'ACHILLE2 Secundaria</v>
      </c>
      <c r="N2216" s="17"/>
      <c r="O2216" s="17"/>
      <c r="P2216" s="17"/>
      <c r="Q2216" s="17"/>
      <c r="R2216" s="17"/>
      <c r="S2216" s="17"/>
      <c r="T2216" s="17"/>
    </row>
    <row r="2217">
      <c r="A2217" s="21">
        <v>1020.0</v>
      </c>
      <c r="B2217" s="20" t="s">
        <v>13</v>
      </c>
      <c r="C2217" s="20" t="s">
        <v>27</v>
      </c>
      <c r="D2217" s="20" t="s">
        <v>28</v>
      </c>
      <c r="E2217" s="12" t="str">
        <f>IFERROR(__xludf.DUMMYFUNCTION("FILTER(colegios!$B$2:$B5618,colegios!$A$2:$A5618=L2217)"),"6010230 BARBARA D'ACHILLE")</f>
        <v>6010230 BARBARA D'ACHILLE</v>
      </c>
      <c r="F2217" s="14" t="s">
        <v>16</v>
      </c>
      <c r="G2217" s="20" t="s">
        <v>17</v>
      </c>
      <c r="H2217" s="14" t="s">
        <v>24</v>
      </c>
      <c r="I2217" s="22">
        <v>2023.0</v>
      </c>
      <c r="J2217" s="16" t="str">
        <f>IFERROR(__xludf.DUMMYFUNCTION("FILTER('CLASFICACIÓN'!$F$3:$F5618,'CLASFICACIÓN'!$G$3:$G5618=M2217)"),"LOS 3 AÑOS")</f>
        <v>LOS 3 AÑOS</v>
      </c>
      <c r="K2217" s="16"/>
      <c r="L2217" s="14" t="s">
        <v>137</v>
      </c>
      <c r="M2217" s="16" t="str">
        <f t="shared" si="1"/>
        <v>6010230 BARBARA D'ACHILLE2 Secundaria</v>
      </c>
      <c r="N2217" s="17"/>
      <c r="O2217" s="17"/>
      <c r="P2217" s="17"/>
      <c r="Q2217" s="17"/>
      <c r="R2217" s="17"/>
      <c r="S2217" s="17"/>
      <c r="T2217" s="17"/>
    </row>
    <row r="2218">
      <c r="A2218" s="21">
        <v>1021.0</v>
      </c>
      <c r="B2218" s="20" t="s">
        <v>13</v>
      </c>
      <c r="C2218" s="20" t="s">
        <v>27</v>
      </c>
      <c r="D2218" s="20" t="s">
        <v>28</v>
      </c>
      <c r="E2218" s="12" t="str">
        <f>IFERROR(__xludf.DUMMYFUNCTION("FILTER(colegios!$B$2:$B5618,colegios!$A$2:$A5618=L2218)"),"6010230 BARBARA D'ACHILLE")</f>
        <v>6010230 BARBARA D'ACHILLE</v>
      </c>
      <c r="F2218" s="14" t="s">
        <v>16</v>
      </c>
      <c r="G2218" s="20" t="s">
        <v>17</v>
      </c>
      <c r="H2218" s="14" t="s">
        <v>18</v>
      </c>
      <c r="I2218" s="22">
        <v>2023.0</v>
      </c>
      <c r="J2218" s="16" t="str">
        <f>IFERROR(__xludf.DUMMYFUNCTION("FILTER('CLASFICACIÓN'!$F$3:$F5618,'CLASFICACIÓN'!$G$3:$G5618=M2218)"),"LOS 3 AÑOS")</f>
        <v>LOS 3 AÑOS</v>
      </c>
      <c r="K2218" s="16"/>
      <c r="L2218" s="14" t="s">
        <v>137</v>
      </c>
      <c r="M2218" s="16" t="str">
        <f t="shared" si="1"/>
        <v>6010230 BARBARA D'ACHILLE2 Secundaria</v>
      </c>
      <c r="N2218" s="17"/>
      <c r="O2218" s="17"/>
      <c r="P2218" s="17"/>
      <c r="Q2218" s="17"/>
      <c r="R2218" s="17"/>
      <c r="S2218" s="17"/>
      <c r="T2218" s="17"/>
    </row>
    <row r="2219">
      <c r="A2219" s="21">
        <v>1022.0</v>
      </c>
      <c r="B2219" s="20" t="s">
        <v>13</v>
      </c>
      <c r="C2219" s="20" t="s">
        <v>27</v>
      </c>
      <c r="D2219" s="20" t="s">
        <v>28</v>
      </c>
      <c r="E2219" s="12" t="str">
        <f>IFERROR(__xludf.DUMMYFUNCTION("FILTER(colegios!$B$2:$B5618,colegios!$A$2:$A5618=L2219)"),"6010230 BARBARA D'ACHILLE")</f>
        <v>6010230 BARBARA D'ACHILLE</v>
      </c>
      <c r="F2219" s="14" t="s">
        <v>16</v>
      </c>
      <c r="G2219" s="20" t="s">
        <v>21</v>
      </c>
      <c r="H2219" s="14" t="s">
        <v>18</v>
      </c>
      <c r="I2219" s="22">
        <v>2023.0</v>
      </c>
      <c r="J2219" s="16" t="str">
        <f>IFERROR(__xludf.DUMMYFUNCTION("FILTER('CLASFICACIÓN'!$F$3:$F5618,'CLASFICACIÓN'!$G$3:$G5618=M2219)"),"LOS 3 AÑOS")</f>
        <v>LOS 3 AÑOS</v>
      </c>
      <c r="K2219" s="16"/>
      <c r="L2219" s="14" t="s">
        <v>137</v>
      </c>
      <c r="M2219" s="16" t="str">
        <f t="shared" si="1"/>
        <v>6010230 BARBARA D'ACHILLE2 Secundaria</v>
      </c>
      <c r="N2219" s="17"/>
      <c r="O2219" s="17"/>
      <c r="P2219" s="17"/>
      <c r="Q2219" s="17"/>
      <c r="R2219" s="17"/>
      <c r="S2219" s="17"/>
      <c r="T2219" s="17"/>
    </row>
    <row r="2220">
      <c r="A2220" s="21">
        <v>1023.0</v>
      </c>
      <c r="B2220" s="20" t="s">
        <v>13</v>
      </c>
      <c r="C2220" s="20" t="s">
        <v>27</v>
      </c>
      <c r="D2220" s="20" t="s">
        <v>28</v>
      </c>
      <c r="E2220" s="12" t="str">
        <f>IFERROR(__xludf.DUMMYFUNCTION("FILTER(colegios!$B$2:$B5618,colegios!$A$2:$A5618=L2220)"),"6010230 BARBARA D'ACHILLE")</f>
        <v>6010230 BARBARA D'ACHILLE</v>
      </c>
      <c r="F2220" s="14" t="s">
        <v>16</v>
      </c>
      <c r="G2220" s="20" t="s">
        <v>21</v>
      </c>
      <c r="H2220" s="14" t="s">
        <v>18</v>
      </c>
      <c r="I2220" s="22">
        <v>2023.0</v>
      </c>
      <c r="J2220" s="16" t="str">
        <f>IFERROR(__xludf.DUMMYFUNCTION("FILTER('CLASFICACIÓN'!$F$3:$F5618,'CLASFICACIÓN'!$G$3:$G5618=M2220)"),"LOS 3 AÑOS")</f>
        <v>LOS 3 AÑOS</v>
      </c>
      <c r="K2220" s="16"/>
      <c r="L2220" s="14" t="s">
        <v>137</v>
      </c>
      <c r="M2220" s="16" t="str">
        <f t="shared" si="1"/>
        <v>6010230 BARBARA D'ACHILLE2 Secundaria</v>
      </c>
      <c r="N2220" s="17"/>
      <c r="O2220" s="17"/>
      <c r="P2220" s="17"/>
      <c r="Q2220" s="17"/>
      <c r="R2220" s="17"/>
      <c r="S2220" s="17"/>
      <c r="T2220" s="17"/>
    </row>
    <row r="2221">
      <c r="A2221" s="21">
        <v>1024.0</v>
      </c>
      <c r="B2221" s="20" t="s">
        <v>13</v>
      </c>
      <c r="C2221" s="20" t="s">
        <v>27</v>
      </c>
      <c r="D2221" s="20" t="s">
        <v>28</v>
      </c>
      <c r="E2221" s="12" t="str">
        <f>IFERROR(__xludf.DUMMYFUNCTION("FILTER(colegios!$B$2:$B5618,colegios!$A$2:$A5618=L2221)"),"6010230 BARBARA D'ACHILLE")</f>
        <v>6010230 BARBARA D'ACHILLE</v>
      </c>
      <c r="F2221" s="14" t="s">
        <v>16</v>
      </c>
      <c r="G2221" s="20" t="s">
        <v>17</v>
      </c>
      <c r="H2221" s="14" t="s">
        <v>18</v>
      </c>
      <c r="I2221" s="22">
        <v>2023.0</v>
      </c>
      <c r="J2221" s="16" t="str">
        <f>IFERROR(__xludf.DUMMYFUNCTION("FILTER('CLASFICACIÓN'!$F$3:$F5618,'CLASFICACIÓN'!$G$3:$G5618=M2221)"),"LOS 3 AÑOS")</f>
        <v>LOS 3 AÑOS</v>
      </c>
      <c r="K2221" s="16"/>
      <c r="L2221" s="14" t="s">
        <v>137</v>
      </c>
      <c r="M2221" s="16" t="str">
        <f t="shared" si="1"/>
        <v>6010230 BARBARA D'ACHILLE2 Secundaria</v>
      </c>
      <c r="N2221" s="17"/>
      <c r="O2221" s="17"/>
      <c r="P2221" s="17"/>
      <c r="Q2221" s="17"/>
      <c r="R2221" s="17"/>
      <c r="S2221" s="17"/>
      <c r="T2221" s="17"/>
    </row>
    <row r="2222">
      <c r="A2222" s="21">
        <v>1025.0</v>
      </c>
      <c r="B2222" s="20" t="s">
        <v>13</v>
      </c>
      <c r="C2222" s="20" t="s">
        <v>27</v>
      </c>
      <c r="D2222" s="20" t="s">
        <v>28</v>
      </c>
      <c r="E2222" s="12" t="str">
        <f>IFERROR(__xludf.DUMMYFUNCTION("FILTER(colegios!$B$2:$B5618,colegios!$A$2:$A5618=L2222)"),"6010230 BARBARA D'ACHILLE")</f>
        <v>6010230 BARBARA D'ACHILLE</v>
      </c>
      <c r="F2222" s="14" t="s">
        <v>16</v>
      </c>
      <c r="G2222" s="20" t="s">
        <v>21</v>
      </c>
      <c r="H2222" s="14" t="s">
        <v>18</v>
      </c>
      <c r="I2222" s="22">
        <v>2023.0</v>
      </c>
      <c r="J2222" s="16" t="str">
        <f>IFERROR(__xludf.DUMMYFUNCTION("FILTER('CLASFICACIÓN'!$F$3:$F5618,'CLASFICACIÓN'!$G$3:$G5618=M2222)"),"LOS 3 AÑOS")</f>
        <v>LOS 3 AÑOS</v>
      </c>
      <c r="K2222" s="16"/>
      <c r="L2222" s="14" t="s">
        <v>137</v>
      </c>
      <c r="M2222" s="16" t="str">
        <f t="shared" si="1"/>
        <v>6010230 BARBARA D'ACHILLE2 Secundaria</v>
      </c>
      <c r="N2222" s="17"/>
      <c r="O2222" s="17"/>
      <c r="P2222" s="17"/>
      <c r="Q2222" s="17"/>
      <c r="R2222" s="17"/>
      <c r="S2222" s="17"/>
      <c r="T2222" s="17"/>
    </row>
    <row r="2223">
      <c r="A2223" s="21">
        <v>1026.0</v>
      </c>
      <c r="B2223" s="20" t="s">
        <v>13</v>
      </c>
      <c r="C2223" s="20" t="s">
        <v>27</v>
      </c>
      <c r="D2223" s="20" t="s">
        <v>30</v>
      </c>
      <c r="E2223" s="12" t="str">
        <f>IFERROR(__xludf.DUMMYFUNCTION("FILTER(colegios!$B$2:$B5618,colegios!$A$2:$A5618=L2223)"),"6010230 BARBARA D'ACHILLE")</f>
        <v>6010230 BARBARA D'ACHILLE</v>
      </c>
      <c r="F2223" s="14" t="s">
        <v>16</v>
      </c>
      <c r="G2223" s="20" t="s">
        <v>17</v>
      </c>
      <c r="H2223" s="14" t="s">
        <v>18</v>
      </c>
      <c r="I2223" s="22">
        <v>2023.0</v>
      </c>
      <c r="J2223" s="16" t="str">
        <f>IFERROR(__xludf.DUMMYFUNCTION("FILTER('CLASFICACIÓN'!$F$3:$F5618,'CLASFICACIÓN'!$G$3:$G5618=M2223)"),"LOS 3 AÑOS")</f>
        <v>LOS 3 AÑOS</v>
      </c>
      <c r="K2223" s="16"/>
      <c r="L2223" s="14" t="s">
        <v>137</v>
      </c>
      <c r="M2223" s="16" t="str">
        <f t="shared" si="1"/>
        <v>6010230 BARBARA D'ACHILLE4 Secundaria</v>
      </c>
      <c r="N2223" s="17"/>
      <c r="O2223" s="17"/>
      <c r="P2223" s="17"/>
      <c r="Q2223" s="17"/>
      <c r="R2223" s="17"/>
      <c r="S2223" s="17"/>
      <c r="T2223" s="17"/>
    </row>
    <row r="2224">
      <c r="A2224" s="21">
        <v>1027.0</v>
      </c>
      <c r="B2224" s="20" t="s">
        <v>13</v>
      </c>
      <c r="C2224" s="20" t="s">
        <v>27</v>
      </c>
      <c r="D2224" s="20" t="s">
        <v>30</v>
      </c>
      <c r="E2224" s="12" t="str">
        <f>IFERROR(__xludf.DUMMYFUNCTION("FILTER(colegios!$B$2:$B5618,colegios!$A$2:$A5618=L2224)"),"6010230 BARBARA D'ACHILLE")</f>
        <v>6010230 BARBARA D'ACHILLE</v>
      </c>
      <c r="F2224" s="14" t="s">
        <v>16</v>
      </c>
      <c r="G2224" s="20" t="s">
        <v>17</v>
      </c>
      <c r="H2224" s="14" t="s">
        <v>18</v>
      </c>
      <c r="I2224" s="22">
        <v>2023.0</v>
      </c>
      <c r="J2224" s="16" t="str">
        <f>IFERROR(__xludf.DUMMYFUNCTION("FILTER('CLASFICACIÓN'!$F$3:$F5618,'CLASFICACIÓN'!$G$3:$G5618=M2224)"),"LOS 3 AÑOS")</f>
        <v>LOS 3 AÑOS</v>
      </c>
      <c r="K2224" s="16"/>
      <c r="L2224" s="14" t="s">
        <v>137</v>
      </c>
      <c r="M2224" s="16" t="str">
        <f t="shared" si="1"/>
        <v>6010230 BARBARA D'ACHILLE4 Secundaria</v>
      </c>
      <c r="N2224" s="17"/>
      <c r="O2224" s="17"/>
      <c r="P2224" s="17"/>
      <c r="Q2224" s="17"/>
      <c r="R2224" s="17"/>
      <c r="S2224" s="17"/>
      <c r="T2224" s="17"/>
    </row>
    <row r="2225">
      <c r="A2225" s="21">
        <v>1028.0</v>
      </c>
      <c r="B2225" s="20" t="s">
        <v>13</v>
      </c>
      <c r="C2225" s="20" t="s">
        <v>27</v>
      </c>
      <c r="D2225" s="20" t="s">
        <v>30</v>
      </c>
      <c r="E2225" s="12" t="str">
        <f>IFERROR(__xludf.DUMMYFUNCTION("FILTER(colegios!$B$2:$B5618,colegios!$A$2:$A5618=L2225)"),"6010230 BARBARA D'ACHILLE")</f>
        <v>6010230 BARBARA D'ACHILLE</v>
      </c>
      <c r="F2225" s="14" t="s">
        <v>16</v>
      </c>
      <c r="G2225" s="20" t="s">
        <v>17</v>
      </c>
      <c r="H2225" s="14" t="s">
        <v>18</v>
      </c>
      <c r="I2225" s="22">
        <v>2023.0</v>
      </c>
      <c r="J2225" s="16" t="str">
        <f>IFERROR(__xludf.DUMMYFUNCTION("FILTER('CLASFICACIÓN'!$F$3:$F5618,'CLASFICACIÓN'!$G$3:$G5618=M2225)"),"LOS 3 AÑOS")</f>
        <v>LOS 3 AÑOS</v>
      </c>
      <c r="K2225" s="16"/>
      <c r="L2225" s="14" t="s">
        <v>137</v>
      </c>
      <c r="M2225" s="16" t="str">
        <f t="shared" si="1"/>
        <v>6010230 BARBARA D'ACHILLE4 Secundaria</v>
      </c>
      <c r="N2225" s="17"/>
      <c r="O2225" s="17"/>
      <c r="P2225" s="17"/>
      <c r="Q2225" s="17"/>
      <c r="R2225" s="17"/>
      <c r="S2225" s="17"/>
      <c r="T2225" s="17"/>
    </row>
    <row r="2226">
      <c r="A2226" s="21">
        <v>1029.0</v>
      </c>
      <c r="B2226" s="20" t="s">
        <v>13</v>
      </c>
      <c r="C2226" s="20" t="s">
        <v>27</v>
      </c>
      <c r="D2226" s="20" t="s">
        <v>30</v>
      </c>
      <c r="E2226" s="12" t="str">
        <f>IFERROR(__xludf.DUMMYFUNCTION("FILTER(colegios!$B$2:$B5618,colegios!$A$2:$A5618=L2226)"),"6010230 BARBARA D'ACHILLE")</f>
        <v>6010230 BARBARA D'ACHILLE</v>
      </c>
      <c r="F2226" s="14" t="s">
        <v>16</v>
      </c>
      <c r="G2226" s="20" t="s">
        <v>21</v>
      </c>
      <c r="H2226" s="14" t="s">
        <v>18</v>
      </c>
      <c r="I2226" s="22">
        <v>2023.0</v>
      </c>
      <c r="J2226" s="16" t="str">
        <f>IFERROR(__xludf.DUMMYFUNCTION("FILTER('CLASFICACIÓN'!$F$3:$F5618,'CLASFICACIÓN'!$G$3:$G5618=M2226)"),"LOS 3 AÑOS")</f>
        <v>LOS 3 AÑOS</v>
      </c>
      <c r="K2226" s="16"/>
      <c r="L2226" s="14" t="s">
        <v>137</v>
      </c>
      <c r="M2226" s="16" t="str">
        <f t="shared" si="1"/>
        <v>6010230 BARBARA D'ACHILLE4 Secundaria</v>
      </c>
      <c r="N2226" s="17"/>
      <c r="O2226" s="17"/>
      <c r="P2226" s="17"/>
      <c r="Q2226" s="17"/>
      <c r="R2226" s="17"/>
      <c r="S2226" s="17"/>
      <c r="T2226" s="17"/>
    </row>
    <row r="2227">
      <c r="A2227" s="21">
        <v>1030.0</v>
      </c>
      <c r="B2227" s="20" t="s">
        <v>13</v>
      </c>
      <c r="C2227" s="20" t="s">
        <v>27</v>
      </c>
      <c r="D2227" s="20" t="s">
        <v>30</v>
      </c>
      <c r="E2227" s="12" t="str">
        <f>IFERROR(__xludf.DUMMYFUNCTION("FILTER(colegios!$B$2:$B5618,colegios!$A$2:$A5618=L2227)"),"6010230 BARBARA D'ACHILLE")</f>
        <v>6010230 BARBARA D'ACHILLE</v>
      </c>
      <c r="F2227" s="14" t="s">
        <v>16</v>
      </c>
      <c r="G2227" s="20" t="s">
        <v>21</v>
      </c>
      <c r="H2227" s="14" t="s">
        <v>18</v>
      </c>
      <c r="I2227" s="22">
        <v>2023.0</v>
      </c>
      <c r="J2227" s="16" t="str">
        <f>IFERROR(__xludf.DUMMYFUNCTION("FILTER('CLASFICACIÓN'!$F$3:$F5618,'CLASFICACIÓN'!$G$3:$G5618=M2227)"),"LOS 3 AÑOS")</f>
        <v>LOS 3 AÑOS</v>
      </c>
      <c r="K2227" s="16"/>
      <c r="L2227" s="14" t="s">
        <v>137</v>
      </c>
      <c r="M2227" s="16" t="str">
        <f t="shared" si="1"/>
        <v>6010230 BARBARA D'ACHILLE4 Secundaria</v>
      </c>
      <c r="N2227" s="17"/>
      <c r="O2227" s="17"/>
      <c r="P2227" s="17"/>
      <c r="Q2227" s="17"/>
      <c r="R2227" s="17"/>
      <c r="S2227" s="17"/>
      <c r="T2227" s="17"/>
    </row>
    <row r="2228">
      <c r="A2228" s="21">
        <v>1031.0</v>
      </c>
      <c r="B2228" s="20" t="s">
        <v>13</v>
      </c>
      <c r="C2228" s="20" t="s">
        <v>27</v>
      </c>
      <c r="D2228" s="20" t="s">
        <v>30</v>
      </c>
      <c r="E2228" s="12" t="str">
        <f>IFERROR(__xludf.DUMMYFUNCTION("FILTER(colegios!$B$2:$B5618,colegios!$A$2:$A5618=L2228)"),"6010230 BARBARA D'ACHILLE")</f>
        <v>6010230 BARBARA D'ACHILLE</v>
      </c>
      <c r="F2228" s="14" t="s">
        <v>16</v>
      </c>
      <c r="G2228" s="20" t="s">
        <v>21</v>
      </c>
      <c r="H2228" s="14" t="s">
        <v>18</v>
      </c>
      <c r="I2228" s="22">
        <v>2023.0</v>
      </c>
      <c r="J2228" s="16" t="str">
        <f>IFERROR(__xludf.DUMMYFUNCTION("FILTER('CLASFICACIÓN'!$F$3:$F5618,'CLASFICACIÓN'!$G$3:$G5618=M2228)"),"LOS 3 AÑOS")</f>
        <v>LOS 3 AÑOS</v>
      </c>
      <c r="K2228" s="16"/>
      <c r="L2228" s="14" t="s">
        <v>137</v>
      </c>
      <c r="M2228" s="16" t="str">
        <f t="shared" si="1"/>
        <v>6010230 BARBARA D'ACHILLE4 Secundaria</v>
      </c>
      <c r="N2228" s="17"/>
      <c r="O2228" s="17"/>
      <c r="P2228" s="17"/>
      <c r="Q2228" s="17"/>
      <c r="R2228" s="17"/>
      <c r="S2228" s="17"/>
      <c r="T2228" s="17"/>
    </row>
    <row r="2229">
      <c r="A2229" s="21">
        <v>1032.0</v>
      </c>
      <c r="B2229" s="20" t="s">
        <v>13</v>
      </c>
      <c r="C2229" s="20" t="s">
        <v>14</v>
      </c>
      <c r="D2229" s="20" t="s">
        <v>15</v>
      </c>
      <c r="E2229" s="12" t="str">
        <f>IFERROR(__xludf.DUMMYFUNCTION("FILTER(colegios!$B$2:$B5618,colegios!$A$2:$A5618=L2229)"),"60133")</f>
        <v>60133</v>
      </c>
      <c r="F2229" s="14" t="s">
        <v>16</v>
      </c>
      <c r="G2229" s="20" t="s">
        <v>21</v>
      </c>
      <c r="H2229" s="14" t="s">
        <v>24</v>
      </c>
      <c r="I2229" s="22">
        <v>2023.0</v>
      </c>
      <c r="J2229" s="16" t="str">
        <f>IFERROR(__xludf.DUMMYFUNCTION("FILTER('CLASFICACIÓN'!$F$3:$F5618,'CLASFICACIÓN'!$G$3:$G5618=M2229)"),"LOS 3 AÑOS")</f>
        <v>LOS 3 AÑOS</v>
      </c>
      <c r="K2229" s="16"/>
      <c r="L2229" s="14" t="s">
        <v>138</v>
      </c>
      <c r="M2229" s="16" t="str">
        <f t="shared" si="1"/>
        <v>601332 Primaria</v>
      </c>
      <c r="N2229" s="17"/>
      <c r="O2229" s="17"/>
      <c r="P2229" s="17"/>
      <c r="Q2229" s="17"/>
      <c r="R2229" s="17"/>
      <c r="S2229" s="17"/>
      <c r="T2229" s="17"/>
    </row>
    <row r="2230">
      <c r="A2230" s="21">
        <v>1033.0</v>
      </c>
      <c r="B2230" s="20" t="s">
        <v>13</v>
      </c>
      <c r="C2230" s="20" t="s">
        <v>14</v>
      </c>
      <c r="D2230" s="20" t="s">
        <v>15</v>
      </c>
      <c r="E2230" s="12" t="str">
        <f>IFERROR(__xludf.DUMMYFUNCTION("FILTER(colegios!$B$2:$B5618,colegios!$A$2:$A5618=L2230)"),"60133")</f>
        <v>60133</v>
      </c>
      <c r="F2230" s="14" t="s">
        <v>16</v>
      </c>
      <c r="G2230" s="20" t="s">
        <v>17</v>
      </c>
      <c r="H2230" s="14" t="s">
        <v>18</v>
      </c>
      <c r="I2230" s="22">
        <v>2023.0</v>
      </c>
      <c r="J2230" s="16" t="str">
        <f>IFERROR(__xludf.DUMMYFUNCTION("FILTER('CLASFICACIÓN'!$F$3:$F5618,'CLASFICACIÓN'!$G$3:$G5618=M2230)"),"LOS 3 AÑOS")</f>
        <v>LOS 3 AÑOS</v>
      </c>
      <c r="K2230" s="16"/>
      <c r="L2230" s="14" t="s">
        <v>138</v>
      </c>
      <c r="M2230" s="16" t="str">
        <f t="shared" si="1"/>
        <v>601332 Primaria</v>
      </c>
      <c r="N2230" s="17"/>
      <c r="O2230" s="17"/>
      <c r="P2230" s="17"/>
      <c r="Q2230" s="17"/>
      <c r="R2230" s="17"/>
      <c r="S2230" s="17"/>
      <c r="T2230" s="17"/>
    </row>
    <row r="2231">
      <c r="A2231" s="21">
        <v>1034.0</v>
      </c>
      <c r="B2231" s="20" t="s">
        <v>13</v>
      </c>
      <c r="C2231" s="20" t="s">
        <v>14</v>
      </c>
      <c r="D2231" s="20" t="s">
        <v>15</v>
      </c>
      <c r="E2231" s="12" t="str">
        <f>IFERROR(__xludf.DUMMYFUNCTION("FILTER(colegios!$B$2:$B5618,colegios!$A$2:$A5618=L2231)"),"60133")</f>
        <v>60133</v>
      </c>
      <c r="F2231" s="14" t="s">
        <v>16</v>
      </c>
      <c r="G2231" s="20" t="s">
        <v>17</v>
      </c>
      <c r="H2231" s="14" t="s">
        <v>18</v>
      </c>
      <c r="I2231" s="22">
        <v>2023.0</v>
      </c>
      <c r="J2231" s="16" t="str">
        <f>IFERROR(__xludf.DUMMYFUNCTION("FILTER('CLASFICACIÓN'!$F$3:$F5618,'CLASFICACIÓN'!$G$3:$G5618=M2231)"),"LOS 3 AÑOS")</f>
        <v>LOS 3 AÑOS</v>
      </c>
      <c r="K2231" s="16"/>
      <c r="L2231" s="14" t="s">
        <v>138</v>
      </c>
      <c r="M2231" s="16" t="str">
        <f t="shared" si="1"/>
        <v>601332 Primaria</v>
      </c>
      <c r="N2231" s="17"/>
      <c r="O2231" s="17"/>
      <c r="P2231" s="17"/>
      <c r="Q2231" s="17"/>
      <c r="R2231" s="17"/>
      <c r="S2231" s="17"/>
      <c r="T2231" s="17"/>
    </row>
    <row r="2232">
      <c r="A2232" s="21">
        <v>1035.0</v>
      </c>
      <c r="B2232" s="20" t="s">
        <v>13</v>
      </c>
      <c r="C2232" s="20" t="s">
        <v>14</v>
      </c>
      <c r="D2232" s="20" t="s">
        <v>15</v>
      </c>
      <c r="E2232" s="12" t="str">
        <f>IFERROR(__xludf.DUMMYFUNCTION("FILTER(colegios!$B$2:$B5618,colegios!$A$2:$A5618=L2232)"),"60133")</f>
        <v>60133</v>
      </c>
      <c r="F2232" s="14" t="s">
        <v>16</v>
      </c>
      <c r="G2232" s="20" t="s">
        <v>17</v>
      </c>
      <c r="H2232" s="14" t="s">
        <v>24</v>
      </c>
      <c r="I2232" s="22">
        <v>2023.0</v>
      </c>
      <c r="J2232" s="16" t="str">
        <f>IFERROR(__xludf.DUMMYFUNCTION("FILTER('CLASFICACIÓN'!$F$3:$F5618,'CLASFICACIÓN'!$G$3:$G5618=M2232)"),"LOS 3 AÑOS")</f>
        <v>LOS 3 AÑOS</v>
      </c>
      <c r="K2232" s="16"/>
      <c r="L2232" s="14" t="s">
        <v>138</v>
      </c>
      <c r="M2232" s="16" t="str">
        <f t="shared" si="1"/>
        <v>601332 Primaria</v>
      </c>
      <c r="N2232" s="17"/>
      <c r="O2232" s="17"/>
      <c r="P2232" s="17"/>
      <c r="Q2232" s="17"/>
      <c r="R2232" s="17"/>
      <c r="S2232" s="17"/>
      <c r="T2232" s="17"/>
    </row>
    <row r="2233">
      <c r="A2233" s="21">
        <v>1036.0</v>
      </c>
      <c r="B2233" s="20" t="s">
        <v>13</v>
      </c>
      <c r="C2233" s="20" t="s">
        <v>14</v>
      </c>
      <c r="D2233" s="20" t="s">
        <v>15</v>
      </c>
      <c r="E2233" s="12" t="str">
        <f>IFERROR(__xludf.DUMMYFUNCTION("FILTER(colegios!$B$2:$B5618,colegios!$A$2:$A5618=L2233)"),"60133")</f>
        <v>60133</v>
      </c>
      <c r="F2233" s="14" t="s">
        <v>16</v>
      </c>
      <c r="G2233" s="20" t="s">
        <v>17</v>
      </c>
      <c r="H2233" s="14" t="s">
        <v>24</v>
      </c>
      <c r="I2233" s="22">
        <v>2023.0</v>
      </c>
      <c r="J2233" s="16" t="str">
        <f>IFERROR(__xludf.DUMMYFUNCTION("FILTER('CLASFICACIÓN'!$F$3:$F5618,'CLASFICACIÓN'!$G$3:$G5618=M2233)"),"LOS 3 AÑOS")</f>
        <v>LOS 3 AÑOS</v>
      </c>
      <c r="K2233" s="16"/>
      <c r="L2233" s="14" t="s">
        <v>138</v>
      </c>
      <c r="M2233" s="16" t="str">
        <f t="shared" si="1"/>
        <v>601332 Primaria</v>
      </c>
      <c r="N2233" s="17"/>
      <c r="O2233" s="17"/>
      <c r="P2233" s="17"/>
      <c r="Q2233" s="17"/>
      <c r="R2233" s="17"/>
      <c r="S2233" s="17"/>
      <c r="T2233" s="17"/>
    </row>
    <row r="2234">
      <c r="A2234" s="21">
        <v>1037.0</v>
      </c>
      <c r="B2234" s="20" t="s">
        <v>13</v>
      </c>
      <c r="C2234" s="20" t="s">
        <v>14</v>
      </c>
      <c r="D2234" s="20" t="s">
        <v>15</v>
      </c>
      <c r="E2234" s="12" t="str">
        <f>IFERROR(__xludf.DUMMYFUNCTION("FILTER(colegios!$B$2:$B5618,colegios!$A$2:$A5618=L2234)"),"60133")</f>
        <v>60133</v>
      </c>
      <c r="F2234" s="14" t="s">
        <v>16</v>
      </c>
      <c r="G2234" s="20" t="s">
        <v>21</v>
      </c>
      <c r="H2234" s="14" t="s">
        <v>18</v>
      </c>
      <c r="I2234" s="22">
        <v>2023.0</v>
      </c>
      <c r="J2234" s="16" t="str">
        <f>IFERROR(__xludf.DUMMYFUNCTION("FILTER('CLASFICACIÓN'!$F$3:$F5618,'CLASFICACIÓN'!$G$3:$G5618=M2234)"),"LOS 3 AÑOS")</f>
        <v>LOS 3 AÑOS</v>
      </c>
      <c r="K2234" s="16"/>
      <c r="L2234" s="14" t="s">
        <v>138</v>
      </c>
      <c r="M2234" s="16" t="str">
        <f t="shared" si="1"/>
        <v>601332 Primaria</v>
      </c>
      <c r="N2234" s="17"/>
      <c r="O2234" s="17"/>
      <c r="P2234" s="17"/>
      <c r="Q2234" s="17"/>
      <c r="R2234" s="17"/>
      <c r="S2234" s="17"/>
      <c r="T2234" s="17"/>
    </row>
    <row r="2235">
      <c r="A2235" s="21">
        <v>1038.0</v>
      </c>
      <c r="B2235" s="20" t="s">
        <v>13</v>
      </c>
      <c r="C2235" s="20" t="s">
        <v>14</v>
      </c>
      <c r="D2235" s="20" t="s">
        <v>15</v>
      </c>
      <c r="E2235" s="12" t="str">
        <f>IFERROR(__xludf.DUMMYFUNCTION("FILTER(colegios!$B$2:$B5618,colegios!$A$2:$A5618=L2235)"),"60133")</f>
        <v>60133</v>
      </c>
      <c r="F2235" s="14" t="s">
        <v>16</v>
      </c>
      <c r="G2235" s="20" t="s">
        <v>17</v>
      </c>
      <c r="H2235" s="14" t="s">
        <v>24</v>
      </c>
      <c r="I2235" s="22">
        <v>2023.0</v>
      </c>
      <c r="J2235" s="16" t="str">
        <f>IFERROR(__xludf.DUMMYFUNCTION("FILTER('CLASFICACIÓN'!$F$3:$F5618,'CLASFICACIÓN'!$G$3:$G5618=M2235)"),"LOS 3 AÑOS")</f>
        <v>LOS 3 AÑOS</v>
      </c>
      <c r="K2235" s="16"/>
      <c r="L2235" s="14" t="s">
        <v>138</v>
      </c>
      <c r="M2235" s="16" t="str">
        <f t="shared" si="1"/>
        <v>601332 Primaria</v>
      </c>
      <c r="N2235" s="17"/>
      <c r="O2235" s="17"/>
      <c r="P2235" s="17"/>
      <c r="Q2235" s="17"/>
      <c r="R2235" s="17"/>
      <c r="S2235" s="17"/>
      <c r="T2235" s="17"/>
    </row>
    <row r="2236">
      <c r="A2236" s="21">
        <v>1039.0</v>
      </c>
      <c r="B2236" s="20" t="s">
        <v>13</v>
      </c>
      <c r="C2236" s="20" t="s">
        <v>14</v>
      </c>
      <c r="D2236" s="20" t="s">
        <v>15</v>
      </c>
      <c r="E2236" s="12" t="str">
        <f>IFERROR(__xludf.DUMMYFUNCTION("FILTER(colegios!$B$2:$B5618,colegios!$A$2:$A5618=L2236)"),"60133")</f>
        <v>60133</v>
      </c>
      <c r="F2236" s="14" t="s">
        <v>16</v>
      </c>
      <c r="G2236" s="20" t="s">
        <v>17</v>
      </c>
      <c r="H2236" s="14" t="s">
        <v>18</v>
      </c>
      <c r="I2236" s="22">
        <v>2023.0</v>
      </c>
      <c r="J2236" s="16" t="str">
        <f>IFERROR(__xludf.DUMMYFUNCTION("FILTER('CLASFICACIÓN'!$F$3:$F5618,'CLASFICACIÓN'!$G$3:$G5618=M2236)"),"LOS 3 AÑOS")</f>
        <v>LOS 3 AÑOS</v>
      </c>
      <c r="K2236" s="16"/>
      <c r="L2236" s="14" t="s">
        <v>138</v>
      </c>
      <c r="M2236" s="16" t="str">
        <f t="shared" si="1"/>
        <v>601332 Primaria</v>
      </c>
      <c r="N2236" s="17"/>
      <c r="O2236" s="17"/>
      <c r="P2236" s="17"/>
      <c r="Q2236" s="17"/>
      <c r="R2236" s="17"/>
      <c r="S2236" s="17"/>
      <c r="T2236" s="17"/>
    </row>
    <row r="2237">
      <c r="A2237" s="21">
        <v>1040.0</v>
      </c>
      <c r="B2237" s="20" t="s">
        <v>13</v>
      </c>
      <c r="C2237" s="20" t="s">
        <v>14</v>
      </c>
      <c r="D2237" s="20" t="s">
        <v>15</v>
      </c>
      <c r="E2237" s="12" t="str">
        <f>IFERROR(__xludf.DUMMYFUNCTION("FILTER(colegios!$B$2:$B5618,colegios!$A$2:$A5618=L2237)"),"60133")</f>
        <v>60133</v>
      </c>
      <c r="F2237" s="14" t="s">
        <v>16</v>
      </c>
      <c r="G2237" s="20" t="s">
        <v>21</v>
      </c>
      <c r="H2237" s="14" t="s">
        <v>18</v>
      </c>
      <c r="I2237" s="22">
        <v>2023.0</v>
      </c>
      <c r="J2237" s="16" t="str">
        <f>IFERROR(__xludf.DUMMYFUNCTION("FILTER('CLASFICACIÓN'!$F$3:$F5618,'CLASFICACIÓN'!$G$3:$G5618=M2237)"),"LOS 3 AÑOS")</f>
        <v>LOS 3 AÑOS</v>
      </c>
      <c r="K2237" s="16"/>
      <c r="L2237" s="14" t="s">
        <v>138</v>
      </c>
      <c r="M2237" s="16" t="str">
        <f t="shared" si="1"/>
        <v>601332 Primaria</v>
      </c>
      <c r="N2237" s="17"/>
      <c r="O2237" s="17"/>
      <c r="P2237" s="17"/>
      <c r="Q2237" s="17"/>
      <c r="R2237" s="17"/>
      <c r="S2237" s="17"/>
      <c r="T2237" s="17"/>
    </row>
    <row r="2238">
      <c r="A2238" s="21">
        <v>1041.0</v>
      </c>
      <c r="B2238" s="20" t="s">
        <v>13</v>
      </c>
      <c r="C2238" s="20" t="s">
        <v>14</v>
      </c>
      <c r="D2238" s="20" t="s">
        <v>15</v>
      </c>
      <c r="E2238" s="12" t="str">
        <f>IFERROR(__xludf.DUMMYFUNCTION("FILTER(colegios!$B$2:$B5618,colegios!$A$2:$A5618=L2238)"),"60133")</f>
        <v>60133</v>
      </c>
      <c r="F2238" s="14" t="s">
        <v>16</v>
      </c>
      <c r="G2238" s="20" t="s">
        <v>17</v>
      </c>
      <c r="H2238" s="14" t="s">
        <v>24</v>
      </c>
      <c r="I2238" s="22">
        <v>2023.0</v>
      </c>
      <c r="J2238" s="16" t="str">
        <f>IFERROR(__xludf.DUMMYFUNCTION("FILTER('CLASFICACIÓN'!$F$3:$F5618,'CLASFICACIÓN'!$G$3:$G5618=M2238)"),"LOS 3 AÑOS")</f>
        <v>LOS 3 AÑOS</v>
      </c>
      <c r="K2238" s="16"/>
      <c r="L2238" s="14" t="s">
        <v>138</v>
      </c>
      <c r="M2238" s="16" t="str">
        <f t="shared" si="1"/>
        <v>601332 Primaria</v>
      </c>
      <c r="N2238" s="17"/>
      <c r="O2238" s="17"/>
      <c r="P2238" s="17"/>
      <c r="Q2238" s="17"/>
      <c r="R2238" s="17"/>
      <c r="S2238" s="17"/>
      <c r="T2238" s="17"/>
    </row>
    <row r="2239">
      <c r="A2239" s="21">
        <v>1042.0</v>
      </c>
      <c r="B2239" s="20" t="s">
        <v>13</v>
      </c>
      <c r="C2239" s="20" t="s">
        <v>14</v>
      </c>
      <c r="D2239" s="20" t="s">
        <v>15</v>
      </c>
      <c r="E2239" s="12" t="str">
        <f>IFERROR(__xludf.DUMMYFUNCTION("FILTER(colegios!$B$2:$B5618,colegios!$A$2:$A5618=L2239)"),"60133")</f>
        <v>60133</v>
      </c>
      <c r="F2239" s="14" t="s">
        <v>16</v>
      </c>
      <c r="G2239" s="20" t="s">
        <v>21</v>
      </c>
      <c r="H2239" s="14" t="s">
        <v>18</v>
      </c>
      <c r="I2239" s="22">
        <v>2023.0</v>
      </c>
      <c r="J2239" s="16" t="str">
        <f>IFERROR(__xludf.DUMMYFUNCTION("FILTER('CLASFICACIÓN'!$F$3:$F5618,'CLASFICACIÓN'!$G$3:$G5618=M2239)"),"LOS 3 AÑOS")</f>
        <v>LOS 3 AÑOS</v>
      </c>
      <c r="K2239" s="16"/>
      <c r="L2239" s="14" t="s">
        <v>138</v>
      </c>
      <c r="M2239" s="16" t="str">
        <f t="shared" si="1"/>
        <v>601332 Primaria</v>
      </c>
      <c r="N2239" s="17"/>
      <c r="O2239" s="17"/>
      <c r="P2239" s="17"/>
      <c r="Q2239" s="17"/>
      <c r="R2239" s="17"/>
      <c r="S2239" s="17"/>
      <c r="T2239" s="17"/>
    </row>
    <row r="2240">
      <c r="A2240" s="21">
        <v>1043.0</v>
      </c>
      <c r="B2240" s="20" t="s">
        <v>13</v>
      </c>
      <c r="C2240" s="20" t="s">
        <v>14</v>
      </c>
      <c r="D2240" s="20" t="s">
        <v>15</v>
      </c>
      <c r="E2240" s="12" t="str">
        <f>IFERROR(__xludf.DUMMYFUNCTION("FILTER(colegios!$B$2:$B5618,colegios!$A$2:$A5618=L2240)"),"60133")</f>
        <v>60133</v>
      </c>
      <c r="F2240" s="14" t="s">
        <v>16</v>
      </c>
      <c r="G2240" s="20" t="s">
        <v>17</v>
      </c>
      <c r="H2240" s="14" t="s">
        <v>24</v>
      </c>
      <c r="I2240" s="22">
        <v>2023.0</v>
      </c>
      <c r="J2240" s="16" t="str">
        <f>IFERROR(__xludf.DUMMYFUNCTION("FILTER('CLASFICACIÓN'!$F$3:$F5618,'CLASFICACIÓN'!$G$3:$G5618=M2240)"),"LOS 3 AÑOS")</f>
        <v>LOS 3 AÑOS</v>
      </c>
      <c r="K2240" s="16"/>
      <c r="L2240" s="14" t="s">
        <v>138</v>
      </c>
      <c r="M2240" s="16" t="str">
        <f t="shared" si="1"/>
        <v>601332 Primaria</v>
      </c>
      <c r="N2240" s="17"/>
      <c r="O2240" s="17"/>
      <c r="P2240" s="17"/>
      <c r="Q2240" s="17"/>
      <c r="R2240" s="17"/>
      <c r="S2240" s="17"/>
      <c r="T2240" s="17"/>
    </row>
    <row r="2241">
      <c r="A2241" s="21">
        <v>1044.0</v>
      </c>
      <c r="B2241" s="20" t="s">
        <v>13</v>
      </c>
      <c r="C2241" s="20" t="s">
        <v>14</v>
      </c>
      <c r="D2241" s="20" t="s">
        <v>15</v>
      </c>
      <c r="E2241" s="12" t="str">
        <f>IFERROR(__xludf.DUMMYFUNCTION("FILTER(colegios!$B$2:$B5618,colegios!$A$2:$A5618=L2241)"),"60133")</f>
        <v>60133</v>
      </c>
      <c r="F2241" s="14" t="s">
        <v>16</v>
      </c>
      <c r="G2241" s="20" t="s">
        <v>21</v>
      </c>
      <c r="H2241" s="14" t="s">
        <v>18</v>
      </c>
      <c r="I2241" s="22">
        <v>2023.0</v>
      </c>
      <c r="J2241" s="16" t="str">
        <f>IFERROR(__xludf.DUMMYFUNCTION("FILTER('CLASFICACIÓN'!$F$3:$F5618,'CLASFICACIÓN'!$G$3:$G5618=M2241)"),"LOS 3 AÑOS")</f>
        <v>LOS 3 AÑOS</v>
      </c>
      <c r="K2241" s="16"/>
      <c r="L2241" s="14" t="s">
        <v>138</v>
      </c>
      <c r="M2241" s="16" t="str">
        <f t="shared" si="1"/>
        <v>601332 Primaria</v>
      </c>
      <c r="N2241" s="17"/>
      <c r="O2241" s="17"/>
      <c r="P2241" s="17"/>
      <c r="Q2241" s="17"/>
      <c r="R2241" s="17"/>
      <c r="S2241" s="17"/>
      <c r="T2241" s="17"/>
    </row>
    <row r="2242">
      <c r="A2242" s="21">
        <v>1045.0</v>
      </c>
      <c r="B2242" s="20" t="s">
        <v>13</v>
      </c>
      <c r="C2242" s="20" t="s">
        <v>14</v>
      </c>
      <c r="D2242" s="20" t="s">
        <v>15</v>
      </c>
      <c r="E2242" s="12" t="str">
        <f>IFERROR(__xludf.DUMMYFUNCTION("FILTER(colegios!$B$2:$B5618,colegios!$A$2:$A5618=L2242)"),"60133")</f>
        <v>60133</v>
      </c>
      <c r="F2242" s="14" t="s">
        <v>16</v>
      </c>
      <c r="G2242" s="20" t="s">
        <v>17</v>
      </c>
      <c r="H2242" s="14" t="s">
        <v>24</v>
      </c>
      <c r="I2242" s="22">
        <v>2023.0</v>
      </c>
      <c r="J2242" s="16" t="str">
        <f>IFERROR(__xludf.DUMMYFUNCTION("FILTER('CLASFICACIÓN'!$F$3:$F5618,'CLASFICACIÓN'!$G$3:$G5618=M2242)"),"LOS 3 AÑOS")</f>
        <v>LOS 3 AÑOS</v>
      </c>
      <c r="K2242" s="16"/>
      <c r="L2242" s="14" t="s">
        <v>138</v>
      </c>
      <c r="M2242" s="16" t="str">
        <f t="shared" si="1"/>
        <v>601332 Primaria</v>
      </c>
      <c r="N2242" s="17"/>
      <c r="O2242" s="17"/>
      <c r="P2242" s="17"/>
      <c r="Q2242" s="17"/>
      <c r="R2242" s="17"/>
      <c r="S2242" s="17"/>
      <c r="T2242" s="17"/>
    </row>
    <row r="2243">
      <c r="A2243" s="21">
        <v>1046.0</v>
      </c>
      <c r="B2243" s="20" t="s">
        <v>13</v>
      </c>
      <c r="C2243" s="20" t="s">
        <v>14</v>
      </c>
      <c r="D2243" s="20" t="s">
        <v>15</v>
      </c>
      <c r="E2243" s="12" t="str">
        <f>IFERROR(__xludf.DUMMYFUNCTION("FILTER(colegios!$B$2:$B5618,colegios!$A$2:$A5618=L2243)"),"60133")</f>
        <v>60133</v>
      </c>
      <c r="F2243" s="14" t="s">
        <v>16</v>
      </c>
      <c r="G2243" s="20" t="s">
        <v>21</v>
      </c>
      <c r="H2243" s="14" t="s">
        <v>18</v>
      </c>
      <c r="I2243" s="22">
        <v>2023.0</v>
      </c>
      <c r="J2243" s="16" t="str">
        <f>IFERROR(__xludf.DUMMYFUNCTION("FILTER('CLASFICACIÓN'!$F$3:$F5618,'CLASFICACIÓN'!$G$3:$G5618=M2243)"),"LOS 3 AÑOS")</f>
        <v>LOS 3 AÑOS</v>
      </c>
      <c r="K2243" s="16"/>
      <c r="L2243" s="14" t="s">
        <v>138</v>
      </c>
      <c r="M2243" s="16" t="str">
        <f t="shared" si="1"/>
        <v>601332 Primaria</v>
      </c>
      <c r="N2243" s="17"/>
      <c r="O2243" s="17"/>
      <c r="P2243" s="17"/>
      <c r="Q2243" s="17"/>
      <c r="R2243" s="17"/>
      <c r="S2243" s="17"/>
      <c r="T2243" s="17"/>
    </row>
    <row r="2244">
      <c r="A2244" s="21">
        <v>1047.0</v>
      </c>
      <c r="B2244" s="20" t="s">
        <v>13</v>
      </c>
      <c r="C2244" s="20" t="s">
        <v>14</v>
      </c>
      <c r="D2244" s="20" t="s">
        <v>15</v>
      </c>
      <c r="E2244" s="12" t="str">
        <f>IFERROR(__xludf.DUMMYFUNCTION("FILTER(colegios!$B$2:$B5618,colegios!$A$2:$A5618=L2244)"),"60133")</f>
        <v>60133</v>
      </c>
      <c r="F2244" s="14" t="s">
        <v>16</v>
      </c>
      <c r="G2244" s="20" t="s">
        <v>21</v>
      </c>
      <c r="H2244" s="14" t="s">
        <v>18</v>
      </c>
      <c r="I2244" s="22">
        <v>2023.0</v>
      </c>
      <c r="J2244" s="16" t="str">
        <f>IFERROR(__xludf.DUMMYFUNCTION("FILTER('CLASFICACIÓN'!$F$3:$F5618,'CLASFICACIÓN'!$G$3:$G5618=M2244)"),"LOS 3 AÑOS")</f>
        <v>LOS 3 AÑOS</v>
      </c>
      <c r="K2244" s="16"/>
      <c r="L2244" s="14" t="s">
        <v>138</v>
      </c>
      <c r="M2244" s="16" t="str">
        <f t="shared" si="1"/>
        <v>601332 Primaria</v>
      </c>
      <c r="N2244" s="17"/>
      <c r="O2244" s="17"/>
      <c r="P2244" s="17"/>
      <c r="Q2244" s="17"/>
      <c r="R2244" s="17"/>
      <c r="S2244" s="17"/>
      <c r="T2244" s="17"/>
    </row>
    <row r="2245">
      <c r="A2245" s="21">
        <v>1048.0</v>
      </c>
      <c r="B2245" s="20" t="s">
        <v>13</v>
      </c>
      <c r="C2245" s="20" t="s">
        <v>14</v>
      </c>
      <c r="D2245" s="20" t="s">
        <v>15</v>
      </c>
      <c r="E2245" s="12" t="str">
        <f>IFERROR(__xludf.DUMMYFUNCTION("FILTER(colegios!$B$2:$B5618,colegios!$A$2:$A5618=L2245)"),"60133")</f>
        <v>60133</v>
      </c>
      <c r="F2245" s="14" t="s">
        <v>16</v>
      </c>
      <c r="G2245" s="20" t="s">
        <v>17</v>
      </c>
      <c r="H2245" s="14" t="s">
        <v>18</v>
      </c>
      <c r="I2245" s="22">
        <v>2023.0</v>
      </c>
      <c r="J2245" s="16" t="str">
        <f>IFERROR(__xludf.DUMMYFUNCTION("FILTER('CLASFICACIÓN'!$F$3:$F5618,'CLASFICACIÓN'!$G$3:$G5618=M2245)"),"LOS 3 AÑOS")</f>
        <v>LOS 3 AÑOS</v>
      </c>
      <c r="K2245" s="16"/>
      <c r="L2245" s="14" t="s">
        <v>138</v>
      </c>
      <c r="M2245" s="16" t="str">
        <f t="shared" si="1"/>
        <v>601332 Primaria</v>
      </c>
      <c r="N2245" s="17"/>
      <c r="O2245" s="17"/>
      <c r="P2245" s="17"/>
      <c r="Q2245" s="17"/>
      <c r="R2245" s="17"/>
      <c r="S2245" s="17"/>
      <c r="T2245" s="17"/>
    </row>
    <row r="2246">
      <c r="A2246" s="21">
        <v>1049.0</v>
      </c>
      <c r="B2246" s="20" t="s">
        <v>13</v>
      </c>
      <c r="C2246" s="20" t="s">
        <v>14</v>
      </c>
      <c r="D2246" s="20" t="s">
        <v>15</v>
      </c>
      <c r="E2246" s="12" t="str">
        <f>IFERROR(__xludf.DUMMYFUNCTION("FILTER(colegios!$B$2:$B5618,colegios!$A$2:$A5618=L2246)"),"60133")</f>
        <v>60133</v>
      </c>
      <c r="F2246" s="14" t="s">
        <v>16</v>
      </c>
      <c r="G2246" s="20" t="s">
        <v>17</v>
      </c>
      <c r="H2246" s="14" t="s">
        <v>24</v>
      </c>
      <c r="I2246" s="22">
        <v>2023.0</v>
      </c>
      <c r="J2246" s="16" t="str">
        <f>IFERROR(__xludf.DUMMYFUNCTION("FILTER('CLASFICACIÓN'!$F$3:$F5618,'CLASFICACIÓN'!$G$3:$G5618=M2246)"),"LOS 3 AÑOS")</f>
        <v>LOS 3 AÑOS</v>
      </c>
      <c r="K2246" s="16"/>
      <c r="L2246" s="14" t="s">
        <v>138</v>
      </c>
      <c r="M2246" s="16" t="str">
        <f t="shared" si="1"/>
        <v>601332 Primaria</v>
      </c>
      <c r="N2246" s="17"/>
      <c r="O2246" s="17"/>
      <c r="P2246" s="17"/>
      <c r="Q2246" s="17"/>
      <c r="R2246" s="17"/>
      <c r="S2246" s="17"/>
      <c r="T2246" s="17"/>
    </row>
    <row r="2247">
      <c r="A2247" s="21">
        <v>1050.0</v>
      </c>
      <c r="B2247" s="20" t="s">
        <v>13</v>
      </c>
      <c r="C2247" s="20" t="s">
        <v>14</v>
      </c>
      <c r="D2247" s="20" t="s">
        <v>15</v>
      </c>
      <c r="E2247" s="12" t="str">
        <f>IFERROR(__xludf.DUMMYFUNCTION("FILTER(colegios!$B$2:$B5618,colegios!$A$2:$A5618=L2247)"),"60133")</f>
        <v>60133</v>
      </c>
      <c r="F2247" s="14" t="s">
        <v>16</v>
      </c>
      <c r="G2247" s="20" t="s">
        <v>21</v>
      </c>
      <c r="H2247" s="14" t="s">
        <v>18</v>
      </c>
      <c r="I2247" s="22">
        <v>2023.0</v>
      </c>
      <c r="J2247" s="16" t="str">
        <f>IFERROR(__xludf.DUMMYFUNCTION("FILTER('CLASFICACIÓN'!$F$3:$F5618,'CLASFICACIÓN'!$G$3:$G5618=M2247)"),"LOS 3 AÑOS")</f>
        <v>LOS 3 AÑOS</v>
      </c>
      <c r="K2247" s="16"/>
      <c r="L2247" s="14" t="s">
        <v>138</v>
      </c>
      <c r="M2247" s="16" t="str">
        <f t="shared" si="1"/>
        <v>601332 Primaria</v>
      </c>
      <c r="N2247" s="17"/>
      <c r="O2247" s="17"/>
      <c r="P2247" s="17"/>
      <c r="Q2247" s="17"/>
      <c r="R2247" s="17"/>
      <c r="S2247" s="17"/>
      <c r="T2247" s="17"/>
    </row>
    <row r="2248">
      <c r="A2248" s="21">
        <v>1051.0</v>
      </c>
      <c r="B2248" s="20" t="s">
        <v>13</v>
      </c>
      <c r="C2248" s="20" t="s">
        <v>14</v>
      </c>
      <c r="D2248" s="20" t="s">
        <v>20</v>
      </c>
      <c r="E2248" s="12" t="str">
        <f>IFERROR(__xludf.DUMMYFUNCTION("FILTER(colegios!$B$2:$B5618,colegios!$A$2:$A5618=L2248)"),"60133")</f>
        <v>60133</v>
      </c>
      <c r="F2248" s="14" t="s">
        <v>16</v>
      </c>
      <c r="G2248" s="20" t="s">
        <v>17</v>
      </c>
      <c r="H2248" s="14" t="s">
        <v>18</v>
      </c>
      <c r="I2248" s="22">
        <v>2023.0</v>
      </c>
      <c r="J2248" s="16" t="str">
        <f>IFERROR(__xludf.DUMMYFUNCTION("FILTER('CLASFICACIÓN'!$F$3:$F5618,'CLASFICACIÓN'!$G$3:$G5618=M2248)"),"LOS 3 AÑOS")</f>
        <v>LOS 3 AÑOS</v>
      </c>
      <c r="K2248" s="16"/>
      <c r="L2248" s="14" t="s">
        <v>138</v>
      </c>
      <c r="M2248" s="16" t="str">
        <f t="shared" si="1"/>
        <v>601334 Primaria</v>
      </c>
      <c r="N2248" s="17"/>
      <c r="O2248" s="17"/>
      <c r="P2248" s="17"/>
      <c r="Q2248" s="17"/>
      <c r="R2248" s="17"/>
      <c r="S2248" s="17"/>
      <c r="T2248" s="17"/>
    </row>
    <row r="2249">
      <c r="A2249" s="21">
        <v>1052.0</v>
      </c>
      <c r="B2249" s="20" t="s">
        <v>13</v>
      </c>
      <c r="C2249" s="20" t="s">
        <v>14</v>
      </c>
      <c r="D2249" s="20" t="s">
        <v>20</v>
      </c>
      <c r="E2249" s="12" t="str">
        <f>IFERROR(__xludf.DUMMYFUNCTION("FILTER(colegios!$B$2:$B5618,colegios!$A$2:$A5618=L2249)"),"60133")</f>
        <v>60133</v>
      </c>
      <c r="F2249" s="14" t="s">
        <v>16</v>
      </c>
      <c r="G2249" s="20" t="s">
        <v>21</v>
      </c>
      <c r="H2249" s="14" t="s">
        <v>18</v>
      </c>
      <c r="I2249" s="22">
        <v>2023.0</v>
      </c>
      <c r="J2249" s="16" t="str">
        <f>IFERROR(__xludf.DUMMYFUNCTION("FILTER('CLASFICACIÓN'!$F$3:$F5618,'CLASFICACIÓN'!$G$3:$G5618=M2249)"),"LOS 3 AÑOS")</f>
        <v>LOS 3 AÑOS</v>
      </c>
      <c r="K2249" s="16"/>
      <c r="L2249" s="14" t="s">
        <v>138</v>
      </c>
      <c r="M2249" s="16" t="str">
        <f t="shared" si="1"/>
        <v>601334 Primaria</v>
      </c>
      <c r="N2249" s="17"/>
      <c r="O2249" s="17"/>
      <c r="P2249" s="17"/>
      <c r="Q2249" s="17"/>
      <c r="R2249" s="17"/>
      <c r="S2249" s="17"/>
      <c r="T2249" s="17"/>
    </row>
    <row r="2250">
      <c r="A2250" s="21">
        <v>1053.0</v>
      </c>
      <c r="B2250" s="20" t="s">
        <v>13</v>
      </c>
      <c r="C2250" s="20" t="s">
        <v>14</v>
      </c>
      <c r="D2250" s="20" t="s">
        <v>20</v>
      </c>
      <c r="E2250" s="12" t="str">
        <f>IFERROR(__xludf.DUMMYFUNCTION("FILTER(colegios!$B$2:$B5618,colegios!$A$2:$A5618=L2250)"),"60133")</f>
        <v>60133</v>
      </c>
      <c r="F2250" s="14" t="s">
        <v>16</v>
      </c>
      <c r="G2250" s="20" t="s">
        <v>17</v>
      </c>
      <c r="H2250" s="14" t="s">
        <v>18</v>
      </c>
      <c r="I2250" s="22">
        <v>2023.0</v>
      </c>
      <c r="J2250" s="16" t="str">
        <f>IFERROR(__xludf.DUMMYFUNCTION("FILTER('CLASFICACIÓN'!$F$3:$F5618,'CLASFICACIÓN'!$G$3:$G5618=M2250)"),"LOS 3 AÑOS")</f>
        <v>LOS 3 AÑOS</v>
      </c>
      <c r="K2250" s="16"/>
      <c r="L2250" s="14" t="s">
        <v>138</v>
      </c>
      <c r="M2250" s="16" t="str">
        <f t="shared" si="1"/>
        <v>601334 Primaria</v>
      </c>
      <c r="N2250" s="17"/>
      <c r="O2250" s="17"/>
      <c r="P2250" s="17"/>
      <c r="Q2250" s="17"/>
      <c r="R2250" s="17"/>
      <c r="S2250" s="17"/>
      <c r="T2250" s="17"/>
    </row>
    <row r="2251">
      <c r="A2251" s="21">
        <v>1054.0</v>
      </c>
      <c r="B2251" s="20" t="s">
        <v>13</v>
      </c>
      <c r="C2251" s="20" t="s">
        <v>14</v>
      </c>
      <c r="D2251" s="20" t="s">
        <v>20</v>
      </c>
      <c r="E2251" s="12" t="str">
        <f>IFERROR(__xludf.DUMMYFUNCTION("FILTER(colegios!$B$2:$B5618,colegios!$A$2:$A5618=L2251)"),"60133")</f>
        <v>60133</v>
      </c>
      <c r="F2251" s="14" t="s">
        <v>16</v>
      </c>
      <c r="G2251" s="20" t="s">
        <v>21</v>
      </c>
      <c r="H2251" s="14" t="s">
        <v>18</v>
      </c>
      <c r="I2251" s="22">
        <v>2023.0</v>
      </c>
      <c r="J2251" s="16" t="str">
        <f>IFERROR(__xludf.DUMMYFUNCTION("FILTER('CLASFICACIÓN'!$F$3:$F5618,'CLASFICACIÓN'!$G$3:$G5618=M2251)"),"LOS 3 AÑOS")</f>
        <v>LOS 3 AÑOS</v>
      </c>
      <c r="K2251" s="16"/>
      <c r="L2251" s="14" t="s">
        <v>138</v>
      </c>
      <c r="M2251" s="16" t="str">
        <f t="shared" si="1"/>
        <v>601334 Primaria</v>
      </c>
      <c r="N2251" s="17"/>
      <c r="O2251" s="17"/>
      <c r="P2251" s="17"/>
      <c r="Q2251" s="17"/>
      <c r="R2251" s="17"/>
      <c r="S2251" s="17"/>
      <c r="T2251" s="17"/>
    </row>
    <row r="2252">
      <c r="A2252" s="21">
        <v>1055.0</v>
      </c>
      <c r="B2252" s="20" t="s">
        <v>13</v>
      </c>
      <c r="C2252" s="20" t="s">
        <v>14</v>
      </c>
      <c r="D2252" s="20" t="s">
        <v>20</v>
      </c>
      <c r="E2252" s="12" t="str">
        <f>IFERROR(__xludf.DUMMYFUNCTION("FILTER(colegios!$B$2:$B5618,colegios!$A$2:$A5618=L2252)"),"60133")</f>
        <v>60133</v>
      </c>
      <c r="F2252" s="14" t="s">
        <v>16</v>
      </c>
      <c r="G2252" s="20" t="s">
        <v>17</v>
      </c>
      <c r="H2252" s="14" t="s">
        <v>18</v>
      </c>
      <c r="I2252" s="22">
        <v>2023.0</v>
      </c>
      <c r="J2252" s="16" t="str">
        <f>IFERROR(__xludf.DUMMYFUNCTION("FILTER('CLASFICACIÓN'!$F$3:$F5618,'CLASFICACIÓN'!$G$3:$G5618=M2252)"),"LOS 3 AÑOS")</f>
        <v>LOS 3 AÑOS</v>
      </c>
      <c r="K2252" s="16"/>
      <c r="L2252" s="14" t="s">
        <v>138</v>
      </c>
      <c r="M2252" s="16" t="str">
        <f t="shared" si="1"/>
        <v>601334 Primaria</v>
      </c>
      <c r="N2252" s="17"/>
      <c r="O2252" s="17"/>
      <c r="P2252" s="17"/>
      <c r="Q2252" s="17"/>
      <c r="R2252" s="17"/>
      <c r="S2252" s="17"/>
      <c r="T2252" s="17"/>
    </row>
    <row r="2253">
      <c r="A2253" s="21">
        <v>1056.0</v>
      </c>
      <c r="B2253" s="20" t="s">
        <v>13</v>
      </c>
      <c r="C2253" s="20" t="s">
        <v>14</v>
      </c>
      <c r="D2253" s="20" t="s">
        <v>20</v>
      </c>
      <c r="E2253" s="12" t="str">
        <f>IFERROR(__xludf.DUMMYFUNCTION("FILTER(colegios!$B$2:$B5618,colegios!$A$2:$A5618=L2253)"),"60133")</f>
        <v>60133</v>
      </c>
      <c r="F2253" s="14" t="s">
        <v>16</v>
      </c>
      <c r="G2253" s="20" t="s">
        <v>21</v>
      </c>
      <c r="H2253" s="14" t="s">
        <v>18</v>
      </c>
      <c r="I2253" s="22">
        <v>2023.0</v>
      </c>
      <c r="J2253" s="16" t="str">
        <f>IFERROR(__xludf.DUMMYFUNCTION("FILTER('CLASFICACIÓN'!$F$3:$F5618,'CLASFICACIÓN'!$G$3:$G5618=M2253)"),"LOS 3 AÑOS")</f>
        <v>LOS 3 AÑOS</v>
      </c>
      <c r="K2253" s="16"/>
      <c r="L2253" s="14" t="s">
        <v>138</v>
      </c>
      <c r="M2253" s="16" t="str">
        <f t="shared" si="1"/>
        <v>601334 Primaria</v>
      </c>
      <c r="N2253" s="17"/>
      <c r="O2253" s="17"/>
      <c r="P2253" s="17"/>
      <c r="Q2253" s="17"/>
      <c r="R2253" s="17"/>
      <c r="S2253" s="17"/>
      <c r="T2253" s="17"/>
    </row>
    <row r="2254">
      <c r="A2254" s="21">
        <v>1057.0</v>
      </c>
      <c r="B2254" s="20" t="s">
        <v>13</v>
      </c>
      <c r="C2254" s="20" t="s">
        <v>14</v>
      </c>
      <c r="D2254" s="20" t="s">
        <v>20</v>
      </c>
      <c r="E2254" s="12" t="str">
        <f>IFERROR(__xludf.DUMMYFUNCTION("FILTER(colegios!$B$2:$B5618,colegios!$A$2:$A5618=L2254)"),"60133")</f>
        <v>60133</v>
      </c>
      <c r="F2254" s="14" t="s">
        <v>16</v>
      </c>
      <c r="G2254" s="20" t="s">
        <v>21</v>
      </c>
      <c r="H2254" s="14" t="s">
        <v>18</v>
      </c>
      <c r="I2254" s="22">
        <v>2023.0</v>
      </c>
      <c r="J2254" s="16" t="str">
        <f>IFERROR(__xludf.DUMMYFUNCTION("FILTER('CLASFICACIÓN'!$F$3:$F5618,'CLASFICACIÓN'!$G$3:$G5618=M2254)"),"LOS 3 AÑOS")</f>
        <v>LOS 3 AÑOS</v>
      </c>
      <c r="K2254" s="16"/>
      <c r="L2254" s="14" t="s">
        <v>138</v>
      </c>
      <c r="M2254" s="16" t="str">
        <f t="shared" si="1"/>
        <v>601334 Primaria</v>
      </c>
      <c r="N2254" s="17"/>
      <c r="O2254" s="17"/>
      <c r="P2254" s="17"/>
      <c r="Q2254" s="17"/>
      <c r="R2254" s="17"/>
      <c r="S2254" s="17"/>
      <c r="T2254" s="17"/>
    </row>
    <row r="2255">
      <c r="A2255" s="21">
        <v>1058.0</v>
      </c>
      <c r="B2255" s="20" t="s">
        <v>13</v>
      </c>
      <c r="C2255" s="20" t="s">
        <v>14</v>
      </c>
      <c r="D2255" s="20" t="s">
        <v>20</v>
      </c>
      <c r="E2255" s="12" t="str">
        <f>IFERROR(__xludf.DUMMYFUNCTION("FILTER(colegios!$B$2:$B5618,colegios!$A$2:$A5618=L2255)"),"60133")</f>
        <v>60133</v>
      </c>
      <c r="F2255" s="14" t="s">
        <v>16</v>
      </c>
      <c r="G2255" s="20" t="s">
        <v>17</v>
      </c>
      <c r="H2255" s="14" t="s">
        <v>18</v>
      </c>
      <c r="I2255" s="22">
        <v>2023.0</v>
      </c>
      <c r="J2255" s="16" t="str">
        <f>IFERROR(__xludf.DUMMYFUNCTION("FILTER('CLASFICACIÓN'!$F$3:$F5618,'CLASFICACIÓN'!$G$3:$G5618=M2255)"),"LOS 3 AÑOS")</f>
        <v>LOS 3 AÑOS</v>
      </c>
      <c r="K2255" s="16"/>
      <c r="L2255" s="14" t="s">
        <v>138</v>
      </c>
      <c r="M2255" s="16" t="str">
        <f t="shared" si="1"/>
        <v>601334 Primaria</v>
      </c>
      <c r="N2255" s="17"/>
      <c r="O2255" s="17"/>
      <c r="P2255" s="17"/>
      <c r="Q2255" s="17"/>
      <c r="R2255" s="17"/>
      <c r="S2255" s="17"/>
      <c r="T2255" s="17"/>
    </row>
    <row r="2256">
      <c r="A2256" s="21">
        <v>1059.0</v>
      </c>
      <c r="B2256" s="20" t="s">
        <v>13</v>
      </c>
      <c r="C2256" s="20" t="s">
        <v>14</v>
      </c>
      <c r="D2256" s="20" t="s">
        <v>20</v>
      </c>
      <c r="E2256" s="12" t="str">
        <f>IFERROR(__xludf.DUMMYFUNCTION("FILTER(colegios!$B$2:$B5618,colegios!$A$2:$A5618=L2256)"),"60133")</f>
        <v>60133</v>
      </c>
      <c r="F2256" s="14" t="s">
        <v>16</v>
      </c>
      <c r="G2256" s="20" t="s">
        <v>17</v>
      </c>
      <c r="H2256" s="14" t="s">
        <v>18</v>
      </c>
      <c r="I2256" s="22">
        <v>2023.0</v>
      </c>
      <c r="J2256" s="16" t="str">
        <f>IFERROR(__xludf.DUMMYFUNCTION("FILTER('CLASFICACIÓN'!$F$3:$F5618,'CLASFICACIÓN'!$G$3:$G5618=M2256)"),"LOS 3 AÑOS")</f>
        <v>LOS 3 AÑOS</v>
      </c>
      <c r="K2256" s="16"/>
      <c r="L2256" s="14" t="s">
        <v>138</v>
      </c>
      <c r="M2256" s="16" t="str">
        <f t="shared" si="1"/>
        <v>601334 Primaria</v>
      </c>
      <c r="N2256" s="17"/>
      <c r="O2256" s="17"/>
      <c r="P2256" s="17"/>
      <c r="Q2256" s="17"/>
      <c r="R2256" s="17"/>
      <c r="S2256" s="17"/>
      <c r="T2256" s="17"/>
    </row>
    <row r="2257">
      <c r="A2257" s="21">
        <v>1060.0</v>
      </c>
      <c r="B2257" s="20" t="s">
        <v>13</v>
      </c>
      <c r="C2257" s="20" t="s">
        <v>14</v>
      </c>
      <c r="D2257" s="20" t="s">
        <v>20</v>
      </c>
      <c r="E2257" s="12" t="str">
        <f>IFERROR(__xludf.DUMMYFUNCTION("FILTER(colegios!$B$2:$B5618,colegios!$A$2:$A5618=L2257)"),"60133")</f>
        <v>60133</v>
      </c>
      <c r="F2257" s="14" t="s">
        <v>16</v>
      </c>
      <c r="G2257" s="20" t="s">
        <v>17</v>
      </c>
      <c r="H2257" s="14" t="s">
        <v>18</v>
      </c>
      <c r="I2257" s="22">
        <v>2023.0</v>
      </c>
      <c r="J2257" s="16" t="str">
        <f>IFERROR(__xludf.DUMMYFUNCTION("FILTER('CLASFICACIÓN'!$F$3:$F5618,'CLASFICACIÓN'!$G$3:$G5618=M2257)"),"LOS 3 AÑOS")</f>
        <v>LOS 3 AÑOS</v>
      </c>
      <c r="K2257" s="16"/>
      <c r="L2257" s="14" t="s">
        <v>138</v>
      </c>
      <c r="M2257" s="16" t="str">
        <f t="shared" si="1"/>
        <v>601334 Primaria</v>
      </c>
      <c r="N2257" s="17"/>
      <c r="O2257" s="17"/>
      <c r="P2257" s="17"/>
      <c r="Q2257" s="17"/>
      <c r="R2257" s="17"/>
      <c r="S2257" s="17"/>
      <c r="T2257" s="17"/>
    </row>
    <row r="2258">
      <c r="A2258" s="21">
        <v>1061.0</v>
      </c>
      <c r="B2258" s="20" t="s">
        <v>13</v>
      </c>
      <c r="C2258" s="20" t="s">
        <v>14</v>
      </c>
      <c r="D2258" s="20" t="s">
        <v>20</v>
      </c>
      <c r="E2258" s="12" t="str">
        <f>IFERROR(__xludf.DUMMYFUNCTION("FILTER(colegios!$B$2:$B5618,colegios!$A$2:$A5618=L2258)"),"60133")</f>
        <v>60133</v>
      </c>
      <c r="F2258" s="14" t="s">
        <v>16</v>
      </c>
      <c r="G2258" s="20" t="s">
        <v>17</v>
      </c>
      <c r="H2258" s="14" t="s">
        <v>18</v>
      </c>
      <c r="I2258" s="22">
        <v>2023.0</v>
      </c>
      <c r="J2258" s="16" t="str">
        <f>IFERROR(__xludf.DUMMYFUNCTION("FILTER('CLASFICACIÓN'!$F$3:$F5618,'CLASFICACIÓN'!$G$3:$G5618=M2258)"),"LOS 3 AÑOS")</f>
        <v>LOS 3 AÑOS</v>
      </c>
      <c r="K2258" s="16"/>
      <c r="L2258" s="14" t="s">
        <v>138</v>
      </c>
      <c r="M2258" s="16" t="str">
        <f t="shared" si="1"/>
        <v>601334 Primaria</v>
      </c>
      <c r="N2258" s="17"/>
      <c r="O2258" s="17"/>
      <c r="P2258" s="17"/>
      <c r="Q2258" s="17"/>
      <c r="R2258" s="17"/>
      <c r="S2258" s="17"/>
      <c r="T2258" s="17"/>
    </row>
    <row r="2259">
      <c r="A2259" s="21">
        <v>1062.0</v>
      </c>
      <c r="B2259" s="20" t="s">
        <v>13</v>
      </c>
      <c r="C2259" s="20" t="s">
        <v>14</v>
      </c>
      <c r="D2259" s="20" t="s">
        <v>20</v>
      </c>
      <c r="E2259" s="12" t="str">
        <f>IFERROR(__xludf.DUMMYFUNCTION("FILTER(colegios!$B$2:$B5618,colegios!$A$2:$A5618=L2259)"),"60133")</f>
        <v>60133</v>
      </c>
      <c r="F2259" s="14" t="s">
        <v>16</v>
      </c>
      <c r="G2259" s="20" t="s">
        <v>17</v>
      </c>
      <c r="H2259" s="14" t="s">
        <v>18</v>
      </c>
      <c r="I2259" s="22">
        <v>2023.0</v>
      </c>
      <c r="J2259" s="16" t="str">
        <f>IFERROR(__xludf.DUMMYFUNCTION("FILTER('CLASFICACIÓN'!$F$3:$F5618,'CLASFICACIÓN'!$G$3:$G5618=M2259)"),"LOS 3 AÑOS")</f>
        <v>LOS 3 AÑOS</v>
      </c>
      <c r="K2259" s="16"/>
      <c r="L2259" s="14" t="s">
        <v>138</v>
      </c>
      <c r="M2259" s="16" t="str">
        <f t="shared" si="1"/>
        <v>601334 Primaria</v>
      </c>
      <c r="N2259" s="17"/>
      <c r="O2259" s="17"/>
      <c r="P2259" s="17"/>
      <c r="Q2259" s="17"/>
      <c r="R2259" s="17"/>
      <c r="S2259" s="17"/>
      <c r="T2259" s="17"/>
    </row>
    <row r="2260">
      <c r="A2260" s="21">
        <v>1063.0</v>
      </c>
      <c r="B2260" s="20" t="s">
        <v>13</v>
      </c>
      <c r="C2260" s="20" t="s">
        <v>14</v>
      </c>
      <c r="D2260" s="20" t="s">
        <v>20</v>
      </c>
      <c r="E2260" s="12" t="str">
        <f>IFERROR(__xludf.DUMMYFUNCTION("FILTER(colegios!$B$2:$B5618,colegios!$A$2:$A5618=L2260)"),"60133")</f>
        <v>60133</v>
      </c>
      <c r="F2260" s="14" t="s">
        <v>16</v>
      </c>
      <c r="G2260" s="20" t="s">
        <v>17</v>
      </c>
      <c r="H2260" s="14" t="s">
        <v>24</v>
      </c>
      <c r="I2260" s="22">
        <v>2023.0</v>
      </c>
      <c r="J2260" s="16" t="str">
        <f>IFERROR(__xludf.DUMMYFUNCTION("FILTER('CLASFICACIÓN'!$F$3:$F5618,'CLASFICACIÓN'!$G$3:$G5618=M2260)"),"LOS 3 AÑOS")</f>
        <v>LOS 3 AÑOS</v>
      </c>
      <c r="K2260" s="16"/>
      <c r="L2260" s="14" t="s">
        <v>138</v>
      </c>
      <c r="M2260" s="16" t="str">
        <f t="shared" si="1"/>
        <v>601334 Primaria</v>
      </c>
      <c r="N2260" s="17"/>
      <c r="O2260" s="17"/>
      <c r="P2260" s="17"/>
      <c r="Q2260" s="17"/>
      <c r="R2260" s="17"/>
      <c r="S2260" s="17"/>
      <c r="T2260" s="17"/>
    </row>
    <row r="2261">
      <c r="A2261" s="21">
        <v>1064.0</v>
      </c>
      <c r="B2261" s="20" t="s">
        <v>13</v>
      </c>
      <c r="C2261" s="20" t="s">
        <v>14</v>
      </c>
      <c r="D2261" s="20" t="s">
        <v>20</v>
      </c>
      <c r="E2261" s="12" t="str">
        <f>IFERROR(__xludf.DUMMYFUNCTION("FILTER(colegios!$B$2:$B5618,colegios!$A$2:$A5618=L2261)"),"60133")</f>
        <v>60133</v>
      </c>
      <c r="F2261" s="14" t="s">
        <v>16</v>
      </c>
      <c r="G2261" s="20" t="s">
        <v>17</v>
      </c>
      <c r="H2261" s="14" t="s">
        <v>24</v>
      </c>
      <c r="I2261" s="22">
        <v>2023.0</v>
      </c>
      <c r="J2261" s="16" t="str">
        <f>IFERROR(__xludf.DUMMYFUNCTION("FILTER('CLASFICACIÓN'!$F$3:$F5618,'CLASFICACIÓN'!$G$3:$G5618=M2261)"),"LOS 3 AÑOS")</f>
        <v>LOS 3 AÑOS</v>
      </c>
      <c r="K2261" s="16"/>
      <c r="L2261" s="14" t="s">
        <v>138</v>
      </c>
      <c r="M2261" s="16" t="str">
        <f t="shared" si="1"/>
        <v>601334 Primaria</v>
      </c>
      <c r="N2261" s="17"/>
      <c r="O2261" s="17"/>
      <c r="P2261" s="17"/>
      <c r="Q2261" s="17"/>
      <c r="R2261" s="17"/>
      <c r="S2261" s="17"/>
      <c r="T2261" s="17"/>
    </row>
    <row r="2262">
      <c r="A2262" s="21">
        <v>1065.0</v>
      </c>
      <c r="B2262" s="20" t="s">
        <v>13</v>
      </c>
      <c r="C2262" s="20" t="s">
        <v>14</v>
      </c>
      <c r="D2262" s="20" t="s">
        <v>20</v>
      </c>
      <c r="E2262" s="12" t="str">
        <f>IFERROR(__xludf.DUMMYFUNCTION("FILTER(colegios!$B$2:$B5618,colegios!$A$2:$A5618=L2262)"),"60133")</f>
        <v>60133</v>
      </c>
      <c r="F2262" s="14" t="s">
        <v>16</v>
      </c>
      <c r="G2262" s="20" t="s">
        <v>17</v>
      </c>
      <c r="H2262" s="14" t="s">
        <v>18</v>
      </c>
      <c r="I2262" s="22">
        <v>2023.0</v>
      </c>
      <c r="J2262" s="16" t="str">
        <f>IFERROR(__xludf.DUMMYFUNCTION("FILTER('CLASFICACIÓN'!$F$3:$F5618,'CLASFICACIÓN'!$G$3:$G5618=M2262)"),"LOS 3 AÑOS")</f>
        <v>LOS 3 AÑOS</v>
      </c>
      <c r="K2262" s="16"/>
      <c r="L2262" s="14" t="s">
        <v>138</v>
      </c>
      <c r="M2262" s="16" t="str">
        <f t="shared" si="1"/>
        <v>601334 Primaria</v>
      </c>
      <c r="N2262" s="17"/>
      <c r="O2262" s="17"/>
      <c r="P2262" s="17"/>
      <c r="Q2262" s="17"/>
      <c r="R2262" s="17"/>
      <c r="S2262" s="17"/>
      <c r="T2262" s="17"/>
    </row>
    <row r="2263">
      <c r="A2263" s="21">
        <v>1066.0</v>
      </c>
      <c r="B2263" s="20" t="s">
        <v>13</v>
      </c>
      <c r="C2263" s="20" t="s">
        <v>14</v>
      </c>
      <c r="D2263" s="20" t="s">
        <v>20</v>
      </c>
      <c r="E2263" s="12" t="str">
        <f>IFERROR(__xludf.DUMMYFUNCTION("FILTER(colegios!$B$2:$B5618,colegios!$A$2:$A5618=L2263)"),"60133")</f>
        <v>60133</v>
      </c>
      <c r="F2263" s="14" t="s">
        <v>16</v>
      </c>
      <c r="G2263" s="20" t="s">
        <v>21</v>
      </c>
      <c r="H2263" s="14" t="s">
        <v>18</v>
      </c>
      <c r="I2263" s="22">
        <v>2023.0</v>
      </c>
      <c r="J2263" s="16" t="str">
        <f>IFERROR(__xludf.DUMMYFUNCTION("FILTER('CLASFICACIÓN'!$F$3:$F5618,'CLASFICACIÓN'!$G$3:$G5618=M2263)"),"LOS 3 AÑOS")</f>
        <v>LOS 3 AÑOS</v>
      </c>
      <c r="K2263" s="16"/>
      <c r="L2263" s="14" t="s">
        <v>138</v>
      </c>
      <c r="M2263" s="16" t="str">
        <f t="shared" si="1"/>
        <v>601334 Primaria</v>
      </c>
      <c r="N2263" s="17"/>
      <c r="O2263" s="17"/>
      <c r="P2263" s="17"/>
      <c r="Q2263" s="17"/>
      <c r="R2263" s="17"/>
      <c r="S2263" s="17"/>
      <c r="T2263" s="17"/>
    </row>
    <row r="2264">
      <c r="A2264" s="21">
        <v>1067.0</v>
      </c>
      <c r="B2264" s="20" t="s">
        <v>13</v>
      </c>
      <c r="C2264" s="20" t="s">
        <v>14</v>
      </c>
      <c r="D2264" s="20" t="s">
        <v>20</v>
      </c>
      <c r="E2264" s="12" t="str">
        <f>IFERROR(__xludf.DUMMYFUNCTION("FILTER(colegios!$B$2:$B5618,colegios!$A$2:$A5618=L2264)"),"60133")</f>
        <v>60133</v>
      </c>
      <c r="F2264" s="14" t="s">
        <v>16</v>
      </c>
      <c r="G2264" s="20" t="s">
        <v>21</v>
      </c>
      <c r="H2264" s="14" t="s">
        <v>18</v>
      </c>
      <c r="I2264" s="22">
        <v>2023.0</v>
      </c>
      <c r="J2264" s="16" t="str">
        <f>IFERROR(__xludf.DUMMYFUNCTION("FILTER('CLASFICACIÓN'!$F$3:$F5618,'CLASFICACIÓN'!$G$3:$G5618=M2264)"),"LOS 3 AÑOS")</f>
        <v>LOS 3 AÑOS</v>
      </c>
      <c r="K2264" s="16"/>
      <c r="L2264" s="14" t="s">
        <v>138</v>
      </c>
      <c r="M2264" s="16" t="str">
        <f t="shared" si="1"/>
        <v>601334 Primaria</v>
      </c>
      <c r="N2264" s="17"/>
      <c r="O2264" s="17"/>
      <c r="P2264" s="17"/>
      <c r="Q2264" s="17"/>
      <c r="R2264" s="17"/>
      <c r="S2264" s="17"/>
      <c r="T2264" s="17"/>
    </row>
    <row r="2265">
      <c r="A2265" s="21">
        <v>1068.0</v>
      </c>
      <c r="B2265" s="20" t="s">
        <v>13</v>
      </c>
      <c r="C2265" s="20" t="s">
        <v>14</v>
      </c>
      <c r="D2265" s="20" t="s">
        <v>22</v>
      </c>
      <c r="E2265" s="12" t="str">
        <f>IFERROR(__xludf.DUMMYFUNCTION("FILTER(colegios!$B$2:$B5618,colegios!$A$2:$A5618=L2265)"),"60133")</f>
        <v>60133</v>
      </c>
      <c r="F2265" s="14" t="s">
        <v>16</v>
      </c>
      <c r="G2265" s="20" t="s">
        <v>17</v>
      </c>
      <c r="H2265" s="14" t="s">
        <v>18</v>
      </c>
      <c r="I2265" s="22">
        <v>2023.0</v>
      </c>
      <c r="J2265" s="16" t="str">
        <f>IFERROR(__xludf.DUMMYFUNCTION("FILTER('CLASFICACIÓN'!$F$3:$F5618,'CLASFICACIÓN'!$G$3:$G5618=M2265)"),"LOS 3 AÑOS")</f>
        <v>LOS 3 AÑOS</v>
      </c>
      <c r="K2265" s="16"/>
      <c r="L2265" s="14" t="s">
        <v>138</v>
      </c>
      <c r="M2265" s="16" t="str">
        <f t="shared" si="1"/>
        <v>601336 Primaria</v>
      </c>
      <c r="N2265" s="17"/>
      <c r="O2265" s="17"/>
      <c r="P2265" s="17"/>
      <c r="Q2265" s="17"/>
      <c r="R2265" s="17"/>
      <c r="S2265" s="17"/>
      <c r="T2265" s="17"/>
    </row>
    <row r="2266">
      <c r="A2266" s="21">
        <v>1069.0</v>
      </c>
      <c r="B2266" s="20" t="s">
        <v>13</v>
      </c>
      <c r="C2266" s="20" t="s">
        <v>14</v>
      </c>
      <c r="D2266" s="20" t="s">
        <v>22</v>
      </c>
      <c r="E2266" s="12" t="str">
        <f>IFERROR(__xludf.DUMMYFUNCTION("FILTER(colegios!$B$2:$B5618,colegios!$A$2:$A5618=L2266)"),"60133")</f>
        <v>60133</v>
      </c>
      <c r="F2266" s="14" t="s">
        <v>16</v>
      </c>
      <c r="G2266" s="20" t="s">
        <v>21</v>
      </c>
      <c r="H2266" s="14" t="s">
        <v>18</v>
      </c>
      <c r="I2266" s="22">
        <v>2023.0</v>
      </c>
      <c r="J2266" s="16" t="str">
        <f>IFERROR(__xludf.DUMMYFUNCTION("FILTER('CLASFICACIÓN'!$F$3:$F5618,'CLASFICACIÓN'!$G$3:$G5618=M2266)"),"LOS 3 AÑOS")</f>
        <v>LOS 3 AÑOS</v>
      </c>
      <c r="K2266" s="16"/>
      <c r="L2266" s="14" t="s">
        <v>138</v>
      </c>
      <c r="M2266" s="16" t="str">
        <f t="shared" si="1"/>
        <v>601336 Primaria</v>
      </c>
      <c r="N2266" s="17"/>
      <c r="O2266" s="17"/>
      <c r="P2266" s="17"/>
      <c r="Q2266" s="17"/>
      <c r="R2266" s="17"/>
      <c r="S2266" s="17"/>
      <c r="T2266" s="17"/>
    </row>
    <row r="2267">
      <c r="A2267" s="21">
        <v>1070.0</v>
      </c>
      <c r="B2267" s="20" t="s">
        <v>13</v>
      </c>
      <c r="C2267" s="20" t="s">
        <v>14</v>
      </c>
      <c r="D2267" s="20" t="s">
        <v>22</v>
      </c>
      <c r="E2267" s="12" t="str">
        <f>IFERROR(__xludf.DUMMYFUNCTION("FILTER(colegios!$B$2:$B5618,colegios!$A$2:$A5618=L2267)"),"60133")</f>
        <v>60133</v>
      </c>
      <c r="F2267" s="14" t="s">
        <v>16</v>
      </c>
      <c r="G2267" s="20" t="s">
        <v>21</v>
      </c>
      <c r="H2267" s="14" t="s">
        <v>18</v>
      </c>
      <c r="I2267" s="22">
        <v>2023.0</v>
      </c>
      <c r="J2267" s="16" t="str">
        <f>IFERROR(__xludf.DUMMYFUNCTION("FILTER('CLASFICACIÓN'!$F$3:$F5618,'CLASFICACIÓN'!$G$3:$G5618=M2267)"),"LOS 3 AÑOS")</f>
        <v>LOS 3 AÑOS</v>
      </c>
      <c r="K2267" s="16"/>
      <c r="L2267" s="14" t="s">
        <v>138</v>
      </c>
      <c r="M2267" s="16" t="str">
        <f t="shared" si="1"/>
        <v>601336 Primaria</v>
      </c>
      <c r="N2267" s="17"/>
      <c r="O2267" s="17"/>
      <c r="P2267" s="17"/>
      <c r="Q2267" s="17"/>
      <c r="R2267" s="17"/>
      <c r="S2267" s="17"/>
      <c r="T2267" s="17"/>
    </row>
    <row r="2268">
      <c r="A2268" s="21">
        <v>1071.0</v>
      </c>
      <c r="B2268" s="20" t="s">
        <v>13</v>
      </c>
      <c r="C2268" s="20" t="s">
        <v>14</v>
      </c>
      <c r="D2268" s="20" t="s">
        <v>22</v>
      </c>
      <c r="E2268" s="12" t="str">
        <f>IFERROR(__xludf.DUMMYFUNCTION("FILTER(colegios!$B$2:$B5618,colegios!$A$2:$A5618=L2268)"),"60133")</f>
        <v>60133</v>
      </c>
      <c r="F2268" s="14" t="s">
        <v>16</v>
      </c>
      <c r="G2268" s="20" t="s">
        <v>21</v>
      </c>
      <c r="H2268" s="14" t="s">
        <v>24</v>
      </c>
      <c r="I2268" s="22">
        <v>2023.0</v>
      </c>
      <c r="J2268" s="16" t="str">
        <f>IFERROR(__xludf.DUMMYFUNCTION("FILTER('CLASFICACIÓN'!$F$3:$F5618,'CLASFICACIÓN'!$G$3:$G5618=M2268)"),"LOS 3 AÑOS")</f>
        <v>LOS 3 AÑOS</v>
      </c>
      <c r="K2268" s="16"/>
      <c r="L2268" s="14" t="s">
        <v>138</v>
      </c>
      <c r="M2268" s="16" t="str">
        <f t="shared" si="1"/>
        <v>601336 Primaria</v>
      </c>
      <c r="N2268" s="17"/>
      <c r="O2268" s="17"/>
      <c r="P2268" s="17"/>
      <c r="Q2268" s="17"/>
      <c r="R2268" s="17"/>
      <c r="S2268" s="17"/>
      <c r="T2268" s="17"/>
    </row>
    <row r="2269">
      <c r="A2269" s="21">
        <v>1072.0</v>
      </c>
      <c r="B2269" s="20" t="s">
        <v>13</v>
      </c>
      <c r="C2269" s="20" t="s">
        <v>14</v>
      </c>
      <c r="D2269" s="20" t="s">
        <v>22</v>
      </c>
      <c r="E2269" s="12" t="str">
        <f>IFERROR(__xludf.DUMMYFUNCTION("FILTER(colegios!$B$2:$B5618,colegios!$A$2:$A5618=L2269)"),"60133")</f>
        <v>60133</v>
      </c>
      <c r="F2269" s="14" t="s">
        <v>16</v>
      </c>
      <c r="G2269" s="20" t="s">
        <v>17</v>
      </c>
      <c r="H2269" s="14" t="s">
        <v>18</v>
      </c>
      <c r="I2269" s="22">
        <v>2023.0</v>
      </c>
      <c r="J2269" s="16" t="str">
        <f>IFERROR(__xludf.DUMMYFUNCTION("FILTER('CLASFICACIÓN'!$F$3:$F5618,'CLASFICACIÓN'!$G$3:$G5618=M2269)"),"LOS 3 AÑOS")</f>
        <v>LOS 3 AÑOS</v>
      </c>
      <c r="K2269" s="16"/>
      <c r="L2269" s="14" t="s">
        <v>138</v>
      </c>
      <c r="M2269" s="16" t="str">
        <f t="shared" si="1"/>
        <v>601336 Primaria</v>
      </c>
      <c r="N2269" s="17"/>
      <c r="O2269" s="17"/>
      <c r="P2269" s="17"/>
      <c r="Q2269" s="17"/>
      <c r="R2269" s="17"/>
      <c r="S2269" s="17"/>
      <c r="T2269" s="17"/>
    </row>
    <row r="2270">
      <c r="A2270" s="21">
        <v>1073.0</v>
      </c>
      <c r="B2270" s="20" t="s">
        <v>13</v>
      </c>
      <c r="C2270" s="20" t="s">
        <v>14</v>
      </c>
      <c r="D2270" s="20" t="s">
        <v>22</v>
      </c>
      <c r="E2270" s="12" t="str">
        <f>IFERROR(__xludf.DUMMYFUNCTION("FILTER(colegios!$B$2:$B5618,colegios!$A$2:$A5618=L2270)"),"60133")</f>
        <v>60133</v>
      </c>
      <c r="F2270" s="14" t="s">
        <v>16</v>
      </c>
      <c r="G2270" s="20" t="s">
        <v>21</v>
      </c>
      <c r="H2270" s="14" t="s">
        <v>18</v>
      </c>
      <c r="I2270" s="22">
        <v>2023.0</v>
      </c>
      <c r="J2270" s="16" t="str">
        <f>IFERROR(__xludf.DUMMYFUNCTION("FILTER('CLASFICACIÓN'!$F$3:$F5618,'CLASFICACIÓN'!$G$3:$G5618=M2270)"),"LOS 3 AÑOS")</f>
        <v>LOS 3 AÑOS</v>
      </c>
      <c r="K2270" s="16"/>
      <c r="L2270" s="14" t="s">
        <v>138</v>
      </c>
      <c r="M2270" s="16" t="str">
        <f t="shared" si="1"/>
        <v>601336 Primaria</v>
      </c>
      <c r="N2270" s="17"/>
      <c r="O2270" s="17"/>
      <c r="P2270" s="17"/>
      <c r="Q2270" s="17"/>
      <c r="R2270" s="17"/>
      <c r="S2270" s="17"/>
      <c r="T2270" s="17"/>
    </row>
    <row r="2271">
      <c r="A2271" s="21">
        <v>1074.0</v>
      </c>
      <c r="B2271" s="20" t="s">
        <v>13</v>
      </c>
      <c r="C2271" s="20" t="s">
        <v>14</v>
      </c>
      <c r="D2271" s="20" t="s">
        <v>22</v>
      </c>
      <c r="E2271" s="12" t="str">
        <f>IFERROR(__xludf.DUMMYFUNCTION("FILTER(colegios!$B$2:$B5618,colegios!$A$2:$A5618=L2271)"),"60133")</f>
        <v>60133</v>
      </c>
      <c r="F2271" s="14" t="s">
        <v>16</v>
      </c>
      <c r="G2271" s="20" t="s">
        <v>21</v>
      </c>
      <c r="H2271" s="14" t="s">
        <v>18</v>
      </c>
      <c r="I2271" s="22">
        <v>2023.0</v>
      </c>
      <c r="J2271" s="16" t="str">
        <f>IFERROR(__xludf.DUMMYFUNCTION("FILTER('CLASFICACIÓN'!$F$3:$F5618,'CLASFICACIÓN'!$G$3:$G5618=M2271)"),"LOS 3 AÑOS")</f>
        <v>LOS 3 AÑOS</v>
      </c>
      <c r="K2271" s="16"/>
      <c r="L2271" s="14" t="s">
        <v>138</v>
      </c>
      <c r="M2271" s="16" t="str">
        <f t="shared" si="1"/>
        <v>601336 Primaria</v>
      </c>
      <c r="N2271" s="17"/>
      <c r="O2271" s="17"/>
      <c r="P2271" s="17"/>
      <c r="Q2271" s="17"/>
      <c r="R2271" s="17"/>
      <c r="S2271" s="17"/>
      <c r="T2271" s="17"/>
    </row>
    <row r="2272">
      <c r="A2272" s="21">
        <v>1075.0</v>
      </c>
      <c r="B2272" s="20" t="s">
        <v>13</v>
      </c>
      <c r="C2272" s="20" t="s">
        <v>14</v>
      </c>
      <c r="D2272" s="20" t="s">
        <v>22</v>
      </c>
      <c r="E2272" s="12" t="str">
        <f>IFERROR(__xludf.DUMMYFUNCTION("FILTER(colegios!$B$2:$B5618,colegios!$A$2:$A5618=L2272)"),"60133")</f>
        <v>60133</v>
      </c>
      <c r="F2272" s="14" t="s">
        <v>16</v>
      </c>
      <c r="G2272" s="20" t="s">
        <v>21</v>
      </c>
      <c r="H2272" s="14" t="s">
        <v>24</v>
      </c>
      <c r="I2272" s="22">
        <v>2023.0</v>
      </c>
      <c r="J2272" s="16" t="str">
        <f>IFERROR(__xludf.DUMMYFUNCTION("FILTER('CLASFICACIÓN'!$F$3:$F5618,'CLASFICACIÓN'!$G$3:$G5618=M2272)"),"LOS 3 AÑOS")</f>
        <v>LOS 3 AÑOS</v>
      </c>
      <c r="K2272" s="16"/>
      <c r="L2272" s="14" t="s">
        <v>138</v>
      </c>
      <c r="M2272" s="16" t="str">
        <f t="shared" si="1"/>
        <v>601336 Primaria</v>
      </c>
      <c r="N2272" s="17"/>
      <c r="O2272" s="17"/>
      <c r="P2272" s="17"/>
      <c r="Q2272" s="17"/>
      <c r="R2272" s="17"/>
      <c r="S2272" s="17"/>
      <c r="T2272" s="17"/>
    </row>
    <row r="2273">
      <c r="A2273" s="21">
        <v>1076.0</v>
      </c>
      <c r="B2273" s="20" t="s">
        <v>13</v>
      </c>
      <c r="C2273" s="20" t="s">
        <v>14</v>
      </c>
      <c r="D2273" s="20" t="s">
        <v>22</v>
      </c>
      <c r="E2273" s="12" t="str">
        <f>IFERROR(__xludf.DUMMYFUNCTION("FILTER(colegios!$B$2:$B5618,colegios!$A$2:$A5618=L2273)"),"60133")</f>
        <v>60133</v>
      </c>
      <c r="F2273" s="14" t="s">
        <v>16</v>
      </c>
      <c r="G2273" s="20" t="s">
        <v>17</v>
      </c>
      <c r="H2273" s="14" t="s">
        <v>18</v>
      </c>
      <c r="I2273" s="22">
        <v>2023.0</v>
      </c>
      <c r="J2273" s="16" t="str">
        <f>IFERROR(__xludf.DUMMYFUNCTION("FILTER('CLASFICACIÓN'!$F$3:$F5618,'CLASFICACIÓN'!$G$3:$G5618=M2273)"),"LOS 3 AÑOS")</f>
        <v>LOS 3 AÑOS</v>
      </c>
      <c r="K2273" s="16"/>
      <c r="L2273" s="14" t="s">
        <v>138</v>
      </c>
      <c r="M2273" s="16" t="str">
        <f t="shared" si="1"/>
        <v>601336 Primaria</v>
      </c>
      <c r="N2273" s="17"/>
      <c r="O2273" s="17"/>
      <c r="P2273" s="17"/>
      <c r="Q2273" s="17"/>
      <c r="R2273" s="17"/>
      <c r="S2273" s="17"/>
      <c r="T2273" s="17"/>
    </row>
    <row r="2274">
      <c r="A2274" s="21">
        <v>1077.0</v>
      </c>
      <c r="B2274" s="20" t="s">
        <v>13</v>
      </c>
      <c r="C2274" s="20" t="s">
        <v>14</v>
      </c>
      <c r="D2274" s="20" t="s">
        <v>22</v>
      </c>
      <c r="E2274" s="12" t="str">
        <f>IFERROR(__xludf.DUMMYFUNCTION("FILTER(colegios!$B$2:$B5618,colegios!$A$2:$A5618=L2274)"),"60133")</f>
        <v>60133</v>
      </c>
      <c r="F2274" s="14" t="s">
        <v>16</v>
      </c>
      <c r="G2274" s="20" t="s">
        <v>17</v>
      </c>
      <c r="H2274" s="14" t="s">
        <v>18</v>
      </c>
      <c r="I2274" s="22">
        <v>2023.0</v>
      </c>
      <c r="J2274" s="16" t="str">
        <f>IFERROR(__xludf.DUMMYFUNCTION("FILTER('CLASFICACIÓN'!$F$3:$F5618,'CLASFICACIÓN'!$G$3:$G5618=M2274)"),"LOS 3 AÑOS")</f>
        <v>LOS 3 AÑOS</v>
      </c>
      <c r="K2274" s="16"/>
      <c r="L2274" s="14" t="s">
        <v>138</v>
      </c>
      <c r="M2274" s="16" t="str">
        <f t="shared" si="1"/>
        <v>601336 Primaria</v>
      </c>
      <c r="N2274" s="17"/>
      <c r="O2274" s="17"/>
      <c r="P2274" s="17"/>
      <c r="Q2274" s="17"/>
      <c r="R2274" s="17"/>
      <c r="S2274" s="17"/>
      <c r="T2274" s="17"/>
    </row>
    <row r="2275">
      <c r="A2275" s="21">
        <v>1078.0</v>
      </c>
      <c r="B2275" s="20" t="s">
        <v>13</v>
      </c>
      <c r="C2275" s="20" t="s">
        <v>14</v>
      </c>
      <c r="D2275" s="20" t="s">
        <v>22</v>
      </c>
      <c r="E2275" s="12" t="str">
        <f>IFERROR(__xludf.DUMMYFUNCTION("FILTER(colegios!$B$2:$B5618,colegios!$A$2:$A5618=L2275)"),"60133")</f>
        <v>60133</v>
      </c>
      <c r="F2275" s="14" t="s">
        <v>16</v>
      </c>
      <c r="G2275" s="20" t="s">
        <v>17</v>
      </c>
      <c r="H2275" s="14" t="s">
        <v>18</v>
      </c>
      <c r="I2275" s="22">
        <v>2023.0</v>
      </c>
      <c r="J2275" s="16" t="str">
        <f>IFERROR(__xludf.DUMMYFUNCTION("FILTER('CLASFICACIÓN'!$F$3:$F5618,'CLASFICACIÓN'!$G$3:$G5618=M2275)"),"LOS 3 AÑOS")</f>
        <v>LOS 3 AÑOS</v>
      </c>
      <c r="K2275" s="16"/>
      <c r="L2275" s="14" t="s">
        <v>138</v>
      </c>
      <c r="M2275" s="16" t="str">
        <f t="shared" si="1"/>
        <v>601336 Primaria</v>
      </c>
      <c r="N2275" s="17"/>
      <c r="O2275" s="17"/>
      <c r="P2275" s="17"/>
      <c r="Q2275" s="17"/>
      <c r="R2275" s="17"/>
      <c r="S2275" s="17"/>
      <c r="T2275" s="17"/>
    </row>
    <row r="2276">
      <c r="A2276" s="21">
        <v>1079.0</v>
      </c>
      <c r="B2276" s="20" t="s">
        <v>13</v>
      </c>
      <c r="C2276" s="20" t="s">
        <v>14</v>
      </c>
      <c r="D2276" s="20" t="s">
        <v>22</v>
      </c>
      <c r="E2276" s="12" t="str">
        <f>IFERROR(__xludf.DUMMYFUNCTION("FILTER(colegios!$B$2:$B5618,colegios!$A$2:$A5618=L2276)"),"60133")</f>
        <v>60133</v>
      </c>
      <c r="F2276" s="14" t="s">
        <v>16</v>
      </c>
      <c r="G2276" s="20" t="s">
        <v>21</v>
      </c>
      <c r="H2276" s="14" t="s">
        <v>18</v>
      </c>
      <c r="I2276" s="22">
        <v>2023.0</v>
      </c>
      <c r="J2276" s="16" t="str">
        <f>IFERROR(__xludf.DUMMYFUNCTION("FILTER('CLASFICACIÓN'!$F$3:$F5618,'CLASFICACIÓN'!$G$3:$G5618=M2276)"),"LOS 3 AÑOS")</f>
        <v>LOS 3 AÑOS</v>
      </c>
      <c r="K2276" s="16"/>
      <c r="L2276" s="14" t="s">
        <v>138</v>
      </c>
      <c r="M2276" s="16" t="str">
        <f t="shared" si="1"/>
        <v>601336 Primaria</v>
      </c>
      <c r="N2276" s="17"/>
      <c r="O2276" s="17"/>
      <c r="P2276" s="17"/>
      <c r="Q2276" s="17"/>
      <c r="R2276" s="17"/>
      <c r="S2276" s="17"/>
      <c r="T2276" s="17"/>
    </row>
    <row r="2277">
      <c r="A2277" s="21">
        <v>1080.0</v>
      </c>
      <c r="B2277" s="20" t="s">
        <v>13</v>
      </c>
      <c r="C2277" s="20" t="s">
        <v>14</v>
      </c>
      <c r="D2277" s="20" t="s">
        <v>22</v>
      </c>
      <c r="E2277" s="12" t="str">
        <f>IFERROR(__xludf.DUMMYFUNCTION("FILTER(colegios!$B$2:$B5618,colegios!$A$2:$A5618=L2277)"),"60133")</f>
        <v>60133</v>
      </c>
      <c r="F2277" s="14" t="s">
        <v>16</v>
      </c>
      <c r="G2277" s="20" t="s">
        <v>21</v>
      </c>
      <c r="H2277" s="14" t="s">
        <v>24</v>
      </c>
      <c r="I2277" s="22">
        <v>2023.0</v>
      </c>
      <c r="J2277" s="16" t="str">
        <f>IFERROR(__xludf.DUMMYFUNCTION("FILTER('CLASFICACIÓN'!$F$3:$F5618,'CLASFICACIÓN'!$G$3:$G5618=M2277)"),"LOS 3 AÑOS")</f>
        <v>LOS 3 AÑOS</v>
      </c>
      <c r="K2277" s="16"/>
      <c r="L2277" s="14" t="s">
        <v>138</v>
      </c>
      <c r="M2277" s="16" t="str">
        <f t="shared" si="1"/>
        <v>601336 Primaria</v>
      </c>
      <c r="N2277" s="17"/>
      <c r="O2277" s="17"/>
      <c r="P2277" s="17"/>
      <c r="Q2277" s="17"/>
      <c r="R2277" s="17"/>
      <c r="S2277" s="17"/>
      <c r="T2277" s="17"/>
    </row>
    <row r="2278">
      <c r="A2278" s="21">
        <v>1081.0</v>
      </c>
      <c r="B2278" s="20" t="s">
        <v>13</v>
      </c>
      <c r="C2278" s="20" t="s">
        <v>14</v>
      </c>
      <c r="D2278" s="20" t="s">
        <v>22</v>
      </c>
      <c r="E2278" s="12" t="str">
        <f>IFERROR(__xludf.DUMMYFUNCTION("FILTER(colegios!$B$2:$B5618,colegios!$A$2:$A5618=L2278)"),"60133")</f>
        <v>60133</v>
      </c>
      <c r="F2278" s="14" t="s">
        <v>16</v>
      </c>
      <c r="G2278" s="20" t="s">
        <v>21</v>
      </c>
      <c r="H2278" s="14" t="s">
        <v>18</v>
      </c>
      <c r="I2278" s="22">
        <v>2023.0</v>
      </c>
      <c r="J2278" s="16" t="str">
        <f>IFERROR(__xludf.DUMMYFUNCTION("FILTER('CLASFICACIÓN'!$F$3:$F5618,'CLASFICACIÓN'!$G$3:$G5618=M2278)"),"LOS 3 AÑOS")</f>
        <v>LOS 3 AÑOS</v>
      </c>
      <c r="K2278" s="16"/>
      <c r="L2278" s="14" t="s">
        <v>138</v>
      </c>
      <c r="M2278" s="16" t="str">
        <f t="shared" si="1"/>
        <v>601336 Primaria</v>
      </c>
      <c r="N2278" s="17"/>
      <c r="O2278" s="17"/>
      <c r="P2278" s="17"/>
      <c r="Q2278" s="17"/>
      <c r="R2278" s="17"/>
      <c r="S2278" s="17"/>
      <c r="T2278" s="17"/>
    </row>
    <row r="2279">
      <c r="A2279" s="21">
        <v>1082.0</v>
      </c>
      <c r="B2279" s="20" t="s">
        <v>13</v>
      </c>
      <c r="C2279" s="20" t="s">
        <v>14</v>
      </c>
      <c r="D2279" s="20" t="s">
        <v>22</v>
      </c>
      <c r="E2279" s="12" t="str">
        <f>IFERROR(__xludf.DUMMYFUNCTION("FILTER(colegios!$B$2:$B5618,colegios!$A$2:$A5618=L2279)"),"60133")</f>
        <v>60133</v>
      </c>
      <c r="F2279" s="14" t="s">
        <v>16</v>
      </c>
      <c r="G2279" s="20" t="s">
        <v>17</v>
      </c>
      <c r="H2279" s="14" t="s">
        <v>18</v>
      </c>
      <c r="I2279" s="22">
        <v>2023.0</v>
      </c>
      <c r="J2279" s="16" t="str">
        <f>IFERROR(__xludf.DUMMYFUNCTION("FILTER('CLASFICACIÓN'!$F$3:$F5618,'CLASFICACIÓN'!$G$3:$G5618=M2279)"),"LOS 3 AÑOS")</f>
        <v>LOS 3 AÑOS</v>
      </c>
      <c r="K2279" s="16"/>
      <c r="L2279" s="14" t="s">
        <v>138</v>
      </c>
      <c r="M2279" s="16" t="str">
        <f t="shared" si="1"/>
        <v>601336 Primaria</v>
      </c>
      <c r="N2279" s="17"/>
      <c r="O2279" s="17"/>
      <c r="P2279" s="17"/>
      <c r="Q2279" s="17"/>
      <c r="R2279" s="17"/>
      <c r="S2279" s="17"/>
      <c r="T2279" s="17"/>
    </row>
    <row r="2280">
      <c r="A2280" s="21">
        <v>1083.0</v>
      </c>
      <c r="B2280" s="20" t="s">
        <v>13</v>
      </c>
      <c r="C2280" s="20" t="s">
        <v>14</v>
      </c>
      <c r="D2280" s="20" t="s">
        <v>22</v>
      </c>
      <c r="E2280" s="12" t="str">
        <f>IFERROR(__xludf.DUMMYFUNCTION("FILTER(colegios!$B$2:$B5618,colegios!$A$2:$A5618=L2280)"),"60133")</f>
        <v>60133</v>
      </c>
      <c r="F2280" s="14" t="s">
        <v>16</v>
      </c>
      <c r="G2280" s="20" t="s">
        <v>21</v>
      </c>
      <c r="H2280" s="14" t="s">
        <v>18</v>
      </c>
      <c r="I2280" s="22">
        <v>2023.0</v>
      </c>
      <c r="J2280" s="16" t="str">
        <f>IFERROR(__xludf.DUMMYFUNCTION("FILTER('CLASFICACIÓN'!$F$3:$F5618,'CLASFICACIÓN'!$G$3:$G5618=M2280)"),"LOS 3 AÑOS")</f>
        <v>LOS 3 AÑOS</v>
      </c>
      <c r="K2280" s="16"/>
      <c r="L2280" s="14" t="s">
        <v>138</v>
      </c>
      <c r="M2280" s="16" t="str">
        <f t="shared" si="1"/>
        <v>601336 Primaria</v>
      </c>
      <c r="N2280" s="17"/>
      <c r="O2280" s="17"/>
      <c r="P2280" s="17"/>
      <c r="Q2280" s="17"/>
      <c r="R2280" s="17"/>
      <c r="S2280" s="17"/>
      <c r="T2280" s="17"/>
    </row>
    <row r="2281">
      <c r="A2281" s="21">
        <v>1084.0</v>
      </c>
      <c r="B2281" s="20" t="s">
        <v>13</v>
      </c>
      <c r="C2281" s="20" t="s">
        <v>14</v>
      </c>
      <c r="D2281" s="20" t="s">
        <v>22</v>
      </c>
      <c r="E2281" s="12" t="str">
        <f>IFERROR(__xludf.DUMMYFUNCTION("FILTER(colegios!$B$2:$B5618,colegios!$A$2:$A5618=L2281)"),"60133")</f>
        <v>60133</v>
      </c>
      <c r="F2281" s="14" t="s">
        <v>16</v>
      </c>
      <c r="G2281" s="20" t="s">
        <v>21</v>
      </c>
      <c r="H2281" s="14" t="s">
        <v>24</v>
      </c>
      <c r="I2281" s="22">
        <v>2023.0</v>
      </c>
      <c r="J2281" s="16" t="str">
        <f>IFERROR(__xludf.DUMMYFUNCTION("FILTER('CLASFICACIÓN'!$F$3:$F5618,'CLASFICACIÓN'!$G$3:$G5618=M2281)"),"LOS 3 AÑOS")</f>
        <v>LOS 3 AÑOS</v>
      </c>
      <c r="K2281" s="16"/>
      <c r="L2281" s="14" t="s">
        <v>138</v>
      </c>
      <c r="M2281" s="16" t="str">
        <f t="shared" si="1"/>
        <v>601336 Primaria</v>
      </c>
      <c r="N2281" s="17"/>
      <c r="O2281" s="17"/>
      <c r="P2281" s="17"/>
      <c r="Q2281" s="17"/>
      <c r="R2281" s="17"/>
      <c r="S2281" s="17"/>
      <c r="T2281" s="17"/>
    </row>
    <row r="2282">
      <c r="A2282" s="21">
        <v>1085.0</v>
      </c>
      <c r="B2282" s="20" t="s">
        <v>13</v>
      </c>
      <c r="C2282" s="20" t="s">
        <v>14</v>
      </c>
      <c r="D2282" s="20" t="s">
        <v>22</v>
      </c>
      <c r="E2282" s="12" t="str">
        <f>IFERROR(__xludf.DUMMYFUNCTION("FILTER(colegios!$B$2:$B5618,colegios!$A$2:$A5618=L2282)"),"60133")</f>
        <v>60133</v>
      </c>
      <c r="F2282" s="14" t="s">
        <v>16</v>
      </c>
      <c r="G2282" s="20" t="s">
        <v>21</v>
      </c>
      <c r="H2282" s="14" t="s">
        <v>18</v>
      </c>
      <c r="I2282" s="22">
        <v>2023.0</v>
      </c>
      <c r="J2282" s="16" t="str">
        <f>IFERROR(__xludf.DUMMYFUNCTION("FILTER('CLASFICACIÓN'!$F$3:$F5618,'CLASFICACIÓN'!$G$3:$G5618=M2282)"),"LOS 3 AÑOS")</f>
        <v>LOS 3 AÑOS</v>
      </c>
      <c r="K2282" s="16"/>
      <c r="L2282" s="14" t="s">
        <v>138</v>
      </c>
      <c r="M2282" s="16" t="str">
        <f t="shared" si="1"/>
        <v>601336 Primaria</v>
      </c>
      <c r="N2282" s="17"/>
      <c r="O2282" s="17"/>
      <c r="P2282" s="17"/>
      <c r="Q2282" s="17"/>
      <c r="R2282" s="17"/>
      <c r="S2282" s="17"/>
      <c r="T2282" s="17"/>
    </row>
    <row r="2283">
      <c r="A2283" s="21">
        <v>1086.0</v>
      </c>
      <c r="B2283" s="20" t="s">
        <v>13</v>
      </c>
      <c r="C2283" s="20" t="s">
        <v>14</v>
      </c>
      <c r="D2283" s="20" t="s">
        <v>22</v>
      </c>
      <c r="E2283" s="12" t="str">
        <f>IFERROR(__xludf.DUMMYFUNCTION("FILTER(colegios!$B$2:$B5618,colegios!$A$2:$A5618=L2283)"),"60133")</f>
        <v>60133</v>
      </c>
      <c r="F2283" s="14" t="s">
        <v>16</v>
      </c>
      <c r="G2283" s="20" t="s">
        <v>17</v>
      </c>
      <c r="H2283" s="14" t="s">
        <v>18</v>
      </c>
      <c r="I2283" s="22">
        <v>2023.0</v>
      </c>
      <c r="J2283" s="16" t="str">
        <f>IFERROR(__xludf.DUMMYFUNCTION("FILTER('CLASFICACIÓN'!$F$3:$F5618,'CLASFICACIÓN'!$G$3:$G5618=M2283)"),"LOS 3 AÑOS")</f>
        <v>LOS 3 AÑOS</v>
      </c>
      <c r="K2283" s="16"/>
      <c r="L2283" s="14" t="s">
        <v>138</v>
      </c>
      <c r="M2283" s="16" t="str">
        <f t="shared" si="1"/>
        <v>601336 Primaria</v>
      </c>
      <c r="N2283" s="17"/>
      <c r="O2283" s="17"/>
      <c r="P2283" s="17"/>
      <c r="Q2283" s="17"/>
      <c r="R2283" s="17"/>
      <c r="S2283" s="17"/>
      <c r="T2283" s="17"/>
    </row>
    <row r="2284">
      <c r="A2284" s="21">
        <v>1087.0</v>
      </c>
      <c r="B2284" s="20" t="s">
        <v>13</v>
      </c>
      <c r="C2284" s="20" t="s">
        <v>14</v>
      </c>
      <c r="D2284" s="20" t="s">
        <v>22</v>
      </c>
      <c r="E2284" s="12" t="str">
        <f>IFERROR(__xludf.DUMMYFUNCTION("FILTER(colegios!$B$2:$B5618,colegios!$A$2:$A5618=L2284)"),"60133")</f>
        <v>60133</v>
      </c>
      <c r="F2284" s="14" t="s">
        <v>16</v>
      </c>
      <c r="G2284" s="20" t="s">
        <v>17</v>
      </c>
      <c r="H2284" s="14" t="s">
        <v>24</v>
      </c>
      <c r="I2284" s="22">
        <v>2023.0</v>
      </c>
      <c r="J2284" s="16" t="str">
        <f>IFERROR(__xludf.DUMMYFUNCTION("FILTER('CLASFICACIÓN'!$F$3:$F5618,'CLASFICACIÓN'!$G$3:$G5618=M2284)"),"LOS 3 AÑOS")</f>
        <v>LOS 3 AÑOS</v>
      </c>
      <c r="K2284" s="16"/>
      <c r="L2284" s="14" t="s">
        <v>138</v>
      </c>
      <c r="M2284" s="16" t="str">
        <f t="shared" si="1"/>
        <v>601336 Primaria</v>
      </c>
      <c r="N2284" s="17"/>
      <c r="O2284" s="17"/>
      <c r="P2284" s="17"/>
      <c r="Q2284" s="17"/>
      <c r="R2284" s="17"/>
      <c r="S2284" s="17"/>
      <c r="T2284" s="17"/>
    </row>
    <row r="2285">
      <c r="A2285" s="21">
        <v>1088.0</v>
      </c>
      <c r="B2285" s="20" t="s">
        <v>13</v>
      </c>
      <c r="C2285" s="20" t="s">
        <v>14</v>
      </c>
      <c r="D2285" s="20" t="s">
        <v>22</v>
      </c>
      <c r="E2285" s="12" t="str">
        <f>IFERROR(__xludf.DUMMYFUNCTION("FILTER(colegios!$B$2:$B5618,colegios!$A$2:$A5618=L2285)"),"60133")</f>
        <v>60133</v>
      </c>
      <c r="F2285" s="14" t="s">
        <v>16</v>
      </c>
      <c r="G2285" s="20" t="s">
        <v>17</v>
      </c>
      <c r="H2285" s="14" t="s">
        <v>18</v>
      </c>
      <c r="I2285" s="22">
        <v>2023.0</v>
      </c>
      <c r="J2285" s="16" t="str">
        <f>IFERROR(__xludf.DUMMYFUNCTION("FILTER('CLASFICACIÓN'!$F$3:$F5618,'CLASFICACIÓN'!$G$3:$G5618=M2285)"),"LOS 3 AÑOS")</f>
        <v>LOS 3 AÑOS</v>
      </c>
      <c r="K2285" s="16"/>
      <c r="L2285" s="14" t="s">
        <v>138</v>
      </c>
      <c r="M2285" s="16" t="str">
        <f t="shared" si="1"/>
        <v>601336 Primaria</v>
      </c>
      <c r="N2285" s="17"/>
      <c r="O2285" s="17"/>
      <c r="P2285" s="17"/>
      <c r="Q2285" s="17"/>
      <c r="R2285" s="17"/>
      <c r="S2285" s="17"/>
      <c r="T2285" s="17"/>
    </row>
    <row r="2286">
      <c r="A2286" s="21">
        <v>1089.0</v>
      </c>
      <c r="B2286" s="20" t="s">
        <v>13</v>
      </c>
      <c r="C2286" s="20" t="s">
        <v>14</v>
      </c>
      <c r="D2286" s="20" t="s">
        <v>22</v>
      </c>
      <c r="E2286" s="12" t="str">
        <f>IFERROR(__xludf.DUMMYFUNCTION("FILTER(colegios!$B$2:$B5618,colegios!$A$2:$A5618=L2286)"),"60133")</f>
        <v>60133</v>
      </c>
      <c r="F2286" s="14" t="s">
        <v>16</v>
      </c>
      <c r="G2286" s="20" t="s">
        <v>21</v>
      </c>
      <c r="H2286" s="14" t="s">
        <v>18</v>
      </c>
      <c r="I2286" s="22">
        <v>2023.0</v>
      </c>
      <c r="J2286" s="16" t="str">
        <f>IFERROR(__xludf.DUMMYFUNCTION("FILTER('CLASFICACIÓN'!$F$3:$F5618,'CLASFICACIÓN'!$G$3:$G5618=M2286)"),"LOS 3 AÑOS")</f>
        <v>LOS 3 AÑOS</v>
      </c>
      <c r="K2286" s="16"/>
      <c r="L2286" s="14" t="s">
        <v>138</v>
      </c>
      <c r="M2286" s="16" t="str">
        <f t="shared" si="1"/>
        <v>601336 Primaria</v>
      </c>
      <c r="N2286" s="17"/>
      <c r="O2286" s="17"/>
      <c r="P2286" s="17"/>
      <c r="Q2286" s="17"/>
      <c r="R2286" s="17"/>
      <c r="S2286" s="17"/>
      <c r="T2286" s="17"/>
    </row>
    <row r="2287">
      <c r="A2287" s="21">
        <v>1090.0</v>
      </c>
      <c r="B2287" s="20" t="s">
        <v>13</v>
      </c>
      <c r="C2287" s="20" t="s">
        <v>14</v>
      </c>
      <c r="D2287" s="20" t="s">
        <v>22</v>
      </c>
      <c r="E2287" s="12" t="str">
        <f>IFERROR(__xludf.DUMMYFUNCTION("FILTER(colegios!$B$2:$B5618,colegios!$A$2:$A5618=L2287)"),"60133")</f>
        <v>60133</v>
      </c>
      <c r="F2287" s="14" t="s">
        <v>16</v>
      </c>
      <c r="G2287" s="20" t="s">
        <v>21</v>
      </c>
      <c r="H2287" s="14" t="s">
        <v>24</v>
      </c>
      <c r="I2287" s="22">
        <v>2023.0</v>
      </c>
      <c r="J2287" s="16" t="str">
        <f>IFERROR(__xludf.DUMMYFUNCTION("FILTER('CLASFICACIÓN'!$F$3:$F5618,'CLASFICACIÓN'!$G$3:$G5618=M2287)"),"LOS 3 AÑOS")</f>
        <v>LOS 3 AÑOS</v>
      </c>
      <c r="K2287" s="16"/>
      <c r="L2287" s="14" t="s">
        <v>138</v>
      </c>
      <c r="M2287" s="16" t="str">
        <f t="shared" si="1"/>
        <v>601336 Primaria</v>
      </c>
      <c r="N2287" s="17"/>
      <c r="O2287" s="17"/>
      <c r="P2287" s="17"/>
      <c r="Q2287" s="17"/>
      <c r="R2287" s="17"/>
      <c r="S2287" s="17"/>
      <c r="T2287" s="17"/>
    </row>
    <row r="2288">
      <c r="A2288" s="21">
        <v>1091.0</v>
      </c>
      <c r="B2288" s="20" t="s">
        <v>13</v>
      </c>
      <c r="C2288" s="20" t="s">
        <v>14</v>
      </c>
      <c r="D2288" s="20" t="s">
        <v>22</v>
      </c>
      <c r="E2288" s="12" t="str">
        <f>IFERROR(__xludf.DUMMYFUNCTION("FILTER(colegios!$B$2:$B5618,colegios!$A$2:$A5618=L2288)"),"60133")</f>
        <v>60133</v>
      </c>
      <c r="F2288" s="14" t="s">
        <v>16</v>
      </c>
      <c r="G2288" s="20" t="s">
        <v>21</v>
      </c>
      <c r="H2288" s="14" t="s">
        <v>18</v>
      </c>
      <c r="I2288" s="22">
        <v>2023.0</v>
      </c>
      <c r="J2288" s="16" t="str">
        <f>IFERROR(__xludf.DUMMYFUNCTION("FILTER('CLASFICACIÓN'!$F$3:$F5618,'CLASFICACIÓN'!$G$3:$G5618=M2288)"),"LOS 3 AÑOS")</f>
        <v>LOS 3 AÑOS</v>
      </c>
      <c r="K2288" s="16"/>
      <c r="L2288" s="14" t="s">
        <v>138</v>
      </c>
      <c r="M2288" s="16" t="str">
        <f t="shared" si="1"/>
        <v>601336 Primaria</v>
      </c>
      <c r="N2288" s="17"/>
      <c r="O2288" s="17"/>
      <c r="P2288" s="17"/>
      <c r="Q2288" s="17"/>
      <c r="R2288" s="17"/>
      <c r="S2288" s="17"/>
      <c r="T2288" s="17"/>
    </row>
    <row r="2289">
      <c r="A2289" s="21">
        <v>1092.0</v>
      </c>
      <c r="B2289" s="20" t="s">
        <v>13</v>
      </c>
      <c r="C2289" s="20" t="s">
        <v>14</v>
      </c>
      <c r="D2289" s="20" t="s">
        <v>22</v>
      </c>
      <c r="E2289" s="12" t="str">
        <f>IFERROR(__xludf.DUMMYFUNCTION("FILTER(colegios!$B$2:$B5618,colegios!$A$2:$A5618=L2289)"),"60133")</f>
        <v>60133</v>
      </c>
      <c r="F2289" s="14" t="s">
        <v>16</v>
      </c>
      <c r="G2289" s="20" t="s">
        <v>21</v>
      </c>
      <c r="H2289" s="14" t="s">
        <v>18</v>
      </c>
      <c r="I2289" s="22">
        <v>2023.0</v>
      </c>
      <c r="J2289" s="16" t="str">
        <f>IFERROR(__xludf.DUMMYFUNCTION("FILTER('CLASFICACIÓN'!$F$3:$F5618,'CLASFICACIÓN'!$G$3:$G5618=M2289)"),"LOS 3 AÑOS")</f>
        <v>LOS 3 AÑOS</v>
      </c>
      <c r="K2289" s="16"/>
      <c r="L2289" s="14" t="s">
        <v>138</v>
      </c>
      <c r="M2289" s="16" t="str">
        <f t="shared" si="1"/>
        <v>601336 Primaria</v>
      </c>
      <c r="N2289" s="17"/>
      <c r="O2289" s="17"/>
      <c r="P2289" s="17"/>
      <c r="Q2289" s="17"/>
      <c r="R2289" s="17"/>
      <c r="S2289" s="17"/>
      <c r="T2289" s="17"/>
    </row>
    <row r="2290">
      <c r="A2290" s="21">
        <v>1093.0</v>
      </c>
      <c r="B2290" s="20" t="s">
        <v>13</v>
      </c>
      <c r="C2290" s="20" t="s">
        <v>14</v>
      </c>
      <c r="D2290" s="20" t="s">
        <v>22</v>
      </c>
      <c r="E2290" s="12" t="str">
        <f>IFERROR(__xludf.DUMMYFUNCTION("FILTER(colegios!$B$2:$B5618,colegios!$A$2:$A5618=L2290)"),"60133")</f>
        <v>60133</v>
      </c>
      <c r="F2290" s="14" t="s">
        <v>16</v>
      </c>
      <c r="G2290" s="20" t="s">
        <v>21</v>
      </c>
      <c r="H2290" s="14" t="s">
        <v>18</v>
      </c>
      <c r="I2290" s="22">
        <v>2023.0</v>
      </c>
      <c r="J2290" s="16" t="str">
        <f>IFERROR(__xludf.DUMMYFUNCTION("FILTER('CLASFICACIÓN'!$F$3:$F5618,'CLASFICACIÓN'!$G$3:$G5618=M2290)"),"LOS 3 AÑOS")</f>
        <v>LOS 3 AÑOS</v>
      </c>
      <c r="K2290" s="16"/>
      <c r="L2290" s="14" t="s">
        <v>138</v>
      </c>
      <c r="M2290" s="16" t="str">
        <f t="shared" si="1"/>
        <v>601336 Primaria</v>
      </c>
      <c r="N2290" s="17"/>
      <c r="O2290" s="17"/>
      <c r="P2290" s="17"/>
      <c r="Q2290" s="17"/>
      <c r="R2290" s="17"/>
      <c r="S2290" s="17"/>
      <c r="T2290" s="17"/>
    </row>
    <row r="2291">
      <c r="A2291" s="21">
        <v>1094.0</v>
      </c>
      <c r="B2291" s="20" t="s">
        <v>13</v>
      </c>
      <c r="C2291" s="20" t="s">
        <v>14</v>
      </c>
      <c r="D2291" s="20" t="s">
        <v>22</v>
      </c>
      <c r="E2291" s="12" t="str">
        <f>IFERROR(__xludf.DUMMYFUNCTION("FILTER(colegios!$B$2:$B5618,colegios!$A$2:$A5618=L2291)"),"60133")</f>
        <v>60133</v>
      </c>
      <c r="F2291" s="14" t="s">
        <v>16</v>
      </c>
      <c r="G2291" s="20" t="s">
        <v>21</v>
      </c>
      <c r="H2291" s="14" t="s">
        <v>24</v>
      </c>
      <c r="I2291" s="22">
        <v>2023.0</v>
      </c>
      <c r="J2291" s="16" t="str">
        <f>IFERROR(__xludf.DUMMYFUNCTION("FILTER('CLASFICACIÓN'!$F$3:$F5618,'CLASFICACIÓN'!$G$3:$G5618=M2291)"),"LOS 3 AÑOS")</f>
        <v>LOS 3 AÑOS</v>
      </c>
      <c r="K2291" s="16"/>
      <c r="L2291" s="14" t="s">
        <v>138</v>
      </c>
      <c r="M2291" s="16" t="str">
        <f t="shared" si="1"/>
        <v>601336 Primaria</v>
      </c>
      <c r="N2291" s="17"/>
      <c r="O2291" s="17"/>
      <c r="P2291" s="17"/>
      <c r="Q2291" s="17"/>
      <c r="R2291" s="17"/>
      <c r="S2291" s="17"/>
      <c r="T2291" s="17"/>
    </row>
    <row r="2292">
      <c r="A2292" s="21">
        <v>1095.0</v>
      </c>
      <c r="B2292" s="20" t="s">
        <v>13</v>
      </c>
      <c r="C2292" s="20" t="s">
        <v>14</v>
      </c>
      <c r="D2292" s="20" t="s">
        <v>22</v>
      </c>
      <c r="E2292" s="12" t="str">
        <f>IFERROR(__xludf.DUMMYFUNCTION("FILTER(colegios!$B$2:$B5618,colegios!$A$2:$A5618=L2292)"),"60133")</f>
        <v>60133</v>
      </c>
      <c r="F2292" s="14" t="s">
        <v>16</v>
      </c>
      <c r="G2292" s="20" t="s">
        <v>21</v>
      </c>
      <c r="H2292" s="14" t="s">
        <v>18</v>
      </c>
      <c r="I2292" s="22">
        <v>2023.0</v>
      </c>
      <c r="J2292" s="16" t="str">
        <f>IFERROR(__xludf.DUMMYFUNCTION("FILTER('CLASFICACIÓN'!$F$3:$F5618,'CLASFICACIÓN'!$G$3:$G5618=M2292)"),"LOS 3 AÑOS")</f>
        <v>LOS 3 AÑOS</v>
      </c>
      <c r="K2292" s="16"/>
      <c r="L2292" s="14" t="s">
        <v>138</v>
      </c>
      <c r="M2292" s="16" t="str">
        <f t="shared" si="1"/>
        <v>601336 Primaria</v>
      </c>
      <c r="N2292" s="17"/>
      <c r="O2292" s="17"/>
      <c r="P2292" s="17"/>
      <c r="Q2292" s="17"/>
      <c r="R2292" s="17"/>
      <c r="S2292" s="17"/>
      <c r="T2292" s="17"/>
    </row>
    <row r="2293">
      <c r="A2293" s="21">
        <v>1096.0</v>
      </c>
      <c r="B2293" s="20" t="s">
        <v>13</v>
      </c>
      <c r="C2293" s="20" t="s">
        <v>14</v>
      </c>
      <c r="D2293" s="20" t="s">
        <v>22</v>
      </c>
      <c r="E2293" s="12" t="str">
        <f>IFERROR(__xludf.DUMMYFUNCTION("FILTER(colegios!$B$2:$B5618,colegios!$A$2:$A5618=L2293)"),"60133")</f>
        <v>60133</v>
      </c>
      <c r="F2293" s="14" t="s">
        <v>16</v>
      </c>
      <c r="G2293" s="20" t="s">
        <v>21</v>
      </c>
      <c r="H2293" s="14" t="s">
        <v>18</v>
      </c>
      <c r="I2293" s="22">
        <v>2023.0</v>
      </c>
      <c r="J2293" s="16" t="str">
        <f>IFERROR(__xludf.DUMMYFUNCTION("FILTER('CLASFICACIÓN'!$F$3:$F5618,'CLASFICACIÓN'!$G$3:$G5618=M2293)"),"LOS 3 AÑOS")</f>
        <v>LOS 3 AÑOS</v>
      </c>
      <c r="K2293" s="16"/>
      <c r="L2293" s="14" t="s">
        <v>138</v>
      </c>
      <c r="M2293" s="16" t="str">
        <f t="shared" si="1"/>
        <v>601336 Primaria</v>
      </c>
      <c r="N2293" s="17"/>
      <c r="O2293" s="17"/>
      <c r="P2293" s="17"/>
      <c r="Q2293" s="17"/>
      <c r="R2293" s="17"/>
      <c r="S2293" s="17"/>
      <c r="T2293" s="17"/>
    </row>
    <row r="2294">
      <c r="A2294" s="21">
        <v>1097.0</v>
      </c>
      <c r="B2294" s="20" t="s">
        <v>13</v>
      </c>
      <c r="C2294" s="20" t="s">
        <v>14</v>
      </c>
      <c r="D2294" s="20" t="s">
        <v>22</v>
      </c>
      <c r="E2294" s="12" t="str">
        <f>IFERROR(__xludf.DUMMYFUNCTION("FILTER(colegios!$B$2:$B5618,colegios!$A$2:$A5618=L2294)"),"60133")</f>
        <v>60133</v>
      </c>
      <c r="F2294" s="14" t="s">
        <v>16</v>
      </c>
      <c r="G2294" s="20" t="s">
        <v>21</v>
      </c>
      <c r="H2294" s="14" t="s">
        <v>18</v>
      </c>
      <c r="I2294" s="22">
        <v>2023.0</v>
      </c>
      <c r="J2294" s="16" t="str">
        <f>IFERROR(__xludf.DUMMYFUNCTION("FILTER('CLASFICACIÓN'!$F$3:$F5618,'CLASFICACIÓN'!$G$3:$G5618=M2294)"),"LOS 3 AÑOS")</f>
        <v>LOS 3 AÑOS</v>
      </c>
      <c r="K2294" s="16"/>
      <c r="L2294" s="14" t="s">
        <v>138</v>
      </c>
      <c r="M2294" s="16" t="str">
        <f t="shared" si="1"/>
        <v>601336 Primaria</v>
      </c>
      <c r="N2294" s="17"/>
      <c r="O2294" s="17"/>
      <c r="P2294" s="17"/>
      <c r="Q2294" s="17"/>
      <c r="R2294" s="17"/>
      <c r="S2294" s="17"/>
      <c r="T2294" s="17"/>
    </row>
    <row r="2295">
      <c r="A2295" s="21">
        <v>1098.0</v>
      </c>
      <c r="B2295" s="20" t="s">
        <v>13</v>
      </c>
      <c r="C2295" s="20" t="s">
        <v>27</v>
      </c>
      <c r="D2295" s="20" t="s">
        <v>28</v>
      </c>
      <c r="E2295" s="12" t="str">
        <f>IFERROR(__xludf.DUMMYFUNCTION("FILTER(colegios!$B$2:$B5618,colegios!$A$2:$A5618=L2295)"),"60133")</f>
        <v>60133</v>
      </c>
      <c r="F2295" s="14" t="s">
        <v>16</v>
      </c>
      <c r="G2295" s="20" t="s">
        <v>21</v>
      </c>
      <c r="H2295" s="14" t="s">
        <v>24</v>
      </c>
      <c r="I2295" s="22">
        <v>2023.0</v>
      </c>
      <c r="J2295" s="16" t="str">
        <f>IFERROR(__xludf.DUMMYFUNCTION("FILTER('CLASFICACIÓN'!$F$3:$F5618,'CLASFICACIÓN'!$G$3:$G5618=M2295)"),"LOS 3 AÑOS")</f>
        <v>LOS 3 AÑOS</v>
      </c>
      <c r="K2295" s="16"/>
      <c r="L2295" s="14" t="s">
        <v>138</v>
      </c>
      <c r="M2295" s="16" t="str">
        <f t="shared" si="1"/>
        <v>601332 Secundaria</v>
      </c>
      <c r="N2295" s="17"/>
      <c r="O2295" s="17"/>
      <c r="P2295" s="17"/>
      <c r="Q2295" s="17"/>
      <c r="R2295" s="17"/>
      <c r="S2295" s="17"/>
      <c r="T2295" s="17"/>
    </row>
    <row r="2296">
      <c r="A2296" s="21">
        <v>1099.0</v>
      </c>
      <c r="B2296" s="20" t="s">
        <v>13</v>
      </c>
      <c r="C2296" s="20" t="s">
        <v>27</v>
      </c>
      <c r="D2296" s="20" t="s">
        <v>28</v>
      </c>
      <c r="E2296" s="12" t="str">
        <f>IFERROR(__xludf.DUMMYFUNCTION("FILTER(colegios!$B$2:$B5618,colegios!$A$2:$A5618=L2296)"),"60133")</f>
        <v>60133</v>
      </c>
      <c r="F2296" s="14" t="s">
        <v>16</v>
      </c>
      <c r="G2296" s="20" t="s">
        <v>17</v>
      </c>
      <c r="H2296" s="14" t="s">
        <v>24</v>
      </c>
      <c r="I2296" s="22">
        <v>2023.0</v>
      </c>
      <c r="J2296" s="16" t="str">
        <f>IFERROR(__xludf.DUMMYFUNCTION("FILTER('CLASFICACIÓN'!$F$3:$F5618,'CLASFICACIÓN'!$G$3:$G5618=M2296)"),"LOS 3 AÑOS")</f>
        <v>LOS 3 AÑOS</v>
      </c>
      <c r="K2296" s="16"/>
      <c r="L2296" s="14" t="s">
        <v>138</v>
      </c>
      <c r="M2296" s="16" t="str">
        <f t="shared" si="1"/>
        <v>601332 Secundaria</v>
      </c>
      <c r="N2296" s="17"/>
      <c r="O2296" s="17"/>
      <c r="P2296" s="17"/>
      <c r="Q2296" s="17"/>
      <c r="R2296" s="17"/>
      <c r="S2296" s="17"/>
      <c r="T2296" s="17"/>
    </row>
    <row r="2297">
      <c r="A2297" s="21">
        <v>1100.0</v>
      </c>
      <c r="B2297" s="20" t="s">
        <v>13</v>
      </c>
      <c r="C2297" s="20" t="s">
        <v>27</v>
      </c>
      <c r="D2297" s="20" t="s">
        <v>28</v>
      </c>
      <c r="E2297" s="12" t="str">
        <f>IFERROR(__xludf.DUMMYFUNCTION("FILTER(colegios!$B$2:$B5618,colegios!$A$2:$A5618=L2297)"),"60133")</f>
        <v>60133</v>
      </c>
      <c r="F2297" s="14" t="s">
        <v>16</v>
      </c>
      <c r="G2297" s="20" t="s">
        <v>21</v>
      </c>
      <c r="H2297" s="14" t="s">
        <v>24</v>
      </c>
      <c r="I2297" s="22">
        <v>2023.0</v>
      </c>
      <c r="J2297" s="16" t="str">
        <f>IFERROR(__xludf.DUMMYFUNCTION("FILTER('CLASFICACIÓN'!$F$3:$F5618,'CLASFICACIÓN'!$G$3:$G5618=M2297)"),"LOS 3 AÑOS")</f>
        <v>LOS 3 AÑOS</v>
      </c>
      <c r="K2297" s="16"/>
      <c r="L2297" s="14" t="s">
        <v>138</v>
      </c>
      <c r="M2297" s="16" t="str">
        <f t="shared" si="1"/>
        <v>601332 Secundaria</v>
      </c>
      <c r="N2297" s="17"/>
      <c r="O2297" s="17"/>
      <c r="P2297" s="17"/>
      <c r="Q2297" s="17"/>
      <c r="R2297" s="17"/>
      <c r="S2297" s="17"/>
      <c r="T2297" s="17"/>
    </row>
    <row r="2298">
      <c r="A2298" s="21">
        <v>1101.0</v>
      </c>
      <c r="B2298" s="20" t="s">
        <v>13</v>
      </c>
      <c r="C2298" s="20" t="s">
        <v>27</v>
      </c>
      <c r="D2298" s="20" t="s">
        <v>28</v>
      </c>
      <c r="E2298" s="12" t="str">
        <f>IFERROR(__xludf.DUMMYFUNCTION("FILTER(colegios!$B$2:$B5618,colegios!$A$2:$A5618=L2298)"),"60133")</f>
        <v>60133</v>
      </c>
      <c r="F2298" s="14" t="s">
        <v>16</v>
      </c>
      <c r="G2298" s="20" t="s">
        <v>17</v>
      </c>
      <c r="H2298" s="14" t="s">
        <v>18</v>
      </c>
      <c r="I2298" s="22">
        <v>2023.0</v>
      </c>
      <c r="J2298" s="16" t="str">
        <f>IFERROR(__xludf.DUMMYFUNCTION("FILTER('CLASFICACIÓN'!$F$3:$F5618,'CLASFICACIÓN'!$G$3:$G5618=M2298)"),"LOS 3 AÑOS")</f>
        <v>LOS 3 AÑOS</v>
      </c>
      <c r="K2298" s="16"/>
      <c r="L2298" s="14" t="s">
        <v>138</v>
      </c>
      <c r="M2298" s="16" t="str">
        <f t="shared" si="1"/>
        <v>601332 Secundaria</v>
      </c>
      <c r="N2298" s="17"/>
      <c r="O2298" s="17"/>
      <c r="P2298" s="17"/>
      <c r="Q2298" s="17"/>
      <c r="R2298" s="17"/>
      <c r="S2298" s="17"/>
      <c r="T2298" s="17"/>
    </row>
    <row r="2299">
      <c r="A2299" s="21">
        <v>1102.0</v>
      </c>
      <c r="B2299" s="20" t="s">
        <v>13</v>
      </c>
      <c r="C2299" s="20" t="s">
        <v>27</v>
      </c>
      <c r="D2299" s="20" t="s">
        <v>28</v>
      </c>
      <c r="E2299" s="12" t="str">
        <f>IFERROR(__xludf.DUMMYFUNCTION("FILTER(colegios!$B$2:$B5618,colegios!$A$2:$A5618=L2299)"),"60133")</f>
        <v>60133</v>
      </c>
      <c r="F2299" s="14" t="s">
        <v>16</v>
      </c>
      <c r="G2299" s="20" t="s">
        <v>17</v>
      </c>
      <c r="H2299" s="14" t="s">
        <v>18</v>
      </c>
      <c r="I2299" s="22">
        <v>2023.0</v>
      </c>
      <c r="J2299" s="16" t="str">
        <f>IFERROR(__xludf.DUMMYFUNCTION("FILTER('CLASFICACIÓN'!$F$3:$F5618,'CLASFICACIÓN'!$G$3:$G5618=M2299)"),"LOS 3 AÑOS")</f>
        <v>LOS 3 AÑOS</v>
      </c>
      <c r="K2299" s="16"/>
      <c r="L2299" s="14" t="s">
        <v>138</v>
      </c>
      <c r="M2299" s="16" t="str">
        <f t="shared" si="1"/>
        <v>601332 Secundaria</v>
      </c>
      <c r="N2299" s="17"/>
      <c r="O2299" s="17"/>
      <c r="P2299" s="17"/>
      <c r="Q2299" s="17"/>
      <c r="R2299" s="17"/>
      <c r="S2299" s="17"/>
      <c r="T2299" s="17"/>
    </row>
    <row r="2300">
      <c r="A2300" s="21">
        <v>1103.0</v>
      </c>
      <c r="B2300" s="20" t="s">
        <v>13</v>
      </c>
      <c r="C2300" s="20" t="s">
        <v>27</v>
      </c>
      <c r="D2300" s="20" t="s">
        <v>28</v>
      </c>
      <c r="E2300" s="12" t="str">
        <f>IFERROR(__xludf.DUMMYFUNCTION("FILTER(colegios!$B$2:$B5618,colegios!$A$2:$A5618=L2300)"),"60133")</f>
        <v>60133</v>
      </c>
      <c r="F2300" s="14" t="s">
        <v>16</v>
      </c>
      <c r="G2300" s="20" t="s">
        <v>17</v>
      </c>
      <c r="H2300" s="14" t="s">
        <v>18</v>
      </c>
      <c r="I2300" s="22">
        <v>2023.0</v>
      </c>
      <c r="J2300" s="16" t="str">
        <f>IFERROR(__xludf.DUMMYFUNCTION("FILTER('CLASFICACIÓN'!$F$3:$F5618,'CLASFICACIÓN'!$G$3:$G5618=M2300)"),"LOS 3 AÑOS")</f>
        <v>LOS 3 AÑOS</v>
      </c>
      <c r="K2300" s="16"/>
      <c r="L2300" s="14" t="s">
        <v>138</v>
      </c>
      <c r="M2300" s="16" t="str">
        <f t="shared" si="1"/>
        <v>601332 Secundaria</v>
      </c>
      <c r="N2300" s="17"/>
      <c r="O2300" s="17"/>
      <c r="P2300" s="17"/>
      <c r="Q2300" s="17"/>
      <c r="R2300" s="17"/>
      <c r="S2300" s="17"/>
      <c r="T2300" s="17"/>
    </row>
    <row r="2301">
      <c r="A2301" s="21">
        <v>1104.0</v>
      </c>
      <c r="B2301" s="20" t="s">
        <v>13</v>
      </c>
      <c r="C2301" s="20" t="s">
        <v>27</v>
      </c>
      <c r="D2301" s="20" t="s">
        <v>28</v>
      </c>
      <c r="E2301" s="12" t="str">
        <f>IFERROR(__xludf.DUMMYFUNCTION("FILTER(colegios!$B$2:$B5618,colegios!$A$2:$A5618=L2301)"),"60133")</f>
        <v>60133</v>
      </c>
      <c r="F2301" s="14" t="s">
        <v>16</v>
      </c>
      <c r="G2301" s="20" t="s">
        <v>21</v>
      </c>
      <c r="H2301" s="14" t="s">
        <v>18</v>
      </c>
      <c r="I2301" s="22">
        <v>2023.0</v>
      </c>
      <c r="J2301" s="16" t="str">
        <f>IFERROR(__xludf.DUMMYFUNCTION("FILTER('CLASFICACIÓN'!$F$3:$F5618,'CLASFICACIÓN'!$G$3:$G5618=M2301)"),"LOS 3 AÑOS")</f>
        <v>LOS 3 AÑOS</v>
      </c>
      <c r="K2301" s="16"/>
      <c r="L2301" s="14" t="s">
        <v>138</v>
      </c>
      <c r="M2301" s="16" t="str">
        <f t="shared" si="1"/>
        <v>601332 Secundaria</v>
      </c>
      <c r="N2301" s="17"/>
      <c r="O2301" s="17"/>
      <c r="P2301" s="17"/>
      <c r="Q2301" s="17"/>
      <c r="R2301" s="17"/>
      <c r="S2301" s="17"/>
      <c r="T2301" s="17"/>
    </row>
    <row r="2302">
      <c r="A2302" s="21">
        <v>1105.0</v>
      </c>
      <c r="B2302" s="20" t="s">
        <v>13</v>
      </c>
      <c r="C2302" s="20" t="s">
        <v>27</v>
      </c>
      <c r="D2302" s="20" t="s">
        <v>28</v>
      </c>
      <c r="E2302" s="12" t="str">
        <f>IFERROR(__xludf.DUMMYFUNCTION("FILTER(colegios!$B$2:$B5618,colegios!$A$2:$A5618=L2302)"),"60133")</f>
        <v>60133</v>
      </c>
      <c r="F2302" s="14" t="s">
        <v>16</v>
      </c>
      <c r="G2302" s="20" t="s">
        <v>17</v>
      </c>
      <c r="H2302" s="14" t="s">
        <v>24</v>
      </c>
      <c r="I2302" s="22">
        <v>2023.0</v>
      </c>
      <c r="J2302" s="16" t="str">
        <f>IFERROR(__xludf.DUMMYFUNCTION("FILTER('CLASFICACIÓN'!$F$3:$F5618,'CLASFICACIÓN'!$G$3:$G5618=M2302)"),"LOS 3 AÑOS")</f>
        <v>LOS 3 AÑOS</v>
      </c>
      <c r="K2302" s="16"/>
      <c r="L2302" s="14" t="s">
        <v>138</v>
      </c>
      <c r="M2302" s="16" t="str">
        <f t="shared" si="1"/>
        <v>601332 Secundaria</v>
      </c>
      <c r="N2302" s="17"/>
      <c r="O2302" s="17"/>
      <c r="P2302" s="17"/>
      <c r="Q2302" s="17"/>
      <c r="R2302" s="17"/>
      <c r="S2302" s="17"/>
      <c r="T2302" s="17"/>
    </row>
    <row r="2303">
      <c r="A2303" s="21">
        <v>1106.0</v>
      </c>
      <c r="B2303" s="20" t="s">
        <v>13</v>
      </c>
      <c r="C2303" s="20" t="s">
        <v>27</v>
      </c>
      <c r="D2303" s="20" t="s">
        <v>28</v>
      </c>
      <c r="E2303" s="12" t="str">
        <f>IFERROR(__xludf.DUMMYFUNCTION("FILTER(colegios!$B$2:$B5618,colegios!$A$2:$A5618=L2303)"),"60133")</f>
        <v>60133</v>
      </c>
      <c r="F2303" s="14" t="s">
        <v>16</v>
      </c>
      <c r="G2303" s="20" t="s">
        <v>21</v>
      </c>
      <c r="H2303" s="14" t="s">
        <v>18</v>
      </c>
      <c r="I2303" s="22">
        <v>2023.0</v>
      </c>
      <c r="J2303" s="16" t="str">
        <f>IFERROR(__xludf.DUMMYFUNCTION("FILTER('CLASFICACIÓN'!$F$3:$F5618,'CLASFICACIÓN'!$G$3:$G5618=M2303)"),"LOS 3 AÑOS")</f>
        <v>LOS 3 AÑOS</v>
      </c>
      <c r="K2303" s="16"/>
      <c r="L2303" s="14" t="s">
        <v>138</v>
      </c>
      <c r="M2303" s="16" t="str">
        <f t="shared" si="1"/>
        <v>601332 Secundaria</v>
      </c>
      <c r="N2303" s="17"/>
      <c r="O2303" s="17"/>
      <c r="P2303" s="17"/>
      <c r="Q2303" s="17"/>
      <c r="R2303" s="17"/>
      <c r="S2303" s="17"/>
      <c r="T2303" s="17"/>
    </row>
    <row r="2304">
      <c r="A2304" s="21">
        <v>1107.0</v>
      </c>
      <c r="B2304" s="20" t="s">
        <v>13</v>
      </c>
      <c r="C2304" s="20" t="s">
        <v>27</v>
      </c>
      <c r="D2304" s="20" t="s">
        <v>28</v>
      </c>
      <c r="E2304" s="12" t="str">
        <f>IFERROR(__xludf.DUMMYFUNCTION("FILTER(colegios!$B$2:$B5618,colegios!$A$2:$A5618=L2304)"),"60133")</f>
        <v>60133</v>
      </c>
      <c r="F2304" s="14" t="s">
        <v>16</v>
      </c>
      <c r="G2304" s="20" t="s">
        <v>17</v>
      </c>
      <c r="H2304" s="14" t="s">
        <v>24</v>
      </c>
      <c r="I2304" s="22">
        <v>2023.0</v>
      </c>
      <c r="J2304" s="16" t="str">
        <f>IFERROR(__xludf.DUMMYFUNCTION("FILTER('CLASFICACIÓN'!$F$3:$F5618,'CLASFICACIÓN'!$G$3:$G5618=M2304)"),"LOS 3 AÑOS")</f>
        <v>LOS 3 AÑOS</v>
      </c>
      <c r="K2304" s="16"/>
      <c r="L2304" s="14" t="s">
        <v>138</v>
      </c>
      <c r="M2304" s="16" t="str">
        <f t="shared" si="1"/>
        <v>601332 Secundaria</v>
      </c>
      <c r="N2304" s="17"/>
      <c r="O2304" s="17"/>
      <c r="P2304" s="17"/>
      <c r="Q2304" s="17"/>
      <c r="R2304" s="17"/>
      <c r="S2304" s="17"/>
      <c r="T2304" s="17"/>
    </row>
    <row r="2305">
      <c r="A2305" s="21">
        <v>1108.0</v>
      </c>
      <c r="B2305" s="20" t="s">
        <v>13</v>
      </c>
      <c r="C2305" s="20" t="s">
        <v>27</v>
      </c>
      <c r="D2305" s="20" t="s">
        <v>28</v>
      </c>
      <c r="E2305" s="12" t="str">
        <f>IFERROR(__xludf.DUMMYFUNCTION("FILTER(colegios!$B$2:$B5618,colegios!$A$2:$A5618=L2305)"),"60133")</f>
        <v>60133</v>
      </c>
      <c r="F2305" s="14" t="s">
        <v>16</v>
      </c>
      <c r="G2305" s="20" t="s">
        <v>17</v>
      </c>
      <c r="H2305" s="14" t="s">
        <v>24</v>
      </c>
      <c r="I2305" s="22">
        <v>2023.0</v>
      </c>
      <c r="J2305" s="16" t="str">
        <f>IFERROR(__xludf.DUMMYFUNCTION("FILTER('CLASFICACIÓN'!$F$3:$F5618,'CLASFICACIÓN'!$G$3:$G5618=M2305)"),"LOS 3 AÑOS")</f>
        <v>LOS 3 AÑOS</v>
      </c>
      <c r="K2305" s="16"/>
      <c r="L2305" s="14" t="s">
        <v>138</v>
      </c>
      <c r="M2305" s="16" t="str">
        <f t="shared" si="1"/>
        <v>601332 Secundaria</v>
      </c>
      <c r="N2305" s="17"/>
      <c r="O2305" s="17"/>
      <c r="P2305" s="17"/>
      <c r="Q2305" s="17"/>
      <c r="R2305" s="17"/>
      <c r="S2305" s="17"/>
      <c r="T2305" s="17"/>
    </row>
    <row r="2306">
      <c r="A2306" s="21">
        <v>1109.0</v>
      </c>
      <c r="B2306" s="20" t="s">
        <v>13</v>
      </c>
      <c r="C2306" s="20" t="s">
        <v>27</v>
      </c>
      <c r="D2306" s="20" t="s">
        <v>28</v>
      </c>
      <c r="E2306" s="12" t="str">
        <f>IFERROR(__xludf.DUMMYFUNCTION("FILTER(colegios!$B$2:$B5618,colegios!$A$2:$A5618=L2306)"),"60133")</f>
        <v>60133</v>
      </c>
      <c r="F2306" s="14" t="s">
        <v>16</v>
      </c>
      <c r="G2306" s="20" t="s">
        <v>21</v>
      </c>
      <c r="H2306" s="14" t="s">
        <v>24</v>
      </c>
      <c r="I2306" s="22">
        <v>2023.0</v>
      </c>
      <c r="J2306" s="16" t="str">
        <f>IFERROR(__xludf.DUMMYFUNCTION("FILTER('CLASFICACIÓN'!$F$3:$F5618,'CLASFICACIÓN'!$G$3:$G5618=M2306)"),"LOS 3 AÑOS")</f>
        <v>LOS 3 AÑOS</v>
      </c>
      <c r="K2306" s="16"/>
      <c r="L2306" s="14" t="s">
        <v>138</v>
      </c>
      <c r="M2306" s="16" t="str">
        <f t="shared" si="1"/>
        <v>601332 Secundaria</v>
      </c>
      <c r="N2306" s="17"/>
      <c r="O2306" s="17"/>
      <c r="P2306" s="17"/>
      <c r="Q2306" s="17"/>
      <c r="R2306" s="17"/>
      <c r="S2306" s="17"/>
      <c r="T2306" s="17"/>
    </row>
    <row r="2307">
      <c r="A2307" s="21">
        <v>1110.0</v>
      </c>
      <c r="B2307" s="20" t="s">
        <v>13</v>
      </c>
      <c r="C2307" s="20" t="s">
        <v>27</v>
      </c>
      <c r="D2307" s="20" t="s">
        <v>28</v>
      </c>
      <c r="E2307" s="12" t="str">
        <f>IFERROR(__xludf.DUMMYFUNCTION("FILTER(colegios!$B$2:$B5618,colegios!$A$2:$A5618=L2307)"),"60133")</f>
        <v>60133</v>
      </c>
      <c r="F2307" s="14" t="s">
        <v>16</v>
      </c>
      <c r="G2307" s="20" t="s">
        <v>17</v>
      </c>
      <c r="H2307" s="14" t="s">
        <v>18</v>
      </c>
      <c r="I2307" s="22">
        <v>2023.0</v>
      </c>
      <c r="J2307" s="16" t="str">
        <f>IFERROR(__xludf.DUMMYFUNCTION("FILTER('CLASFICACIÓN'!$F$3:$F5618,'CLASFICACIÓN'!$G$3:$G5618=M2307)"),"LOS 3 AÑOS")</f>
        <v>LOS 3 AÑOS</v>
      </c>
      <c r="K2307" s="16"/>
      <c r="L2307" s="14" t="s">
        <v>138</v>
      </c>
      <c r="M2307" s="16" t="str">
        <f t="shared" si="1"/>
        <v>601332 Secundaria</v>
      </c>
      <c r="N2307" s="17"/>
      <c r="O2307" s="17"/>
      <c r="P2307" s="17"/>
      <c r="Q2307" s="17"/>
      <c r="R2307" s="17"/>
      <c r="S2307" s="17"/>
      <c r="T2307" s="17"/>
    </row>
    <row r="2308">
      <c r="A2308" s="21">
        <v>1111.0</v>
      </c>
      <c r="B2308" s="20" t="s">
        <v>13</v>
      </c>
      <c r="C2308" s="20" t="s">
        <v>27</v>
      </c>
      <c r="D2308" s="20" t="s">
        <v>28</v>
      </c>
      <c r="E2308" s="12" t="str">
        <f>IFERROR(__xludf.DUMMYFUNCTION("FILTER(colegios!$B$2:$B5618,colegios!$A$2:$A5618=L2308)"),"60133")</f>
        <v>60133</v>
      </c>
      <c r="F2308" s="14" t="s">
        <v>16</v>
      </c>
      <c r="G2308" s="20" t="s">
        <v>17</v>
      </c>
      <c r="H2308" s="14" t="s">
        <v>18</v>
      </c>
      <c r="I2308" s="22">
        <v>2023.0</v>
      </c>
      <c r="J2308" s="16" t="str">
        <f>IFERROR(__xludf.DUMMYFUNCTION("FILTER('CLASFICACIÓN'!$F$3:$F5618,'CLASFICACIÓN'!$G$3:$G5618=M2308)"),"LOS 3 AÑOS")</f>
        <v>LOS 3 AÑOS</v>
      </c>
      <c r="K2308" s="16"/>
      <c r="L2308" s="14" t="s">
        <v>138</v>
      </c>
      <c r="M2308" s="16" t="str">
        <f t="shared" si="1"/>
        <v>601332 Secundaria</v>
      </c>
      <c r="N2308" s="17"/>
      <c r="O2308" s="17"/>
      <c r="P2308" s="17"/>
      <c r="Q2308" s="17"/>
      <c r="R2308" s="17"/>
      <c r="S2308" s="17"/>
      <c r="T2308" s="17"/>
    </row>
    <row r="2309">
      <c r="A2309" s="21">
        <v>1112.0</v>
      </c>
      <c r="B2309" s="20" t="s">
        <v>13</v>
      </c>
      <c r="C2309" s="20" t="s">
        <v>27</v>
      </c>
      <c r="D2309" s="20" t="s">
        <v>28</v>
      </c>
      <c r="E2309" s="12" t="str">
        <f>IFERROR(__xludf.DUMMYFUNCTION("FILTER(colegios!$B$2:$B5618,colegios!$A$2:$A5618=L2309)"),"60133")</f>
        <v>60133</v>
      </c>
      <c r="F2309" s="14" t="s">
        <v>16</v>
      </c>
      <c r="G2309" s="20" t="s">
        <v>17</v>
      </c>
      <c r="H2309" s="14" t="s">
        <v>24</v>
      </c>
      <c r="I2309" s="22">
        <v>2023.0</v>
      </c>
      <c r="J2309" s="16" t="str">
        <f>IFERROR(__xludf.DUMMYFUNCTION("FILTER('CLASFICACIÓN'!$F$3:$F5618,'CLASFICACIÓN'!$G$3:$G5618=M2309)"),"LOS 3 AÑOS")</f>
        <v>LOS 3 AÑOS</v>
      </c>
      <c r="K2309" s="16"/>
      <c r="L2309" s="14" t="s">
        <v>138</v>
      </c>
      <c r="M2309" s="16" t="str">
        <f t="shared" si="1"/>
        <v>601332 Secundaria</v>
      </c>
      <c r="N2309" s="17"/>
      <c r="O2309" s="17"/>
      <c r="P2309" s="17"/>
      <c r="Q2309" s="17"/>
      <c r="R2309" s="17"/>
      <c r="S2309" s="17"/>
      <c r="T2309" s="17"/>
    </row>
    <row r="2310">
      <c r="A2310" s="21">
        <v>1113.0</v>
      </c>
      <c r="B2310" s="20" t="s">
        <v>13</v>
      </c>
      <c r="C2310" s="20" t="s">
        <v>27</v>
      </c>
      <c r="D2310" s="20" t="s">
        <v>28</v>
      </c>
      <c r="E2310" s="12" t="str">
        <f>IFERROR(__xludf.DUMMYFUNCTION("FILTER(colegios!$B$2:$B5618,colegios!$A$2:$A5618=L2310)"),"60133")</f>
        <v>60133</v>
      </c>
      <c r="F2310" s="14" t="s">
        <v>16</v>
      </c>
      <c r="G2310" s="20" t="s">
        <v>17</v>
      </c>
      <c r="H2310" s="14" t="s">
        <v>24</v>
      </c>
      <c r="I2310" s="22">
        <v>2023.0</v>
      </c>
      <c r="J2310" s="16" t="str">
        <f>IFERROR(__xludf.DUMMYFUNCTION("FILTER('CLASFICACIÓN'!$F$3:$F5618,'CLASFICACIÓN'!$G$3:$G5618=M2310)"),"LOS 3 AÑOS")</f>
        <v>LOS 3 AÑOS</v>
      </c>
      <c r="K2310" s="16"/>
      <c r="L2310" s="14" t="s">
        <v>138</v>
      </c>
      <c r="M2310" s="16" t="str">
        <f t="shared" si="1"/>
        <v>601332 Secundaria</v>
      </c>
      <c r="N2310" s="17"/>
      <c r="O2310" s="17"/>
      <c r="P2310" s="17"/>
      <c r="Q2310" s="17"/>
      <c r="R2310" s="17"/>
      <c r="S2310" s="17"/>
      <c r="T2310" s="17"/>
    </row>
    <row r="2311">
      <c r="A2311" s="21">
        <v>1114.0</v>
      </c>
      <c r="B2311" s="20" t="s">
        <v>13</v>
      </c>
      <c r="C2311" s="20" t="s">
        <v>27</v>
      </c>
      <c r="D2311" s="20" t="s">
        <v>28</v>
      </c>
      <c r="E2311" s="12" t="str">
        <f>IFERROR(__xludf.DUMMYFUNCTION("FILTER(colegios!$B$2:$B5618,colegios!$A$2:$A5618=L2311)"),"60133")</f>
        <v>60133</v>
      </c>
      <c r="F2311" s="14" t="s">
        <v>16</v>
      </c>
      <c r="G2311" s="20" t="s">
        <v>21</v>
      </c>
      <c r="H2311" s="14" t="s">
        <v>18</v>
      </c>
      <c r="I2311" s="22">
        <v>2023.0</v>
      </c>
      <c r="J2311" s="16" t="str">
        <f>IFERROR(__xludf.DUMMYFUNCTION("FILTER('CLASFICACIÓN'!$F$3:$F5618,'CLASFICACIÓN'!$G$3:$G5618=M2311)"),"LOS 3 AÑOS")</f>
        <v>LOS 3 AÑOS</v>
      </c>
      <c r="K2311" s="16"/>
      <c r="L2311" s="14" t="s">
        <v>138</v>
      </c>
      <c r="M2311" s="16" t="str">
        <f t="shared" si="1"/>
        <v>601332 Secundaria</v>
      </c>
      <c r="N2311" s="17"/>
      <c r="O2311" s="17"/>
      <c r="P2311" s="17"/>
      <c r="Q2311" s="17"/>
      <c r="R2311" s="17"/>
      <c r="S2311" s="17"/>
      <c r="T2311" s="17"/>
    </row>
    <row r="2312">
      <c r="A2312" s="21">
        <v>1115.0</v>
      </c>
      <c r="B2312" s="20" t="s">
        <v>13</v>
      </c>
      <c r="C2312" s="20" t="s">
        <v>27</v>
      </c>
      <c r="D2312" s="20" t="s">
        <v>28</v>
      </c>
      <c r="E2312" s="12" t="str">
        <f>IFERROR(__xludf.DUMMYFUNCTION("FILTER(colegios!$B$2:$B5618,colegios!$A$2:$A5618=L2312)"),"60133")</f>
        <v>60133</v>
      </c>
      <c r="F2312" s="14" t="s">
        <v>16</v>
      </c>
      <c r="G2312" s="20" t="s">
        <v>21</v>
      </c>
      <c r="H2312" s="14" t="s">
        <v>24</v>
      </c>
      <c r="I2312" s="22">
        <v>2023.0</v>
      </c>
      <c r="J2312" s="16" t="str">
        <f>IFERROR(__xludf.DUMMYFUNCTION("FILTER('CLASFICACIÓN'!$F$3:$F5618,'CLASFICACIÓN'!$G$3:$G5618=M2312)"),"LOS 3 AÑOS")</f>
        <v>LOS 3 AÑOS</v>
      </c>
      <c r="K2312" s="16"/>
      <c r="L2312" s="14" t="s">
        <v>138</v>
      </c>
      <c r="M2312" s="16" t="str">
        <f t="shared" si="1"/>
        <v>601332 Secundaria</v>
      </c>
      <c r="N2312" s="17"/>
      <c r="O2312" s="17"/>
      <c r="P2312" s="17"/>
      <c r="Q2312" s="17"/>
      <c r="R2312" s="17"/>
      <c r="S2312" s="17"/>
      <c r="T2312" s="17"/>
    </row>
    <row r="2313">
      <c r="A2313" s="21">
        <v>1116.0</v>
      </c>
      <c r="B2313" s="20" t="s">
        <v>13</v>
      </c>
      <c r="C2313" s="20" t="s">
        <v>27</v>
      </c>
      <c r="D2313" s="20" t="s">
        <v>28</v>
      </c>
      <c r="E2313" s="12" t="str">
        <f>IFERROR(__xludf.DUMMYFUNCTION("FILTER(colegios!$B$2:$B5618,colegios!$A$2:$A5618=L2313)"),"60133")</f>
        <v>60133</v>
      </c>
      <c r="F2313" s="14" t="s">
        <v>16</v>
      </c>
      <c r="G2313" s="20" t="s">
        <v>17</v>
      </c>
      <c r="H2313" s="14" t="s">
        <v>24</v>
      </c>
      <c r="I2313" s="22">
        <v>2023.0</v>
      </c>
      <c r="J2313" s="16" t="str">
        <f>IFERROR(__xludf.DUMMYFUNCTION("FILTER('CLASFICACIÓN'!$F$3:$F5618,'CLASFICACIÓN'!$G$3:$G5618=M2313)"),"LOS 3 AÑOS")</f>
        <v>LOS 3 AÑOS</v>
      </c>
      <c r="K2313" s="16"/>
      <c r="L2313" s="14" t="s">
        <v>138</v>
      </c>
      <c r="M2313" s="16" t="str">
        <f t="shared" si="1"/>
        <v>601332 Secundaria</v>
      </c>
      <c r="N2313" s="17"/>
      <c r="O2313" s="17"/>
      <c r="P2313" s="17"/>
      <c r="Q2313" s="17"/>
      <c r="R2313" s="17"/>
      <c r="S2313" s="17"/>
      <c r="T2313" s="17"/>
    </row>
    <row r="2314">
      <c r="A2314" s="21">
        <v>1117.0</v>
      </c>
      <c r="B2314" s="20" t="s">
        <v>13</v>
      </c>
      <c r="C2314" s="20" t="s">
        <v>27</v>
      </c>
      <c r="D2314" s="20" t="s">
        <v>28</v>
      </c>
      <c r="E2314" s="12" t="str">
        <f>IFERROR(__xludf.DUMMYFUNCTION("FILTER(colegios!$B$2:$B5618,colegios!$A$2:$A5618=L2314)"),"60133")</f>
        <v>60133</v>
      </c>
      <c r="F2314" s="14" t="s">
        <v>16</v>
      </c>
      <c r="G2314" s="20" t="s">
        <v>21</v>
      </c>
      <c r="H2314" s="14" t="s">
        <v>24</v>
      </c>
      <c r="I2314" s="22">
        <v>2023.0</v>
      </c>
      <c r="J2314" s="16" t="str">
        <f>IFERROR(__xludf.DUMMYFUNCTION("FILTER('CLASFICACIÓN'!$F$3:$F5618,'CLASFICACIÓN'!$G$3:$G5618=M2314)"),"LOS 3 AÑOS")</f>
        <v>LOS 3 AÑOS</v>
      </c>
      <c r="K2314" s="16"/>
      <c r="L2314" s="14" t="s">
        <v>138</v>
      </c>
      <c r="M2314" s="16" t="str">
        <f t="shared" si="1"/>
        <v>601332 Secundaria</v>
      </c>
      <c r="N2314" s="17"/>
      <c r="O2314" s="17"/>
      <c r="P2314" s="17"/>
      <c r="Q2314" s="17"/>
      <c r="R2314" s="17"/>
      <c r="S2314" s="17"/>
      <c r="T2314" s="17"/>
    </row>
    <row r="2315">
      <c r="A2315" s="21">
        <v>1118.0</v>
      </c>
      <c r="B2315" s="20" t="s">
        <v>13</v>
      </c>
      <c r="C2315" s="20" t="s">
        <v>27</v>
      </c>
      <c r="D2315" s="20" t="s">
        <v>28</v>
      </c>
      <c r="E2315" s="12" t="str">
        <f>IFERROR(__xludf.DUMMYFUNCTION("FILTER(colegios!$B$2:$B5618,colegios!$A$2:$A5618=L2315)"),"60133")</f>
        <v>60133</v>
      </c>
      <c r="F2315" s="14" t="s">
        <v>16</v>
      </c>
      <c r="G2315" s="20" t="s">
        <v>17</v>
      </c>
      <c r="H2315" s="14" t="s">
        <v>18</v>
      </c>
      <c r="I2315" s="22">
        <v>2023.0</v>
      </c>
      <c r="J2315" s="16" t="str">
        <f>IFERROR(__xludf.DUMMYFUNCTION("FILTER('CLASFICACIÓN'!$F$3:$F5618,'CLASFICACIÓN'!$G$3:$G5618=M2315)"),"LOS 3 AÑOS")</f>
        <v>LOS 3 AÑOS</v>
      </c>
      <c r="K2315" s="16"/>
      <c r="L2315" s="14" t="s">
        <v>138</v>
      </c>
      <c r="M2315" s="16" t="str">
        <f t="shared" si="1"/>
        <v>601332 Secundaria</v>
      </c>
      <c r="N2315" s="17"/>
      <c r="O2315" s="17"/>
      <c r="P2315" s="17"/>
      <c r="Q2315" s="17"/>
      <c r="R2315" s="17"/>
      <c r="S2315" s="17"/>
      <c r="T2315" s="17"/>
    </row>
    <row r="2316">
      <c r="A2316" s="21">
        <v>1119.0</v>
      </c>
      <c r="B2316" s="20" t="s">
        <v>13</v>
      </c>
      <c r="C2316" s="20" t="s">
        <v>27</v>
      </c>
      <c r="D2316" s="20" t="s">
        <v>28</v>
      </c>
      <c r="E2316" s="12" t="str">
        <f>IFERROR(__xludf.DUMMYFUNCTION("FILTER(colegios!$B$2:$B5618,colegios!$A$2:$A5618=L2316)"),"60133")</f>
        <v>60133</v>
      </c>
      <c r="F2316" s="14" t="s">
        <v>16</v>
      </c>
      <c r="G2316" s="20" t="s">
        <v>17</v>
      </c>
      <c r="H2316" s="14" t="s">
        <v>18</v>
      </c>
      <c r="I2316" s="22">
        <v>2023.0</v>
      </c>
      <c r="J2316" s="16" t="str">
        <f>IFERROR(__xludf.DUMMYFUNCTION("FILTER('CLASFICACIÓN'!$F$3:$F5618,'CLASFICACIÓN'!$G$3:$G5618=M2316)"),"LOS 3 AÑOS")</f>
        <v>LOS 3 AÑOS</v>
      </c>
      <c r="K2316" s="16"/>
      <c r="L2316" s="14" t="s">
        <v>138</v>
      </c>
      <c r="M2316" s="16" t="str">
        <f t="shared" si="1"/>
        <v>601332 Secundaria</v>
      </c>
      <c r="N2316" s="17"/>
      <c r="O2316" s="17"/>
      <c r="P2316" s="17"/>
      <c r="Q2316" s="17"/>
      <c r="R2316" s="17"/>
      <c r="S2316" s="17"/>
      <c r="T2316" s="17"/>
    </row>
    <row r="2317">
      <c r="A2317" s="21">
        <v>1120.0</v>
      </c>
      <c r="B2317" s="20" t="s">
        <v>13</v>
      </c>
      <c r="C2317" s="20" t="s">
        <v>27</v>
      </c>
      <c r="D2317" s="20" t="s">
        <v>28</v>
      </c>
      <c r="E2317" s="12" t="str">
        <f>IFERROR(__xludf.DUMMYFUNCTION("FILTER(colegios!$B$2:$B5618,colegios!$A$2:$A5618=L2317)"),"60133")</f>
        <v>60133</v>
      </c>
      <c r="F2317" s="14" t="s">
        <v>16</v>
      </c>
      <c r="G2317" s="20" t="s">
        <v>21</v>
      </c>
      <c r="H2317" s="14" t="s">
        <v>24</v>
      </c>
      <c r="I2317" s="22">
        <v>2023.0</v>
      </c>
      <c r="J2317" s="16" t="str">
        <f>IFERROR(__xludf.DUMMYFUNCTION("FILTER('CLASFICACIÓN'!$F$3:$F5618,'CLASFICACIÓN'!$G$3:$G5618=M2317)"),"LOS 3 AÑOS")</f>
        <v>LOS 3 AÑOS</v>
      </c>
      <c r="K2317" s="16"/>
      <c r="L2317" s="14" t="s">
        <v>138</v>
      </c>
      <c r="M2317" s="16" t="str">
        <f t="shared" si="1"/>
        <v>601332 Secundaria</v>
      </c>
      <c r="N2317" s="17"/>
      <c r="O2317" s="17"/>
      <c r="P2317" s="17"/>
      <c r="Q2317" s="17"/>
      <c r="R2317" s="17"/>
      <c r="S2317" s="17"/>
      <c r="T2317" s="17"/>
    </row>
    <row r="2318">
      <c r="A2318" s="21">
        <v>1121.0</v>
      </c>
      <c r="B2318" s="20" t="s">
        <v>13</v>
      </c>
      <c r="C2318" s="20" t="s">
        <v>27</v>
      </c>
      <c r="D2318" s="20" t="s">
        <v>28</v>
      </c>
      <c r="E2318" s="12" t="str">
        <f>IFERROR(__xludf.DUMMYFUNCTION("FILTER(colegios!$B$2:$B5618,colegios!$A$2:$A5618=L2318)"),"60133")</f>
        <v>60133</v>
      </c>
      <c r="F2318" s="14" t="s">
        <v>16</v>
      </c>
      <c r="G2318" s="20" t="s">
        <v>17</v>
      </c>
      <c r="H2318" s="14" t="s">
        <v>24</v>
      </c>
      <c r="I2318" s="22">
        <v>2023.0</v>
      </c>
      <c r="J2318" s="16" t="str">
        <f>IFERROR(__xludf.DUMMYFUNCTION("FILTER('CLASFICACIÓN'!$F$3:$F5618,'CLASFICACIÓN'!$G$3:$G5618=M2318)"),"LOS 3 AÑOS")</f>
        <v>LOS 3 AÑOS</v>
      </c>
      <c r="K2318" s="16"/>
      <c r="L2318" s="14" t="s">
        <v>138</v>
      </c>
      <c r="M2318" s="16" t="str">
        <f t="shared" si="1"/>
        <v>601332 Secundaria</v>
      </c>
      <c r="N2318" s="17"/>
      <c r="O2318" s="17"/>
      <c r="P2318" s="17"/>
      <c r="Q2318" s="17"/>
      <c r="R2318" s="17"/>
      <c r="S2318" s="17"/>
      <c r="T2318" s="17"/>
    </row>
    <row r="2319">
      <c r="A2319" s="21">
        <v>1122.0</v>
      </c>
      <c r="B2319" s="20" t="s">
        <v>13</v>
      </c>
      <c r="C2319" s="20" t="s">
        <v>27</v>
      </c>
      <c r="D2319" s="20" t="s">
        <v>30</v>
      </c>
      <c r="E2319" s="12" t="str">
        <f>IFERROR(__xludf.DUMMYFUNCTION("FILTER(colegios!$B$2:$B5618,colegios!$A$2:$A5618=L2319)"),"60133")</f>
        <v>60133</v>
      </c>
      <c r="F2319" s="14" t="s">
        <v>16</v>
      </c>
      <c r="G2319" s="20" t="s">
        <v>21</v>
      </c>
      <c r="H2319" s="14" t="s">
        <v>18</v>
      </c>
      <c r="I2319" s="22">
        <v>2023.0</v>
      </c>
      <c r="J2319" s="16" t="str">
        <f>IFERROR(__xludf.DUMMYFUNCTION("FILTER('CLASFICACIÓN'!$F$3:$F5618,'CLASFICACIÓN'!$G$3:$G5618=M2319)"),"LOS 3 AÑOS")</f>
        <v>LOS 3 AÑOS</v>
      </c>
      <c r="K2319" s="16"/>
      <c r="L2319" s="14" t="s">
        <v>138</v>
      </c>
      <c r="M2319" s="16" t="str">
        <f t="shared" si="1"/>
        <v>601334 Secundaria</v>
      </c>
      <c r="N2319" s="17"/>
      <c r="O2319" s="17"/>
      <c r="P2319" s="17"/>
      <c r="Q2319" s="17"/>
      <c r="R2319" s="17"/>
      <c r="S2319" s="17"/>
      <c r="T2319" s="17"/>
    </row>
    <row r="2320">
      <c r="A2320" s="21">
        <v>1123.0</v>
      </c>
      <c r="B2320" s="20" t="s">
        <v>13</v>
      </c>
      <c r="C2320" s="20" t="s">
        <v>27</v>
      </c>
      <c r="D2320" s="20" t="s">
        <v>30</v>
      </c>
      <c r="E2320" s="12" t="str">
        <f>IFERROR(__xludf.DUMMYFUNCTION("FILTER(colegios!$B$2:$B5618,colegios!$A$2:$A5618=L2320)"),"60133")</f>
        <v>60133</v>
      </c>
      <c r="F2320" s="14" t="s">
        <v>16</v>
      </c>
      <c r="G2320" s="20" t="s">
        <v>21</v>
      </c>
      <c r="H2320" s="14" t="s">
        <v>18</v>
      </c>
      <c r="I2320" s="22">
        <v>2023.0</v>
      </c>
      <c r="J2320" s="16" t="str">
        <f>IFERROR(__xludf.DUMMYFUNCTION("FILTER('CLASFICACIÓN'!$F$3:$F5618,'CLASFICACIÓN'!$G$3:$G5618=M2320)"),"LOS 3 AÑOS")</f>
        <v>LOS 3 AÑOS</v>
      </c>
      <c r="K2320" s="16"/>
      <c r="L2320" s="14" t="s">
        <v>138</v>
      </c>
      <c r="M2320" s="16" t="str">
        <f t="shared" si="1"/>
        <v>601334 Secundaria</v>
      </c>
      <c r="N2320" s="17"/>
      <c r="O2320" s="17"/>
      <c r="P2320" s="17"/>
      <c r="Q2320" s="17"/>
      <c r="R2320" s="17"/>
      <c r="S2320" s="17"/>
      <c r="T2320" s="17"/>
    </row>
    <row r="2321">
      <c r="A2321" s="21">
        <v>1124.0</v>
      </c>
      <c r="B2321" s="20" t="s">
        <v>13</v>
      </c>
      <c r="C2321" s="20" t="s">
        <v>27</v>
      </c>
      <c r="D2321" s="20" t="s">
        <v>30</v>
      </c>
      <c r="E2321" s="12" t="str">
        <f>IFERROR(__xludf.DUMMYFUNCTION("FILTER(colegios!$B$2:$B5618,colegios!$A$2:$A5618=L2321)"),"60133")</f>
        <v>60133</v>
      </c>
      <c r="F2321" s="14" t="s">
        <v>16</v>
      </c>
      <c r="G2321" s="20" t="s">
        <v>21</v>
      </c>
      <c r="H2321" s="14" t="s">
        <v>18</v>
      </c>
      <c r="I2321" s="22">
        <v>2023.0</v>
      </c>
      <c r="J2321" s="16" t="str">
        <f>IFERROR(__xludf.DUMMYFUNCTION("FILTER('CLASFICACIÓN'!$F$3:$F5618,'CLASFICACIÓN'!$G$3:$G5618=M2321)"),"LOS 3 AÑOS")</f>
        <v>LOS 3 AÑOS</v>
      </c>
      <c r="K2321" s="16"/>
      <c r="L2321" s="14" t="s">
        <v>138</v>
      </c>
      <c r="M2321" s="16" t="str">
        <f t="shared" si="1"/>
        <v>601334 Secundaria</v>
      </c>
      <c r="N2321" s="17"/>
      <c r="O2321" s="17"/>
      <c r="P2321" s="17"/>
      <c r="Q2321" s="17"/>
      <c r="R2321" s="17"/>
      <c r="S2321" s="17"/>
      <c r="T2321" s="17"/>
    </row>
    <row r="2322">
      <c r="A2322" s="21">
        <v>1125.0</v>
      </c>
      <c r="B2322" s="20" t="s">
        <v>13</v>
      </c>
      <c r="C2322" s="20" t="s">
        <v>27</v>
      </c>
      <c r="D2322" s="20" t="s">
        <v>30</v>
      </c>
      <c r="E2322" s="12" t="str">
        <f>IFERROR(__xludf.DUMMYFUNCTION("FILTER(colegios!$B$2:$B5618,colegios!$A$2:$A5618=L2322)"),"60133")</f>
        <v>60133</v>
      </c>
      <c r="F2322" s="14" t="s">
        <v>16</v>
      </c>
      <c r="G2322" s="20" t="s">
        <v>17</v>
      </c>
      <c r="H2322" s="14" t="s">
        <v>18</v>
      </c>
      <c r="I2322" s="22">
        <v>2023.0</v>
      </c>
      <c r="J2322" s="16" t="str">
        <f>IFERROR(__xludf.DUMMYFUNCTION("FILTER('CLASFICACIÓN'!$F$3:$F5618,'CLASFICACIÓN'!$G$3:$G5618=M2322)"),"LOS 3 AÑOS")</f>
        <v>LOS 3 AÑOS</v>
      </c>
      <c r="K2322" s="16"/>
      <c r="L2322" s="14" t="s">
        <v>138</v>
      </c>
      <c r="M2322" s="16" t="str">
        <f t="shared" si="1"/>
        <v>601334 Secundaria</v>
      </c>
      <c r="N2322" s="17"/>
      <c r="O2322" s="17"/>
      <c r="P2322" s="17"/>
      <c r="Q2322" s="17"/>
      <c r="R2322" s="17"/>
      <c r="S2322" s="17"/>
      <c r="T2322" s="17"/>
    </row>
    <row r="2323">
      <c r="A2323" s="21">
        <v>1126.0</v>
      </c>
      <c r="B2323" s="20" t="s">
        <v>13</v>
      </c>
      <c r="C2323" s="20" t="s">
        <v>27</v>
      </c>
      <c r="D2323" s="20" t="s">
        <v>30</v>
      </c>
      <c r="E2323" s="12" t="str">
        <f>IFERROR(__xludf.DUMMYFUNCTION("FILTER(colegios!$B$2:$B5618,colegios!$A$2:$A5618=L2323)"),"60133")</f>
        <v>60133</v>
      </c>
      <c r="F2323" s="14" t="s">
        <v>16</v>
      </c>
      <c r="G2323" s="20" t="s">
        <v>21</v>
      </c>
      <c r="H2323" s="14" t="s">
        <v>18</v>
      </c>
      <c r="I2323" s="22">
        <v>2023.0</v>
      </c>
      <c r="J2323" s="16" t="str">
        <f>IFERROR(__xludf.DUMMYFUNCTION("FILTER('CLASFICACIÓN'!$F$3:$F5618,'CLASFICACIÓN'!$G$3:$G5618=M2323)"),"LOS 3 AÑOS")</f>
        <v>LOS 3 AÑOS</v>
      </c>
      <c r="K2323" s="16"/>
      <c r="L2323" s="14" t="s">
        <v>138</v>
      </c>
      <c r="M2323" s="16" t="str">
        <f t="shared" si="1"/>
        <v>601334 Secundaria</v>
      </c>
      <c r="N2323" s="17"/>
      <c r="O2323" s="17"/>
      <c r="P2323" s="17"/>
      <c r="Q2323" s="17"/>
      <c r="R2323" s="17"/>
      <c r="S2323" s="17"/>
      <c r="T2323" s="17"/>
    </row>
    <row r="2324">
      <c r="A2324" s="21">
        <v>1127.0</v>
      </c>
      <c r="B2324" s="20" t="s">
        <v>13</v>
      </c>
      <c r="C2324" s="20" t="s">
        <v>27</v>
      </c>
      <c r="D2324" s="20" t="s">
        <v>30</v>
      </c>
      <c r="E2324" s="12" t="str">
        <f>IFERROR(__xludf.DUMMYFUNCTION("FILTER(colegios!$B$2:$B5618,colegios!$A$2:$A5618=L2324)"),"60133")</f>
        <v>60133</v>
      </c>
      <c r="F2324" s="14" t="s">
        <v>16</v>
      </c>
      <c r="G2324" s="20" t="s">
        <v>21</v>
      </c>
      <c r="H2324" s="14" t="s">
        <v>24</v>
      </c>
      <c r="I2324" s="22">
        <v>2023.0</v>
      </c>
      <c r="J2324" s="16" t="str">
        <f>IFERROR(__xludf.DUMMYFUNCTION("FILTER('CLASFICACIÓN'!$F$3:$F5618,'CLASFICACIÓN'!$G$3:$G5618=M2324)"),"LOS 3 AÑOS")</f>
        <v>LOS 3 AÑOS</v>
      </c>
      <c r="K2324" s="16"/>
      <c r="L2324" s="14" t="s">
        <v>138</v>
      </c>
      <c r="M2324" s="16" t="str">
        <f t="shared" si="1"/>
        <v>601334 Secundaria</v>
      </c>
      <c r="N2324" s="17"/>
      <c r="O2324" s="17"/>
      <c r="P2324" s="17"/>
      <c r="Q2324" s="17"/>
      <c r="R2324" s="17"/>
      <c r="S2324" s="17"/>
      <c r="T2324" s="17"/>
    </row>
    <row r="2325">
      <c r="A2325" s="21">
        <v>1128.0</v>
      </c>
      <c r="B2325" s="20" t="s">
        <v>13</v>
      </c>
      <c r="C2325" s="20" t="s">
        <v>27</v>
      </c>
      <c r="D2325" s="20" t="s">
        <v>30</v>
      </c>
      <c r="E2325" s="12" t="str">
        <f>IFERROR(__xludf.DUMMYFUNCTION("FILTER(colegios!$B$2:$B5618,colegios!$A$2:$A5618=L2325)"),"60133")</f>
        <v>60133</v>
      </c>
      <c r="F2325" s="14" t="s">
        <v>16</v>
      </c>
      <c r="G2325" s="20" t="s">
        <v>17</v>
      </c>
      <c r="H2325" s="14" t="s">
        <v>18</v>
      </c>
      <c r="I2325" s="22">
        <v>2023.0</v>
      </c>
      <c r="J2325" s="16" t="str">
        <f>IFERROR(__xludf.DUMMYFUNCTION("FILTER('CLASFICACIÓN'!$F$3:$F5618,'CLASFICACIÓN'!$G$3:$G5618=M2325)"),"LOS 3 AÑOS")</f>
        <v>LOS 3 AÑOS</v>
      </c>
      <c r="K2325" s="16"/>
      <c r="L2325" s="14" t="s">
        <v>138</v>
      </c>
      <c r="M2325" s="16" t="str">
        <f t="shared" si="1"/>
        <v>601334 Secundaria</v>
      </c>
      <c r="N2325" s="17"/>
      <c r="O2325" s="17"/>
      <c r="P2325" s="17"/>
      <c r="Q2325" s="17"/>
      <c r="R2325" s="17"/>
      <c r="S2325" s="17"/>
      <c r="T2325" s="17"/>
    </row>
    <row r="2326">
      <c r="A2326" s="21">
        <v>1129.0</v>
      </c>
      <c r="B2326" s="20" t="s">
        <v>13</v>
      </c>
      <c r="C2326" s="20" t="s">
        <v>27</v>
      </c>
      <c r="D2326" s="20" t="s">
        <v>30</v>
      </c>
      <c r="E2326" s="12" t="str">
        <f>IFERROR(__xludf.DUMMYFUNCTION("FILTER(colegios!$B$2:$B5618,colegios!$A$2:$A5618=L2326)"),"60133")</f>
        <v>60133</v>
      </c>
      <c r="F2326" s="14" t="s">
        <v>16</v>
      </c>
      <c r="G2326" s="20" t="s">
        <v>21</v>
      </c>
      <c r="H2326" s="14" t="s">
        <v>18</v>
      </c>
      <c r="I2326" s="22">
        <v>2023.0</v>
      </c>
      <c r="J2326" s="16" t="str">
        <f>IFERROR(__xludf.DUMMYFUNCTION("FILTER('CLASFICACIÓN'!$F$3:$F5618,'CLASFICACIÓN'!$G$3:$G5618=M2326)"),"LOS 3 AÑOS")</f>
        <v>LOS 3 AÑOS</v>
      </c>
      <c r="K2326" s="16"/>
      <c r="L2326" s="14" t="s">
        <v>138</v>
      </c>
      <c r="M2326" s="16" t="str">
        <f t="shared" si="1"/>
        <v>601334 Secundaria</v>
      </c>
      <c r="N2326" s="17"/>
      <c r="O2326" s="17"/>
      <c r="P2326" s="17"/>
      <c r="Q2326" s="17"/>
      <c r="R2326" s="17"/>
      <c r="S2326" s="17"/>
      <c r="T2326" s="17"/>
    </row>
    <row r="2327">
      <c r="A2327" s="21">
        <v>1130.0</v>
      </c>
      <c r="B2327" s="20" t="s">
        <v>13</v>
      </c>
      <c r="C2327" s="20" t="s">
        <v>27</v>
      </c>
      <c r="D2327" s="20" t="s">
        <v>30</v>
      </c>
      <c r="E2327" s="12" t="str">
        <f>IFERROR(__xludf.DUMMYFUNCTION("FILTER(colegios!$B$2:$B5618,colegios!$A$2:$A5618=L2327)"),"60133")</f>
        <v>60133</v>
      </c>
      <c r="F2327" s="14" t="s">
        <v>16</v>
      </c>
      <c r="G2327" s="20" t="s">
        <v>21</v>
      </c>
      <c r="H2327" s="14" t="s">
        <v>18</v>
      </c>
      <c r="I2327" s="22">
        <v>2023.0</v>
      </c>
      <c r="J2327" s="16" t="str">
        <f>IFERROR(__xludf.DUMMYFUNCTION("FILTER('CLASFICACIÓN'!$F$3:$F5618,'CLASFICACIÓN'!$G$3:$G5618=M2327)"),"LOS 3 AÑOS")</f>
        <v>LOS 3 AÑOS</v>
      </c>
      <c r="K2327" s="16"/>
      <c r="L2327" s="14" t="s">
        <v>138</v>
      </c>
      <c r="M2327" s="16" t="str">
        <f t="shared" si="1"/>
        <v>601334 Secundaria</v>
      </c>
      <c r="N2327" s="17"/>
      <c r="O2327" s="17"/>
      <c r="P2327" s="17"/>
      <c r="Q2327" s="17"/>
      <c r="R2327" s="17"/>
      <c r="S2327" s="17"/>
      <c r="T2327" s="17"/>
    </row>
    <row r="2328">
      <c r="A2328" s="21">
        <v>1131.0</v>
      </c>
      <c r="B2328" s="20" t="s">
        <v>13</v>
      </c>
      <c r="C2328" s="20" t="s">
        <v>27</v>
      </c>
      <c r="D2328" s="20" t="s">
        <v>30</v>
      </c>
      <c r="E2328" s="12" t="str">
        <f>IFERROR(__xludf.DUMMYFUNCTION("FILTER(colegios!$B$2:$B5618,colegios!$A$2:$A5618=L2328)"),"60133")</f>
        <v>60133</v>
      </c>
      <c r="F2328" s="14" t="s">
        <v>16</v>
      </c>
      <c r="G2328" s="20" t="s">
        <v>17</v>
      </c>
      <c r="H2328" s="14" t="s">
        <v>18</v>
      </c>
      <c r="I2328" s="22">
        <v>2023.0</v>
      </c>
      <c r="J2328" s="16" t="str">
        <f>IFERROR(__xludf.DUMMYFUNCTION("FILTER('CLASFICACIÓN'!$F$3:$F5618,'CLASFICACIÓN'!$G$3:$G5618=M2328)"),"LOS 3 AÑOS")</f>
        <v>LOS 3 AÑOS</v>
      </c>
      <c r="K2328" s="16"/>
      <c r="L2328" s="14" t="s">
        <v>138</v>
      </c>
      <c r="M2328" s="16" t="str">
        <f t="shared" si="1"/>
        <v>601334 Secundaria</v>
      </c>
      <c r="N2328" s="17"/>
      <c r="O2328" s="17"/>
      <c r="P2328" s="17"/>
      <c r="Q2328" s="17"/>
      <c r="R2328" s="17"/>
      <c r="S2328" s="17"/>
      <c r="T2328" s="17"/>
    </row>
    <row r="2329">
      <c r="A2329" s="21">
        <v>1132.0</v>
      </c>
      <c r="B2329" s="20" t="s">
        <v>13</v>
      </c>
      <c r="C2329" s="20" t="s">
        <v>27</v>
      </c>
      <c r="D2329" s="20" t="s">
        <v>30</v>
      </c>
      <c r="E2329" s="12" t="str">
        <f>IFERROR(__xludf.DUMMYFUNCTION("FILTER(colegios!$B$2:$B5618,colegios!$A$2:$A5618=L2329)"),"60133")</f>
        <v>60133</v>
      </c>
      <c r="F2329" s="14" t="s">
        <v>16</v>
      </c>
      <c r="G2329" s="20" t="s">
        <v>17</v>
      </c>
      <c r="H2329" s="14" t="s">
        <v>18</v>
      </c>
      <c r="I2329" s="22">
        <v>2023.0</v>
      </c>
      <c r="J2329" s="16" t="str">
        <f>IFERROR(__xludf.DUMMYFUNCTION("FILTER('CLASFICACIÓN'!$F$3:$F5618,'CLASFICACIÓN'!$G$3:$G5618=M2329)"),"LOS 3 AÑOS")</f>
        <v>LOS 3 AÑOS</v>
      </c>
      <c r="K2329" s="16"/>
      <c r="L2329" s="14" t="s">
        <v>138</v>
      </c>
      <c r="M2329" s="16" t="str">
        <f t="shared" si="1"/>
        <v>601334 Secundaria</v>
      </c>
      <c r="N2329" s="17"/>
      <c r="O2329" s="17"/>
      <c r="P2329" s="17"/>
      <c r="Q2329" s="17"/>
      <c r="R2329" s="17"/>
      <c r="S2329" s="17"/>
      <c r="T2329" s="17"/>
    </row>
    <row r="2330">
      <c r="A2330" s="21">
        <v>1133.0</v>
      </c>
      <c r="B2330" s="20" t="s">
        <v>13</v>
      </c>
      <c r="C2330" s="20" t="s">
        <v>27</v>
      </c>
      <c r="D2330" s="20" t="s">
        <v>30</v>
      </c>
      <c r="E2330" s="12" t="str">
        <f>IFERROR(__xludf.DUMMYFUNCTION("FILTER(colegios!$B$2:$B5618,colegios!$A$2:$A5618=L2330)"),"60133")</f>
        <v>60133</v>
      </c>
      <c r="F2330" s="14" t="s">
        <v>16</v>
      </c>
      <c r="G2330" s="20" t="s">
        <v>17</v>
      </c>
      <c r="H2330" s="14" t="s">
        <v>18</v>
      </c>
      <c r="I2330" s="22">
        <v>2023.0</v>
      </c>
      <c r="J2330" s="16" t="str">
        <f>IFERROR(__xludf.DUMMYFUNCTION("FILTER('CLASFICACIÓN'!$F$3:$F5618,'CLASFICACIÓN'!$G$3:$G5618=M2330)"),"LOS 3 AÑOS")</f>
        <v>LOS 3 AÑOS</v>
      </c>
      <c r="K2330" s="16"/>
      <c r="L2330" s="14" t="s">
        <v>138</v>
      </c>
      <c r="M2330" s="16" t="str">
        <f t="shared" si="1"/>
        <v>601334 Secundaria</v>
      </c>
      <c r="N2330" s="17"/>
      <c r="O2330" s="17"/>
      <c r="P2330" s="17"/>
      <c r="Q2330" s="17"/>
      <c r="R2330" s="17"/>
      <c r="S2330" s="17"/>
      <c r="T2330" s="17"/>
    </row>
    <row r="2331">
      <c r="A2331" s="21">
        <v>1134.0</v>
      </c>
      <c r="B2331" s="20" t="s">
        <v>13</v>
      </c>
      <c r="C2331" s="20" t="s">
        <v>27</v>
      </c>
      <c r="D2331" s="20" t="s">
        <v>30</v>
      </c>
      <c r="E2331" s="12" t="str">
        <f>IFERROR(__xludf.DUMMYFUNCTION("FILTER(colegios!$B$2:$B5618,colegios!$A$2:$A5618=L2331)"),"60133")</f>
        <v>60133</v>
      </c>
      <c r="F2331" s="14" t="s">
        <v>16</v>
      </c>
      <c r="G2331" s="20" t="s">
        <v>17</v>
      </c>
      <c r="H2331" s="14" t="s">
        <v>18</v>
      </c>
      <c r="I2331" s="22">
        <v>2023.0</v>
      </c>
      <c r="J2331" s="16" t="str">
        <f>IFERROR(__xludf.DUMMYFUNCTION("FILTER('CLASFICACIÓN'!$F$3:$F5618,'CLASFICACIÓN'!$G$3:$G5618=M2331)"),"LOS 3 AÑOS")</f>
        <v>LOS 3 AÑOS</v>
      </c>
      <c r="K2331" s="16"/>
      <c r="L2331" s="14" t="s">
        <v>138</v>
      </c>
      <c r="M2331" s="16" t="str">
        <f t="shared" si="1"/>
        <v>601334 Secundaria</v>
      </c>
      <c r="N2331" s="17"/>
      <c r="O2331" s="17"/>
      <c r="P2331" s="17"/>
      <c r="Q2331" s="17"/>
      <c r="R2331" s="17"/>
      <c r="S2331" s="17"/>
      <c r="T2331" s="17"/>
    </row>
    <row r="2332">
      <c r="A2332" s="21">
        <v>1135.0</v>
      </c>
      <c r="B2332" s="20" t="s">
        <v>13</v>
      </c>
      <c r="C2332" s="20" t="s">
        <v>27</v>
      </c>
      <c r="D2332" s="20" t="s">
        <v>30</v>
      </c>
      <c r="E2332" s="12" t="str">
        <f>IFERROR(__xludf.DUMMYFUNCTION("FILTER(colegios!$B$2:$B5618,colegios!$A$2:$A5618=L2332)"),"60133")</f>
        <v>60133</v>
      </c>
      <c r="F2332" s="14" t="s">
        <v>16</v>
      </c>
      <c r="G2332" s="20" t="s">
        <v>17</v>
      </c>
      <c r="H2332" s="14" t="s">
        <v>18</v>
      </c>
      <c r="I2332" s="22">
        <v>2023.0</v>
      </c>
      <c r="J2332" s="16" t="str">
        <f>IFERROR(__xludf.DUMMYFUNCTION("FILTER('CLASFICACIÓN'!$F$3:$F5618,'CLASFICACIÓN'!$G$3:$G5618=M2332)"),"LOS 3 AÑOS")</f>
        <v>LOS 3 AÑOS</v>
      </c>
      <c r="K2332" s="16"/>
      <c r="L2332" s="14" t="s">
        <v>138</v>
      </c>
      <c r="M2332" s="16" t="str">
        <f t="shared" si="1"/>
        <v>601334 Secundaria</v>
      </c>
      <c r="N2332" s="17"/>
      <c r="O2332" s="17"/>
      <c r="P2332" s="17"/>
      <c r="Q2332" s="17"/>
      <c r="R2332" s="17"/>
      <c r="S2332" s="17"/>
      <c r="T2332" s="17"/>
    </row>
    <row r="2333">
      <c r="A2333" s="21">
        <v>1136.0</v>
      </c>
      <c r="B2333" s="20" t="s">
        <v>13</v>
      </c>
      <c r="C2333" s="20" t="s">
        <v>27</v>
      </c>
      <c r="D2333" s="20" t="s">
        <v>30</v>
      </c>
      <c r="E2333" s="12" t="str">
        <f>IFERROR(__xludf.DUMMYFUNCTION("FILTER(colegios!$B$2:$B5618,colegios!$A$2:$A5618=L2333)"),"60133")</f>
        <v>60133</v>
      </c>
      <c r="F2333" s="14" t="s">
        <v>16</v>
      </c>
      <c r="G2333" s="20" t="s">
        <v>17</v>
      </c>
      <c r="H2333" s="14" t="s">
        <v>18</v>
      </c>
      <c r="I2333" s="22">
        <v>2023.0</v>
      </c>
      <c r="J2333" s="16" t="str">
        <f>IFERROR(__xludf.DUMMYFUNCTION("FILTER('CLASFICACIÓN'!$F$3:$F5618,'CLASFICACIÓN'!$G$3:$G5618=M2333)"),"LOS 3 AÑOS")</f>
        <v>LOS 3 AÑOS</v>
      </c>
      <c r="K2333" s="16"/>
      <c r="L2333" s="14" t="s">
        <v>138</v>
      </c>
      <c r="M2333" s="16" t="str">
        <f t="shared" si="1"/>
        <v>601334 Secundaria</v>
      </c>
      <c r="N2333" s="17"/>
      <c r="O2333" s="17"/>
      <c r="P2333" s="17"/>
      <c r="Q2333" s="17"/>
      <c r="R2333" s="17"/>
      <c r="S2333" s="17"/>
      <c r="T2333" s="17"/>
    </row>
    <row r="2334">
      <c r="A2334" s="21">
        <v>1137.0</v>
      </c>
      <c r="B2334" s="20" t="s">
        <v>13</v>
      </c>
      <c r="C2334" s="20" t="s">
        <v>27</v>
      </c>
      <c r="D2334" s="20" t="s">
        <v>30</v>
      </c>
      <c r="E2334" s="12" t="str">
        <f>IFERROR(__xludf.DUMMYFUNCTION("FILTER(colegios!$B$2:$B5618,colegios!$A$2:$A5618=L2334)"),"60133")</f>
        <v>60133</v>
      </c>
      <c r="F2334" s="14" t="s">
        <v>16</v>
      </c>
      <c r="G2334" s="20" t="s">
        <v>17</v>
      </c>
      <c r="H2334" s="14" t="s">
        <v>18</v>
      </c>
      <c r="I2334" s="22">
        <v>2023.0</v>
      </c>
      <c r="J2334" s="16" t="str">
        <f>IFERROR(__xludf.DUMMYFUNCTION("FILTER('CLASFICACIÓN'!$F$3:$F5618,'CLASFICACIÓN'!$G$3:$G5618=M2334)"),"LOS 3 AÑOS")</f>
        <v>LOS 3 AÑOS</v>
      </c>
      <c r="K2334" s="16"/>
      <c r="L2334" s="14" t="s">
        <v>138</v>
      </c>
      <c r="M2334" s="16" t="str">
        <f t="shared" si="1"/>
        <v>601334 Secundaria</v>
      </c>
      <c r="N2334" s="17"/>
      <c r="O2334" s="17"/>
      <c r="P2334" s="17"/>
      <c r="Q2334" s="17"/>
      <c r="R2334" s="17"/>
      <c r="S2334" s="17"/>
      <c r="T2334" s="17"/>
    </row>
    <row r="2335">
      <c r="A2335" s="21">
        <v>1138.0</v>
      </c>
      <c r="B2335" s="20" t="s">
        <v>13</v>
      </c>
      <c r="C2335" s="20" t="s">
        <v>27</v>
      </c>
      <c r="D2335" s="20" t="s">
        <v>30</v>
      </c>
      <c r="E2335" s="12" t="str">
        <f>IFERROR(__xludf.DUMMYFUNCTION("FILTER(colegios!$B$2:$B5618,colegios!$A$2:$A5618=L2335)"),"60133")</f>
        <v>60133</v>
      </c>
      <c r="F2335" s="14" t="s">
        <v>16</v>
      </c>
      <c r="G2335" s="20" t="s">
        <v>17</v>
      </c>
      <c r="H2335" s="14" t="s">
        <v>18</v>
      </c>
      <c r="I2335" s="22">
        <v>2023.0</v>
      </c>
      <c r="J2335" s="16" t="str">
        <f>IFERROR(__xludf.DUMMYFUNCTION("FILTER('CLASFICACIÓN'!$F$3:$F5618,'CLASFICACIÓN'!$G$3:$G5618=M2335)"),"LOS 3 AÑOS")</f>
        <v>LOS 3 AÑOS</v>
      </c>
      <c r="K2335" s="16"/>
      <c r="L2335" s="14" t="s">
        <v>138</v>
      </c>
      <c r="M2335" s="16" t="str">
        <f t="shared" si="1"/>
        <v>601334 Secundaria</v>
      </c>
      <c r="N2335" s="17"/>
      <c r="O2335" s="17"/>
      <c r="P2335" s="17"/>
      <c r="Q2335" s="17"/>
      <c r="R2335" s="17"/>
      <c r="S2335" s="17"/>
      <c r="T2335" s="17"/>
    </row>
    <row r="2336">
      <c r="A2336" s="21">
        <v>1139.0</v>
      </c>
      <c r="B2336" s="20" t="s">
        <v>13</v>
      </c>
      <c r="C2336" s="20" t="s">
        <v>14</v>
      </c>
      <c r="D2336" s="20" t="s">
        <v>20</v>
      </c>
      <c r="E2336" s="12" t="str">
        <f>IFERROR(__xludf.DUMMYFUNCTION("FILTER(colegios!$B$2:$B5618,colegios!$A$2:$A5618=L2336)"),"60133")</f>
        <v>60133</v>
      </c>
      <c r="F2336" s="14" t="s">
        <v>16</v>
      </c>
      <c r="G2336" s="20" t="s">
        <v>21</v>
      </c>
      <c r="H2336" s="14" t="s">
        <v>18</v>
      </c>
      <c r="I2336" s="22">
        <v>2023.0</v>
      </c>
      <c r="J2336" s="16" t="str">
        <f>IFERROR(__xludf.DUMMYFUNCTION("FILTER('CLASFICACIÓN'!$F$3:$F5618,'CLASFICACIÓN'!$G$3:$G5618=M2336)"),"LOS 3 AÑOS")</f>
        <v>LOS 3 AÑOS</v>
      </c>
      <c r="K2336" s="16"/>
      <c r="L2336" s="14" t="s">
        <v>138</v>
      </c>
      <c r="M2336" s="16" t="str">
        <f t="shared" si="1"/>
        <v>601334 Primaria</v>
      </c>
      <c r="N2336" s="17"/>
      <c r="O2336" s="17"/>
      <c r="P2336" s="17"/>
      <c r="Q2336" s="17"/>
      <c r="R2336" s="17"/>
      <c r="S2336" s="17"/>
      <c r="T2336" s="17"/>
    </row>
    <row r="2337">
      <c r="A2337" s="21">
        <v>1140.0</v>
      </c>
      <c r="B2337" s="20" t="s">
        <v>13</v>
      </c>
      <c r="C2337" s="20" t="s">
        <v>14</v>
      </c>
      <c r="D2337" s="20" t="s">
        <v>22</v>
      </c>
      <c r="E2337" s="12" t="str">
        <f>IFERROR(__xludf.DUMMYFUNCTION("FILTER(colegios!$B$2:$B5618,colegios!$A$2:$A5618=L2337)"),"60133")</f>
        <v>60133</v>
      </c>
      <c r="F2337" s="14" t="s">
        <v>16</v>
      </c>
      <c r="G2337" s="20" t="s">
        <v>17</v>
      </c>
      <c r="H2337" s="14" t="s">
        <v>18</v>
      </c>
      <c r="I2337" s="22">
        <v>2023.0</v>
      </c>
      <c r="J2337" s="16" t="str">
        <f>IFERROR(__xludf.DUMMYFUNCTION("FILTER('CLASFICACIÓN'!$F$3:$F5618,'CLASFICACIÓN'!$G$3:$G5618=M2337)"),"LOS 3 AÑOS")</f>
        <v>LOS 3 AÑOS</v>
      </c>
      <c r="K2337" s="16"/>
      <c r="L2337" s="14" t="s">
        <v>138</v>
      </c>
      <c r="M2337" s="16" t="str">
        <f t="shared" si="1"/>
        <v>601336 Primaria</v>
      </c>
      <c r="N2337" s="17"/>
      <c r="O2337" s="17"/>
      <c r="P2337" s="17"/>
      <c r="Q2337" s="17"/>
      <c r="R2337" s="17"/>
      <c r="S2337" s="17"/>
      <c r="T2337" s="17"/>
    </row>
    <row r="2338">
      <c r="A2338" s="21">
        <v>1141.0</v>
      </c>
      <c r="B2338" s="20" t="s">
        <v>90</v>
      </c>
      <c r="C2338" s="20" t="s">
        <v>14</v>
      </c>
      <c r="D2338" s="20" t="s">
        <v>15</v>
      </c>
      <c r="E2338" s="12" t="str">
        <f>IFERROR(__xludf.DUMMYFUNCTION("FILTER(colegios!$B$2:$B5618,colegios!$A$2:$A5618=L2338)"),"50547")</f>
        <v>50547</v>
      </c>
      <c r="F2338" s="14" t="s">
        <v>16</v>
      </c>
      <c r="G2338" s="20" t="s">
        <v>21</v>
      </c>
      <c r="H2338" s="14" t="s">
        <v>24</v>
      </c>
      <c r="I2338" s="22">
        <v>2023.0</v>
      </c>
      <c r="J2338" s="16" t="str">
        <f>IFERROR(__xludf.DUMMYFUNCTION("FILTER('CLASFICACIÓN'!$F$3:$F5618,'CLASFICACIÓN'!$G$3:$G5618=M2338)"),"LOS 3 AÑOS")</f>
        <v>LOS 3 AÑOS</v>
      </c>
      <c r="K2338" s="16"/>
      <c r="L2338" s="14" t="s">
        <v>139</v>
      </c>
      <c r="M2338" s="16" t="str">
        <f t="shared" si="1"/>
        <v>505472 Primaria</v>
      </c>
      <c r="N2338" s="17"/>
      <c r="O2338" s="17"/>
      <c r="P2338" s="17"/>
      <c r="Q2338" s="17"/>
      <c r="R2338" s="17"/>
      <c r="S2338" s="17"/>
      <c r="T2338" s="17"/>
    </row>
    <row r="2339">
      <c r="A2339" s="21">
        <v>1142.0</v>
      </c>
      <c r="B2339" s="20" t="s">
        <v>90</v>
      </c>
      <c r="C2339" s="20" t="s">
        <v>14</v>
      </c>
      <c r="D2339" s="20" t="s">
        <v>15</v>
      </c>
      <c r="E2339" s="12" t="str">
        <f>IFERROR(__xludf.DUMMYFUNCTION("FILTER(colegios!$B$2:$B5618,colegios!$A$2:$A5618=L2339)"),"50547")</f>
        <v>50547</v>
      </c>
      <c r="F2339" s="14" t="s">
        <v>16</v>
      </c>
      <c r="G2339" s="20" t="s">
        <v>17</v>
      </c>
      <c r="H2339" s="14" t="s">
        <v>24</v>
      </c>
      <c r="I2339" s="22">
        <v>2023.0</v>
      </c>
      <c r="J2339" s="16" t="str">
        <f>IFERROR(__xludf.DUMMYFUNCTION("FILTER('CLASFICACIÓN'!$F$3:$F5618,'CLASFICACIÓN'!$G$3:$G5618=M2339)"),"LOS 3 AÑOS")</f>
        <v>LOS 3 AÑOS</v>
      </c>
      <c r="K2339" s="16"/>
      <c r="L2339" s="14" t="s">
        <v>139</v>
      </c>
      <c r="M2339" s="16" t="str">
        <f t="shared" si="1"/>
        <v>505472 Primaria</v>
      </c>
      <c r="N2339" s="17"/>
      <c r="O2339" s="17"/>
      <c r="P2339" s="17"/>
      <c r="Q2339" s="17"/>
      <c r="R2339" s="17"/>
      <c r="S2339" s="17"/>
      <c r="T2339" s="17"/>
    </row>
    <row r="2340">
      <c r="A2340" s="21">
        <v>1143.0</v>
      </c>
      <c r="B2340" s="20" t="s">
        <v>90</v>
      </c>
      <c r="C2340" s="20" t="s">
        <v>14</v>
      </c>
      <c r="D2340" s="20" t="s">
        <v>15</v>
      </c>
      <c r="E2340" s="12" t="str">
        <f>IFERROR(__xludf.DUMMYFUNCTION("FILTER(colegios!$B$2:$B5618,colegios!$A$2:$A5618=L2340)"),"50547")</f>
        <v>50547</v>
      </c>
      <c r="F2340" s="14" t="s">
        <v>16</v>
      </c>
      <c r="G2340" s="20" t="s">
        <v>21</v>
      </c>
      <c r="H2340" s="14" t="s">
        <v>32</v>
      </c>
      <c r="I2340" s="22">
        <v>2023.0</v>
      </c>
      <c r="J2340" s="16" t="str">
        <f>IFERROR(__xludf.DUMMYFUNCTION("FILTER('CLASFICACIÓN'!$F$3:$F5618,'CLASFICACIÓN'!$G$3:$G5618=M2340)"),"LOS 3 AÑOS")</f>
        <v>LOS 3 AÑOS</v>
      </c>
      <c r="K2340" s="16"/>
      <c r="L2340" s="14" t="s">
        <v>139</v>
      </c>
      <c r="M2340" s="16" t="str">
        <f t="shared" si="1"/>
        <v>505472 Primaria</v>
      </c>
      <c r="N2340" s="17"/>
      <c r="O2340" s="17"/>
      <c r="P2340" s="17"/>
      <c r="Q2340" s="17"/>
      <c r="R2340" s="17"/>
      <c r="S2340" s="17"/>
      <c r="T2340" s="17"/>
    </row>
    <row r="2341">
      <c r="A2341" s="21">
        <v>1144.0</v>
      </c>
      <c r="B2341" s="20" t="s">
        <v>90</v>
      </c>
      <c r="C2341" s="20" t="s">
        <v>14</v>
      </c>
      <c r="D2341" s="20" t="s">
        <v>15</v>
      </c>
      <c r="E2341" s="12" t="str">
        <f>IFERROR(__xludf.DUMMYFUNCTION("FILTER(colegios!$B$2:$B5618,colegios!$A$2:$A5618=L2341)"),"50547")</f>
        <v>50547</v>
      </c>
      <c r="F2341" s="14" t="s">
        <v>16</v>
      </c>
      <c r="G2341" s="20" t="s">
        <v>17</v>
      </c>
      <c r="H2341" s="14" t="s">
        <v>24</v>
      </c>
      <c r="I2341" s="22">
        <v>2023.0</v>
      </c>
      <c r="J2341" s="16" t="str">
        <f>IFERROR(__xludf.DUMMYFUNCTION("FILTER('CLASFICACIÓN'!$F$3:$F5618,'CLASFICACIÓN'!$G$3:$G5618=M2341)"),"LOS 3 AÑOS")</f>
        <v>LOS 3 AÑOS</v>
      </c>
      <c r="K2341" s="16"/>
      <c r="L2341" s="14" t="s">
        <v>139</v>
      </c>
      <c r="M2341" s="16" t="str">
        <f t="shared" si="1"/>
        <v>505472 Primaria</v>
      </c>
      <c r="N2341" s="17"/>
      <c r="O2341" s="17"/>
      <c r="P2341" s="17"/>
      <c r="Q2341" s="17"/>
      <c r="R2341" s="17"/>
      <c r="S2341" s="17"/>
      <c r="T2341" s="17"/>
    </row>
    <row r="2342">
      <c r="A2342" s="21">
        <v>1145.0</v>
      </c>
      <c r="B2342" s="20" t="s">
        <v>90</v>
      </c>
      <c r="C2342" s="20" t="s">
        <v>14</v>
      </c>
      <c r="D2342" s="20" t="s">
        <v>15</v>
      </c>
      <c r="E2342" s="12" t="str">
        <f>IFERROR(__xludf.DUMMYFUNCTION("FILTER(colegios!$B$2:$B5618,colegios!$A$2:$A5618=L2342)"),"50547")</f>
        <v>50547</v>
      </c>
      <c r="F2342" s="14" t="s">
        <v>16</v>
      </c>
      <c r="G2342" s="20" t="s">
        <v>21</v>
      </c>
      <c r="H2342" s="14" t="s">
        <v>24</v>
      </c>
      <c r="I2342" s="22">
        <v>2023.0</v>
      </c>
      <c r="J2342" s="16" t="str">
        <f>IFERROR(__xludf.DUMMYFUNCTION("FILTER('CLASFICACIÓN'!$F$3:$F5618,'CLASFICACIÓN'!$G$3:$G5618=M2342)"),"LOS 3 AÑOS")</f>
        <v>LOS 3 AÑOS</v>
      </c>
      <c r="K2342" s="16"/>
      <c r="L2342" s="14" t="s">
        <v>139</v>
      </c>
      <c r="M2342" s="16" t="str">
        <f t="shared" si="1"/>
        <v>505472 Primaria</v>
      </c>
      <c r="N2342" s="17"/>
      <c r="O2342" s="17"/>
      <c r="P2342" s="17"/>
      <c r="Q2342" s="17"/>
      <c r="R2342" s="17"/>
      <c r="S2342" s="17"/>
      <c r="T2342" s="17"/>
    </row>
    <row r="2343">
      <c r="A2343" s="21">
        <v>1146.0</v>
      </c>
      <c r="B2343" s="20" t="s">
        <v>90</v>
      </c>
      <c r="C2343" s="20" t="s">
        <v>14</v>
      </c>
      <c r="D2343" s="20" t="s">
        <v>20</v>
      </c>
      <c r="E2343" s="12" t="str">
        <f>IFERROR(__xludf.DUMMYFUNCTION("FILTER(colegios!$B$2:$B5618,colegios!$A$2:$A5618=L2343)"),"50547")</f>
        <v>50547</v>
      </c>
      <c r="F2343" s="14" t="s">
        <v>16</v>
      </c>
      <c r="G2343" s="20" t="s">
        <v>21</v>
      </c>
      <c r="H2343" s="14" t="s">
        <v>18</v>
      </c>
      <c r="I2343" s="22">
        <v>2023.0</v>
      </c>
      <c r="J2343" s="16" t="str">
        <f>IFERROR(__xludf.DUMMYFUNCTION("FILTER('CLASFICACIÓN'!$F$3:$F5618,'CLASFICACIÓN'!$G$3:$G5618=M2343)"),"LOS 3 AÑOS")</f>
        <v>LOS 3 AÑOS</v>
      </c>
      <c r="K2343" s="16"/>
      <c r="L2343" s="14" t="s">
        <v>139</v>
      </c>
      <c r="M2343" s="16" t="str">
        <f t="shared" si="1"/>
        <v>505474 Primaria</v>
      </c>
      <c r="N2343" s="17"/>
      <c r="O2343" s="17"/>
      <c r="P2343" s="17"/>
      <c r="Q2343" s="17"/>
      <c r="R2343" s="17"/>
      <c r="S2343" s="17"/>
      <c r="T2343" s="17"/>
    </row>
    <row r="2344">
      <c r="A2344" s="21">
        <v>1147.0</v>
      </c>
      <c r="B2344" s="20" t="s">
        <v>90</v>
      </c>
      <c r="C2344" s="20" t="s">
        <v>14</v>
      </c>
      <c r="D2344" s="20" t="s">
        <v>20</v>
      </c>
      <c r="E2344" s="12" t="str">
        <f>IFERROR(__xludf.DUMMYFUNCTION("FILTER(colegios!$B$2:$B5618,colegios!$A$2:$A5618=L2344)"),"50547")</f>
        <v>50547</v>
      </c>
      <c r="F2344" s="14" t="s">
        <v>16</v>
      </c>
      <c r="G2344" s="20" t="s">
        <v>17</v>
      </c>
      <c r="H2344" s="14" t="s">
        <v>18</v>
      </c>
      <c r="I2344" s="22">
        <v>2023.0</v>
      </c>
      <c r="J2344" s="16" t="str">
        <f>IFERROR(__xludf.DUMMYFUNCTION("FILTER('CLASFICACIÓN'!$F$3:$F5618,'CLASFICACIÓN'!$G$3:$G5618=M2344)"),"LOS 3 AÑOS")</f>
        <v>LOS 3 AÑOS</v>
      </c>
      <c r="K2344" s="16"/>
      <c r="L2344" s="14" t="s">
        <v>139</v>
      </c>
      <c r="M2344" s="16" t="str">
        <f t="shared" si="1"/>
        <v>505474 Primaria</v>
      </c>
      <c r="N2344" s="17"/>
      <c r="O2344" s="17"/>
      <c r="P2344" s="17"/>
      <c r="Q2344" s="17"/>
      <c r="R2344" s="17"/>
      <c r="S2344" s="17"/>
      <c r="T2344" s="17"/>
    </row>
    <row r="2345">
      <c r="A2345" s="21">
        <v>1148.0</v>
      </c>
      <c r="B2345" s="20" t="s">
        <v>90</v>
      </c>
      <c r="C2345" s="20" t="s">
        <v>14</v>
      </c>
      <c r="D2345" s="20" t="s">
        <v>20</v>
      </c>
      <c r="E2345" s="12" t="str">
        <f>IFERROR(__xludf.DUMMYFUNCTION("FILTER(colegios!$B$2:$B5618,colegios!$A$2:$A5618=L2345)"),"50547")</f>
        <v>50547</v>
      </c>
      <c r="F2345" s="14" t="s">
        <v>16</v>
      </c>
      <c r="G2345" s="20" t="s">
        <v>17</v>
      </c>
      <c r="H2345" s="14" t="s">
        <v>18</v>
      </c>
      <c r="I2345" s="22">
        <v>2023.0</v>
      </c>
      <c r="J2345" s="16" t="str">
        <f>IFERROR(__xludf.DUMMYFUNCTION("FILTER('CLASFICACIÓN'!$F$3:$F5618,'CLASFICACIÓN'!$G$3:$G5618=M2345)"),"LOS 3 AÑOS")</f>
        <v>LOS 3 AÑOS</v>
      </c>
      <c r="K2345" s="16"/>
      <c r="L2345" s="14" t="s">
        <v>139</v>
      </c>
      <c r="M2345" s="16" t="str">
        <f t="shared" si="1"/>
        <v>505474 Primaria</v>
      </c>
      <c r="N2345" s="17"/>
      <c r="O2345" s="17"/>
      <c r="P2345" s="17"/>
      <c r="Q2345" s="17"/>
      <c r="R2345" s="17"/>
      <c r="S2345" s="17"/>
      <c r="T2345" s="17"/>
    </row>
    <row r="2346">
      <c r="A2346" s="21">
        <v>1149.0</v>
      </c>
      <c r="B2346" s="20" t="s">
        <v>90</v>
      </c>
      <c r="C2346" s="20" t="s">
        <v>14</v>
      </c>
      <c r="D2346" s="20" t="s">
        <v>20</v>
      </c>
      <c r="E2346" s="12" t="str">
        <f>IFERROR(__xludf.DUMMYFUNCTION("FILTER(colegios!$B$2:$B5618,colegios!$A$2:$A5618=L2346)"),"50547")</f>
        <v>50547</v>
      </c>
      <c r="F2346" s="14" t="s">
        <v>16</v>
      </c>
      <c r="G2346" s="20" t="s">
        <v>17</v>
      </c>
      <c r="H2346" s="14" t="s">
        <v>18</v>
      </c>
      <c r="I2346" s="22">
        <v>2023.0</v>
      </c>
      <c r="J2346" s="16" t="str">
        <f>IFERROR(__xludf.DUMMYFUNCTION("FILTER('CLASFICACIÓN'!$F$3:$F5618,'CLASFICACIÓN'!$G$3:$G5618=M2346)"),"LOS 3 AÑOS")</f>
        <v>LOS 3 AÑOS</v>
      </c>
      <c r="K2346" s="16"/>
      <c r="L2346" s="14" t="s">
        <v>139</v>
      </c>
      <c r="M2346" s="16" t="str">
        <f t="shared" si="1"/>
        <v>505474 Primaria</v>
      </c>
      <c r="N2346" s="17"/>
      <c r="O2346" s="17"/>
      <c r="P2346" s="17"/>
      <c r="Q2346" s="17"/>
      <c r="R2346" s="17"/>
      <c r="S2346" s="17"/>
      <c r="T2346" s="17"/>
    </row>
    <row r="2347">
      <c r="A2347" s="21">
        <v>1150.0</v>
      </c>
      <c r="B2347" s="20" t="s">
        <v>90</v>
      </c>
      <c r="C2347" s="20" t="s">
        <v>14</v>
      </c>
      <c r="D2347" s="20" t="s">
        <v>20</v>
      </c>
      <c r="E2347" s="12" t="str">
        <f>IFERROR(__xludf.DUMMYFUNCTION("FILTER(colegios!$B$2:$B5618,colegios!$A$2:$A5618=L2347)"),"50547")</f>
        <v>50547</v>
      </c>
      <c r="F2347" s="14" t="s">
        <v>16</v>
      </c>
      <c r="G2347" s="20" t="s">
        <v>21</v>
      </c>
      <c r="H2347" s="14" t="s">
        <v>18</v>
      </c>
      <c r="I2347" s="22">
        <v>2023.0</v>
      </c>
      <c r="J2347" s="16" t="str">
        <f>IFERROR(__xludf.DUMMYFUNCTION("FILTER('CLASFICACIÓN'!$F$3:$F5618,'CLASFICACIÓN'!$G$3:$G5618=M2347)"),"LOS 3 AÑOS")</f>
        <v>LOS 3 AÑOS</v>
      </c>
      <c r="K2347" s="16"/>
      <c r="L2347" s="14" t="s">
        <v>139</v>
      </c>
      <c r="M2347" s="16" t="str">
        <f t="shared" si="1"/>
        <v>505474 Primaria</v>
      </c>
      <c r="N2347" s="17"/>
      <c r="O2347" s="17"/>
      <c r="P2347" s="17"/>
      <c r="Q2347" s="17"/>
      <c r="R2347" s="17"/>
      <c r="S2347" s="17"/>
      <c r="T2347" s="17"/>
    </row>
    <row r="2348">
      <c r="A2348" s="21">
        <v>1151.0</v>
      </c>
      <c r="B2348" s="20" t="s">
        <v>90</v>
      </c>
      <c r="C2348" s="20" t="s">
        <v>14</v>
      </c>
      <c r="D2348" s="20" t="s">
        <v>20</v>
      </c>
      <c r="E2348" s="12" t="str">
        <f>IFERROR(__xludf.DUMMYFUNCTION("FILTER(colegios!$B$2:$B5618,colegios!$A$2:$A5618=L2348)"),"50547")</f>
        <v>50547</v>
      </c>
      <c r="F2348" s="14" t="s">
        <v>16</v>
      </c>
      <c r="G2348" s="20" t="s">
        <v>21</v>
      </c>
      <c r="H2348" s="14" t="s">
        <v>18</v>
      </c>
      <c r="I2348" s="22">
        <v>2023.0</v>
      </c>
      <c r="J2348" s="16" t="str">
        <f>IFERROR(__xludf.DUMMYFUNCTION("FILTER('CLASFICACIÓN'!$F$3:$F5618,'CLASFICACIÓN'!$G$3:$G5618=M2348)"),"LOS 3 AÑOS")</f>
        <v>LOS 3 AÑOS</v>
      </c>
      <c r="K2348" s="16"/>
      <c r="L2348" s="14" t="s">
        <v>139</v>
      </c>
      <c r="M2348" s="16" t="str">
        <f t="shared" si="1"/>
        <v>505474 Primaria</v>
      </c>
      <c r="N2348" s="17"/>
      <c r="O2348" s="17"/>
      <c r="P2348" s="17"/>
      <c r="Q2348" s="17"/>
      <c r="R2348" s="17"/>
      <c r="S2348" s="17"/>
      <c r="T2348" s="17"/>
    </row>
    <row r="2349">
      <c r="A2349" s="21">
        <v>1152.0</v>
      </c>
      <c r="B2349" s="20" t="s">
        <v>90</v>
      </c>
      <c r="C2349" s="20" t="s">
        <v>14</v>
      </c>
      <c r="D2349" s="20" t="s">
        <v>20</v>
      </c>
      <c r="E2349" s="12" t="str">
        <f>IFERROR(__xludf.DUMMYFUNCTION("FILTER(colegios!$B$2:$B5618,colegios!$A$2:$A5618=L2349)"),"50547")</f>
        <v>50547</v>
      </c>
      <c r="F2349" s="14" t="s">
        <v>16</v>
      </c>
      <c r="G2349" s="20" t="s">
        <v>21</v>
      </c>
      <c r="H2349" s="14" t="s">
        <v>24</v>
      </c>
      <c r="I2349" s="22">
        <v>2023.0</v>
      </c>
      <c r="J2349" s="16" t="str">
        <f>IFERROR(__xludf.DUMMYFUNCTION("FILTER('CLASFICACIÓN'!$F$3:$F5618,'CLASFICACIÓN'!$G$3:$G5618=M2349)"),"LOS 3 AÑOS")</f>
        <v>LOS 3 AÑOS</v>
      </c>
      <c r="K2349" s="16"/>
      <c r="L2349" s="14" t="s">
        <v>139</v>
      </c>
      <c r="M2349" s="16" t="str">
        <f t="shared" si="1"/>
        <v>505474 Primaria</v>
      </c>
      <c r="N2349" s="17"/>
      <c r="O2349" s="17"/>
      <c r="P2349" s="17"/>
      <c r="Q2349" s="17"/>
      <c r="R2349" s="17"/>
      <c r="S2349" s="17"/>
      <c r="T2349" s="17"/>
    </row>
    <row r="2350">
      <c r="A2350" s="21">
        <v>1153.0</v>
      </c>
      <c r="B2350" s="20" t="s">
        <v>90</v>
      </c>
      <c r="C2350" s="20" t="s">
        <v>14</v>
      </c>
      <c r="D2350" s="20" t="s">
        <v>20</v>
      </c>
      <c r="E2350" s="12" t="str">
        <f>IFERROR(__xludf.DUMMYFUNCTION("FILTER(colegios!$B$2:$B5618,colegios!$A$2:$A5618=L2350)"),"50547")</f>
        <v>50547</v>
      </c>
      <c r="F2350" s="14" t="s">
        <v>16</v>
      </c>
      <c r="G2350" s="20" t="s">
        <v>17</v>
      </c>
      <c r="H2350" s="14" t="s">
        <v>18</v>
      </c>
      <c r="I2350" s="22">
        <v>2023.0</v>
      </c>
      <c r="J2350" s="16" t="str">
        <f>IFERROR(__xludf.DUMMYFUNCTION("FILTER('CLASFICACIÓN'!$F$3:$F5618,'CLASFICACIÓN'!$G$3:$G5618=M2350)"),"LOS 3 AÑOS")</f>
        <v>LOS 3 AÑOS</v>
      </c>
      <c r="K2350" s="16"/>
      <c r="L2350" s="14" t="s">
        <v>139</v>
      </c>
      <c r="M2350" s="16" t="str">
        <f t="shared" si="1"/>
        <v>505474 Primaria</v>
      </c>
      <c r="N2350" s="17"/>
      <c r="O2350" s="17"/>
      <c r="P2350" s="17"/>
      <c r="Q2350" s="17"/>
      <c r="R2350" s="17"/>
      <c r="S2350" s="17"/>
      <c r="T2350" s="17"/>
    </row>
    <row r="2351">
      <c r="A2351" s="21">
        <v>1154.0</v>
      </c>
      <c r="B2351" s="20" t="s">
        <v>90</v>
      </c>
      <c r="C2351" s="20" t="s">
        <v>14</v>
      </c>
      <c r="D2351" s="20" t="s">
        <v>22</v>
      </c>
      <c r="E2351" s="12" t="str">
        <f>IFERROR(__xludf.DUMMYFUNCTION("FILTER(colegios!$B$2:$B5618,colegios!$A$2:$A5618=L2351)"),"50547")</f>
        <v>50547</v>
      </c>
      <c r="F2351" s="14" t="s">
        <v>16</v>
      </c>
      <c r="G2351" s="20" t="s">
        <v>21</v>
      </c>
      <c r="H2351" s="14" t="s">
        <v>32</v>
      </c>
      <c r="I2351" s="22">
        <v>2023.0</v>
      </c>
      <c r="J2351" s="16" t="str">
        <f>IFERROR(__xludf.DUMMYFUNCTION("FILTER('CLASFICACIÓN'!$F$3:$F5618,'CLASFICACIÓN'!$G$3:$G5618=M2351)"),"LOS 3 AÑOS")</f>
        <v>LOS 3 AÑOS</v>
      </c>
      <c r="K2351" s="16"/>
      <c r="L2351" s="14" t="s">
        <v>139</v>
      </c>
      <c r="M2351" s="16" t="str">
        <f t="shared" si="1"/>
        <v>505476 Primaria</v>
      </c>
      <c r="N2351" s="17"/>
      <c r="O2351" s="17"/>
      <c r="P2351" s="17"/>
      <c r="Q2351" s="17"/>
      <c r="R2351" s="17"/>
      <c r="S2351" s="17"/>
      <c r="T2351" s="17"/>
    </row>
    <row r="2352">
      <c r="A2352" s="21">
        <v>1155.0</v>
      </c>
      <c r="B2352" s="20" t="s">
        <v>90</v>
      </c>
      <c r="C2352" s="20" t="s">
        <v>14</v>
      </c>
      <c r="D2352" s="20" t="s">
        <v>22</v>
      </c>
      <c r="E2352" s="12" t="str">
        <f>IFERROR(__xludf.DUMMYFUNCTION("FILTER(colegios!$B$2:$B5618,colegios!$A$2:$A5618=L2352)"),"50547")</f>
        <v>50547</v>
      </c>
      <c r="F2352" s="14" t="s">
        <v>16</v>
      </c>
      <c r="G2352" s="20" t="s">
        <v>21</v>
      </c>
      <c r="H2352" s="14" t="s">
        <v>24</v>
      </c>
      <c r="I2352" s="22">
        <v>2023.0</v>
      </c>
      <c r="J2352" s="16" t="str">
        <f>IFERROR(__xludf.DUMMYFUNCTION("FILTER('CLASFICACIÓN'!$F$3:$F5618,'CLASFICACIÓN'!$G$3:$G5618=M2352)"),"LOS 3 AÑOS")</f>
        <v>LOS 3 AÑOS</v>
      </c>
      <c r="K2352" s="16"/>
      <c r="L2352" s="14" t="s">
        <v>139</v>
      </c>
      <c r="M2352" s="16" t="str">
        <f t="shared" si="1"/>
        <v>505476 Primaria</v>
      </c>
      <c r="N2352" s="17"/>
      <c r="O2352" s="17"/>
      <c r="P2352" s="17"/>
      <c r="Q2352" s="17"/>
      <c r="R2352" s="17"/>
      <c r="S2352" s="17"/>
      <c r="T2352" s="17"/>
    </row>
    <row r="2353">
      <c r="A2353" s="21">
        <v>1156.0</v>
      </c>
      <c r="B2353" s="20" t="s">
        <v>90</v>
      </c>
      <c r="C2353" s="20" t="s">
        <v>14</v>
      </c>
      <c r="D2353" s="20" t="s">
        <v>22</v>
      </c>
      <c r="E2353" s="12" t="str">
        <f>IFERROR(__xludf.DUMMYFUNCTION("FILTER(colegios!$B$2:$B5618,colegios!$A$2:$A5618=L2353)"),"50547")</f>
        <v>50547</v>
      </c>
      <c r="F2353" s="14" t="s">
        <v>16</v>
      </c>
      <c r="G2353" s="20" t="s">
        <v>21</v>
      </c>
      <c r="H2353" s="14" t="s">
        <v>18</v>
      </c>
      <c r="I2353" s="22">
        <v>2023.0</v>
      </c>
      <c r="J2353" s="16" t="str">
        <f>IFERROR(__xludf.DUMMYFUNCTION("FILTER('CLASFICACIÓN'!$F$3:$F5618,'CLASFICACIÓN'!$G$3:$G5618=M2353)"),"LOS 3 AÑOS")</f>
        <v>LOS 3 AÑOS</v>
      </c>
      <c r="K2353" s="16"/>
      <c r="L2353" s="14" t="s">
        <v>139</v>
      </c>
      <c r="M2353" s="16" t="str">
        <f t="shared" si="1"/>
        <v>505476 Primaria</v>
      </c>
      <c r="N2353" s="17"/>
      <c r="O2353" s="17"/>
      <c r="P2353" s="17"/>
      <c r="Q2353" s="17"/>
      <c r="R2353" s="17"/>
      <c r="S2353" s="17"/>
      <c r="T2353" s="17"/>
    </row>
    <row r="2354">
      <c r="A2354" s="21">
        <v>1157.0</v>
      </c>
      <c r="B2354" s="20" t="s">
        <v>90</v>
      </c>
      <c r="C2354" s="20" t="s">
        <v>14</v>
      </c>
      <c r="D2354" s="20" t="s">
        <v>22</v>
      </c>
      <c r="E2354" s="12" t="str">
        <f>IFERROR(__xludf.DUMMYFUNCTION("FILTER(colegios!$B$2:$B5618,colegios!$A$2:$A5618=L2354)"),"50547")</f>
        <v>50547</v>
      </c>
      <c r="F2354" s="14" t="s">
        <v>16</v>
      </c>
      <c r="G2354" s="20" t="s">
        <v>21</v>
      </c>
      <c r="H2354" s="14" t="s">
        <v>18</v>
      </c>
      <c r="I2354" s="22">
        <v>2023.0</v>
      </c>
      <c r="J2354" s="16" t="str">
        <f>IFERROR(__xludf.DUMMYFUNCTION("FILTER('CLASFICACIÓN'!$F$3:$F5618,'CLASFICACIÓN'!$G$3:$G5618=M2354)"),"LOS 3 AÑOS")</f>
        <v>LOS 3 AÑOS</v>
      </c>
      <c r="K2354" s="16"/>
      <c r="L2354" s="14" t="s">
        <v>139</v>
      </c>
      <c r="M2354" s="16" t="str">
        <f t="shared" si="1"/>
        <v>505476 Primaria</v>
      </c>
      <c r="N2354" s="17"/>
      <c r="O2354" s="17"/>
      <c r="P2354" s="17"/>
      <c r="Q2354" s="17"/>
      <c r="R2354" s="17"/>
      <c r="S2354" s="17"/>
      <c r="T2354" s="17"/>
    </row>
    <row r="2355">
      <c r="A2355" s="21">
        <v>1158.0</v>
      </c>
      <c r="B2355" s="20" t="s">
        <v>90</v>
      </c>
      <c r="C2355" s="20" t="s">
        <v>14</v>
      </c>
      <c r="D2355" s="20" t="s">
        <v>22</v>
      </c>
      <c r="E2355" s="12" t="str">
        <f>IFERROR(__xludf.DUMMYFUNCTION("FILTER(colegios!$B$2:$B5618,colegios!$A$2:$A5618=L2355)"),"50547")</f>
        <v>50547</v>
      </c>
      <c r="F2355" s="14" t="s">
        <v>16</v>
      </c>
      <c r="G2355" s="20" t="s">
        <v>17</v>
      </c>
      <c r="H2355" s="14" t="s">
        <v>18</v>
      </c>
      <c r="I2355" s="22">
        <v>2023.0</v>
      </c>
      <c r="J2355" s="16" t="str">
        <f>IFERROR(__xludf.DUMMYFUNCTION("FILTER('CLASFICACIÓN'!$F$3:$F5618,'CLASFICACIÓN'!$G$3:$G5618=M2355)"),"LOS 3 AÑOS")</f>
        <v>LOS 3 AÑOS</v>
      </c>
      <c r="K2355" s="16"/>
      <c r="L2355" s="14" t="s">
        <v>139</v>
      </c>
      <c r="M2355" s="16" t="str">
        <f t="shared" si="1"/>
        <v>505476 Primaria</v>
      </c>
      <c r="N2355" s="17"/>
      <c r="O2355" s="17"/>
      <c r="P2355" s="17"/>
      <c r="Q2355" s="17"/>
      <c r="R2355" s="17"/>
      <c r="S2355" s="17"/>
      <c r="T2355" s="17"/>
    </row>
    <row r="2356">
      <c r="A2356" s="21">
        <v>1159.0</v>
      </c>
      <c r="B2356" s="20" t="s">
        <v>90</v>
      </c>
      <c r="C2356" s="20" t="s">
        <v>14</v>
      </c>
      <c r="D2356" s="20" t="s">
        <v>22</v>
      </c>
      <c r="E2356" s="12" t="str">
        <f>IFERROR(__xludf.DUMMYFUNCTION("FILTER(colegios!$B$2:$B5618,colegios!$A$2:$A5618=L2356)"),"50547")</f>
        <v>50547</v>
      </c>
      <c r="F2356" s="14" t="s">
        <v>16</v>
      </c>
      <c r="G2356" s="20" t="s">
        <v>21</v>
      </c>
      <c r="H2356" s="14" t="s">
        <v>18</v>
      </c>
      <c r="I2356" s="22">
        <v>2023.0</v>
      </c>
      <c r="J2356" s="16" t="str">
        <f>IFERROR(__xludf.DUMMYFUNCTION("FILTER('CLASFICACIÓN'!$F$3:$F5618,'CLASFICACIÓN'!$G$3:$G5618=M2356)"),"LOS 3 AÑOS")</f>
        <v>LOS 3 AÑOS</v>
      </c>
      <c r="K2356" s="16"/>
      <c r="L2356" s="14" t="s">
        <v>139</v>
      </c>
      <c r="M2356" s="16" t="str">
        <f t="shared" si="1"/>
        <v>505476 Primaria</v>
      </c>
      <c r="N2356" s="17"/>
      <c r="O2356" s="17"/>
      <c r="P2356" s="17"/>
      <c r="Q2356" s="17"/>
      <c r="R2356" s="17"/>
      <c r="S2356" s="17"/>
      <c r="T2356" s="17"/>
    </row>
    <row r="2357">
      <c r="A2357" s="21">
        <v>1160.0</v>
      </c>
      <c r="B2357" s="20" t="s">
        <v>90</v>
      </c>
      <c r="C2357" s="20" t="s">
        <v>14</v>
      </c>
      <c r="D2357" s="20" t="s">
        <v>22</v>
      </c>
      <c r="E2357" s="12" t="str">
        <f>IFERROR(__xludf.DUMMYFUNCTION("FILTER(colegios!$B$2:$B5618,colegios!$A$2:$A5618=L2357)"),"50547")</f>
        <v>50547</v>
      </c>
      <c r="F2357" s="14" t="s">
        <v>16</v>
      </c>
      <c r="G2357" s="20" t="s">
        <v>21</v>
      </c>
      <c r="H2357" s="14" t="s">
        <v>18</v>
      </c>
      <c r="I2357" s="22">
        <v>2023.0</v>
      </c>
      <c r="J2357" s="16" t="str">
        <f>IFERROR(__xludf.DUMMYFUNCTION("FILTER('CLASFICACIÓN'!$F$3:$F5618,'CLASFICACIÓN'!$G$3:$G5618=M2357)"),"LOS 3 AÑOS")</f>
        <v>LOS 3 AÑOS</v>
      </c>
      <c r="K2357" s="16"/>
      <c r="L2357" s="14" t="s">
        <v>139</v>
      </c>
      <c r="M2357" s="16" t="str">
        <f t="shared" si="1"/>
        <v>505476 Primaria</v>
      </c>
      <c r="N2357" s="17"/>
      <c r="O2357" s="17"/>
      <c r="P2357" s="17"/>
      <c r="Q2357" s="17"/>
      <c r="R2357" s="17"/>
      <c r="S2357" s="17"/>
      <c r="T2357" s="17"/>
    </row>
    <row r="2358">
      <c r="A2358" s="21">
        <v>1161.0</v>
      </c>
      <c r="B2358" s="20" t="s">
        <v>90</v>
      </c>
      <c r="C2358" s="20" t="s">
        <v>14</v>
      </c>
      <c r="D2358" s="20" t="s">
        <v>22</v>
      </c>
      <c r="E2358" s="12" t="str">
        <f>IFERROR(__xludf.DUMMYFUNCTION("FILTER(colegios!$B$2:$B5618,colegios!$A$2:$A5618=L2358)"),"50547")</f>
        <v>50547</v>
      </c>
      <c r="F2358" s="14" t="s">
        <v>16</v>
      </c>
      <c r="G2358" s="20" t="s">
        <v>17</v>
      </c>
      <c r="H2358" s="14" t="s">
        <v>18</v>
      </c>
      <c r="I2358" s="22">
        <v>2023.0</v>
      </c>
      <c r="J2358" s="16" t="str">
        <f>IFERROR(__xludf.DUMMYFUNCTION("FILTER('CLASFICACIÓN'!$F$3:$F5618,'CLASFICACIÓN'!$G$3:$G5618=M2358)"),"LOS 3 AÑOS")</f>
        <v>LOS 3 AÑOS</v>
      </c>
      <c r="K2358" s="16"/>
      <c r="L2358" s="14" t="s">
        <v>139</v>
      </c>
      <c r="M2358" s="16" t="str">
        <f t="shared" si="1"/>
        <v>505476 Primaria</v>
      </c>
      <c r="N2358" s="17"/>
      <c r="O2358" s="17"/>
      <c r="P2358" s="17"/>
      <c r="Q2358" s="17"/>
      <c r="R2358" s="17"/>
      <c r="S2358" s="17"/>
      <c r="T2358" s="17"/>
    </row>
    <row r="2359">
      <c r="A2359" s="21">
        <v>1162.0</v>
      </c>
      <c r="B2359" s="20" t="s">
        <v>90</v>
      </c>
      <c r="C2359" s="20" t="s">
        <v>14</v>
      </c>
      <c r="D2359" s="20" t="s">
        <v>22</v>
      </c>
      <c r="E2359" s="12" t="str">
        <f>IFERROR(__xludf.DUMMYFUNCTION("FILTER(colegios!$B$2:$B5618,colegios!$A$2:$A5618=L2359)"),"50547")</f>
        <v>50547</v>
      </c>
      <c r="F2359" s="14" t="s">
        <v>16</v>
      </c>
      <c r="G2359" s="20" t="s">
        <v>17</v>
      </c>
      <c r="H2359" s="14" t="s">
        <v>24</v>
      </c>
      <c r="I2359" s="22">
        <v>2023.0</v>
      </c>
      <c r="J2359" s="16" t="str">
        <f>IFERROR(__xludf.DUMMYFUNCTION("FILTER('CLASFICACIÓN'!$F$3:$F5618,'CLASFICACIÓN'!$G$3:$G5618=M2359)"),"LOS 3 AÑOS")</f>
        <v>LOS 3 AÑOS</v>
      </c>
      <c r="K2359" s="16"/>
      <c r="L2359" s="14" t="s">
        <v>139</v>
      </c>
      <c r="M2359" s="16" t="str">
        <f t="shared" si="1"/>
        <v>505476 Primaria</v>
      </c>
      <c r="N2359" s="17"/>
      <c r="O2359" s="17"/>
      <c r="P2359" s="17"/>
      <c r="Q2359" s="17"/>
      <c r="R2359" s="17"/>
      <c r="S2359" s="17"/>
      <c r="T2359" s="17"/>
    </row>
    <row r="2360">
      <c r="A2360" s="21">
        <v>1163.0</v>
      </c>
      <c r="B2360" s="20" t="s">
        <v>90</v>
      </c>
      <c r="C2360" s="20" t="s">
        <v>14</v>
      </c>
      <c r="D2360" s="20" t="s">
        <v>22</v>
      </c>
      <c r="E2360" s="12" t="str">
        <f>IFERROR(__xludf.DUMMYFUNCTION("FILTER(colegios!$B$2:$B5618,colegios!$A$2:$A5618=L2360)"),"50547")</f>
        <v>50547</v>
      </c>
      <c r="F2360" s="14" t="s">
        <v>16</v>
      </c>
      <c r="G2360" s="20" t="s">
        <v>21</v>
      </c>
      <c r="H2360" s="14" t="s">
        <v>24</v>
      </c>
      <c r="I2360" s="22">
        <v>2023.0</v>
      </c>
      <c r="J2360" s="16" t="str">
        <f>IFERROR(__xludf.DUMMYFUNCTION("FILTER('CLASFICACIÓN'!$F$3:$F5618,'CLASFICACIÓN'!$G$3:$G5618=M2360)"),"LOS 3 AÑOS")</f>
        <v>LOS 3 AÑOS</v>
      </c>
      <c r="K2360" s="16"/>
      <c r="L2360" s="14" t="s">
        <v>139</v>
      </c>
      <c r="M2360" s="16" t="str">
        <f t="shared" si="1"/>
        <v>505476 Primaria</v>
      </c>
      <c r="N2360" s="17"/>
      <c r="O2360" s="17"/>
      <c r="P2360" s="17"/>
      <c r="Q2360" s="17"/>
      <c r="R2360" s="17"/>
      <c r="S2360" s="17"/>
      <c r="T2360" s="17"/>
    </row>
    <row r="2361">
      <c r="A2361" s="21">
        <v>1164.0</v>
      </c>
      <c r="B2361" s="20" t="s">
        <v>90</v>
      </c>
      <c r="C2361" s="20" t="s">
        <v>14</v>
      </c>
      <c r="D2361" s="20" t="s">
        <v>15</v>
      </c>
      <c r="E2361" s="12" t="str">
        <f>IFERROR(__xludf.DUMMYFUNCTION("FILTER(colegios!$B$2:$B5618,colegios!$A$2:$A5618=L2361)"),"50977")</f>
        <v>50977</v>
      </c>
      <c r="F2361" s="14" t="s">
        <v>16</v>
      </c>
      <c r="G2361" s="20" t="s">
        <v>21</v>
      </c>
      <c r="H2361" s="14" t="s">
        <v>18</v>
      </c>
      <c r="I2361" s="22">
        <v>2023.0</v>
      </c>
      <c r="J2361" s="16" t="str">
        <f>IFERROR(__xludf.DUMMYFUNCTION("FILTER('CLASFICACIÓN'!$F$3:$F5618,'CLASFICACIÓN'!$G$3:$G5618=M2361)"),"LOS 3 AÑOS")</f>
        <v>LOS 3 AÑOS</v>
      </c>
      <c r="K2361" s="16"/>
      <c r="L2361" s="14" t="s">
        <v>140</v>
      </c>
      <c r="M2361" s="16" t="str">
        <f t="shared" si="1"/>
        <v>509772 Primaria</v>
      </c>
      <c r="N2361" s="17"/>
      <c r="O2361" s="17"/>
      <c r="P2361" s="17"/>
      <c r="Q2361" s="17"/>
      <c r="R2361" s="17"/>
      <c r="S2361" s="17"/>
      <c r="T2361" s="17"/>
    </row>
    <row r="2362">
      <c r="A2362" s="21">
        <v>1165.0</v>
      </c>
      <c r="B2362" s="20" t="s">
        <v>90</v>
      </c>
      <c r="C2362" s="20" t="s">
        <v>14</v>
      </c>
      <c r="D2362" s="20" t="s">
        <v>15</v>
      </c>
      <c r="E2362" s="12" t="str">
        <f>IFERROR(__xludf.DUMMYFUNCTION("FILTER(colegios!$B$2:$B5618,colegios!$A$2:$A5618=L2362)"),"50977")</f>
        <v>50977</v>
      </c>
      <c r="F2362" s="14" t="s">
        <v>16</v>
      </c>
      <c r="G2362" s="20" t="s">
        <v>17</v>
      </c>
      <c r="H2362" s="14" t="s">
        <v>18</v>
      </c>
      <c r="I2362" s="22">
        <v>2023.0</v>
      </c>
      <c r="J2362" s="16" t="str">
        <f>IFERROR(__xludf.DUMMYFUNCTION("FILTER('CLASFICACIÓN'!$F$3:$F5618,'CLASFICACIÓN'!$G$3:$G5618=M2362)"),"LOS 3 AÑOS")</f>
        <v>LOS 3 AÑOS</v>
      </c>
      <c r="K2362" s="16"/>
      <c r="L2362" s="14" t="s">
        <v>140</v>
      </c>
      <c r="M2362" s="16" t="str">
        <f t="shared" si="1"/>
        <v>509772 Primaria</v>
      </c>
      <c r="N2362" s="17"/>
      <c r="O2362" s="17"/>
      <c r="P2362" s="17"/>
      <c r="Q2362" s="17"/>
      <c r="R2362" s="17"/>
      <c r="S2362" s="17"/>
      <c r="T2362" s="17"/>
    </row>
    <row r="2363">
      <c r="A2363" s="21">
        <v>1166.0</v>
      </c>
      <c r="B2363" s="20" t="s">
        <v>90</v>
      </c>
      <c r="C2363" s="20" t="s">
        <v>14</v>
      </c>
      <c r="D2363" s="20" t="s">
        <v>15</v>
      </c>
      <c r="E2363" s="12" t="str">
        <f>IFERROR(__xludf.DUMMYFUNCTION("FILTER(colegios!$B$2:$B5618,colegios!$A$2:$A5618=L2363)"),"50977")</f>
        <v>50977</v>
      </c>
      <c r="F2363" s="14" t="s">
        <v>16</v>
      </c>
      <c r="G2363" s="20" t="s">
        <v>21</v>
      </c>
      <c r="H2363" s="14" t="s">
        <v>24</v>
      </c>
      <c r="I2363" s="22">
        <v>2023.0</v>
      </c>
      <c r="J2363" s="16" t="str">
        <f>IFERROR(__xludf.DUMMYFUNCTION("FILTER('CLASFICACIÓN'!$F$3:$F5618,'CLASFICACIÓN'!$G$3:$G5618=M2363)"),"LOS 3 AÑOS")</f>
        <v>LOS 3 AÑOS</v>
      </c>
      <c r="K2363" s="16"/>
      <c r="L2363" s="14" t="s">
        <v>140</v>
      </c>
      <c r="M2363" s="16" t="str">
        <f t="shared" si="1"/>
        <v>509772 Primaria</v>
      </c>
      <c r="N2363" s="17"/>
      <c r="O2363" s="17"/>
      <c r="P2363" s="17"/>
      <c r="Q2363" s="17"/>
      <c r="R2363" s="17"/>
      <c r="S2363" s="17"/>
      <c r="T2363" s="17"/>
    </row>
    <row r="2364">
      <c r="A2364" s="21">
        <v>1167.0</v>
      </c>
      <c r="B2364" s="20" t="s">
        <v>90</v>
      </c>
      <c r="C2364" s="20" t="s">
        <v>14</v>
      </c>
      <c r="D2364" s="20" t="s">
        <v>15</v>
      </c>
      <c r="E2364" s="12" t="str">
        <f>IFERROR(__xludf.DUMMYFUNCTION("FILTER(colegios!$B$2:$B5618,colegios!$A$2:$A5618=L2364)"),"50977")</f>
        <v>50977</v>
      </c>
      <c r="F2364" s="14" t="s">
        <v>16</v>
      </c>
      <c r="G2364" s="20" t="s">
        <v>17</v>
      </c>
      <c r="H2364" s="14" t="s">
        <v>18</v>
      </c>
      <c r="I2364" s="22">
        <v>2023.0</v>
      </c>
      <c r="J2364" s="16" t="str">
        <f>IFERROR(__xludf.DUMMYFUNCTION("FILTER('CLASFICACIÓN'!$F$3:$F5618,'CLASFICACIÓN'!$G$3:$G5618=M2364)"),"LOS 3 AÑOS")</f>
        <v>LOS 3 AÑOS</v>
      </c>
      <c r="K2364" s="16"/>
      <c r="L2364" s="14" t="s">
        <v>140</v>
      </c>
      <c r="M2364" s="16" t="str">
        <f t="shared" si="1"/>
        <v>509772 Primaria</v>
      </c>
      <c r="N2364" s="17"/>
      <c r="O2364" s="17"/>
      <c r="P2364" s="17"/>
      <c r="Q2364" s="17"/>
      <c r="R2364" s="17"/>
      <c r="S2364" s="17"/>
      <c r="T2364" s="17"/>
    </row>
    <row r="2365">
      <c r="A2365" s="21">
        <v>1168.0</v>
      </c>
      <c r="B2365" s="20" t="s">
        <v>90</v>
      </c>
      <c r="C2365" s="20" t="s">
        <v>14</v>
      </c>
      <c r="D2365" s="20" t="s">
        <v>15</v>
      </c>
      <c r="E2365" s="12" t="str">
        <f>IFERROR(__xludf.DUMMYFUNCTION("FILTER(colegios!$B$2:$B5618,colegios!$A$2:$A5618=L2365)"),"50977")</f>
        <v>50977</v>
      </c>
      <c r="F2365" s="14" t="s">
        <v>16</v>
      </c>
      <c r="G2365" s="20" t="s">
        <v>21</v>
      </c>
      <c r="H2365" s="14" t="s">
        <v>18</v>
      </c>
      <c r="I2365" s="22">
        <v>2023.0</v>
      </c>
      <c r="J2365" s="16" t="str">
        <f>IFERROR(__xludf.DUMMYFUNCTION("FILTER('CLASFICACIÓN'!$F$3:$F5618,'CLASFICACIÓN'!$G$3:$G5618=M2365)"),"LOS 3 AÑOS")</f>
        <v>LOS 3 AÑOS</v>
      </c>
      <c r="K2365" s="16"/>
      <c r="L2365" s="14" t="s">
        <v>140</v>
      </c>
      <c r="M2365" s="16" t="str">
        <f t="shared" si="1"/>
        <v>509772 Primaria</v>
      </c>
      <c r="N2365" s="17"/>
      <c r="O2365" s="17"/>
      <c r="P2365" s="17"/>
      <c r="Q2365" s="17"/>
      <c r="R2365" s="17"/>
      <c r="S2365" s="17"/>
      <c r="T2365" s="17"/>
    </row>
    <row r="2366">
      <c r="A2366" s="21">
        <v>1169.0</v>
      </c>
      <c r="B2366" s="20" t="s">
        <v>90</v>
      </c>
      <c r="C2366" s="20" t="s">
        <v>14</v>
      </c>
      <c r="D2366" s="20" t="s">
        <v>20</v>
      </c>
      <c r="E2366" s="12" t="str">
        <f>IFERROR(__xludf.DUMMYFUNCTION("FILTER(colegios!$B$2:$B5618,colegios!$A$2:$A5618=L2366)"),"50977")</f>
        <v>50977</v>
      </c>
      <c r="F2366" s="14" t="s">
        <v>16</v>
      </c>
      <c r="G2366" s="20" t="s">
        <v>17</v>
      </c>
      <c r="H2366" s="14" t="s">
        <v>18</v>
      </c>
      <c r="I2366" s="22">
        <v>2023.0</v>
      </c>
      <c r="J2366" s="16" t="str">
        <f>IFERROR(__xludf.DUMMYFUNCTION("FILTER('CLASFICACIÓN'!$F$3:$F5618,'CLASFICACIÓN'!$G$3:$G5618=M2366)"),"LOS 3 AÑOS")</f>
        <v>LOS 3 AÑOS</v>
      </c>
      <c r="K2366" s="16"/>
      <c r="L2366" s="14" t="s">
        <v>140</v>
      </c>
      <c r="M2366" s="16" t="str">
        <f t="shared" si="1"/>
        <v>509774 Primaria</v>
      </c>
      <c r="N2366" s="17"/>
      <c r="O2366" s="17">
        <f>1527-1441</f>
        <v>86</v>
      </c>
      <c r="P2366" s="17"/>
      <c r="Q2366" s="17"/>
      <c r="R2366" s="17"/>
      <c r="S2366" s="17"/>
      <c r="T2366" s="17"/>
    </row>
    <row r="2367">
      <c r="A2367" s="21">
        <v>1170.0</v>
      </c>
      <c r="B2367" s="20" t="s">
        <v>90</v>
      </c>
      <c r="C2367" s="20" t="s">
        <v>14</v>
      </c>
      <c r="D2367" s="20" t="s">
        <v>20</v>
      </c>
      <c r="E2367" s="12" t="str">
        <f>IFERROR(__xludf.DUMMYFUNCTION("FILTER(colegios!$B$2:$B5618,colegios!$A$2:$A5618=L2367)"),"50977")</f>
        <v>50977</v>
      </c>
      <c r="F2367" s="14" t="s">
        <v>16</v>
      </c>
      <c r="G2367" s="20" t="s">
        <v>17</v>
      </c>
      <c r="H2367" s="14" t="s">
        <v>32</v>
      </c>
      <c r="I2367" s="22">
        <v>2023.0</v>
      </c>
      <c r="J2367" s="16" t="str">
        <f>IFERROR(__xludf.DUMMYFUNCTION("FILTER('CLASFICACIÓN'!$F$3:$F5618,'CLASFICACIÓN'!$G$3:$G5618=M2367)"),"LOS 3 AÑOS")</f>
        <v>LOS 3 AÑOS</v>
      </c>
      <c r="K2367" s="16"/>
      <c r="L2367" s="14" t="s">
        <v>140</v>
      </c>
      <c r="M2367" s="16" t="str">
        <f t="shared" si="1"/>
        <v>509774 Primaria</v>
      </c>
      <c r="N2367" s="17"/>
      <c r="O2367" s="17"/>
      <c r="P2367" s="17"/>
      <c r="Q2367" s="17"/>
      <c r="R2367" s="17"/>
      <c r="S2367" s="17"/>
      <c r="T2367" s="17"/>
    </row>
    <row r="2368">
      <c r="A2368" s="21">
        <v>1171.0</v>
      </c>
      <c r="B2368" s="20" t="s">
        <v>90</v>
      </c>
      <c r="C2368" s="20" t="s">
        <v>14</v>
      </c>
      <c r="D2368" s="20" t="s">
        <v>20</v>
      </c>
      <c r="E2368" s="12" t="str">
        <f>IFERROR(__xludf.DUMMYFUNCTION("FILTER(colegios!$B$2:$B5618,colegios!$A$2:$A5618=L2368)"),"50977")</f>
        <v>50977</v>
      </c>
      <c r="F2368" s="14" t="s">
        <v>16</v>
      </c>
      <c r="G2368" s="20" t="s">
        <v>17</v>
      </c>
      <c r="H2368" s="14" t="s">
        <v>24</v>
      </c>
      <c r="I2368" s="22">
        <v>2023.0</v>
      </c>
      <c r="J2368" s="16" t="str">
        <f>IFERROR(__xludf.DUMMYFUNCTION("FILTER('CLASFICACIÓN'!$F$3:$F5618,'CLASFICACIÓN'!$G$3:$G5618=M2368)"),"LOS 3 AÑOS")</f>
        <v>LOS 3 AÑOS</v>
      </c>
      <c r="K2368" s="16"/>
      <c r="L2368" s="14" t="s">
        <v>140</v>
      </c>
      <c r="M2368" s="16" t="str">
        <f t="shared" si="1"/>
        <v>509774 Primaria</v>
      </c>
      <c r="N2368" s="17"/>
      <c r="O2368" s="17"/>
      <c r="P2368" s="17"/>
      <c r="Q2368" s="17"/>
      <c r="R2368" s="17"/>
      <c r="S2368" s="17"/>
      <c r="T2368" s="17"/>
    </row>
    <row r="2369">
      <c r="A2369" s="21">
        <v>1172.0</v>
      </c>
      <c r="B2369" s="20" t="s">
        <v>90</v>
      </c>
      <c r="C2369" s="20" t="s">
        <v>14</v>
      </c>
      <c r="D2369" s="20" t="s">
        <v>20</v>
      </c>
      <c r="E2369" s="12" t="str">
        <f>IFERROR(__xludf.DUMMYFUNCTION("FILTER(colegios!$B$2:$B5618,colegios!$A$2:$A5618=L2369)"),"50977")</f>
        <v>50977</v>
      </c>
      <c r="F2369" s="14" t="s">
        <v>16</v>
      </c>
      <c r="G2369" s="20" t="s">
        <v>21</v>
      </c>
      <c r="H2369" s="14" t="s">
        <v>18</v>
      </c>
      <c r="I2369" s="22">
        <v>2023.0</v>
      </c>
      <c r="J2369" s="16" t="str">
        <f>IFERROR(__xludf.DUMMYFUNCTION("FILTER('CLASFICACIÓN'!$F$3:$F5618,'CLASFICACIÓN'!$G$3:$G5618=M2369)"),"LOS 3 AÑOS")</f>
        <v>LOS 3 AÑOS</v>
      </c>
      <c r="K2369" s="16"/>
      <c r="L2369" s="14" t="s">
        <v>140</v>
      </c>
      <c r="M2369" s="16" t="str">
        <f t="shared" si="1"/>
        <v>509774 Primaria</v>
      </c>
      <c r="N2369" s="17"/>
      <c r="O2369" s="17"/>
      <c r="P2369" s="17"/>
      <c r="Q2369" s="17"/>
      <c r="R2369" s="17"/>
      <c r="S2369" s="17"/>
      <c r="T2369" s="17"/>
    </row>
    <row r="2370">
      <c r="A2370" s="21">
        <v>1173.0</v>
      </c>
      <c r="B2370" s="20" t="s">
        <v>90</v>
      </c>
      <c r="C2370" s="20" t="s">
        <v>14</v>
      </c>
      <c r="D2370" s="20" t="s">
        <v>20</v>
      </c>
      <c r="E2370" s="12" t="str">
        <f>IFERROR(__xludf.DUMMYFUNCTION("FILTER(colegios!$B$2:$B5618,colegios!$A$2:$A5618=L2370)"),"50977")</f>
        <v>50977</v>
      </c>
      <c r="F2370" s="14" t="s">
        <v>16</v>
      </c>
      <c r="G2370" s="20" t="s">
        <v>17</v>
      </c>
      <c r="H2370" s="14" t="s">
        <v>24</v>
      </c>
      <c r="I2370" s="22">
        <v>2023.0</v>
      </c>
      <c r="J2370" s="16" t="str">
        <f>IFERROR(__xludf.DUMMYFUNCTION("FILTER('CLASFICACIÓN'!$F$3:$F5618,'CLASFICACIÓN'!$G$3:$G5618=M2370)"),"LOS 3 AÑOS")</f>
        <v>LOS 3 AÑOS</v>
      </c>
      <c r="K2370" s="16"/>
      <c r="L2370" s="14" t="s">
        <v>140</v>
      </c>
      <c r="M2370" s="16" t="str">
        <f t="shared" si="1"/>
        <v>509774 Primaria</v>
      </c>
      <c r="N2370" s="17"/>
      <c r="O2370" s="17"/>
      <c r="P2370" s="17"/>
      <c r="Q2370" s="17"/>
      <c r="R2370" s="17"/>
      <c r="S2370" s="17"/>
      <c r="T2370" s="17"/>
    </row>
    <row r="2371">
      <c r="A2371" s="21">
        <v>1174.0</v>
      </c>
      <c r="B2371" s="20" t="s">
        <v>90</v>
      </c>
      <c r="C2371" s="20" t="s">
        <v>14</v>
      </c>
      <c r="D2371" s="20" t="s">
        <v>20</v>
      </c>
      <c r="E2371" s="12" t="str">
        <f>IFERROR(__xludf.DUMMYFUNCTION("FILTER(colegios!$B$2:$B5618,colegios!$A$2:$A5618=L2371)"),"50977")</f>
        <v>50977</v>
      </c>
      <c r="F2371" s="14" t="s">
        <v>16</v>
      </c>
      <c r="G2371" s="20" t="s">
        <v>21</v>
      </c>
      <c r="H2371" s="14" t="s">
        <v>18</v>
      </c>
      <c r="I2371" s="22">
        <v>2023.0</v>
      </c>
      <c r="J2371" s="16" t="str">
        <f>IFERROR(__xludf.DUMMYFUNCTION("FILTER('CLASFICACIÓN'!$F$3:$F5618,'CLASFICACIÓN'!$G$3:$G5618=M2371)"),"LOS 3 AÑOS")</f>
        <v>LOS 3 AÑOS</v>
      </c>
      <c r="K2371" s="16"/>
      <c r="L2371" s="14" t="s">
        <v>140</v>
      </c>
      <c r="M2371" s="16" t="str">
        <f t="shared" si="1"/>
        <v>509774 Primaria</v>
      </c>
      <c r="N2371" s="17"/>
      <c r="O2371" s="17"/>
      <c r="P2371" s="17"/>
      <c r="Q2371" s="17"/>
      <c r="R2371" s="17"/>
      <c r="S2371" s="17"/>
      <c r="T2371" s="17"/>
    </row>
    <row r="2372">
      <c r="A2372" s="21">
        <v>1175.0</v>
      </c>
      <c r="B2372" s="20" t="s">
        <v>90</v>
      </c>
      <c r="C2372" s="20" t="s">
        <v>14</v>
      </c>
      <c r="D2372" s="20" t="s">
        <v>20</v>
      </c>
      <c r="E2372" s="12" t="str">
        <f>IFERROR(__xludf.DUMMYFUNCTION("FILTER(colegios!$B$2:$B5618,colegios!$A$2:$A5618=L2372)"),"50977")</f>
        <v>50977</v>
      </c>
      <c r="F2372" s="14" t="s">
        <v>16</v>
      </c>
      <c r="G2372" s="20" t="s">
        <v>17</v>
      </c>
      <c r="H2372" s="14" t="s">
        <v>18</v>
      </c>
      <c r="I2372" s="22">
        <v>2023.0</v>
      </c>
      <c r="J2372" s="16" t="str">
        <f>IFERROR(__xludf.DUMMYFUNCTION("FILTER('CLASFICACIÓN'!$F$3:$F5618,'CLASFICACIÓN'!$G$3:$G5618=M2372)"),"LOS 3 AÑOS")</f>
        <v>LOS 3 AÑOS</v>
      </c>
      <c r="K2372" s="16"/>
      <c r="L2372" s="14" t="s">
        <v>140</v>
      </c>
      <c r="M2372" s="16" t="str">
        <f t="shared" si="1"/>
        <v>509774 Primaria</v>
      </c>
      <c r="N2372" s="17"/>
      <c r="O2372" s="17"/>
      <c r="P2372" s="17"/>
      <c r="Q2372" s="17"/>
      <c r="R2372" s="17"/>
      <c r="S2372" s="17"/>
      <c r="T2372" s="17"/>
    </row>
    <row r="2373">
      <c r="A2373" s="21">
        <v>1176.0</v>
      </c>
      <c r="B2373" s="20" t="s">
        <v>90</v>
      </c>
      <c r="C2373" s="20" t="s">
        <v>14</v>
      </c>
      <c r="D2373" s="20" t="s">
        <v>20</v>
      </c>
      <c r="E2373" s="12" t="str">
        <f>IFERROR(__xludf.DUMMYFUNCTION("FILTER(colegios!$B$2:$B5618,colegios!$A$2:$A5618=L2373)"),"50977")</f>
        <v>50977</v>
      </c>
      <c r="F2373" s="14" t="s">
        <v>16</v>
      </c>
      <c r="G2373" s="20" t="s">
        <v>21</v>
      </c>
      <c r="H2373" s="14" t="s">
        <v>18</v>
      </c>
      <c r="I2373" s="22">
        <v>2023.0</v>
      </c>
      <c r="J2373" s="16" t="str">
        <f>IFERROR(__xludf.DUMMYFUNCTION("FILTER('CLASFICACIÓN'!$F$3:$F5618,'CLASFICACIÓN'!$G$3:$G5618=M2373)"),"LOS 3 AÑOS")</f>
        <v>LOS 3 AÑOS</v>
      </c>
      <c r="K2373" s="16"/>
      <c r="L2373" s="14" t="s">
        <v>140</v>
      </c>
      <c r="M2373" s="16" t="str">
        <f t="shared" si="1"/>
        <v>509774 Primaria</v>
      </c>
      <c r="N2373" s="17"/>
      <c r="O2373" s="17"/>
      <c r="P2373" s="17"/>
      <c r="Q2373" s="17"/>
      <c r="R2373" s="17"/>
      <c r="S2373" s="17"/>
      <c r="T2373" s="17"/>
    </row>
    <row r="2374">
      <c r="A2374" s="21">
        <v>1177.0</v>
      </c>
      <c r="B2374" s="20" t="s">
        <v>90</v>
      </c>
      <c r="C2374" s="20" t="s">
        <v>14</v>
      </c>
      <c r="D2374" s="20" t="s">
        <v>22</v>
      </c>
      <c r="E2374" s="12" t="str">
        <f>IFERROR(__xludf.DUMMYFUNCTION("FILTER(colegios!$B$2:$B5618,colegios!$A$2:$A5618=L2374)"),"50977")</f>
        <v>50977</v>
      </c>
      <c r="F2374" s="14" t="s">
        <v>16</v>
      </c>
      <c r="G2374" s="20" t="s">
        <v>17</v>
      </c>
      <c r="H2374" s="14" t="s">
        <v>18</v>
      </c>
      <c r="I2374" s="22">
        <v>2023.0</v>
      </c>
      <c r="J2374" s="16" t="str">
        <f>IFERROR(__xludf.DUMMYFUNCTION("FILTER('CLASFICACIÓN'!$F$3:$F5618,'CLASFICACIÓN'!$G$3:$G5618=M2374)"),"LOS 3 AÑOS")</f>
        <v>LOS 3 AÑOS</v>
      </c>
      <c r="K2374" s="16"/>
      <c r="L2374" s="14" t="s">
        <v>140</v>
      </c>
      <c r="M2374" s="16" t="str">
        <f t="shared" si="1"/>
        <v>509776 Primaria</v>
      </c>
      <c r="N2374" s="17"/>
      <c r="O2374" s="17"/>
      <c r="P2374" s="17"/>
      <c r="Q2374" s="17"/>
      <c r="R2374" s="17"/>
      <c r="S2374" s="17"/>
      <c r="T2374" s="17"/>
    </row>
    <row r="2375">
      <c r="A2375" s="21">
        <v>1178.0</v>
      </c>
      <c r="B2375" s="20" t="s">
        <v>90</v>
      </c>
      <c r="C2375" s="20" t="s">
        <v>14</v>
      </c>
      <c r="D2375" s="20" t="s">
        <v>22</v>
      </c>
      <c r="E2375" s="12" t="str">
        <f>IFERROR(__xludf.DUMMYFUNCTION("FILTER(colegios!$B$2:$B5618,colegios!$A$2:$A5618=L2375)"),"50977")</f>
        <v>50977</v>
      </c>
      <c r="F2375" s="14" t="s">
        <v>16</v>
      </c>
      <c r="G2375" s="20" t="s">
        <v>21</v>
      </c>
      <c r="H2375" s="14" t="s">
        <v>24</v>
      </c>
      <c r="I2375" s="22">
        <v>2023.0</v>
      </c>
      <c r="J2375" s="16" t="str">
        <f>IFERROR(__xludf.DUMMYFUNCTION("FILTER('CLASFICACIÓN'!$F$3:$F5618,'CLASFICACIÓN'!$G$3:$G5618=M2375)"),"LOS 3 AÑOS")</f>
        <v>LOS 3 AÑOS</v>
      </c>
      <c r="K2375" s="16"/>
      <c r="L2375" s="14" t="s">
        <v>140</v>
      </c>
      <c r="M2375" s="16" t="str">
        <f t="shared" si="1"/>
        <v>509776 Primaria</v>
      </c>
      <c r="N2375" s="17"/>
      <c r="O2375" s="17"/>
      <c r="P2375" s="17"/>
      <c r="Q2375" s="17"/>
      <c r="R2375" s="17"/>
      <c r="S2375" s="17"/>
      <c r="T2375" s="17"/>
    </row>
    <row r="2376">
      <c r="A2376" s="21">
        <v>1179.0</v>
      </c>
      <c r="B2376" s="20" t="s">
        <v>90</v>
      </c>
      <c r="C2376" s="20" t="s">
        <v>14</v>
      </c>
      <c r="D2376" s="20" t="s">
        <v>22</v>
      </c>
      <c r="E2376" s="12" t="str">
        <f>IFERROR(__xludf.DUMMYFUNCTION("FILTER(colegios!$B$2:$B5618,colegios!$A$2:$A5618=L2376)"),"50977")</f>
        <v>50977</v>
      </c>
      <c r="F2376" s="14" t="s">
        <v>16</v>
      </c>
      <c r="G2376" s="20" t="s">
        <v>21</v>
      </c>
      <c r="H2376" s="14" t="s">
        <v>24</v>
      </c>
      <c r="I2376" s="22">
        <v>2023.0</v>
      </c>
      <c r="J2376" s="16" t="str">
        <f>IFERROR(__xludf.DUMMYFUNCTION("FILTER('CLASFICACIÓN'!$F$3:$F5618,'CLASFICACIÓN'!$G$3:$G5618=M2376)"),"LOS 3 AÑOS")</f>
        <v>LOS 3 AÑOS</v>
      </c>
      <c r="K2376" s="16"/>
      <c r="L2376" s="14" t="s">
        <v>140</v>
      </c>
      <c r="M2376" s="16" t="str">
        <f t="shared" si="1"/>
        <v>509776 Primaria</v>
      </c>
      <c r="N2376" s="17"/>
      <c r="O2376" s="17"/>
      <c r="P2376" s="17"/>
      <c r="Q2376" s="17"/>
      <c r="R2376" s="17"/>
      <c r="S2376" s="17"/>
      <c r="T2376" s="17"/>
    </row>
    <row r="2377">
      <c r="A2377" s="21">
        <v>1180.0</v>
      </c>
      <c r="B2377" s="20" t="s">
        <v>90</v>
      </c>
      <c r="C2377" s="20" t="s">
        <v>14</v>
      </c>
      <c r="D2377" s="20" t="s">
        <v>22</v>
      </c>
      <c r="E2377" s="12" t="str">
        <f>IFERROR(__xludf.DUMMYFUNCTION("FILTER(colegios!$B$2:$B5618,colegios!$A$2:$A5618=L2377)"),"50977")</f>
        <v>50977</v>
      </c>
      <c r="F2377" s="14" t="s">
        <v>16</v>
      </c>
      <c r="G2377" s="20" t="s">
        <v>21</v>
      </c>
      <c r="H2377" s="14" t="s">
        <v>24</v>
      </c>
      <c r="I2377" s="22">
        <v>2023.0</v>
      </c>
      <c r="J2377" s="16" t="str">
        <f>IFERROR(__xludf.DUMMYFUNCTION("FILTER('CLASFICACIÓN'!$F$3:$F5618,'CLASFICACIÓN'!$G$3:$G5618=M2377)"),"LOS 3 AÑOS")</f>
        <v>LOS 3 AÑOS</v>
      </c>
      <c r="K2377" s="16"/>
      <c r="L2377" s="14" t="s">
        <v>140</v>
      </c>
      <c r="M2377" s="16" t="str">
        <f t="shared" si="1"/>
        <v>509776 Primaria</v>
      </c>
      <c r="N2377" s="17"/>
      <c r="O2377" s="17"/>
      <c r="P2377" s="17"/>
      <c r="Q2377" s="17"/>
      <c r="R2377" s="17"/>
      <c r="S2377" s="17"/>
      <c r="T2377" s="17"/>
    </row>
    <row r="2378">
      <c r="A2378" s="21">
        <v>1181.0</v>
      </c>
      <c r="B2378" s="20" t="s">
        <v>90</v>
      </c>
      <c r="C2378" s="20" t="s">
        <v>14</v>
      </c>
      <c r="D2378" s="20" t="s">
        <v>22</v>
      </c>
      <c r="E2378" s="12" t="str">
        <f>IFERROR(__xludf.DUMMYFUNCTION("FILTER(colegios!$B$2:$B5618,colegios!$A$2:$A5618=L2378)"),"50977")</f>
        <v>50977</v>
      </c>
      <c r="F2378" s="14" t="s">
        <v>16</v>
      </c>
      <c r="G2378" s="20" t="s">
        <v>21</v>
      </c>
      <c r="H2378" s="14" t="s">
        <v>18</v>
      </c>
      <c r="I2378" s="22">
        <v>2023.0</v>
      </c>
      <c r="J2378" s="16" t="str">
        <f>IFERROR(__xludf.DUMMYFUNCTION("FILTER('CLASFICACIÓN'!$F$3:$F5618,'CLASFICACIÓN'!$G$3:$G5618=M2378)"),"LOS 3 AÑOS")</f>
        <v>LOS 3 AÑOS</v>
      </c>
      <c r="K2378" s="16"/>
      <c r="L2378" s="14" t="s">
        <v>140</v>
      </c>
      <c r="M2378" s="16" t="str">
        <f t="shared" si="1"/>
        <v>509776 Primaria</v>
      </c>
      <c r="N2378" s="17"/>
      <c r="O2378" s="17"/>
      <c r="P2378" s="17"/>
      <c r="Q2378" s="17"/>
      <c r="R2378" s="17"/>
      <c r="S2378" s="17"/>
      <c r="T2378" s="17"/>
    </row>
    <row r="2379">
      <c r="A2379" s="21">
        <v>1182.0</v>
      </c>
      <c r="B2379" s="20" t="s">
        <v>90</v>
      </c>
      <c r="C2379" s="20" t="s">
        <v>14</v>
      </c>
      <c r="D2379" s="20" t="s">
        <v>22</v>
      </c>
      <c r="E2379" s="12" t="str">
        <f>IFERROR(__xludf.DUMMYFUNCTION("FILTER(colegios!$B$2:$B5618,colegios!$A$2:$A5618=L2379)"),"50977")</f>
        <v>50977</v>
      </c>
      <c r="F2379" s="14" t="s">
        <v>16</v>
      </c>
      <c r="G2379" s="20" t="s">
        <v>17</v>
      </c>
      <c r="H2379" s="14" t="s">
        <v>32</v>
      </c>
      <c r="I2379" s="22">
        <v>2023.0</v>
      </c>
      <c r="J2379" s="16" t="str">
        <f>IFERROR(__xludf.DUMMYFUNCTION("FILTER('CLASFICACIÓN'!$F$3:$F5618,'CLASFICACIÓN'!$G$3:$G5618=M2379)"),"LOS 3 AÑOS")</f>
        <v>LOS 3 AÑOS</v>
      </c>
      <c r="K2379" s="16"/>
      <c r="L2379" s="14" t="s">
        <v>140</v>
      </c>
      <c r="M2379" s="16" t="str">
        <f t="shared" si="1"/>
        <v>509776 Primaria</v>
      </c>
      <c r="N2379" s="17"/>
      <c r="O2379" s="17"/>
      <c r="P2379" s="17"/>
      <c r="Q2379" s="17"/>
      <c r="R2379" s="17"/>
      <c r="S2379" s="17"/>
      <c r="T2379" s="17"/>
    </row>
    <row r="2380">
      <c r="A2380" s="21">
        <v>1183.0</v>
      </c>
      <c r="B2380" s="20" t="s">
        <v>90</v>
      </c>
      <c r="C2380" s="20" t="s">
        <v>14</v>
      </c>
      <c r="D2380" s="20" t="s">
        <v>22</v>
      </c>
      <c r="E2380" s="12" t="str">
        <f>IFERROR(__xludf.DUMMYFUNCTION("FILTER(colegios!$B$2:$B5618,colegios!$A$2:$A5618=L2380)"),"50977")</f>
        <v>50977</v>
      </c>
      <c r="F2380" s="14" t="s">
        <v>16</v>
      </c>
      <c r="G2380" s="20" t="s">
        <v>17</v>
      </c>
      <c r="H2380" s="14" t="s">
        <v>24</v>
      </c>
      <c r="I2380" s="22">
        <v>2023.0</v>
      </c>
      <c r="J2380" s="16" t="str">
        <f>IFERROR(__xludf.DUMMYFUNCTION("FILTER('CLASFICACIÓN'!$F$3:$F5618,'CLASFICACIÓN'!$G$3:$G5618=M2380)"),"LOS 3 AÑOS")</f>
        <v>LOS 3 AÑOS</v>
      </c>
      <c r="K2380" s="16"/>
      <c r="L2380" s="14" t="s">
        <v>140</v>
      </c>
      <c r="M2380" s="16" t="str">
        <f t="shared" si="1"/>
        <v>509776 Primaria</v>
      </c>
      <c r="N2380" s="17"/>
      <c r="O2380" s="17"/>
      <c r="P2380" s="17"/>
      <c r="Q2380" s="17"/>
      <c r="R2380" s="17"/>
      <c r="S2380" s="17"/>
      <c r="T2380" s="17"/>
    </row>
    <row r="2381">
      <c r="A2381" s="21">
        <v>1184.0</v>
      </c>
      <c r="B2381" s="20" t="s">
        <v>90</v>
      </c>
      <c r="C2381" s="20" t="s">
        <v>14</v>
      </c>
      <c r="D2381" s="20" t="s">
        <v>22</v>
      </c>
      <c r="E2381" s="12" t="str">
        <f>IFERROR(__xludf.DUMMYFUNCTION("FILTER(colegios!$B$2:$B5618,colegios!$A$2:$A5618=L2381)"),"50977")</f>
        <v>50977</v>
      </c>
      <c r="F2381" s="14" t="s">
        <v>16</v>
      </c>
      <c r="G2381" s="20" t="s">
        <v>21</v>
      </c>
      <c r="H2381" s="14" t="s">
        <v>24</v>
      </c>
      <c r="I2381" s="22">
        <v>2023.0</v>
      </c>
      <c r="J2381" s="16" t="str">
        <f>IFERROR(__xludf.DUMMYFUNCTION("FILTER('CLASFICACIÓN'!$F$3:$F5618,'CLASFICACIÓN'!$G$3:$G5618=M2381)"),"LOS 3 AÑOS")</f>
        <v>LOS 3 AÑOS</v>
      </c>
      <c r="K2381" s="16"/>
      <c r="L2381" s="14" t="s">
        <v>140</v>
      </c>
      <c r="M2381" s="16" t="str">
        <f t="shared" si="1"/>
        <v>509776 Primaria</v>
      </c>
      <c r="N2381" s="17"/>
      <c r="O2381" s="17"/>
      <c r="P2381" s="17"/>
      <c r="Q2381" s="17"/>
      <c r="R2381" s="17"/>
      <c r="S2381" s="17"/>
      <c r="T2381" s="17"/>
    </row>
    <row r="2382">
      <c r="A2382" s="21">
        <v>1185.0</v>
      </c>
      <c r="B2382" s="20" t="s">
        <v>90</v>
      </c>
      <c r="C2382" s="20" t="s">
        <v>14</v>
      </c>
      <c r="D2382" s="20" t="s">
        <v>22</v>
      </c>
      <c r="E2382" s="12" t="str">
        <f>IFERROR(__xludf.DUMMYFUNCTION("FILTER(colegios!$B$2:$B5618,colegios!$A$2:$A5618=L2382)"),"50977")</f>
        <v>50977</v>
      </c>
      <c r="F2382" s="14" t="s">
        <v>16</v>
      </c>
      <c r="G2382" s="20" t="s">
        <v>17</v>
      </c>
      <c r="H2382" s="14" t="s">
        <v>18</v>
      </c>
      <c r="I2382" s="22">
        <v>2023.0</v>
      </c>
      <c r="J2382" s="16" t="str">
        <f>IFERROR(__xludf.DUMMYFUNCTION("FILTER('CLASFICACIÓN'!$F$3:$F5618,'CLASFICACIÓN'!$G$3:$G5618=M2382)"),"LOS 3 AÑOS")</f>
        <v>LOS 3 AÑOS</v>
      </c>
      <c r="K2382" s="16"/>
      <c r="L2382" s="14" t="s">
        <v>140</v>
      </c>
      <c r="M2382" s="16" t="str">
        <f t="shared" si="1"/>
        <v>509776 Primaria</v>
      </c>
      <c r="N2382" s="17"/>
      <c r="O2382" s="17"/>
      <c r="P2382" s="17"/>
      <c r="Q2382" s="17"/>
      <c r="R2382" s="17"/>
      <c r="S2382" s="17"/>
      <c r="T2382" s="17"/>
    </row>
    <row r="2383">
      <c r="A2383" s="21">
        <v>1186.0</v>
      </c>
      <c r="B2383" s="20" t="s">
        <v>90</v>
      </c>
      <c r="C2383" s="20" t="s">
        <v>14</v>
      </c>
      <c r="D2383" s="20" t="s">
        <v>15</v>
      </c>
      <c r="E2383" s="12" t="str">
        <f>IFERROR(__xludf.DUMMYFUNCTION("FILTER(colegios!$B$2:$B5618,colegios!$A$2:$A5618=L2383)"),"50495")</f>
        <v>50495</v>
      </c>
      <c r="F2383" s="14" t="s">
        <v>16</v>
      </c>
      <c r="G2383" s="20" t="s">
        <v>17</v>
      </c>
      <c r="H2383" s="14" t="s">
        <v>18</v>
      </c>
      <c r="I2383" s="22">
        <v>2023.0</v>
      </c>
      <c r="J2383" s="16" t="str">
        <f>IFERROR(__xludf.DUMMYFUNCTION("FILTER('CLASFICACIÓN'!$F$3:$F5618,'CLASFICACIÓN'!$G$3:$G5618=M2383)"),"LOS 3 AÑOS")</f>
        <v>LOS 3 AÑOS</v>
      </c>
      <c r="K2383" s="16"/>
      <c r="L2383" s="14" t="s">
        <v>141</v>
      </c>
      <c r="M2383" s="16" t="str">
        <f t="shared" si="1"/>
        <v>504952 Primaria</v>
      </c>
      <c r="N2383" s="17"/>
      <c r="O2383" s="17"/>
      <c r="P2383" s="17"/>
      <c r="Q2383" s="17"/>
      <c r="R2383" s="17"/>
      <c r="S2383" s="17"/>
      <c r="T2383" s="17"/>
    </row>
    <row r="2384">
      <c r="A2384" s="21">
        <v>1187.0</v>
      </c>
      <c r="B2384" s="20" t="s">
        <v>90</v>
      </c>
      <c r="C2384" s="20" t="s">
        <v>14</v>
      </c>
      <c r="D2384" s="20" t="s">
        <v>15</v>
      </c>
      <c r="E2384" s="12" t="str">
        <f>IFERROR(__xludf.DUMMYFUNCTION("FILTER(colegios!$B$2:$B5618,colegios!$A$2:$A5618=L2384)"),"50495")</f>
        <v>50495</v>
      </c>
      <c r="F2384" s="14" t="s">
        <v>16</v>
      </c>
      <c r="G2384" s="20" t="s">
        <v>17</v>
      </c>
      <c r="H2384" s="14" t="s">
        <v>18</v>
      </c>
      <c r="I2384" s="22">
        <v>2023.0</v>
      </c>
      <c r="J2384" s="16" t="str">
        <f>IFERROR(__xludf.DUMMYFUNCTION("FILTER('CLASFICACIÓN'!$F$3:$F5618,'CLASFICACIÓN'!$G$3:$G5618=M2384)"),"LOS 3 AÑOS")</f>
        <v>LOS 3 AÑOS</v>
      </c>
      <c r="K2384" s="16"/>
      <c r="L2384" s="14" t="s">
        <v>141</v>
      </c>
      <c r="M2384" s="16" t="str">
        <f t="shared" si="1"/>
        <v>504952 Primaria</v>
      </c>
      <c r="N2384" s="17"/>
      <c r="O2384" s="17"/>
      <c r="P2384" s="17"/>
      <c r="Q2384" s="17"/>
      <c r="R2384" s="17"/>
      <c r="S2384" s="17"/>
      <c r="T2384" s="17"/>
    </row>
    <row r="2385">
      <c r="A2385" s="21">
        <v>1188.0</v>
      </c>
      <c r="B2385" s="20" t="s">
        <v>90</v>
      </c>
      <c r="C2385" s="20" t="s">
        <v>14</v>
      </c>
      <c r="D2385" s="20" t="s">
        <v>15</v>
      </c>
      <c r="E2385" s="12" t="str">
        <f>IFERROR(__xludf.DUMMYFUNCTION("FILTER(colegios!$B$2:$B5618,colegios!$A$2:$A5618=L2385)"),"50495")</f>
        <v>50495</v>
      </c>
      <c r="F2385" s="14" t="s">
        <v>16</v>
      </c>
      <c r="G2385" s="20" t="s">
        <v>17</v>
      </c>
      <c r="H2385" s="14" t="s">
        <v>24</v>
      </c>
      <c r="I2385" s="22">
        <v>2023.0</v>
      </c>
      <c r="J2385" s="16" t="str">
        <f>IFERROR(__xludf.DUMMYFUNCTION("FILTER('CLASFICACIÓN'!$F$3:$F5618,'CLASFICACIÓN'!$G$3:$G5618=M2385)"),"LOS 3 AÑOS")</f>
        <v>LOS 3 AÑOS</v>
      </c>
      <c r="K2385" s="16"/>
      <c r="L2385" s="14" t="s">
        <v>141</v>
      </c>
      <c r="M2385" s="16" t="str">
        <f t="shared" si="1"/>
        <v>504952 Primaria</v>
      </c>
      <c r="N2385" s="17"/>
      <c r="O2385" s="17"/>
      <c r="P2385" s="17"/>
      <c r="Q2385" s="17"/>
      <c r="R2385" s="17"/>
      <c r="S2385" s="17"/>
      <c r="T2385" s="17"/>
    </row>
    <row r="2386">
      <c r="A2386" s="21">
        <v>1189.0</v>
      </c>
      <c r="B2386" s="20" t="s">
        <v>90</v>
      </c>
      <c r="C2386" s="20" t="s">
        <v>14</v>
      </c>
      <c r="D2386" s="20" t="s">
        <v>15</v>
      </c>
      <c r="E2386" s="12" t="str">
        <f>IFERROR(__xludf.DUMMYFUNCTION("FILTER(colegios!$B$2:$B5618,colegios!$A$2:$A5618=L2386)"),"50495")</f>
        <v>50495</v>
      </c>
      <c r="F2386" s="14" t="s">
        <v>16</v>
      </c>
      <c r="G2386" s="20" t="s">
        <v>17</v>
      </c>
      <c r="H2386" s="14" t="s">
        <v>24</v>
      </c>
      <c r="I2386" s="22">
        <v>2023.0</v>
      </c>
      <c r="J2386" s="16" t="str">
        <f>IFERROR(__xludf.DUMMYFUNCTION("FILTER('CLASFICACIÓN'!$F$3:$F5618,'CLASFICACIÓN'!$G$3:$G5618=M2386)"),"LOS 3 AÑOS")</f>
        <v>LOS 3 AÑOS</v>
      </c>
      <c r="K2386" s="16"/>
      <c r="L2386" s="14" t="s">
        <v>141</v>
      </c>
      <c r="M2386" s="16" t="str">
        <f t="shared" si="1"/>
        <v>504952 Primaria</v>
      </c>
      <c r="N2386" s="17"/>
      <c r="O2386" s="17"/>
      <c r="P2386" s="17"/>
      <c r="Q2386" s="17"/>
      <c r="R2386" s="17"/>
      <c r="S2386" s="17"/>
      <c r="T2386" s="17"/>
    </row>
    <row r="2387">
      <c r="A2387" s="21">
        <v>1190.0</v>
      </c>
      <c r="B2387" s="20" t="s">
        <v>90</v>
      </c>
      <c r="C2387" s="20" t="s">
        <v>14</v>
      </c>
      <c r="D2387" s="20" t="s">
        <v>15</v>
      </c>
      <c r="E2387" s="12" t="str">
        <f>IFERROR(__xludf.DUMMYFUNCTION("FILTER(colegios!$B$2:$B5618,colegios!$A$2:$A5618=L2387)"),"50495")</f>
        <v>50495</v>
      </c>
      <c r="F2387" s="14" t="s">
        <v>16</v>
      </c>
      <c r="G2387" s="20" t="s">
        <v>21</v>
      </c>
      <c r="H2387" s="14" t="s">
        <v>18</v>
      </c>
      <c r="I2387" s="22">
        <v>2023.0</v>
      </c>
      <c r="J2387" s="16" t="str">
        <f>IFERROR(__xludf.DUMMYFUNCTION("FILTER('CLASFICACIÓN'!$F$3:$F5618,'CLASFICACIÓN'!$G$3:$G5618=M2387)"),"LOS 3 AÑOS")</f>
        <v>LOS 3 AÑOS</v>
      </c>
      <c r="K2387" s="16"/>
      <c r="L2387" s="14" t="s">
        <v>141</v>
      </c>
      <c r="M2387" s="16" t="str">
        <f t="shared" si="1"/>
        <v>504952 Primaria</v>
      </c>
      <c r="N2387" s="17"/>
      <c r="O2387" s="17"/>
      <c r="P2387" s="17"/>
      <c r="Q2387" s="17"/>
      <c r="R2387" s="17"/>
      <c r="S2387" s="17"/>
      <c r="T2387" s="17"/>
    </row>
    <row r="2388">
      <c r="A2388" s="21">
        <v>1191.0</v>
      </c>
      <c r="B2388" s="20" t="s">
        <v>90</v>
      </c>
      <c r="C2388" s="20" t="s">
        <v>14</v>
      </c>
      <c r="D2388" s="20" t="s">
        <v>15</v>
      </c>
      <c r="E2388" s="12" t="str">
        <f>IFERROR(__xludf.DUMMYFUNCTION("FILTER(colegios!$B$2:$B5618,colegios!$A$2:$A5618=L2388)"),"50495")</f>
        <v>50495</v>
      </c>
      <c r="F2388" s="14" t="s">
        <v>16</v>
      </c>
      <c r="G2388" s="20" t="s">
        <v>21</v>
      </c>
      <c r="H2388" s="14" t="s">
        <v>24</v>
      </c>
      <c r="I2388" s="22">
        <v>2023.0</v>
      </c>
      <c r="J2388" s="16" t="str">
        <f>IFERROR(__xludf.DUMMYFUNCTION("FILTER('CLASFICACIÓN'!$F$3:$F5618,'CLASFICACIÓN'!$G$3:$G5618=M2388)"),"LOS 3 AÑOS")</f>
        <v>LOS 3 AÑOS</v>
      </c>
      <c r="K2388" s="16"/>
      <c r="L2388" s="14" t="s">
        <v>141</v>
      </c>
      <c r="M2388" s="16" t="str">
        <f t="shared" si="1"/>
        <v>504952 Primaria</v>
      </c>
      <c r="N2388" s="17"/>
      <c r="O2388" s="17"/>
      <c r="P2388" s="17"/>
      <c r="Q2388" s="17"/>
      <c r="R2388" s="17"/>
      <c r="S2388" s="17"/>
      <c r="T2388" s="17"/>
    </row>
    <row r="2389">
      <c r="A2389" s="21">
        <v>1192.0</v>
      </c>
      <c r="B2389" s="20" t="s">
        <v>90</v>
      </c>
      <c r="C2389" s="20" t="s">
        <v>14</v>
      </c>
      <c r="D2389" s="20" t="s">
        <v>15</v>
      </c>
      <c r="E2389" s="12" t="str">
        <f>IFERROR(__xludf.DUMMYFUNCTION("FILTER(colegios!$B$2:$B5618,colegios!$A$2:$A5618=L2389)"),"50495")</f>
        <v>50495</v>
      </c>
      <c r="F2389" s="14" t="s">
        <v>16</v>
      </c>
      <c r="G2389" s="20" t="s">
        <v>17</v>
      </c>
      <c r="H2389" s="14" t="s">
        <v>18</v>
      </c>
      <c r="I2389" s="22">
        <v>2023.0</v>
      </c>
      <c r="J2389" s="16" t="str">
        <f>IFERROR(__xludf.DUMMYFUNCTION("FILTER('CLASFICACIÓN'!$F$3:$F5618,'CLASFICACIÓN'!$G$3:$G5618=M2389)"),"LOS 3 AÑOS")</f>
        <v>LOS 3 AÑOS</v>
      </c>
      <c r="K2389" s="16"/>
      <c r="L2389" s="14" t="s">
        <v>141</v>
      </c>
      <c r="M2389" s="16" t="str">
        <f t="shared" si="1"/>
        <v>504952 Primaria</v>
      </c>
      <c r="N2389" s="17"/>
      <c r="O2389" s="17"/>
      <c r="P2389" s="17"/>
      <c r="Q2389" s="17"/>
      <c r="R2389" s="17"/>
      <c r="S2389" s="17"/>
      <c r="T2389" s="17"/>
    </row>
    <row r="2390">
      <c r="A2390" s="21">
        <v>1193.0</v>
      </c>
      <c r="B2390" s="20" t="s">
        <v>90</v>
      </c>
      <c r="C2390" s="20" t="s">
        <v>14</v>
      </c>
      <c r="D2390" s="20" t="s">
        <v>15</v>
      </c>
      <c r="E2390" s="12" t="str">
        <f>IFERROR(__xludf.DUMMYFUNCTION("FILTER(colegios!$B$2:$B5618,colegios!$A$2:$A5618=L2390)"),"50495")</f>
        <v>50495</v>
      </c>
      <c r="F2390" s="14" t="s">
        <v>16</v>
      </c>
      <c r="G2390" s="20" t="s">
        <v>17</v>
      </c>
      <c r="H2390" s="14" t="s">
        <v>24</v>
      </c>
      <c r="I2390" s="22">
        <v>2023.0</v>
      </c>
      <c r="J2390" s="16" t="str">
        <f>IFERROR(__xludf.DUMMYFUNCTION("FILTER('CLASFICACIÓN'!$F$3:$F5618,'CLASFICACIÓN'!$G$3:$G5618=M2390)"),"LOS 3 AÑOS")</f>
        <v>LOS 3 AÑOS</v>
      </c>
      <c r="K2390" s="16"/>
      <c r="L2390" s="14" t="s">
        <v>141</v>
      </c>
      <c r="M2390" s="16" t="str">
        <f t="shared" si="1"/>
        <v>504952 Primaria</v>
      </c>
      <c r="N2390" s="17"/>
      <c r="O2390" s="17"/>
      <c r="P2390" s="17"/>
      <c r="Q2390" s="17"/>
      <c r="R2390" s="17"/>
      <c r="S2390" s="17"/>
      <c r="T2390" s="17"/>
    </row>
    <row r="2391">
      <c r="A2391" s="21">
        <v>1194.0</v>
      </c>
      <c r="B2391" s="20" t="s">
        <v>90</v>
      </c>
      <c r="C2391" s="20" t="s">
        <v>14</v>
      </c>
      <c r="D2391" s="20" t="s">
        <v>15</v>
      </c>
      <c r="E2391" s="12" t="str">
        <f>IFERROR(__xludf.DUMMYFUNCTION("FILTER(colegios!$B$2:$B5618,colegios!$A$2:$A5618=L2391)"),"50495")</f>
        <v>50495</v>
      </c>
      <c r="F2391" s="14" t="s">
        <v>16</v>
      </c>
      <c r="G2391" s="20" t="s">
        <v>17</v>
      </c>
      <c r="H2391" s="14" t="s">
        <v>24</v>
      </c>
      <c r="I2391" s="22">
        <v>2023.0</v>
      </c>
      <c r="J2391" s="16" t="str">
        <f>IFERROR(__xludf.DUMMYFUNCTION("FILTER('CLASFICACIÓN'!$F$3:$F5618,'CLASFICACIÓN'!$G$3:$G5618=M2391)"),"LOS 3 AÑOS")</f>
        <v>LOS 3 AÑOS</v>
      </c>
      <c r="K2391" s="16"/>
      <c r="L2391" s="14" t="s">
        <v>141</v>
      </c>
      <c r="M2391" s="16" t="str">
        <f t="shared" si="1"/>
        <v>504952 Primaria</v>
      </c>
      <c r="N2391" s="17"/>
      <c r="O2391" s="17"/>
      <c r="P2391" s="17"/>
      <c r="Q2391" s="17"/>
      <c r="R2391" s="17"/>
      <c r="S2391" s="17"/>
      <c r="T2391" s="17"/>
    </row>
    <row r="2392">
      <c r="A2392" s="21">
        <v>1195.0</v>
      </c>
      <c r="B2392" s="20" t="s">
        <v>90</v>
      </c>
      <c r="C2392" s="20" t="s">
        <v>14</v>
      </c>
      <c r="D2392" s="20" t="s">
        <v>20</v>
      </c>
      <c r="E2392" s="12" t="str">
        <f>IFERROR(__xludf.DUMMYFUNCTION("FILTER(colegios!$B$2:$B5618,colegios!$A$2:$A5618=L2392)"),"50495")</f>
        <v>50495</v>
      </c>
      <c r="F2392" s="14" t="s">
        <v>16</v>
      </c>
      <c r="G2392" s="20" t="s">
        <v>21</v>
      </c>
      <c r="H2392" s="14" t="s">
        <v>32</v>
      </c>
      <c r="I2392" s="22">
        <v>2023.0</v>
      </c>
      <c r="J2392" s="16" t="str">
        <f>IFERROR(__xludf.DUMMYFUNCTION("FILTER('CLASFICACIÓN'!$F$3:$F5618,'CLASFICACIÓN'!$G$3:$G5618=M2392)"),"LOS 3 AÑOS")</f>
        <v>LOS 3 AÑOS</v>
      </c>
      <c r="K2392" s="16"/>
      <c r="L2392" s="14" t="s">
        <v>141</v>
      </c>
      <c r="M2392" s="16" t="str">
        <f t="shared" si="1"/>
        <v>504954 Primaria</v>
      </c>
      <c r="N2392" s="17"/>
      <c r="O2392" s="17"/>
      <c r="P2392" s="17"/>
      <c r="Q2392" s="17"/>
      <c r="R2392" s="17"/>
      <c r="S2392" s="17"/>
      <c r="T2392" s="17"/>
    </row>
    <row r="2393">
      <c r="A2393" s="21">
        <v>1196.0</v>
      </c>
      <c r="B2393" s="20" t="s">
        <v>90</v>
      </c>
      <c r="C2393" s="20" t="s">
        <v>14</v>
      </c>
      <c r="D2393" s="20" t="s">
        <v>20</v>
      </c>
      <c r="E2393" s="12" t="str">
        <f>IFERROR(__xludf.DUMMYFUNCTION("FILTER(colegios!$B$2:$B5618,colegios!$A$2:$A5618=L2393)"),"50495")</f>
        <v>50495</v>
      </c>
      <c r="F2393" s="14" t="s">
        <v>16</v>
      </c>
      <c r="G2393" s="20" t="s">
        <v>21</v>
      </c>
      <c r="H2393" s="14" t="s">
        <v>32</v>
      </c>
      <c r="I2393" s="22">
        <v>2023.0</v>
      </c>
      <c r="J2393" s="16" t="str">
        <f>IFERROR(__xludf.DUMMYFUNCTION("FILTER('CLASFICACIÓN'!$F$3:$F5618,'CLASFICACIÓN'!$G$3:$G5618=M2393)"),"LOS 3 AÑOS")</f>
        <v>LOS 3 AÑOS</v>
      </c>
      <c r="K2393" s="16"/>
      <c r="L2393" s="14" t="s">
        <v>141</v>
      </c>
      <c r="M2393" s="16" t="str">
        <f t="shared" si="1"/>
        <v>504954 Primaria</v>
      </c>
      <c r="N2393" s="17"/>
      <c r="O2393" s="17"/>
      <c r="P2393" s="17"/>
      <c r="Q2393" s="17"/>
      <c r="R2393" s="17"/>
      <c r="S2393" s="17"/>
      <c r="T2393" s="17"/>
    </row>
    <row r="2394">
      <c r="A2394" s="21">
        <v>1197.0</v>
      </c>
      <c r="B2394" s="20" t="s">
        <v>90</v>
      </c>
      <c r="C2394" s="20" t="s">
        <v>14</v>
      </c>
      <c r="D2394" s="20" t="s">
        <v>20</v>
      </c>
      <c r="E2394" s="12" t="str">
        <f>IFERROR(__xludf.DUMMYFUNCTION("FILTER(colegios!$B$2:$B5618,colegios!$A$2:$A5618=L2394)"),"50495")</f>
        <v>50495</v>
      </c>
      <c r="F2394" s="14" t="s">
        <v>16</v>
      </c>
      <c r="G2394" s="20" t="s">
        <v>21</v>
      </c>
      <c r="H2394" s="14" t="s">
        <v>24</v>
      </c>
      <c r="I2394" s="22">
        <v>2023.0</v>
      </c>
      <c r="J2394" s="16" t="str">
        <f>IFERROR(__xludf.DUMMYFUNCTION("FILTER('CLASFICACIÓN'!$F$3:$F5618,'CLASFICACIÓN'!$G$3:$G5618=M2394)"),"LOS 3 AÑOS")</f>
        <v>LOS 3 AÑOS</v>
      </c>
      <c r="K2394" s="16"/>
      <c r="L2394" s="14" t="s">
        <v>141</v>
      </c>
      <c r="M2394" s="16" t="str">
        <f t="shared" si="1"/>
        <v>504954 Primaria</v>
      </c>
      <c r="N2394" s="17"/>
      <c r="O2394" s="17"/>
      <c r="P2394" s="17"/>
      <c r="Q2394" s="17"/>
      <c r="R2394" s="17"/>
      <c r="S2394" s="17"/>
      <c r="T2394" s="17"/>
    </row>
    <row r="2395">
      <c r="A2395" s="21">
        <v>1198.0</v>
      </c>
      <c r="B2395" s="20" t="s">
        <v>90</v>
      </c>
      <c r="C2395" s="20" t="s">
        <v>14</v>
      </c>
      <c r="D2395" s="20" t="s">
        <v>20</v>
      </c>
      <c r="E2395" s="12" t="str">
        <f>IFERROR(__xludf.DUMMYFUNCTION("FILTER(colegios!$B$2:$B5618,colegios!$A$2:$A5618=L2395)"),"50495")</f>
        <v>50495</v>
      </c>
      <c r="F2395" s="14" t="s">
        <v>16</v>
      </c>
      <c r="G2395" s="20" t="s">
        <v>17</v>
      </c>
      <c r="H2395" s="14" t="s">
        <v>18</v>
      </c>
      <c r="I2395" s="22">
        <v>2023.0</v>
      </c>
      <c r="J2395" s="16" t="str">
        <f>IFERROR(__xludf.DUMMYFUNCTION("FILTER('CLASFICACIÓN'!$F$3:$F5618,'CLASFICACIÓN'!$G$3:$G5618=M2395)"),"LOS 3 AÑOS")</f>
        <v>LOS 3 AÑOS</v>
      </c>
      <c r="K2395" s="16"/>
      <c r="L2395" s="14" t="s">
        <v>141</v>
      </c>
      <c r="M2395" s="16" t="str">
        <f t="shared" si="1"/>
        <v>504954 Primaria</v>
      </c>
      <c r="N2395" s="17"/>
      <c r="O2395" s="17"/>
      <c r="P2395" s="17"/>
      <c r="Q2395" s="17"/>
      <c r="R2395" s="17"/>
      <c r="S2395" s="17"/>
      <c r="T2395" s="17"/>
    </row>
    <row r="2396">
      <c r="A2396" s="21">
        <v>1199.0</v>
      </c>
      <c r="B2396" s="20" t="s">
        <v>90</v>
      </c>
      <c r="C2396" s="20" t="s">
        <v>14</v>
      </c>
      <c r="D2396" s="20" t="s">
        <v>20</v>
      </c>
      <c r="E2396" s="12" t="str">
        <f>IFERROR(__xludf.DUMMYFUNCTION("FILTER(colegios!$B$2:$B5618,colegios!$A$2:$A5618=L2396)"),"50495")</f>
        <v>50495</v>
      </c>
      <c r="F2396" s="14" t="s">
        <v>16</v>
      </c>
      <c r="G2396" s="20" t="s">
        <v>17</v>
      </c>
      <c r="H2396" s="14" t="s">
        <v>18</v>
      </c>
      <c r="I2396" s="22">
        <v>2023.0</v>
      </c>
      <c r="J2396" s="16" t="str">
        <f>IFERROR(__xludf.DUMMYFUNCTION("FILTER('CLASFICACIÓN'!$F$3:$F5618,'CLASFICACIÓN'!$G$3:$G5618=M2396)"),"LOS 3 AÑOS")</f>
        <v>LOS 3 AÑOS</v>
      </c>
      <c r="K2396" s="16"/>
      <c r="L2396" s="14" t="s">
        <v>141</v>
      </c>
      <c r="M2396" s="16" t="str">
        <f t="shared" si="1"/>
        <v>504954 Primaria</v>
      </c>
      <c r="N2396" s="17"/>
      <c r="O2396" s="17"/>
      <c r="P2396" s="17"/>
      <c r="Q2396" s="17"/>
      <c r="R2396" s="17"/>
      <c r="S2396" s="17"/>
      <c r="T2396" s="17"/>
    </row>
    <row r="2397">
      <c r="A2397" s="21">
        <v>1200.0</v>
      </c>
      <c r="B2397" s="20" t="s">
        <v>90</v>
      </c>
      <c r="C2397" s="20" t="s">
        <v>14</v>
      </c>
      <c r="D2397" s="20" t="s">
        <v>20</v>
      </c>
      <c r="E2397" s="12" t="str">
        <f>IFERROR(__xludf.DUMMYFUNCTION("FILTER(colegios!$B$2:$B5618,colegios!$A$2:$A5618=L2397)"),"50495")</f>
        <v>50495</v>
      </c>
      <c r="F2397" s="14" t="s">
        <v>16</v>
      </c>
      <c r="G2397" s="20" t="s">
        <v>17</v>
      </c>
      <c r="H2397" s="14" t="s">
        <v>24</v>
      </c>
      <c r="I2397" s="22">
        <v>2023.0</v>
      </c>
      <c r="J2397" s="16" t="str">
        <f>IFERROR(__xludf.DUMMYFUNCTION("FILTER('CLASFICACIÓN'!$F$3:$F5618,'CLASFICACIÓN'!$G$3:$G5618=M2397)"),"LOS 3 AÑOS")</f>
        <v>LOS 3 AÑOS</v>
      </c>
      <c r="K2397" s="16"/>
      <c r="L2397" s="14" t="s">
        <v>141</v>
      </c>
      <c r="M2397" s="16" t="str">
        <f t="shared" si="1"/>
        <v>504954 Primaria</v>
      </c>
      <c r="N2397" s="17"/>
      <c r="O2397" s="17"/>
      <c r="P2397" s="17"/>
      <c r="Q2397" s="17"/>
      <c r="R2397" s="17"/>
      <c r="S2397" s="17"/>
      <c r="T2397" s="17"/>
    </row>
    <row r="2398">
      <c r="A2398" s="21">
        <v>1201.0</v>
      </c>
      <c r="B2398" s="20" t="s">
        <v>90</v>
      </c>
      <c r="C2398" s="20" t="s">
        <v>14</v>
      </c>
      <c r="D2398" s="20" t="s">
        <v>20</v>
      </c>
      <c r="E2398" s="12" t="str">
        <f>IFERROR(__xludf.DUMMYFUNCTION("FILTER(colegios!$B$2:$B5618,colegios!$A$2:$A5618=L2398)"),"50495")</f>
        <v>50495</v>
      </c>
      <c r="F2398" s="14" t="s">
        <v>16</v>
      </c>
      <c r="G2398" s="20" t="s">
        <v>21</v>
      </c>
      <c r="H2398" s="14" t="s">
        <v>32</v>
      </c>
      <c r="I2398" s="22">
        <v>2023.0</v>
      </c>
      <c r="J2398" s="16" t="str">
        <f>IFERROR(__xludf.DUMMYFUNCTION("FILTER('CLASFICACIÓN'!$F$3:$F5618,'CLASFICACIÓN'!$G$3:$G5618=M2398)"),"LOS 3 AÑOS")</f>
        <v>LOS 3 AÑOS</v>
      </c>
      <c r="K2398" s="16"/>
      <c r="L2398" s="14" t="s">
        <v>141</v>
      </c>
      <c r="M2398" s="16" t="str">
        <f t="shared" si="1"/>
        <v>504954 Primaria</v>
      </c>
      <c r="N2398" s="17"/>
      <c r="O2398" s="17"/>
      <c r="P2398" s="17"/>
      <c r="Q2398" s="17"/>
      <c r="R2398" s="17"/>
      <c r="S2398" s="17"/>
      <c r="T2398" s="17"/>
    </row>
    <row r="2399">
      <c r="A2399" s="21">
        <v>1202.0</v>
      </c>
      <c r="B2399" s="20" t="s">
        <v>90</v>
      </c>
      <c r="C2399" s="20" t="s">
        <v>14</v>
      </c>
      <c r="D2399" s="20" t="s">
        <v>22</v>
      </c>
      <c r="E2399" s="12" t="str">
        <f>IFERROR(__xludf.DUMMYFUNCTION("FILTER(colegios!$B$2:$B5618,colegios!$A$2:$A5618=L2399)"),"50495")</f>
        <v>50495</v>
      </c>
      <c r="F2399" s="14" t="s">
        <v>16</v>
      </c>
      <c r="G2399" s="20" t="s">
        <v>17</v>
      </c>
      <c r="H2399" s="14" t="s">
        <v>24</v>
      </c>
      <c r="I2399" s="22">
        <v>2023.0</v>
      </c>
      <c r="J2399" s="16" t="str">
        <f>IFERROR(__xludf.DUMMYFUNCTION("FILTER('CLASFICACIÓN'!$F$3:$F5618,'CLASFICACIÓN'!$G$3:$G5618=M2399)"),"LOS 3 AÑOS")</f>
        <v>LOS 3 AÑOS</v>
      </c>
      <c r="K2399" s="16"/>
      <c r="L2399" s="14" t="s">
        <v>141</v>
      </c>
      <c r="M2399" s="16" t="str">
        <f t="shared" si="1"/>
        <v>504956 Primaria</v>
      </c>
      <c r="N2399" s="17"/>
      <c r="O2399" s="17"/>
      <c r="P2399" s="17"/>
      <c r="Q2399" s="17"/>
      <c r="R2399" s="17"/>
      <c r="S2399" s="17"/>
      <c r="T2399" s="17"/>
    </row>
    <row r="2400">
      <c r="A2400" s="21">
        <v>1203.0</v>
      </c>
      <c r="B2400" s="20" t="s">
        <v>90</v>
      </c>
      <c r="C2400" s="20" t="s">
        <v>14</v>
      </c>
      <c r="D2400" s="20" t="s">
        <v>22</v>
      </c>
      <c r="E2400" s="12" t="str">
        <f>IFERROR(__xludf.DUMMYFUNCTION("FILTER(colegios!$B$2:$B5618,colegios!$A$2:$A5618=L2400)"),"50495")</f>
        <v>50495</v>
      </c>
      <c r="F2400" s="14" t="s">
        <v>16</v>
      </c>
      <c r="G2400" s="20" t="s">
        <v>21</v>
      </c>
      <c r="H2400" s="14" t="s">
        <v>18</v>
      </c>
      <c r="I2400" s="22">
        <v>2023.0</v>
      </c>
      <c r="J2400" s="16" t="str">
        <f>IFERROR(__xludf.DUMMYFUNCTION("FILTER('CLASFICACIÓN'!$F$3:$F5618,'CLASFICACIÓN'!$G$3:$G5618=M2400)"),"LOS 3 AÑOS")</f>
        <v>LOS 3 AÑOS</v>
      </c>
      <c r="K2400" s="16"/>
      <c r="L2400" s="14" t="s">
        <v>141</v>
      </c>
      <c r="M2400" s="16" t="str">
        <f t="shared" si="1"/>
        <v>504956 Primaria</v>
      </c>
      <c r="N2400" s="17"/>
      <c r="O2400" s="17"/>
      <c r="P2400" s="17"/>
      <c r="Q2400" s="17"/>
      <c r="R2400" s="17"/>
      <c r="S2400" s="17"/>
      <c r="T2400" s="17"/>
    </row>
    <row r="2401">
      <c r="A2401" s="21">
        <v>1204.0</v>
      </c>
      <c r="B2401" s="20" t="s">
        <v>90</v>
      </c>
      <c r="C2401" s="20" t="s">
        <v>14</v>
      </c>
      <c r="D2401" s="20" t="s">
        <v>22</v>
      </c>
      <c r="E2401" s="12" t="str">
        <f>IFERROR(__xludf.DUMMYFUNCTION("FILTER(colegios!$B$2:$B5618,colegios!$A$2:$A5618=L2401)"),"50495")</f>
        <v>50495</v>
      </c>
      <c r="F2401" s="14" t="s">
        <v>16</v>
      </c>
      <c r="G2401" s="20" t="s">
        <v>21</v>
      </c>
      <c r="H2401" s="14" t="s">
        <v>32</v>
      </c>
      <c r="I2401" s="22">
        <v>2023.0</v>
      </c>
      <c r="J2401" s="16" t="str">
        <f>IFERROR(__xludf.DUMMYFUNCTION("FILTER('CLASFICACIÓN'!$F$3:$F5618,'CLASFICACIÓN'!$G$3:$G5618=M2401)"),"LOS 3 AÑOS")</f>
        <v>LOS 3 AÑOS</v>
      </c>
      <c r="K2401" s="16"/>
      <c r="L2401" s="14" t="s">
        <v>141</v>
      </c>
      <c r="M2401" s="16" t="str">
        <f t="shared" si="1"/>
        <v>504956 Primaria</v>
      </c>
      <c r="N2401" s="17"/>
      <c r="O2401" s="17"/>
      <c r="P2401" s="17"/>
      <c r="Q2401" s="17"/>
      <c r="R2401" s="17"/>
      <c r="S2401" s="17"/>
      <c r="T2401" s="17"/>
    </row>
    <row r="2402">
      <c r="A2402" s="21">
        <v>1205.0</v>
      </c>
      <c r="B2402" s="20" t="s">
        <v>90</v>
      </c>
      <c r="C2402" s="20" t="s">
        <v>14</v>
      </c>
      <c r="D2402" s="20" t="s">
        <v>22</v>
      </c>
      <c r="E2402" s="12" t="str">
        <f>IFERROR(__xludf.DUMMYFUNCTION("FILTER(colegios!$B$2:$B5618,colegios!$A$2:$A5618=L2402)"),"50495")</f>
        <v>50495</v>
      </c>
      <c r="F2402" s="14" t="s">
        <v>16</v>
      </c>
      <c r="G2402" s="20" t="s">
        <v>17</v>
      </c>
      <c r="H2402" s="14" t="s">
        <v>24</v>
      </c>
      <c r="I2402" s="22">
        <v>2023.0</v>
      </c>
      <c r="J2402" s="16" t="str">
        <f>IFERROR(__xludf.DUMMYFUNCTION("FILTER('CLASFICACIÓN'!$F$3:$F5618,'CLASFICACIÓN'!$G$3:$G5618=M2402)"),"LOS 3 AÑOS")</f>
        <v>LOS 3 AÑOS</v>
      </c>
      <c r="K2402" s="16"/>
      <c r="L2402" s="14" t="s">
        <v>141</v>
      </c>
      <c r="M2402" s="16" t="str">
        <f t="shared" si="1"/>
        <v>504956 Primaria</v>
      </c>
      <c r="N2402" s="17"/>
      <c r="O2402" s="17"/>
      <c r="P2402" s="17"/>
      <c r="Q2402" s="17"/>
      <c r="R2402" s="17"/>
      <c r="S2402" s="17"/>
      <c r="T2402" s="17"/>
    </row>
    <row r="2403">
      <c r="A2403" s="21">
        <v>1206.0</v>
      </c>
      <c r="B2403" s="20" t="s">
        <v>90</v>
      </c>
      <c r="C2403" s="20" t="s">
        <v>14</v>
      </c>
      <c r="D2403" s="20" t="s">
        <v>22</v>
      </c>
      <c r="E2403" s="12" t="str">
        <f>IFERROR(__xludf.DUMMYFUNCTION("FILTER(colegios!$B$2:$B5618,colegios!$A$2:$A5618=L2403)"),"50495")</f>
        <v>50495</v>
      </c>
      <c r="F2403" s="14" t="s">
        <v>16</v>
      </c>
      <c r="G2403" s="20" t="s">
        <v>17</v>
      </c>
      <c r="H2403" s="14" t="s">
        <v>24</v>
      </c>
      <c r="I2403" s="22">
        <v>2023.0</v>
      </c>
      <c r="J2403" s="16" t="str">
        <f>IFERROR(__xludf.DUMMYFUNCTION("FILTER('CLASFICACIÓN'!$F$3:$F5618,'CLASFICACIÓN'!$G$3:$G5618=M2403)"),"LOS 3 AÑOS")</f>
        <v>LOS 3 AÑOS</v>
      </c>
      <c r="K2403" s="16"/>
      <c r="L2403" s="14" t="s">
        <v>141</v>
      </c>
      <c r="M2403" s="16" t="str">
        <f t="shared" si="1"/>
        <v>504956 Primaria</v>
      </c>
      <c r="N2403" s="17"/>
      <c r="O2403" s="17"/>
      <c r="P2403" s="17"/>
      <c r="Q2403" s="17"/>
      <c r="R2403" s="17"/>
      <c r="S2403" s="17"/>
      <c r="T2403" s="17"/>
    </row>
    <row r="2404">
      <c r="A2404" s="21">
        <v>1207.0</v>
      </c>
      <c r="B2404" s="20" t="s">
        <v>90</v>
      </c>
      <c r="C2404" s="20" t="s">
        <v>14</v>
      </c>
      <c r="D2404" s="20" t="s">
        <v>22</v>
      </c>
      <c r="E2404" s="12" t="str">
        <f>IFERROR(__xludf.DUMMYFUNCTION("FILTER(colegios!$B$2:$B5618,colegios!$A$2:$A5618=L2404)"),"50495")</f>
        <v>50495</v>
      </c>
      <c r="F2404" s="14" t="s">
        <v>16</v>
      </c>
      <c r="G2404" s="20" t="s">
        <v>21</v>
      </c>
      <c r="H2404" s="14" t="s">
        <v>24</v>
      </c>
      <c r="I2404" s="22">
        <v>2023.0</v>
      </c>
      <c r="J2404" s="16" t="str">
        <f>IFERROR(__xludf.DUMMYFUNCTION("FILTER('CLASFICACIÓN'!$F$3:$F5618,'CLASFICACIÓN'!$G$3:$G5618=M2404)"),"LOS 3 AÑOS")</f>
        <v>LOS 3 AÑOS</v>
      </c>
      <c r="K2404" s="16"/>
      <c r="L2404" s="14" t="s">
        <v>141</v>
      </c>
      <c r="M2404" s="16" t="str">
        <f t="shared" si="1"/>
        <v>504956 Primaria</v>
      </c>
      <c r="N2404" s="17"/>
      <c r="O2404" s="17"/>
      <c r="P2404" s="17"/>
      <c r="Q2404" s="17"/>
      <c r="R2404" s="17"/>
      <c r="S2404" s="17"/>
      <c r="T2404" s="17"/>
    </row>
    <row r="2405">
      <c r="A2405" s="21">
        <v>1208.0</v>
      </c>
      <c r="B2405" s="20" t="s">
        <v>90</v>
      </c>
      <c r="C2405" s="20" t="s">
        <v>14</v>
      </c>
      <c r="D2405" s="20" t="s">
        <v>22</v>
      </c>
      <c r="E2405" s="12" t="str">
        <f>IFERROR(__xludf.DUMMYFUNCTION("FILTER(colegios!$B$2:$B5618,colegios!$A$2:$A5618=L2405)"),"50495")</f>
        <v>50495</v>
      </c>
      <c r="F2405" s="14" t="s">
        <v>16</v>
      </c>
      <c r="G2405" s="20" t="s">
        <v>21</v>
      </c>
      <c r="H2405" s="14" t="s">
        <v>24</v>
      </c>
      <c r="I2405" s="22">
        <v>2023.0</v>
      </c>
      <c r="J2405" s="16" t="str">
        <f>IFERROR(__xludf.DUMMYFUNCTION("FILTER('CLASFICACIÓN'!$F$3:$F5618,'CLASFICACIÓN'!$G$3:$G5618=M2405)"),"LOS 3 AÑOS")</f>
        <v>LOS 3 AÑOS</v>
      </c>
      <c r="K2405" s="16"/>
      <c r="L2405" s="14" t="s">
        <v>141</v>
      </c>
      <c r="M2405" s="16" t="str">
        <f t="shared" si="1"/>
        <v>504956 Primaria</v>
      </c>
      <c r="N2405" s="17"/>
      <c r="O2405" s="17"/>
      <c r="P2405" s="17"/>
      <c r="Q2405" s="17"/>
      <c r="R2405" s="17"/>
      <c r="S2405" s="17"/>
      <c r="T2405" s="17"/>
    </row>
    <row r="2406">
      <c r="A2406" s="21">
        <v>1209.0</v>
      </c>
      <c r="B2406" s="20" t="s">
        <v>90</v>
      </c>
      <c r="C2406" s="20" t="s">
        <v>14</v>
      </c>
      <c r="D2406" s="20" t="s">
        <v>22</v>
      </c>
      <c r="E2406" s="12" t="str">
        <f>IFERROR(__xludf.DUMMYFUNCTION("FILTER(colegios!$B$2:$B5618,colegios!$A$2:$A5618=L2406)"),"50495")</f>
        <v>50495</v>
      </c>
      <c r="F2406" s="14" t="s">
        <v>16</v>
      </c>
      <c r="G2406" s="20" t="s">
        <v>17</v>
      </c>
      <c r="H2406" s="14" t="s">
        <v>24</v>
      </c>
      <c r="I2406" s="22">
        <v>2023.0</v>
      </c>
      <c r="J2406" s="16" t="str">
        <f>IFERROR(__xludf.DUMMYFUNCTION("FILTER('CLASFICACIÓN'!$F$3:$F5618,'CLASFICACIÓN'!$G$3:$G5618=M2406)"),"LOS 3 AÑOS")</f>
        <v>LOS 3 AÑOS</v>
      </c>
      <c r="K2406" s="16"/>
      <c r="L2406" s="14" t="s">
        <v>141</v>
      </c>
      <c r="M2406" s="16" t="str">
        <f t="shared" si="1"/>
        <v>504956 Primaria</v>
      </c>
      <c r="N2406" s="17"/>
      <c r="O2406" s="17"/>
      <c r="P2406" s="17"/>
      <c r="Q2406" s="17"/>
      <c r="R2406" s="17"/>
      <c r="S2406" s="17"/>
      <c r="T2406" s="17"/>
    </row>
    <row r="2407">
      <c r="A2407" s="21">
        <v>1210.0</v>
      </c>
      <c r="B2407" s="20" t="s">
        <v>90</v>
      </c>
      <c r="C2407" s="20" t="s">
        <v>14</v>
      </c>
      <c r="D2407" s="20" t="s">
        <v>22</v>
      </c>
      <c r="E2407" s="12" t="str">
        <f>IFERROR(__xludf.DUMMYFUNCTION("FILTER(colegios!$B$2:$B5618,colegios!$A$2:$A5618=L2407)"),"50495")</f>
        <v>50495</v>
      </c>
      <c r="F2407" s="14" t="s">
        <v>16</v>
      </c>
      <c r="G2407" s="20" t="s">
        <v>17</v>
      </c>
      <c r="H2407" s="14" t="s">
        <v>24</v>
      </c>
      <c r="I2407" s="22">
        <v>2023.0</v>
      </c>
      <c r="J2407" s="16" t="str">
        <f>IFERROR(__xludf.DUMMYFUNCTION("FILTER('CLASFICACIÓN'!$F$3:$F5618,'CLASFICACIÓN'!$G$3:$G5618=M2407)"),"LOS 3 AÑOS")</f>
        <v>LOS 3 AÑOS</v>
      </c>
      <c r="K2407" s="16"/>
      <c r="L2407" s="14" t="s">
        <v>141</v>
      </c>
      <c r="M2407" s="16" t="str">
        <f t="shared" si="1"/>
        <v>504956 Primaria</v>
      </c>
      <c r="N2407" s="17"/>
      <c r="O2407" s="17"/>
      <c r="P2407" s="17"/>
      <c r="Q2407" s="17"/>
      <c r="R2407" s="17"/>
      <c r="S2407" s="17"/>
      <c r="T2407" s="17"/>
    </row>
    <row r="2408">
      <c r="A2408" s="21">
        <v>1211.0</v>
      </c>
      <c r="B2408" s="20" t="s">
        <v>90</v>
      </c>
      <c r="C2408" s="20" t="s">
        <v>14</v>
      </c>
      <c r="D2408" s="20" t="s">
        <v>15</v>
      </c>
      <c r="E2408" s="12" t="str">
        <f>IFERROR(__xludf.DUMMYFUNCTION("FILTER(colegios!$B$2:$B5618,colegios!$A$2:$A5618=L2408)"),"501455 CRISTO REY TTIKARIY")</f>
        <v>501455 CRISTO REY TTIKARIY</v>
      </c>
      <c r="F2408" s="14" t="s">
        <v>16</v>
      </c>
      <c r="G2408" s="20" t="s">
        <v>17</v>
      </c>
      <c r="H2408" s="14" t="s">
        <v>24</v>
      </c>
      <c r="I2408" s="22">
        <v>2023.0</v>
      </c>
      <c r="J2408" s="16" t="str">
        <f>IFERROR(__xludf.DUMMYFUNCTION("FILTER('CLASFICACIÓN'!$F$3:$F5618,'CLASFICACIÓN'!$G$3:$G5618=M2408)"),"LOS 3 AÑOS")</f>
        <v>LOS 3 AÑOS</v>
      </c>
      <c r="K2408" s="16"/>
      <c r="L2408" s="14" t="s">
        <v>142</v>
      </c>
      <c r="M2408" s="16" t="str">
        <f t="shared" si="1"/>
        <v>501455 CRISTO REY TTIKARIY2 Primaria</v>
      </c>
      <c r="N2408" s="17"/>
      <c r="O2408" s="17"/>
      <c r="P2408" s="17"/>
      <c r="Q2408" s="17"/>
      <c r="R2408" s="17"/>
      <c r="S2408" s="17"/>
      <c r="T2408" s="17"/>
    </row>
    <row r="2409">
      <c r="A2409" s="21">
        <v>1212.0</v>
      </c>
      <c r="B2409" s="20" t="s">
        <v>90</v>
      </c>
      <c r="C2409" s="20" t="s">
        <v>14</v>
      </c>
      <c r="D2409" s="20" t="s">
        <v>15</v>
      </c>
      <c r="E2409" s="12" t="str">
        <f>IFERROR(__xludf.DUMMYFUNCTION("FILTER(colegios!$B$2:$B5618,colegios!$A$2:$A5618=L2409)"),"501455 CRISTO REY TTIKARIY")</f>
        <v>501455 CRISTO REY TTIKARIY</v>
      </c>
      <c r="F2409" s="14" t="s">
        <v>16</v>
      </c>
      <c r="G2409" s="20" t="s">
        <v>17</v>
      </c>
      <c r="H2409" s="14" t="s">
        <v>18</v>
      </c>
      <c r="I2409" s="22">
        <v>2023.0</v>
      </c>
      <c r="J2409" s="16" t="str">
        <f>IFERROR(__xludf.DUMMYFUNCTION("FILTER('CLASFICACIÓN'!$F$3:$F5618,'CLASFICACIÓN'!$G$3:$G5618=M2409)"),"LOS 3 AÑOS")</f>
        <v>LOS 3 AÑOS</v>
      </c>
      <c r="K2409" s="16"/>
      <c r="L2409" s="14" t="s">
        <v>142</v>
      </c>
      <c r="M2409" s="16" t="str">
        <f t="shared" si="1"/>
        <v>501455 CRISTO REY TTIKARIY2 Primaria</v>
      </c>
      <c r="N2409" s="17"/>
      <c r="O2409" s="17"/>
      <c r="P2409" s="17"/>
      <c r="Q2409" s="17"/>
      <c r="R2409" s="17"/>
      <c r="S2409" s="17"/>
      <c r="T2409" s="17"/>
    </row>
    <row r="2410">
      <c r="A2410" s="21">
        <v>1213.0</v>
      </c>
      <c r="B2410" s="20" t="s">
        <v>90</v>
      </c>
      <c r="C2410" s="20" t="s">
        <v>14</v>
      </c>
      <c r="D2410" s="20" t="s">
        <v>15</v>
      </c>
      <c r="E2410" s="12" t="str">
        <f>IFERROR(__xludf.DUMMYFUNCTION("FILTER(colegios!$B$2:$B5618,colegios!$A$2:$A5618=L2410)"),"501455 CRISTO REY TTIKARIY")</f>
        <v>501455 CRISTO REY TTIKARIY</v>
      </c>
      <c r="F2410" s="14" t="s">
        <v>16</v>
      </c>
      <c r="G2410" s="20" t="s">
        <v>17</v>
      </c>
      <c r="H2410" s="14" t="s">
        <v>24</v>
      </c>
      <c r="I2410" s="22">
        <v>2023.0</v>
      </c>
      <c r="J2410" s="16" t="str">
        <f>IFERROR(__xludf.DUMMYFUNCTION("FILTER('CLASFICACIÓN'!$F$3:$F5618,'CLASFICACIÓN'!$G$3:$G5618=M2410)"),"LOS 3 AÑOS")</f>
        <v>LOS 3 AÑOS</v>
      </c>
      <c r="K2410" s="16"/>
      <c r="L2410" s="14" t="s">
        <v>142</v>
      </c>
      <c r="M2410" s="16" t="str">
        <f t="shared" si="1"/>
        <v>501455 CRISTO REY TTIKARIY2 Primaria</v>
      </c>
      <c r="N2410" s="17"/>
      <c r="O2410" s="17"/>
      <c r="P2410" s="17"/>
      <c r="Q2410" s="17"/>
      <c r="R2410" s="17"/>
      <c r="S2410" s="17"/>
      <c r="T2410" s="17"/>
    </row>
    <row r="2411">
      <c r="A2411" s="21">
        <v>1214.0</v>
      </c>
      <c r="B2411" s="20" t="s">
        <v>90</v>
      </c>
      <c r="C2411" s="20" t="s">
        <v>14</v>
      </c>
      <c r="D2411" s="20" t="s">
        <v>15</v>
      </c>
      <c r="E2411" s="12" t="str">
        <f>IFERROR(__xludf.DUMMYFUNCTION("FILTER(colegios!$B$2:$B5618,colegios!$A$2:$A5618=L2411)"),"501455 CRISTO REY TTIKARIY")</f>
        <v>501455 CRISTO REY TTIKARIY</v>
      </c>
      <c r="F2411" s="14" t="s">
        <v>16</v>
      </c>
      <c r="G2411" s="20" t="s">
        <v>17</v>
      </c>
      <c r="H2411" s="14" t="s">
        <v>18</v>
      </c>
      <c r="I2411" s="22">
        <v>2023.0</v>
      </c>
      <c r="J2411" s="16" t="str">
        <f>IFERROR(__xludf.DUMMYFUNCTION("FILTER('CLASFICACIÓN'!$F$3:$F5618,'CLASFICACIÓN'!$G$3:$G5618=M2411)"),"LOS 3 AÑOS")</f>
        <v>LOS 3 AÑOS</v>
      </c>
      <c r="K2411" s="16"/>
      <c r="L2411" s="14" t="s">
        <v>142</v>
      </c>
      <c r="M2411" s="16" t="str">
        <f t="shared" si="1"/>
        <v>501455 CRISTO REY TTIKARIY2 Primaria</v>
      </c>
      <c r="N2411" s="17"/>
      <c r="O2411" s="17"/>
      <c r="P2411" s="17"/>
      <c r="Q2411" s="17"/>
      <c r="R2411" s="17"/>
      <c r="S2411" s="17"/>
      <c r="T2411" s="17"/>
    </row>
    <row r="2412">
      <c r="A2412" s="21">
        <v>1215.0</v>
      </c>
      <c r="B2412" s="20" t="s">
        <v>90</v>
      </c>
      <c r="C2412" s="20" t="s">
        <v>14</v>
      </c>
      <c r="D2412" s="20" t="s">
        <v>15</v>
      </c>
      <c r="E2412" s="12" t="str">
        <f>IFERROR(__xludf.DUMMYFUNCTION("FILTER(colegios!$B$2:$B5618,colegios!$A$2:$A5618=L2412)"),"501455 CRISTO REY TTIKARIY")</f>
        <v>501455 CRISTO REY TTIKARIY</v>
      </c>
      <c r="F2412" s="14" t="s">
        <v>16</v>
      </c>
      <c r="G2412" s="20" t="s">
        <v>21</v>
      </c>
      <c r="H2412" s="14" t="s">
        <v>24</v>
      </c>
      <c r="I2412" s="22">
        <v>2023.0</v>
      </c>
      <c r="J2412" s="16" t="str">
        <f>IFERROR(__xludf.DUMMYFUNCTION("FILTER('CLASFICACIÓN'!$F$3:$F5618,'CLASFICACIÓN'!$G$3:$G5618=M2412)"),"LOS 3 AÑOS")</f>
        <v>LOS 3 AÑOS</v>
      </c>
      <c r="K2412" s="16"/>
      <c r="L2412" s="14" t="s">
        <v>142</v>
      </c>
      <c r="M2412" s="16" t="str">
        <f t="shared" si="1"/>
        <v>501455 CRISTO REY TTIKARIY2 Primaria</v>
      </c>
      <c r="N2412" s="17"/>
      <c r="O2412" s="17"/>
      <c r="P2412" s="17"/>
      <c r="Q2412" s="17"/>
      <c r="R2412" s="17"/>
      <c r="S2412" s="17"/>
      <c r="T2412" s="17"/>
    </row>
    <row r="2413">
      <c r="A2413" s="21">
        <v>1216.0</v>
      </c>
      <c r="B2413" s="20" t="s">
        <v>90</v>
      </c>
      <c r="C2413" s="20" t="s">
        <v>14</v>
      </c>
      <c r="D2413" s="20" t="s">
        <v>15</v>
      </c>
      <c r="E2413" s="12" t="str">
        <f>IFERROR(__xludf.DUMMYFUNCTION("FILTER(colegios!$B$2:$B5618,colegios!$A$2:$A5618=L2413)"),"501455 CRISTO REY TTIKARIY")</f>
        <v>501455 CRISTO REY TTIKARIY</v>
      </c>
      <c r="F2413" s="14" t="s">
        <v>16</v>
      </c>
      <c r="G2413" s="20" t="s">
        <v>21</v>
      </c>
      <c r="H2413" s="14" t="s">
        <v>18</v>
      </c>
      <c r="I2413" s="22">
        <v>2023.0</v>
      </c>
      <c r="J2413" s="16" t="str">
        <f>IFERROR(__xludf.DUMMYFUNCTION("FILTER('CLASFICACIÓN'!$F$3:$F5618,'CLASFICACIÓN'!$G$3:$G5618=M2413)"),"LOS 3 AÑOS")</f>
        <v>LOS 3 AÑOS</v>
      </c>
      <c r="K2413" s="16"/>
      <c r="L2413" s="14" t="s">
        <v>142</v>
      </c>
      <c r="M2413" s="16" t="str">
        <f t="shared" si="1"/>
        <v>501455 CRISTO REY TTIKARIY2 Primaria</v>
      </c>
      <c r="N2413" s="17"/>
      <c r="O2413" s="17"/>
      <c r="P2413" s="17"/>
      <c r="Q2413" s="17"/>
      <c r="R2413" s="17"/>
      <c r="S2413" s="17"/>
      <c r="T2413" s="17"/>
    </row>
    <row r="2414">
      <c r="A2414" s="21">
        <v>1217.0</v>
      </c>
      <c r="B2414" s="20" t="s">
        <v>90</v>
      </c>
      <c r="C2414" s="20" t="s">
        <v>14</v>
      </c>
      <c r="D2414" s="20" t="s">
        <v>15</v>
      </c>
      <c r="E2414" s="12" t="str">
        <f>IFERROR(__xludf.DUMMYFUNCTION("FILTER(colegios!$B$2:$B5618,colegios!$A$2:$A5618=L2414)"),"501455 CRISTO REY TTIKARIY")</f>
        <v>501455 CRISTO REY TTIKARIY</v>
      </c>
      <c r="F2414" s="14" t="s">
        <v>16</v>
      </c>
      <c r="G2414" s="20" t="s">
        <v>21</v>
      </c>
      <c r="H2414" s="14" t="s">
        <v>18</v>
      </c>
      <c r="I2414" s="22">
        <v>2023.0</v>
      </c>
      <c r="J2414" s="16" t="str">
        <f>IFERROR(__xludf.DUMMYFUNCTION("FILTER('CLASFICACIÓN'!$F$3:$F5618,'CLASFICACIÓN'!$G$3:$G5618=M2414)"),"LOS 3 AÑOS")</f>
        <v>LOS 3 AÑOS</v>
      </c>
      <c r="K2414" s="16"/>
      <c r="L2414" s="14" t="s">
        <v>142</v>
      </c>
      <c r="M2414" s="16" t="str">
        <f t="shared" si="1"/>
        <v>501455 CRISTO REY TTIKARIY2 Primaria</v>
      </c>
      <c r="N2414" s="17"/>
      <c r="O2414" s="17"/>
      <c r="P2414" s="17"/>
      <c r="Q2414" s="17"/>
      <c r="R2414" s="17"/>
      <c r="S2414" s="17"/>
      <c r="T2414" s="17"/>
    </row>
    <row r="2415">
      <c r="A2415" s="21">
        <v>1218.0</v>
      </c>
      <c r="B2415" s="20" t="s">
        <v>90</v>
      </c>
      <c r="C2415" s="20" t="s">
        <v>14</v>
      </c>
      <c r="D2415" s="20" t="s">
        <v>15</v>
      </c>
      <c r="E2415" s="12" t="str">
        <f>IFERROR(__xludf.DUMMYFUNCTION("FILTER(colegios!$B$2:$B5618,colegios!$A$2:$A5618=L2415)"),"501455 CRISTO REY TTIKARIY")</f>
        <v>501455 CRISTO REY TTIKARIY</v>
      </c>
      <c r="F2415" s="14" t="s">
        <v>16</v>
      </c>
      <c r="G2415" s="20" t="s">
        <v>21</v>
      </c>
      <c r="H2415" s="14" t="s">
        <v>18</v>
      </c>
      <c r="I2415" s="22">
        <v>2023.0</v>
      </c>
      <c r="J2415" s="16" t="str">
        <f>IFERROR(__xludf.DUMMYFUNCTION("FILTER('CLASFICACIÓN'!$F$3:$F5618,'CLASFICACIÓN'!$G$3:$G5618=M2415)"),"LOS 3 AÑOS")</f>
        <v>LOS 3 AÑOS</v>
      </c>
      <c r="K2415" s="16"/>
      <c r="L2415" s="14" t="s">
        <v>142</v>
      </c>
      <c r="M2415" s="16" t="str">
        <f t="shared" si="1"/>
        <v>501455 CRISTO REY TTIKARIY2 Primaria</v>
      </c>
      <c r="N2415" s="17"/>
      <c r="O2415" s="17"/>
      <c r="P2415" s="17"/>
      <c r="Q2415" s="17"/>
      <c r="R2415" s="17"/>
      <c r="S2415" s="17"/>
      <c r="T2415" s="17"/>
    </row>
    <row r="2416">
      <c r="A2416" s="21">
        <v>1219.0</v>
      </c>
      <c r="B2416" s="20" t="s">
        <v>90</v>
      </c>
      <c r="C2416" s="20" t="s">
        <v>14</v>
      </c>
      <c r="D2416" s="20" t="s">
        <v>20</v>
      </c>
      <c r="E2416" s="12" t="str">
        <f>IFERROR(__xludf.DUMMYFUNCTION("FILTER(colegios!$B$2:$B5618,colegios!$A$2:$A5618=L2416)"),"501455 CRISTO REY TTIKARIY")</f>
        <v>501455 CRISTO REY TTIKARIY</v>
      </c>
      <c r="F2416" s="14" t="s">
        <v>16</v>
      </c>
      <c r="G2416" s="20" t="s">
        <v>21</v>
      </c>
      <c r="H2416" s="14" t="s">
        <v>24</v>
      </c>
      <c r="I2416" s="22">
        <v>2023.0</v>
      </c>
      <c r="J2416" s="16" t="str">
        <f>IFERROR(__xludf.DUMMYFUNCTION("FILTER('CLASFICACIÓN'!$F$3:$F5618,'CLASFICACIÓN'!$G$3:$G5618=M2416)"),"LOS 3 AÑOS")</f>
        <v>LOS 3 AÑOS</v>
      </c>
      <c r="K2416" s="16"/>
      <c r="L2416" s="14" t="s">
        <v>142</v>
      </c>
      <c r="M2416" s="16" t="str">
        <f t="shared" si="1"/>
        <v>501455 CRISTO REY TTIKARIY4 Primaria</v>
      </c>
      <c r="N2416" s="17"/>
      <c r="O2416" s="17"/>
      <c r="P2416" s="17"/>
      <c r="Q2416" s="17"/>
      <c r="R2416" s="17"/>
      <c r="S2416" s="17"/>
      <c r="T2416" s="17"/>
    </row>
    <row r="2417">
      <c r="A2417" s="21">
        <v>1220.0</v>
      </c>
      <c r="B2417" s="20" t="s">
        <v>90</v>
      </c>
      <c r="C2417" s="20" t="s">
        <v>14</v>
      </c>
      <c r="D2417" s="20" t="s">
        <v>20</v>
      </c>
      <c r="E2417" s="12" t="str">
        <f>IFERROR(__xludf.DUMMYFUNCTION("FILTER(colegios!$B$2:$B5618,colegios!$A$2:$A5618=L2417)"),"501455 CRISTO REY TTIKARIY")</f>
        <v>501455 CRISTO REY TTIKARIY</v>
      </c>
      <c r="F2417" s="14" t="s">
        <v>16</v>
      </c>
      <c r="G2417" s="20" t="s">
        <v>21</v>
      </c>
      <c r="H2417" s="14" t="s">
        <v>18</v>
      </c>
      <c r="I2417" s="22">
        <v>2023.0</v>
      </c>
      <c r="J2417" s="16" t="str">
        <f>IFERROR(__xludf.DUMMYFUNCTION("FILTER('CLASFICACIÓN'!$F$3:$F5618,'CLASFICACIÓN'!$G$3:$G5618=M2417)"),"LOS 3 AÑOS")</f>
        <v>LOS 3 AÑOS</v>
      </c>
      <c r="K2417" s="16"/>
      <c r="L2417" s="14" t="s">
        <v>142</v>
      </c>
      <c r="M2417" s="16" t="str">
        <f t="shared" si="1"/>
        <v>501455 CRISTO REY TTIKARIY4 Primaria</v>
      </c>
      <c r="N2417" s="17"/>
      <c r="O2417" s="17"/>
      <c r="P2417" s="17"/>
      <c r="Q2417" s="17"/>
      <c r="R2417" s="17"/>
      <c r="S2417" s="17"/>
      <c r="T2417" s="17"/>
    </row>
    <row r="2418">
      <c r="A2418" s="21">
        <v>1221.0</v>
      </c>
      <c r="B2418" s="20" t="s">
        <v>90</v>
      </c>
      <c r="C2418" s="20" t="s">
        <v>14</v>
      </c>
      <c r="D2418" s="20" t="s">
        <v>20</v>
      </c>
      <c r="E2418" s="12" t="str">
        <f>IFERROR(__xludf.DUMMYFUNCTION("FILTER(colegios!$B$2:$B5618,colegios!$A$2:$A5618=L2418)"),"501455 CRISTO REY TTIKARIY")</f>
        <v>501455 CRISTO REY TTIKARIY</v>
      </c>
      <c r="F2418" s="14" t="s">
        <v>16</v>
      </c>
      <c r="G2418" s="20" t="s">
        <v>21</v>
      </c>
      <c r="H2418" s="14" t="s">
        <v>24</v>
      </c>
      <c r="I2418" s="22">
        <v>2023.0</v>
      </c>
      <c r="J2418" s="16" t="str">
        <f>IFERROR(__xludf.DUMMYFUNCTION("FILTER('CLASFICACIÓN'!$F$3:$F5618,'CLASFICACIÓN'!$G$3:$G5618=M2418)"),"LOS 3 AÑOS")</f>
        <v>LOS 3 AÑOS</v>
      </c>
      <c r="K2418" s="16"/>
      <c r="L2418" s="14" t="s">
        <v>142</v>
      </c>
      <c r="M2418" s="16" t="str">
        <f t="shared" si="1"/>
        <v>501455 CRISTO REY TTIKARIY4 Primaria</v>
      </c>
      <c r="N2418" s="17"/>
      <c r="O2418" s="17"/>
      <c r="P2418" s="17"/>
      <c r="Q2418" s="17"/>
      <c r="R2418" s="17"/>
      <c r="S2418" s="17"/>
      <c r="T2418" s="17"/>
    </row>
    <row r="2419">
      <c r="A2419" s="21">
        <v>1222.0</v>
      </c>
      <c r="B2419" s="20" t="s">
        <v>90</v>
      </c>
      <c r="C2419" s="20" t="s">
        <v>14</v>
      </c>
      <c r="D2419" s="20" t="s">
        <v>20</v>
      </c>
      <c r="E2419" s="12" t="str">
        <f>IFERROR(__xludf.DUMMYFUNCTION("FILTER(colegios!$B$2:$B5618,colegios!$A$2:$A5618=L2419)"),"501455 CRISTO REY TTIKARIY")</f>
        <v>501455 CRISTO REY TTIKARIY</v>
      </c>
      <c r="F2419" s="14" t="s">
        <v>16</v>
      </c>
      <c r="G2419" s="20" t="s">
        <v>21</v>
      </c>
      <c r="H2419" s="14" t="s">
        <v>18</v>
      </c>
      <c r="I2419" s="22">
        <v>2023.0</v>
      </c>
      <c r="J2419" s="16" t="str">
        <f>IFERROR(__xludf.DUMMYFUNCTION("FILTER('CLASFICACIÓN'!$F$3:$F5618,'CLASFICACIÓN'!$G$3:$G5618=M2419)"),"LOS 3 AÑOS")</f>
        <v>LOS 3 AÑOS</v>
      </c>
      <c r="K2419" s="16"/>
      <c r="L2419" s="14" t="s">
        <v>142</v>
      </c>
      <c r="M2419" s="16" t="str">
        <f t="shared" si="1"/>
        <v>501455 CRISTO REY TTIKARIY4 Primaria</v>
      </c>
      <c r="N2419" s="17"/>
      <c r="O2419" s="17"/>
      <c r="P2419" s="17"/>
      <c r="Q2419" s="17"/>
      <c r="R2419" s="17"/>
      <c r="S2419" s="17"/>
      <c r="T2419" s="17"/>
    </row>
    <row r="2420">
      <c r="A2420" s="21">
        <v>1223.0</v>
      </c>
      <c r="B2420" s="20" t="s">
        <v>90</v>
      </c>
      <c r="C2420" s="20" t="s">
        <v>14</v>
      </c>
      <c r="D2420" s="20" t="s">
        <v>20</v>
      </c>
      <c r="E2420" s="12" t="str">
        <f>IFERROR(__xludf.DUMMYFUNCTION("FILTER(colegios!$B$2:$B5618,colegios!$A$2:$A5618=L2420)"),"501455 CRISTO REY TTIKARIY")</f>
        <v>501455 CRISTO REY TTIKARIY</v>
      </c>
      <c r="F2420" s="14" t="s">
        <v>16</v>
      </c>
      <c r="G2420" s="20" t="s">
        <v>21</v>
      </c>
      <c r="H2420" s="14" t="s">
        <v>18</v>
      </c>
      <c r="I2420" s="22">
        <v>2023.0</v>
      </c>
      <c r="J2420" s="16" t="str">
        <f>IFERROR(__xludf.DUMMYFUNCTION("FILTER('CLASFICACIÓN'!$F$3:$F5618,'CLASFICACIÓN'!$G$3:$G5618=M2420)"),"LOS 3 AÑOS")</f>
        <v>LOS 3 AÑOS</v>
      </c>
      <c r="K2420" s="16"/>
      <c r="L2420" s="14" t="s">
        <v>142</v>
      </c>
      <c r="M2420" s="16" t="str">
        <f t="shared" si="1"/>
        <v>501455 CRISTO REY TTIKARIY4 Primaria</v>
      </c>
      <c r="N2420" s="17"/>
      <c r="O2420" s="17"/>
      <c r="P2420" s="17"/>
      <c r="Q2420" s="17"/>
      <c r="R2420" s="17"/>
      <c r="S2420" s="17"/>
      <c r="T2420" s="17"/>
    </row>
    <row r="2421">
      <c r="A2421" s="21">
        <v>1224.0</v>
      </c>
      <c r="B2421" s="20" t="s">
        <v>90</v>
      </c>
      <c r="C2421" s="20" t="s">
        <v>14</v>
      </c>
      <c r="D2421" s="20" t="s">
        <v>20</v>
      </c>
      <c r="E2421" s="12" t="str">
        <f>IFERROR(__xludf.DUMMYFUNCTION("FILTER(colegios!$B$2:$B5618,colegios!$A$2:$A5618=L2421)"),"501455 CRISTO REY TTIKARIY")</f>
        <v>501455 CRISTO REY TTIKARIY</v>
      </c>
      <c r="F2421" s="14" t="s">
        <v>16</v>
      </c>
      <c r="G2421" s="20" t="s">
        <v>17</v>
      </c>
      <c r="H2421" s="14" t="s">
        <v>18</v>
      </c>
      <c r="I2421" s="22">
        <v>2023.0</v>
      </c>
      <c r="J2421" s="16" t="str">
        <f>IFERROR(__xludf.DUMMYFUNCTION("FILTER('CLASFICACIÓN'!$F$3:$F5618,'CLASFICACIÓN'!$G$3:$G5618=M2421)"),"LOS 3 AÑOS")</f>
        <v>LOS 3 AÑOS</v>
      </c>
      <c r="K2421" s="16"/>
      <c r="L2421" s="14" t="s">
        <v>142</v>
      </c>
      <c r="M2421" s="16" t="str">
        <f t="shared" si="1"/>
        <v>501455 CRISTO REY TTIKARIY4 Primaria</v>
      </c>
      <c r="N2421" s="17"/>
      <c r="O2421" s="17"/>
      <c r="P2421" s="17"/>
      <c r="Q2421" s="17"/>
      <c r="R2421" s="17"/>
      <c r="S2421" s="17"/>
      <c r="T2421" s="17"/>
    </row>
    <row r="2422">
      <c r="A2422" s="21">
        <v>1225.0</v>
      </c>
      <c r="B2422" s="20" t="s">
        <v>90</v>
      </c>
      <c r="C2422" s="20" t="s">
        <v>14</v>
      </c>
      <c r="D2422" s="20" t="s">
        <v>20</v>
      </c>
      <c r="E2422" s="12" t="str">
        <f>IFERROR(__xludf.DUMMYFUNCTION("FILTER(colegios!$B$2:$B5618,colegios!$A$2:$A5618=L2422)"),"501455 CRISTO REY TTIKARIY")</f>
        <v>501455 CRISTO REY TTIKARIY</v>
      </c>
      <c r="F2422" s="14" t="s">
        <v>16</v>
      </c>
      <c r="G2422" s="20" t="s">
        <v>17</v>
      </c>
      <c r="H2422" s="14" t="s">
        <v>18</v>
      </c>
      <c r="I2422" s="22">
        <v>2023.0</v>
      </c>
      <c r="J2422" s="16" t="str">
        <f>IFERROR(__xludf.DUMMYFUNCTION("FILTER('CLASFICACIÓN'!$F$3:$F5618,'CLASFICACIÓN'!$G$3:$G5618=M2422)"),"LOS 3 AÑOS")</f>
        <v>LOS 3 AÑOS</v>
      </c>
      <c r="K2422" s="16"/>
      <c r="L2422" s="14" t="s">
        <v>142</v>
      </c>
      <c r="M2422" s="16" t="str">
        <f t="shared" si="1"/>
        <v>501455 CRISTO REY TTIKARIY4 Primaria</v>
      </c>
      <c r="N2422" s="17"/>
      <c r="O2422" s="17"/>
      <c r="P2422" s="17"/>
      <c r="Q2422" s="17"/>
      <c r="R2422" s="17"/>
      <c r="S2422" s="17"/>
      <c r="T2422" s="17"/>
    </row>
    <row r="2423">
      <c r="A2423" s="21">
        <v>1226.0</v>
      </c>
      <c r="B2423" s="20" t="s">
        <v>90</v>
      </c>
      <c r="C2423" s="20" t="s">
        <v>14</v>
      </c>
      <c r="D2423" s="20" t="s">
        <v>20</v>
      </c>
      <c r="E2423" s="12" t="str">
        <f>IFERROR(__xludf.DUMMYFUNCTION("FILTER(colegios!$B$2:$B5618,colegios!$A$2:$A5618=L2423)"),"501455 CRISTO REY TTIKARIY")</f>
        <v>501455 CRISTO REY TTIKARIY</v>
      </c>
      <c r="F2423" s="14" t="s">
        <v>16</v>
      </c>
      <c r="G2423" s="20" t="s">
        <v>17</v>
      </c>
      <c r="H2423" s="14" t="s">
        <v>18</v>
      </c>
      <c r="I2423" s="22">
        <v>2023.0</v>
      </c>
      <c r="J2423" s="16" t="str">
        <f>IFERROR(__xludf.DUMMYFUNCTION("FILTER('CLASFICACIÓN'!$F$3:$F5618,'CLASFICACIÓN'!$G$3:$G5618=M2423)"),"LOS 3 AÑOS")</f>
        <v>LOS 3 AÑOS</v>
      </c>
      <c r="K2423" s="16"/>
      <c r="L2423" s="14" t="s">
        <v>142</v>
      </c>
      <c r="M2423" s="16" t="str">
        <f t="shared" si="1"/>
        <v>501455 CRISTO REY TTIKARIY4 Primaria</v>
      </c>
      <c r="N2423" s="17"/>
      <c r="O2423" s="17"/>
      <c r="P2423" s="17"/>
      <c r="Q2423" s="17"/>
      <c r="R2423" s="17"/>
      <c r="S2423" s="17"/>
      <c r="T2423" s="17"/>
    </row>
    <row r="2424">
      <c r="A2424" s="21">
        <v>1227.0</v>
      </c>
      <c r="B2424" s="20" t="s">
        <v>90</v>
      </c>
      <c r="C2424" s="20" t="s">
        <v>14</v>
      </c>
      <c r="D2424" s="20" t="s">
        <v>22</v>
      </c>
      <c r="E2424" s="12" t="str">
        <f>IFERROR(__xludf.DUMMYFUNCTION("FILTER(colegios!$B$2:$B5618,colegios!$A$2:$A5618=L2424)"),"501455 CRISTO REY TTIKARIY")</f>
        <v>501455 CRISTO REY TTIKARIY</v>
      </c>
      <c r="F2424" s="14" t="s">
        <v>16</v>
      </c>
      <c r="G2424" s="20" t="s">
        <v>17</v>
      </c>
      <c r="H2424" s="14" t="s">
        <v>18</v>
      </c>
      <c r="I2424" s="22">
        <v>2023.0</v>
      </c>
      <c r="J2424" s="16" t="str">
        <f>IFERROR(__xludf.DUMMYFUNCTION("FILTER('CLASFICACIÓN'!$F$3:$F5618,'CLASFICACIÓN'!$G$3:$G5618=M2424)"),"LOS 3 AÑOS")</f>
        <v>LOS 3 AÑOS</v>
      </c>
      <c r="K2424" s="16"/>
      <c r="L2424" s="14" t="s">
        <v>142</v>
      </c>
      <c r="M2424" s="16" t="str">
        <f t="shared" si="1"/>
        <v>501455 CRISTO REY TTIKARIY6 Primaria</v>
      </c>
      <c r="N2424" s="17"/>
      <c r="O2424" s="17"/>
      <c r="P2424" s="17"/>
      <c r="Q2424" s="17"/>
      <c r="R2424" s="17"/>
      <c r="S2424" s="17"/>
      <c r="T2424" s="17"/>
    </row>
    <row r="2425">
      <c r="A2425" s="21">
        <v>1228.0</v>
      </c>
      <c r="B2425" s="20" t="s">
        <v>90</v>
      </c>
      <c r="C2425" s="20" t="s">
        <v>14</v>
      </c>
      <c r="D2425" s="20" t="s">
        <v>22</v>
      </c>
      <c r="E2425" s="12" t="str">
        <f>IFERROR(__xludf.DUMMYFUNCTION("FILTER(colegios!$B$2:$B5618,colegios!$A$2:$A5618=L2425)"),"501455 CRISTO REY TTIKARIY")</f>
        <v>501455 CRISTO REY TTIKARIY</v>
      </c>
      <c r="F2425" s="14" t="s">
        <v>16</v>
      </c>
      <c r="G2425" s="20" t="s">
        <v>17</v>
      </c>
      <c r="H2425" s="14" t="s">
        <v>24</v>
      </c>
      <c r="I2425" s="22">
        <v>2023.0</v>
      </c>
      <c r="J2425" s="16" t="str">
        <f>IFERROR(__xludf.DUMMYFUNCTION("FILTER('CLASFICACIÓN'!$F$3:$F5618,'CLASFICACIÓN'!$G$3:$G5618=M2425)"),"LOS 3 AÑOS")</f>
        <v>LOS 3 AÑOS</v>
      </c>
      <c r="K2425" s="16"/>
      <c r="L2425" s="14" t="s">
        <v>142</v>
      </c>
      <c r="M2425" s="16" t="str">
        <f t="shared" si="1"/>
        <v>501455 CRISTO REY TTIKARIY6 Primaria</v>
      </c>
      <c r="N2425" s="17"/>
      <c r="O2425" s="17"/>
      <c r="P2425" s="17"/>
      <c r="Q2425" s="17"/>
      <c r="R2425" s="17"/>
      <c r="S2425" s="17"/>
      <c r="T2425" s="17"/>
    </row>
    <row r="2426">
      <c r="A2426" s="21">
        <v>1229.0</v>
      </c>
      <c r="B2426" s="20" t="s">
        <v>90</v>
      </c>
      <c r="C2426" s="20" t="s">
        <v>14</v>
      </c>
      <c r="D2426" s="20" t="s">
        <v>22</v>
      </c>
      <c r="E2426" s="12" t="str">
        <f>IFERROR(__xludf.DUMMYFUNCTION("FILTER(colegios!$B$2:$B5618,colegios!$A$2:$A5618=L2426)"),"501455 CRISTO REY TTIKARIY")</f>
        <v>501455 CRISTO REY TTIKARIY</v>
      </c>
      <c r="F2426" s="14" t="s">
        <v>16</v>
      </c>
      <c r="G2426" s="20" t="s">
        <v>17</v>
      </c>
      <c r="H2426" s="14" t="s">
        <v>18</v>
      </c>
      <c r="I2426" s="22">
        <v>2023.0</v>
      </c>
      <c r="J2426" s="16" t="str">
        <f>IFERROR(__xludf.DUMMYFUNCTION("FILTER('CLASFICACIÓN'!$F$3:$F5618,'CLASFICACIÓN'!$G$3:$G5618=M2426)"),"LOS 3 AÑOS")</f>
        <v>LOS 3 AÑOS</v>
      </c>
      <c r="K2426" s="16"/>
      <c r="L2426" s="14" t="s">
        <v>142</v>
      </c>
      <c r="M2426" s="16" t="str">
        <f t="shared" si="1"/>
        <v>501455 CRISTO REY TTIKARIY6 Primaria</v>
      </c>
      <c r="N2426" s="17"/>
      <c r="O2426" s="17"/>
      <c r="P2426" s="17"/>
      <c r="Q2426" s="17"/>
      <c r="R2426" s="17"/>
      <c r="S2426" s="17"/>
      <c r="T2426" s="17"/>
    </row>
    <row r="2427">
      <c r="A2427" s="21">
        <v>1230.0</v>
      </c>
      <c r="B2427" s="20" t="s">
        <v>90</v>
      </c>
      <c r="C2427" s="20" t="s">
        <v>14</v>
      </c>
      <c r="D2427" s="20" t="s">
        <v>15</v>
      </c>
      <c r="E2427" s="12" t="str">
        <f>IFERROR(__xludf.DUMMYFUNCTION("FILTER(colegios!$B$2:$B5618,colegios!$A$2:$A5618=L2427)"),"501432 PAPA FRANCISCO I")</f>
        <v>501432 PAPA FRANCISCO I</v>
      </c>
      <c r="F2427" s="14" t="s">
        <v>16</v>
      </c>
      <c r="G2427" s="20" t="s">
        <v>21</v>
      </c>
      <c r="H2427" s="14" t="s">
        <v>18</v>
      </c>
      <c r="I2427" s="22">
        <v>2023.0</v>
      </c>
      <c r="J2427" s="16" t="str">
        <f>IFERROR(__xludf.DUMMYFUNCTION("FILTER('CLASFICACIÓN'!$F$3:$F5618,'CLASFICACIÓN'!$G$3:$G5618=M2427)"),"LOS 3 AÑOS")</f>
        <v>LOS 3 AÑOS</v>
      </c>
      <c r="K2427" s="16"/>
      <c r="L2427" s="14" t="s">
        <v>143</v>
      </c>
      <c r="M2427" s="16" t="str">
        <f t="shared" si="1"/>
        <v>501432 PAPA FRANCISCO I2 Primaria</v>
      </c>
      <c r="N2427" s="17"/>
      <c r="O2427" s="17"/>
      <c r="P2427" s="17"/>
      <c r="Q2427" s="17"/>
      <c r="R2427" s="17"/>
      <c r="S2427" s="17"/>
      <c r="T2427" s="17"/>
    </row>
    <row r="2428">
      <c r="A2428" s="21">
        <v>1231.0</v>
      </c>
      <c r="B2428" s="20" t="s">
        <v>90</v>
      </c>
      <c r="C2428" s="20" t="s">
        <v>14</v>
      </c>
      <c r="D2428" s="20" t="s">
        <v>15</v>
      </c>
      <c r="E2428" s="12" t="str">
        <f>IFERROR(__xludf.DUMMYFUNCTION("FILTER(colegios!$B$2:$B5618,colegios!$A$2:$A5618=L2428)"),"501432 PAPA FRANCISCO I")</f>
        <v>501432 PAPA FRANCISCO I</v>
      </c>
      <c r="F2428" s="14" t="s">
        <v>16</v>
      </c>
      <c r="G2428" s="20" t="s">
        <v>17</v>
      </c>
      <c r="H2428" s="14" t="s">
        <v>18</v>
      </c>
      <c r="I2428" s="22">
        <v>2023.0</v>
      </c>
      <c r="J2428" s="16" t="str">
        <f>IFERROR(__xludf.DUMMYFUNCTION("FILTER('CLASFICACIÓN'!$F$3:$F5618,'CLASFICACIÓN'!$G$3:$G5618=M2428)"),"LOS 3 AÑOS")</f>
        <v>LOS 3 AÑOS</v>
      </c>
      <c r="K2428" s="16"/>
      <c r="L2428" s="14" t="s">
        <v>143</v>
      </c>
      <c r="M2428" s="16" t="str">
        <f t="shared" si="1"/>
        <v>501432 PAPA FRANCISCO I2 Primaria</v>
      </c>
      <c r="N2428" s="17"/>
      <c r="O2428" s="17"/>
      <c r="P2428" s="17"/>
      <c r="Q2428" s="17"/>
      <c r="R2428" s="17"/>
      <c r="S2428" s="17"/>
      <c r="T2428" s="17"/>
    </row>
    <row r="2429">
      <c r="A2429" s="21">
        <v>1232.0</v>
      </c>
      <c r="B2429" s="20" t="s">
        <v>90</v>
      </c>
      <c r="C2429" s="20" t="s">
        <v>14</v>
      </c>
      <c r="D2429" s="20" t="s">
        <v>15</v>
      </c>
      <c r="E2429" s="12" t="str">
        <f>IFERROR(__xludf.DUMMYFUNCTION("FILTER(colegios!$B$2:$B5618,colegios!$A$2:$A5618=L2429)"),"501432 PAPA FRANCISCO I")</f>
        <v>501432 PAPA FRANCISCO I</v>
      </c>
      <c r="F2429" s="14" t="s">
        <v>16</v>
      </c>
      <c r="G2429" s="20" t="s">
        <v>21</v>
      </c>
      <c r="H2429" s="14" t="s">
        <v>18</v>
      </c>
      <c r="I2429" s="22">
        <v>2023.0</v>
      </c>
      <c r="J2429" s="16" t="str">
        <f>IFERROR(__xludf.DUMMYFUNCTION("FILTER('CLASFICACIÓN'!$F$3:$F5618,'CLASFICACIÓN'!$G$3:$G5618=M2429)"),"LOS 3 AÑOS")</f>
        <v>LOS 3 AÑOS</v>
      </c>
      <c r="K2429" s="16"/>
      <c r="L2429" s="14" t="s">
        <v>143</v>
      </c>
      <c r="M2429" s="16" t="str">
        <f t="shared" si="1"/>
        <v>501432 PAPA FRANCISCO I2 Primaria</v>
      </c>
      <c r="N2429" s="17"/>
      <c r="O2429" s="17"/>
      <c r="P2429" s="17"/>
      <c r="Q2429" s="17"/>
      <c r="R2429" s="17"/>
      <c r="S2429" s="17"/>
      <c r="T2429" s="17"/>
    </row>
    <row r="2430">
      <c r="A2430" s="21">
        <v>1233.0</v>
      </c>
      <c r="B2430" s="20" t="s">
        <v>90</v>
      </c>
      <c r="C2430" s="20" t="s">
        <v>14</v>
      </c>
      <c r="D2430" s="20" t="s">
        <v>15</v>
      </c>
      <c r="E2430" s="12" t="str">
        <f>IFERROR(__xludf.DUMMYFUNCTION("FILTER(colegios!$B$2:$B5618,colegios!$A$2:$A5618=L2430)"),"501432 PAPA FRANCISCO I")</f>
        <v>501432 PAPA FRANCISCO I</v>
      </c>
      <c r="F2430" s="14" t="s">
        <v>16</v>
      </c>
      <c r="G2430" s="20" t="s">
        <v>17</v>
      </c>
      <c r="H2430" s="14" t="s">
        <v>18</v>
      </c>
      <c r="I2430" s="22">
        <v>2023.0</v>
      </c>
      <c r="J2430" s="16" t="str">
        <f>IFERROR(__xludf.DUMMYFUNCTION("FILTER('CLASFICACIÓN'!$F$3:$F5618,'CLASFICACIÓN'!$G$3:$G5618=M2430)"),"LOS 3 AÑOS")</f>
        <v>LOS 3 AÑOS</v>
      </c>
      <c r="K2430" s="16"/>
      <c r="L2430" s="14" t="s">
        <v>143</v>
      </c>
      <c r="M2430" s="16" t="str">
        <f t="shared" si="1"/>
        <v>501432 PAPA FRANCISCO I2 Primaria</v>
      </c>
      <c r="N2430" s="17"/>
      <c r="O2430" s="17"/>
      <c r="P2430" s="17"/>
      <c r="Q2430" s="17"/>
      <c r="R2430" s="17"/>
      <c r="S2430" s="17"/>
      <c r="T2430" s="17"/>
    </row>
    <row r="2431">
      <c r="A2431" s="21">
        <v>1234.0</v>
      </c>
      <c r="B2431" s="20" t="s">
        <v>90</v>
      </c>
      <c r="C2431" s="20" t="s">
        <v>14</v>
      </c>
      <c r="D2431" s="20" t="s">
        <v>15</v>
      </c>
      <c r="E2431" s="12" t="str">
        <f>IFERROR(__xludf.DUMMYFUNCTION("FILTER(colegios!$B$2:$B5618,colegios!$A$2:$A5618=L2431)"),"501432 PAPA FRANCISCO I")</f>
        <v>501432 PAPA FRANCISCO I</v>
      </c>
      <c r="F2431" s="14" t="s">
        <v>16</v>
      </c>
      <c r="G2431" s="20" t="s">
        <v>17</v>
      </c>
      <c r="H2431" s="14" t="s">
        <v>18</v>
      </c>
      <c r="I2431" s="22">
        <v>2023.0</v>
      </c>
      <c r="J2431" s="16" t="str">
        <f>IFERROR(__xludf.DUMMYFUNCTION("FILTER('CLASFICACIÓN'!$F$3:$F5618,'CLASFICACIÓN'!$G$3:$G5618=M2431)"),"LOS 3 AÑOS")</f>
        <v>LOS 3 AÑOS</v>
      </c>
      <c r="K2431" s="16"/>
      <c r="L2431" s="14" t="s">
        <v>143</v>
      </c>
      <c r="M2431" s="16" t="str">
        <f t="shared" si="1"/>
        <v>501432 PAPA FRANCISCO I2 Primaria</v>
      </c>
      <c r="N2431" s="17"/>
      <c r="O2431" s="17"/>
      <c r="P2431" s="17"/>
      <c r="Q2431" s="17"/>
      <c r="R2431" s="17"/>
      <c r="S2431" s="17"/>
      <c r="T2431" s="17"/>
    </row>
    <row r="2432">
      <c r="A2432" s="21">
        <v>1235.0</v>
      </c>
      <c r="B2432" s="20" t="s">
        <v>90</v>
      </c>
      <c r="C2432" s="20" t="s">
        <v>14</v>
      </c>
      <c r="D2432" s="20" t="s">
        <v>15</v>
      </c>
      <c r="E2432" s="12" t="str">
        <f>IFERROR(__xludf.DUMMYFUNCTION("FILTER(colegios!$B$2:$B5618,colegios!$A$2:$A5618=L2432)"),"501432 PAPA FRANCISCO I")</f>
        <v>501432 PAPA FRANCISCO I</v>
      </c>
      <c r="F2432" s="14" t="s">
        <v>16</v>
      </c>
      <c r="G2432" s="20" t="s">
        <v>21</v>
      </c>
      <c r="H2432" s="14" t="s">
        <v>18</v>
      </c>
      <c r="I2432" s="22">
        <v>2023.0</v>
      </c>
      <c r="J2432" s="16" t="str">
        <f>IFERROR(__xludf.DUMMYFUNCTION("FILTER('CLASFICACIÓN'!$F$3:$F5618,'CLASFICACIÓN'!$G$3:$G5618=M2432)"),"LOS 3 AÑOS")</f>
        <v>LOS 3 AÑOS</v>
      </c>
      <c r="K2432" s="16"/>
      <c r="L2432" s="14" t="s">
        <v>143</v>
      </c>
      <c r="M2432" s="16" t="str">
        <f t="shared" si="1"/>
        <v>501432 PAPA FRANCISCO I2 Primaria</v>
      </c>
      <c r="N2432" s="17"/>
      <c r="O2432" s="17"/>
      <c r="P2432" s="17"/>
      <c r="Q2432" s="17"/>
      <c r="R2432" s="17"/>
      <c r="S2432" s="17"/>
      <c r="T2432" s="17"/>
    </row>
    <row r="2433">
      <c r="A2433" s="21">
        <v>1236.0</v>
      </c>
      <c r="B2433" s="20" t="s">
        <v>90</v>
      </c>
      <c r="C2433" s="20" t="s">
        <v>14</v>
      </c>
      <c r="D2433" s="20" t="s">
        <v>15</v>
      </c>
      <c r="E2433" s="12" t="str">
        <f>IFERROR(__xludf.DUMMYFUNCTION("FILTER(colegios!$B$2:$B5618,colegios!$A$2:$A5618=L2433)"),"501432 PAPA FRANCISCO I")</f>
        <v>501432 PAPA FRANCISCO I</v>
      </c>
      <c r="F2433" s="14" t="s">
        <v>16</v>
      </c>
      <c r="G2433" s="20" t="s">
        <v>21</v>
      </c>
      <c r="H2433" s="14" t="s">
        <v>18</v>
      </c>
      <c r="I2433" s="22">
        <v>2023.0</v>
      </c>
      <c r="J2433" s="16" t="str">
        <f>IFERROR(__xludf.DUMMYFUNCTION("FILTER('CLASFICACIÓN'!$F$3:$F5618,'CLASFICACIÓN'!$G$3:$G5618=M2433)"),"LOS 3 AÑOS")</f>
        <v>LOS 3 AÑOS</v>
      </c>
      <c r="K2433" s="16"/>
      <c r="L2433" s="14" t="s">
        <v>143</v>
      </c>
      <c r="M2433" s="16" t="str">
        <f t="shared" si="1"/>
        <v>501432 PAPA FRANCISCO I2 Primaria</v>
      </c>
      <c r="N2433" s="17"/>
      <c r="O2433" s="17"/>
      <c r="P2433" s="17"/>
      <c r="Q2433" s="17"/>
      <c r="R2433" s="17"/>
      <c r="S2433" s="17"/>
      <c r="T2433" s="17"/>
    </row>
    <row r="2434">
      <c r="A2434" s="21">
        <v>1237.0</v>
      </c>
      <c r="B2434" s="20" t="s">
        <v>90</v>
      </c>
      <c r="C2434" s="20" t="s">
        <v>14</v>
      </c>
      <c r="D2434" s="20" t="s">
        <v>20</v>
      </c>
      <c r="E2434" s="12" t="str">
        <f>IFERROR(__xludf.DUMMYFUNCTION("FILTER(colegios!$B$2:$B5618,colegios!$A$2:$A5618=L2434)"),"501432 PAPA FRANCISCO I")</f>
        <v>501432 PAPA FRANCISCO I</v>
      </c>
      <c r="F2434" s="14" t="s">
        <v>16</v>
      </c>
      <c r="G2434" s="20" t="s">
        <v>17</v>
      </c>
      <c r="H2434" s="14" t="s">
        <v>18</v>
      </c>
      <c r="I2434" s="22">
        <v>2023.0</v>
      </c>
      <c r="J2434" s="16" t="str">
        <f>IFERROR(__xludf.DUMMYFUNCTION("FILTER('CLASFICACIÓN'!$F$3:$F5618,'CLASFICACIÓN'!$G$3:$G5618=M2434)"),"LOS 3 AÑOS")</f>
        <v>LOS 3 AÑOS</v>
      </c>
      <c r="K2434" s="16"/>
      <c r="L2434" s="14" t="s">
        <v>143</v>
      </c>
      <c r="M2434" s="16" t="str">
        <f t="shared" si="1"/>
        <v>501432 PAPA FRANCISCO I4 Primaria</v>
      </c>
      <c r="N2434" s="17"/>
      <c r="O2434" s="17"/>
      <c r="P2434" s="17"/>
      <c r="Q2434" s="17"/>
      <c r="R2434" s="17"/>
      <c r="S2434" s="17"/>
      <c r="T2434" s="17"/>
    </row>
    <row r="2435">
      <c r="A2435" s="21">
        <v>1238.0</v>
      </c>
      <c r="B2435" s="20" t="s">
        <v>90</v>
      </c>
      <c r="C2435" s="20" t="s">
        <v>14</v>
      </c>
      <c r="D2435" s="20" t="s">
        <v>20</v>
      </c>
      <c r="E2435" s="12" t="str">
        <f>IFERROR(__xludf.DUMMYFUNCTION("FILTER(colegios!$B$2:$B5618,colegios!$A$2:$A5618=L2435)"),"501432 PAPA FRANCISCO I")</f>
        <v>501432 PAPA FRANCISCO I</v>
      </c>
      <c r="F2435" s="14" t="s">
        <v>16</v>
      </c>
      <c r="G2435" s="20" t="s">
        <v>17</v>
      </c>
      <c r="H2435" s="14" t="s">
        <v>18</v>
      </c>
      <c r="I2435" s="22">
        <v>2023.0</v>
      </c>
      <c r="J2435" s="16" t="str">
        <f>IFERROR(__xludf.DUMMYFUNCTION("FILTER('CLASFICACIÓN'!$F$3:$F5618,'CLASFICACIÓN'!$G$3:$G5618=M2435)"),"LOS 3 AÑOS")</f>
        <v>LOS 3 AÑOS</v>
      </c>
      <c r="K2435" s="16"/>
      <c r="L2435" s="14" t="s">
        <v>143</v>
      </c>
      <c r="M2435" s="16" t="str">
        <f t="shared" si="1"/>
        <v>501432 PAPA FRANCISCO I4 Primaria</v>
      </c>
      <c r="N2435" s="17"/>
      <c r="O2435" s="17"/>
      <c r="P2435" s="17"/>
      <c r="Q2435" s="17"/>
      <c r="R2435" s="17"/>
      <c r="S2435" s="17"/>
      <c r="T2435" s="17"/>
    </row>
    <row r="2436">
      <c r="A2436" s="21">
        <v>1239.0</v>
      </c>
      <c r="B2436" s="20" t="s">
        <v>90</v>
      </c>
      <c r="C2436" s="20" t="s">
        <v>14</v>
      </c>
      <c r="D2436" s="20" t="s">
        <v>20</v>
      </c>
      <c r="E2436" s="12" t="str">
        <f>IFERROR(__xludf.DUMMYFUNCTION("FILTER(colegios!$B$2:$B5618,colegios!$A$2:$A5618=L2436)"),"501432 PAPA FRANCISCO I")</f>
        <v>501432 PAPA FRANCISCO I</v>
      </c>
      <c r="F2436" s="14" t="s">
        <v>16</v>
      </c>
      <c r="G2436" s="20" t="s">
        <v>17</v>
      </c>
      <c r="H2436" s="14" t="s">
        <v>18</v>
      </c>
      <c r="I2436" s="22">
        <v>2023.0</v>
      </c>
      <c r="J2436" s="16" t="str">
        <f>IFERROR(__xludf.DUMMYFUNCTION("FILTER('CLASFICACIÓN'!$F$3:$F5618,'CLASFICACIÓN'!$G$3:$G5618=M2436)"),"LOS 3 AÑOS")</f>
        <v>LOS 3 AÑOS</v>
      </c>
      <c r="K2436" s="16"/>
      <c r="L2436" s="14" t="s">
        <v>143</v>
      </c>
      <c r="M2436" s="16" t="str">
        <f t="shared" si="1"/>
        <v>501432 PAPA FRANCISCO I4 Primaria</v>
      </c>
      <c r="N2436" s="17"/>
      <c r="O2436" s="17"/>
      <c r="P2436" s="17"/>
      <c r="Q2436" s="17"/>
      <c r="R2436" s="17"/>
      <c r="S2436" s="17"/>
      <c r="T2436" s="17"/>
    </row>
    <row r="2437">
      <c r="A2437" s="21">
        <v>1240.0</v>
      </c>
      <c r="B2437" s="20" t="s">
        <v>90</v>
      </c>
      <c r="C2437" s="20" t="s">
        <v>14</v>
      </c>
      <c r="D2437" s="20" t="s">
        <v>20</v>
      </c>
      <c r="E2437" s="12" t="str">
        <f>IFERROR(__xludf.DUMMYFUNCTION("FILTER(colegios!$B$2:$B5618,colegios!$A$2:$A5618=L2437)"),"501432 PAPA FRANCISCO I")</f>
        <v>501432 PAPA FRANCISCO I</v>
      </c>
      <c r="F2437" s="14" t="s">
        <v>16</v>
      </c>
      <c r="G2437" s="20" t="s">
        <v>17</v>
      </c>
      <c r="H2437" s="14" t="s">
        <v>18</v>
      </c>
      <c r="I2437" s="22">
        <v>2023.0</v>
      </c>
      <c r="J2437" s="16" t="str">
        <f>IFERROR(__xludf.DUMMYFUNCTION("FILTER('CLASFICACIÓN'!$F$3:$F5618,'CLASFICACIÓN'!$G$3:$G5618=M2437)"),"LOS 3 AÑOS")</f>
        <v>LOS 3 AÑOS</v>
      </c>
      <c r="K2437" s="16"/>
      <c r="L2437" s="14" t="s">
        <v>143</v>
      </c>
      <c r="M2437" s="16" t="str">
        <f t="shared" si="1"/>
        <v>501432 PAPA FRANCISCO I4 Primaria</v>
      </c>
      <c r="N2437" s="17"/>
      <c r="O2437" s="17"/>
      <c r="P2437" s="17"/>
      <c r="Q2437" s="17"/>
      <c r="R2437" s="17"/>
      <c r="S2437" s="17"/>
      <c r="T2437" s="17"/>
    </row>
    <row r="2438">
      <c r="A2438" s="21">
        <v>1241.0</v>
      </c>
      <c r="B2438" s="20" t="s">
        <v>90</v>
      </c>
      <c r="C2438" s="20" t="s">
        <v>14</v>
      </c>
      <c r="D2438" s="20" t="s">
        <v>20</v>
      </c>
      <c r="E2438" s="12" t="str">
        <f>IFERROR(__xludf.DUMMYFUNCTION("FILTER(colegios!$B$2:$B5618,colegios!$A$2:$A5618=L2438)"),"501432 PAPA FRANCISCO I")</f>
        <v>501432 PAPA FRANCISCO I</v>
      </c>
      <c r="F2438" s="14" t="s">
        <v>16</v>
      </c>
      <c r="G2438" s="20" t="s">
        <v>17</v>
      </c>
      <c r="H2438" s="14" t="s">
        <v>18</v>
      </c>
      <c r="I2438" s="22">
        <v>2023.0</v>
      </c>
      <c r="J2438" s="16" t="str">
        <f>IFERROR(__xludf.DUMMYFUNCTION("FILTER('CLASFICACIÓN'!$F$3:$F5618,'CLASFICACIÓN'!$G$3:$G5618=M2438)"),"LOS 3 AÑOS")</f>
        <v>LOS 3 AÑOS</v>
      </c>
      <c r="K2438" s="16"/>
      <c r="L2438" s="14" t="s">
        <v>143</v>
      </c>
      <c r="M2438" s="16" t="str">
        <f t="shared" si="1"/>
        <v>501432 PAPA FRANCISCO I4 Primaria</v>
      </c>
      <c r="N2438" s="17"/>
      <c r="O2438" s="17"/>
      <c r="P2438" s="17"/>
      <c r="Q2438" s="17"/>
      <c r="R2438" s="17"/>
      <c r="S2438" s="17"/>
      <c r="T2438" s="17"/>
    </row>
    <row r="2439">
      <c r="A2439" s="21">
        <v>1242.0</v>
      </c>
      <c r="B2439" s="20" t="s">
        <v>90</v>
      </c>
      <c r="C2439" s="20" t="s">
        <v>14</v>
      </c>
      <c r="D2439" s="20" t="s">
        <v>20</v>
      </c>
      <c r="E2439" s="12" t="str">
        <f>IFERROR(__xludf.DUMMYFUNCTION("FILTER(colegios!$B$2:$B5618,colegios!$A$2:$A5618=L2439)"),"501432 PAPA FRANCISCO I")</f>
        <v>501432 PAPA FRANCISCO I</v>
      </c>
      <c r="F2439" s="14" t="s">
        <v>16</v>
      </c>
      <c r="G2439" s="20" t="s">
        <v>21</v>
      </c>
      <c r="H2439" s="14" t="s">
        <v>18</v>
      </c>
      <c r="I2439" s="22">
        <v>2023.0</v>
      </c>
      <c r="J2439" s="16" t="str">
        <f>IFERROR(__xludf.DUMMYFUNCTION("FILTER('CLASFICACIÓN'!$F$3:$F5618,'CLASFICACIÓN'!$G$3:$G5618=M2439)"),"LOS 3 AÑOS")</f>
        <v>LOS 3 AÑOS</v>
      </c>
      <c r="K2439" s="16"/>
      <c r="L2439" s="14" t="s">
        <v>143</v>
      </c>
      <c r="M2439" s="16" t="str">
        <f t="shared" si="1"/>
        <v>501432 PAPA FRANCISCO I4 Primaria</v>
      </c>
      <c r="N2439" s="17"/>
      <c r="O2439" s="17"/>
      <c r="P2439" s="17"/>
      <c r="Q2439" s="17"/>
      <c r="R2439" s="17"/>
      <c r="S2439" s="17"/>
      <c r="T2439" s="17"/>
    </row>
    <row r="2440">
      <c r="A2440" s="21">
        <v>1243.0</v>
      </c>
      <c r="B2440" s="20" t="s">
        <v>90</v>
      </c>
      <c r="C2440" s="20" t="s">
        <v>14</v>
      </c>
      <c r="D2440" s="20" t="s">
        <v>22</v>
      </c>
      <c r="E2440" s="12" t="str">
        <f>IFERROR(__xludf.DUMMYFUNCTION("FILTER(colegios!$B$2:$B5618,colegios!$A$2:$A5618=L2440)"),"501432 PAPA FRANCISCO I")</f>
        <v>501432 PAPA FRANCISCO I</v>
      </c>
      <c r="F2440" s="14" t="s">
        <v>16</v>
      </c>
      <c r="G2440" s="20" t="s">
        <v>21</v>
      </c>
      <c r="H2440" s="14" t="s">
        <v>18</v>
      </c>
      <c r="I2440" s="22">
        <v>2023.0</v>
      </c>
      <c r="J2440" s="16" t="str">
        <f>IFERROR(__xludf.DUMMYFUNCTION("FILTER('CLASFICACIÓN'!$F$3:$F5618,'CLASFICACIÓN'!$G$3:$G5618=M2440)"),"LOS 3 AÑOS")</f>
        <v>LOS 3 AÑOS</v>
      </c>
      <c r="K2440" s="16"/>
      <c r="L2440" s="14" t="s">
        <v>143</v>
      </c>
      <c r="M2440" s="16" t="str">
        <f t="shared" si="1"/>
        <v>501432 PAPA FRANCISCO I6 Primaria</v>
      </c>
      <c r="N2440" s="17"/>
      <c r="O2440" s="17"/>
      <c r="P2440" s="17"/>
      <c r="Q2440" s="17"/>
      <c r="R2440" s="17"/>
      <c r="S2440" s="17"/>
      <c r="T2440" s="17"/>
    </row>
    <row r="2441">
      <c r="A2441" s="21">
        <v>1244.0</v>
      </c>
      <c r="B2441" s="20" t="s">
        <v>90</v>
      </c>
      <c r="C2441" s="20" t="s">
        <v>14</v>
      </c>
      <c r="D2441" s="20" t="s">
        <v>22</v>
      </c>
      <c r="E2441" s="12" t="str">
        <f>IFERROR(__xludf.DUMMYFUNCTION("FILTER(colegios!$B$2:$B5618,colegios!$A$2:$A5618=L2441)"),"501432 PAPA FRANCISCO I")</f>
        <v>501432 PAPA FRANCISCO I</v>
      </c>
      <c r="F2441" s="14" t="s">
        <v>16</v>
      </c>
      <c r="G2441" s="20" t="s">
        <v>21</v>
      </c>
      <c r="H2441" s="14" t="s">
        <v>18</v>
      </c>
      <c r="I2441" s="22">
        <v>2023.0</v>
      </c>
      <c r="J2441" s="16" t="str">
        <f>IFERROR(__xludf.DUMMYFUNCTION("FILTER('CLASFICACIÓN'!$F$3:$F5618,'CLASFICACIÓN'!$G$3:$G5618=M2441)"),"LOS 3 AÑOS")</f>
        <v>LOS 3 AÑOS</v>
      </c>
      <c r="K2441" s="16"/>
      <c r="L2441" s="14" t="s">
        <v>143</v>
      </c>
      <c r="M2441" s="16" t="str">
        <f t="shared" si="1"/>
        <v>501432 PAPA FRANCISCO I6 Primaria</v>
      </c>
      <c r="N2441" s="17"/>
      <c r="O2441" s="17"/>
      <c r="P2441" s="17"/>
      <c r="Q2441" s="17"/>
      <c r="R2441" s="17"/>
      <c r="S2441" s="17"/>
      <c r="T2441" s="17"/>
    </row>
    <row r="2442">
      <c r="A2442" s="21">
        <v>1245.0</v>
      </c>
      <c r="B2442" s="20" t="s">
        <v>90</v>
      </c>
      <c r="C2442" s="20" t="s">
        <v>14</v>
      </c>
      <c r="D2442" s="20" t="s">
        <v>22</v>
      </c>
      <c r="E2442" s="12" t="str">
        <f>IFERROR(__xludf.DUMMYFUNCTION("FILTER(colegios!$B$2:$B5618,colegios!$A$2:$A5618=L2442)"),"501432 PAPA FRANCISCO I")</f>
        <v>501432 PAPA FRANCISCO I</v>
      </c>
      <c r="F2442" s="14" t="s">
        <v>16</v>
      </c>
      <c r="G2442" s="20" t="s">
        <v>17</v>
      </c>
      <c r="H2442" s="14" t="s">
        <v>18</v>
      </c>
      <c r="I2442" s="22">
        <v>2023.0</v>
      </c>
      <c r="J2442" s="16" t="str">
        <f>IFERROR(__xludf.DUMMYFUNCTION("FILTER('CLASFICACIÓN'!$F$3:$F5618,'CLASFICACIÓN'!$G$3:$G5618=M2442)"),"LOS 3 AÑOS")</f>
        <v>LOS 3 AÑOS</v>
      </c>
      <c r="K2442" s="16"/>
      <c r="L2442" s="14" t="s">
        <v>143</v>
      </c>
      <c r="M2442" s="16" t="str">
        <f t="shared" si="1"/>
        <v>501432 PAPA FRANCISCO I6 Primaria</v>
      </c>
      <c r="N2442" s="17"/>
      <c r="O2442" s="17"/>
      <c r="P2442" s="17"/>
      <c r="Q2442" s="17"/>
      <c r="R2442" s="17"/>
      <c r="S2442" s="17"/>
      <c r="T2442" s="17"/>
    </row>
    <row r="2443">
      <c r="A2443" s="21">
        <v>1246.0</v>
      </c>
      <c r="B2443" s="20" t="s">
        <v>90</v>
      </c>
      <c r="C2443" s="20" t="s">
        <v>14</v>
      </c>
      <c r="D2443" s="20" t="s">
        <v>22</v>
      </c>
      <c r="E2443" s="12" t="str">
        <f>IFERROR(__xludf.DUMMYFUNCTION("FILTER(colegios!$B$2:$B5618,colegios!$A$2:$A5618=L2443)"),"501432 PAPA FRANCISCO I")</f>
        <v>501432 PAPA FRANCISCO I</v>
      </c>
      <c r="F2443" s="14" t="s">
        <v>16</v>
      </c>
      <c r="G2443" s="20" t="s">
        <v>17</v>
      </c>
      <c r="H2443" s="14" t="s">
        <v>18</v>
      </c>
      <c r="I2443" s="22">
        <v>2023.0</v>
      </c>
      <c r="J2443" s="16" t="str">
        <f>IFERROR(__xludf.DUMMYFUNCTION("FILTER('CLASFICACIÓN'!$F$3:$F5618,'CLASFICACIÓN'!$G$3:$G5618=M2443)"),"LOS 3 AÑOS")</f>
        <v>LOS 3 AÑOS</v>
      </c>
      <c r="K2443" s="16"/>
      <c r="L2443" s="14" t="s">
        <v>143</v>
      </c>
      <c r="M2443" s="16" t="str">
        <f t="shared" si="1"/>
        <v>501432 PAPA FRANCISCO I6 Primaria</v>
      </c>
      <c r="N2443" s="17"/>
      <c r="O2443" s="17"/>
      <c r="P2443" s="17"/>
      <c r="Q2443" s="17"/>
      <c r="R2443" s="17"/>
      <c r="S2443" s="17"/>
      <c r="T2443" s="17"/>
    </row>
    <row r="2444">
      <c r="A2444" s="21">
        <v>1247.0</v>
      </c>
      <c r="B2444" s="20" t="s">
        <v>90</v>
      </c>
      <c r="C2444" s="20" t="s">
        <v>14</v>
      </c>
      <c r="D2444" s="20" t="s">
        <v>22</v>
      </c>
      <c r="E2444" s="12" t="str">
        <f>IFERROR(__xludf.DUMMYFUNCTION("FILTER(colegios!$B$2:$B5618,colegios!$A$2:$A5618=L2444)"),"501432 PAPA FRANCISCO I")</f>
        <v>501432 PAPA FRANCISCO I</v>
      </c>
      <c r="F2444" s="14" t="s">
        <v>16</v>
      </c>
      <c r="G2444" s="20" t="s">
        <v>17</v>
      </c>
      <c r="H2444" s="14" t="s">
        <v>18</v>
      </c>
      <c r="I2444" s="22">
        <v>2023.0</v>
      </c>
      <c r="J2444" s="16" t="str">
        <f>IFERROR(__xludf.DUMMYFUNCTION("FILTER('CLASFICACIÓN'!$F$3:$F5618,'CLASFICACIÓN'!$G$3:$G5618=M2444)"),"LOS 3 AÑOS")</f>
        <v>LOS 3 AÑOS</v>
      </c>
      <c r="K2444" s="16"/>
      <c r="L2444" s="14" t="s">
        <v>143</v>
      </c>
      <c r="M2444" s="16" t="str">
        <f t="shared" si="1"/>
        <v>501432 PAPA FRANCISCO I6 Primaria</v>
      </c>
      <c r="N2444" s="17"/>
      <c r="O2444" s="17"/>
      <c r="P2444" s="17"/>
      <c r="Q2444" s="17"/>
      <c r="R2444" s="17"/>
      <c r="S2444" s="17"/>
      <c r="T2444" s="17"/>
    </row>
    <row r="2445">
      <c r="A2445" s="21">
        <v>1248.0</v>
      </c>
      <c r="B2445" s="20" t="s">
        <v>90</v>
      </c>
      <c r="C2445" s="20" t="s">
        <v>14</v>
      </c>
      <c r="D2445" s="20" t="s">
        <v>22</v>
      </c>
      <c r="E2445" s="12" t="str">
        <f>IFERROR(__xludf.DUMMYFUNCTION("FILTER(colegios!$B$2:$B5618,colegios!$A$2:$A5618=L2445)"),"501432 PAPA FRANCISCO I")</f>
        <v>501432 PAPA FRANCISCO I</v>
      </c>
      <c r="F2445" s="14" t="s">
        <v>16</v>
      </c>
      <c r="G2445" s="20" t="s">
        <v>17</v>
      </c>
      <c r="H2445" s="14" t="s">
        <v>18</v>
      </c>
      <c r="I2445" s="22">
        <v>2023.0</v>
      </c>
      <c r="J2445" s="16" t="str">
        <f>IFERROR(__xludf.DUMMYFUNCTION("FILTER('CLASFICACIÓN'!$F$3:$F5618,'CLASFICACIÓN'!$G$3:$G5618=M2445)"),"LOS 3 AÑOS")</f>
        <v>LOS 3 AÑOS</v>
      </c>
      <c r="K2445" s="16"/>
      <c r="L2445" s="14" t="s">
        <v>143</v>
      </c>
      <c r="M2445" s="16" t="str">
        <f t="shared" si="1"/>
        <v>501432 PAPA FRANCISCO I6 Primaria</v>
      </c>
      <c r="N2445" s="17"/>
      <c r="O2445" s="17"/>
      <c r="P2445" s="17"/>
      <c r="Q2445" s="17"/>
      <c r="R2445" s="17"/>
      <c r="S2445" s="17"/>
      <c r="T2445" s="17"/>
    </row>
    <row r="2446">
      <c r="A2446" s="21">
        <v>1249.0</v>
      </c>
      <c r="B2446" s="20" t="s">
        <v>90</v>
      </c>
      <c r="C2446" s="20" t="s">
        <v>14</v>
      </c>
      <c r="D2446" s="20" t="s">
        <v>22</v>
      </c>
      <c r="E2446" s="12" t="str">
        <f>IFERROR(__xludf.DUMMYFUNCTION("FILTER(colegios!$B$2:$B5618,colegios!$A$2:$A5618=L2446)"),"501432 PAPA FRANCISCO I")</f>
        <v>501432 PAPA FRANCISCO I</v>
      </c>
      <c r="F2446" s="14" t="s">
        <v>16</v>
      </c>
      <c r="G2446" s="20" t="s">
        <v>17</v>
      </c>
      <c r="H2446" s="14" t="s">
        <v>18</v>
      </c>
      <c r="I2446" s="22">
        <v>2023.0</v>
      </c>
      <c r="J2446" s="16" t="str">
        <f>IFERROR(__xludf.DUMMYFUNCTION("FILTER('CLASFICACIÓN'!$F$3:$F5618,'CLASFICACIÓN'!$G$3:$G5618=M2446)"),"LOS 3 AÑOS")</f>
        <v>LOS 3 AÑOS</v>
      </c>
      <c r="K2446" s="16"/>
      <c r="L2446" s="14" t="s">
        <v>143</v>
      </c>
      <c r="M2446" s="16" t="str">
        <f t="shared" si="1"/>
        <v>501432 PAPA FRANCISCO I6 Primaria</v>
      </c>
      <c r="N2446" s="17"/>
      <c r="O2446" s="17"/>
      <c r="P2446" s="17"/>
      <c r="Q2446" s="17"/>
      <c r="R2446" s="17"/>
      <c r="S2446" s="17"/>
      <c r="T2446" s="17"/>
    </row>
    <row r="2447">
      <c r="A2447" s="21">
        <v>1250.0</v>
      </c>
      <c r="B2447" s="20" t="s">
        <v>90</v>
      </c>
      <c r="C2447" s="20" t="s">
        <v>14</v>
      </c>
      <c r="D2447" s="20" t="s">
        <v>22</v>
      </c>
      <c r="E2447" s="12" t="str">
        <f>IFERROR(__xludf.DUMMYFUNCTION("FILTER(colegios!$B$2:$B5618,colegios!$A$2:$A5618=L2447)"),"501432 PAPA FRANCISCO I")</f>
        <v>501432 PAPA FRANCISCO I</v>
      </c>
      <c r="F2447" s="14" t="s">
        <v>16</v>
      </c>
      <c r="G2447" s="20" t="s">
        <v>21</v>
      </c>
      <c r="H2447" s="14" t="s">
        <v>18</v>
      </c>
      <c r="I2447" s="22">
        <v>2023.0</v>
      </c>
      <c r="J2447" s="16" t="str">
        <f>IFERROR(__xludf.DUMMYFUNCTION("FILTER('CLASFICACIÓN'!$F$3:$F5618,'CLASFICACIÓN'!$G$3:$G5618=M2447)"),"LOS 3 AÑOS")</f>
        <v>LOS 3 AÑOS</v>
      </c>
      <c r="K2447" s="16"/>
      <c r="L2447" s="14" t="s">
        <v>143</v>
      </c>
      <c r="M2447" s="16" t="str">
        <f t="shared" si="1"/>
        <v>501432 PAPA FRANCISCO I6 Primaria</v>
      </c>
      <c r="N2447" s="17"/>
      <c r="O2447" s="17"/>
      <c r="P2447" s="17"/>
      <c r="Q2447" s="17"/>
      <c r="R2447" s="17"/>
      <c r="S2447" s="17"/>
      <c r="T2447" s="17"/>
    </row>
    <row r="2448">
      <c r="A2448" s="21">
        <v>1251.0</v>
      </c>
      <c r="B2448" s="20" t="s">
        <v>90</v>
      </c>
      <c r="C2448" s="20" t="s">
        <v>14</v>
      </c>
      <c r="D2448" s="20" t="s">
        <v>22</v>
      </c>
      <c r="E2448" s="12" t="str">
        <f>IFERROR(__xludf.DUMMYFUNCTION("FILTER(colegios!$B$2:$B5618,colegios!$A$2:$A5618=L2448)"),"501432 PAPA FRANCISCO I")</f>
        <v>501432 PAPA FRANCISCO I</v>
      </c>
      <c r="F2448" s="14" t="s">
        <v>16</v>
      </c>
      <c r="G2448" s="20" t="s">
        <v>21</v>
      </c>
      <c r="H2448" s="14" t="s">
        <v>18</v>
      </c>
      <c r="I2448" s="22">
        <v>2023.0</v>
      </c>
      <c r="J2448" s="16" t="str">
        <f>IFERROR(__xludf.DUMMYFUNCTION("FILTER('CLASFICACIÓN'!$F$3:$F5618,'CLASFICACIÓN'!$G$3:$G5618=M2448)"),"LOS 3 AÑOS")</f>
        <v>LOS 3 AÑOS</v>
      </c>
      <c r="K2448" s="16"/>
      <c r="L2448" s="14" t="s">
        <v>143</v>
      </c>
      <c r="M2448" s="16" t="str">
        <f t="shared" si="1"/>
        <v>501432 PAPA FRANCISCO I6 Primaria</v>
      </c>
      <c r="N2448" s="17"/>
      <c r="O2448" s="17"/>
      <c r="P2448" s="17"/>
      <c r="Q2448" s="17"/>
      <c r="R2448" s="17"/>
      <c r="S2448" s="17"/>
      <c r="T2448" s="17"/>
    </row>
    <row r="2449">
      <c r="A2449" s="21">
        <v>1252.0</v>
      </c>
      <c r="B2449" s="20" t="s">
        <v>90</v>
      </c>
      <c r="C2449" s="20" t="s">
        <v>14</v>
      </c>
      <c r="D2449" s="20" t="s">
        <v>15</v>
      </c>
      <c r="E2449" s="12" t="str">
        <f>IFERROR(__xludf.DUMMYFUNCTION("FILTER(colegios!$B$2:$B5618,colegios!$A$2:$A5618=L2449)"),"50715")</f>
        <v>50715</v>
      </c>
      <c r="F2449" s="14" t="s">
        <v>16</v>
      </c>
      <c r="G2449" s="20" t="s">
        <v>17</v>
      </c>
      <c r="H2449" s="14" t="s">
        <v>18</v>
      </c>
      <c r="I2449" s="22">
        <v>2023.0</v>
      </c>
      <c r="J2449" s="16" t="str">
        <f>IFERROR(__xludf.DUMMYFUNCTION("FILTER('CLASFICACIÓN'!$F$3:$F5618,'CLASFICACIÓN'!$G$3:$G5618=M2449)"),"LOS 3 AÑOS")</f>
        <v>LOS 3 AÑOS</v>
      </c>
      <c r="K2449" s="16"/>
      <c r="L2449" s="14" t="s">
        <v>144</v>
      </c>
      <c r="M2449" s="16" t="str">
        <f t="shared" si="1"/>
        <v>507152 Primaria</v>
      </c>
      <c r="N2449" s="17"/>
      <c r="O2449" s="17"/>
      <c r="P2449" s="17"/>
      <c r="Q2449" s="17"/>
      <c r="R2449" s="17"/>
      <c r="S2449" s="17"/>
      <c r="T2449" s="17"/>
    </row>
    <row r="2450">
      <c r="A2450" s="21">
        <v>1253.0</v>
      </c>
      <c r="B2450" s="20" t="s">
        <v>90</v>
      </c>
      <c r="C2450" s="20" t="s">
        <v>14</v>
      </c>
      <c r="D2450" s="20" t="s">
        <v>15</v>
      </c>
      <c r="E2450" s="12" t="str">
        <f>IFERROR(__xludf.DUMMYFUNCTION("FILTER(colegios!$B$2:$B5618,colegios!$A$2:$A5618=L2450)"),"50715")</f>
        <v>50715</v>
      </c>
      <c r="F2450" s="14" t="s">
        <v>16</v>
      </c>
      <c r="G2450" s="20" t="s">
        <v>17</v>
      </c>
      <c r="H2450" s="14" t="s">
        <v>24</v>
      </c>
      <c r="I2450" s="22">
        <v>2023.0</v>
      </c>
      <c r="J2450" s="16" t="str">
        <f>IFERROR(__xludf.DUMMYFUNCTION("FILTER('CLASFICACIÓN'!$F$3:$F5618,'CLASFICACIÓN'!$G$3:$G5618=M2450)"),"LOS 3 AÑOS")</f>
        <v>LOS 3 AÑOS</v>
      </c>
      <c r="K2450" s="16"/>
      <c r="L2450" s="14" t="s">
        <v>144</v>
      </c>
      <c r="M2450" s="16" t="str">
        <f t="shared" si="1"/>
        <v>507152 Primaria</v>
      </c>
      <c r="N2450" s="17"/>
      <c r="O2450" s="17"/>
      <c r="P2450" s="17"/>
      <c r="Q2450" s="17"/>
      <c r="R2450" s="17"/>
      <c r="S2450" s="17"/>
      <c r="T2450" s="17"/>
    </row>
    <row r="2451">
      <c r="A2451" s="21">
        <v>1254.0</v>
      </c>
      <c r="B2451" s="20" t="s">
        <v>90</v>
      </c>
      <c r="C2451" s="20" t="s">
        <v>14</v>
      </c>
      <c r="D2451" s="20" t="s">
        <v>20</v>
      </c>
      <c r="E2451" s="12" t="str">
        <f>IFERROR(__xludf.DUMMYFUNCTION("FILTER(colegios!$B$2:$B5618,colegios!$A$2:$A5618=L2451)"),"50715")</f>
        <v>50715</v>
      </c>
      <c r="F2451" s="14" t="s">
        <v>16</v>
      </c>
      <c r="G2451" s="20" t="s">
        <v>21</v>
      </c>
      <c r="H2451" s="14" t="s">
        <v>24</v>
      </c>
      <c r="I2451" s="22">
        <v>2023.0</v>
      </c>
      <c r="J2451" s="16" t="str">
        <f>IFERROR(__xludf.DUMMYFUNCTION("FILTER('CLASFICACIÓN'!$F$3:$F5618,'CLASFICACIÓN'!$G$3:$G5618=M2451)"),"LOS 3 AÑOS")</f>
        <v>LOS 3 AÑOS</v>
      </c>
      <c r="K2451" s="16"/>
      <c r="L2451" s="14" t="s">
        <v>144</v>
      </c>
      <c r="M2451" s="16" t="str">
        <f t="shared" si="1"/>
        <v>507154 Primaria</v>
      </c>
      <c r="N2451" s="17"/>
      <c r="O2451" s="17"/>
      <c r="P2451" s="17"/>
      <c r="Q2451" s="17"/>
      <c r="R2451" s="17"/>
      <c r="S2451" s="17"/>
      <c r="T2451" s="17"/>
    </row>
    <row r="2452">
      <c r="A2452" s="21">
        <v>1255.0</v>
      </c>
      <c r="B2452" s="20" t="s">
        <v>90</v>
      </c>
      <c r="C2452" s="20" t="s">
        <v>14</v>
      </c>
      <c r="D2452" s="20" t="s">
        <v>22</v>
      </c>
      <c r="E2452" s="12" t="str">
        <f>IFERROR(__xludf.DUMMYFUNCTION("FILTER(colegios!$B$2:$B5618,colegios!$A$2:$A5618=L2452)"),"50715")</f>
        <v>50715</v>
      </c>
      <c r="F2452" s="14" t="s">
        <v>16</v>
      </c>
      <c r="G2452" s="20" t="s">
        <v>21</v>
      </c>
      <c r="H2452" s="14" t="s">
        <v>18</v>
      </c>
      <c r="I2452" s="22">
        <v>2023.0</v>
      </c>
      <c r="J2452" s="16" t="str">
        <f>IFERROR(__xludf.DUMMYFUNCTION("FILTER('CLASFICACIÓN'!$F$3:$F5618,'CLASFICACIÓN'!$G$3:$G5618=M2452)"),"LOS 3 AÑOS")</f>
        <v>LOS 3 AÑOS</v>
      </c>
      <c r="K2452" s="16"/>
      <c r="L2452" s="14" t="s">
        <v>144</v>
      </c>
      <c r="M2452" s="16" t="str">
        <f t="shared" si="1"/>
        <v>507156 Primaria</v>
      </c>
      <c r="N2452" s="17"/>
      <c r="O2452" s="17"/>
      <c r="P2452" s="17"/>
      <c r="Q2452" s="17"/>
      <c r="R2452" s="17"/>
      <c r="S2452" s="17"/>
      <c r="T2452" s="17"/>
    </row>
    <row r="2453">
      <c r="A2453" s="21">
        <v>1256.0</v>
      </c>
      <c r="B2453" s="20" t="s">
        <v>90</v>
      </c>
      <c r="C2453" s="20" t="s">
        <v>14</v>
      </c>
      <c r="D2453" s="20" t="s">
        <v>22</v>
      </c>
      <c r="E2453" s="12" t="str">
        <f>IFERROR(__xludf.DUMMYFUNCTION("FILTER(colegios!$B$2:$B5618,colegios!$A$2:$A5618=L2453)"),"50715")</f>
        <v>50715</v>
      </c>
      <c r="F2453" s="14" t="s">
        <v>16</v>
      </c>
      <c r="G2453" s="20" t="s">
        <v>21</v>
      </c>
      <c r="H2453" s="14" t="s">
        <v>24</v>
      </c>
      <c r="I2453" s="22">
        <v>2023.0</v>
      </c>
      <c r="J2453" s="16" t="str">
        <f>IFERROR(__xludf.DUMMYFUNCTION("FILTER('CLASFICACIÓN'!$F$3:$F5618,'CLASFICACIÓN'!$G$3:$G5618=M2453)"),"LOS 3 AÑOS")</f>
        <v>LOS 3 AÑOS</v>
      </c>
      <c r="K2453" s="16"/>
      <c r="L2453" s="14" t="s">
        <v>144</v>
      </c>
      <c r="M2453" s="16" t="str">
        <f t="shared" si="1"/>
        <v>507156 Primaria</v>
      </c>
      <c r="N2453" s="17"/>
      <c r="O2453" s="17"/>
      <c r="P2453" s="17"/>
      <c r="Q2453" s="17"/>
      <c r="R2453" s="17"/>
      <c r="S2453" s="17"/>
      <c r="T2453" s="17"/>
    </row>
    <row r="2454">
      <c r="A2454" s="21">
        <v>1257.0</v>
      </c>
      <c r="B2454" s="20" t="s">
        <v>90</v>
      </c>
      <c r="C2454" s="20" t="s">
        <v>14</v>
      </c>
      <c r="D2454" s="20" t="s">
        <v>15</v>
      </c>
      <c r="E2454" s="12" t="str">
        <f>IFERROR(__xludf.DUMMYFUNCTION("FILTER(colegios!$B$2:$B5618,colegios!$A$2:$A5618=L2454)"),"50553")</f>
        <v>50553</v>
      </c>
      <c r="F2454" s="14" t="s">
        <v>16</v>
      </c>
      <c r="G2454" s="20" t="s">
        <v>21</v>
      </c>
      <c r="H2454" s="14" t="s">
        <v>24</v>
      </c>
      <c r="I2454" s="22">
        <v>2023.0</v>
      </c>
      <c r="J2454" s="16" t="str">
        <f>IFERROR(__xludf.DUMMYFUNCTION("FILTER('CLASFICACIÓN'!$F$3:$F5618,'CLASFICACIÓN'!$G$3:$G5618=M2454)"),"LOS 3 AÑOS")</f>
        <v>LOS 3 AÑOS</v>
      </c>
      <c r="K2454" s="16"/>
      <c r="L2454" s="14" t="s">
        <v>145</v>
      </c>
      <c r="M2454" s="16" t="str">
        <f t="shared" si="1"/>
        <v>505532 Primaria</v>
      </c>
      <c r="N2454" s="17"/>
      <c r="O2454" s="17"/>
      <c r="P2454" s="17"/>
      <c r="Q2454" s="17"/>
      <c r="R2454" s="17"/>
      <c r="S2454" s="17"/>
      <c r="T2454" s="17"/>
    </row>
    <row r="2455">
      <c r="A2455" s="21">
        <v>1258.0</v>
      </c>
      <c r="B2455" s="20" t="s">
        <v>90</v>
      </c>
      <c r="C2455" s="20" t="s">
        <v>14</v>
      </c>
      <c r="D2455" s="20" t="s">
        <v>20</v>
      </c>
      <c r="E2455" s="12" t="str">
        <f>IFERROR(__xludf.DUMMYFUNCTION("FILTER(colegios!$B$2:$B5618,colegios!$A$2:$A5618=L2455)"),"50553")</f>
        <v>50553</v>
      </c>
      <c r="F2455" s="14" t="s">
        <v>16</v>
      </c>
      <c r="G2455" s="20" t="s">
        <v>17</v>
      </c>
      <c r="H2455" s="14" t="s">
        <v>18</v>
      </c>
      <c r="I2455" s="22">
        <v>2023.0</v>
      </c>
      <c r="J2455" s="16" t="str">
        <f>IFERROR(__xludf.DUMMYFUNCTION("FILTER('CLASFICACIÓN'!$F$3:$F5618,'CLASFICACIÓN'!$G$3:$G5618=M2455)"),"LOS 3 AÑOS")</f>
        <v>LOS 3 AÑOS</v>
      </c>
      <c r="K2455" s="16"/>
      <c r="L2455" s="14" t="s">
        <v>145</v>
      </c>
      <c r="M2455" s="16" t="str">
        <f t="shared" si="1"/>
        <v>505534 Primaria</v>
      </c>
      <c r="N2455" s="17"/>
      <c r="O2455" s="17"/>
      <c r="P2455" s="17"/>
      <c r="Q2455" s="17"/>
      <c r="R2455" s="17"/>
      <c r="S2455" s="17"/>
      <c r="T2455" s="17"/>
    </row>
    <row r="2456">
      <c r="A2456" s="21">
        <v>1259.0</v>
      </c>
      <c r="B2456" s="20" t="s">
        <v>90</v>
      </c>
      <c r="C2456" s="20" t="s">
        <v>14</v>
      </c>
      <c r="D2456" s="20" t="s">
        <v>22</v>
      </c>
      <c r="E2456" s="12" t="str">
        <f>IFERROR(__xludf.DUMMYFUNCTION("FILTER(colegios!$B$2:$B5618,colegios!$A$2:$A5618=L2456)"),"50553")</f>
        <v>50553</v>
      </c>
      <c r="F2456" s="14" t="s">
        <v>16</v>
      </c>
      <c r="G2456" s="20" t="s">
        <v>21</v>
      </c>
      <c r="H2456" s="14" t="s">
        <v>18</v>
      </c>
      <c r="I2456" s="22">
        <v>2023.0</v>
      </c>
      <c r="J2456" s="16" t="str">
        <f>IFERROR(__xludf.DUMMYFUNCTION("FILTER('CLASFICACIÓN'!$F$3:$F5618,'CLASFICACIÓN'!$G$3:$G5618=M2456)"),"LOS 3 AÑOS")</f>
        <v>LOS 3 AÑOS</v>
      </c>
      <c r="K2456" s="16"/>
      <c r="L2456" s="14" t="s">
        <v>145</v>
      </c>
      <c r="M2456" s="16" t="str">
        <f t="shared" si="1"/>
        <v>505536 Primaria</v>
      </c>
      <c r="N2456" s="17"/>
      <c r="O2456" s="17"/>
      <c r="P2456" s="17"/>
      <c r="Q2456" s="17"/>
      <c r="R2456" s="17"/>
      <c r="S2456" s="17"/>
      <c r="T2456" s="17"/>
    </row>
    <row r="2457">
      <c r="A2457" s="21">
        <v>1260.0</v>
      </c>
      <c r="B2457" s="20" t="s">
        <v>90</v>
      </c>
      <c r="C2457" s="20" t="s">
        <v>14</v>
      </c>
      <c r="D2457" s="20" t="s">
        <v>22</v>
      </c>
      <c r="E2457" s="12" t="str">
        <f>IFERROR(__xludf.DUMMYFUNCTION("FILTER(colegios!$B$2:$B5618,colegios!$A$2:$A5618=L2457)"),"50553")</f>
        <v>50553</v>
      </c>
      <c r="F2457" s="14" t="s">
        <v>16</v>
      </c>
      <c r="G2457" s="20" t="s">
        <v>21</v>
      </c>
      <c r="H2457" s="14" t="s">
        <v>24</v>
      </c>
      <c r="I2457" s="22">
        <v>2023.0</v>
      </c>
      <c r="J2457" s="16" t="str">
        <f>IFERROR(__xludf.DUMMYFUNCTION("FILTER('CLASFICACIÓN'!$F$3:$F5618,'CLASFICACIÓN'!$G$3:$G5618=M2457)"),"LOS 3 AÑOS")</f>
        <v>LOS 3 AÑOS</v>
      </c>
      <c r="K2457" s="16"/>
      <c r="L2457" s="14" t="s">
        <v>145</v>
      </c>
      <c r="M2457" s="16" t="str">
        <f t="shared" si="1"/>
        <v>505536 Primaria</v>
      </c>
      <c r="N2457" s="17"/>
      <c r="O2457" s="17"/>
      <c r="P2457" s="17"/>
      <c r="Q2457" s="17"/>
      <c r="R2457" s="17"/>
      <c r="S2457" s="17"/>
      <c r="T2457" s="17"/>
    </row>
    <row r="2458">
      <c r="A2458" s="21">
        <v>1261.0</v>
      </c>
      <c r="B2458" s="20" t="s">
        <v>90</v>
      </c>
      <c r="C2458" s="20" t="s">
        <v>14</v>
      </c>
      <c r="D2458" s="20" t="s">
        <v>15</v>
      </c>
      <c r="E2458" s="12" t="str">
        <f>IFERROR(__xludf.DUMMYFUNCTION("FILTER(colegios!$B$2:$B5618,colegios!$A$2:$A5618=L2458)"),"50492 CORAZON DE JESUS")</f>
        <v>50492 CORAZON DE JESUS</v>
      </c>
      <c r="F2458" s="14" t="s">
        <v>16</v>
      </c>
      <c r="G2458" s="20" t="s">
        <v>17</v>
      </c>
      <c r="H2458" s="14" t="s">
        <v>18</v>
      </c>
      <c r="I2458" s="22">
        <v>2023.0</v>
      </c>
      <c r="J2458" s="16" t="str">
        <f>IFERROR(__xludf.DUMMYFUNCTION("FILTER('CLASFICACIÓN'!$F$3:$F5618,'CLASFICACIÓN'!$G$3:$G5618=M2458)"),"LOS 3 AÑOS")</f>
        <v>LOS 3 AÑOS</v>
      </c>
      <c r="K2458" s="16"/>
      <c r="L2458" s="14" t="s">
        <v>146</v>
      </c>
      <c r="M2458" s="16" t="str">
        <f t="shared" si="1"/>
        <v>50492 CORAZON DE JESUS2 Primaria</v>
      </c>
      <c r="N2458" s="17"/>
      <c r="O2458" s="17"/>
      <c r="P2458" s="17"/>
      <c r="Q2458" s="17"/>
      <c r="R2458" s="17"/>
      <c r="S2458" s="17"/>
      <c r="T2458" s="17"/>
    </row>
    <row r="2459">
      <c r="A2459" s="21">
        <v>1262.0</v>
      </c>
      <c r="B2459" s="20" t="s">
        <v>90</v>
      </c>
      <c r="C2459" s="20" t="s">
        <v>14</v>
      </c>
      <c r="D2459" s="20" t="s">
        <v>15</v>
      </c>
      <c r="E2459" s="12" t="str">
        <f>IFERROR(__xludf.DUMMYFUNCTION("FILTER(colegios!$B$2:$B5618,colegios!$A$2:$A5618=L2459)"),"50492 CORAZON DE JESUS")</f>
        <v>50492 CORAZON DE JESUS</v>
      </c>
      <c r="F2459" s="14" t="s">
        <v>16</v>
      </c>
      <c r="G2459" s="20" t="s">
        <v>17</v>
      </c>
      <c r="H2459" s="14" t="s">
        <v>18</v>
      </c>
      <c r="I2459" s="22">
        <v>2023.0</v>
      </c>
      <c r="J2459" s="16" t="str">
        <f>IFERROR(__xludf.DUMMYFUNCTION("FILTER('CLASFICACIÓN'!$F$3:$F5618,'CLASFICACIÓN'!$G$3:$G5618=M2459)"),"LOS 3 AÑOS")</f>
        <v>LOS 3 AÑOS</v>
      </c>
      <c r="K2459" s="16"/>
      <c r="L2459" s="14" t="s">
        <v>146</v>
      </c>
      <c r="M2459" s="16" t="str">
        <f t="shared" si="1"/>
        <v>50492 CORAZON DE JESUS2 Primaria</v>
      </c>
      <c r="N2459" s="17"/>
      <c r="O2459" s="17"/>
      <c r="P2459" s="17"/>
      <c r="Q2459" s="17"/>
      <c r="R2459" s="17"/>
      <c r="S2459" s="17"/>
      <c r="T2459" s="17"/>
    </row>
    <row r="2460">
      <c r="A2460" s="21">
        <v>1263.0</v>
      </c>
      <c r="B2460" s="20" t="s">
        <v>90</v>
      </c>
      <c r="C2460" s="20" t="s">
        <v>14</v>
      </c>
      <c r="D2460" s="20" t="s">
        <v>15</v>
      </c>
      <c r="E2460" s="12" t="str">
        <f>IFERROR(__xludf.DUMMYFUNCTION("FILTER(colegios!$B$2:$B5618,colegios!$A$2:$A5618=L2460)"),"50492 CORAZON DE JESUS")</f>
        <v>50492 CORAZON DE JESUS</v>
      </c>
      <c r="F2460" s="14" t="s">
        <v>16</v>
      </c>
      <c r="G2460" s="20" t="s">
        <v>21</v>
      </c>
      <c r="H2460" s="14" t="s">
        <v>18</v>
      </c>
      <c r="I2460" s="22">
        <v>2023.0</v>
      </c>
      <c r="J2460" s="16" t="str">
        <f>IFERROR(__xludf.DUMMYFUNCTION("FILTER('CLASFICACIÓN'!$F$3:$F5618,'CLASFICACIÓN'!$G$3:$G5618=M2460)"),"LOS 3 AÑOS")</f>
        <v>LOS 3 AÑOS</v>
      </c>
      <c r="K2460" s="16"/>
      <c r="L2460" s="14" t="s">
        <v>146</v>
      </c>
      <c r="M2460" s="16" t="str">
        <f t="shared" si="1"/>
        <v>50492 CORAZON DE JESUS2 Primaria</v>
      </c>
      <c r="N2460" s="17"/>
      <c r="O2460" s="17"/>
      <c r="P2460" s="17"/>
      <c r="Q2460" s="17"/>
      <c r="R2460" s="17"/>
      <c r="S2460" s="17"/>
      <c r="T2460" s="17"/>
    </row>
    <row r="2461">
      <c r="A2461" s="21">
        <v>1264.0</v>
      </c>
      <c r="B2461" s="20" t="s">
        <v>90</v>
      </c>
      <c r="C2461" s="20" t="s">
        <v>14</v>
      </c>
      <c r="D2461" s="20" t="s">
        <v>15</v>
      </c>
      <c r="E2461" s="12" t="str">
        <f>IFERROR(__xludf.DUMMYFUNCTION("FILTER(colegios!$B$2:$B5618,colegios!$A$2:$A5618=L2461)"),"50492 CORAZON DE JESUS")</f>
        <v>50492 CORAZON DE JESUS</v>
      </c>
      <c r="F2461" s="14" t="s">
        <v>16</v>
      </c>
      <c r="G2461" s="20" t="s">
        <v>17</v>
      </c>
      <c r="H2461" s="14" t="s">
        <v>24</v>
      </c>
      <c r="I2461" s="22">
        <v>2023.0</v>
      </c>
      <c r="J2461" s="16" t="str">
        <f>IFERROR(__xludf.DUMMYFUNCTION("FILTER('CLASFICACIÓN'!$F$3:$F5618,'CLASFICACIÓN'!$G$3:$G5618=M2461)"),"LOS 3 AÑOS")</f>
        <v>LOS 3 AÑOS</v>
      </c>
      <c r="K2461" s="16"/>
      <c r="L2461" s="14" t="s">
        <v>146</v>
      </c>
      <c r="M2461" s="16" t="str">
        <f t="shared" si="1"/>
        <v>50492 CORAZON DE JESUS2 Primaria</v>
      </c>
      <c r="N2461" s="17"/>
      <c r="O2461" s="17"/>
      <c r="P2461" s="17"/>
      <c r="Q2461" s="17"/>
      <c r="R2461" s="17"/>
      <c r="S2461" s="17"/>
      <c r="T2461" s="17"/>
    </row>
    <row r="2462">
      <c r="A2462" s="21">
        <v>1265.0</v>
      </c>
      <c r="B2462" s="20" t="s">
        <v>90</v>
      </c>
      <c r="C2462" s="20" t="s">
        <v>14</v>
      </c>
      <c r="D2462" s="20" t="s">
        <v>15</v>
      </c>
      <c r="E2462" s="12" t="str">
        <f>IFERROR(__xludf.DUMMYFUNCTION("FILTER(colegios!$B$2:$B5618,colegios!$A$2:$A5618=L2462)"),"50492 CORAZON DE JESUS")</f>
        <v>50492 CORAZON DE JESUS</v>
      </c>
      <c r="F2462" s="14" t="s">
        <v>16</v>
      </c>
      <c r="G2462" s="20" t="s">
        <v>21</v>
      </c>
      <c r="H2462" s="14" t="s">
        <v>18</v>
      </c>
      <c r="I2462" s="22">
        <v>2023.0</v>
      </c>
      <c r="J2462" s="16" t="str">
        <f>IFERROR(__xludf.DUMMYFUNCTION("FILTER('CLASFICACIÓN'!$F$3:$F5618,'CLASFICACIÓN'!$G$3:$G5618=M2462)"),"LOS 3 AÑOS")</f>
        <v>LOS 3 AÑOS</v>
      </c>
      <c r="K2462" s="16"/>
      <c r="L2462" s="14" t="s">
        <v>146</v>
      </c>
      <c r="M2462" s="16" t="str">
        <f t="shared" si="1"/>
        <v>50492 CORAZON DE JESUS2 Primaria</v>
      </c>
      <c r="N2462" s="17"/>
      <c r="O2462" s="17"/>
      <c r="P2462" s="17"/>
      <c r="Q2462" s="17"/>
      <c r="R2462" s="17"/>
      <c r="S2462" s="17"/>
      <c r="T2462" s="17"/>
    </row>
    <row r="2463">
      <c r="A2463" s="21">
        <v>1266.0</v>
      </c>
      <c r="B2463" s="20" t="s">
        <v>90</v>
      </c>
      <c r="C2463" s="20" t="s">
        <v>14</v>
      </c>
      <c r="D2463" s="20" t="s">
        <v>15</v>
      </c>
      <c r="E2463" s="12" t="str">
        <f>IFERROR(__xludf.DUMMYFUNCTION("FILTER(colegios!$B$2:$B5618,colegios!$A$2:$A5618=L2463)"),"50492 CORAZON DE JESUS")</f>
        <v>50492 CORAZON DE JESUS</v>
      </c>
      <c r="F2463" s="14" t="s">
        <v>16</v>
      </c>
      <c r="G2463" s="20" t="s">
        <v>21</v>
      </c>
      <c r="H2463" s="14" t="s">
        <v>24</v>
      </c>
      <c r="I2463" s="22">
        <v>2023.0</v>
      </c>
      <c r="J2463" s="16" t="str">
        <f>IFERROR(__xludf.DUMMYFUNCTION("FILTER('CLASFICACIÓN'!$F$3:$F5618,'CLASFICACIÓN'!$G$3:$G5618=M2463)"),"LOS 3 AÑOS")</f>
        <v>LOS 3 AÑOS</v>
      </c>
      <c r="K2463" s="16"/>
      <c r="L2463" s="14" t="s">
        <v>146</v>
      </c>
      <c r="M2463" s="16" t="str">
        <f t="shared" si="1"/>
        <v>50492 CORAZON DE JESUS2 Primaria</v>
      </c>
      <c r="N2463" s="17"/>
      <c r="O2463" s="17"/>
      <c r="P2463" s="17"/>
      <c r="Q2463" s="17"/>
      <c r="R2463" s="17"/>
      <c r="S2463" s="17"/>
      <c r="T2463" s="17"/>
    </row>
    <row r="2464">
      <c r="A2464" s="21">
        <v>1267.0</v>
      </c>
      <c r="B2464" s="20" t="s">
        <v>90</v>
      </c>
      <c r="C2464" s="20" t="s">
        <v>14</v>
      </c>
      <c r="D2464" s="20" t="s">
        <v>15</v>
      </c>
      <c r="E2464" s="12" t="str">
        <f>IFERROR(__xludf.DUMMYFUNCTION("FILTER(colegios!$B$2:$B5618,colegios!$A$2:$A5618=L2464)"),"50492 CORAZON DE JESUS")</f>
        <v>50492 CORAZON DE JESUS</v>
      </c>
      <c r="F2464" s="14" t="s">
        <v>16</v>
      </c>
      <c r="G2464" s="20" t="s">
        <v>21</v>
      </c>
      <c r="H2464" s="14" t="s">
        <v>18</v>
      </c>
      <c r="I2464" s="22">
        <v>2023.0</v>
      </c>
      <c r="J2464" s="16" t="str">
        <f>IFERROR(__xludf.DUMMYFUNCTION("FILTER('CLASFICACIÓN'!$F$3:$F5618,'CLASFICACIÓN'!$G$3:$G5618=M2464)"),"LOS 3 AÑOS")</f>
        <v>LOS 3 AÑOS</v>
      </c>
      <c r="K2464" s="16"/>
      <c r="L2464" s="14" t="s">
        <v>146</v>
      </c>
      <c r="M2464" s="16" t="str">
        <f t="shared" si="1"/>
        <v>50492 CORAZON DE JESUS2 Primaria</v>
      </c>
      <c r="N2464" s="17"/>
      <c r="O2464" s="17"/>
      <c r="P2464" s="17"/>
      <c r="Q2464" s="17"/>
      <c r="R2464" s="17"/>
      <c r="S2464" s="17"/>
      <c r="T2464" s="17"/>
    </row>
    <row r="2465">
      <c r="A2465" s="21">
        <v>1268.0</v>
      </c>
      <c r="B2465" s="20" t="s">
        <v>90</v>
      </c>
      <c r="C2465" s="20" t="s">
        <v>14</v>
      </c>
      <c r="D2465" s="20" t="s">
        <v>15</v>
      </c>
      <c r="E2465" s="12" t="str">
        <f>IFERROR(__xludf.DUMMYFUNCTION("FILTER(colegios!$B$2:$B5618,colegios!$A$2:$A5618=L2465)"),"50492 CORAZON DE JESUS")</f>
        <v>50492 CORAZON DE JESUS</v>
      </c>
      <c r="F2465" s="14" t="s">
        <v>16</v>
      </c>
      <c r="G2465" s="20" t="s">
        <v>21</v>
      </c>
      <c r="H2465" s="14" t="s">
        <v>18</v>
      </c>
      <c r="I2465" s="22">
        <v>2023.0</v>
      </c>
      <c r="J2465" s="16" t="str">
        <f>IFERROR(__xludf.DUMMYFUNCTION("FILTER('CLASFICACIÓN'!$F$3:$F5618,'CLASFICACIÓN'!$G$3:$G5618=M2465)"),"LOS 3 AÑOS")</f>
        <v>LOS 3 AÑOS</v>
      </c>
      <c r="K2465" s="16"/>
      <c r="L2465" s="14" t="s">
        <v>146</v>
      </c>
      <c r="M2465" s="16" t="str">
        <f t="shared" si="1"/>
        <v>50492 CORAZON DE JESUS2 Primaria</v>
      </c>
      <c r="N2465" s="17"/>
      <c r="O2465" s="17"/>
      <c r="P2465" s="17"/>
      <c r="Q2465" s="17"/>
      <c r="R2465" s="17"/>
      <c r="S2465" s="17"/>
      <c r="T2465" s="17"/>
    </row>
    <row r="2466">
      <c r="A2466" s="21">
        <v>1269.0</v>
      </c>
      <c r="B2466" s="20" t="s">
        <v>90</v>
      </c>
      <c r="C2466" s="20" t="s">
        <v>14</v>
      </c>
      <c r="D2466" s="20" t="s">
        <v>15</v>
      </c>
      <c r="E2466" s="12" t="str">
        <f>IFERROR(__xludf.DUMMYFUNCTION("FILTER(colegios!$B$2:$B5618,colegios!$A$2:$A5618=L2466)"),"50492 CORAZON DE JESUS")</f>
        <v>50492 CORAZON DE JESUS</v>
      </c>
      <c r="F2466" s="14" t="s">
        <v>16</v>
      </c>
      <c r="G2466" s="20" t="s">
        <v>17</v>
      </c>
      <c r="H2466" s="14" t="s">
        <v>18</v>
      </c>
      <c r="I2466" s="22">
        <v>2023.0</v>
      </c>
      <c r="J2466" s="16" t="str">
        <f>IFERROR(__xludf.DUMMYFUNCTION("FILTER('CLASFICACIÓN'!$F$3:$F5618,'CLASFICACIÓN'!$G$3:$G5618=M2466)"),"LOS 3 AÑOS")</f>
        <v>LOS 3 AÑOS</v>
      </c>
      <c r="K2466" s="16"/>
      <c r="L2466" s="14" t="s">
        <v>146</v>
      </c>
      <c r="M2466" s="16" t="str">
        <f t="shared" si="1"/>
        <v>50492 CORAZON DE JESUS2 Primaria</v>
      </c>
      <c r="N2466" s="17"/>
      <c r="O2466" s="17"/>
      <c r="P2466" s="17"/>
      <c r="Q2466" s="17"/>
      <c r="R2466" s="17"/>
      <c r="S2466" s="17"/>
      <c r="T2466" s="17"/>
    </row>
    <row r="2467">
      <c r="A2467" s="21">
        <v>1270.0</v>
      </c>
      <c r="B2467" s="20" t="s">
        <v>90</v>
      </c>
      <c r="C2467" s="20" t="s">
        <v>14</v>
      </c>
      <c r="D2467" s="20" t="s">
        <v>15</v>
      </c>
      <c r="E2467" s="12" t="str">
        <f>IFERROR(__xludf.DUMMYFUNCTION("FILTER(colegios!$B$2:$B5618,colegios!$A$2:$A5618=L2467)"),"50492 CORAZON DE JESUS")</f>
        <v>50492 CORAZON DE JESUS</v>
      </c>
      <c r="F2467" s="14" t="s">
        <v>16</v>
      </c>
      <c r="G2467" s="20" t="s">
        <v>21</v>
      </c>
      <c r="H2467" s="14" t="s">
        <v>24</v>
      </c>
      <c r="I2467" s="22">
        <v>2023.0</v>
      </c>
      <c r="J2467" s="16" t="str">
        <f>IFERROR(__xludf.DUMMYFUNCTION("FILTER('CLASFICACIÓN'!$F$3:$F5618,'CLASFICACIÓN'!$G$3:$G5618=M2467)"),"LOS 3 AÑOS")</f>
        <v>LOS 3 AÑOS</v>
      </c>
      <c r="K2467" s="16"/>
      <c r="L2467" s="14" t="s">
        <v>146</v>
      </c>
      <c r="M2467" s="16" t="str">
        <f t="shared" si="1"/>
        <v>50492 CORAZON DE JESUS2 Primaria</v>
      </c>
      <c r="N2467" s="17"/>
      <c r="O2467" s="17"/>
      <c r="P2467" s="17"/>
      <c r="Q2467" s="17"/>
      <c r="R2467" s="17"/>
      <c r="S2467" s="17"/>
      <c r="T2467" s="17"/>
    </row>
    <row r="2468">
      <c r="A2468" s="21">
        <v>1271.0</v>
      </c>
      <c r="B2468" s="20" t="s">
        <v>90</v>
      </c>
      <c r="C2468" s="20" t="s">
        <v>14</v>
      </c>
      <c r="D2468" s="20" t="s">
        <v>15</v>
      </c>
      <c r="E2468" s="12" t="str">
        <f>IFERROR(__xludf.DUMMYFUNCTION("FILTER(colegios!$B$2:$B5618,colegios!$A$2:$A5618=L2468)"),"50492 CORAZON DE JESUS")</f>
        <v>50492 CORAZON DE JESUS</v>
      </c>
      <c r="F2468" s="14" t="s">
        <v>16</v>
      </c>
      <c r="G2468" s="20" t="s">
        <v>17</v>
      </c>
      <c r="H2468" s="14" t="s">
        <v>32</v>
      </c>
      <c r="I2468" s="22">
        <v>2023.0</v>
      </c>
      <c r="J2468" s="16" t="str">
        <f>IFERROR(__xludf.DUMMYFUNCTION("FILTER('CLASFICACIÓN'!$F$3:$F5618,'CLASFICACIÓN'!$G$3:$G5618=M2468)"),"LOS 3 AÑOS")</f>
        <v>LOS 3 AÑOS</v>
      </c>
      <c r="K2468" s="16"/>
      <c r="L2468" s="14" t="s">
        <v>146</v>
      </c>
      <c r="M2468" s="16" t="str">
        <f t="shared" si="1"/>
        <v>50492 CORAZON DE JESUS2 Primaria</v>
      </c>
      <c r="N2468" s="17"/>
      <c r="O2468" s="17"/>
      <c r="P2468" s="17"/>
      <c r="Q2468" s="17"/>
      <c r="R2468" s="17"/>
      <c r="S2468" s="17"/>
      <c r="T2468" s="17"/>
    </row>
    <row r="2469">
      <c r="A2469" s="21">
        <v>1272.0</v>
      </c>
      <c r="B2469" s="20" t="s">
        <v>90</v>
      </c>
      <c r="C2469" s="20" t="s">
        <v>14</v>
      </c>
      <c r="D2469" s="20" t="s">
        <v>15</v>
      </c>
      <c r="E2469" s="12" t="str">
        <f>IFERROR(__xludf.DUMMYFUNCTION("FILTER(colegios!$B$2:$B5618,colegios!$A$2:$A5618=L2469)"),"50492 CORAZON DE JESUS")</f>
        <v>50492 CORAZON DE JESUS</v>
      </c>
      <c r="F2469" s="14" t="s">
        <v>16</v>
      </c>
      <c r="G2469" s="20" t="s">
        <v>21</v>
      </c>
      <c r="H2469" s="14" t="s">
        <v>24</v>
      </c>
      <c r="I2469" s="22">
        <v>2023.0</v>
      </c>
      <c r="J2469" s="16" t="str">
        <f>IFERROR(__xludf.DUMMYFUNCTION("FILTER('CLASFICACIÓN'!$F$3:$F5618,'CLASFICACIÓN'!$G$3:$G5618=M2469)"),"LOS 3 AÑOS")</f>
        <v>LOS 3 AÑOS</v>
      </c>
      <c r="K2469" s="16"/>
      <c r="L2469" s="14" t="s">
        <v>146</v>
      </c>
      <c r="M2469" s="16" t="str">
        <f t="shared" si="1"/>
        <v>50492 CORAZON DE JESUS2 Primaria</v>
      </c>
      <c r="N2469" s="17"/>
      <c r="O2469" s="17"/>
      <c r="P2469" s="17"/>
      <c r="Q2469" s="17"/>
      <c r="R2469" s="17"/>
      <c r="S2469" s="17"/>
      <c r="T2469" s="17"/>
    </row>
    <row r="2470">
      <c r="A2470" s="21">
        <v>1273.0</v>
      </c>
      <c r="B2470" s="20" t="s">
        <v>90</v>
      </c>
      <c r="C2470" s="20" t="s">
        <v>14</v>
      </c>
      <c r="D2470" s="20" t="s">
        <v>15</v>
      </c>
      <c r="E2470" s="12" t="str">
        <f>IFERROR(__xludf.DUMMYFUNCTION("FILTER(colegios!$B$2:$B5618,colegios!$A$2:$A5618=L2470)"),"50492 CORAZON DE JESUS")</f>
        <v>50492 CORAZON DE JESUS</v>
      </c>
      <c r="F2470" s="14" t="s">
        <v>16</v>
      </c>
      <c r="G2470" s="20" t="s">
        <v>21</v>
      </c>
      <c r="H2470" s="14" t="s">
        <v>18</v>
      </c>
      <c r="I2470" s="22">
        <v>2023.0</v>
      </c>
      <c r="J2470" s="16" t="str">
        <f>IFERROR(__xludf.DUMMYFUNCTION("FILTER('CLASFICACIÓN'!$F$3:$F5618,'CLASFICACIÓN'!$G$3:$G5618=M2470)"),"LOS 3 AÑOS")</f>
        <v>LOS 3 AÑOS</v>
      </c>
      <c r="K2470" s="16"/>
      <c r="L2470" s="14" t="s">
        <v>146</v>
      </c>
      <c r="M2470" s="16" t="str">
        <f t="shared" si="1"/>
        <v>50492 CORAZON DE JESUS2 Primaria</v>
      </c>
      <c r="N2470" s="17"/>
      <c r="O2470" s="17"/>
      <c r="P2470" s="17"/>
      <c r="Q2470" s="17"/>
      <c r="R2470" s="17"/>
      <c r="S2470" s="17"/>
      <c r="T2470" s="17"/>
    </row>
    <row r="2471">
      <c r="A2471" s="21">
        <v>1274.0</v>
      </c>
      <c r="B2471" s="20" t="s">
        <v>90</v>
      </c>
      <c r="C2471" s="20" t="s">
        <v>14</v>
      </c>
      <c r="D2471" s="20" t="s">
        <v>15</v>
      </c>
      <c r="E2471" s="12" t="str">
        <f>IFERROR(__xludf.DUMMYFUNCTION("FILTER(colegios!$B$2:$B5618,colegios!$A$2:$A5618=L2471)"),"50492 CORAZON DE JESUS")</f>
        <v>50492 CORAZON DE JESUS</v>
      </c>
      <c r="F2471" s="14" t="s">
        <v>16</v>
      </c>
      <c r="G2471" s="20" t="s">
        <v>17</v>
      </c>
      <c r="H2471" s="14" t="s">
        <v>18</v>
      </c>
      <c r="I2471" s="22">
        <v>2023.0</v>
      </c>
      <c r="J2471" s="16" t="str">
        <f>IFERROR(__xludf.DUMMYFUNCTION("FILTER('CLASFICACIÓN'!$F$3:$F5618,'CLASFICACIÓN'!$G$3:$G5618=M2471)"),"LOS 3 AÑOS")</f>
        <v>LOS 3 AÑOS</v>
      </c>
      <c r="K2471" s="16"/>
      <c r="L2471" s="14" t="s">
        <v>146</v>
      </c>
      <c r="M2471" s="16" t="str">
        <f t="shared" si="1"/>
        <v>50492 CORAZON DE JESUS2 Primaria</v>
      </c>
      <c r="N2471" s="17"/>
      <c r="O2471" s="17"/>
      <c r="P2471" s="17"/>
      <c r="Q2471" s="17"/>
      <c r="R2471" s="17"/>
      <c r="S2471" s="17"/>
      <c r="T2471" s="17"/>
    </row>
    <row r="2472">
      <c r="A2472" s="21">
        <v>1275.0</v>
      </c>
      <c r="B2472" s="20" t="s">
        <v>90</v>
      </c>
      <c r="C2472" s="20" t="s">
        <v>14</v>
      </c>
      <c r="D2472" s="20" t="s">
        <v>15</v>
      </c>
      <c r="E2472" s="12" t="str">
        <f>IFERROR(__xludf.DUMMYFUNCTION("FILTER(colegios!$B$2:$B5618,colegios!$A$2:$A5618=L2472)"),"50492 CORAZON DE JESUS")</f>
        <v>50492 CORAZON DE JESUS</v>
      </c>
      <c r="F2472" s="14" t="s">
        <v>16</v>
      </c>
      <c r="G2472" s="20" t="s">
        <v>21</v>
      </c>
      <c r="H2472" s="14" t="s">
        <v>18</v>
      </c>
      <c r="I2472" s="22">
        <v>2023.0</v>
      </c>
      <c r="J2472" s="16" t="str">
        <f>IFERROR(__xludf.DUMMYFUNCTION("FILTER('CLASFICACIÓN'!$F$3:$F5618,'CLASFICACIÓN'!$G$3:$G5618=M2472)"),"LOS 3 AÑOS")</f>
        <v>LOS 3 AÑOS</v>
      </c>
      <c r="K2472" s="16"/>
      <c r="L2472" s="14" t="s">
        <v>146</v>
      </c>
      <c r="M2472" s="16" t="str">
        <f t="shared" si="1"/>
        <v>50492 CORAZON DE JESUS2 Primaria</v>
      </c>
      <c r="N2472" s="17"/>
      <c r="O2472" s="17"/>
      <c r="P2472" s="17"/>
      <c r="Q2472" s="17"/>
      <c r="R2472" s="17"/>
      <c r="S2472" s="17"/>
      <c r="T2472" s="17"/>
    </row>
    <row r="2473">
      <c r="A2473" s="21">
        <v>1276.0</v>
      </c>
      <c r="B2473" s="20" t="s">
        <v>90</v>
      </c>
      <c r="C2473" s="20" t="s">
        <v>14</v>
      </c>
      <c r="D2473" s="20" t="s">
        <v>15</v>
      </c>
      <c r="E2473" s="12" t="str">
        <f>IFERROR(__xludf.DUMMYFUNCTION("FILTER(colegios!$B$2:$B5618,colegios!$A$2:$A5618=L2473)"),"50492 CORAZON DE JESUS")</f>
        <v>50492 CORAZON DE JESUS</v>
      </c>
      <c r="F2473" s="14" t="s">
        <v>16</v>
      </c>
      <c r="G2473" s="20" t="s">
        <v>17</v>
      </c>
      <c r="H2473" s="14" t="s">
        <v>32</v>
      </c>
      <c r="I2473" s="22">
        <v>2023.0</v>
      </c>
      <c r="J2473" s="16" t="str">
        <f>IFERROR(__xludf.DUMMYFUNCTION("FILTER('CLASFICACIÓN'!$F$3:$F5618,'CLASFICACIÓN'!$G$3:$G5618=M2473)"),"LOS 3 AÑOS")</f>
        <v>LOS 3 AÑOS</v>
      </c>
      <c r="K2473" s="16"/>
      <c r="L2473" s="14" t="s">
        <v>146</v>
      </c>
      <c r="M2473" s="16" t="str">
        <f t="shared" si="1"/>
        <v>50492 CORAZON DE JESUS2 Primaria</v>
      </c>
      <c r="N2473" s="17"/>
      <c r="O2473" s="17"/>
      <c r="P2473" s="17"/>
      <c r="Q2473" s="17"/>
      <c r="R2473" s="17"/>
      <c r="S2473" s="17"/>
      <c r="T2473" s="17"/>
    </row>
    <row r="2474">
      <c r="A2474" s="21">
        <v>1277.0</v>
      </c>
      <c r="B2474" s="20" t="s">
        <v>90</v>
      </c>
      <c r="C2474" s="20" t="s">
        <v>14</v>
      </c>
      <c r="D2474" s="20" t="s">
        <v>15</v>
      </c>
      <c r="E2474" s="12" t="str">
        <f>IFERROR(__xludf.DUMMYFUNCTION("FILTER(colegios!$B$2:$B5618,colegios!$A$2:$A5618=L2474)"),"50492 CORAZON DE JESUS")</f>
        <v>50492 CORAZON DE JESUS</v>
      </c>
      <c r="F2474" s="14" t="s">
        <v>16</v>
      </c>
      <c r="G2474" s="20" t="s">
        <v>17</v>
      </c>
      <c r="H2474" s="14" t="s">
        <v>32</v>
      </c>
      <c r="I2474" s="22">
        <v>2023.0</v>
      </c>
      <c r="J2474" s="16" t="str">
        <f>IFERROR(__xludf.DUMMYFUNCTION("FILTER('CLASFICACIÓN'!$F$3:$F5618,'CLASFICACIÓN'!$G$3:$G5618=M2474)"),"LOS 3 AÑOS")</f>
        <v>LOS 3 AÑOS</v>
      </c>
      <c r="K2474" s="16"/>
      <c r="L2474" s="14" t="s">
        <v>146</v>
      </c>
      <c r="M2474" s="16" t="str">
        <f t="shared" si="1"/>
        <v>50492 CORAZON DE JESUS2 Primaria</v>
      </c>
      <c r="N2474" s="17"/>
      <c r="O2474" s="17"/>
      <c r="P2474" s="17"/>
      <c r="Q2474" s="17"/>
      <c r="R2474" s="17"/>
      <c r="S2474" s="17"/>
      <c r="T2474" s="17"/>
    </row>
    <row r="2475">
      <c r="A2475" s="21">
        <v>1278.0</v>
      </c>
      <c r="B2475" s="20" t="s">
        <v>90</v>
      </c>
      <c r="C2475" s="20" t="s">
        <v>14</v>
      </c>
      <c r="D2475" s="20" t="s">
        <v>15</v>
      </c>
      <c r="E2475" s="12" t="str">
        <f>IFERROR(__xludf.DUMMYFUNCTION("FILTER(colegios!$B$2:$B5618,colegios!$A$2:$A5618=L2475)"),"50492 CORAZON DE JESUS")</f>
        <v>50492 CORAZON DE JESUS</v>
      </c>
      <c r="F2475" s="14" t="s">
        <v>16</v>
      </c>
      <c r="G2475" s="20" t="s">
        <v>17</v>
      </c>
      <c r="H2475" s="14" t="s">
        <v>18</v>
      </c>
      <c r="I2475" s="22">
        <v>2023.0</v>
      </c>
      <c r="J2475" s="16" t="str">
        <f>IFERROR(__xludf.DUMMYFUNCTION("FILTER('CLASFICACIÓN'!$F$3:$F5618,'CLASFICACIÓN'!$G$3:$G5618=M2475)"),"LOS 3 AÑOS")</f>
        <v>LOS 3 AÑOS</v>
      </c>
      <c r="K2475" s="16"/>
      <c r="L2475" s="14" t="s">
        <v>146</v>
      </c>
      <c r="M2475" s="16" t="str">
        <f t="shared" si="1"/>
        <v>50492 CORAZON DE JESUS2 Primaria</v>
      </c>
      <c r="N2475" s="17"/>
      <c r="O2475" s="17"/>
      <c r="P2475" s="17"/>
      <c r="Q2475" s="17"/>
      <c r="R2475" s="17"/>
      <c r="S2475" s="17"/>
      <c r="T2475" s="17"/>
    </row>
    <row r="2476">
      <c r="A2476" s="21">
        <v>1279.0</v>
      </c>
      <c r="B2476" s="20" t="s">
        <v>90</v>
      </c>
      <c r="C2476" s="20" t="s">
        <v>14</v>
      </c>
      <c r="D2476" s="20" t="s">
        <v>15</v>
      </c>
      <c r="E2476" s="12" t="str">
        <f>IFERROR(__xludf.DUMMYFUNCTION("FILTER(colegios!$B$2:$B5618,colegios!$A$2:$A5618=L2476)"),"50492 CORAZON DE JESUS")</f>
        <v>50492 CORAZON DE JESUS</v>
      </c>
      <c r="F2476" s="14" t="s">
        <v>16</v>
      </c>
      <c r="G2476" s="20" t="s">
        <v>17</v>
      </c>
      <c r="H2476" s="14" t="s">
        <v>24</v>
      </c>
      <c r="I2476" s="22">
        <v>2023.0</v>
      </c>
      <c r="J2476" s="16" t="str">
        <f>IFERROR(__xludf.DUMMYFUNCTION("FILTER('CLASFICACIÓN'!$F$3:$F5618,'CLASFICACIÓN'!$G$3:$G5618=M2476)"),"LOS 3 AÑOS")</f>
        <v>LOS 3 AÑOS</v>
      </c>
      <c r="K2476" s="16"/>
      <c r="L2476" s="14" t="s">
        <v>146</v>
      </c>
      <c r="M2476" s="16" t="str">
        <f t="shared" si="1"/>
        <v>50492 CORAZON DE JESUS2 Primaria</v>
      </c>
      <c r="N2476" s="17"/>
      <c r="O2476" s="17"/>
      <c r="P2476" s="17"/>
      <c r="Q2476" s="17"/>
      <c r="R2476" s="17"/>
      <c r="S2476" s="17"/>
      <c r="T2476" s="17"/>
    </row>
    <row r="2477">
      <c r="A2477" s="21">
        <v>1280.0</v>
      </c>
      <c r="B2477" s="20" t="s">
        <v>90</v>
      </c>
      <c r="C2477" s="20" t="s">
        <v>14</v>
      </c>
      <c r="D2477" s="20" t="s">
        <v>15</v>
      </c>
      <c r="E2477" s="12" t="str">
        <f>IFERROR(__xludf.DUMMYFUNCTION("FILTER(colegios!$B$2:$B5618,colegios!$A$2:$A5618=L2477)"),"50492 CORAZON DE JESUS")</f>
        <v>50492 CORAZON DE JESUS</v>
      </c>
      <c r="F2477" s="14" t="s">
        <v>16</v>
      </c>
      <c r="G2477" s="20" t="s">
        <v>17</v>
      </c>
      <c r="H2477" s="14" t="s">
        <v>18</v>
      </c>
      <c r="I2477" s="22">
        <v>2023.0</v>
      </c>
      <c r="J2477" s="16" t="str">
        <f>IFERROR(__xludf.DUMMYFUNCTION("FILTER('CLASFICACIÓN'!$F$3:$F5618,'CLASFICACIÓN'!$G$3:$G5618=M2477)"),"LOS 3 AÑOS")</f>
        <v>LOS 3 AÑOS</v>
      </c>
      <c r="K2477" s="16"/>
      <c r="L2477" s="14" t="s">
        <v>146</v>
      </c>
      <c r="M2477" s="16" t="str">
        <f t="shared" si="1"/>
        <v>50492 CORAZON DE JESUS2 Primaria</v>
      </c>
      <c r="N2477" s="17"/>
      <c r="O2477" s="17"/>
      <c r="P2477" s="17"/>
      <c r="Q2477" s="17"/>
      <c r="R2477" s="17"/>
      <c r="S2477" s="17"/>
      <c r="T2477" s="17"/>
    </row>
    <row r="2478">
      <c r="A2478" s="21">
        <v>1281.0</v>
      </c>
      <c r="B2478" s="20" t="s">
        <v>90</v>
      </c>
      <c r="C2478" s="20" t="s">
        <v>14</v>
      </c>
      <c r="D2478" s="20" t="s">
        <v>15</v>
      </c>
      <c r="E2478" s="12" t="str">
        <f>IFERROR(__xludf.DUMMYFUNCTION("FILTER(colegios!$B$2:$B5618,colegios!$A$2:$A5618=L2478)"),"50492 CORAZON DE JESUS")</f>
        <v>50492 CORAZON DE JESUS</v>
      </c>
      <c r="F2478" s="14" t="s">
        <v>16</v>
      </c>
      <c r="G2478" s="20" t="s">
        <v>17</v>
      </c>
      <c r="H2478" s="14" t="s">
        <v>32</v>
      </c>
      <c r="I2478" s="22">
        <v>2023.0</v>
      </c>
      <c r="J2478" s="16" t="str">
        <f>IFERROR(__xludf.DUMMYFUNCTION("FILTER('CLASFICACIÓN'!$F$3:$F5618,'CLASFICACIÓN'!$G$3:$G5618=M2478)"),"LOS 3 AÑOS")</f>
        <v>LOS 3 AÑOS</v>
      </c>
      <c r="K2478" s="16"/>
      <c r="L2478" s="14" t="s">
        <v>146</v>
      </c>
      <c r="M2478" s="16" t="str">
        <f t="shared" si="1"/>
        <v>50492 CORAZON DE JESUS2 Primaria</v>
      </c>
      <c r="N2478" s="17"/>
      <c r="O2478" s="17"/>
      <c r="P2478" s="17"/>
      <c r="Q2478" s="17"/>
      <c r="R2478" s="17"/>
      <c r="S2478" s="17"/>
      <c r="T2478" s="17"/>
    </row>
    <row r="2479">
      <c r="A2479" s="21">
        <v>1282.0</v>
      </c>
      <c r="B2479" s="20" t="s">
        <v>90</v>
      </c>
      <c r="C2479" s="20" t="s">
        <v>14</v>
      </c>
      <c r="D2479" s="20" t="s">
        <v>15</v>
      </c>
      <c r="E2479" s="12" t="str">
        <f>IFERROR(__xludf.DUMMYFUNCTION("FILTER(colegios!$B$2:$B5618,colegios!$A$2:$A5618=L2479)"),"50492 CORAZON DE JESUS")</f>
        <v>50492 CORAZON DE JESUS</v>
      </c>
      <c r="F2479" s="14" t="s">
        <v>16</v>
      </c>
      <c r="G2479" s="20" t="s">
        <v>17</v>
      </c>
      <c r="H2479" s="14" t="s">
        <v>24</v>
      </c>
      <c r="I2479" s="22">
        <v>2023.0</v>
      </c>
      <c r="J2479" s="16" t="str">
        <f>IFERROR(__xludf.DUMMYFUNCTION("FILTER('CLASFICACIÓN'!$F$3:$F5618,'CLASFICACIÓN'!$G$3:$G5618=M2479)"),"LOS 3 AÑOS")</f>
        <v>LOS 3 AÑOS</v>
      </c>
      <c r="K2479" s="16"/>
      <c r="L2479" s="14" t="s">
        <v>146</v>
      </c>
      <c r="M2479" s="16" t="str">
        <f t="shared" si="1"/>
        <v>50492 CORAZON DE JESUS2 Primaria</v>
      </c>
      <c r="N2479" s="17"/>
      <c r="O2479" s="17"/>
      <c r="P2479" s="17"/>
      <c r="Q2479" s="17"/>
      <c r="R2479" s="17"/>
      <c r="S2479" s="17"/>
      <c r="T2479" s="17"/>
    </row>
    <row r="2480">
      <c r="A2480" s="21">
        <v>1283.0</v>
      </c>
      <c r="B2480" s="20" t="s">
        <v>90</v>
      </c>
      <c r="C2480" s="20" t="s">
        <v>14</v>
      </c>
      <c r="D2480" s="20" t="s">
        <v>15</v>
      </c>
      <c r="E2480" s="12" t="str">
        <f>IFERROR(__xludf.DUMMYFUNCTION("FILTER(colegios!$B$2:$B5618,colegios!$A$2:$A5618=L2480)"),"50492 CORAZON DE JESUS")</f>
        <v>50492 CORAZON DE JESUS</v>
      </c>
      <c r="F2480" s="14" t="s">
        <v>16</v>
      </c>
      <c r="G2480" s="20" t="s">
        <v>21</v>
      </c>
      <c r="H2480" s="14" t="s">
        <v>18</v>
      </c>
      <c r="I2480" s="22">
        <v>2023.0</v>
      </c>
      <c r="J2480" s="16" t="str">
        <f>IFERROR(__xludf.DUMMYFUNCTION("FILTER('CLASFICACIÓN'!$F$3:$F5618,'CLASFICACIÓN'!$G$3:$G5618=M2480)"),"LOS 3 AÑOS")</f>
        <v>LOS 3 AÑOS</v>
      </c>
      <c r="K2480" s="16"/>
      <c r="L2480" s="14" t="s">
        <v>146</v>
      </c>
      <c r="M2480" s="16" t="str">
        <f t="shared" si="1"/>
        <v>50492 CORAZON DE JESUS2 Primaria</v>
      </c>
      <c r="N2480" s="17"/>
      <c r="O2480" s="17"/>
      <c r="P2480" s="17"/>
      <c r="Q2480" s="17"/>
      <c r="R2480" s="17"/>
      <c r="S2480" s="17"/>
      <c r="T2480" s="17"/>
    </row>
    <row r="2481">
      <c r="A2481" s="21">
        <v>1284.0</v>
      </c>
      <c r="B2481" s="20" t="s">
        <v>90</v>
      </c>
      <c r="C2481" s="20" t="s">
        <v>14</v>
      </c>
      <c r="D2481" s="20" t="s">
        <v>15</v>
      </c>
      <c r="E2481" s="12" t="str">
        <f>IFERROR(__xludf.DUMMYFUNCTION("FILTER(colegios!$B$2:$B5618,colegios!$A$2:$A5618=L2481)"),"50492 CORAZON DE JESUS")</f>
        <v>50492 CORAZON DE JESUS</v>
      </c>
      <c r="F2481" s="14" t="s">
        <v>16</v>
      </c>
      <c r="G2481" s="20" t="s">
        <v>17</v>
      </c>
      <c r="H2481" s="14" t="s">
        <v>24</v>
      </c>
      <c r="I2481" s="22">
        <v>2023.0</v>
      </c>
      <c r="J2481" s="16" t="str">
        <f>IFERROR(__xludf.DUMMYFUNCTION("FILTER('CLASFICACIÓN'!$F$3:$F5618,'CLASFICACIÓN'!$G$3:$G5618=M2481)"),"LOS 3 AÑOS")</f>
        <v>LOS 3 AÑOS</v>
      </c>
      <c r="K2481" s="16"/>
      <c r="L2481" s="14" t="s">
        <v>146</v>
      </c>
      <c r="M2481" s="16" t="str">
        <f t="shared" si="1"/>
        <v>50492 CORAZON DE JESUS2 Primaria</v>
      </c>
      <c r="N2481" s="17"/>
      <c r="O2481" s="17"/>
      <c r="P2481" s="17"/>
      <c r="Q2481" s="17"/>
      <c r="R2481" s="17"/>
      <c r="S2481" s="17"/>
      <c r="T2481" s="17"/>
    </row>
    <row r="2482">
      <c r="A2482" s="21">
        <v>1285.0</v>
      </c>
      <c r="B2482" s="20" t="s">
        <v>90</v>
      </c>
      <c r="C2482" s="20" t="s">
        <v>14</v>
      </c>
      <c r="D2482" s="20" t="s">
        <v>15</v>
      </c>
      <c r="E2482" s="12" t="str">
        <f>IFERROR(__xludf.DUMMYFUNCTION("FILTER(colegios!$B$2:$B5618,colegios!$A$2:$A5618=L2482)"),"50492 CORAZON DE JESUS")</f>
        <v>50492 CORAZON DE JESUS</v>
      </c>
      <c r="F2482" s="14" t="s">
        <v>16</v>
      </c>
      <c r="G2482" s="20" t="s">
        <v>21</v>
      </c>
      <c r="H2482" s="14" t="s">
        <v>32</v>
      </c>
      <c r="I2482" s="22">
        <v>2023.0</v>
      </c>
      <c r="J2482" s="16" t="str">
        <f>IFERROR(__xludf.DUMMYFUNCTION("FILTER('CLASFICACIÓN'!$F$3:$F5618,'CLASFICACIÓN'!$G$3:$G5618=M2482)"),"LOS 3 AÑOS")</f>
        <v>LOS 3 AÑOS</v>
      </c>
      <c r="K2482" s="16"/>
      <c r="L2482" s="14" t="s">
        <v>146</v>
      </c>
      <c r="M2482" s="16" t="str">
        <f t="shared" si="1"/>
        <v>50492 CORAZON DE JESUS2 Primaria</v>
      </c>
      <c r="N2482" s="17"/>
      <c r="O2482" s="17"/>
      <c r="P2482" s="17"/>
      <c r="Q2482" s="17"/>
      <c r="R2482" s="17"/>
      <c r="S2482" s="17"/>
      <c r="T2482" s="17"/>
    </row>
    <row r="2483">
      <c r="A2483" s="21">
        <v>1286.0</v>
      </c>
      <c r="B2483" s="20" t="s">
        <v>90</v>
      </c>
      <c r="C2483" s="20" t="s">
        <v>14</v>
      </c>
      <c r="D2483" s="20" t="s">
        <v>15</v>
      </c>
      <c r="E2483" s="12" t="str">
        <f>IFERROR(__xludf.DUMMYFUNCTION("FILTER(colegios!$B$2:$B5618,colegios!$A$2:$A5618=L2483)"),"50492 CORAZON DE JESUS")</f>
        <v>50492 CORAZON DE JESUS</v>
      </c>
      <c r="F2483" s="14" t="s">
        <v>16</v>
      </c>
      <c r="G2483" s="20" t="s">
        <v>17</v>
      </c>
      <c r="H2483" s="14" t="s">
        <v>24</v>
      </c>
      <c r="I2483" s="22">
        <v>2023.0</v>
      </c>
      <c r="J2483" s="16" t="str">
        <f>IFERROR(__xludf.DUMMYFUNCTION("FILTER('CLASFICACIÓN'!$F$3:$F5618,'CLASFICACIÓN'!$G$3:$G5618=M2483)"),"LOS 3 AÑOS")</f>
        <v>LOS 3 AÑOS</v>
      </c>
      <c r="K2483" s="16"/>
      <c r="L2483" s="14" t="s">
        <v>146</v>
      </c>
      <c r="M2483" s="16" t="str">
        <f t="shared" si="1"/>
        <v>50492 CORAZON DE JESUS2 Primaria</v>
      </c>
      <c r="N2483" s="17"/>
      <c r="O2483" s="17"/>
      <c r="P2483" s="17"/>
      <c r="Q2483" s="17"/>
      <c r="R2483" s="17"/>
      <c r="S2483" s="17"/>
      <c r="T2483" s="17"/>
    </row>
    <row r="2484">
      <c r="A2484" s="21">
        <v>1287.0</v>
      </c>
      <c r="B2484" s="20" t="s">
        <v>90</v>
      </c>
      <c r="C2484" s="20" t="s">
        <v>14</v>
      </c>
      <c r="D2484" s="20" t="s">
        <v>15</v>
      </c>
      <c r="E2484" s="12" t="str">
        <f>IFERROR(__xludf.DUMMYFUNCTION("FILTER(colegios!$B$2:$B5618,colegios!$A$2:$A5618=L2484)"),"50492 CORAZON DE JESUS")</f>
        <v>50492 CORAZON DE JESUS</v>
      </c>
      <c r="F2484" s="14" t="s">
        <v>16</v>
      </c>
      <c r="G2484" s="20" t="s">
        <v>17</v>
      </c>
      <c r="H2484" s="14" t="s">
        <v>18</v>
      </c>
      <c r="I2484" s="22">
        <v>2023.0</v>
      </c>
      <c r="J2484" s="16" t="str">
        <f>IFERROR(__xludf.DUMMYFUNCTION("FILTER('CLASFICACIÓN'!$F$3:$F5618,'CLASFICACIÓN'!$G$3:$G5618=M2484)"),"LOS 3 AÑOS")</f>
        <v>LOS 3 AÑOS</v>
      </c>
      <c r="K2484" s="16"/>
      <c r="L2484" s="14" t="s">
        <v>146</v>
      </c>
      <c r="M2484" s="16" t="str">
        <f t="shared" si="1"/>
        <v>50492 CORAZON DE JESUS2 Primaria</v>
      </c>
      <c r="N2484" s="17"/>
      <c r="O2484" s="17"/>
      <c r="P2484" s="17"/>
      <c r="Q2484" s="17"/>
      <c r="R2484" s="17"/>
      <c r="S2484" s="17"/>
      <c r="T2484" s="17"/>
    </row>
    <row r="2485">
      <c r="A2485" s="21">
        <v>1288.0</v>
      </c>
      <c r="B2485" s="20" t="s">
        <v>90</v>
      </c>
      <c r="C2485" s="20" t="s">
        <v>14</v>
      </c>
      <c r="D2485" s="20" t="s">
        <v>15</v>
      </c>
      <c r="E2485" s="12" t="str">
        <f>IFERROR(__xludf.DUMMYFUNCTION("FILTER(colegios!$B$2:$B5618,colegios!$A$2:$A5618=L2485)"),"50492 CORAZON DE JESUS")</f>
        <v>50492 CORAZON DE JESUS</v>
      </c>
      <c r="F2485" s="14" t="s">
        <v>16</v>
      </c>
      <c r="G2485" s="20" t="s">
        <v>21</v>
      </c>
      <c r="H2485" s="14" t="s">
        <v>18</v>
      </c>
      <c r="I2485" s="22">
        <v>2023.0</v>
      </c>
      <c r="J2485" s="16" t="str">
        <f>IFERROR(__xludf.DUMMYFUNCTION("FILTER('CLASFICACIÓN'!$F$3:$F5618,'CLASFICACIÓN'!$G$3:$G5618=M2485)"),"LOS 3 AÑOS")</f>
        <v>LOS 3 AÑOS</v>
      </c>
      <c r="K2485" s="16"/>
      <c r="L2485" s="14" t="s">
        <v>146</v>
      </c>
      <c r="M2485" s="16" t="str">
        <f t="shared" si="1"/>
        <v>50492 CORAZON DE JESUS2 Primaria</v>
      </c>
      <c r="N2485" s="17"/>
      <c r="O2485" s="17"/>
      <c r="P2485" s="17"/>
      <c r="Q2485" s="17"/>
      <c r="R2485" s="17"/>
      <c r="S2485" s="17"/>
      <c r="T2485" s="17"/>
    </row>
    <row r="2486">
      <c r="A2486" s="21">
        <v>1289.0</v>
      </c>
      <c r="B2486" s="20" t="s">
        <v>90</v>
      </c>
      <c r="C2486" s="20" t="s">
        <v>14</v>
      </c>
      <c r="D2486" s="20" t="s">
        <v>15</v>
      </c>
      <c r="E2486" s="12" t="str">
        <f>IFERROR(__xludf.DUMMYFUNCTION("FILTER(colegios!$B$2:$B5618,colegios!$A$2:$A5618=L2486)"),"50492 CORAZON DE JESUS")</f>
        <v>50492 CORAZON DE JESUS</v>
      </c>
      <c r="F2486" s="14" t="s">
        <v>16</v>
      </c>
      <c r="G2486" s="20" t="s">
        <v>17</v>
      </c>
      <c r="H2486" s="14" t="s">
        <v>24</v>
      </c>
      <c r="I2486" s="22">
        <v>2023.0</v>
      </c>
      <c r="J2486" s="16" t="str">
        <f>IFERROR(__xludf.DUMMYFUNCTION("FILTER('CLASFICACIÓN'!$F$3:$F5618,'CLASFICACIÓN'!$G$3:$G5618=M2486)"),"LOS 3 AÑOS")</f>
        <v>LOS 3 AÑOS</v>
      </c>
      <c r="K2486" s="16"/>
      <c r="L2486" s="14" t="s">
        <v>146</v>
      </c>
      <c r="M2486" s="16" t="str">
        <f t="shared" si="1"/>
        <v>50492 CORAZON DE JESUS2 Primaria</v>
      </c>
      <c r="N2486" s="17"/>
      <c r="O2486" s="17"/>
      <c r="P2486" s="17"/>
      <c r="Q2486" s="17"/>
      <c r="R2486" s="17"/>
      <c r="S2486" s="17"/>
      <c r="T2486" s="17"/>
    </row>
    <row r="2487">
      <c r="A2487" s="21">
        <v>1290.0</v>
      </c>
      <c r="B2487" s="20" t="s">
        <v>90</v>
      </c>
      <c r="C2487" s="20" t="s">
        <v>14</v>
      </c>
      <c r="D2487" s="20" t="s">
        <v>15</v>
      </c>
      <c r="E2487" s="12" t="str">
        <f>IFERROR(__xludf.DUMMYFUNCTION("FILTER(colegios!$B$2:$B5618,colegios!$A$2:$A5618=L2487)"),"50492 CORAZON DE JESUS")</f>
        <v>50492 CORAZON DE JESUS</v>
      </c>
      <c r="F2487" s="14" t="s">
        <v>16</v>
      </c>
      <c r="G2487" s="20" t="s">
        <v>21</v>
      </c>
      <c r="H2487" s="14" t="s">
        <v>24</v>
      </c>
      <c r="I2487" s="22">
        <v>2023.0</v>
      </c>
      <c r="J2487" s="16" t="str">
        <f>IFERROR(__xludf.DUMMYFUNCTION("FILTER('CLASFICACIÓN'!$F$3:$F5618,'CLASFICACIÓN'!$G$3:$G5618=M2487)"),"LOS 3 AÑOS")</f>
        <v>LOS 3 AÑOS</v>
      </c>
      <c r="K2487" s="16"/>
      <c r="L2487" s="14" t="s">
        <v>146</v>
      </c>
      <c r="M2487" s="16" t="str">
        <f t="shared" si="1"/>
        <v>50492 CORAZON DE JESUS2 Primaria</v>
      </c>
      <c r="N2487" s="17"/>
      <c r="O2487" s="17"/>
      <c r="P2487" s="17"/>
      <c r="Q2487" s="17"/>
      <c r="R2487" s="17"/>
      <c r="S2487" s="17"/>
      <c r="T2487" s="17"/>
    </row>
    <row r="2488">
      <c r="A2488" s="21">
        <v>1291.0</v>
      </c>
      <c r="B2488" s="20" t="s">
        <v>90</v>
      </c>
      <c r="C2488" s="20" t="s">
        <v>14</v>
      </c>
      <c r="D2488" s="20" t="s">
        <v>15</v>
      </c>
      <c r="E2488" s="12" t="str">
        <f>IFERROR(__xludf.DUMMYFUNCTION("FILTER(colegios!$B$2:$B5618,colegios!$A$2:$A5618=L2488)"),"50492 CORAZON DE JESUS")</f>
        <v>50492 CORAZON DE JESUS</v>
      </c>
      <c r="F2488" s="14" t="s">
        <v>16</v>
      </c>
      <c r="G2488" s="20" t="s">
        <v>17</v>
      </c>
      <c r="H2488" s="14" t="s">
        <v>32</v>
      </c>
      <c r="I2488" s="22">
        <v>2023.0</v>
      </c>
      <c r="J2488" s="16" t="str">
        <f>IFERROR(__xludf.DUMMYFUNCTION("FILTER('CLASFICACIÓN'!$F$3:$F5618,'CLASFICACIÓN'!$G$3:$G5618=M2488)"),"LOS 3 AÑOS")</f>
        <v>LOS 3 AÑOS</v>
      </c>
      <c r="K2488" s="16"/>
      <c r="L2488" s="14" t="s">
        <v>146</v>
      </c>
      <c r="M2488" s="16" t="str">
        <f t="shared" si="1"/>
        <v>50492 CORAZON DE JESUS2 Primaria</v>
      </c>
      <c r="N2488" s="17"/>
      <c r="O2488" s="17"/>
      <c r="P2488" s="17"/>
      <c r="Q2488" s="17"/>
      <c r="R2488" s="17"/>
      <c r="S2488" s="17"/>
      <c r="T2488" s="17"/>
    </row>
    <row r="2489">
      <c r="A2489" s="21">
        <v>1292.0</v>
      </c>
      <c r="B2489" s="20" t="s">
        <v>90</v>
      </c>
      <c r="C2489" s="20" t="s">
        <v>14</v>
      </c>
      <c r="D2489" s="20" t="s">
        <v>15</v>
      </c>
      <c r="E2489" s="12" t="str">
        <f>IFERROR(__xludf.DUMMYFUNCTION("FILTER(colegios!$B$2:$B5618,colegios!$A$2:$A5618=L2489)"),"50492 CORAZON DE JESUS")</f>
        <v>50492 CORAZON DE JESUS</v>
      </c>
      <c r="F2489" s="14" t="s">
        <v>16</v>
      </c>
      <c r="G2489" s="20" t="s">
        <v>17</v>
      </c>
      <c r="H2489" s="14" t="s">
        <v>18</v>
      </c>
      <c r="I2489" s="22">
        <v>2023.0</v>
      </c>
      <c r="J2489" s="16" t="str">
        <f>IFERROR(__xludf.DUMMYFUNCTION("FILTER('CLASFICACIÓN'!$F$3:$F5618,'CLASFICACIÓN'!$G$3:$G5618=M2489)"),"LOS 3 AÑOS")</f>
        <v>LOS 3 AÑOS</v>
      </c>
      <c r="K2489" s="16"/>
      <c r="L2489" s="14" t="s">
        <v>146</v>
      </c>
      <c r="M2489" s="16" t="str">
        <f t="shared" si="1"/>
        <v>50492 CORAZON DE JESUS2 Primaria</v>
      </c>
      <c r="N2489" s="17"/>
      <c r="O2489" s="17"/>
      <c r="P2489" s="17"/>
      <c r="Q2489" s="17"/>
      <c r="R2489" s="17"/>
      <c r="S2489" s="17"/>
      <c r="T2489" s="17"/>
    </row>
    <row r="2490">
      <c r="A2490" s="21">
        <v>1293.0</v>
      </c>
      <c r="B2490" s="20" t="s">
        <v>90</v>
      </c>
      <c r="C2490" s="20" t="s">
        <v>14</v>
      </c>
      <c r="D2490" s="20" t="s">
        <v>15</v>
      </c>
      <c r="E2490" s="12" t="str">
        <f>IFERROR(__xludf.DUMMYFUNCTION("FILTER(colegios!$B$2:$B5618,colegios!$A$2:$A5618=L2490)"),"50492 CORAZON DE JESUS")</f>
        <v>50492 CORAZON DE JESUS</v>
      </c>
      <c r="F2490" s="14" t="s">
        <v>16</v>
      </c>
      <c r="G2490" s="20" t="s">
        <v>17</v>
      </c>
      <c r="H2490" s="14" t="s">
        <v>24</v>
      </c>
      <c r="I2490" s="22">
        <v>2023.0</v>
      </c>
      <c r="J2490" s="16" t="str">
        <f>IFERROR(__xludf.DUMMYFUNCTION("FILTER('CLASFICACIÓN'!$F$3:$F5618,'CLASFICACIÓN'!$G$3:$G5618=M2490)"),"LOS 3 AÑOS")</f>
        <v>LOS 3 AÑOS</v>
      </c>
      <c r="K2490" s="16"/>
      <c r="L2490" s="14" t="s">
        <v>146</v>
      </c>
      <c r="M2490" s="16" t="str">
        <f t="shared" si="1"/>
        <v>50492 CORAZON DE JESUS2 Primaria</v>
      </c>
      <c r="N2490" s="17"/>
      <c r="O2490" s="17"/>
      <c r="P2490" s="17"/>
      <c r="Q2490" s="17"/>
      <c r="R2490" s="17"/>
      <c r="S2490" s="17"/>
      <c r="T2490" s="17"/>
    </row>
    <row r="2491">
      <c r="A2491" s="21">
        <v>1294.0</v>
      </c>
      <c r="B2491" s="20" t="s">
        <v>90</v>
      </c>
      <c r="C2491" s="20" t="s">
        <v>14</v>
      </c>
      <c r="D2491" s="20" t="s">
        <v>15</v>
      </c>
      <c r="E2491" s="12" t="str">
        <f>IFERROR(__xludf.DUMMYFUNCTION("FILTER(colegios!$B$2:$B5618,colegios!$A$2:$A5618=L2491)"),"50492 CORAZON DE JESUS")</f>
        <v>50492 CORAZON DE JESUS</v>
      </c>
      <c r="F2491" s="14" t="s">
        <v>16</v>
      </c>
      <c r="G2491" s="20" t="s">
        <v>21</v>
      </c>
      <c r="H2491" s="14" t="s">
        <v>18</v>
      </c>
      <c r="I2491" s="22">
        <v>2023.0</v>
      </c>
      <c r="J2491" s="16" t="str">
        <f>IFERROR(__xludf.DUMMYFUNCTION("FILTER('CLASFICACIÓN'!$F$3:$F5618,'CLASFICACIÓN'!$G$3:$G5618=M2491)"),"LOS 3 AÑOS")</f>
        <v>LOS 3 AÑOS</v>
      </c>
      <c r="K2491" s="16"/>
      <c r="L2491" s="14" t="s">
        <v>146</v>
      </c>
      <c r="M2491" s="16" t="str">
        <f t="shared" si="1"/>
        <v>50492 CORAZON DE JESUS2 Primaria</v>
      </c>
      <c r="N2491" s="17"/>
      <c r="O2491" s="17"/>
      <c r="P2491" s="17"/>
      <c r="Q2491" s="17"/>
      <c r="R2491" s="17"/>
      <c r="S2491" s="17"/>
      <c r="T2491" s="17"/>
    </row>
    <row r="2492">
      <c r="A2492" s="21">
        <v>1295.0</v>
      </c>
      <c r="B2492" s="20" t="s">
        <v>90</v>
      </c>
      <c r="C2492" s="20" t="s">
        <v>14</v>
      </c>
      <c r="D2492" s="20" t="s">
        <v>15</v>
      </c>
      <c r="E2492" s="12" t="str">
        <f>IFERROR(__xludf.DUMMYFUNCTION("FILTER(colegios!$B$2:$B5618,colegios!$A$2:$A5618=L2492)"),"50492 CORAZON DE JESUS")</f>
        <v>50492 CORAZON DE JESUS</v>
      </c>
      <c r="F2492" s="14" t="s">
        <v>16</v>
      </c>
      <c r="G2492" s="20" t="s">
        <v>17</v>
      </c>
      <c r="H2492" s="14" t="s">
        <v>18</v>
      </c>
      <c r="I2492" s="22">
        <v>2023.0</v>
      </c>
      <c r="J2492" s="16" t="str">
        <f>IFERROR(__xludf.DUMMYFUNCTION("FILTER('CLASFICACIÓN'!$F$3:$F5618,'CLASFICACIÓN'!$G$3:$G5618=M2492)"),"LOS 3 AÑOS")</f>
        <v>LOS 3 AÑOS</v>
      </c>
      <c r="K2492" s="16"/>
      <c r="L2492" s="14" t="s">
        <v>146</v>
      </c>
      <c r="M2492" s="16" t="str">
        <f t="shared" si="1"/>
        <v>50492 CORAZON DE JESUS2 Primaria</v>
      </c>
      <c r="N2492" s="17"/>
      <c r="O2492" s="17"/>
      <c r="P2492" s="17"/>
      <c r="Q2492" s="17"/>
      <c r="R2492" s="17"/>
      <c r="S2492" s="17"/>
      <c r="T2492" s="17"/>
    </row>
    <row r="2493">
      <c r="A2493" s="21">
        <v>1296.0</v>
      </c>
      <c r="B2493" s="20" t="s">
        <v>90</v>
      </c>
      <c r="C2493" s="20" t="s">
        <v>14</v>
      </c>
      <c r="D2493" s="20" t="s">
        <v>15</v>
      </c>
      <c r="E2493" s="12" t="str">
        <f>IFERROR(__xludf.DUMMYFUNCTION("FILTER(colegios!$B$2:$B5618,colegios!$A$2:$A5618=L2493)"),"50492 CORAZON DE JESUS")</f>
        <v>50492 CORAZON DE JESUS</v>
      </c>
      <c r="F2493" s="14" t="s">
        <v>16</v>
      </c>
      <c r="G2493" s="20" t="s">
        <v>17</v>
      </c>
      <c r="H2493" s="14" t="s">
        <v>32</v>
      </c>
      <c r="I2493" s="22">
        <v>2023.0</v>
      </c>
      <c r="J2493" s="16" t="str">
        <f>IFERROR(__xludf.DUMMYFUNCTION("FILTER('CLASFICACIÓN'!$F$3:$F5618,'CLASFICACIÓN'!$G$3:$G5618=M2493)"),"LOS 3 AÑOS")</f>
        <v>LOS 3 AÑOS</v>
      </c>
      <c r="K2493" s="16"/>
      <c r="L2493" s="14" t="s">
        <v>146</v>
      </c>
      <c r="M2493" s="16" t="str">
        <f t="shared" si="1"/>
        <v>50492 CORAZON DE JESUS2 Primaria</v>
      </c>
      <c r="N2493" s="17"/>
      <c r="O2493" s="17"/>
      <c r="P2493" s="17"/>
      <c r="Q2493" s="17"/>
      <c r="R2493" s="17"/>
      <c r="S2493" s="17"/>
      <c r="T2493" s="17"/>
    </row>
    <row r="2494">
      <c r="A2494" s="21">
        <v>1297.0</v>
      </c>
      <c r="B2494" s="20" t="s">
        <v>90</v>
      </c>
      <c r="C2494" s="20" t="s">
        <v>14</v>
      </c>
      <c r="D2494" s="20" t="s">
        <v>15</v>
      </c>
      <c r="E2494" s="12" t="str">
        <f>IFERROR(__xludf.DUMMYFUNCTION("FILTER(colegios!$B$2:$B5618,colegios!$A$2:$A5618=L2494)"),"50492 CORAZON DE JESUS")</f>
        <v>50492 CORAZON DE JESUS</v>
      </c>
      <c r="F2494" s="14" t="s">
        <v>16</v>
      </c>
      <c r="G2494" s="20" t="s">
        <v>17</v>
      </c>
      <c r="H2494" s="14" t="s">
        <v>32</v>
      </c>
      <c r="I2494" s="22">
        <v>2023.0</v>
      </c>
      <c r="J2494" s="16" t="str">
        <f>IFERROR(__xludf.DUMMYFUNCTION("FILTER('CLASFICACIÓN'!$F$3:$F5618,'CLASFICACIÓN'!$G$3:$G5618=M2494)"),"LOS 3 AÑOS")</f>
        <v>LOS 3 AÑOS</v>
      </c>
      <c r="K2494" s="16"/>
      <c r="L2494" s="14" t="s">
        <v>146</v>
      </c>
      <c r="M2494" s="16" t="str">
        <f t="shared" si="1"/>
        <v>50492 CORAZON DE JESUS2 Primaria</v>
      </c>
      <c r="N2494" s="17"/>
      <c r="O2494" s="17"/>
      <c r="P2494" s="17"/>
      <c r="Q2494" s="17"/>
      <c r="R2494" s="17"/>
      <c r="S2494" s="17"/>
      <c r="T2494" s="17"/>
    </row>
    <row r="2495">
      <c r="A2495" s="21">
        <v>1298.0</v>
      </c>
      <c r="B2495" s="20" t="s">
        <v>90</v>
      </c>
      <c r="C2495" s="20" t="s">
        <v>14</v>
      </c>
      <c r="D2495" s="20" t="s">
        <v>15</v>
      </c>
      <c r="E2495" s="12" t="str">
        <f>IFERROR(__xludf.DUMMYFUNCTION("FILTER(colegios!$B$2:$B5618,colegios!$A$2:$A5618=L2495)"),"50492 CORAZON DE JESUS")</f>
        <v>50492 CORAZON DE JESUS</v>
      </c>
      <c r="F2495" s="14" t="s">
        <v>16</v>
      </c>
      <c r="G2495" s="20" t="s">
        <v>17</v>
      </c>
      <c r="H2495" s="14" t="s">
        <v>32</v>
      </c>
      <c r="I2495" s="22">
        <v>2023.0</v>
      </c>
      <c r="J2495" s="16" t="str">
        <f>IFERROR(__xludf.DUMMYFUNCTION("FILTER('CLASFICACIÓN'!$F$3:$F5618,'CLASFICACIÓN'!$G$3:$G5618=M2495)"),"LOS 3 AÑOS")</f>
        <v>LOS 3 AÑOS</v>
      </c>
      <c r="K2495" s="16"/>
      <c r="L2495" s="14" t="s">
        <v>146</v>
      </c>
      <c r="M2495" s="16" t="str">
        <f t="shared" si="1"/>
        <v>50492 CORAZON DE JESUS2 Primaria</v>
      </c>
      <c r="N2495" s="17"/>
      <c r="O2495" s="17"/>
      <c r="P2495" s="17"/>
      <c r="Q2495" s="17"/>
      <c r="R2495" s="17"/>
      <c r="S2495" s="17"/>
      <c r="T2495" s="17"/>
    </row>
    <row r="2496">
      <c r="A2496" s="21">
        <v>1299.0</v>
      </c>
      <c r="B2496" s="20" t="s">
        <v>90</v>
      </c>
      <c r="C2496" s="20" t="s">
        <v>14</v>
      </c>
      <c r="D2496" s="20" t="s">
        <v>15</v>
      </c>
      <c r="E2496" s="12" t="str">
        <f>IFERROR(__xludf.DUMMYFUNCTION("FILTER(colegios!$B$2:$B5618,colegios!$A$2:$A5618=L2496)"),"50492 CORAZON DE JESUS")</f>
        <v>50492 CORAZON DE JESUS</v>
      </c>
      <c r="F2496" s="14" t="s">
        <v>16</v>
      </c>
      <c r="G2496" s="20" t="s">
        <v>17</v>
      </c>
      <c r="H2496" s="14" t="s">
        <v>24</v>
      </c>
      <c r="I2496" s="22">
        <v>2023.0</v>
      </c>
      <c r="J2496" s="16" t="str">
        <f>IFERROR(__xludf.DUMMYFUNCTION("FILTER('CLASFICACIÓN'!$F$3:$F5618,'CLASFICACIÓN'!$G$3:$G5618=M2496)"),"LOS 3 AÑOS")</f>
        <v>LOS 3 AÑOS</v>
      </c>
      <c r="K2496" s="16"/>
      <c r="L2496" s="14" t="s">
        <v>146</v>
      </c>
      <c r="M2496" s="16" t="str">
        <f t="shared" si="1"/>
        <v>50492 CORAZON DE JESUS2 Primaria</v>
      </c>
      <c r="N2496" s="17"/>
      <c r="O2496" s="17"/>
      <c r="P2496" s="17"/>
      <c r="Q2496" s="17"/>
      <c r="R2496" s="17"/>
      <c r="S2496" s="17"/>
      <c r="T2496" s="17"/>
    </row>
    <row r="2497">
      <c r="A2497" s="21">
        <v>1300.0</v>
      </c>
      <c r="B2497" s="20" t="s">
        <v>90</v>
      </c>
      <c r="C2497" s="20" t="s">
        <v>14</v>
      </c>
      <c r="D2497" s="20" t="s">
        <v>15</v>
      </c>
      <c r="E2497" s="12" t="str">
        <f>IFERROR(__xludf.DUMMYFUNCTION("FILTER(colegios!$B$2:$B5618,colegios!$A$2:$A5618=L2497)"),"50492 CORAZON DE JESUS")</f>
        <v>50492 CORAZON DE JESUS</v>
      </c>
      <c r="F2497" s="14" t="s">
        <v>16</v>
      </c>
      <c r="G2497" s="20" t="s">
        <v>21</v>
      </c>
      <c r="H2497" s="14" t="s">
        <v>18</v>
      </c>
      <c r="I2497" s="22">
        <v>2023.0</v>
      </c>
      <c r="J2497" s="16" t="str">
        <f>IFERROR(__xludf.DUMMYFUNCTION("FILTER('CLASFICACIÓN'!$F$3:$F5618,'CLASFICACIÓN'!$G$3:$G5618=M2497)"),"LOS 3 AÑOS")</f>
        <v>LOS 3 AÑOS</v>
      </c>
      <c r="K2497" s="16"/>
      <c r="L2497" s="14" t="s">
        <v>146</v>
      </c>
      <c r="M2497" s="16" t="str">
        <f t="shared" si="1"/>
        <v>50492 CORAZON DE JESUS2 Primaria</v>
      </c>
      <c r="N2497" s="17"/>
      <c r="O2497" s="17"/>
      <c r="P2497" s="17"/>
      <c r="Q2497" s="17"/>
      <c r="R2497" s="17"/>
      <c r="S2497" s="17"/>
      <c r="T2497" s="17"/>
    </row>
    <row r="2498">
      <c r="A2498" s="21">
        <v>1301.0</v>
      </c>
      <c r="B2498" s="20" t="s">
        <v>90</v>
      </c>
      <c r="C2498" s="20" t="s">
        <v>14</v>
      </c>
      <c r="D2498" s="20" t="s">
        <v>15</v>
      </c>
      <c r="E2498" s="12" t="str">
        <f>IFERROR(__xludf.DUMMYFUNCTION("FILTER(colegios!$B$2:$B5618,colegios!$A$2:$A5618=L2498)"),"50492 CORAZON DE JESUS")</f>
        <v>50492 CORAZON DE JESUS</v>
      </c>
      <c r="F2498" s="14" t="s">
        <v>16</v>
      </c>
      <c r="G2498" s="20" t="s">
        <v>17</v>
      </c>
      <c r="H2498" s="14" t="s">
        <v>24</v>
      </c>
      <c r="I2498" s="22">
        <v>2023.0</v>
      </c>
      <c r="J2498" s="16" t="str">
        <f>IFERROR(__xludf.DUMMYFUNCTION("FILTER('CLASFICACIÓN'!$F$3:$F5618,'CLASFICACIÓN'!$G$3:$G5618=M2498)"),"LOS 3 AÑOS")</f>
        <v>LOS 3 AÑOS</v>
      </c>
      <c r="K2498" s="16"/>
      <c r="L2498" s="14" t="s">
        <v>146</v>
      </c>
      <c r="M2498" s="16" t="str">
        <f t="shared" si="1"/>
        <v>50492 CORAZON DE JESUS2 Primaria</v>
      </c>
      <c r="N2498" s="17"/>
      <c r="O2498" s="17"/>
      <c r="P2498" s="17"/>
      <c r="Q2498" s="17"/>
      <c r="R2498" s="17"/>
      <c r="S2498" s="17"/>
      <c r="T2498" s="17"/>
    </row>
    <row r="2499">
      <c r="A2499" s="21">
        <v>1302.0</v>
      </c>
      <c r="B2499" s="20" t="s">
        <v>90</v>
      </c>
      <c r="C2499" s="20" t="s">
        <v>14</v>
      </c>
      <c r="D2499" s="20" t="s">
        <v>20</v>
      </c>
      <c r="E2499" s="12" t="str">
        <f>IFERROR(__xludf.DUMMYFUNCTION("FILTER(colegios!$B$2:$B5618,colegios!$A$2:$A5618=L2499)"),"50492 CORAZON DE JESUS")</f>
        <v>50492 CORAZON DE JESUS</v>
      </c>
      <c r="F2499" s="14" t="s">
        <v>16</v>
      </c>
      <c r="G2499" s="20" t="s">
        <v>21</v>
      </c>
      <c r="H2499" s="14" t="s">
        <v>32</v>
      </c>
      <c r="I2499" s="22">
        <v>2023.0</v>
      </c>
      <c r="J2499" s="16" t="str">
        <f>IFERROR(__xludf.DUMMYFUNCTION("FILTER('CLASFICACIÓN'!$F$3:$F5618,'CLASFICACIÓN'!$G$3:$G5618=M2499)"),"LOS 3 AÑOS")</f>
        <v>LOS 3 AÑOS</v>
      </c>
      <c r="K2499" s="16"/>
      <c r="L2499" s="14" t="s">
        <v>146</v>
      </c>
      <c r="M2499" s="16" t="str">
        <f t="shared" si="1"/>
        <v>50492 CORAZON DE JESUS4 Primaria</v>
      </c>
      <c r="N2499" s="17"/>
      <c r="O2499" s="17"/>
      <c r="P2499" s="17"/>
      <c r="Q2499" s="17"/>
      <c r="R2499" s="17"/>
      <c r="S2499" s="17"/>
      <c r="T2499" s="17"/>
    </row>
    <row r="2500">
      <c r="A2500" s="21">
        <v>1303.0</v>
      </c>
      <c r="B2500" s="20" t="s">
        <v>90</v>
      </c>
      <c r="C2500" s="20" t="s">
        <v>14</v>
      </c>
      <c r="D2500" s="20" t="s">
        <v>20</v>
      </c>
      <c r="E2500" s="12" t="str">
        <f>IFERROR(__xludf.DUMMYFUNCTION("FILTER(colegios!$B$2:$B5618,colegios!$A$2:$A5618=L2500)"),"50492 CORAZON DE JESUS")</f>
        <v>50492 CORAZON DE JESUS</v>
      </c>
      <c r="F2500" s="14" t="s">
        <v>16</v>
      </c>
      <c r="G2500" s="20" t="s">
        <v>21</v>
      </c>
      <c r="H2500" s="14" t="s">
        <v>18</v>
      </c>
      <c r="I2500" s="22">
        <v>2023.0</v>
      </c>
      <c r="J2500" s="16" t="str">
        <f>IFERROR(__xludf.DUMMYFUNCTION("FILTER('CLASFICACIÓN'!$F$3:$F5618,'CLASFICACIÓN'!$G$3:$G5618=M2500)"),"LOS 3 AÑOS")</f>
        <v>LOS 3 AÑOS</v>
      </c>
      <c r="K2500" s="16"/>
      <c r="L2500" s="14" t="s">
        <v>146</v>
      </c>
      <c r="M2500" s="16" t="str">
        <f t="shared" si="1"/>
        <v>50492 CORAZON DE JESUS4 Primaria</v>
      </c>
      <c r="N2500" s="17"/>
      <c r="O2500" s="17"/>
      <c r="P2500" s="17"/>
      <c r="Q2500" s="17"/>
      <c r="R2500" s="17"/>
      <c r="S2500" s="17"/>
      <c r="T2500" s="17"/>
    </row>
    <row r="2501">
      <c r="A2501" s="21">
        <v>1304.0</v>
      </c>
      <c r="B2501" s="20" t="s">
        <v>90</v>
      </c>
      <c r="C2501" s="20" t="s">
        <v>14</v>
      </c>
      <c r="D2501" s="20" t="s">
        <v>20</v>
      </c>
      <c r="E2501" s="12" t="str">
        <f>IFERROR(__xludf.DUMMYFUNCTION("FILTER(colegios!$B$2:$B5618,colegios!$A$2:$A5618=L2501)"),"50492 CORAZON DE JESUS")</f>
        <v>50492 CORAZON DE JESUS</v>
      </c>
      <c r="F2501" s="14" t="s">
        <v>16</v>
      </c>
      <c r="G2501" s="20" t="s">
        <v>21</v>
      </c>
      <c r="H2501" s="14" t="s">
        <v>18</v>
      </c>
      <c r="I2501" s="22">
        <v>2023.0</v>
      </c>
      <c r="J2501" s="16" t="str">
        <f>IFERROR(__xludf.DUMMYFUNCTION("FILTER('CLASFICACIÓN'!$F$3:$F5618,'CLASFICACIÓN'!$G$3:$G5618=M2501)"),"LOS 3 AÑOS")</f>
        <v>LOS 3 AÑOS</v>
      </c>
      <c r="K2501" s="16"/>
      <c r="L2501" s="14" t="s">
        <v>146</v>
      </c>
      <c r="M2501" s="16" t="str">
        <f t="shared" si="1"/>
        <v>50492 CORAZON DE JESUS4 Primaria</v>
      </c>
      <c r="N2501" s="17"/>
      <c r="O2501" s="17"/>
      <c r="P2501" s="17"/>
      <c r="Q2501" s="17"/>
      <c r="R2501" s="17"/>
      <c r="S2501" s="17"/>
      <c r="T2501" s="17"/>
    </row>
    <row r="2502">
      <c r="A2502" s="21">
        <v>1305.0</v>
      </c>
      <c r="B2502" s="20" t="s">
        <v>90</v>
      </c>
      <c r="C2502" s="20" t="s">
        <v>14</v>
      </c>
      <c r="D2502" s="20" t="s">
        <v>20</v>
      </c>
      <c r="E2502" s="12" t="str">
        <f>IFERROR(__xludf.DUMMYFUNCTION("FILTER(colegios!$B$2:$B5618,colegios!$A$2:$A5618=L2502)"),"50492 CORAZON DE JESUS")</f>
        <v>50492 CORAZON DE JESUS</v>
      </c>
      <c r="F2502" s="14" t="s">
        <v>16</v>
      </c>
      <c r="G2502" s="20" t="s">
        <v>21</v>
      </c>
      <c r="H2502" s="14" t="s">
        <v>18</v>
      </c>
      <c r="I2502" s="22">
        <v>2023.0</v>
      </c>
      <c r="J2502" s="16" t="str">
        <f>IFERROR(__xludf.DUMMYFUNCTION("FILTER('CLASFICACIÓN'!$F$3:$F5618,'CLASFICACIÓN'!$G$3:$G5618=M2502)"),"LOS 3 AÑOS")</f>
        <v>LOS 3 AÑOS</v>
      </c>
      <c r="K2502" s="16"/>
      <c r="L2502" s="14" t="s">
        <v>146</v>
      </c>
      <c r="M2502" s="16" t="str">
        <f t="shared" si="1"/>
        <v>50492 CORAZON DE JESUS4 Primaria</v>
      </c>
      <c r="N2502" s="17"/>
      <c r="O2502" s="17"/>
      <c r="P2502" s="17"/>
      <c r="Q2502" s="17"/>
      <c r="R2502" s="17"/>
      <c r="S2502" s="17"/>
      <c r="T2502" s="17"/>
    </row>
    <row r="2503">
      <c r="A2503" s="21">
        <v>1306.0</v>
      </c>
      <c r="B2503" s="20" t="s">
        <v>90</v>
      </c>
      <c r="C2503" s="20" t="s">
        <v>14</v>
      </c>
      <c r="D2503" s="20" t="s">
        <v>20</v>
      </c>
      <c r="E2503" s="12" t="str">
        <f>IFERROR(__xludf.DUMMYFUNCTION("FILTER(colegios!$B$2:$B5618,colegios!$A$2:$A5618=L2503)"),"50492 CORAZON DE JESUS")</f>
        <v>50492 CORAZON DE JESUS</v>
      </c>
      <c r="F2503" s="14" t="s">
        <v>16</v>
      </c>
      <c r="G2503" s="20" t="s">
        <v>21</v>
      </c>
      <c r="H2503" s="14" t="s">
        <v>32</v>
      </c>
      <c r="I2503" s="22">
        <v>2023.0</v>
      </c>
      <c r="J2503" s="16" t="str">
        <f>IFERROR(__xludf.DUMMYFUNCTION("FILTER('CLASFICACIÓN'!$F$3:$F5618,'CLASFICACIÓN'!$G$3:$G5618=M2503)"),"LOS 3 AÑOS")</f>
        <v>LOS 3 AÑOS</v>
      </c>
      <c r="K2503" s="16"/>
      <c r="L2503" s="14" t="s">
        <v>146</v>
      </c>
      <c r="M2503" s="16" t="str">
        <f t="shared" si="1"/>
        <v>50492 CORAZON DE JESUS4 Primaria</v>
      </c>
      <c r="N2503" s="17"/>
      <c r="O2503" s="17"/>
      <c r="P2503" s="17"/>
      <c r="Q2503" s="17"/>
      <c r="R2503" s="17"/>
      <c r="S2503" s="17"/>
      <c r="T2503" s="17"/>
    </row>
    <row r="2504">
      <c r="A2504" s="21">
        <v>1307.0</v>
      </c>
      <c r="B2504" s="20" t="s">
        <v>90</v>
      </c>
      <c r="C2504" s="20" t="s">
        <v>14</v>
      </c>
      <c r="D2504" s="20" t="s">
        <v>20</v>
      </c>
      <c r="E2504" s="12" t="str">
        <f>IFERROR(__xludf.DUMMYFUNCTION("FILTER(colegios!$B$2:$B5618,colegios!$A$2:$A5618=L2504)"),"50492 CORAZON DE JESUS")</f>
        <v>50492 CORAZON DE JESUS</v>
      </c>
      <c r="F2504" s="14" t="s">
        <v>16</v>
      </c>
      <c r="G2504" s="20" t="s">
        <v>17</v>
      </c>
      <c r="H2504" s="14" t="s">
        <v>24</v>
      </c>
      <c r="I2504" s="22">
        <v>2023.0</v>
      </c>
      <c r="J2504" s="16" t="str">
        <f>IFERROR(__xludf.DUMMYFUNCTION("FILTER('CLASFICACIÓN'!$F$3:$F5618,'CLASFICACIÓN'!$G$3:$G5618=M2504)"),"LOS 3 AÑOS")</f>
        <v>LOS 3 AÑOS</v>
      </c>
      <c r="K2504" s="16"/>
      <c r="L2504" s="14" t="s">
        <v>146</v>
      </c>
      <c r="M2504" s="16" t="str">
        <f t="shared" si="1"/>
        <v>50492 CORAZON DE JESUS4 Primaria</v>
      </c>
      <c r="N2504" s="17"/>
      <c r="O2504" s="17"/>
      <c r="P2504" s="17"/>
      <c r="Q2504" s="17"/>
      <c r="R2504" s="17"/>
      <c r="S2504" s="17"/>
      <c r="T2504" s="17"/>
    </row>
    <row r="2505">
      <c r="A2505" s="21">
        <v>1308.0</v>
      </c>
      <c r="B2505" s="20" t="s">
        <v>90</v>
      </c>
      <c r="C2505" s="20" t="s">
        <v>14</v>
      </c>
      <c r="D2505" s="20" t="s">
        <v>20</v>
      </c>
      <c r="E2505" s="12" t="str">
        <f>IFERROR(__xludf.DUMMYFUNCTION("FILTER(colegios!$B$2:$B5618,colegios!$A$2:$A5618=L2505)"),"50492 CORAZON DE JESUS")</f>
        <v>50492 CORAZON DE JESUS</v>
      </c>
      <c r="F2505" s="14" t="s">
        <v>16</v>
      </c>
      <c r="G2505" s="20" t="s">
        <v>21</v>
      </c>
      <c r="H2505" s="14" t="s">
        <v>18</v>
      </c>
      <c r="I2505" s="22">
        <v>2023.0</v>
      </c>
      <c r="J2505" s="16" t="str">
        <f>IFERROR(__xludf.DUMMYFUNCTION("FILTER('CLASFICACIÓN'!$F$3:$F5618,'CLASFICACIÓN'!$G$3:$G5618=M2505)"),"LOS 3 AÑOS")</f>
        <v>LOS 3 AÑOS</v>
      </c>
      <c r="K2505" s="16"/>
      <c r="L2505" s="14" t="s">
        <v>146</v>
      </c>
      <c r="M2505" s="16" t="str">
        <f t="shared" si="1"/>
        <v>50492 CORAZON DE JESUS4 Primaria</v>
      </c>
      <c r="N2505" s="17"/>
      <c r="O2505" s="17"/>
      <c r="P2505" s="17"/>
      <c r="Q2505" s="17"/>
      <c r="R2505" s="17"/>
      <c r="S2505" s="17"/>
      <c r="T2505" s="17"/>
    </row>
    <row r="2506">
      <c r="A2506" s="21">
        <v>1309.0</v>
      </c>
      <c r="B2506" s="20" t="s">
        <v>90</v>
      </c>
      <c r="C2506" s="20" t="s">
        <v>14</v>
      </c>
      <c r="D2506" s="20" t="s">
        <v>20</v>
      </c>
      <c r="E2506" s="12" t="str">
        <f>IFERROR(__xludf.DUMMYFUNCTION("FILTER(colegios!$B$2:$B5618,colegios!$A$2:$A5618=L2506)"),"50492 CORAZON DE JESUS")</f>
        <v>50492 CORAZON DE JESUS</v>
      </c>
      <c r="F2506" s="14" t="s">
        <v>16</v>
      </c>
      <c r="G2506" s="20" t="s">
        <v>21</v>
      </c>
      <c r="H2506" s="14" t="s">
        <v>18</v>
      </c>
      <c r="I2506" s="22">
        <v>2023.0</v>
      </c>
      <c r="J2506" s="16" t="str">
        <f>IFERROR(__xludf.DUMMYFUNCTION("FILTER('CLASFICACIÓN'!$F$3:$F5618,'CLASFICACIÓN'!$G$3:$G5618=M2506)"),"LOS 3 AÑOS")</f>
        <v>LOS 3 AÑOS</v>
      </c>
      <c r="K2506" s="16"/>
      <c r="L2506" s="14" t="s">
        <v>146</v>
      </c>
      <c r="M2506" s="16" t="str">
        <f t="shared" si="1"/>
        <v>50492 CORAZON DE JESUS4 Primaria</v>
      </c>
      <c r="N2506" s="17"/>
      <c r="O2506" s="17"/>
      <c r="P2506" s="17"/>
      <c r="Q2506" s="17"/>
      <c r="R2506" s="17"/>
      <c r="S2506" s="17"/>
      <c r="T2506" s="17"/>
    </row>
    <row r="2507">
      <c r="A2507" s="21">
        <v>1310.0</v>
      </c>
      <c r="B2507" s="20" t="s">
        <v>90</v>
      </c>
      <c r="C2507" s="20" t="s">
        <v>14</v>
      </c>
      <c r="D2507" s="20" t="s">
        <v>20</v>
      </c>
      <c r="E2507" s="12" t="str">
        <f>IFERROR(__xludf.DUMMYFUNCTION("FILTER(colegios!$B$2:$B5618,colegios!$A$2:$A5618=L2507)"),"50492 CORAZON DE JESUS")</f>
        <v>50492 CORAZON DE JESUS</v>
      </c>
      <c r="F2507" s="14" t="s">
        <v>16</v>
      </c>
      <c r="G2507" s="20" t="s">
        <v>17</v>
      </c>
      <c r="H2507" s="14" t="s">
        <v>32</v>
      </c>
      <c r="I2507" s="22">
        <v>2023.0</v>
      </c>
      <c r="J2507" s="16" t="str">
        <f>IFERROR(__xludf.DUMMYFUNCTION("FILTER('CLASFICACIÓN'!$F$3:$F5618,'CLASFICACIÓN'!$G$3:$G5618=M2507)"),"LOS 3 AÑOS")</f>
        <v>LOS 3 AÑOS</v>
      </c>
      <c r="K2507" s="16"/>
      <c r="L2507" s="14" t="s">
        <v>146</v>
      </c>
      <c r="M2507" s="16" t="str">
        <f t="shared" si="1"/>
        <v>50492 CORAZON DE JESUS4 Primaria</v>
      </c>
      <c r="N2507" s="17"/>
      <c r="O2507" s="17"/>
      <c r="P2507" s="17"/>
      <c r="Q2507" s="17"/>
      <c r="R2507" s="17"/>
      <c r="S2507" s="17"/>
      <c r="T2507" s="17"/>
    </row>
    <row r="2508">
      <c r="A2508" s="21">
        <v>1311.0</v>
      </c>
      <c r="B2508" s="20" t="s">
        <v>90</v>
      </c>
      <c r="C2508" s="20" t="s">
        <v>14</v>
      </c>
      <c r="D2508" s="20" t="s">
        <v>20</v>
      </c>
      <c r="E2508" s="12" t="str">
        <f>IFERROR(__xludf.DUMMYFUNCTION("FILTER(colegios!$B$2:$B5618,colegios!$A$2:$A5618=L2508)"),"50492 CORAZON DE JESUS")</f>
        <v>50492 CORAZON DE JESUS</v>
      </c>
      <c r="F2508" s="14" t="s">
        <v>16</v>
      </c>
      <c r="G2508" s="20" t="s">
        <v>17</v>
      </c>
      <c r="H2508" s="14" t="s">
        <v>18</v>
      </c>
      <c r="I2508" s="22">
        <v>2023.0</v>
      </c>
      <c r="J2508" s="16" t="str">
        <f>IFERROR(__xludf.DUMMYFUNCTION("FILTER('CLASFICACIÓN'!$F$3:$F5618,'CLASFICACIÓN'!$G$3:$G5618=M2508)"),"LOS 3 AÑOS")</f>
        <v>LOS 3 AÑOS</v>
      </c>
      <c r="K2508" s="16"/>
      <c r="L2508" s="14" t="s">
        <v>146</v>
      </c>
      <c r="M2508" s="16" t="str">
        <f t="shared" si="1"/>
        <v>50492 CORAZON DE JESUS4 Primaria</v>
      </c>
      <c r="N2508" s="17"/>
      <c r="O2508" s="17"/>
      <c r="P2508" s="17"/>
      <c r="Q2508" s="17"/>
      <c r="R2508" s="17"/>
      <c r="S2508" s="17"/>
      <c r="T2508" s="17"/>
    </row>
    <row r="2509">
      <c r="A2509" s="21">
        <v>1312.0</v>
      </c>
      <c r="B2509" s="20" t="s">
        <v>90</v>
      </c>
      <c r="C2509" s="20" t="s">
        <v>14</v>
      </c>
      <c r="D2509" s="20" t="s">
        <v>20</v>
      </c>
      <c r="E2509" s="12" t="str">
        <f>IFERROR(__xludf.DUMMYFUNCTION("FILTER(colegios!$B$2:$B5618,colegios!$A$2:$A5618=L2509)"),"50492 CORAZON DE JESUS")</f>
        <v>50492 CORAZON DE JESUS</v>
      </c>
      <c r="F2509" s="14" t="s">
        <v>16</v>
      </c>
      <c r="G2509" s="20" t="s">
        <v>21</v>
      </c>
      <c r="H2509" s="14" t="s">
        <v>24</v>
      </c>
      <c r="I2509" s="22">
        <v>2023.0</v>
      </c>
      <c r="J2509" s="16" t="str">
        <f>IFERROR(__xludf.DUMMYFUNCTION("FILTER('CLASFICACIÓN'!$F$3:$F5618,'CLASFICACIÓN'!$G$3:$G5618=M2509)"),"LOS 3 AÑOS")</f>
        <v>LOS 3 AÑOS</v>
      </c>
      <c r="K2509" s="16"/>
      <c r="L2509" s="14" t="s">
        <v>146</v>
      </c>
      <c r="M2509" s="16" t="str">
        <f t="shared" si="1"/>
        <v>50492 CORAZON DE JESUS4 Primaria</v>
      </c>
      <c r="N2509" s="17"/>
      <c r="O2509" s="17"/>
      <c r="P2509" s="17"/>
      <c r="Q2509" s="17"/>
      <c r="R2509" s="17"/>
      <c r="S2509" s="17"/>
      <c r="T2509" s="17"/>
    </row>
    <row r="2510">
      <c r="A2510" s="21">
        <v>1313.0</v>
      </c>
      <c r="B2510" s="20" t="s">
        <v>90</v>
      </c>
      <c r="C2510" s="20" t="s">
        <v>14</v>
      </c>
      <c r="D2510" s="20" t="s">
        <v>20</v>
      </c>
      <c r="E2510" s="12" t="str">
        <f>IFERROR(__xludf.DUMMYFUNCTION("FILTER(colegios!$B$2:$B5618,colegios!$A$2:$A5618=L2510)"),"50492 CORAZON DE JESUS")</f>
        <v>50492 CORAZON DE JESUS</v>
      </c>
      <c r="F2510" s="14" t="s">
        <v>16</v>
      </c>
      <c r="G2510" s="20" t="s">
        <v>21</v>
      </c>
      <c r="H2510" s="14" t="s">
        <v>32</v>
      </c>
      <c r="I2510" s="22">
        <v>2023.0</v>
      </c>
      <c r="J2510" s="16" t="str">
        <f>IFERROR(__xludf.DUMMYFUNCTION("FILTER('CLASFICACIÓN'!$F$3:$F5618,'CLASFICACIÓN'!$G$3:$G5618=M2510)"),"LOS 3 AÑOS")</f>
        <v>LOS 3 AÑOS</v>
      </c>
      <c r="K2510" s="16"/>
      <c r="L2510" s="14" t="s">
        <v>146</v>
      </c>
      <c r="M2510" s="16" t="str">
        <f t="shared" si="1"/>
        <v>50492 CORAZON DE JESUS4 Primaria</v>
      </c>
      <c r="N2510" s="17"/>
      <c r="O2510" s="17"/>
      <c r="P2510" s="17"/>
      <c r="Q2510" s="17"/>
      <c r="R2510" s="17"/>
      <c r="S2510" s="17"/>
      <c r="T2510" s="17"/>
    </row>
    <row r="2511">
      <c r="A2511" s="21">
        <v>1314.0</v>
      </c>
      <c r="B2511" s="20" t="s">
        <v>90</v>
      </c>
      <c r="C2511" s="20" t="s">
        <v>14</v>
      </c>
      <c r="D2511" s="20" t="s">
        <v>20</v>
      </c>
      <c r="E2511" s="12" t="str">
        <f>IFERROR(__xludf.DUMMYFUNCTION("FILTER(colegios!$B$2:$B5618,colegios!$A$2:$A5618=L2511)"),"50492 CORAZON DE JESUS")</f>
        <v>50492 CORAZON DE JESUS</v>
      </c>
      <c r="F2511" s="14" t="s">
        <v>16</v>
      </c>
      <c r="G2511" s="20" t="s">
        <v>17</v>
      </c>
      <c r="H2511" s="14" t="s">
        <v>18</v>
      </c>
      <c r="I2511" s="22">
        <v>2023.0</v>
      </c>
      <c r="J2511" s="16" t="str">
        <f>IFERROR(__xludf.DUMMYFUNCTION("FILTER('CLASFICACIÓN'!$F$3:$F5618,'CLASFICACIÓN'!$G$3:$G5618=M2511)"),"LOS 3 AÑOS")</f>
        <v>LOS 3 AÑOS</v>
      </c>
      <c r="K2511" s="16"/>
      <c r="L2511" s="14" t="s">
        <v>146</v>
      </c>
      <c r="M2511" s="16" t="str">
        <f t="shared" si="1"/>
        <v>50492 CORAZON DE JESUS4 Primaria</v>
      </c>
      <c r="N2511" s="17"/>
      <c r="O2511" s="17"/>
      <c r="P2511" s="17"/>
      <c r="Q2511" s="17"/>
      <c r="R2511" s="17"/>
      <c r="S2511" s="17"/>
      <c r="T2511" s="17"/>
    </row>
    <row r="2512">
      <c r="A2512" s="21">
        <v>1315.0</v>
      </c>
      <c r="B2512" s="20" t="s">
        <v>90</v>
      </c>
      <c r="C2512" s="20" t="s">
        <v>14</v>
      </c>
      <c r="D2512" s="20" t="s">
        <v>20</v>
      </c>
      <c r="E2512" s="12" t="str">
        <f>IFERROR(__xludf.DUMMYFUNCTION("FILTER(colegios!$B$2:$B5618,colegios!$A$2:$A5618=L2512)"),"50492 CORAZON DE JESUS")</f>
        <v>50492 CORAZON DE JESUS</v>
      </c>
      <c r="F2512" s="14" t="s">
        <v>16</v>
      </c>
      <c r="G2512" s="20" t="s">
        <v>21</v>
      </c>
      <c r="H2512" s="14" t="s">
        <v>24</v>
      </c>
      <c r="I2512" s="22">
        <v>2023.0</v>
      </c>
      <c r="J2512" s="16" t="str">
        <f>IFERROR(__xludf.DUMMYFUNCTION("FILTER('CLASFICACIÓN'!$F$3:$F5618,'CLASFICACIÓN'!$G$3:$G5618=M2512)"),"LOS 3 AÑOS")</f>
        <v>LOS 3 AÑOS</v>
      </c>
      <c r="K2512" s="16"/>
      <c r="L2512" s="14" t="s">
        <v>146</v>
      </c>
      <c r="M2512" s="16" t="str">
        <f t="shared" si="1"/>
        <v>50492 CORAZON DE JESUS4 Primaria</v>
      </c>
      <c r="N2512" s="17"/>
      <c r="O2512" s="17"/>
      <c r="P2512" s="17"/>
      <c r="Q2512" s="17"/>
      <c r="R2512" s="17"/>
      <c r="S2512" s="17"/>
      <c r="T2512" s="17"/>
    </row>
    <row r="2513">
      <c r="A2513" s="21">
        <v>1316.0</v>
      </c>
      <c r="B2513" s="20" t="s">
        <v>90</v>
      </c>
      <c r="C2513" s="20" t="s">
        <v>14</v>
      </c>
      <c r="D2513" s="20" t="s">
        <v>20</v>
      </c>
      <c r="E2513" s="12" t="str">
        <f>IFERROR(__xludf.DUMMYFUNCTION("FILTER(colegios!$B$2:$B5618,colegios!$A$2:$A5618=L2513)"),"50492 CORAZON DE JESUS")</f>
        <v>50492 CORAZON DE JESUS</v>
      </c>
      <c r="F2513" s="14" t="s">
        <v>16</v>
      </c>
      <c r="G2513" s="20" t="s">
        <v>17</v>
      </c>
      <c r="H2513" s="14" t="s">
        <v>24</v>
      </c>
      <c r="I2513" s="22">
        <v>2023.0</v>
      </c>
      <c r="J2513" s="16" t="str">
        <f>IFERROR(__xludf.DUMMYFUNCTION("FILTER('CLASFICACIÓN'!$F$3:$F5618,'CLASFICACIÓN'!$G$3:$G5618=M2513)"),"LOS 3 AÑOS")</f>
        <v>LOS 3 AÑOS</v>
      </c>
      <c r="K2513" s="16"/>
      <c r="L2513" s="14" t="s">
        <v>146</v>
      </c>
      <c r="M2513" s="16" t="str">
        <f t="shared" si="1"/>
        <v>50492 CORAZON DE JESUS4 Primaria</v>
      </c>
      <c r="N2513" s="17"/>
      <c r="O2513" s="17"/>
      <c r="P2513" s="17"/>
      <c r="Q2513" s="17"/>
      <c r="R2513" s="17"/>
      <c r="S2513" s="17"/>
      <c r="T2513" s="17"/>
    </row>
    <row r="2514">
      <c r="A2514" s="21">
        <v>1317.0</v>
      </c>
      <c r="B2514" s="20" t="s">
        <v>90</v>
      </c>
      <c r="C2514" s="20" t="s">
        <v>14</v>
      </c>
      <c r="D2514" s="20" t="s">
        <v>20</v>
      </c>
      <c r="E2514" s="12" t="str">
        <f>IFERROR(__xludf.DUMMYFUNCTION("FILTER(colegios!$B$2:$B5618,colegios!$A$2:$A5618=L2514)"),"50492 CORAZON DE JESUS")</f>
        <v>50492 CORAZON DE JESUS</v>
      </c>
      <c r="F2514" s="14" t="s">
        <v>16</v>
      </c>
      <c r="G2514" s="20" t="s">
        <v>21</v>
      </c>
      <c r="H2514" s="14" t="s">
        <v>24</v>
      </c>
      <c r="I2514" s="22">
        <v>2023.0</v>
      </c>
      <c r="J2514" s="16" t="str">
        <f>IFERROR(__xludf.DUMMYFUNCTION("FILTER('CLASFICACIÓN'!$F$3:$F5618,'CLASFICACIÓN'!$G$3:$G5618=M2514)"),"LOS 3 AÑOS")</f>
        <v>LOS 3 AÑOS</v>
      </c>
      <c r="K2514" s="16"/>
      <c r="L2514" s="14" t="s">
        <v>146</v>
      </c>
      <c r="M2514" s="16" t="str">
        <f t="shared" si="1"/>
        <v>50492 CORAZON DE JESUS4 Primaria</v>
      </c>
      <c r="N2514" s="17"/>
      <c r="O2514" s="17"/>
      <c r="P2514" s="17"/>
      <c r="Q2514" s="17"/>
      <c r="R2514" s="17"/>
      <c r="S2514" s="17"/>
      <c r="T2514" s="17"/>
    </row>
    <row r="2515">
      <c r="A2515" s="21">
        <v>1318.0</v>
      </c>
      <c r="B2515" s="20" t="s">
        <v>90</v>
      </c>
      <c r="C2515" s="20" t="s">
        <v>14</v>
      </c>
      <c r="D2515" s="20" t="s">
        <v>20</v>
      </c>
      <c r="E2515" s="12" t="str">
        <f>IFERROR(__xludf.DUMMYFUNCTION("FILTER(colegios!$B$2:$B5618,colegios!$A$2:$A5618=L2515)"),"50492 CORAZON DE JESUS")</f>
        <v>50492 CORAZON DE JESUS</v>
      </c>
      <c r="F2515" s="14" t="s">
        <v>16</v>
      </c>
      <c r="G2515" s="20" t="s">
        <v>21</v>
      </c>
      <c r="H2515" s="14" t="s">
        <v>24</v>
      </c>
      <c r="I2515" s="22">
        <v>2023.0</v>
      </c>
      <c r="J2515" s="16" t="str">
        <f>IFERROR(__xludf.DUMMYFUNCTION("FILTER('CLASFICACIÓN'!$F$3:$F5618,'CLASFICACIÓN'!$G$3:$G5618=M2515)"),"LOS 3 AÑOS")</f>
        <v>LOS 3 AÑOS</v>
      </c>
      <c r="K2515" s="16"/>
      <c r="L2515" s="14" t="s">
        <v>146</v>
      </c>
      <c r="M2515" s="16" t="str">
        <f t="shared" si="1"/>
        <v>50492 CORAZON DE JESUS4 Primaria</v>
      </c>
      <c r="N2515" s="17"/>
      <c r="O2515" s="17"/>
      <c r="P2515" s="17"/>
      <c r="Q2515" s="17"/>
      <c r="R2515" s="17"/>
      <c r="S2515" s="17"/>
      <c r="T2515" s="17"/>
    </row>
    <row r="2516">
      <c r="A2516" s="21">
        <v>1319.0</v>
      </c>
      <c r="B2516" s="20" t="s">
        <v>90</v>
      </c>
      <c r="C2516" s="20" t="s">
        <v>14</v>
      </c>
      <c r="D2516" s="20" t="s">
        <v>20</v>
      </c>
      <c r="E2516" s="12" t="str">
        <f>IFERROR(__xludf.DUMMYFUNCTION("FILTER(colegios!$B$2:$B5618,colegios!$A$2:$A5618=L2516)"),"50492 CORAZON DE JESUS")</f>
        <v>50492 CORAZON DE JESUS</v>
      </c>
      <c r="F2516" s="14" t="s">
        <v>16</v>
      </c>
      <c r="G2516" s="20" t="s">
        <v>17</v>
      </c>
      <c r="H2516" s="14" t="s">
        <v>18</v>
      </c>
      <c r="I2516" s="22">
        <v>2023.0</v>
      </c>
      <c r="J2516" s="16" t="str">
        <f>IFERROR(__xludf.DUMMYFUNCTION("FILTER('CLASFICACIÓN'!$F$3:$F5618,'CLASFICACIÓN'!$G$3:$G5618=M2516)"),"LOS 3 AÑOS")</f>
        <v>LOS 3 AÑOS</v>
      </c>
      <c r="K2516" s="16"/>
      <c r="L2516" s="14" t="s">
        <v>146</v>
      </c>
      <c r="M2516" s="16" t="str">
        <f t="shared" si="1"/>
        <v>50492 CORAZON DE JESUS4 Primaria</v>
      </c>
      <c r="N2516" s="17"/>
      <c r="O2516" s="17"/>
      <c r="P2516" s="17"/>
      <c r="Q2516" s="17"/>
      <c r="R2516" s="17"/>
      <c r="S2516" s="17"/>
      <c r="T2516" s="17"/>
    </row>
    <row r="2517">
      <c r="A2517" s="21">
        <v>1320.0</v>
      </c>
      <c r="B2517" s="20" t="s">
        <v>90</v>
      </c>
      <c r="C2517" s="20" t="s">
        <v>14</v>
      </c>
      <c r="D2517" s="20" t="s">
        <v>20</v>
      </c>
      <c r="E2517" s="12" t="str">
        <f>IFERROR(__xludf.DUMMYFUNCTION("FILTER(colegios!$B$2:$B5618,colegios!$A$2:$A5618=L2517)"),"50492 CORAZON DE JESUS")</f>
        <v>50492 CORAZON DE JESUS</v>
      </c>
      <c r="F2517" s="14" t="s">
        <v>16</v>
      </c>
      <c r="G2517" s="20" t="s">
        <v>21</v>
      </c>
      <c r="H2517" s="14" t="s">
        <v>18</v>
      </c>
      <c r="I2517" s="22">
        <v>2023.0</v>
      </c>
      <c r="J2517" s="16" t="str">
        <f>IFERROR(__xludf.DUMMYFUNCTION("FILTER('CLASFICACIÓN'!$F$3:$F5618,'CLASFICACIÓN'!$G$3:$G5618=M2517)"),"LOS 3 AÑOS")</f>
        <v>LOS 3 AÑOS</v>
      </c>
      <c r="K2517" s="16"/>
      <c r="L2517" s="14" t="s">
        <v>146</v>
      </c>
      <c r="M2517" s="16" t="str">
        <f t="shared" si="1"/>
        <v>50492 CORAZON DE JESUS4 Primaria</v>
      </c>
      <c r="N2517" s="17"/>
      <c r="O2517" s="17"/>
      <c r="P2517" s="17"/>
      <c r="Q2517" s="17"/>
      <c r="R2517" s="17"/>
      <c r="S2517" s="17"/>
      <c r="T2517" s="17"/>
    </row>
    <row r="2518">
      <c r="A2518" s="21">
        <v>1321.0</v>
      </c>
      <c r="B2518" s="20" t="s">
        <v>90</v>
      </c>
      <c r="C2518" s="20" t="s">
        <v>14</v>
      </c>
      <c r="D2518" s="20" t="s">
        <v>20</v>
      </c>
      <c r="E2518" s="12" t="str">
        <f>IFERROR(__xludf.DUMMYFUNCTION("FILTER(colegios!$B$2:$B5618,colegios!$A$2:$A5618=L2518)"),"50492 CORAZON DE JESUS")</f>
        <v>50492 CORAZON DE JESUS</v>
      </c>
      <c r="F2518" s="14" t="s">
        <v>16</v>
      </c>
      <c r="G2518" s="20" t="s">
        <v>21</v>
      </c>
      <c r="H2518" s="14" t="s">
        <v>24</v>
      </c>
      <c r="I2518" s="22">
        <v>2023.0</v>
      </c>
      <c r="J2518" s="16" t="str">
        <f>IFERROR(__xludf.DUMMYFUNCTION("FILTER('CLASFICACIÓN'!$F$3:$F5618,'CLASFICACIÓN'!$G$3:$G5618=M2518)"),"LOS 3 AÑOS")</f>
        <v>LOS 3 AÑOS</v>
      </c>
      <c r="K2518" s="16"/>
      <c r="L2518" s="14" t="s">
        <v>146</v>
      </c>
      <c r="M2518" s="16" t="str">
        <f t="shared" si="1"/>
        <v>50492 CORAZON DE JESUS4 Primaria</v>
      </c>
      <c r="N2518" s="17"/>
      <c r="O2518" s="17"/>
      <c r="P2518" s="17"/>
      <c r="Q2518" s="17"/>
      <c r="R2518" s="17"/>
      <c r="S2518" s="17"/>
      <c r="T2518" s="17"/>
    </row>
    <row r="2519">
      <c r="A2519" s="21">
        <v>1322.0</v>
      </c>
      <c r="B2519" s="20" t="s">
        <v>90</v>
      </c>
      <c r="C2519" s="20" t="s">
        <v>14</v>
      </c>
      <c r="D2519" s="20" t="s">
        <v>20</v>
      </c>
      <c r="E2519" s="12" t="str">
        <f>IFERROR(__xludf.DUMMYFUNCTION("FILTER(colegios!$B$2:$B5618,colegios!$A$2:$A5618=L2519)"),"50492 CORAZON DE JESUS")</f>
        <v>50492 CORAZON DE JESUS</v>
      </c>
      <c r="F2519" s="14" t="s">
        <v>16</v>
      </c>
      <c r="G2519" s="20" t="s">
        <v>21</v>
      </c>
      <c r="H2519" s="14" t="s">
        <v>24</v>
      </c>
      <c r="I2519" s="22">
        <v>2023.0</v>
      </c>
      <c r="J2519" s="16" t="str">
        <f>IFERROR(__xludf.DUMMYFUNCTION("FILTER('CLASFICACIÓN'!$F$3:$F5618,'CLASFICACIÓN'!$G$3:$G5618=M2519)"),"LOS 3 AÑOS")</f>
        <v>LOS 3 AÑOS</v>
      </c>
      <c r="K2519" s="16"/>
      <c r="L2519" s="14" t="s">
        <v>146</v>
      </c>
      <c r="M2519" s="16" t="str">
        <f t="shared" si="1"/>
        <v>50492 CORAZON DE JESUS4 Primaria</v>
      </c>
      <c r="N2519" s="17"/>
      <c r="O2519" s="17"/>
      <c r="P2519" s="17"/>
      <c r="Q2519" s="17"/>
      <c r="R2519" s="17"/>
      <c r="S2519" s="17"/>
      <c r="T2519" s="17"/>
    </row>
    <row r="2520">
      <c r="A2520" s="21">
        <v>1323.0</v>
      </c>
      <c r="B2520" s="20" t="s">
        <v>90</v>
      </c>
      <c r="C2520" s="20" t="s">
        <v>14</v>
      </c>
      <c r="D2520" s="20" t="s">
        <v>20</v>
      </c>
      <c r="E2520" s="12" t="str">
        <f>IFERROR(__xludf.DUMMYFUNCTION("FILTER(colegios!$B$2:$B5618,colegios!$A$2:$A5618=L2520)"),"50492 CORAZON DE JESUS")</f>
        <v>50492 CORAZON DE JESUS</v>
      </c>
      <c r="F2520" s="14" t="s">
        <v>16</v>
      </c>
      <c r="G2520" s="20" t="s">
        <v>21</v>
      </c>
      <c r="H2520" s="14" t="s">
        <v>18</v>
      </c>
      <c r="I2520" s="22">
        <v>2023.0</v>
      </c>
      <c r="J2520" s="16" t="str">
        <f>IFERROR(__xludf.DUMMYFUNCTION("FILTER('CLASFICACIÓN'!$F$3:$F5618,'CLASFICACIÓN'!$G$3:$G5618=M2520)"),"LOS 3 AÑOS")</f>
        <v>LOS 3 AÑOS</v>
      </c>
      <c r="K2520" s="16"/>
      <c r="L2520" s="14" t="s">
        <v>146</v>
      </c>
      <c r="M2520" s="16" t="str">
        <f t="shared" si="1"/>
        <v>50492 CORAZON DE JESUS4 Primaria</v>
      </c>
      <c r="N2520" s="17"/>
      <c r="O2520" s="17"/>
      <c r="P2520" s="17"/>
      <c r="Q2520" s="17"/>
      <c r="R2520" s="17"/>
      <c r="S2520" s="17"/>
      <c r="T2520" s="17"/>
    </row>
    <row r="2521">
      <c r="A2521" s="21">
        <v>1324.0</v>
      </c>
      <c r="B2521" s="20" t="s">
        <v>90</v>
      </c>
      <c r="C2521" s="20" t="s">
        <v>14</v>
      </c>
      <c r="D2521" s="20" t="s">
        <v>20</v>
      </c>
      <c r="E2521" s="12" t="str">
        <f>IFERROR(__xludf.DUMMYFUNCTION("FILTER(colegios!$B$2:$B5618,colegios!$A$2:$A5618=L2521)"),"50492 CORAZON DE JESUS")</f>
        <v>50492 CORAZON DE JESUS</v>
      </c>
      <c r="F2521" s="14" t="s">
        <v>16</v>
      </c>
      <c r="G2521" s="20" t="s">
        <v>21</v>
      </c>
      <c r="H2521" s="14" t="s">
        <v>18</v>
      </c>
      <c r="I2521" s="22">
        <v>2023.0</v>
      </c>
      <c r="J2521" s="16" t="str">
        <f>IFERROR(__xludf.DUMMYFUNCTION("FILTER('CLASFICACIÓN'!$F$3:$F5618,'CLASFICACIÓN'!$G$3:$G5618=M2521)"),"LOS 3 AÑOS")</f>
        <v>LOS 3 AÑOS</v>
      </c>
      <c r="K2521" s="16"/>
      <c r="L2521" s="14" t="s">
        <v>146</v>
      </c>
      <c r="M2521" s="16" t="str">
        <f t="shared" si="1"/>
        <v>50492 CORAZON DE JESUS4 Primaria</v>
      </c>
      <c r="N2521" s="17"/>
      <c r="O2521" s="17"/>
      <c r="P2521" s="17"/>
      <c r="Q2521" s="17"/>
      <c r="R2521" s="17"/>
      <c r="S2521" s="17"/>
      <c r="T2521" s="17"/>
    </row>
    <row r="2522">
      <c r="A2522" s="21">
        <v>1325.0</v>
      </c>
      <c r="B2522" s="20" t="s">
        <v>90</v>
      </c>
      <c r="C2522" s="20" t="s">
        <v>14</v>
      </c>
      <c r="D2522" s="20" t="s">
        <v>20</v>
      </c>
      <c r="E2522" s="12" t="str">
        <f>IFERROR(__xludf.DUMMYFUNCTION("FILTER(colegios!$B$2:$B5618,colegios!$A$2:$A5618=L2522)"),"50492 CORAZON DE JESUS")</f>
        <v>50492 CORAZON DE JESUS</v>
      </c>
      <c r="F2522" s="14" t="s">
        <v>16</v>
      </c>
      <c r="G2522" s="20" t="s">
        <v>17</v>
      </c>
      <c r="H2522" s="14" t="s">
        <v>18</v>
      </c>
      <c r="I2522" s="22">
        <v>2023.0</v>
      </c>
      <c r="J2522" s="16" t="str">
        <f>IFERROR(__xludf.DUMMYFUNCTION("FILTER('CLASFICACIÓN'!$F$3:$F5618,'CLASFICACIÓN'!$G$3:$G5618=M2522)"),"LOS 3 AÑOS")</f>
        <v>LOS 3 AÑOS</v>
      </c>
      <c r="K2522" s="16"/>
      <c r="L2522" s="14" t="s">
        <v>146</v>
      </c>
      <c r="M2522" s="16" t="str">
        <f t="shared" si="1"/>
        <v>50492 CORAZON DE JESUS4 Primaria</v>
      </c>
      <c r="N2522" s="17"/>
      <c r="O2522" s="17"/>
      <c r="P2522" s="17"/>
      <c r="Q2522" s="17"/>
      <c r="R2522" s="17"/>
      <c r="S2522" s="17"/>
      <c r="T2522" s="17"/>
    </row>
    <row r="2523">
      <c r="A2523" s="21">
        <v>1326.0</v>
      </c>
      <c r="B2523" s="20" t="s">
        <v>90</v>
      </c>
      <c r="C2523" s="20" t="s">
        <v>14</v>
      </c>
      <c r="D2523" s="20" t="s">
        <v>20</v>
      </c>
      <c r="E2523" s="12" t="str">
        <f>IFERROR(__xludf.DUMMYFUNCTION("FILTER(colegios!$B$2:$B5618,colegios!$A$2:$A5618=L2523)"),"50492 CORAZON DE JESUS")</f>
        <v>50492 CORAZON DE JESUS</v>
      </c>
      <c r="F2523" s="14" t="s">
        <v>16</v>
      </c>
      <c r="G2523" s="20" t="s">
        <v>17</v>
      </c>
      <c r="H2523" s="14" t="s">
        <v>24</v>
      </c>
      <c r="I2523" s="22">
        <v>2023.0</v>
      </c>
      <c r="J2523" s="16" t="str">
        <f>IFERROR(__xludf.DUMMYFUNCTION("FILTER('CLASFICACIÓN'!$F$3:$F5618,'CLASFICACIÓN'!$G$3:$G5618=M2523)"),"LOS 3 AÑOS")</f>
        <v>LOS 3 AÑOS</v>
      </c>
      <c r="K2523" s="16"/>
      <c r="L2523" s="14" t="s">
        <v>146</v>
      </c>
      <c r="M2523" s="16" t="str">
        <f t="shared" si="1"/>
        <v>50492 CORAZON DE JESUS4 Primaria</v>
      </c>
      <c r="N2523" s="17"/>
      <c r="O2523" s="17"/>
      <c r="P2523" s="17"/>
      <c r="Q2523" s="17"/>
      <c r="R2523" s="17"/>
      <c r="S2523" s="17"/>
      <c r="T2523" s="17"/>
    </row>
    <row r="2524">
      <c r="A2524" s="21">
        <v>1327.0</v>
      </c>
      <c r="B2524" s="20" t="s">
        <v>90</v>
      </c>
      <c r="C2524" s="20" t="s">
        <v>14</v>
      </c>
      <c r="D2524" s="20" t="s">
        <v>20</v>
      </c>
      <c r="E2524" s="12" t="str">
        <f>IFERROR(__xludf.DUMMYFUNCTION("FILTER(colegios!$B$2:$B5618,colegios!$A$2:$A5618=L2524)"),"50492 CORAZON DE JESUS")</f>
        <v>50492 CORAZON DE JESUS</v>
      </c>
      <c r="F2524" s="14" t="s">
        <v>16</v>
      </c>
      <c r="G2524" s="20" t="s">
        <v>21</v>
      </c>
      <c r="H2524" s="14" t="s">
        <v>24</v>
      </c>
      <c r="I2524" s="22">
        <v>2023.0</v>
      </c>
      <c r="J2524" s="16" t="str">
        <f>IFERROR(__xludf.DUMMYFUNCTION("FILTER('CLASFICACIÓN'!$F$3:$F5618,'CLASFICACIÓN'!$G$3:$G5618=M2524)"),"LOS 3 AÑOS")</f>
        <v>LOS 3 AÑOS</v>
      </c>
      <c r="K2524" s="16"/>
      <c r="L2524" s="14" t="s">
        <v>146</v>
      </c>
      <c r="M2524" s="16" t="str">
        <f t="shared" si="1"/>
        <v>50492 CORAZON DE JESUS4 Primaria</v>
      </c>
      <c r="N2524" s="17"/>
      <c r="O2524" s="17"/>
      <c r="P2524" s="17"/>
      <c r="Q2524" s="17"/>
      <c r="R2524" s="17"/>
      <c r="S2524" s="17"/>
      <c r="T2524" s="17"/>
    </row>
    <row r="2525">
      <c r="A2525" s="21">
        <v>1328.0</v>
      </c>
      <c r="B2525" s="20" t="s">
        <v>90</v>
      </c>
      <c r="C2525" s="20" t="s">
        <v>14</v>
      </c>
      <c r="D2525" s="20" t="s">
        <v>20</v>
      </c>
      <c r="E2525" s="12" t="str">
        <f>IFERROR(__xludf.DUMMYFUNCTION("FILTER(colegios!$B$2:$B5618,colegios!$A$2:$A5618=L2525)"),"50492 CORAZON DE JESUS")</f>
        <v>50492 CORAZON DE JESUS</v>
      </c>
      <c r="F2525" s="14" t="s">
        <v>16</v>
      </c>
      <c r="G2525" s="20" t="s">
        <v>21</v>
      </c>
      <c r="H2525" s="14" t="s">
        <v>24</v>
      </c>
      <c r="I2525" s="22">
        <v>2023.0</v>
      </c>
      <c r="J2525" s="16" t="str">
        <f>IFERROR(__xludf.DUMMYFUNCTION("FILTER('CLASFICACIÓN'!$F$3:$F5618,'CLASFICACIÓN'!$G$3:$G5618=M2525)"),"LOS 3 AÑOS")</f>
        <v>LOS 3 AÑOS</v>
      </c>
      <c r="K2525" s="16"/>
      <c r="L2525" s="14" t="s">
        <v>146</v>
      </c>
      <c r="M2525" s="16" t="str">
        <f t="shared" si="1"/>
        <v>50492 CORAZON DE JESUS4 Primaria</v>
      </c>
      <c r="N2525" s="17"/>
      <c r="O2525" s="17"/>
      <c r="P2525" s="17"/>
      <c r="Q2525" s="17"/>
      <c r="R2525" s="17"/>
      <c r="S2525" s="17"/>
      <c r="T2525" s="17"/>
    </row>
    <row r="2526">
      <c r="A2526" s="21">
        <v>1329.0</v>
      </c>
      <c r="B2526" s="20" t="s">
        <v>90</v>
      </c>
      <c r="C2526" s="20" t="s">
        <v>14</v>
      </c>
      <c r="D2526" s="20" t="s">
        <v>20</v>
      </c>
      <c r="E2526" s="12" t="str">
        <f>IFERROR(__xludf.DUMMYFUNCTION("FILTER(colegios!$B$2:$B5618,colegios!$A$2:$A5618=L2526)"),"50492 CORAZON DE JESUS")</f>
        <v>50492 CORAZON DE JESUS</v>
      </c>
      <c r="F2526" s="14" t="s">
        <v>16</v>
      </c>
      <c r="G2526" s="20" t="s">
        <v>21</v>
      </c>
      <c r="H2526" s="14" t="s">
        <v>18</v>
      </c>
      <c r="I2526" s="22">
        <v>2023.0</v>
      </c>
      <c r="J2526" s="16" t="str">
        <f>IFERROR(__xludf.DUMMYFUNCTION("FILTER('CLASFICACIÓN'!$F$3:$F5618,'CLASFICACIÓN'!$G$3:$G5618=M2526)"),"LOS 3 AÑOS")</f>
        <v>LOS 3 AÑOS</v>
      </c>
      <c r="K2526" s="16"/>
      <c r="L2526" s="14" t="s">
        <v>146</v>
      </c>
      <c r="M2526" s="16" t="str">
        <f t="shared" si="1"/>
        <v>50492 CORAZON DE JESUS4 Primaria</v>
      </c>
      <c r="N2526" s="17"/>
      <c r="O2526" s="17"/>
      <c r="P2526" s="17"/>
      <c r="Q2526" s="17"/>
      <c r="R2526" s="17"/>
      <c r="S2526" s="17"/>
      <c r="T2526" s="17"/>
    </row>
    <row r="2527">
      <c r="A2527" s="21">
        <v>1330.0</v>
      </c>
      <c r="B2527" s="20" t="s">
        <v>90</v>
      </c>
      <c r="C2527" s="20" t="s">
        <v>14</v>
      </c>
      <c r="D2527" s="20" t="s">
        <v>20</v>
      </c>
      <c r="E2527" s="12" t="str">
        <f>IFERROR(__xludf.DUMMYFUNCTION("FILTER(colegios!$B$2:$B5618,colegios!$A$2:$A5618=L2527)"),"50492 CORAZON DE JESUS")</f>
        <v>50492 CORAZON DE JESUS</v>
      </c>
      <c r="F2527" s="14" t="s">
        <v>16</v>
      </c>
      <c r="G2527" s="20" t="s">
        <v>17</v>
      </c>
      <c r="H2527" s="14" t="s">
        <v>24</v>
      </c>
      <c r="I2527" s="22">
        <v>2023.0</v>
      </c>
      <c r="J2527" s="16" t="str">
        <f>IFERROR(__xludf.DUMMYFUNCTION("FILTER('CLASFICACIÓN'!$F$3:$F5618,'CLASFICACIÓN'!$G$3:$G5618=M2527)"),"LOS 3 AÑOS")</f>
        <v>LOS 3 AÑOS</v>
      </c>
      <c r="K2527" s="16"/>
      <c r="L2527" s="14" t="s">
        <v>146</v>
      </c>
      <c r="M2527" s="16" t="str">
        <f t="shared" si="1"/>
        <v>50492 CORAZON DE JESUS4 Primaria</v>
      </c>
      <c r="N2527" s="17"/>
      <c r="O2527" s="17"/>
      <c r="P2527" s="17"/>
      <c r="Q2527" s="17"/>
      <c r="R2527" s="17"/>
      <c r="S2527" s="17"/>
      <c r="T2527" s="17"/>
    </row>
    <row r="2528">
      <c r="A2528" s="21">
        <v>1331.0</v>
      </c>
      <c r="B2528" s="20" t="s">
        <v>90</v>
      </c>
      <c r="C2528" s="20" t="s">
        <v>14</v>
      </c>
      <c r="D2528" s="20" t="s">
        <v>20</v>
      </c>
      <c r="E2528" s="12" t="str">
        <f>IFERROR(__xludf.DUMMYFUNCTION("FILTER(colegios!$B$2:$B5618,colegios!$A$2:$A5618=L2528)"),"50492 CORAZON DE JESUS")</f>
        <v>50492 CORAZON DE JESUS</v>
      </c>
      <c r="F2528" s="14" t="s">
        <v>16</v>
      </c>
      <c r="G2528" s="20" t="s">
        <v>17</v>
      </c>
      <c r="H2528" s="14" t="s">
        <v>18</v>
      </c>
      <c r="I2528" s="22">
        <v>2023.0</v>
      </c>
      <c r="J2528" s="16" t="str">
        <f>IFERROR(__xludf.DUMMYFUNCTION("FILTER('CLASFICACIÓN'!$F$3:$F5618,'CLASFICACIÓN'!$G$3:$G5618=M2528)"),"LOS 3 AÑOS")</f>
        <v>LOS 3 AÑOS</v>
      </c>
      <c r="K2528" s="16"/>
      <c r="L2528" s="14" t="s">
        <v>146</v>
      </c>
      <c r="M2528" s="16" t="str">
        <f t="shared" si="1"/>
        <v>50492 CORAZON DE JESUS4 Primaria</v>
      </c>
      <c r="N2528" s="17"/>
      <c r="O2528" s="17"/>
      <c r="P2528" s="17"/>
      <c r="Q2528" s="17"/>
      <c r="R2528" s="17"/>
      <c r="S2528" s="17"/>
      <c r="T2528" s="17"/>
    </row>
    <row r="2529">
      <c r="A2529" s="21">
        <v>1332.0</v>
      </c>
      <c r="B2529" s="20" t="s">
        <v>90</v>
      </c>
      <c r="C2529" s="20" t="s">
        <v>14</v>
      </c>
      <c r="D2529" s="20" t="s">
        <v>20</v>
      </c>
      <c r="E2529" s="12" t="str">
        <f>IFERROR(__xludf.DUMMYFUNCTION("FILTER(colegios!$B$2:$B5618,colegios!$A$2:$A5618=L2529)"),"50492 CORAZON DE JESUS")</f>
        <v>50492 CORAZON DE JESUS</v>
      </c>
      <c r="F2529" s="14" t="s">
        <v>16</v>
      </c>
      <c r="G2529" s="20" t="s">
        <v>21</v>
      </c>
      <c r="H2529" s="14" t="s">
        <v>18</v>
      </c>
      <c r="I2529" s="22">
        <v>2023.0</v>
      </c>
      <c r="J2529" s="16" t="str">
        <f>IFERROR(__xludf.DUMMYFUNCTION("FILTER('CLASFICACIÓN'!$F$3:$F5618,'CLASFICACIÓN'!$G$3:$G5618=M2529)"),"LOS 3 AÑOS")</f>
        <v>LOS 3 AÑOS</v>
      </c>
      <c r="K2529" s="16"/>
      <c r="L2529" s="14" t="s">
        <v>146</v>
      </c>
      <c r="M2529" s="16" t="str">
        <f t="shared" si="1"/>
        <v>50492 CORAZON DE JESUS4 Primaria</v>
      </c>
      <c r="N2529" s="17"/>
      <c r="O2529" s="17"/>
      <c r="P2529" s="17"/>
      <c r="Q2529" s="17"/>
      <c r="R2529" s="17"/>
      <c r="S2529" s="17"/>
      <c r="T2529" s="17"/>
    </row>
    <row r="2530">
      <c r="A2530" s="21">
        <v>1333.0</v>
      </c>
      <c r="B2530" s="20" t="s">
        <v>90</v>
      </c>
      <c r="C2530" s="20" t="s">
        <v>14</v>
      </c>
      <c r="D2530" s="20" t="s">
        <v>20</v>
      </c>
      <c r="E2530" s="12" t="str">
        <f>IFERROR(__xludf.DUMMYFUNCTION("FILTER(colegios!$B$2:$B5618,colegios!$A$2:$A5618=L2530)"),"50492 CORAZON DE JESUS")</f>
        <v>50492 CORAZON DE JESUS</v>
      </c>
      <c r="F2530" s="14" t="s">
        <v>16</v>
      </c>
      <c r="G2530" s="20" t="s">
        <v>21</v>
      </c>
      <c r="H2530" s="14" t="s">
        <v>24</v>
      </c>
      <c r="I2530" s="22">
        <v>2023.0</v>
      </c>
      <c r="J2530" s="16" t="str">
        <f>IFERROR(__xludf.DUMMYFUNCTION("FILTER('CLASFICACIÓN'!$F$3:$F5618,'CLASFICACIÓN'!$G$3:$G5618=M2530)"),"LOS 3 AÑOS")</f>
        <v>LOS 3 AÑOS</v>
      </c>
      <c r="K2530" s="16"/>
      <c r="L2530" s="14" t="s">
        <v>146</v>
      </c>
      <c r="M2530" s="16" t="str">
        <f t="shared" si="1"/>
        <v>50492 CORAZON DE JESUS4 Primaria</v>
      </c>
      <c r="N2530" s="17"/>
      <c r="O2530" s="17"/>
      <c r="P2530" s="17"/>
      <c r="Q2530" s="17"/>
      <c r="R2530" s="17"/>
      <c r="S2530" s="17"/>
      <c r="T2530" s="17"/>
    </row>
    <row r="2531">
      <c r="A2531" s="21">
        <v>1334.0</v>
      </c>
      <c r="B2531" s="20" t="s">
        <v>90</v>
      </c>
      <c r="C2531" s="20" t="s">
        <v>14</v>
      </c>
      <c r="D2531" s="20" t="s">
        <v>20</v>
      </c>
      <c r="E2531" s="12" t="str">
        <f>IFERROR(__xludf.DUMMYFUNCTION("FILTER(colegios!$B$2:$B5618,colegios!$A$2:$A5618=L2531)"),"50492 CORAZON DE JESUS")</f>
        <v>50492 CORAZON DE JESUS</v>
      </c>
      <c r="F2531" s="14" t="s">
        <v>16</v>
      </c>
      <c r="G2531" s="20" t="s">
        <v>17</v>
      </c>
      <c r="H2531" s="14" t="s">
        <v>32</v>
      </c>
      <c r="I2531" s="22">
        <v>2023.0</v>
      </c>
      <c r="J2531" s="16" t="str">
        <f>IFERROR(__xludf.DUMMYFUNCTION("FILTER('CLASFICACIÓN'!$F$3:$F5618,'CLASFICACIÓN'!$G$3:$G5618=M2531)"),"LOS 3 AÑOS")</f>
        <v>LOS 3 AÑOS</v>
      </c>
      <c r="K2531" s="16"/>
      <c r="L2531" s="14" t="s">
        <v>146</v>
      </c>
      <c r="M2531" s="16" t="str">
        <f t="shared" si="1"/>
        <v>50492 CORAZON DE JESUS4 Primaria</v>
      </c>
      <c r="N2531" s="17"/>
      <c r="O2531" s="17"/>
      <c r="P2531" s="17"/>
      <c r="Q2531" s="17"/>
      <c r="R2531" s="17"/>
      <c r="S2531" s="17"/>
      <c r="T2531" s="17"/>
    </row>
    <row r="2532">
      <c r="A2532" s="21">
        <v>1335.0</v>
      </c>
      <c r="B2532" s="20" t="s">
        <v>90</v>
      </c>
      <c r="C2532" s="20" t="s">
        <v>14</v>
      </c>
      <c r="D2532" s="20" t="s">
        <v>20</v>
      </c>
      <c r="E2532" s="12" t="str">
        <f>IFERROR(__xludf.DUMMYFUNCTION("FILTER(colegios!$B$2:$B5618,colegios!$A$2:$A5618=L2532)"),"50492 CORAZON DE JESUS")</f>
        <v>50492 CORAZON DE JESUS</v>
      </c>
      <c r="F2532" s="14" t="s">
        <v>16</v>
      </c>
      <c r="G2532" s="20" t="s">
        <v>17</v>
      </c>
      <c r="H2532" s="14" t="s">
        <v>18</v>
      </c>
      <c r="I2532" s="22">
        <v>2023.0</v>
      </c>
      <c r="J2532" s="16" t="str">
        <f>IFERROR(__xludf.DUMMYFUNCTION("FILTER('CLASFICACIÓN'!$F$3:$F5618,'CLASFICACIÓN'!$G$3:$G5618=M2532)"),"LOS 3 AÑOS")</f>
        <v>LOS 3 AÑOS</v>
      </c>
      <c r="K2532" s="16"/>
      <c r="L2532" s="14" t="s">
        <v>146</v>
      </c>
      <c r="M2532" s="16" t="str">
        <f t="shared" si="1"/>
        <v>50492 CORAZON DE JESUS4 Primaria</v>
      </c>
      <c r="N2532" s="17"/>
      <c r="O2532" s="17"/>
      <c r="P2532" s="17"/>
      <c r="Q2532" s="17"/>
      <c r="R2532" s="17"/>
      <c r="S2532" s="17"/>
      <c r="T2532" s="17"/>
    </row>
    <row r="2533">
      <c r="A2533" s="21">
        <v>1336.0</v>
      </c>
      <c r="B2533" s="20" t="s">
        <v>90</v>
      </c>
      <c r="C2533" s="20" t="s">
        <v>14</v>
      </c>
      <c r="D2533" s="20" t="s">
        <v>20</v>
      </c>
      <c r="E2533" s="12" t="str">
        <f>IFERROR(__xludf.DUMMYFUNCTION("FILTER(colegios!$B$2:$B5618,colegios!$A$2:$A5618=L2533)"),"50492 CORAZON DE JESUS")</f>
        <v>50492 CORAZON DE JESUS</v>
      </c>
      <c r="F2533" s="14" t="s">
        <v>16</v>
      </c>
      <c r="G2533" s="20" t="s">
        <v>17</v>
      </c>
      <c r="H2533" s="14" t="s">
        <v>18</v>
      </c>
      <c r="I2533" s="22">
        <v>2023.0</v>
      </c>
      <c r="J2533" s="16" t="str">
        <f>IFERROR(__xludf.DUMMYFUNCTION("FILTER('CLASFICACIÓN'!$F$3:$F5618,'CLASFICACIÓN'!$G$3:$G5618=M2533)"),"LOS 3 AÑOS")</f>
        <v>LOS 3 AÑOS</v>
      </c>
      <c r="K2533" s="16"/>
      <c r="L2533" s="14" t="s">
        <v>146</v>
      </c>
      <c r="M2533" s="16" t="str">
        <f t="shared" si="1"/>
        <v>50492 CORAZON DE JESUS4 Primaria</v>
      </c>
      <c r="N2533" s="17"/>
      <c r="O2533" s="17"/>
      <c r="P2533" s="17"/>
      <c r="Q2533" s="17"/>
      <c r="R2533" s="17"/>
      <c r="S2533" s="17"/>
      <c r="T2533" s="17"/>
    </row>
    <row r="2534">
      <c r="A2534" s="21">
        <v>1337.0</v>
      </c>
      <c r="B2534" s="20" t="s">
        <v>90</v>
      </c>
      <c r="C2534" s="20" t="s">
        <v>14</v>
      </c>
      <c r="D2534" s="20" t="s">
        <v>20</v>
      </c>
      <c r="E2534" s="12" t="str">
        <f>IFERROR(__xludf.DUMMYFUNCTION("FILTER(colegios!$B$2:$B5618,colegios!$A$2:$A5618=L2534)"),"50492 CORAZON DE JESUS")</f>
        <v>50492 CORAZON DE JESUS</v>
      </c>
      <c r="F2534" s="14" t="s">
        <v>16</v>
      </c>
      <c r="G2534" s="20" t="s">
        <v>21</v>
      </c>
      <c r="H2534" s="14" t="s">
        <v>24</v>
      </c>
      <c r="I2534" s="22">
        <v>2023.0</v>
      </c>
      <c r="J2534" s="16" t="str">
        <f>IFERROR(__xludf.DUMMYFUNCTION("FILTER('CLASFICACIÓN'!$F$3:$F5618,'CLASFICACIÓN'!$G$3:$G5618=M2534)"),"LOS 3 AÑOS")</f>
        <v>LOS 3 AÑOS</v>
      </c>
      <c r="K2534" s="16"/>
      <c r="L2534" s="14" t="s">
        <v>146</v>
      </c>
      <c r="M2534" s="16" t="str">
        <f t="shared" si="1"/>
        <v>50492 CORAZON DE JESUS4 Primaria</v>
      </c>
      <c r="N2534" s="17"/>
      <c r="O2534" s="17"/>
      <c r="P2534" s="17"/>
      <c r="Q2534" s="17"/>
      <c r="R2534" s="17"/>
      <c r="S2534" s="17"/>
      <c r="T2534" s="17"/>
    </row>
    <row r="2535">
      <c r="A2535" s="21">
        <v>1338.0</v>
      </c>
      <c r="B2535" s="20" t="s">
        <v>90</v>
      </c>
      <c r="C2535" s="20" t="s">
        <v>14</v>
      </c>
      <c r="D2535" s="20" t="s">
        <v>20</v>
      </c>
      <c r="E2535" s="12" t="str">
        <f>IFERROR(__xludf.DUMMYFUNCTION("FILTER(colegios!$B$2:$B5618,colegios!$A$2:$A5618=L2535)"),"50492 CORAZON DE JESUS")</f>
        <v>50492 CORAZON DE JESUS</v>
      </c>
      <c r="F2535" s="14" t="s">
        <v>16</v>
      </c>
      <c r="G2535" s="20" t="s">
        <v>21</v>
      </c>
      <c r="H2535" s="14" t="s">
        <v>24</v>
      </c>
      <c r="I2535" s="22">
        <v>2023.0</v>
      </c>
      <c r="J2535" s="16" t="str">
        <f>IFERROR(__xludf.DUMMYFUNCTION("FILTER('CLASFICACIÓN'!$F$3:$F5618,'CLASFICACIÓN'!$G$3:$G5618=M2535)"),"LOS 3 AÑOS")</f>
        <v>LOS 3 AÑOS</v>
      </c>
      <c r="K2535" s="16"/>
      <c r="L2535" s="14" t="s">
        <v>146</v>
      </c>
      <c r="M2535" s="16" t="str">
        <f t="shared" si="1"/>
        <v>50492 CORAZON DE JESUS4 Primaria</v>
      </c>
      <c r="N2535" s="17"/>
      <c r="O2535" s="17"/>
      <c r="P2535" s="17"/>
      <c r="Q2535" s="17"/>
      <c r="R2535" s="17"/>
      <c r="S2535" s="17"/>
      <c r="T2535" s="17"/>
    </row>
    <row r="2536">
      <c r="A2536" s="21">
        <v>1339.0</v>
      </c>
      <c r="B2536" s="20" t="s">
        <v>90</v>
      </c>
      <c r="C2536" s="20" t="s">
        <v>14</v>
      </c>
      <c r="D2536" s="20" t="s">
        <v>20</v>
      </c>
      <c r="E2536" s="12" t="str">
        <f>IFERROR(__xludf.DUMMYFUNCTION("FILTER(colegios!$B$2:$B5618,colegios!$A$2:$A5618=L2536)"),"50492 CORAZON DE JESUS")</f>
        <v>50492 CORAZON DE JESUS</v>
      </c>
      <c r="F2536" s="14" t="s">
        <v>16</v>
      </c>
      <c r="G2536" s="20" t="s">
        <v>17</v>
      </c>
      <c r="H2536" s="14" t="s">
        <v>18</v>
      </c>
      <c r="I2536" s="22">
        <v>2023.0</v>
      </c>
      <c r="J2536" s="16" t="str">
        <f>IFERROR(__xludf.DUMMYFUNCTION("FILTER('CLASFICACIÓN'!$F$3:$F5618,'CLASFICACIÓN'!$G$3:$G5618=M2536)"),"LOS 3 AÑOS")</f>
        <v>LOS 3 AÑOS</v>
      </c>
      <c r="K2536" s="16"/>
      <c r="L2536" s="14" t="s">
        <v>146</v>
      </c>
      <c r="M2536" s="16" t="str">
        <f t="shared" si="1"/>
        <v>50492 CORAZON DE JESUS4 Primaria</v>
      </c>
      <c r="N2536" s="17"/>
      <c r="O2536" s="17"/>
      <c r="P2536" s="17"/>
      <c r="Q2536" s="17"/>
      <c r="R2536" s="17"/>
      <c r="S2536" s="17"/>
      <c r="T2536" s="17"/>
    </row>
    <row r="2537">
      <c r="A2537" s="21">
        <v>1340.0</v>
      </c>
      <c r="B2537" s="20" t="s">
        <v>90</v>
      </c>
      <c r="C2537" s="20" t="s">
        <v>14</v>
      </c>
      <c r="D2537" s="20" t="s">
        <v>20</v>
      </c>
      <c r="E2537" s="12" t="str">
        <f>IFERROR(__xludf.DUMMYFUNCTION("FILTER(colegios!$B$2:$B5618,colegios!$A$2:$A5618=L2537)"),"50492 CORAZON DE JESUS")</f>
        <v>50492 CORAZON DE JESUS</v>
      </c>
      <c r="F2537" s="14" t="s">
        <v>16</v>
      </c>
      <c r="G2537" s="20" t="s">
        <v>17</v>
      </c>
      <c r="H2537" s="14" t="s">
        <v>24</v>
      </c>
      <c r="I2537" s="22">
        <v>2023.0</v>
      </c>
      <c r="J2537" s="16" t="str">
        <f>IFERROR(__xludf.DUMMYFUNCTION("FILTER('CLASFICACIÓN'!$F$3:$F5618,'CLASFICACIÓN'!$G$3:$G5618=M2537)"),"LOS 3 AÑOS")</f>
        <v>LOS 3 AÑOS</v>
      </c>
      <c r="K2537" s="16"/>
      <c r="L2537" s="14" t="s">
        <v>146</v>
      </c>
      <c r="M2537" s="16" t="str">
        <f t="shared" si="1"/>
        <v>50492 CORAZON DE JESUS4 Primaria</v>
      </c>
      <c r="N2537" s="17"/>
      <c r="O2537" s="17"/>
      <c r="P2537" s="17"/>
      <c r="Q2537" s="17"/>
      <c r="R2537" s="17"/>
      <c r="S2537" s="17"/>
      <c r="T2537" s="17"/>
    </row>
    <row r="2538">
      <c r="A2538" s="21">
        <v>1341.0</v>
      </c>
      <c r="B2538" s="20" t="s">
        <v>90</v>
      </c>
      <c r="C2538" s="20" t="s">
        <v>14</v>
      </c>
      <c r="D2538" s="20" t="s">
        <v>20</v>
      </c>
      <c r="E2538" s="12" t="str">
        <f>IFERROR(__xludf.DUMMYFUNCTION("FILTER(colegios!$B$2:$B5618,colegios!$A$2:$A5618=L2538)"),"50492 CORAZON DE JESUS")</f>
        <v>50492 CORAZON DE JESUS</v>
      </c>
      <c r="F2538" s="14" t="s">
        <v>16</v>
      </c>
      <c r="G2538" s="20" t="s">
        <v>21</v>
      </c>
      <c r="H2538" s="14" t="s">
        <v>24</v>
      </c>
      <c r="I2538" s="22">
        <v>2023.0</v>
      </c>
      <c r="J2538" s="16" t="str">
        <f>IFERROR(__xludf.DUMMYFUNCTION("FILTER('CLASFICACIÓN'!$F$3:$F5618,'CLASFICACIÓN'!$G$3:$G5618=M2538)"),"LOS 3 AÑOS")</f>
        <v>LOS 3 AÑOS</v>
      </c>
      <c r="K2538" s="16"/>
      <c r="L2538" s="14" t="s">
        <v>146</v>
      </c>
      <c r="M2538" s="16" t="str">
        <f t="shared" si="1"/>
        <v>50492 CORAZON DE JESUS4 Primaria</v>
      </c>
      <c r="N2538" s="17"/>
      <c r="O2538" s="17"/>
      <c r="P2538" s="17"/>
      <c r="Q2538" s="17"/>
      <c r="R2538" s="17"/>
      <c r="S2538" s="17"/>
      <c r="T2538" s="17"/>
    </row>
    <row r="2539">
      <c r="A2539" s="21">
        <v>1342.0</v>
      </c>
      <c r="B2539" s="20" t="s">
        <v>90</v>
      </c>
      <c r="C2539" s="20" t="s">
        <v>14</v>
      </c>
      <c r="D2539" s="20" t="s">
        <v>20</v>
      </c>
      <c r="E2539" s="12" t="str">
        <f>IFERROR(__xludf.DUMMYFUNCTION("FILTER(colegios!$B$2:$B5618,colegios!$A$2:$A5618=L2539)"),"50492 CORAZON DE JESUS")</f>
        <v>50492 CORAZON DE JESUS</v>
      </c>
      <c r="F2539" s="14" t="s">
        <v>16</v>
      </c>
      <c r="G2539" s="20" t="s">
        <v>21</v>
      </c>
      <c r="H2539" s="14" t="s">
        <v>24</v>
      </c>
      <c r="I2539" s="22">
        <v>2023.0</v>
      </c>
      <c r="J2539" s="16" t="str">
        <f>IFERROR(__xludf.DUMMYFUNCTION("FILTER('CLASFICACIÓN'!$F$3:$F5618,'CLASFICACIÓN'!$G$3:$G5618=M2539)"),"LOS 3 AÑOS")</f>
        <v>LOS 3 AÑOS</v>
      </c>
      <c r="K2539" s="16"/>
      <c r="L2539" s="14" t="s">
        <v>146</v>
      </c>
      <c r="M2539" s="16" t="str">
        <f t="shared" si="1"/>
        <v>50492 CORAZON DE JESUS4 Primaria</v>
      </c>
      <c r="N2539" s="17"/>
      <c r="O2539" s="17"/>
      <c r="P2539" s="17"/>
      <c r="Q2539" s="17"/>
      <c r="R2539" s="17"/>
      <c r="S2539" s="17"/>
      <c r="T2539" s="17"/>
    </row>
    <row r="2540">
      <c r="A2540" s="21">
        <v>1343.0</v>
      </c>
      <c r="B2540" s="20" t="s">
        <v>90</v>
      </c>
      <c r="C2540" s="20" t="s">
        <v>14</v>
      </c>
      <c r="D2540" s="20" t="s">
        <v>20</v>
      </c>
      <c r="E2540" s="12" t="str">
        <f>IFERROR(__xludf.DUMMYFUNCTION("FILTER(colegios!$B$2:$B5618,colegios!$A$2:$A5618=L2540)"),"50492 CORAZON DE JESUS")</f>
        <v>50492 CORAZON DE JESUS</v>
      </c>
      <c r="F2540" s="14" t="s">
        <v>16</v>
      </c>
      <c r="G2540" s="20" t="s">
        <v>21</v>
      </c>
      <c r="H2540" s="14" t="s">
        <v>24</v>
      </c>
      <c r="I2540" s="22">
        <v>2023.0</v>
      </c>
      <c r="J2540" s="16" t="str">
        <f>IFERROR(__xludf.DUMMYFUNCTION("FILTER('CLASFICACIÓN'!$F$3:$F5618,'CLASFICACIÓN'!$G$3:$G5618=M2540)"),"LOS 3 AÑOS")</f>
        <v>LOS 3 AÑOS</v>
      </c>
      <c r="K2540" s="16"/>
      <c r="L2540" s="14" t="s">
        <v>146</v>
      </c>
      <c r="M2540" s="16" t="str">
        <f t="shared" si="1"/>
        <v>50492 CORAZON DE JESUS4 Primaria</v>
      </c>
      <c r="N2540" s="17"/>
      <c r="O2540" s="17"/>
      <c r="P2540" s="17"/>
      <c r="Q2540" s="17"/>
      <c r="R2540" s="17"/>
      <c r="S2540" s="17"/>
      <c r="T2540" s="17"/>
    </row>
    <row r="2541">
      <c r="A2541" s="21">
        <v>1344.0</v>
      </c>
      <c r="B2541" s="20" t="s">
        <v>90</v>
      </c>
      <c r="C2541" s="20" t="s">
        <v>14</v>
      </c>
      <c r="D2541" s="20" t="s">
        <v>20</v>
      </c>
      <c r="E2541" s="12" t="str">
        <f>IFERROR(__xludf.DUMMYFUNCTION("FILTER(colegios!$B$2:$B5618,colegios!$A$2:$A5618=L2541)"),"50492 CORAZON DE JESUS")</f>
        <v>50492 CORAZON DE JESUS</v>
      </c>
      <c r="F2541" s="14" t="s">
        <v>16</v>
      </c>
      <c r="G2541" s="20" t="s">
        <v>21</v>
      </c>
      <c r="H2541" s="14" t="s">
        <v>18</v>
      </c>
      <c r="I2541" s="22">
        <v>2023.0</v>
      </c>
      <c r="J2541" s="16" t="str">
        <f>IFERROR(__xludf.DUMMYFUNCTION("FILTER('CLASFICACIÓN'!$F$3:$F5618,'CLASFICACIÓN'!$G$3:$G5618=M2541)"),"LOS 3 AÑOS")</f>
        <v>LOS 3 AÑOS</v>
      </c>
      <c r="K2541" s="16"/>
      <c r="L2541" s="14" t="s">
        <v>146</v>
      </c>
      <c r="M2541" s="16" t="str">
        <f t="shared" si="1"/>
        <v>50492 CORAZON DE JESUS4 Primaria</v>
      </c>
      <c r="N2541" s="17"/>
      <c r="O2541" s="17"/>
      <c r="P2541" s="17"/>
      <c r="Q2541" s="17"/>
      <c r="R2541" s="17"/>
      <c r="S2541" s="17"/>
      <c r="T2541" s="17"/>
    </row>
    <row r="2542">
      <c r="A2542" s="21">
        <v>1345.0</v>
      </c>
      <c r="B2542" s="20" t="s">
        <v>90</v>
      </c>
      <c r="C2542" s="20" t="s">
        <v>14</v>
      </c>
      <c r="D2542" s="20" t="s">
        <v>20</v>
      </c>
      <c r="E2542" s="12" t="str">
        <f>IFERROR(__xludf.DUMMYFUNCTION("FILTER(colegios!$B$2:$B5618,colegios!$A$2:$A5618=L2542)"),"50492 CORAZON DE JESUS")</f>
        <v>50492 CORAZON DE JESUS</v>
      </c>
      <c r="F2542" s="14" t="s">
        <v>16</v>
      </c>
      <c r="G2542" s="20" t="s">
        <v>17</v>
      </c>
      <c r="H2542" s="14" t="s">
        <v>24</v>
      </c>
      <c r="I2542" s="22">
        <v>2023.0</v>
      </c>
      <c r="J2542" s="16" t="str">
        <f>IFERROR(__xludf.DUMMYFUNCTION("FILTER('CLASFICACIÓN'!$F$3:$F5618,'CLASFICACIÓN'!$G$3:$G5618=M2542)"),"LOS 3 AÑOS")</f>
        <v>LOS 3 AÑOS</v>
      </c>
      <c r="K2542" s="16"/>
      <c r="L2542" s="14" t="s">
        <v>146</v>
      </c>
      <c r="M2542" s="16" t="str">
        <f t="shared" si="1"/>
        <v>50492 CORAZON DE JESUS4 Primaria</v>
      </c>
      <c r="N2542" s="17"/>
      <c r="O2542" s="17"/>
      <c r="P2542" s="17"/>
      <c r="Q2542" s="17"/>
      <c r="R2542" s="17"/>
      <c r="S2542" s="17"/>
      <c r="T2542" s="17"/>
    </row>
    <row r="2543">
      <c r="A2543" s="21">
        <v>1346.0</v>
      </c>
      <c r="B2543" s="20" t="s">
        <v>90</v>
      </c>
      <c r="C2543" s="20" t="s">
        <v>14</v>
      </c>
      <c r="D2543" s="20" t="s">
        <v>20</v>
      </c>
      <c r="E2543" s="12" t="str">
        <f>IFERROR(__xludf.DUMMYFUNCTION("FILTER(colegios!$B$2:$B5618,colegios!$A$2:$A5618=L2543)"),"50492 CORAZON DE JESUS")</f>
        <v>50492 CORAZON DE JESUS</v>
      </c>
      <c r="F2543" s="14" t="s">
        <v>16</v>
      </c>
      <c r="G2543" s="20" t="s">
        <v>17</v>
      </c>
      <c r="H2543" s="14" t="s">
        <v>18</v>
      </c>
      <c r="I2543" s="22">
        <v>2023.0</v>
      </c>
      <c r="J2543" s="16" t="str">
        <f>IFERROR(__xludf.DUMMYFUNCTION("FILTER('CLASFICACIÓN'!$F$3:$F5618,'CLASFICACIÓN'!$G$3:$G5618=M2543)"),"LOS 3 AÑOS")</f>
        <v>LOS 3 AÑOS</v>
      </c>
      <c r="K2543" s="16"/>
      <c r="L2543" s="14" t="s">
        <v>146</v>
      </c>
      <c r="M2543" s="16" t="str">
        <f t="shared" si="1"/>
        <v>50492 CORAZON DE JESUS4 Primaria</v>
      </c>
      <c r="N2543" s="17"/>
      <c r="O2543" s="17"/>
      <c r="P2543" s="17"/>
      <c r="Q2543" s="17"/>
      <c r="R2543" s="17"/>
      <c r="S2543" s="17"/>
      <c r="T2543" s="17"/>
    </row>
    <row r="2544">
      <c r="A2544" s="21">
        <v>1347.0</v>
      </c>
      <c r="B2544" s="20" t="s">
        <v>90</v>
      </c>
      <c r="C2544" s="20" t="s">
        <v>14</v>
      </c>
      <c r="D2544" s="20" t="s">
        <v>22</v>
      </c>
      <c r="E2544" s="12" t="str">
        <f>IFERROR(__xludf.DUMMYFUNCTION("FILTER(colegios!$B$2:$B5618,colegios!$A$2:$A5618=L2544)"),"50492 CORAZON DE JESUS")</f>
        <v>50492 CORAZON DE JESUS</v>
      </c>
      <c r="F2544" s="14" t="s">
        <v>16</v>
      </c>
      <c r="G2544" s="20" t="s">
        <v>21</v>
      </c>
      <c r="H2544" s="14" t="s">
        <v>24</v>
      </c>
      <c r="I2544" s="22">
        <v>2023.0</v>
      </c>
      <c r="J2544" s="16" t="str">
        <f>IFERROR(__xludf.DUMMYFUNCTION("FILTER('CLASFICACIÓN'!$F$3:$F5618,'CLASFICACIÓN'!$G$3:$G5618=M2544)"),"LOS 3 AÑOS")</f>
        <v>LOS 3 AÑOS</v>
      </c>
      <c r="K2544" s="16"/>
      <c r="L2544" s="14" t="s">
        <v>146</v>
      </c>
      <c r="M2544" s="16" t="str">
        <f t="shared" si="1"/>
        <v>50492 CORAZON DE JESUS6 Primaria</v>
      </c>
      <c r="N2544" s="17"/>
      <c r="O2544" s="17"/>
      <c r="P2544" s="17"/>
      <c r="Q2544" s="17"/>
      <c r="R2544" s="17"/>
      <c r="S2544" s="17"/>
      <c r="T2544" s="17"/>
    </row>
    <row r="2545">
      <c r="A2545" s="21">
        <v>1348.0</v>
      </c>
      <c r="B2545" s="20" t="s">
        <v>90</v>
      </c>
      <c r="C2545" s="20" t="s">
        <v>14</v>
      </c>
      <c r="D2545" s="20" t="s">
        <v>22</v>
      </c>
      <c r="E2545" s="12" t="str">
        <f>IFERROR(__xludf.DUMMYFUNCTION("FILTER(colegios!$B$2:$B5618,colegios!$A$2:$A5618=L2545)"),"50492 CORAZON DE JESUS")</f>
        <v>50492 CORAZON DE JESUS</v>
      </c>
      <c r="F2545" s="14" t="s">
        <v>16</v>
      </c>
      <c r="G2545" s="20" t="s">
        <v>17</v>
      </c>
      <c r="H2545" s="14" t="s">
        <v>18</v>
      </c>
      <c r="I2545" s="22">
        <v>2023.0</v>
      </c>
      <c r="J2545" s="16" t="str">
        <f>IFERROR(__xludf.DUMMYFUNCTION("FILTER('CLASFICACIÓN'!$F$3:$F5618,'CLASFICACIÓN'!$G$3:$G5618=M2545)"),"LOS 3 AÑOS")</f>
        <v>LOS 3 AÑOS</v>
      </c>
      <c r="K2545" s="16"/>
      <c r="L2545" s="14" t="s">
        <v>146</v>
      </c>
      <c r="M2545" s="16" t="str">
        <f t="shared" si="1"/>
        <v>50492 CORAZON DE JESUS6 Primaria</v>
      </c>
      <c r="N2545" s="17"/>
      <c r="O2545" s="17"/>
      <c r="P2545" s="17"/>
      <c r="Q2545" s="17"/>
      <c r="R2545" s="17"/>
      <c r="S2545" s="17"/>
      <c r="T2545" s="17"/>
    </row>
    <row r="2546">
      <c r="A2546" s="21">
        <v>1349.0</v>
      </c>
      <c r="B2546" s="20" t="s">
        <v>90</v>
      </c>
      <c r="C2546" s="20" t="s">
        <v>14</v>
      </c>
      <c r="D2546" s="20" t="s">
        <v>22</v>
      </c>
      <c r="E2546" s="12" t="str">
        <f>IFERROR(__xludf.DUMMYFUNCTION("FILTER(colegios!$B$2:$B5618,colegios!$A$2:$A5618=L2546)"),"50492 CORAZON DE JESUS")</f>
        <v>50492 CORAZON DE JESUS</v>
      </c>
      <c r="F2546" s="14" t="s">
        <v>16</v>
      </c>
      <c r="G2546" s="20" t="s">
        <v>17</v>
      </c>
      <c r="H2546" s="14" t="s">
        <v>18</v>
      </c>
      <c r="I2546" s="22">
        <v>2023.0</v>
      </c>
      <c r="J2546" s="16" t="str">
        <f>IFERROR(__xludf.DUMMYFUNCTION("FILTER('CLASFICACIÓN'!$F$3:$F5618,'CLASFICACIÓN'!$G$3:$G5618=M2546)"),"LOS 3 AÑOS")</f>
        <v>LOS 3 AÑOS</v>
      </c>
      <c r="K2546" s="16"/>
      <c r="L2546" s="14" t="s">
        <v>146</v>
      </c>
      <c r="M2546" s="16" t="str">
        <f t="shared" si="1"/>
        <v>50492 CORAZON DE JESUS6 Primaria</v>
      </c>
      <c r="N2546" s="17"/>
      <c r="O2546" s="17"/>
      <c r="P2546" s="17"/>
      <c r="Q2546" s="17"/>
      <c r="R2546" s="17"/>
      <c r="S2546" s="17"/>
      <c r="T2546" s="17"/>
    </row>
    <row r="2547">
      <c r="A2547" s="21">
        <v>1350.0</v>
      </c>
      <c r="B2547" s="20" t="s">
        <v>90</v>
      </c>
      <c r="C2547" s="20" t="s">
        <v>14</v>
      </c>
      <c r="D2547" s="20" t="s">
        <v>22</v>
      </c>
      <c r="E2547" s="12" t="str">
        <f>IFERROR(__xludf.DUMMYFUNCTION("FILTER(colegios!$B$2:$B5618,colegios!$A$2:$A5618=L2547)"),"50492 CORAZON DE JESUS")</f>
        <v>50492 CORAZON DE JESUS</v>
      </c>
      <c r="F2547" s="14" t="s">
        <v>16</v>
      </c>
      <c r="G2547" s="20" t="s">
        <v>17</v>
      </c>
      <c r="H2547" s="14" t="s">
        <v>24</v>
      </c>
      <c r="I2547" s="22">
        <v>2023.0</v>
      </c>
      <c r="J2547" s="16" t="str">
        <f>IFERROR(__xludf.DUMMYFUNCTION("FILTER('CLASFICACIÓN'!$F$3:$F5618,'CLASFICACIÓN'!$G$3:$G5618=M2547)"),"LOS 3 AÑOS")</f>
        <v>LOS 3 AÑOS</v>
      </c>
      <c r="K2547" s="16"/>
      <c r="L2547" s="14" t="s">
        <v>146</v>
      </c>
      <c r="M2547" s="16" t="str">
        <f t="shared" si="1"/>
        <v>50492 CORAZON DE JESUS6 Primaria</v>
      </c>
      <c r="N2547" s="17"/>
      <c r="O2547" s="17"/>
      <c r="P2547" s="17"/>
      <c r="Q2547" s="17"/>
      <c r="R2547" s="17"/>
      <c r="S2547" s="17"/>
      <c r="T2547" s="17"/>
    </row>
    <row r="2548">
      <c r="A2548" s="21">
        <v>1351.0</v>
      </c>
      <c r="B2548" s="20" t="s">
        <v>90</v>
      </c>
      <c r="C2548" s="20" t="s">
        <v>14</v>
      </c>
      <c r="D2548" s="20" t="s">
        <v>22</v>
      </c>
      <c r="E2548" s="12" t="str">
        <f>IFERROR(__xludf.DUMMYFUNCTION("FILTER(colegios!$B$2:$B5618,colegios!$A$2:$A5618=L2548)"),"50492 CORAZON DE JESUS")</f>
        <v>50492 CORAZON DE JESUS</v>
      </c>
      <c r="F2548" s="14" t="s">
        <v>16</v>
      </c>
      <c r="G2548" s="20" t="s">
        <v>21</v>
      </c>
      <c r="H2548" s="14" t="s">
        <v>24</v>
      </c>
      <c r="I2548" s="22">
        <v>2023.0</v>
      </c>
      <c r="J2548" s="16" t="str">
        <f>IFERROR(__xludf.DUMMYFUNCTION("FILTER('CLASFICACIÓN'!$F$3:$F5618,'CLASFICACIÓN'!$G$3:$G5618=M2548)"),"LOS 3 AÑOS")</f>
        <v>LOS 3 AÑOS</v>
      </c>
      <c r="K2548" s="16"/>
      <c r="L2548" s="14" t="s">
        <v>146</v>
      </c>
      <c r="M2548" s="16" t="str">
        <f t="shared" si="1"/>
        <v>50492 CORAZON DE JESUS6 Primaria</v>
      </c>
      <c r="N2548" s="17"/>
      <c r="O2548" s="17"/>
      <c r="P2548" s="17"/>
      <c r="Q2548" s="17"/>
      <c r="R2548" s="17"/>
      <c r="S2548" s="17"/>
      <c r="T2548" s="17"/>
    </row>
    <row r="2549">
      <c r="A2549" s="21">
        <v>1352.0</v>
      </c>
      <c r="B2549" s="20" t="s">
        <v>90</v>
      </c>
      <c r="C2549" s="20" t="s">
        <v>14</v>
      </c>
      <c r="D2549" s="20" t="s">
        <v>22</v>
      </c>
      <c r="E2549" s="12" t="str">
        <f>IFERROR(__xludf.DUMMYFUNCTION("FILTER(colegios!$B$2:$B5618,colegios!$A$2:$A5618=L2549)"),"50492 CORAZON DE JESUS")</f>
        <v>50492 CORAZON DE JESUS</v>
      </c>
      <c r="F2549" s="14" t="s">
        <v>16</v>
      </c>
      <c r="G2549" s="20" t="s">
        <v>17</v>
      </c>
      <c r="H2549" s="14" t="s">
        <v>18</v>
      </c>
      <c r="I2549" s="22">
        <v>2023.0</v>
      </c>
      <c r="J2549" s="16" t="str">
        <f>IFERROR(__xludf.DUMMYFUNCTION("FILTER('CLASFICACIÓN'!$F$3:$F5618,'CLASFICACIÓN'!$G$3:$G5618=M2549)"),"LOS 3 AÑOS")</f>
        <v>LOS 3 AÑOS</v>
      </c>
      <c r="K2549" s="16"/>
      <c r="L2549" s="14" t="s">
        <v>146</v>
      </c>
      <c r="M2549" s="16" t="str">
        <f t="shared" si="1"/>
        <v>50492 CORAZON DE JESUS6 Primaria</v>
      </c>
      <c r="N2549" s="17"/>
      <c r="O2549" s="17"/>
      <c r="P2549" s="17"/>
      <c r="Q2549" s="17"/>
      <c r="R2549" s="17"/>
      <c r="S2549" s="17"/>
      <c r="T2549" s="17"/>
    </row>
    <row r="2550">
      <c r="A2550" s="21">
        <v>1353.0</v>
      </c>
      <c r="B2550" s="20" t="s">
        <v>90</v>
      </c>
      <c r="C2550" s="20" t="s">
        <v>14</v>
      </c>
      <c r="D2550" s="20" t="s">
        <v>22</v>
      </c>
      <c r="E2550" s="12" t="str">
        <f>IFERROR(__xludf.DUMMYFUNCTION("FILTER(colegios!$B$2:$B5618,colegios!$A$2:$A5618=L2550)"),"50492 CORAZON DE JESUS")</f>
        <v>50492 CORAZON DE JESUS</v>
      </c>
      <c r="F2550" s="14" t="s">
        <v>16</v>
      </c>
      <c r="G2550" s="20" t="s">
        <v>17</v>
      </c>
      <c r="H2550" s="14" t="s">
        <v>24</v>
      </c>
      <c r="I2550" s="22">
        <v>2023.0</v>
      </c>
      <c r="J2550" s="16" t="str">
        <f>IFERROR(__xludf.DUMMYFUNCTION("FILTER('CLASFICACIÓN'!$F$3:$F5618,'CLASFICACIÓN'!$G$3:$G5618=M2550)"),"LOS 3 AÑOS")</f>
        <v>LOS 3 AÑOS</v>
      </c>
      <c r="K2550" s="16"/>
      <c r="L2550" s="14" t="s">
        <v>146</v>
      </c>
      <c r="M2550" s="16" t="str">
        <f t="shared" si="1"/>
        <v>50492 CORAZON DE JESUS6 Primaria</v>
      </c>
      <c r="N2550" s="17"/>
      <c r="O2550" s="17"/>
      <c r="P2550" s="17"/>
      <c r="Q2550" s="17"/>
      <c r="R2550" s="17"/>
      <c r="S2550" s="17"/>
      <c r="T2550" s="17"/>
    </row>
    <row r="2551">
      <c r="A2551" s="21">
        <v>1354.0</v>
      </c>
      <c r="B2551" s="20" t="s">
        <v>90</v>
      </c>
      <c r="C2551" s="20" t="s">
        <v>14</v>
      </c>
      <c r="D2551" s="20" t="s">
        <v>22</v>
      </c>
      <c r="E2551" s="12" t="str">
        <f>IFERROR(__xludf.DUMMYFUNCTION("FILTER(colegios!$B$2:$B5618,colegios!$A$2:$A5618=L2551)"),"50492 CORAZON DE JESUS")</f>
        <v>50492 CORAZON DE JESUS</v>
      </c>
      <c r="F2551" s="14" t="s">
        <v>16</v>
      </c>
      <c r="G2551" s="20" t="s">
        <v>21</v>
      </c>
      <c r="H2551" s="14" t="s">
        <v>24</v>
      </c>
      <c r="I2551" s="22">
        <v>2023.0</v>
      </c>
      <c r="J2551" s="16" t="str">
        <f>IFERROR(__xludf.DUMMYFUNCTION("FILTER('CLASFICACIÓN'!$F$3:$F5618,'CLASFICACIÓN'!$G$3:$G5618=M2551)"),"LOS 3 AÑOS")</f>
        <v>LOS 3 AÑOS</v>
      </c>
      <c r="K2551" s="16"/>
      <c r="L2551" s="14" t="s">
        <v>146</v>
      </c>
      <c r="M2551" s="16" t="str">
        <f t="shared" si="1"/>
        <v>50492 CORAZON DE JESUS6 Primaria</v>
      </c>
      <c r="N2551" s="17"/>
      <c r="O2551" s="17"/>
      <c r="P2551" s="17"/>
      <c r="Q2551" s="17"/>
      <c r="R2551" s="17"/>
      <c r="S2551" s="17"/>
      <c r="T2551" s="17"/>
    </row>
    <row r="2552">
      <c r="A2552" s="21">
        <v>1355.0</v>
      </c>
      <c r="B2552" s="20" t="s">
        <v>90</v>
      </c>
      <c r="C2552" s="20" t="s">
        <v>14</v>
      </c>
      <c r="D2552" s="20" t="s">
        <v>22</v>
      </c>
      <c r="E2552" s="12" t="str">
        <f>IFERROR(__xludf.DUMMYFUNCTION("FILTER(colegios!$B$2:$B5618,colegios!$A$2:$A5618=L2552)"),"50492 CORAZON DE JESUS")</f>
        <v>50492 CORAZON DE JESUS</v>
      </c>
      <c r="F2552" s="14" t="s">
        <v>16</v>
      </c>
      <c r="G2552" s="20" t="s">
        <v>17</v>
      </c>
      <c r="H2552" s="14" t="s">
        <v>18</v>
      </c>
      <c r="I2552" s="22">
        <v>2023.0</v>
      </c>
      <c r="J2552" s="16" t="str">
        <f>IFERROR(__xludf.DUMMYFUNCTION("FILTER('CLASFICACIÓN'!$F$3:$F5618,'CLASFICACIÓN'!$G$3:$G5618=M2552)"),"LOS 3 AÑOS")</f>
        <v>LOS 3 AÑOS</v>
      </c>
      <c r="K2552" s="16"/>
      <c r="L2552" s="14" t="s">
        <v>146</v>
      </c>
      <c r="M2552" s="16" t="str">
        <f t="shared" si="1"/>
        <v>50492 CORAZON DE JESUS6 Primaria</v>
      </c>
      <c r="N2552" s="17"/>
      <c r="O2552" s="17"/>
      <c r="P2552" s="17"/>
      <c r="Q2552" s="17"/>
      <c r="R2552" s="17"/>
      <c r="S2552" s="17"/>
      <c r="T2552" s="17"/>
    </row>
    <row r="2553">
      <c r="A2553" s="21">
        <v>1356.0</v>
      </c>
      <c r="B2553" s="20" t="s">
        <v>90</v>
      </c>
      <c r="C2553" s="20" t="s">
        <v>14</v>
      </c>
      <c r="D2553" s="20" t="s">
        <v>22</v>
      </c>
      <c r="E2553" s="12" t="str">
        <f>IFERROR(__xludf.DUMMYFUNCTION("FILTER(colegios!$B$2:$B5618,colegios!$A$2:$A5618=L2553)"),"50492 CORAZON DE JESUS")</f>
        <v>50492 CORAZON DE JESUS</v>
      </c>
      <c r="F2553" s="14" t="s">
        <v>16</v>
      </c>
      <c r="G2553" s="20" t="s">
        <v>17</v>
      </c>
      <c r="H2553" s="14" t="s">
        <v>24</v>
      </c>
      <c r="I2553" s="22">
        <v>2023.0</v>
      </c>
      <c r="J2553" s="16" t="str">
        <f>IFERROR(__xludf.DUMMYFUNCTION("FILTER('CLASFICACIÓN'!$F$3:$F5618,'CLASFICACIÓN'!$G$3:$G5618=M2553)"),"LOS 3 AÑOS")</f>
        <v>LOS 3 AÑOS</v>
      </c>
      <c r="K2553" s="16"/>
      <c r="L2553" s="14" t="s">
        <v>146</v>
      </c>
      <c r="M2553" s="16" t="str">
        <f t="shared" si="1"/>
        <v>50492 CORAZON DE JESUS6 Primaria</v>
      </c>
      <c r="N2553" s="17"/>
      <c r="O2553" s="17"/>
      <c r="P2553" s="17"/>
      <c r="Q2553" s="17"/>
      <c r="R2553" s="17"/>
      <c r="S2553" s="17"/>
      <c r="T2553" s="17"/>
    </row>
    <row r="2554">
      <c r="A2554" s="21">
        <v>1357.0</v>
      </c>
      <c r="B2554" s="20" t="s">
        <v>90</v>
      </c>
      <c r="C2554" s="20" t="s">
        <v>14</v>
      </c>
      <c r="D2554" s="20" t="s">
        <v>22</v>
      </c>
      <c r="E2554" s="12" t="str">
        <f>IFERROR(__xludf.DUMMYFUNCTION("FILTER(colegios!$B$2:$B5618,colegios!$A$2:$A5618=L2554)"),"50492 CORAZON DE JESUS")</f>
        <v>50492 CORAZON DE JESUS</v>
      </c>
      <c r="F2554" s="14" t="s">
        <v>16</v>
      </c>
      <c r="G2554" s="20" t="s">
        <v>21</v>
      </c>
      <c r="H2554" s="14" t="s">
        <v>24</v>
      </c>
      <c r="I2554" s="22">
        <v>2023.0</v>
      </c>
      <c r="J2554" s="16" t="str">
        <f>IFERROR(__xludf.DUMMYFUNCTION("FILTER('CLASFICACIÓN'!$F$3:$F5618,'CLASFICACIÓN'!$G$3:$G5618=M2554)"),"LOS 3 AÑOS")</f>
        <v>LOS 3 AÑOS</v>
      </c>
      <c r="K2554" s="16"/>
      <c r="L2554" s="14" t="s">
        <v>146</v>
      </c>
      <c r="M2554" s="16" t="str">
        <f t="shared" si="1"/>
        <v>50492 CORAZON DE JESUS6 Primaria</v>
      </c>
      <c r="N2554" s="17"/>
      <c r="O2554" s="17"/>
      <c r="P2554" s="17"/>
      <c r="Q2554" s="17"/>
      <c r="R2554" s="17"/>
      <c r="S2554" s="17"/>
      <c r="T2554" s="17"/>
    </row>
    <row r="2555">
      <c r="A2555" s="21">
        <v>1358.0</v>
      </c>
      <c r="B2555" s="20" t="s">
        <v>90</v>
      </c>
      <c r="C2555" s="20" t="s">
        <v>14</v>
      </c>
      <c r="D2555" s="20" t="s">
        <v>22</v>
      </c>
      <c r="E2555" s="12" t="str">
        <f>IFERROR(__xludf.DUMMYFUNCTION("FILTER(colegios!$B$2:$B5618,colegios!$A$2:$A5618=L2555)"),"50492 CORAZON DE JESUS")</f>
        <v>50492 CORAZON DE JESUS</v>
      </c>
      <c r="F2555" s="14" t="s">
        <v>16</v>
      </c>
      <c r="G2555" s="20" t="s">
        <v>17</v>
      </c>
      <c r="H2555" s="14" t="s">
        <v>18</v>
      </c>
      <c r="I2555" s="22">
        <v>2023.0</v>
      </c>
      <c r="J2555" s="16" t="str">
        <f>IFERROR(__xludf.DUMMYFUNCTION("FILTER('CLASFICACIÓN'!$F$3:$F5618,'CLASFICACIÓN'!$G$3:$G5618=M2555)"),"LOS 3 AÑOS")</f>
        <v>LOS 3 AÑOS</v>
      </c>
      <c r="K2555" s="16"/>
      <c r="L2555" s="14" t="s">
        <v>146</v>
      </c>
      <c r="M2555" s="16" t="str">
        <f t="shared" si="1"/>
        <v>50492 CORAZON DE JESUS6 Primaria</v>
      </c>
      <c r="N2555" s="17"/>
      <c r="O2555" s="17"/>
      <c r="P2555" s="17"/>
      <c r="Q2555" s="17"/>
      <c r="R2555" s="17"/>
      <c r="S2555" s="17"/>
      <c r="T2555" s="17"/>
    </row>
    <row r="2556">
      <c r="A2556" s="21">
        <v>1359.0</v>
      </c>
      <c r="B2556" s="20" t="s">
        <v>90</v>
      </c>
      <c r="C2556" s="20" t="s">
        <v>14</v>
      </c>
      <c r="D2556" s="20" t="s">
        <v>22</v>
      </c>
      <c r="E2556" s="12" t="str">
        <f>IFERROR(__xludf.DUMMYFUNCTION("FILTER(colegios!$B$2:$B5618,colegios!$A$2:$A5618=L2556)"),"50492 CORAZON DE JESUS")</f>
        <v>50492 CORAZON DE JESUS</v>
      </c>
      <c r="F2556" s="14" t="s">
        <v>16</v>
      </c>
      <c r="G2556" s="20" t="s">
        <v>21</v>
      </c>
      <c r="H2556" s="14" t="s">
        <v>24</v>
      </c>
      <c r="I2556" s="22">
        <v>2023.0</v>
      </c>
      <c r="J2556" s="16" t="str">
        <f>IFERROR(__xludf.DUMMYFUNCTION("FILTER('CLASFICACIÓN'!$F$3:$F5618,'CLASFICACIÓN'!$G$3:$G5618=M2556)"),"LOS 3 AÑOS")</f>
        <v>LOS 3 AÑOS</v>
      </c>
      <c r="K2556" s="16"/>
      <c r="L2556" s="14" t="s">
        <v>146</v>
      </c>
      <c r="M2556" s="16" t="str">
        <f t="shared" si="1"/>
        <v>50492 CORAZON DE JESUS6 Primaria</v>
      </c>
      <c r="N2556" s="17"/>
      <c r="O2556" s="17"/>
      <c r="P2556" s="17"/>
      <c r="Q2556" s="17"/>
      <c r="R2556" s="17"/>
      <c r="S2556" s="17"/>
      <c r="T2556" s="17"/>
    </row>
    <row r="2557">
      <c r="A2557" s="21">
        <v>1360.0</v>
      </c>
      <c r="B2557" s="20" t="s">
        <v>90</v>
      </c>
      <c r="C2557" s="20" t="s">
        <v>14</v>
      </c>
      <c r="D2557" s="20" t="s">
        <v>22</v>
      </c>
      <c r="E2557" s="12" t="str">
        <f>IFERROR(__xludf.DUMMYFUNCTION("FILTER(colegios!$B$2:$B5618,colegios!$A$2:$A5618=L2557)"),"50492 CORAZON DE JESUS")</f>
        <v>50492 CORAZON DE JESUS</v>
      </c>
      <c r="F2557" s="14" t="s">
        <v>16</v>
      </c>
      <c r="G2557" s="20" t="s">
        <v>21</v>
      </c>
      <c r="H2557" s="14" t="s">
        <v>24</v>
      </c>
      <c r="I2557" s="22">
        <v>2023.0</v>
      </c>
      <c r="J2557" s="16" t="str">
        <f>IFERROR(__xludf.DUMMYFUNCTION("FILTER('CLASFICACIÓN'!$F$3:$F5618,'CLASFICACIÓN'!$G$3:$G5618=M2557)"),"LOS 3 AÑOS")</f>
        <v>LOS 3 AÑOS</v>
      </c>
      <c r="K2557" s="16"/>
      <c r="L2557" s="14" t="s">
        <v>146</v>
      </c>
      <c r="M2557" s="16" t="str">
        <f t="shared" si="1"/>
        <v>50492 CORAZON DE JESUS6 Primaria</v>
      </c>
      <c r="N2557" s="17"/>
      <c r="O2557" s="17"/>
      <c r="P2557" s="17"/>
      <c r="Q2557" s="17"/>
      <c r="R2557" s="17"/>
      <c r="S2557" s="17"/>
      <c r="T2557" s="17"/>
    </row>
    <row r="2558">
      <c r="A2558" s="21">
        <v>1361.0</v>
      </c>
      <c r="B2558" s="20" t="s">
        <v>90</v>
      </c>
      <c r="C2558" s="20" t="s">
        <v>14</v>
      </c>
      <c r="D2558" s="20" t="s">
        <v>22</v>
      </c>
      <c r="E2558" s="12" t="str">
        <f>IFERROR(__xludf.DUMMYFUNCTION("FILTER(colegios!$B$2:$B5618,colegios!$A$2:$A5618=L2558)"),"50492 CORAZON DE JESUS")</f>
        <v>50492 CORAZON DE JESUS</v>
      </c>
      <c r="F2558" s="14" t="s">
        <v>16</v>
      </c>
      <c r="G2558" s="20" t="s">
        <v>17</v>
      </c>
      <c r="H2558" s="14" t="s">
        <v>24</v>
      </c>
      <c r="I2558" s="22">
        <v>2023.0</v>
      </c>
      <c r="J2558" s="16" t="str">
        <f>IFERROR(__xludf.DUMMYFUNCTION("FILTER('CLASFICACIÓN'!$F$3:$F5618,'CLASFICACIÓN'!$G$3:$G5618=M2558)"),"LOS 3 AÑOS")</f>
        <v>LOS 3 AÑOS</v>
      </c>
      <c r="K2558" s="16"/>
      <c r="L2558" s="14" t="s">
        <v>146</v>
      </c>
      <c r="M2558" s="16" t="str">
        <f t="shared" si="1"/>
        <v>50492 CORAZON DE JESUS6 Primaria</v>
      </c>
      <c r="N2558" s="17"/>
      <c r="O2558" s="17"/>
      <c r="P2558" s="17"/>
      <c r="Q2558" s="17"/>
      <c r="R2558" s="17"/>
      <c r="S2558" s="17"/>
      <c r="T2558" s="17"/>
    </row>
    <row r="2559">
      <c r="A2559" s="21">
        <v>1362.0</v>
      </c>
      <c r="B2559" s="20" t="s">
        <v>90</v>
      </c>
      <c r="C2559" s="20" t="s">
        <v>14</v>
      </c>
      <c r="D2559" s="20" t="s">
        <v>22</v>
      </c>
      <c r="E2559" s="12" t="str">
        <f>IFERROR(__xludf.DUMMYFUNCTION("FILTER(colegios!$B$2:$B5618,colegios!$A$2:$A5618=L2559)"),"50492 CORAZON DE JESUS")</f>
        <v>50492 CORAZON DE JESUS</v>
      </c>
      <c r="F2559" s="14" t="s">
        <v>16</v>
      </c>
      <c r="G2559" s="20" t="s">
        <v>21</v>
      </c>
      <c r="H2559" s="14" t="s">
        <v>32</v>
      </c>
      <c r="I2559" s="22">
        <v>2023.0</v>
      </c>
      <c r="J2559" s="16" t="str">
        <f>IFERROR(__xludf.DUMMYFUNCTION("FILTER('CLASFICACIÓN'!$F$3:$F5618,'CLASFICACIÓN'!$G$3:$G5618=M2559)"),"LOS 3 AÑOS")</f>
        <v>LOS 3 AÑOS</v>
      </c>
      <c r="K2559" s="16"/>
      <c r="L2559" s="14" t="s">
        <v>146</v>
      </c>
      <c r="M2559" s="16" t="str">
        <f t="shared" si="1"/>
        <v>50492 CORAZON DE JESUS6 Primaria</v>
      </c>
      <c r="N2559" s="17"/>
      <c r="O2559" s="17"/>
      <c r="P2559" s="17"/>
      <c r="Q2559" s="17"/>
      <c r="R2559" s="17"/>
      <c r="S2559" s="17"/>
      <c r="T2559" s="17"/>
    </row>
    <row r="2560">
      <c r="A2560" s="21">
        <v>1363.0</v>
      </c>
      <c r="B2560" s="20" t="s">
        <v>90</v>
      </c>
      <c r="C2560" s="20" t="s">
        <v>14</v>
      </c>
      <c r="D2560" s="20" t="s">
        <v>22</v>
      </c>
      <c r="E2560" s="12" t="str">
        <f>IFERROR(__xludf.DUMMYFUNCTION("FILTER(colegios!$B$2:$B5618,colegios!$A$2:$A5618=L2560)"),"50492 CORAZON DE JESUS")</f>
        <v>50492 CORAZON DE JESUS</v>
      </c>
      <c r="F2560" s="14" t="s">
        <v>16</v>
      </c>
      <c r="G2560" s="20" t="s">
        <v>21</v>
      </c>
      <c r="H2560" s="14" t="s">
        <v>24</v>
      </c>
      <c r="I2560" s="22">
        <v>2023.0</v>
      </c>
      <c r="J2560" s="16" t="str">
        <f>IFERROR(__xludf.DUMMYFUNCTION("FILTER('CLASFICACIÓN'!$F$3:$F5618,'CLASFICACIÓN'!$G$3:$G5618=M2560)"),"LOS 3 AÑOS")</f>
        <v>LOS 3 AÑOS</v>
      </c>
      <c r="K2560" s="16"/>
      <c r="L2560" s="14" t="s">
        <v>146</v>
      </c>
      <c r="M2560" s="16" t="str">
        <f t="shared" si="1"/>
        <v>50492 CORAZON DE JESUS6 Primaria</v>
      </c>
      <c r="N2560" s="17"/>
      <c r="O2560" s="17"/>
      <c r="P2560" s="17"/>
      <c r="Q2560" s="17"/>
      <c r="R2560" s="17"/>
      <c r="S2560" s="17"/>
      <c r="T2560" s="17"/>
    </row>
    <row r="2561">
      <c r="A2561" s="21">
        <v>1364.0</v>
      </c>
      <c r="B2561" s="20" t="s">
        <v>90</v>
      </c>
      <c r="C2561" s="20" t="s">
        <v>14</v>
      </c>
      <c r="D2561" s="20" t="s">
        <v>22</v>
      </c>
      <c r="E2561" s="12" t="str">
        <f>IFERROR(__xludf.DUMMYFUNCTION("FILTER(colegios!$B$2:$B5618,colegios!$A$2:$A5618=L2561)"),"50492 CORAZON DE JESUS")</f>
        <v>50492 CORAZON DE JESUS</v>
      </c>
      <c r="F2561" s="14" t="s">
        <v>16</v>
      </c>
      <c r="G2561" s="20" t="s">
        <v>21</v>
      </c>
      <c r="H2561" s="14" t="s">
        <v>24</v>
      </c>
      <c r="I2561" s="22">
        <v>2023.0</v>
      </c>
      <c r="J2561" s="16" t="str">
        <f>IFERROR(__xludf.DUMMYFUNCTION("FILTER('CLASFICACIÓN'!$F$3:$F5618,'CLASFICACIÓN'!$G$3:$G5618=M2561)"),"LOS 3 AÑOS")</f>
        <v>LOS 3 AÑOS</v>
      </c>
      <c r="K2561" s="16"/>
      <c r="L2561" s="14" t="s">
        <v>146</v>
      </c>
      <c r="M2561" s="16" t="str">
        <f t="shared" si="1"/>
        <v>50492 CORAZON DE JESUS6 Primaria</v>
      </c>
      <c r="N2561" s="17"/>
      <c r="O2561" s="17"/>
      <c r="P2561" s="17"/>
      <c r="Q2561" s="17"/>
      <c r="R2561" s="17"/>
      <c r="S2561" s="17"/>
      <c r="T2561" s="17"/>
    </row>
    <row r="2562">
      <c r="A2562" s="21">
        <v>1365.0</v>
      </c>
      <c r="B2562" s="20" t="s">
        <v>90</v>
      </c>
      <c r="C2562" s="20" t="s">
        <v>14</v>
      </c>
      <c r="D2562" s="20" t="s">
        <v>22</v>
      </c>
      <c r="E2562" s="12" t="str">
        <f>IFERROR(__xludf.DUMMYFUNCTION("FILTER(colegios!$B$2:$B5618,colegios!$A$2:$A5618=L2562)"),"50492 CORAZON DE JESUS")</f>
        <v>50492 CORAZON DE JESUS</v>
      </c>
      <c r="F2562" s="14" t="s">
        <v>16</v>
      </c>
      <c r="G2562" s="20" t="s">
        <v>17</v>
      </c>
      <c r="H2562" s="14" t="s">
        <v>18</v>
      </c>
      <c r="I2562" s="22">
        <v>2023.0</v>
      </c>
      <c r="J2562" s="16" t="str">
        <f>IFERROR(__xludf.DUMMYFUNCTION("FILTER('CLASFICACIÓN'!$F$3:$F5618,'CLASFICACIÓN'!$G$3:$G5618=M2562)"),"LOS 3 AÑOS")</f>
        <v>LOS 3 AÑOS</v>
      </c>
      <c r="K2562" s="16"/>
      <c r="L2562" s="14" t="s">
        <v>146</v>
      </c>
      <c r="M2562" s="16" t="str">
        <f t="shared" si="1"/>
        <v>50492 CORAZON DE JESUS6 Primaria</v>
      </c>
      <c r="N2562" s="17"/>
      <c r="O2562" s="17"/>
      <c r="P2562" s="17"/>
      <c r="Q2562" s="17"/>
      <c r="R2562" s="17"/>
      <c r="S2562" s="17"/>
      <c r="T2562" s="17"/>
    </row>
    <row r="2563">
      <c r="A2563" s="21">
        <v>1366.0</v>
      </c>
      <c r="B2563" s="20" t="s">
        <v>90</v>
      </c>
      <c r="C2563" s="20" t="s">
        <v>14</v>
      </c>
      <c r="D2563" s="20" t="s">
        <v>22</v>
      </c>
      <c r="E2563" s="12" t="str">
        <f>IFERROR(__xludf.DUMMYFUNCTION("FILTER(colegios!$B$2:$B5618,colegios!$A$2:$A5618=L2563)"),"50492 CORAZON DE JESUS")</f>
        <v>50492 CORAZON DE JESUS</v>
      </c>
      <c r="F2563" s="14" t="s">
        <v>16</v>
      </c>
      <c r="G2563" s="20" t="s">
        <v>17</v>
      </c>
      <c r="H2563" s="14" t="s">
        <v>32</v>
      </c>
      <c r="I2563" s="22">
        <v>2023.0</v>
      </c>
      <c r="J2563" s="16" t="str">
        <f>IFERROR(__xludf.DUMMYFUNCTION("FILTER('CLASFICACIÓN'!$F$3:$F5618,'CLASFICACIÓN'!$G$3:$G5618=M2563)"),"LOS 3 AÑOS")</f>
        <v>LOS 3 AÑOS</v>
      </c>
      <c r="K2563" s="16"/>
      <c r="L2563" s="14" t="s">
        <v>146</v>
      </c>
      <c r="M2563" s="16" t="str">
        <f t="shared" si="1"/>
        <v>50492 CORAZON DE JESUS6 Primaria</v>
      </c>
      <c r="N2563" s="17"/>
      <c r="O2563" s="17"/>
      <c r="P2563" s="17"/>
      <c r="Q2563" s="17"/>
      <c r="R2563" s="17"/>
      <c r="S2563" s="17"/>
      <c r="T2563" s="17"/>
    </row>
    <row r="2564">
      <c r="A2564" s="21">
        <v>1367.0</v>
      </c>
      <c r="B2564" s="20" t="s">
        <v>90</v>
      </c>
      <c r="C2564" s="20" t="s">
        <v>14</v>
      </c>
      <c r="D2564" s="20" t="s">
        <v>22</v>
      </c>
      <c r="E2564" s="12" t="str">
        <f>IFERROR(__xludf.DUMMYFUNCTION("FILTER(colegios!$B$2:$B5618,colegios!$A$2:$A5618=L2564)"),"50492 CORAZON DE JESUS")</f>
        <v>50492 CORAZON DE JESUS</v>
      </c>
      <c r="F2564" s="14" t="s">
        <v>16</v>
      </c>
      <c r="G2564" s="20" t="s">
        <v>21</v>
      </c>
      <c r="H2564" s="14" t="s">
        <v>18</v>
      </c>
      <c r="I2564" s="22">
        <v>2023.0</v>
      </c>
      <c r="J2564" s="16" t="str">
        <f>IFERROR(__xludf.DUMMYFUNCTION("FILTER('CLASFICACIÓN'!$F$3:$F5618,'CLASFICACIÓN'!$G$3:$G5618=M2564)"),"LOS 3 AÑOS")</f>
        <v>LOS 3 AÑOS</v>
      </c>
      <c r="K2564" s="16"/>
      <c r="L2564" s="14" t="s">
        <v>146</v>
      </c>
      <c r="M2564" s="16" t="str">
        <f t="shared" si="1"/>
        <v>50492 CORAZON DE JESUS6 Primaria</v>
      </c>
      <c r="N2564" s="17"/>
      <c r="O2564" s="17"/>
      <c r="P2564" s="17"/>
      <c r="Q2564" s="17"/>
      <c r="R2564" s="17"/>
      <c r="S2564" s="17"/>
      <c r="T2564" s="17"/>
    </row>
    <row r="2565">
      <c r="A2565" s="21">
        <v>1368.0</v>
      </c>
      <c r="B2565" s="20" t="s">
        <v>90</v>
      </c>
      <c r="C2565" s="20" t="s">
        <v>14</v>
      </c>
      <c r="D2565" s="20" t="s">
        <v>22</v>
      </c>
      <c r="E2565" s="12" t="str">
        <f>IFERROR(__xludf.DUMMYFUNCTION("FILTER(colegios!$B$2:$B5618,colegios!$A$2:$A5618=L2565)"),"50492 CORAZON DE JESUS")</f>
        <v>50492 CORAZON DE JESUS</v>
      </c>
      <c r="F2565" s="14" t="s">
        <v>16</v>
      </c>
      <c r="G2565" s="20" t="s">
        <v>21</v>
      </c>
      <c r="H2565" s="14" t="s">
        <v>24</v>
      </c>
      <c r="I2565" s="22">
        <v>2023.0</v>
      </c>
      <c r="J2565" s="16" t="str">
        <f>IFERROR(__xludf.DUMMYFUNCTION("FILTER('CLASFICACIÓN'!$F$3:$F5618,'CLASFICACIÓN'!$G$3:$G5618=M2565)"),"LOS 3 AÑOS")</f>
        <v>LOS 3 AÑOS</v>
      </c>
      <c r="K2565" s="16"/>
      <c r="L2565" s="14" t="s">
        <v>146</v>
      </c>
      <c r="M2565" s="16" t="str">
        <f t="shared" si="1"/>
        <v>50492 CORAZON DE JESUS6 Primaria</v>
      </c>
      <c r="N2565" s="17"/>
      <c r="O2565" s="17"/>
      <c r="P2565" s="17"/>
      <c r="Q2565" s="17"/>
      <c r="R2565" s="17"/>
      <c r="S2565" s="17"/>
      <c r="T2565" s="17"/>
    </row>
    <row r="2566">
      <c r="A2566" s="21">
        <v>1369.0</v>
      </c>
      <c r="B2566" s="20" t="s">
        <v>90</v>
      </c>
      <c r="C2566" s="20" t="s">
        <v>14</v>
      </c>
      <c r="D2566" s="20" t="s">
        <v>22</v>
      </c>
      <c r="E2566" s="12" t="str">
        <f>IFERROR(__xludf.DUMMYFUNCTION("FILTER(colegios!$B$2:$B5618,colegios!$A$2:$A5618=L2566)"),"50492 CORAZON DE JESUS")</f>
        <v>50492 CORAZON DE JESUS</v>
      </c>
      <c r="F2566" s="14" t="s">
        <v>16</v>
      </c>
      <c r="G2566" s="20" t="s">
        <v>21</v>
      </c>
      <c r="H2566" s="14" t="s">
        <v>18</v>
      </c>
      <c r="I2566" s="22">
        <v>2023.0</v>
      </c>
      <c r="J2566" s="16" t="str">
        <f>IFERROR(__xludf.DUMMYFUNCTION("FILTER('CLASFICACIÓN'!$F$3:$F5618,'CLASFICACIÓN'!$G$3:$G5618=M2566)"),"LOS 3 AÑOS")</f>
        <v>LOS 3 AÑOS</v>
      </c>
      <c r="K2566" s="16"/>
      <c r="L2566" s="14" t="s">
        <v>146</v>
      </c>
      <c r="M2566" s="16" t="str">
        <f t="shared" si="1"/>
        <v>50492 CORAZON DE JESUS6 Primaria</v>
      </c>
      <c r="N2566" s="17"/>
      <c r="O2566" s="17"/>
      <c r="P2566" s="17"/>
      <c r="Q2566" s="17"/>
      <c r="R2566" s="17"/>
      <c r="S2566" s="17"/>
      <c r="T2566" s="17"/>
    </row>
    <row r="2567">
      <c r="A2567" s="21">
        <v>1370.0</v>
      </c>
      <c r="B2567" s="20" t="s">
        <v>90</v>
      </c>
      <c r="C2567" s="20" t="s">
        <v>14</v>
      </c>
      <c r="D2567" s="20" t="s">
        <v>22</v>
      </c>
      <c r="E2567" s="12" t="str">
        <f>IFERROR(__xludf.DUMMYFUNCTION("FILTER(colegios!$B$2:$B5618,colegios!$A$2:$A5618=L2567)"),"50492 CORAZON DE JESUS")</f>
        <v>50492 CORAZON DE JESUS</v>
      </c>
      <c r="F2567" s="14" t="s">
        <v>16</v>
      </c>
      <c r="G2567" s="20" t="s">
        <v>21</v>
      </c>
      <c r="H2567" s="14" t="s">
        <v>24</v>
      </c>
      <c r="I2567" s="22">
        <v>2023.0</v>
      </c>
      <c r="J2567" s="16" t="str">
        <f>IFERROR(__xludf.DUMMYFUNCTION("FILTER('CLASFICACIÓN'!$F$3:$F5618,'CLASFICACIÓN'!$G$3:$G5618=M2567)"),"LOS 3 AÑOS")</f>
        <v>LOS 3 AÑOS</v>
      </c>
      <c r="K2567" s="16"/>
      <c r="L2567" s="14" t="s">
        <v>146</v>
      </c>
      <c r="M2567" s="16" t="str">
        <f t="shared" si="1"/>
        <v>50492 CORAZON DE JESUS6 Primaria</v>
      </c>
      <c r="N2567" s="17"/>
      <c r="O2567" s="17"/>
      <c r="P2567" s="17"/>
      <c r="Q2567" s="17"/>
      <c r="R2567" s="17"/>
      <c r="S2567" s="17"/>
      <c r="T2567" s="17"/>
    </row>
    <row r="2568">
      <c r="A2568" s="21">
        <v>1371.0</v>
      </c>
      <c r="B2568" s="20" t="s">
        <v>90</v>
      </c>
      <c r="C2568" s="20" t="s">
        <v>14</v>
      </c>
      <c r="D2568" s="20" t="s">
        <v>22</v>
      </c>
      <c r="E2568" s="12" t="str">
        <f>IFERROR(__xludf.DUMMYFUNCTION("FILTER(colegios!$B$2:$B5618,colegios!$A$2:$A5618=L2568)"),"50492 CORAZON DE JESUS")</f>
        <v>50492 CORAZON DE JESUS</v>
      </c>
      <c r="F2568" s="14" t="s">
        <v>16</v>
      </c>
      <c r="G2568" s="20" t="s">
        <v>17</v>
      </c>
      <c r="H2568" s="14" t="s">
        <v>24</v>
      </c>
      <c r="I2568" s="22">
        <v>2023.0</v>
      </c>
      <c r="J2568" s="16" t="str">
        <f>IFERROR(__xludf.DUMMYFUNCTION("FILTER('CLASFICACIÓN'!$F$3:$F5618,'CLASFICACIÓN'!$G$3:$G5618=M2568)"),"LOS 3 AÑOS")</f>
        <v>LOS 3 AÑOS</v>
      </c>
      <c r="K2568" s="16"/>
      <c r="L2568" s="14" t="s">
        <v>146</v>
      </c>
      <c r="M2568" s="16" t="str">
        <f t="shared" si="1"/>
        <v>50492 CORAZON DE JESUS6 Primaria</v>
      </c>
      <c r="N2568" s="17"/>
      <c r="O2568" s="17"/>
      <c r="P2568" s="17"/>
      <c r="Q2568" s="17"/>
      <c r="R2568" s="17"/>
      <c r="S2568" s="17"/>
      <c r="T2568" s="17"/>
    </row>
    <row r="2569">
      <c r="A2569" s="21">
        <v>1372.0</v>
      </c>
      <c r="B2569" s="20" t="s">
        <v>90</v>
      </c>
      <c r="C2569" s="20" t="s">
        <v>14</v>
      </c>
      <c r="D2569" s="20" t="s">
        <v>22</v>
      </c>
      <c r="E2569" s="12" t="str">
        <f>IFERROR(__xludf.DUMMYFUNCTION("FILTER(colegios!$B$2:$B5618,colegios!$A$2:$A5618=L2569)"),"50492 CORAZON DE JESUS")</f>
        <v>50492 CORAZON DE JESUS</v>
      </c>
      <c r="F2569" s="14" t="s">
        <v>16</v>
      </c>
      <c r="G2569" s="20" t="s">
        <v>21</v>
      </c>
      <c r="H2569" s="14" t="s">
        <v>32</v>
      </c>
      <c r="I2569" s="22">
        <v>2023.0</v>
      </c>
      <c r="J2569" s="16" t="str">
        <f>IFERROR(__xludf.DUMMYFUNCTION("FILTER('CLASFICACIÓN'!$F$3:$F5618,'CLASFICACIÓN'!$G$3:$G5618=M2569)"),"LOS 3 AÑOS")</f>
        <v>LOS 3 AÑOS</v>
      </c>
      <c r="K2569" s="16"/>
      <c r="L2569" s="14" t="s">
        <v>146</v>
      </c>
      <c r="M2569" s="16" t="str">
        <f t="shared" si="1"/>
        <v>50492 CORAZON DE JESUS6 Primaria</v>
      </c>
      <c r="N2569" s="17"/>
      <c r="O2569" s="17"/>
      <c r="P2569" s="17"/>
      <c r="Q2569" s="17"/>
      <c r="R2569" s="17"/>
      <c r="S2569" s="17"/>
      <c r="T2569" s="17"/>
    </row>
    <row r="2570">
      <c r="A2570" s="21">
        <v>1373.0</v>
      </c>
      <c r="B2570" s="20" t="s">
        <v>90</v>
      </c>
      <c r="C2570" s="20" t="s">
        <v>14</v>
      </c>
      <c r="D2570" s="20" t="s">
        <v>22</v>
      </c>
      <c r="E2570" s="12" t="str">
        <f>IFERROR(__xludf.DUMMYFUNCTION("FILTER(colegios!$B$2:$B5618,colegios!$A$2:$A5618=L2570)"),"50492 CORAZON DE JESUS")</f>
        <v>50492 CORAZON DE JESUS</v>
      </c>
      <c r="F2570" s="14" t="s">
        <v>16</v>
      </c>
      <c r="G2570" s="20" t="s">
        <v>17</v>
      </c>
      <c r="H2570" s="14" t="s">
        <v>24</v>
      </c>
      <c r="I2570" s="22">
        <v>2023.0</v>
      </c>
      <c r="J2570" s="16" t="str">
        <f>IFERROR(__xludf.DUMMYFUNCTION("FILTER('CLASFICACIÓN'!$F$3:$F5618,'CLASFICACIÓN'!$G$3:$G5618=M2570)"),"LOS 3 AÑOS")</f>
        <v>LOS 3 AÑOS</v>
      </c>
      <c r="K2570" s="16"/>
      <c r="L2570" s="14" t="s">
        <v>146</v>
      </c>
      <c r="M2570" s="16" t="str">
        <f t="shared" si="1"/>
        <v>50492 CORAZON DE JESUS6 Primaria</v>
      </c>
      <c r="N2570" s="17"/>
      <c r="O2570" s="17"/>
      <c r="P2570" s="17"/>
      <c r="Q2570" s="17"/>
      <c r="R2570" s="17"/>
      <c r="S2570" s="17"/>
      <c r="T2570" s="17"/>
    </row>
    <row r="2571">
      <c r="A2571" s="21">
        <v>1374.0</v>
      </c>
      <c r="B2571" s="20" t="s">
        <v>90</v>
      </c>
      <c r="C2571" s="20" t="s">
        <v>14</v>
      </c>
      <c r="D2571" s="20" t="s">
        <v>22</v>
      </c>
      <c r="E2571" s="12" t="str">
        <f>IFERROR(__xludf.DUMMYFUNCTION("FILTER(colegios!$B$2:$B5618,colegios!$A$2:$A5618=L2571)"),"50492 CORAZON DE JESUS")</f>
        <v>50492 CORAZON DE JESUS</v>
      </c>
      <c r="F2571" s="14" t="s">
        <v>16</v>
      </c>
      <c r="G2571" s="20" t="s">
        <v>21</v>
      </c>
      <c r="H2571" s="14" t="s">
        <v>32</v>
      </c>
      <c r="I2571" s="22">
        <v>2023.0</v>
      </c>
      <c r="J2571" s="16" t="str">
        <f>IFERROR(__xludf.DUMMYFUNCTION("FILTER('CLASFICACIÓN'!$F$3:$F5618,'CLASFICACIÓN'!$G$3:$G5618=M2571)"),"LOS 3 AÑOS")</f>
        <v>LOS 3 AÑOS</v>
      </c>
      <c r="K2571" s="16"/>
      <c r="L2571" s="14" t="s">
        <v>146</v>
      </c>
      <c r="M2571" s="16" t="str">
        <f t="shared" si="1"/>
        <v>50492 CORAZON DE JESUS6 Primaria</v>
      </c>
      <c r="N2571" s="17"/>
      <c r="O2571" s="17"/>
      <c r="P2571" s="17"/>
      <c r="Q2571" s="17"/>
      <c r="R2571" s="17"/>
      <c r="S2571" s="17"/>
      <c r="T2571" s="17"/>
    </row>
    <row r="2572">
      <c r="A2572" s="21">
        <v>1375.0</v>
      </c>
      <c r="B2572" s="20" t="s">
        <v>90</v>
      </c>
      <c r="C2572" s="20" t="s">
        <v>14</v>
      </c>
      <c r="D2572" s="20" t="s">
        <v>22</v>
      </c>
      <c r="E2572" s="12" t="str">
        <f>IFERROR(__xludf.DUMMYFUNCTION("FILTER(colegios!$B$2:$B5618,colegios!$A$2:$A5618=L2572)"),"50492 CORAZON DE JESUS")</f>
        <v>50492 CORAZON DE JESUS</v>
      </c>
      <c r="F2572" s="14" t="s">
        <v>16</v>
      </c>
      <c r="G2572" s="20" t="s">
        <v>21</v>
      </c>
      <c r="H2572" s="14" t="s">
        <v>24</v>
      </c>
      <c r="I2572" s="22">
        <v>2023.0</v>
      </c>
      <c r="J2572" s="16" t="str">
        <f>IFERROR(__xludf.DUMMYFUNCTION("FILTER('CLASFICACIÓN'!$F$3:$F5618,'CLASFICACIÓN'!$G$3:$G5618=M2572)"),"LOS 3 AÑOS")</f>
        <v>LOS 3 AÑOS</v>
      </c>
      <c r="K2572" s="16"/>
      <c r="L2572" s="14" t="s">
        <v>146</v>
      </c>
      <c r="M2572" s="16" t="str">
        <f t="shared" si="1"/>
        <v>50492 CORAZON DE JESUS6 Primaria</v>
      </c>
      <c r="N2572" s="17"/>
      <c r="O2572" s="17"/>
      <c r="P2572" s="17"/>
      <c r="Q2572" s="17"/>
      <c r="R2572" s="17"/>
      <c r="S2572" s="17"/>
      <c r="T2572" s="17"/>
    </row>
    <row r="2573">
      <c r="A2573" s="21">
        <v>1376.0</v>
      </c>
      <c r="B2573" s="20" t="s">
        <v>90</v>
      </c>
      <c r="C2573" s="20" t="s">
        <v>14</v>
      </c>
      <c r="D2573" s="20" t="s">
        <v>22</v>
      </c>
      <c r="E2573" s="12" t="str">
        <f>IFERROR(__xludf.DUMMYFUNCTION("FILTER(colegios!$B$2:$B5618,colegios!$A$2:$A5618=L2573)"),"50492 CORAZON DE JESUS")</f>
        <v>50492 CORAZON DE JESUS</v>
      </c>
      <c r="F2573" s="14" t="s">
        <v>16</v>
      </c>
      <c r="G2573" s="20" t="s">
        <v>17</v>
      </c>
      <c r="H2573" s="14" t="s">
        <v>18</v>
      </c>
      <c r="I2573" s="22">
        <v>2023.0</v>
      </c>
      <c r="J2573" s="16" t="str">
        <f>IFERROR(__xludf.DUMMYFUNCTION("FILTER('CLASFICACIÓN'!$F$3:$F5618,'CLASFICACIÓN'!$G$3:$G5618=M2573)"),"LOS 3 AÑOS")</f>
        <v>LOS 3 AÑOS</v>
      </c>
      <c r="K2573" s="16"/>
      <c r="L2573" s="14" t="s">
        <v>146</v>
      </c>
      <c r="M2573" s="16" t="str">
        <f t="shared" si="1"/>
        <v>50492 CORAZON DE JESUS6 Primaria</v>
      </c>
      <c r="N2573" s="17"/>
      <c r="O2573" s="17"/>
      <c r="P2573" s="17"/>
      <c r="Q2573" s="17"/>
      <c r="R2573" s="17"/>
      <c r="S2573" s="17"/>
      <c r="T2573" s="17"/>
    </row>
    <row r="2574">
      <c r="A2574" s="21">
        <v>1377.0</v>
      </c>
      <c r="B2574" s="20" t="s">
        <v>90</v>
      </c>
      <c r="C2574" s="20" t="s">
        <v>14</v>
      </c>
      <c r="D2574" s="20" t="s">
        <v>22</v>
      </c>
      <c r="E2574" s="12" t="str">
        <f>IFERROR(__xludf.DUMMYFUNCTION("FILTER(colegios!$B$2:$B5618,colegios!$A$2:$A5618=L2574)"),"50492 CORAZON DE JESUS")</f>
        <v>50492 CORAZON DE JESUS</v>
      </c>
      <c r="F2574" s="14" t="s">
        <v>16</v>
      </c>
      <c r="G2574" s="20" t="s">
        <v>21</v>
      </c>
      <c r="H2574" s="14" t="s">
        <v>24</v>
      </c>
      <c r="I2574" s="22">
        <v>2023.0</v>
      </c>
      <c r="J2574" s="16" t="str">
        <f>IFERROR(__xludf.DUMMYFUNCTION("FILTER('CLASFICACIÓN'!$F$3:$F5618,'CLASFICACIÓN'!$G$3:$G5618=M2574)"),"LOS 3 AÑOS")</f>
        <v>LOS 3 AÑOS</v>
      </c>
      <c r="K2574" s="16"/>
      <c r="L2574" s="14" t="s">
        <v>146</v>
      </c>
      <c r="M2574" s="16" t="str">
        <f t="shared" si="1"/>
        <v>50492 CORAZON DE JESUS6 Primaria</v>
      </c>
      <c r="N2574" s="17"/>
      <c r="O2574" s="17"/>
      <c r="P2574" s="17"/>
      <c r="Q2574" s="17"/>
      <c r="R2574" s="17"/>
      <c r="S2574" s="17"/>
      <c r="T2574" s="17"/>
    </row>
    <row r="2575">
      <c r="A2575" s="21">
        <v>1378.0</v>
      </c>
      <c r="B2575" s="20" t="s">
        <v>90</v>
      </c>
      <c r="C2575" s="20" t="s">
        <v>14</v>
      </c>
      <c r="D2575" s="20" t="s">
        <v>22</v>
      </c>
      <c r="E2575" s="12" t="str">
        <f>IFERROR(__xludf.DUMMYFUNCTION("FILTER(colegios!$B$2:$B5618,colegios!$A$2:$A5618=L2575)"),"50492 CORAZON DE JESUS")</f>
        <v>50492 CORAZON DE JESUS</v>
      </c>
      <c r="F2575" s="14" t="s">
        <v>16</v>
      </c>
      <c r="G2575" s="20" t="s">
        <v>21</v>
      </c>
      <c r="H2575" s="14" t="s">
        <v>32</v>
      </c>
      <c r="I2575" s="22">
        <v>2023.0</v>
      </c>
      <c r="J2575" s="16" t="str">
        <f>IFERROR(__xludf.DUMMYFUNCTION("FILTER('CLASFICACIÓN'!$F$3:$F5618,'CLASFICACIÓN'!$G$3:$G5618=M2575)"),"LOS 3 AÑOS")</f>
        <v>LOS 3 AÑOS</v>
      </c>
      <c r="K2575" s="16"/>
      <c r="L2575" s="14" t="s">
        <v>146</v>
      </c>
      <c r="M2575" s="16" t="str">
        <f t="shared" si="1"/>
        <v>50492 CORAZON DE JESUS6 Primaria</v>
      </c>
      <c r="N2575" s="17"/>
      <c r="O2575" s="17"/>
      <c r="P2575" s="17"/>
      <c r="Q2575" s="17"/>
      <c r="R2575" s="17"/>
      <c r="S2575" s="17"/>
      <c r="T2575" s="17"/>
    </row>
    <row r="2576">
      <c r="A2576" s="21">
        <v>1379.0</v>
      </c>
      <c r="B2576" s="20" t="s">
        <v>90</v>
      </c>
      <c r="C2576" s="20" t="s">
        <v>14</v>
      </c>
      <c r="D2576" s="20" t="s">
        <v>22</v>
      </c>
      <c r="E2576" s="12" t="str">
        <f>IFERROR(__xludf.DUMMYFUNCTION("FILTER(colegios!$B$2:$B5618,colegios!$A$2:$A5618=L2576)"),"50492 CORAZON DE JESUS")</f>
        <v>50492 CORAZON DE JESUS</v>
      </c>
      <c r="F2576" s="14" t="s">
        <v>16</v>
      </c>
      <c r="G2576" s="20" t="s">
        <v>21</v>
      </c>
      <c r="H2576" s="14" t="s">
        <v>18</v>
      </c>
      <c r="I2576" s="22">
        <v>2023.0</v>
      </c>
      <c r="J2576" s="16" t="str">
        <f>IFERROR(__xludf.DUMMYFUNCTION("FILTER('CLASFICACIÓN'!$F$3:$F5618,'CLASFICACIÓN'!$G$3:$G5618=M2576)"),"LOS 3 AÑOS")</f>
        <v>LOS 3 AÑOS</v>
      </c>
      <c r="K2576" s="16"/>
      <c r="L2576" s="14" t="s">
        <v>146</v>
      </c>
      <c r="M2576" s="16" t="str">
        <f t="shared" si="1"/>
        <v>50492 CORAZON DE JESUS6 Primaria</v>
      </c>
      <c r="N2576" s="17"/>
      <c r="O2576" s="17"/>
      <c r="P2576" s="17"/>
      <c r="Q2576" s="17"/>
      <c r="R2576" s="17"/>
      <c r="S2576" s="17"/>
      <c r="T2576" s="17"/>
    </row>
    <row r="2577">
      <c r="A2577" s="21">
        <v>1380.0</v>
      </c>
      <c r="B2577" s="20" t="s">
        <v>90</v>
      </c>
      <c r="C2577" s="20" t="s">
        <v>14</v>
      </c>
      <c r="D2577" s="20" t="s">
        <v>22</v>
      </c>
      <c r="E2577" s="12" t="str">
        <f>IFERROR(__xludf.DUMMYFUNCTION("FILTER(colegios!$B$2:$B5618,colegios!$A$2:$A5618=L2577)"),"50492 CORAZON DE JESUS")</f>
        <v>50492 CORAZON DE JESUS</v>
      </c>
      <c r="F2577" s="14" t="s">
        <v>16</v>
      </c>
      <c r="G2577" s="20" t="s">
        <v>17</v>
      </c>
      <c r="H2577" s="14" t="s">
        <v>18</v>
      </c>
      <c r="I2577" s="22">
        <v>2023.0</v>
      </c>
      <c r="J2577" s="16" t="str">
        <f>IFERROR(__xludf.DUMMYFUNCTION("FILTER('CLASFICACIÓN'!$F$3:$F5618,'CLASFICACIÓN'!$G$3:$G5618=M2577)"),"LOS 3 AÑOS")</f>
        <v>LOS 3 AÑOS</v>
      </c>
      <c r="K2577" s="16"/>
      <c r="L2577" s="14" t="s">
        <v>146</v>
      </c>
      <c r="M2577" s="16" t="str">
        <f t="shared" si="1"/>
        <v>50492 CORAZON DE JESUS6 Primaria</v>
      </c>
      <c r="N2577" s="17"/>
      <c r="O2577" s="17"/>
      <c r="P2577" s="17"/>
      <c r="Q2577" s="17"/>
      <c r="R2577" s="17"/>
      <c r="S2577" s="17"/>
      <c r="T2577" s="17"/>
    </row>
    <row r="2578">
      <c r="A2578" s="21">
        <v>1381.0</v>
      </c>
      <c r="B2578" s="20" t="s">
        <v>90</v>
      </c>
      <c r="C2578" s="20" t="s">
        <v>14</v>
      </c>
      <c r="D2578" s="20" t="s">
        <v>22</v>
      </c>
      <c r="E2578" s="12" t="str">
        <f>IFERROR(__xludf.DUMMYFUNCTION("FILTER(colegios!$B$2:$B5618,colegios!$A$2:$A5618=L2578)"),"50492 CORAZON DE JESUS")</f>
        <v>50492 CORAZON DE JESUS</v>
      </c>
      <c r="F2578" s="14" t="s">
        <v>16</v>
      </c>
      <c r="G2578" s="20" t="s">
        <v>17</v>
      </c>
      <c r="H2578" s="14" t="s">
        <v>24</v>
      </c>
      <c r="I2578" s="22">
        <v>2023.0</v>
      </c>
      <c r="J2578" s="16" t="str">
        <f>IFERROR(__xludf.DUMMYFUNCTION("FILTER('CLASFICACIÓN'!$F$3:$F5618,'CLASFICACIÓN'!$G$3:$G5618=M2578)"),"LOS 3 AÑOS")</f>
        <v>LOS 3 AÑOS</v>
      </c>
      <c r="K2578" s="16"/>
      <c r="L2578" s="14" t="s">
        <v>146</v>
      </c>
      <c r="M2578" s="16" t="str">
        <f t="shared" si="1"/>
        <v>50492 CORAZON DE JESUS6 Primaria</v>
      </c>
      <c r="N2578" s="17"/>
      <c r="O2578" s="17"/>
      <c r="P2578" s="17"/>
      <c r="Q2578" s="17"/>
      <c r="R2578" s="17"/>
      <c r="S2578" s="17"/>
      <c r="T2578" s="17"/>
    </row>
    <row r="2579">
      <c r="A2579" s="21">
        <v>1382.0</v>
      </c>
      <c r="B2579" s="20" t="s">
        <v>90</v>
      </c>
      <c r="C2579" s="20" t="s">
        <v>14</v>
      </c>
      <c r="D2579" s="20" t="s">
        <v>22</v>
      </c>
      <c r="E2579" s="12" t="str">
        <f>IFERROR(__xludf.DUMMYFUNCTION("FILTER(colegios!$B$2:$B5618,colegios!$A$2:$A5618=L2579)"),"50492 CORAZON DE JESUS")</f>
        <v>50492 CORAZON DE JESUS</v>
      </c>
      <c r="F2579" s="14" t="s">
        <v>16</v>
      </c>
      <c r="G2579" s="20" t="s">
        <v>17</v>
      </c>
      <c r="H2579" s="14" t="s">
        <v>18</v>
      </c>
      <c r="I2579" s="22">
        <v>2023.0</v>
      </c>
      <c r="J2579" s="16" t="str">
        <f>IFERROR(__xludf.DUMMYFUNCTION("FILTER('CLASFICACIÓN'!$F$3:$F5618,'CLASFICACIÓN'!$G$3:$G5618=M2579)"),"LOS 3 AÑOS")</f>
        <v>LOS 3 AÑOS</v>
      </c>
      <c r="K2579" s="16"/>
      <c r="L2579" s="14" t="s">
        <v>146</v>
      </c>
      <c r="M2579" s="16" t="str">
        <f t="shared" si="1"/>
        <v>50492 CORAZON DE JESUS6 Primaria</v>
      </c>
      <c r="N2579" s="17"/>
      <c r="O2579" s="17"/>
      <c r="P2579" s="17"/>
      <c r="Q2579" s="17"/>
      <c r="R2579" s="17"/>
      <c r="S2579" s="17"/>
      <c r="T2579" s="17"/>
    </row>
    <row r="2580">
      <c r="A2580" s="21">
        <v>1383.0</v>
      </c>
      <c r="B2580" s="20" t="s">
        <v>90</v>
      </c>
      <c r="C2580" s="20" t="s">
        <v>14</v>
      </c>
      <c r="D2580" s="20" t="s">
        <v>22</v>
      </c>
      <c r="E2580" s="12" t="str">
        <f>IFERROR(__xludf.DUMMYFUNCTION("FILTER(colegios!$B$2:$B5618,colegios!$A$2:$A5618=L2580)"),"50492 CORAZON DE JESUS")</f>
        <v>50492 CORAZON DE JESUS</v>
      </c>
      <c r="F2580" s="14" t="s">
        <v>16</v>
      </c>
      <c r="G2580" s="20" t="s">
        <v>17</v>
      </c>
      <c r="H2580" s="14" t="s">
        <v>18</v>
      </c>
      <c r="I2580" s="22">
        <v>2023.0</v>
      </c>
      <c r="J2580" s="16" t="str">
        <f>IFERROR(__xludf.DUMMYFUNCTION("FILTER('CLASFICACIÓN'!$F$3:$F5618,'CLASFICACIÓN'!$G$3:$G5618=M2580)"),"LOS 3 AÑOS")</f>
        <v>LOS 3 AÑOS</v>
      </c>
      <c r="K2580" s="16"/>
      <c r="L2580" s="14" t="s">
        <v>146</v>
      </c>
      <c r="M2580" s="16" t="str">
        <f t="shared" si="1"/>
        <v>50492 CORAZON DE JESUS6 Primaria</v>
      </c>
      <c r="N2580" s="17"/>
      <c r="O2580" s="17"/>
      <c r="P2580" s="17"/>
      <c r="Q2580" s="17"/>
      <c r="R2580" s="17"/>
      <c r="S2580" s="17"/>
      <c r="T2580" s="17"/>
    </row>
    <row r="2581">
      <c r="A2581" s="21">
        <v>1384.0</v>
      </c>
      <c r="B2581" s="20" t="s">
        <v>90</v>
      </c>
      <c r="C2581" s="20" t="s">
        <v>14</v>
      </c>
      <c r="D2581" s="20" t="s">
        <v>22</v>
      </c>
      <c r="E2581" s="12" t="str">
        <f>IFERROR(__xludf.DUMMYFUNCTION("FILTER(colegios!$B$2:$B5618,colegios!$A$2:$A5618=L2581)"),"50492 CORAZON DE JESUS")</f>
        <v>50492 CORAZON DE JESUS</v>
      </c>
      <c r="F2581" s="14" t="s">
        <v>16</v>
      </c>
      <c r="G2581" s="20" t="s">
        <v>17</v>
      </c>
      <c r="H2581" s="14" t="s">
        <v>18</v>
      </c>
      <c r="I2581" s="22">
        <v>2023.0</v>
      </c>
      <c r="J2581" s="16" t="str">
        <f>IFERROR(__xludf.DUMMYFUNCTION("FILTER('CLASFICACIÓN'!$F$3:$F5618,'CLASFICACIÓN'!$G$3:$G5618=M2581)"),"LOS 3 AÑOS")</f>
        <v>LOS 3 AÑOS</v>
      </c>
      <c r="K2581" s="16"/>
      <c r="L2581" s="14" t="s">
        <v>146</v>
      </c>
      <c r="M2581" s="16" t="str">
        <f t="shared" si="1"/>
        <v>50492 CORAZON DE JESUS6 Primaria</v>
      </c>
      <c r="N2581" s="17"/>
      <c r="O2581" s="17"/>
      <c r="P2581" s="17"/>
      <c r="Q2581" s="17"/>
      <c r="R2581" s="17"/>
      <c r="S2581" s="17"/>
      <c r="T2581" s="17"/>
    </row>
    <row r="2582">
      <c r="A2582" s="21">
        <v>1385.0</v>
      </c>
      <c r="B2582" s="20" t="s">
        <v>90</v>
      </c>
      <c r="C2582" s="20" t="s">
        <v>14</v>
      </c>
      <c r="D2582" s="20" t="s">
        <v>22</v>
      </c>
      <c r="E2582" s="12" t="str">
        <f>IFERROR(__xludf.DUMMYFUNCTION("FILTER(colegios!$B$2:$B5618,colegios!$A$2:$A5618=L2582)"),"50492 CORAZON DE JESUS")</f>
        <v>50492 CORAZON DE JESUS</v>
      </c>
      <c r="F2582" s="14" t="s">
        <v>16</v>
      </c>
      <c r="G2582" s="20" t="s">
        <v>17</v>
      </c>
      <c r="H2582" s="14" t="s">
        <v>18</v>
      </c>
      <c r="I2582" s="22">
        <v>2023.0</v>
      </c>
      <c r="J2582" s="16" t="str">
        <f>IFERROR(__xludf.DUMMYFUNCTION("FILTER('CLASFICACIÓN'!$F$3:$F5618,'CLASFICACIÓN'!$G$3:$G5618=M2582)"),"LOS 3 AÑOS")</f>
        <v>LOS 3 AÑOS</v>
      </c>
      <c r="K2582" s="16"/>
      <c r="L2582" s="14" t="s">
        <v>146</v>
      </c>
      <c r="M2582" s="16" t="str">
        <f t="shared" si="1"/>
        <v>50492 CORAZON DE JESUS6 Primaria</v>
      </c>
      <c r="N2582" s="17"/>
      <c r="O2582" s="17"/>
      <c r="P2582" s="17"/>
      <c r="Q2582" s="17"/>
      <c r="R2582" s="17"/>
      <c r="S2582" s="17"/>
      <c r="T2582" s="17"/>
    </row>
    <row r="2583">
      <c r="A2583" s="21">
        <v>1386.0</v>
      </c>
      <c r="B2583" s="20" t="s">
        <v>90</v>
      </c>
      <c r="C2583" s="20" t="s">
        <v>14</v>
      </c>
      <c r="D2583" s="20" t="s">
        <v>22</v>
      </c>
      <c r="E2583" s="12" t="str">
        <f>IFERROR(__xludf.DUMMYFUNCTION("FILTER(colegios!$B$2:$B5618,colegios!$A$2:$A5618=L2583)"),"50492 CORAZON DE JESUS")</f>
        <v>50492 CORAZON DE JESUS</v>
      </c>
      <c r="F2583" s="14" t="s">
        <v>16</v>
      </c>
      <c r="G2583" s="20" t="s">
        <v>17</v>
      </c>
      <c r="H2583" s="14" t="s">
        <v>24</v>
      </c>
      <c r="I2583" s="22">
        <v>2023.0</v>
      </c>
      <c r="J2583" s="16" t="str">
        <f>IFERROR(__xludf.DUMMYFUNCTION("FILTER('CLASFICACIÓN'!$F$3:$F5618,'CLASFICACIÓN'!$G$3:$G5618=M2583)"),"LOS 3 AÑOS")</f>
        <v>LOS 3 AÑOS</v>
      </c>
      <c r="K2583" s="16"/>
      <c r="L2583" s="14" t="s">
        <v>146</v>
      </c>
      <c r="M2583" s="16" t="str">
        <f t="shared" si="1"/>
        <v>50492 CORAZON DE JESUS6 Primaria</v>
      </c>
      <c r="N2583" s="17"/>
      <c r="O2583" s="17"/>
      <c r="P2583" s="17"/>
      <c r="Q2583" s="17"/>
      <c r="R2583" s="17"/>
      <c r="S2583" s="17"/>
      <c r="T2583" s="17"/>
    </row>
    <row r="2584">
      <c r="A2584" s="21">
        <v>1387.0</v>
      </c>
      <c r="B2584" s="20" t="s">
        <v>90</v>
      </c>
      <c r="C2584" s="20" t="s">
        <v>14</v>
      </c>
      <c r="D2584" s="20" t="s">
        <v>22</v>
      </c>
      <c r="E2584" s="12" t="str">
        <f>IFERROR(__xludf.DUMMYFUNCTION("FILTER(colegios!$B$2:$B5618,colegios!$A$2:$A5618=L2584)"),"50492 CORAZON DE JESUS")</f>
        <v>50492 CORAZON DE JESUS</v>
      </c>
      <c r="F2584" s="14" t="s">
        <v>16</v>
      </c>
      <c r="G2584" s="20" t="s">
        <v>17</v>
      </c>
      <c r="H2584" s="14" t="s">
        <v>24</v>
      </c>
      <c r="I2584" s="22">
        <v>2023.0</v>
      </c>
      <c r="J2584" s="16" t="str">
        <f>IFERROR(__xludf.DUMMYFUNCTION("FILTER('CLASFICACIÓN'!$F$3:$F5618,'CLASFICACIÓN'!$G$3:$G5618=M2584)"),"LOS 3 AÑOS")</f>
        <v>LOS 3 AÑOS</v>
      </c>
      <c r="K2584" s="16"/>
      <c r="L2584" s="14" t="s">
        <v>146</v>
      </c>
      <c r="M2584" s="16" t="str">
        <f t="shared" si="1"/>
        <v>50492 CORAZON DE JESUS6 Primaria</v>
      </c>
      <c r="N2584" s="17"/>
      <c r="O2584" s="17"/>
      <c r="P2584" s="17"/>
      <c r="Q2584" s="17"/>
      <c r="R2584" s="17"/>
      <c r="S2584" s="17"/>
      <c r="T2584" s="17"/>
    </row>
    <row r="2585">
      <c r="A2585" s="21">
        <v>1388.0</v>
      </c>
      <c r="B2585" s="20" t="s">
        <v>90</v>
      </c>
      <c r="C2585" s="20" t="s">
        <v>14</v>
      </c>
      <c r="D2585" s="20" t="s">
        <v>22</v>
      </c>
      <c r="E2585" s="12" t="str">
        <f>IFERROR(__xludf.DUMMYFUNCTION("FILTER(colegios!$B$2:$B5618,colegios!$A$2:$A5618=L2585)"),"50492 CORAZON DE JESUS")</f>
        <v>50492 CORAZON DE JESUS</v>
      </c>
      <c r="F2585" s="14" t="s">
        <v>16</v>
      </c>
      <c r="G2585" s="20" t="s">
        <v>21</v>
      </c>
      <c r="H2585" s="14" t="s">
        <v>18</v>
      </c>
      <c r="I2585" s="22">
        <v>2023.0</v>
      </c>
      <c r="J2585" s="16" t="str">
        <f>IFERROR(__xludf.DUMMYFUNCTION("FILTER('CLASFICACIÓN'!$F$3:$F5618,'CLASFICACIÓN'!$G$3:$G5618=M2585)"),"LOS 3 AÑOS")</f>
        <v>LOS 3 AÑOS</v>
      </c>
      <c r="K2585" s="16"/>
      <c r="L2585" s="14" t="s">
        <v>146</v>
      </c>
      <c r="M2585" s="16" t="str">
        <f t="shared" si="1"/>
        <v>50492 CORAZON DE JESUS6 Primaria</v>
      </c>
      <c r="N2585" s="17"/>
      <c r="O2585" s="17"/>
      <c r="P2585" s="17"/>
      <c r="Q2585" s="17"/>
      <c r="R2585" s="17"/>
      <c r="S2585" s="17"/>
      <c r="T2585" s="17"/>
    </row>
    <row r="2586">
      <c r="A2586" s="21">
        <v>1389.0</v>
      </c>
      <c r="B2586" s="20" t="s">
        <v>90</v>
      </c>
      <c r="C2586" s="20" t="s">
        <v>14</v>
      </c>
      <c r="D2586" s="20" t="s">
        <v>22</v>
      </c>
      <c r="E2586" s="12" t="str">
        <f>IFERROR(__xludf.DUMMYFUNCTION("FILTER(colegios!$B$2:$B5618,colegios!$A$2:$A5618=L2586)"),"50492 CORAZON DE JESUS")</f>
        <v>50492 CORAZON DE JESUS</v>
      </c>
      <c r="F2586" s="14" t="s">
        <v>16</v>
      </c>
      <c r="G2586" s="20" t="s">
        <v>17</v>
      </c>
      <c r="H2586" s="14" t="s">
        <v>18</v>
      </c>
      <c r="I2586" s="22">
        <v>2023.0</v>
      </c>
      <c r="J2586" s="16" t="str">
        <f>IFERROR(__xludf.DUMMYFUNCTION("FILTER('CLASFICACIÓN'!$F$3:$F5618,'CLASFICACIÓN'!$G$3:$G5618=M2586)"),"LOS 3 AÑOS")</f>
        <v>LOS 3 AÑOS</v>
      </c>
      <c r="K2586" s="16"/>
      <c r="L2586" s="14" t="s">
        <v>146</v>
      </c>
      <c r="M2586" s="16" t="str">
        <f t="shared" si="1"/>
        <v>50492 CORAZON DE JESUS6 Primaria</v>
      </c>
      <c r="N2586" s="17"/>
      <c r="O2586" s="17"/>
      <c r="P2586" s="17"/>
      <c r="Q2586" s="17"/>
      <c r="R2586" s="17"/>
      <c r="S2586" s="17"/>
      <c r="T2586" s="17"/>
    </row>
    <row r="2587">
      <c r="A2587" s="21">
        <v>1390.0</v>
      </c>
      <c r="B2587" s="20" t="s">
        <v>90</v>
      </c>
      <c r="C2587" s="20" t="s">
        <v>14</v>
      </c>
      <c r="D2587" s="20" t="s">
        <v>22</v>
      </c>
      <c r="E2587" s="12" t="str">
        <f>IFERROR(__xludf.DUMMYFUNCTION("FILTER(colegios!$B$2:$B5618,colegios!$A$2:$A5618=L2587)"),"50492 CORAZON DE JESUS")</f>
        <v>50492 CORAZON DE JESUS</v>
      </c>
      <c r="F2587" s="14" t="s">
        <v>16</v>
      </c>
      <c r="G2587" s="20" t="s">
        <v>21</v>
      </c>
      <c r="H2587" s="14" t="s">
        <v>24</v>
      </c>
      <c r="I2587" s="22">
        <v>2023.0</v>
      </c>
      <c r="J2587" s="16" t="str">
        <f>IFERROR(__xludf.DUMMYFUNCTION("FILTER('CLASFICACIÓN'!$F$3:$F5618,'CLASFICACIÓN'!$G$3:$G5618=M2587)"),"LOS 3 AÑOS")</f>
        <v>LOS 3 AÑOS</v>
      </c>
      <c r="K2587" s="16"/>
      <c r="L2587" s="14" t="s">
        <v>146</v>
      </c>
      <c r="M2587" s="16" t="str">
        <f t="shared" si="1"/>
        <v>50492 CORAZON DE JESUS6 Primaria</v>
      </c>
      <c r="N2587" s="17"/>
      <c r="O2587" s="17"/>
      <c r="P2587" s="17"/>
      <c r="Q2587" s="17"/>
      <c r="R2587" s="17"/>
      <c r="S2587" s="17"/>
      <c r="T2587" s="17"/>
    </row>
    <row r="2588">
      <c r="A2588" s="21">
        <v>1391.0</v>
      </c>
      <c r="B2588" s="20" t="s">
        <v>90</v>
      </c>
      <c r="C2588" s="20" t="s">
        <v>14</v>
      </c>
      <c r="D2588" s="20" t="s">
        <v>22</v>
      </c>
      <c r="E2588" s="12" t="str">
        <f>IFERROR(__xludf.DUMMYFUNCTION("FILTER(colegios!$B$2:$B5618,colegios!$A$2:$A5618=L2588)"),"50492 CORAZON DE JESUS")</f>
        <v>50492 CORAZON DE JESUS</v>
      </c>
      <c r="F2588" s="14" t="s">
        <v>16</v>
      </c>
      <c r="G2588" s="20" t="s">
        <v>21</v>
      </c>
      <c r="H2588" s="14" t="s">
        <v>18</v>
      </c>
      <c r="I2588" s="22">
        <v>2023.0</v>
      </c>
      <c r="J2588" s="16" t="str">
        <f>IFERROR(__xludf.DUMMYFUNCTION("FILTER('CLASFICACIÓN'!$F$3:$F5618,'CLASFICACIÓN'!$G$3:$G5618=M2588)"),"LOS 3 AÑOS")</f>
        <v>LOS 3 AÑOS</v>
      </c>
      <c r="K2588" s="16"/>
      <c r="L2588" s="14" t="s">
        <v>146</v>
      </c>
      <c r="M2588" s="16" t="str">
        <f t="shared" si="1"/>
        <v>50492 CORAZON DE JESUS6 Primaria</v>
      </c>
      <c r="N2588" s="17"/>
      <c r="O2588" s="17"/>
      <c r="P2588" s="17"/>
      <c r="Q2588" s="17"/>
      <c r="R2588" s="17"/>
      <c r="S2588" s="17"/>
      <c r="T2588" s="17"/>
    </row>
    <row r="2589">
      <c r="A2589" s="21">
        <v>1392.0</v>
      </c>
      <c r="B2589" s="20" t="s">
        <v>90</v>
      </c>
      <c r="C2589" s="20" t="s">
        <v>14</v>
      </c>
      <c r="D2589" s="20" t="s">
        <v>22</v>
      </c>
      <c r="E2589" s="12" t="str">
        <f>IFERROR(__xludf.DUMMYFUNCTION("FILTER(colegios!$B$2:$B5618,colegios!$A$2:$A5618=L2589)"),"50492 CORAZON DE JESUS")</f>
        <v>50492 CORAZON DE JESUS</v>
      </c>
      <c r="F2589" s="14" t="s">
        <v>16</v>
      </c>
      <c r="G2589" s="20" t="s">
        <v>17</v>
      </c>
      <c r="H2589" s="14" t="s">
        <v>24</v>
      </c>
      <c r="I2589" s="22">
        <v>2023.0</v>
      </c>
      <c r="J2589" s="16" t="str">
        <f>IFERROR(__xludf.DUMMYFUNCTION("FILTER('CLASFICACIÓN'!$F$3:$F5618,'CLASFICACIÓN'!$G$3:$G5618=M2589)"),"LOS 3 AÑOS")</f>
        <v>LOS 3 AÑOS</v>
      </c>
      <c r="K2589" s="16"/>
      <c r="L2589" s="14" t="s">
        <v>146</v>
      </c>
      <c r="M2589" s="16" t="str">
        <f t="shared" si="1"/>
        <v>50492 CORAZON DE JESUS6 Primaria</v>
      </c>
      <c r="N2589" s="17"/>
      <c r="O2589" s="17"/>
      <c r="P2589" s="17"/>
      <c r="Q2589" s="17"/>
      <c r="R2589" s="17"/>
      <c r="S2589" s="17"/>
      <c r="T2589" s="17"/>
    </row>
    <row r="2590">
      <c r="A2590" s="21">
        <v>1393.0</v>
      </c>
      <c r="B2590" s="20" t="s">
        <v>90</v>
      </c>
      <c r="C2590" s="20" t="s">
        <v>14</v>
      </c>
      <c r="D2590" s="20" t="s">
        <v>22</v>
      </c>
      <c r="E2590" s="12" t="str">
        <f>IFERROR(__xludf.DUMMYFUNCTION("FILTER(colegios!$B$2:$B5618,colegios!$A$2:$A5618=L2590)"),"50492 CORAZON DE JESUS")</f>
        <v>50492 CORAZON DE JESUS</v>
      </c>
      <c r="F2590" s="14" t="s">
        <v>16</v>
      </c>
      <c r="G2590" s="20" t="s">
        <v>17</v>
      </c>
      <c r="H2590" s="14" t="s">
        <v>24</v>
      </c>
      <c r="I2590" s="22">
        <v>2023.0</v>
      </c>
      <c r="J2590" s="16" t="str">
        <f>IFERROR(__xludf.DUMMYFUNCTION("FILTER('CLASFICACIÓN'!$F$3:$F5618,'CLASFICACIÓN'!$G$3:$G5618=M2590)"),"LOS 3 AÑOS")</f>
        <v>LOS 3 AÑOS</v>
      </c>
      <c r="K2590" s="16"/>
      <c r="L2590" s="14" t="s">
        <v>146</v>
      </c>
      <c r="M2590" s="16" t="str">
        <f t="shared" si="1"/>
        <v>50492 CORAZON DE JESUS6 Primaria</v>
      </c>
      <c r="N2590" s="17"/>
      <c r="O2590" s="17"/>
      <c r="P2590" s="17"/>
      <c r="Q2590" s="17"/>
      <c r="R2590" s="17"/>
      <c r="S2590" s="17"/>
      <c r="T2590" s="17"/>
    </row>
    <row r="2591">
      <c r="A2591" s="21">
        <v>1394.0</v>
      </c>
      <c r="B2591" s="20" t="s">
        <v>90</v>
      </c>
      <c r="C2591" s="20" t="s">
        <v>14</v>
      </c>
      <c r="D2591" s="20" t="s">
        <v>22</v>
      </c>
      <c r="E2591" s="12" t="str">
        <f>IFERROR(__xludf.DUMMYFUNCTION("FILTER(colegios!$B$2:$B5618,colegios!$A$2:$A5618=L2591)"),"50492 CORAZON DE JESUS")</f>
        <v>50492 CORAZON DE JESUS</v>
      </c>
      <c r="F2591" s="14" t="s">
        <v>16</v>
      </c>
      <c r="G2591" s="20" t="s">
        <v>21</v>
      </c>
      <c r="H2591" s="14" t="s">
        <v>24</v>
      </c>
      <c r="I2591" s="22">
        <v>2023.0</v>
      </c>
      <c r="J2591" s="16" t="str">
        <f>IFERROR(__xludf.DUMMYFUNCTION("FILTER('CLASFICACIÓN'!$F$3:$F5618,'CLASFICACIÓN'!$G$3:$G5618=M2591)"),"LOS 3 AÑOS")</f>
        <v>LOS 3 AÑOS</v>
      </c>
      <c r="K2591" s="16"/>
      <c r="L2591" s="14" t="s">
        <v>146</v>
      </c>
      <c r="M2591" s="16" t="str">
        <f t="shared" si="1"/>
        <v>50492 CORAZON DE JESUS6 Primaria</v>
      </c>
      <c r="N2591" s="17"/>
      <c r="O2591" s="17"/>
      <c r="P2591" s="17"/>
      <c r="Q2591" s="17"/>
      <c r="R2591" s="17"/>
      <c r="S2591" s="17"/>
      <c r="T2591" s="17"/>
    </row>
    <row r="2592">
      <c r="A2592" s="21">
        <v>1395.0</v>
      </c>
      <c r="B2592" s="20" t="s">
        <v>90</v>
      </c>
      <c r="C2592" s="20" t="s">
        <v>14</v>
      </c>
      <c r="D2592" s="20" t="s">
        <v>22</v>
      </c>
      <c r="E2592" s="12" t="str">
        <f>IFERROR(__xludf.DUMMYFUNCTION("FILTER(colegios!$B$2:$B5618,colegios!$A$2:$A5618=L2592)"),"50492 CORAZON DE JESUS")</f>
        <v>50492 CORAZON DE JESUS</v>
      </c>
      <c r="F2592" s="14" t="s">
        <v>16</v>
      </c>
      <c r="G2592" s="20" t="s">
        <v>21</v>
      </c>
      <c r="H2592" s="14" t="s">
        <v>32</v>
      </c>
      <c r="I2592" s="22">
        <v>2023.0</v>
      </c>
      <c r="J2592" s="16" t="str">
        <f>IFERROR(__xludf.DUMMYFUNCTION("FILTER('CLASFICACIÓN'!$F$3:$F5618,'CLASFICACIÓN'!$G$3:$G5618=M2592)"),"LOS 3 AÑOS")</f>
        <v>LOS 3 AÑOS</v>
      </c>
      <c r="K2592" s="16"/>
      <c r="L2592" s="14" t="s">
        <v>146</v>
      </c>
      <c r="M2592" s="16" t="str">
        <f t="shared" si="1"/>
        <v>50492 CORAZON DE JESUS6 Primaria</v>
      </c>
      <c r="N2592" s="17"/>
      <c r="O2592" s="17"/>
      <c r="P2592" s="17"/>
      <c r="Q2592" s="17"/>
      <c r="R2592" s="17"/>
      <c r="S2592" s="17"/>
      <c r="T2592" s="17"/>
    </row>
    <row r="2593">
      <c r="A2593" s="21">
        <v>1396.0</v>
      </c>
      <c r="B2593" s="20" t="s">
        <v>90</v>
      </c>
      <c r="C2593" s="20" t="s">
        <v>14</v>
      </c>
      <c r="D2593" s="20" t="s">
        <v>22</v>
      </c>
      <c r="E2593" s="12" t="str">
        <f>IFERROR(__xludf.DUMMYFUNCTION("FILTER(colegios!$B$2:$B5618,colegios!$A$2:$A5618=L2593)"),"50492 CORAZON DE JESUS")</f>
        <v>50492 CORAZON DE JESUS</v>
      </c>
      <c r="F2593" s="14" t="s">
        <v>16</v>
      </c>
      <c r="G2593" s="20" t="s">
        <v>17</v>
      </c>
      <c r="H2593" s="14" t="s">
        <v>24</v>
      </c>
      <c r="I2593" s="22">
        <v>2023.0</v>
      </c>
      <c r="J2593" s="16" t="str">
        <f>IFERROR(__xludf.DUMMYFUNCTION("FILTER('CLASFICACIÓN'!$F$3:$F5618,'CLASFICACIÓN'!$G$3:$G5618=M2593)"),"LOS 3 AÑOS")</f>
        <v>LOS 3 AÑOS</v>
      </c>
      <c r="K2593" s="16"/>
      <c r="L2593" s="14" t="s">
        <v>146</v>
      </c>
      <c r="M2593" s="16" t="str">
        <f t="shared" si="1"/>
        <v>50492 CORAZON DE JESUS6 Primaria</v>
      </c>
      <c r="N2593" s="17"/>
      <c r="O2593" s="17"/>
      <c r="P2593" s="17"/>
      <c r="Q2593" s="17"/>
      <c r="R2593" s="17"/>
      <c r="S2593" s="17"/>
      <c r="T2593" s="17"/>
    </row>
    <row r="2594">
      <c r="A2594" s="21">
        <v>1397.0</v>
      </c>
      <c r="B2594" s="20" t="s">
        <v>90</v>
      </c>
      <c r="C2594" s="20" t="s">
        <v>14</v>
      </c>
      <c r="D2594" s="20" t="s">
        <v>15</v>
      </c>
      <c r="E2594" s="12" t="str">
        <f>IFERROR(__xludf.DUMMYFUNCTION("FILTER(colegios!$B$2:$B5618,colegios!$A$2:$A5618=L2594)"),"50550")</f>
        <v>50550</v>
      </c>
      <c r="F2594" s="14" t="s">
        <v>16</v>
      </c>
      <c r="G2594" s="20" t="s">
        <v>21</v>
      </c>
      <c r="H2594" s="14" t="s">
        <v>18</v>
      </c>
      <c r="I2594" s="22">
        <v>2023.0</v>
      </c>
      <c r="J2594" s="16" t="str">
        <f>IFERROR(__xludf.DUMMYFUNCTION("FILTER('CLASFICACIÓN'!$F$3:$F5618,'CLASFICACIÓN'!$G$3:$G5618=M2594)"),"LOS 3 AÑOS")</f>
        <v>LOS 3 AÑOS</v>
      </c>
      <c r="K2594" s="16"/>
      <c r="L2594" s="14" t="s">
        <v>147</v>
      </c>
      <c r="M2594" s="16" t="str">
        <f t="shared" si="1"/>
        <v>505502 Primaria</v>
      </c>
      <c r="N2594" s="17"/>
      <c r="O2594" s="17"/>
      <c r="P2594" s="17"/>
      <c r="Q2594" s="17"/>
      <c r="R2594" s="17"/>
      <c r="S2594" s="17"/>
      <c r="T2594" s="17"/>
    </row>
    <row r="2595">
      <c r="A2595" s="21">
        <v>1398.0</v>
      </c>
      <c r="B2595" s="20" t="s">
        <v>90</v>
      </c>
      <c r="C2595" s="20" t="s">
        <v>14</v>
      </c>
      <c r="D2595" s="20" t="s">
        <v>15</v>
      </c>
      <c r="E2595" s="12" t="str">
        <f>IFERROR(__xludf.DUMMYFUNCTION("FILTER(colegios!$B$2:$B5618,colegios!$A$2:$A5618=L2595)"),"50550")</f>
        <v>50550</v>
      </c>
      <c r="F2595" s="14" t="s">
        <v>16</v>
      </c>
      <c r="G2595" s="20" t="s">
        <v>21</v>
      </c>
      <c r="H2595" s="14" t="s">
        <v>24</v>
      </c>
      <c r="I2595" s="22">
        <v>2023.0</v>
      </c>
      <c r="J2595" s="16" t="str">
        <f>IFERROR(__xludf.DUMMYFUNCTION("FILTER('CLASFICACIÓN'!$F$3:$F5618,'CLASFICACIÓN'!$G$3:$G5618=M2595)"),"LOS 3 AÑOS")</f>
        <v>LOS 3 AÑOS</v>
      </c>
      <c r="K2595" s="16"/>
      <c r="L2595" s="14" t="s">
        <v>147</v>
      </c>
      <c r="M2595" s="16" t="str">
        <f t="shared" si="1"/>
        <v>505502 Primaria</v>
      </c>
      <c r="N2595" s="17"/>
      <c r="O2595" s="17"/>
      <c r="P2595" s="17"/>
      <c r="Q2595" s="17"/>
      <c r="R2595" s="17"/>
      <c r="S2595" s="17"/>
      <c r="T2595" s="17"/>
    </row>
    <row r="2596">
      <c r="A2596" s="21">
        <v>1399.0</v>
      </c>
      <c r="B2596" s="20" t="s">
        <v>90</v>
      </c>
      <c r="C2596" s="20" t="s">
        <v>14</v>
      </c>
      <c r="D2596" s="20" t="s">
        <v>15</v>
      </c>
      <c r="E2596" s="12" t="str">
        <f>IFERROR(__xludf.DUMMYFUNCTION("FILTER(colegios!$B$2:$B5618,colegios!$A$2:$A5618=L2596)"),"50550")</f>
        <v>50550</v>
      </c>
      <c r="F2596" s="14" t="s">
        <v>16</v>
      </c>
      <c r="G2596" s="20" t="s">
        <v>21</v>
      </c>
      <c r="H2596" s="14" t="s">
        <v>18</v>
      </c>
      <c r="I2596" s="22">
        <v>2023.0</v>
      </c>
      <c r="J2596" s="16" t="str">
        <f>IFERROR(__xludf.DUMMYFUNCTION("FILTER('CLASFICACIÓN'!$F$3:$F5618,'CLASFICACIÓN'!$G$3:$G5618=M2596)"),"LOS 3 AÑOS")</f>
        <v>LOS 3 AÑOS</v>
      </c>
      <c r="K2596" s="16"/>
      <c r="L2596" s="14" t="s">
        <v>147</v>
      </c>
      <c r="M2596" s="16" t="str">
        <f t="shared" si="1"/>
        <v>505502 Primaria</v>
      </c>
      <c r="N2596" s="17"/>
      <c r="O2596" s="17"/>
      <c r="P2596" s="17"/>
      <c r="Q2596" s="17"/>
      <c r="R2596" s="17"/>
      <c r="S2596" s="17"/>
      <c r="T2596" s="17"/>
    </row>
    <row r="2597">
      <c r="A2597" s="21">
        <v>1400.0</v>
      </c>
      <c r="B2597" s="20" t="s">
        <v>90</v>
      </c>
      <c r="C2597" s="20" t="s">
        <v>14</v>
      </c>
      <c r="D2597" s="20" t="s">
        <v>15</v>
      </c>
      <c r="E2597" s="12" t="str">
        <f>IFERROR(__xludf.DUMMYFUNCTION("FILTER(colegios!$B$2:$B5618,colegios!$A$2:$A5618=L2597)"),"50550")</f>
        <v>50550</v>
      </c>
      <c r="F2597" s="14" t="s">
        <v>16</v>
      </c>
      <c r="G2597" s="20" t="s">
        <v>21</v>
      </c>
      <c r="H2597" s="14" t="s">
        <v>18</v>
      </c>
      <c r="I2597" s="22">
        <v>2023.0</v>
      </c>
      <c r="J2597" s="16" t="str">
        <f>IFERROR(__xludf.DUMMYFUNCTION("FILTER('CLASFICACIÓN'!$F$3:$F5618,'CLASFICACIÓN'!$G$3:$G5618=M2597)"),"LOS 3 AÑOS")</f>
        <v>LOS 3 AÑOS</v>
      </c>
      <c r="K2597" s="16"/>
      <c r="L2597" s="14" t="s">
        <v>147</v>
      </c>
      <c r="M2597" s="16" t="str">
        <f t="shared" si="1"/>
        <v>505502 Primaria</v>
      </c>
      <c r="N2597" s="17"/>
      <c r="O2597" s="17"/>
      <c r="P2597" s="17"/>
      <c r="Q2597" s="17"/>
      <c r="R2597" s="17"/>
      <c r="S2597" s="17"/>
      <c r="T2597" s="17"/>
    </row>
    <row r="2598">
      <c r="A2598" s="21">
        <v>1401.0</v>
      </c>
      <c r="B2598" s="20" t="s">
        <v>90</v>
      </c>
      <c r="C2598" s="20" t="s">
        <v>14</v>
      </c>
      <c r="D2598" s="20" t="s">
        <v>15</v>
      </c>
      <c r="E2598" s="12" t="str">
        <f>IFERROR(__xludf.DUMMYFUNCTION("FILTER(colegios!$B$2:$B5618,colegios!$A$2:$A5618=L2598)"),"50550")</f>
        <v>50550</v>
      </c>
      <c r="F2598" s="14" t="s">
        <v>16</v>
      </c>
      <c r="G2598" s="20" t="s">
        <v>21</v>
      </c>
      <c r="H2598" s="14" t="s">
        <v>24</v>
      </c>
      <c r="I2598" s="22">
        <v>2023.0</v>
      </c>
      <c r="J2598" s="16" t="str">
        <f>IFERROR(__xludf.DUMMYFUNCTION("FILTER('CLASFICACIÓN'!$F$3:$F5618,'CLASFICACIÓN'!$G$3:$G5618=M2598)"),"LOS 3 AÑOS")</f>
        <v>LOS 3 AÑOS</v>
      </c>
      <c r="K2598" s="16"/>
      <c r="L2598" s="14" t="s">
        <v>147</v>
      </c>
      <c r="M2598" s="16" t="str">
        <f t="shared" si="1"/>
        <v>505502 Primaria</v>
      </c>
      <c r="N2598" s="17"/>
      <c r="O2598" s="17"/>
      <c r="P2598" s="17"/>
      <c r="Q2598" s="17"/>
      <c r="R2598" s="17"/>
      <c r="S2598" s="17"/>
      <c r="T2598" s="17"/>
    </row>
    <row r="2599">
      <c r="A2599" s="21">
        <v>1402.0</v>
      </c>
      <c r="B2599" s="20" t="s">
        <v>90</v>
      </c>
      <c r="C2599" s="20" t="s">
        <v>14</v>
      </c>
      <c r="D2599" s="20" t="s">
        <v>15</v>
      </c>
      <c r="E2599" s="12" t="str">
        <f>IFERROR(__xludf.DUMMYFUNCTION("FILTER(colegios!$B$2:$B5618,colegios!$A$2:$A5618=L2599)"),"50550")</f>
        <v>50550</v>
      </c>
      <c r="F2599" s="14" t="s">
        <v>16</v>
      </c>
      <c r="G2599" s="20" t="s">
        <v>17</v>
      </c>
      <c r="H2599" s="14" t="s">
        <v>18</v>
      </c>
      <c r="I2599" s="22">
        <v>2023.0</v>
      </c>
      <c r="J2599" s="16" t="str">
        <f>IFERROR(__xludf.DUMMYFUNCTION("FILTER('CLASFICACIÓN'!$F$3:$F5618,'CLASFICACIÓN'!$G$3:$G5618=M2599)"),"LOS 3 AÑOS")</f>
        <v>LOS 3 AÑOS</v>
      </c>
      <c r="K2599" s="16"/>
      <c r="L2599" s="14" t="s">
        <v>147</v>
      </c>
      <c r="M2599" s="16" t="str">
        <f t="shared" si="1"/>
        <v>505502 Primaria</v>
      </c>
      <c r="N2599" s="17"/>
      <c r="O2599" s="17"/>
      <c r="P2599" s="17"/>
      <c r="Q2599" s="17"/>
      <c r="R2599" s="17"/>
      <c r="S2599" s="17"/>
      <c r="T2599" s="17"/>
    </row>
    <row r="2600">
      <c r="A2600" s="21">
        <v>1403.0</v>
      </c>
      <c r="B2600" s="20" t="s">
        <v>90</v>
      </c>
      <c r="C2600" s="20" t="s">
        <v>14</v>
      </c>
      <c r="D2600" s="20" t="s">
        <v>20</v>
      </c>
      <c r="E2600" s="12" t="str">
        <f>IFERROR(__xludf.DUMMYFUNCTION("FILTER(colegios!$B$2:$B5618,colegios!$A$2:$A5618=L2600)"),"50550")</f>
        <v>50550</v>
      </c>
      <c r="F2600" s="14" t="s">
        <v>16</v>
      </c>
      <c r="G2600" s="20" t="s">
        <v>17</v>
      </c>
      <c r="H2600" s="14" t="s">
        <v>18</v>
      </c>
      <c r="I2600" s="22">
        <v>2023.0</v>
      </c>
      <c r="J2600" s="16" t="str">
        <f>IFERROR(__xludf.DUMMYFUNCTION("FILTER('CLASFICACIÓN'!$F$3:$F5618,'CLASFICACIÓN'!$G$3:$G5618=M2600)"),"LOS 3 AÑOS")</f>
        <v>LOS 3 AÑOS</v>
      </c>
      <c r="K2600" s="16"/>
      <c r="L2600" s="14" t="s">
        <v>147</v>
      </c>
      <c r="M2600" s="16" t="str">
        <f t="shared" si="1"/>
        <v>505504 Primaria</v>
      </c>
      <c r="N2600" s="17"/>
      <c r="O2600" s="17"/>
      <c r="P2600" s="17"/>
      <c r="Q2600" s="17"/>
      <c r="R2600" s="17"/>
      <c r="S2600" s="17"/>
      <c r="T2600" s="17"/>
    </row>
    <row r="2601">
      <c r="A2601" s="21">
        <v>1404.0</v>
      </c>
      <c r="B2601" s="20" t="s">
        <v>90</v>
      </c>
      <c r="C2601" s="20" t="s">
        <v>14</v>
      </c>
      <c r="D2601" s="20" t="s">
        <v>20</v>
      </c>
      <c r="E2601" s="12" t="str">
        <f>IFERROR(__xludf.DUMMYFUNCTION("FILTER(colegios!$B$2:$B5618,colegios!$A$2:$A5618=L2601)"),"50550")</f>
        <v>50550</v>
      </c>
      <c r="F2601" s="14" t="s">
        <v>16</v>
      </c>
      <c r="G2601" s="20" t="s">
        <v>17</v>
      </c>
      <c r="H2601" s="14" t="s">
        <v>18</v>
      </c>
      <c r="I2601" s="22">
        <v>2023.0</v>
      </c>
      <c r="J2601" s="16" t="str">
        <f>IFERROR(__xludf.DUMMYFUNCTION("FILTER('CLASFICACIÓN'!$F$3:$F5618,'CLASFICACIÓN'!$G$3:$G5618=M2601)"),"LOS 3 AÑOS")</f>
        <v>LOS 3 AÑOS</v>
      </c>
      <c r="K2601" s="16"/>
      <c r="L2601" s="14" t="s">
        <v>147</v>
      </c>
      <c r="M2601" s="16" t="str">
        <f t="shared" si="1"/>
        <v>505504 Primaria</v>
      </c>
      <c r="N2601" s="17"/>
      <c r="O2601" s="17"/>
      <c r="P2601" s="17"/>
      <c r="Q2601" s="17"/>
      <c r="R2601" s="17"/>
      <c r="S2601" s="17"/>
      <c r="T2601" s="17"/>
    </row>
    <row r="2602">
      <c r="A2602" s="21">
        <v>1405.0</v>
      </c>
      <c r="B2602" s="20" t="s">
        <v>90</v>
      </c>
      <c r="C2602" s="20" t="s">
        <v>14</v>
      </c>
      <c r="D2602" s="20" t="s">
        <v>22</v>
      </c>
      <c r="E2602" s="12" t="str">
        <f>IFERROR(__xludf.DUMMYFUNCTION("FILTER(colegios!$B$2:$B5618,colegios!$A$2:$A5618=L2602)"),"50550")</f>
        <v>50550</v>
      </c>
      <c r="F2602" s="14" t="s">
        <v>16</v>
      </c>
      <c r="G2602" s="20" t="s">
        <v>17</v>
      </c>
      <c r="H2602" s="14" t="s">
        <v>24</v>
      </c>
      <c r="I2602" s="22">
        <v>2023.0</v>
      </c>
      <c r="J2602" s="16" t="str">
        <f>IFERROR(__xludf.DUMMYFUNCTION("FILTER('CLASFICACIÓN'!$F$3:$F5618,'CLASFICACIÓN'!$G$3:$G5618=M2602)"),"LOS 3 AÑOS")</f>
        <v>LOS 3 AÑOS</v>
      </c>
      <c r="K2602" s="16"/>
      <c r="L2602" s="14" t="s">
        <v>147</v>
      </c>
      <c r="M2602" s="16" t="str">
        <f t="shared" si="1"/>
        <v>505506 Primaria</v>
      </c>
      <c r="N2602" s="17"/>
      <c r="O2602" s="17"/>
      <c r="P2602" s="17"/>
      <c r="Q2602" s="17"/>
      <c r="R2602" s="17"/>
      <c r="S2602" s="17"/>
      <c r="T2602" s="17"/>
    </row>
    <row r="2603">
      <c r="A2603" s="21">
        <v>1406.0</v>
      </c>
      <c r="B2603" s="20" t="s">
        <v>90</v>
      </c>
      <c r="C2603" s="20" t="s">
        <v>14</v>
      </c>
      <c r="D2603" s="20" t="s">
        <v>22</v>
      </c>
      <c r="E2603" s="12" t="str">
        <f>IFERROR(__xludf.DUMMYFUNCTION("FILTER(colegios!$B$2:$B5618,colegios!$A$2:$A5618=L2603)"),"50550")</f>
        <v>50550</v>
      </c>
      <c r="F2603" s="14" t="s">
        <v>16</v>
      </c>
      <c r="G2603" s="20" t="s">
        <v>17</v>
      </c>
      <c r="H2603" s="14" t="s">
        <v>24</v>
      </c>
      <c r="I2603" s="22">
        <v>2023.0</v>
      </c>
      <c r="J2603" s="16" t="str">
        <f>IFERROR(__xludf.DUMMYFUNCTION("FILTER('CLASFICACIÓN'!$F$3:$F5618,'CLASFICACIÓN'!$G$3:$G5618=M2603)"),"LOS 3 AÑOS")</f>
        <v>LOS 3 AÑOS</v>
      </c>
      <c r="K2603" s="16"/>
      <c r="L2603" s="14" t="s">
        <v>147</v>
      </c>
      <c r="M2603" s="16" t="str">
        <f t="shared" si="1"/>
        <v>505506 Primaria</v>
      </c>
      <c r="N2603" s="17"/>
      <c r="O2603" s="17"/>
      <c r="P2603" s="17"/>
      <c r="Q2603" s="17"/>
      <c r="R2603" s="17"/>
      <c r="S2603" s="17"/>
      <c r="T2603" s="17"/>
    </row>
    <row r="2604">
      <c r="A2604" s="21">
        <v>1407.0</v>
      </c>
      <c r="B2604" s="20" t="s">
        <v>90</v>
      </c>
      <c r="C2604" s="20" t="s">
        <v>14</v>
      </c>
      <c r="D2604" s="20" t="s">
        <v>22</v>
      </c>
      <c r="E2604" s="12" t="str">
        <f>IFERROR(__xludf.DUMMYFUNCTION("FILTER(colegios!$B$2:$B5618,colegios!$A$2:$A5618=L2604)"),"50550")</f>
        <v>50550</v>
      </c>
      <c r="F2604" s="14" t="s">
        <v>16</v>
      </c>
      <c r="G2604" s="20" t="s">
        <v>21</v>
      </c>
      <c r="H2604" s="14" t="s">
        <v>24</v>
      </c>
      <c r="I2604" s="22">
        <v>2023.0</v>
      </c>
      <c r="J2604" s="16" t="str">
        <f>IFERROR(__xludf.DUMMYFUNCTION("FILTER('CLASFICACIÓN'!$F$3:$F5618,'CLASFICACIÓN'!$G$3:$G5618=M2604)"),"LOS 3 AÑOS")</f>
        <v>LOS 3 AÑOS</v>
      </c>
      <c r="K2604" s="16"/>
      <c r="L2604" s="14" t="s">
        <v>147</v>
      </c>
      <c r="M2604" s="16" t="str">
        <f t="shared" si="1"/>
        <v>505506 Primaria</v>
      </c>
      <c r="N2604" s="17"/>
      <c r="O2604" s="17"/>
      <c r="P2604" s="17"/>
      <c r="Q2604" s="17"/>
      <c r="R2604" s="17"/>
      <c r="S2604" s="17"/>
      <c r="T2604" s="17"/>
    </row>
    <row r="2605">
      <c r="A2605" s="21">
        <v>1408.0</v>
      </c>
      <c r="B2605" s="20" t="s">
        <v>90</v>
      </c>
      <c r="C2605" s="20" t="s">
        <v>14</v>
      </c>
      <c r="D2605" s="20" t="s">
        <v>22</v>
      </c>
      <c r="E2605" s="12" t="str">
        <f>IFERROR(__xludf.DUMMYFUNCTION("FILTER(colegios!$B$2:$B5618,colegios!$A$2:$A5618=L2605)"),"50550")</f>
        <v>50550</v>
      </c>
      <c r="F2605" s="14" t="s">
        <v>16</v>
      </c>
      <c r="G2605" s="20" t="s">
        <v>17</v>
      </c>
      <c r="H2605" s="14" t="s">
        <v>24</v>
      </c>
      <c r="I2605" s="22">
        <v>2023.0</v>
      </c>
      <c r="J2605" s="16" t="str">
        <f>IFERROR(__xludf.DUMMYFUNCTION("FILTER('CLASFICACIÓN'!$F$3:$F5618,'CLASFICACIÓN'!$G$3:$G5618=M2605)"),"LOS 3 AÑOS")</f>
        <v>LOS 3 AÑOS</v>
      </c>
      <c r="K2605" s="16"/>
      <c r="L2605" s="14" t="s">
        <v>147</v>
      </c>
      <c r="M2605" s="16" t="str">
        <f t="shared" si="1"/>
        <v>505506 Primaria</v>
      </c>
      <c r="N2605" s="17"/>
      <c r="O2605" s="17"/>
      <c r="P2605" s="17"/>
      <c r="Q2605" s="17"/>
      <c r="R2605" s="17"/>
      <c r="S2605" s="17"/>
      <c r="T2605" s="17"/>
    </row>
    <row r="2606">
      <c r="A2606" s="21">
        <v>1409.0</v>
      </c>
      <c r="B2606" s="20" t="s">
        <v>90</v>
      </c>
      <c r="C2606" s="20" t="s">
        <v>14</v>
      </c>
      <c r="D2606" s="20" t="s">
        <v>22</v>
      </c>
      <c r="E2606" s="12" t="str">
        <f>IFERROR(__xludf.DUMMYFUNCTION("FILTER(colegios!$B$2:$B5618,colegios!$A$2:$A5618=L2606)"),"50550")</f>
        <v>50550</v>
      </c>
      <c r="F2606" s="14" t="s">
        <v>16</v>
      </c>
      <c r="G2606" s="20" t="s">
        <v>21</v>
      </c>
      <c r="H2606" s="14" t="s">
        <v>18</v>
      </c>
      <c r="I2606" s="22">
        <v>2023.0</v>
      </c>
      <c r="J2606" s="16" t="str">
        <f>IFERROR(__xludf.DUMMYFUNCTION("FILTER('CLASFICACIÓN'!$F$3:$F5618,'CLASFICACIÓN'!$G$3:$G5618=M2606)"),"LOS 3 AÑOS")</f>
        <v>LOS 3 AÑOS</v>
      </c>
      <c r="K2606" s="16"/>
      <c r="L2606" s="14" t="s">
        <v>147</v>
      </c>
      <c r="M2606" s="16" t="str">
        <f t="shared" si="1"/>
        <v>505506 Primaria</v>
      </c>
      <c r="N2606" s="17"/>
      <c r="O2606" s="17"/>
      <c r="P2606" s="17"/>
      <c r="Q2606" s="17"/>
      <c r="R2606" s="17"/>
      <c r="S2606" s="17"/>
      <c r="T2606" s="17"/>
    </row>
    <row r="2607">
      <c r="A2607" s="21">
        <v>1410.0</v>
      </c>
      <c r="B2607" s="20" t="s">
        <v>90</v>
      </c>
      <c r="C2607" s="20" t="s">
        <v>14</v>
      </c>
      <c r="D2607" s="20" t="s">
        <v>22</v>
      </c>
      <c r="E2607" s="12" t="str">
        <f>IFERROR(__xludf.DUMMYFUNCTION("FILTER(colegios!$B$2:$B5618,colegios!$A$2:$A5618=L2607)"),"50550")</f>
        <v>50550</v>
      </c>
      <c r="F2607" s="14" t="s">
        <v>16</v>
      </c>
      <c r="G2607" s="20" t="s">
        <v>21</v>
      </c>
      <c r="H2607" s="14" t="s">
        <v>18</v>
      </c>
      <c r="I2607" s="22">
        <v>2023.0</v>
      </c>
      <c r="J2607" s="16" t="str">
        <f>IFERROR(__xludf.DUMMYFUNCTION("FILTER('CLASFICACIÓN'!$F$3:$F5618,'CLASFICACIÓN'!$G$3:$G5618=M2607)"),"LOS 3 AÑOS")</f>
        <v>LOS 3 AÑOS</v>
      </c>
      <c r="K2607" s="16"/>
      <c r="L2607" s="14" t="s">
        <v>147</v>
      </c>
      <c r="M2607" s="16" t="str">
        <f t="shared" si="1"/>
        <v>505506 Primaria</v>
      </c>
      <c r="N2607" s="17"/>
      <c r="O2607" s="17"/>
      <c r="P2607" s="17"/>
      <c r="Q2607" s="17"/>
      <c r="R2607" s="17"/>
      <c r="S2607" s="17"/>
      <c r="T2607" s="17"/>
    </row>
    <row r="2608">
      <c r="A2608" s="21">
        <v>1411.0</v>
      </c>
      <c r="B2608" s="20" t="s">
        <v>90</v>
      </c>
      <c r="C2608" s="20" t="s">
        <v>14</v>
      </c>
      <c r="D2608" s="20" t="s">
        <v>22</v>
      </c>
      <c r="E2608" s="12" t="str">
        <f>IFERROR(__xludf.DUMMYFUNCTION("FILTER(colegios!$B$2:$B5618,colegios!$A$2:$A5618=L2608)"),"50550")</f>
        <v>50550</v>
      </c>
      <c r="F2608" s="14" t="s">
        <v>16</v>
      </c>
      <c r="G2608" s="20" t="s">
        <v>17</v>
      </c>
      <c r="H2608" s="14" t="s">
        <v>18</v>
      </c>
      <c r="I2608" s="22">
        <v>2023.0</v>
      </c>
      <c r="J2608" s="16" t="str">
        <f>IFERROR(__xludf.DUMMYFUNCTION("FILTER('CLASFICACIÓN'!$F$3:$F5618,'CLASFICACIÓN'!$G$3:$G5618=M2608)"),"LOS 3 AÑOS")</f>
        <v>LOS 3 AÑOS</v>
      </c>
      <c r="K2608" s="16"/>
      <c r="L2608" s="14" t="s">
        <v>147</v>
      </c>
      <c r="M2608" s="16" t="str">
        <f t="shared" si="1"/>
        <v>505506 Primaria</v>
      </c>
      <c r="N2608" s="17"/>
      <c r="O2608" s="17"/>
      <c r="P2608" s="17"/>
      <c r="Q2608" s="17"/>
      <c r="R2608" s="17"/>
      <c r="S2608" s="17"/>
      <c r="T2608" s="17"/>
    </row>
    <row r="2609">
      <c r="A2609" s="21">
        <v>1412.0</v>
      </c>
      <c r="B2609" s="20" t="s">
        <v>90</v>
      </c>
      <c r="C2609" s="20" t="s">
        <v>14</v>
      </c>
      <c r="D2609" s="20" t="s">
        <v>15</v>
      </c>
      <c r="E2609" s="12" t="str">
        <f>IFERROR(__xludf.DUMMYFUNCTION("FILTER(colegios!$B$2:$B5618,colegios!$A$2:$A5618=L2609)"),"50765")</f>
        <v>50765</v>
      </c>
      <c r="F2609" s="14" t="s">
        <v>16</v>
      </c>
      <c r="G2609" s="20" t="s">
        <v>17</v>
      </c>
      <c r="H2609" s="14" t="s">
        <v>18</v>
      </c>
      <c r="I2609" s="22">
        <v>2023.0</v>
      </c>
      <c r="J2609" s="16" t="str">
        <f>IFERROR(__xludf.DUMMYFUNCTION("FILTER('CLASFICACIÓN'!$F$3:$F5618,'CLASFICACIÓN'!$G$3:$G5618=M2609)"),"LOS 3 AÑOS")</f>
        <v>LOS 3 AÑOS</v>
      </c>
      <c r="K2609" s="16"/>
      <c r="L2609" s="14" t="s">
        <v>148</v>
      </c>
      <c r="M2609" s="16" t="str">
        <f t="shared" si="1"/>
        <v>507652 Primaria</v>
      </c>
      <c r="N2609" s="17"/>
      <c r="O2609" s="17"/>
      <c r="P2609" s="17"/>
      <c r="Q2609" s="17"/>
      <c r="R2609" s="17"/>
      <c r="S2609" s="17"/>
      <c r="T2609" s="17"/>
    </row>
    <row r="2610">
      <c r="A2610" s="21">
        <v>1413.0</v>
      </c>
      <c r="B2610" s="20" t="s">
        <v>90</v>
      </c>
      <c r="C2610" s="20" t="s">
        <v>14</v>
      </c>
      <c r="D2610" s="20" t="s">
        <v>15</v>
      </c>
      <c r="E2610" s="12" t="str">
        <f>IFERROR(__xludf.DUMMYFUNCTION("FILTER(colegios!$B$2:$B5618,colegios!$A$2:$A5618=L2610)"),"50765")</f>
        <v>50765</v>
      </c>
      <c r="F2610" s="14" t="s">
        <v>16</v>
      </c>
      <c r="G2610" s="20" t="s">
        <v>21</v>
      </c>
      <c r="H2610" s="14" t="s">
        <v>24</v>
      </c>
      <c r="I2610" s="22">
        <v>2023.0</v>
      </c>
      <c r="J2610" s="16" t="str">
        <f>IFERROR(__xludf.DUMMYFUNCTION("FILTER('CLASFICACIÓN'!$F$3:$F5618,'CLASFICACIÓN'!$G$3:$G5618=M2610)"),"LOS 3 AÑOS")</f>
        <v>LOS 3 AÑOS</v>
      </c>
      <c r="K2610" s="16"/>
      <c r="L2610" s="14" t="s">
        <v>148</v>
      </c>
      <c r="M2610" s="16" t="str">
        <f t="shared" si="1"/>
        <v>507652 Primaria</v>
      </c>
      <c r="N2610" s="17"/>
      <c r="O2610" s="17"/>
      <c r="P2610" s="17"/>
      <c r="Q2610" s="17"/>
      <c r="R2610" s="17"/>
      <c r="S2610" s="17"/>
      <c r="T2610" s="17"/>
    </row>
    <row r="2611">
      <c r="A2611" s="21">
        <v>1414.0</v>
      </c>
      <c r="B2611" s="20" t="s">
        <v>90</v>
      </c>
      <c r="C2611" s="20" t="s">
        <v>14</v>
      </c>
      <c r="D2611" s="20" t="s">
        <v>15</v>
      </c>
      <c r="E2611" s="12" t="str">
        <f>IFERROR(__xludf.DUMMYFUNCTION("FILTER(colegios!$B$2:$B5618,colegios!$A$2:$A5618=L2611)"),"50765")</f>
        <v>50765</v>
      </c>
      <c r="F2611" s="14" t="s">
        <v>16</v>
      </c>
      <c r="G2611" s="20" t="s">
        <v>21</v>
      </c>
      <c r="H2611" s="14" t="s">
        <v>24</v>
      </c>
      <c r="I2611" s="22">
        <v>2023.0</v>
      </c>
      <c r="J2611" s="16" t="str">
        <f>IFERROR(__xludf.DUMMYFUNCTION("FILTER('CLASFICACIÓN'!$F$3:$F5618,'CLASFICACIÓN'!$G$3:$G5618=M2611)"),"LOS 3 AÑOS")</f>
        <v>LOS 3 AÑOS</v>
      </c>
      <c r="K2611" s="16"/>
      <c r="L2611" s="14" t="s">
        <v>148</v>
      </c>
      <c r="M2611" s="16" t="str">
        <f t="shared" si="1"/>
        <v>507652 Primaria</v>
      </c>
      <c r="N2611" s="17"/>
      <c r="O2611" s="17"/>
      <c r="P2611" s="17"/>
      <c r="Q2611" s="17"/>
      <c r="R2611" s="17"/>
      <c r="S2611" s="17"/>
      <c r="T2611" s="17"/>
    </row>
    <row r="2612">
      <c r="A2612" s="21">
        <v>1415.0</v>
      </c>
      <c r="B2612" s="20" t="s">
        <v>90</v>
      </c>
      <c r="C2612" s="20" t="s">
        <v>14</v>
      </c>
      <c r="D2612" s="20" t="s">
        <v>20</v>
      </c>
      <c r="E2612" s="12" t="str">
        <f>IFERROR(__xludf.DUMMYFUNCTION("FILTER(colegios!$B$2:$B5618,colegios!$A$2:$A5618=L2612)"),"50765")</f>
        <v>50765</v>
      </c>
      <c r="F2612" s="14" t="s">
        <v>16</v>
      </c>
      <c r="G2612" s="20" t="s">
        <v>17</v>
      </c>
      <c r="H2612" s="14" t="s">
        <v>18</v>
      </c>
      <c r="I2612" s="22">
        <v>2023.0</v>
      </c>
      <c r="J2612" s="16" t="str">
        <f>IFERROR(__xludf.DUMMYFUNCTION("FILTER('CLASFICACIÓN'!$F$3:$F5618,'CLASFICACIÓN'!$G$3:$G5618=M2612)"),"LOS 3 AÑOS")</f>
        <v>LOS 3 AÑOS</v>
      </c>
      <c r="K2612" s="16"/>
      <c r="L2612" s="14" t="s">
        <v>148</v>
      </c>
      <c r="M2612" s="16" t="str">
        <f t="shared" si="1"/>
        <v>507654 Primaria</v>
      </c>
      <c r="N2612" s="17"/>
      <c r="O2612" s="17"/>
      <c r="P2612" s="17"/>
      <c r="Q2612" s="17"/>
      <c r="R2612" s="17"/>
      <c r="S2612" s="17"/>
      <c r="T2612" s="17"/>
    </row>
    <row r="2613">
      <c r="A2613" s="21">
        <v>1416.0</v>
      </c>
      <c r="B2613" s="20" t="s">
        <v>90</v>
      </c>
      <c r="C2613" s="20" t="s">
        <v>14</v>
      </c>
      <c r="D2613" s="20" t="s">
        <v>20</v>
      </c>
      <c r="E2613" s="12" t="str">
        <f>IFERROR(__xludf.DUMMYFUNCTION("FILTER(colegios!$B$2:$B5618,colegios!$A$2:$A5618=L2613)"),"50765")</f>
        <v>50765</v>
      </c>
      <c r="F2613" s="14" t="s">
        <v>16</v>
      </c>
      <c r="G2613" s="20" t="s">
        <v>21</v>
      </c>
      <c r="H2613" s="14" t="s">
        <v>18</v>
      </c>
      <c r="I2613" s="22">
        <v>2023.0</v>
      </c>
      <c r="J2613" s="16" t="str">
        <f>IFERROR(__xludf.DUMMYFUNCTION("FILTER('CLASFICACIÓN'!$F$3:$F5618,'CLASFICACIÓN'!$G$3:$G5618=M2613)"),"LOS 3 AÑOS")</f>
        <v>LOS 3 AÑOS</v>
      </c>
      <c r="K2613" s="16"/>
      <c r="L2613" s="14" t="s">
        <v>148</v>
      </c>
      <c r="M2613" s="16" t="str">
        <f t="shared" si="1"/>
        <v>507654 Primaria</v>
      </c>
      <c r="N2613" s="17"/>
      <c r="O2613" s="17"/>
      <c r="P2613" s="17"/>
      <c r="Q2613" s="17"/>
      <c r="R2613" s="17"/>
      <c r="S2613" s="17"/>
      <c r="T2613" s="17"/>
    </row>
    <row r="2614">
      <c r="A2614" s="21">
        <v>1417.0</v>
      </c>
      <c r="B2614" s="20" t="s">
        <v>90</v>
      </c>
      <c r="C2614" s="20" t="s">
        <v>14</v>
      </c>
      <c r="D2614" s="20" t="s">
        <v>22</v>
      </c>
      <c r="E2614" s="12" t="str">
        <f>IFERROR(__xludf.DUMMYFUNCTION("FILTER(colegios!$B$2:$B5618,colegios!$A$2:$A5618=L2614)"),"50765")</f>
        <v>50765</v>
      </c>
      <c r="F2614" s="14" t="s">
        <v>16</v>
      </c>
      <c r="G2614" s="20" t="s">
        <v>17</v>
      </c>
      <c r="H2614" s="14" t="s">
        <v>24</v>
      </c>
      <c r="I2614" s="22">
        <v>2023.0</v>
      </c>
      <c r="J2614" s="16" t="str">
        <f>IFERROR(__xludf.DUMMYFUNCTION("FILTER('CLASFICACIÓN'!$F$3:$F5618,'CLASFICACIÓN'!$G$3:$G5618=M2614)"),"LOS 3 AÑOS")</f>
        <v>LOS 3 AÑOS</v>
      </c>
      <c r="K2614" s="16"/>
      <c r="L2614" s="14" t="s">
        <v>148</v>
      </c>
      <c r="M2614" s="16" t="str">
        <f t="shared" si="1"/>
        <v>507656 Primaria</v>
      </c>
      <c r="N2614" s="17"/>
      <c r="O2614" s="17"/>
      <c r="P2614" s="17"/>
      <c r="Q2614" s="17"/>
      <c r="R2614" s="17"/>
      <c r="S2614" s="17"/>
      <c r="T2614" s="17"/>
    </row>
    <row r="2615">
      <c r="A2615" s="21">
        <v>1418.0</v>
      </c>
      <c r="B2615" s="20" t="s">
        <v>90</v>
      </c>
      <c r="C2615" s="20" t="s">
        <v>14</v>
      </c>
      <c r="D2615" s="20" t="s">
        <v>15</v>
      </c>
      <c r="E2615" s="12" t="str">
        <f>IFERROR(__xludf.DUMMYFUNCTION("FILTER(colegios!$B$2:$B5618,colegios!$A$2:$A5618=L2615)"),"50765")</f>
        <v>50765</v>
      </c>
      <c r="F2615" s="14" t="s">
        <v>16</v>
      </c>
      <c r="G2615" s="20" t="s">
        <v>17</v>
      </c>
      <c r="H2615" s="14" t="s">
        <v>18</v>
      </c>
      <c r="I2615" s="22">
        <v>2023.0</v>
      </c>
      <c r="J2615" s="16" t="str">
        <f>IFERROR(__xludf.DUMMYFUNCTION("FILTER('CLASFICACIÓN'!$F$3:$F5618,'CLASFICACIÓN'!$G$3:$G5618=M2615)"),"LOS 3 AÑOS")</f>
        <v>LOS 3 AÑOS</v>
      </c>
      <c r="K2615" s="16"/>
      <c r="L2615" s="14" t="s">
        <v>148</v>
      </c>
      <c r="M2615" s="16" t="str">
        <f t="shared" si="1"/>
        <v>507652 Primaria</v>
      </c>
      <c r="N2615" s="17"/>
      <c r="O2615" s="17"/>
      <c r="P2615" s="17"/>
      <c r="Q2615" s="17"/>
      <c r="R2615" s="17"/>
      <c r="S2615" s="17"/>
      <c r="T2615" s="17"/>
    </row>
    <row r="2616">
      <c r="A2616" s="21">
        <v>1419.0</v>
      </c>
      <c r="B2616" s="20" t="s">
        <v>90</v>
      </c>
      <c r="C2616" s="20" t="s">
        <v>14</v>
      </c>
      <c r="D2616" s="20" t="s">
        <v>15</v>
      </c>
      <c r="E2616" s="12" t="str">
        <f>IFERROR(__xludf.DUMMYFUNCTION("FILTER(colegios!$B$2:$B5618,colegios!$A$2:$A5618=L2616)"),"50765")</f>
        <v>50765</v>
      </c>
      <c r="F2616" s="14" t="s">
        <v>16</v>
      </c>
      <c r="G2616" s="20" t="s">
        <v>21</v>
      </c>
      <c r="H2616" s="14" t="s">
        <v>24</v>
      </c>
      <c r="I2616" s="22">
        <v>2023.0</v>
      </c>
      <c r="J2616" s="16" t="str">
        <f>IFERROR(__xludf.DUMMYFUNCTION("FILTER('CLASFICACIÓN'!$F$3:$F5618,'CLASFICACIÓN'!$G$3:$G5618=M2616)"),"LOS 3 AÑOS")</f>
        <v>LOS 3 AÑOS</v>
      </c>
      <c r="K2616" s="16"/>
      <c r="L2616" s="14" t="s">
        <v>148</v>
      </c>
      <c r="M2616" s="16" t="str">
        <f t="shared" si="1"/>
        <v>507652 Primaria</v>
      </c>
      <c r="N2616" s="17"/>
      <c r="O2616" s="17"/>
      <c r="P2616" s="17"/>
      <c r="Q2616" s="17"/>
      <c r="R2616" s="17"/>
      <c r="S2616" s="17"/>
      <c r="T2616" s="17"/>
    </row>
    <row r="2617">
      <c r="A2617" s="21">
        <v>1420.0</v>
      </c>
      <c r="B2617" s="20" t="s">
        <v>90</v>
      </c>
      <c r="C2617" s="20" t="s">
        <v>14</v>
      </c>
      <c r="D2617" s="20" t="s">
        <v>15</v>
      </c>
      <c r="E2617" s="12" t="str">
        <f>IFERROR(__xludf.DUMMYFUNCTION("FILTER(colegios!$B$2:$B5618,colegios!$A$2:$A5618=L2617)"),"50765")</f>
        <v>50765</v>
      </c>
      <c r="F2617" s="14" t="s">
        <v>16</v>
      </c>
      <c r="G2617" s="20" t="s">
        <v>21</v>
      </c>
      <c r="H2617" s="14" t="s">
        <v>24</v>
      </c>
      <c r="I2617" s="22">
        <v>2023.0</v>
      </c>
      <c r="J2617" s="16" t="str">
        <f>IFERROR(__xludf.DUMMYFUNCTION("FILTER('CLASFICACIÓN'!$F$3:$F5618,'CLASFICACIÓN'!$G$3:$G5618=M2617)"),"LOS 3 AÑOS")</f>
        <v>LOS 3 AÑOS</v>
      </c>
      <c r="K2617" s="16"/>
      <c r="L2617" s="14" t="s">
        <v>148</v>
      </c>
      <c r="M2617" s="16" t="str">
        <f t="shared" si="1"/>
        <v>507652 Primaria</v>
      </c>
      <c r="N2617" s="17"/>
      <c r="O2617" s="17"/>
      <c r="P2617" s="17"/>
      <c r="Q2617" s="17"/>
      <c r="R2617" s="17"/>
      <c r="S2617" s="17"/>
      <c r="T2617" s="17"/>
    </row>
    <row r="2618">
      <c r="A2618" s="21">
        <v>1421.0</v>
      </c>
      <c r="B2618" s="20" t="s">
        <v>90</v>
      </c>
      <c r="C2618" s="20" t="s">
        <v>14</v>
      </c>
      <c r="D2618" s="20" t="s">
        <v>20</v>
      </c>
      <c r="E2618" s="12" t="str">
        <f>IFERROR(__xludf.DUMMYFUNCTION("FILTER(colegios!$B$2:$B5618,colegios!$A$2:$A5618=L2618)"),"50765")</f>
        <v>50765</v>
      </c>
      <c r="F2618" s="14" t="s">
        <v>16</v>
      </c>
      <c r="G2618" s="20" t="s">
        <v>17</v>
      </c>
      <c r="H2618" s="14" t="s">
        <v>18</v>
      </c>
      <c r="I2618" s="22">
        <v>2023.0</v>
      </c>
      <c r="J2618" s="16" t="str">
        <f>IFERROR(__xludf.DUMMYFUNCTION("FILTER('CLASFICACIÓN'!$F$3:$F5618,'CLASFICACIÓN'!$G$3:$G5618=M2618)"),"LOS 3 AÑOS")</f>
        <v>LOS 3 AÑOS</v>
      </c>
      <c r="K2618" s="16"/>
      <c r="L2618" s="14" t="s">
        <v>148</v>
      </c>
      <c r="M2618" s="16" t="str">
        <f t="shared" si="1"/>
        <v>507654 Primaria</v>
      </c>
      <c r="N2618" s="17"/>
      <c r="O2618" s="17"/>
      <c r="P2618" s="17"/>
      <c r="Q2618" s="17"/>
      <c r="R2618" s="17"/>
      <c r="S2618" s="17"/>
      <c r="T2618" s="17"/>
    </row>
    <row r="2619">
      <c r="A2619" s="21">
        <v>1422.0</v>
      </c>
      <c r="B2619" s="20" t="s">
        <v>90</v>
      </c>
      <c r="C2619" s="20" t="s">
        <v>14</v>
      </c>
      <c r="D2619" s="20" t="s">
        <v>20</v>
      </c>
      <c r="E2619" s="12" t="str">
        <f>IFERROR(__xludf.DUMMYFUNCTION("FILTER(colegios!$B$2:$B5618,colegios!$A$2:$A5618=L2619)"),"50765")</f>
        <v>50765</v>
      </c>
      <c r="F2619" s="14" t="s">
        <v>16</v>
      </c>
      <c r="G2619" s="20" t="s">
        <v>21</v>
      </c>
      <c r="H2619" s="14" t="s">
        <v>18</v>
      </c>
      <c r="I2619" s="22">
        <v>2023.0</v>
      </c>
      <c r="J2619" s="16" t="str">
        <f>IFERROR(__xludf.DUMMYFUNCTION("FILTER('CLASFICACIÓN'!$F$3:$F5618,'CLASFICACIÓN'!$G$3:$G5618=M2619)"),"LOS 3 AÑOS")</f>
        <v>LOS 3 AÑOS</v>
      </c>
      <c r="K2619" s="16"/>
      <c r="L2619" s="14" t="s">
        <v>148</v>
      </c>
      <c r="M2619" s="16" t="str">
        <f t="shared" si="1"/>
        <v>507654 Primaria</v>
      </c>
      <c r="N2619" s="17"/>
      <c r="O2619" s="17"/>
      <c r="P2619" s="17"/>
      <c r="Q2619" s="17"/>
      <c r="R2619" s="17"/>
      <c r="S2619" s="17"/>
      <c r="T2619" s="17"/>
    </row>
    <row r="2620">
      <c r="A2620" s="21">
        <v>1423.0</v>
      </c>
      <c r="B2620" s="20" t="s">
        <v>90</v>
      </c>
      <c r="C2620" s="20" t="s">
        <v>14</v>
      </c>
      <c r="D2620" s="20" t="s">
        <v>20</v>
      </c>
      <c r="E2620" s="12" t="str">
        <f>IFERROR(__xludf.DUMMYFUNCTION("FILTER(colegios!$B$2:$B5618,colegios!$A$2:$A5618=L2620)"),"50765")</f>
        <v>50765</v>
      </c>
      <c r="F2620" s="14" t="s">
        <v>16</v>
      </c>
      <c r="G2620" s="20" t="s">
        <v>21</v>
      </c>
      <c r="H2620" s="14" t="s">
        <v>24</v>
      </c>
      <c r="I2620" s="22">
        <v>2023.0</v>
      </c>
      <c r="J2620" s="16" t="str">
        <f>IFERROR(__xludf.DUMMYFUNCTION("FILTER('CLASFICACIÓN'!$F$3:$F5618,'CLASFICACIÓN'!$G$3:$G5618=M2620)"),"LOS 3 AÑOS")</f>
        <v>LOS 3 AÑOS</v>
      </c>
      <c r="K2620" s="16"/>
      <c r="L2620" s="14" t="s">
        <v>148</v>
      </c>
      <c r="M2620" s="16" t="str">
        <f t="shared" si="1"/>
        <v>507654 Primaria</v>
      </c>
      <c r="N2620" s="17"/>
      <c r="O2620" s="17"/>
      <c r="P2620" s="17"/>
      <c r="Q2620" s="17"/>
      <c r="R2620" s="17"/>
      <c r="S2620" s="17"/>
      <c r="T2620" s="17"/>
    </row>
    <row r="2621">
      <c r="A2621" s="21">
        <v>1424.0</v>
      </c>
      <c r="B2621" s="20" t="s">
        <v>90</v>
      </c>
      <c r="C2621" s="20" t="s">
        <v>14</v>
      </c>
      <c r="D2621" s="20" t="s">
        <v>20</v>
      </c>
      <c r="E2621" s="12" t="str">
        <f>IFERROR(__xludf.DUMMYFUNCTION("FILTER(colegios!$B$2:$B5618,colegios!$A$2:$A5618=L2621)"),"50765")</f>
        <v>50765</v>
      </c>
      <c r="F2621" s="14" t="s">
        <v>16</v>
      </c>
      <c r="G2621" s="20" t="s">
        <v>21</v>
      </c>
      <c r="H2621" s="14" t="s">
        <v>18</v>
      </c>
      <c r="I2621" s="22">
        <v>2023.0</v>
      </c>
      <c r="J2621" s="16" t="str">
        <f>IFERROR(__xludf.DUMMYFUNCTION("FILTER('CLASFICACIÓN'!$F$3:$F5618,'CLASFICACIÓN'!$G$3:$G5618=M2621)"),"LOS 3 AÑOS")</f>
        <v>LOS 3 AÑOS</v>
      </c>
      <c r="K2621" s="16"/>
      <c r="L2621" s="14" t="s">
        <v>148</v>
      </c>
      <c r="M2621" s="16" t="str">
        <f t="shared" si="1"/>
        <v>507654 Primaria</v>
      </c>
      <c r="N2621" s="17"/>
      <c r="O2621" s="17"/>
      <c r="P2621" s="17"/>
      <c r="Q2621" s="17"/>
      <c r="R2621" s="17"/>
      <c r="S2621" s="17"/>
      <c r="T2621" s="17"/>
    </row>
    <row r="2622">
      <c r="A2622" s="21">
        <v>1425.0</v>
      </c>
      <c r="B2622" s="20" t="s">
        <v>90</v>
      </c>
      <c r="C2622" s="20" t="s">
        <v>14</v>
      </c>
      <c r="D2622" s="20" t="s">
        <v>20</v>
      </c>
      <c r="E2622" s="12" t="str">
        <f>IFERROR(__xludf.DUMMYFUNCTION("FILTER(colegios!$B$2:$B5618,colegios!$A$2:$A5618=L2622)"),"50765")</f>
        <v>50765</v>
      </c>
      <c r="F2622" s="14" t="s">
        <v>16</v>
      </c>
      <c r="G2622" s="20" t="s">
        <v>21</v>
      </c>
      <c r="H2622" s="14" t="s">
        <v>18</v>
      </c>
      <c r="I2622" s="22">
        <v>2023.0</v>
      </c>
      <c r="J2622" s="16" t="str">
        <f>IFERROR(__xludf.DUMMYFUNCTION("FILTER('CLASFICACIÓN'!$F$3:$F5618,'CLASFICACIÓN'!$G$3:$G5618=M2622)"),"LOS 3 AÑOS")</f>
        <v>LOS 3 AÑOS</v>
      </c>
      <c r="K2622" s="16"/>
      <c r="L2622" s="14" t="s">
        <v>148</v>
      </c>
      <c r="M2622" s="16" t="str">
        <f t="shared" si="1"/>
        <v>507654 Primaria</v>
      </c>
      <c r="N2622" s="17"/>
      <c r="O2622" s="17"/>
      <c r="P2622" s="17"/>
      <c r="Q2622" s="17"/>
      <c r="R2622" s="17"/>
      <c r="S2622" s="17"/>
      <c r="T2622" s="17"/>
    </row>
    <row r="2623">
      <c r="A2623" s="21">
        <v>1426.0</v>
      </c>
      <c r="B2623" s="20" t="s">
        <v>90</v>
      </c>
      <c r="C2623" s="20" t="s">
        <v>14</v>
      </c>
      <c r="D2623" s="20" t="s">
        <v>20</v>
      </c>
      <c r="E2623" s="12" t="str">
        <f>IFERROR(__xludf.DUMMYFUNCTION("FILTER(colegios!$B$2:$B5618,colegios!$A$2:$A5618=L2623)"),"50765")</f>
        <v>50765</v>
      </c>
      <c r="F2623" s="14" t="s">
        <v>16</v>
      </c>
      <c r="G2623" s="20" t="s">
        <v>17</v>
      </c>
      <c r="H2623" s="14" t="s">
        <v>24</v>
      </c>
      <c r="I2623" s="22">
        <v>2023.0</v>
      </c>
      <c r="J2623" s="16" t="str">
        <f>IFERROR(__xludf.DUMMYFUNCTION("FILTER('CLASFICACIÓN'!$F$3:$F5618,'CLASFICACIÓN'!$G$3:$G5618=M2623)"),"LOS 3 AÑOS")</f>
        <v>LOS 3 AÑOS</v>
      </c>
      <c r="K2623" s="16"/>
      <c r="L2623" s="14" t="s">
        <v>148</v>
      </c>
      <c r="M2623" s="16" t="str">
        <f t="shared" si="1"/>
        <v>507654 Primaria</v>
      </c>
      <c r="N2623" s="17"/>
      <c r="O2623" s="17"/>
      <c r="P2623" s="17"/>
      <c r="Q2623" s="17"/>
      <c r="R2623" s="17"/>
      <c r="S2623" s="17"/>
      <c r="T2623" s="17"/>
    </row>
    <row r="2624">
      <c r="A2624" s="21">
        <v>1427.0</v>
      </c>
      <c r="B2624" s="20" t="s">
        <v>90</v>
      </c>
      <c r="C2624" s="20" t="s">
        <v>14</v>
      </c>
      <c r="D2624" s="20" t="s">
        <v>22</v>
      </c>
      <c r="E2624" s="12" t="str">
        <f>IFERROR(__xludf.DUMMYFUNCTION("FILTER(colegios!$B$2:$B5618,colegios!$A$2:$A5618=L2624)"),"50765")</f>
        <v>50765</v>
      </c>
      <c r="F2624" s="14" t="s">
        <v>16</v>
      </c>
      <c r="G2624" s="20" t="s">
        <v>21</v>
      </c>
      <c r="H2624" s="14" t="s">
        <v>18</v>
      </c>
      <c r="I2624" s="22">
        <v>2023.0</v>
      </c>
      <c r="J2624" s="16" t="str">
        <f>IFERROR(__xludf.DUMMYFUNCTION("FILTER('CLASFICACIÓN'!$F$3:$F5618,'CLASFICACIÓN'!$G$3:$G5618=M2624)"),"LOS 3 AÑOS")</f>
        <v>LOS 3 AÑOS</v>
      </c>
      <c r="K2624" s="16"/>
      <c r="L2624" s="14" t="s">
        <v>148</v>
      </c>
      <c r="M2624" s="16" t="str">
        <f t="shared" si="1"/>
        <v>507656 Primaria</v>
      </c>
      <c r="N2624" s="17"/>
      <c r="O2624" s="17"/>
      <c r="P2624" s="17"/>
      <c r="Q2624" s="17"/>
      <c r="R2624" s="17"/>
      <c r="S2624" s="17"/>
      <c r="T2624" s="17"/>
    </row>
    <row r="2625">
      <c r="A2625" s="21">
        <v>1428.0</v>
      </c>
      <c r="B2625" s="20" t="s">
        <v>90</v>
      </c>
      <c r="C2625" s="20" t="s">
        <v>14</v>
      </c>
      <c r="D2625" s="20" t="s">
        <v>22</v>
      </c>
      <c r="E2625" s="12" t="str">
        <f>IFERROR(__xludf.DUMMYFUNCTION("FILTER(colegios!$B$2:$B5618,colegios!$A$2:$A5618=L2625)"),"50765")</f>
        <v>50765</v>
      </c>
      <c r="F2625" s="14" t="s">
        <v>16</v>
      </c>
      <c r="G2625" s="20" t="s">
        <v>21</v>
      </c>
      <c r="H2625" s="14" t="s">
        <v>18</v>
      </c>
      <c r="I2625" s="22">
        <v>2023.0</v>
      </c>
      <c r="J2625" s="16" t="str">
        <f>IFERROR(__xludf.DUMMYFUNCTION("FILTER('CLASFICACIÓN'!$F$3:$F5618,'CLASFICACIÓN'!$G$3:$G5618=M2625)"),"LOS 3 AÑOS")</f>
        <v>LOS 3 AÑOS</v>
      </c>
      <c r="K2625" s="16"/>
      <c r="L2625" s="14" t="s">
        <v>148</v>
      </c>
      <c r="M2625" s="16" t="str">
        <f t="shared" si="1"/>
        <v>507656 Primaria</v>
      </c>
      <c r="N2625" s="17"/>
      <c r="O2625" s="17"/>
      <c r="P2625" s="17"/>
      <c r="Q2625" s="17"/>
      <c r="R2625" s="17"/>
      <c r="S2625" s="17"/>
      <c r="T2625" s="17"/>
    </row>
    <row r="2626">
      <c r="A2626" s="21">
        <v>1429.0</v>
      </c>
      <c r="B2626" s="20" t="s">
        <v>90</v>
      </c>
      <c r="C2626" s="20" t="s">
        <v>14</v>
      </c>
      <c r="D2626" s="20" t="s">
        <v>22</v>
      </c>
      <c r="E2626" s="12" t="str">
        <f>IFERROR(__xludf.DUMMYFUNCTION("FILTER(colegios!$B$2:$B5618,colegios!$A$2:$A5618=L2626)"),"50765")</f>
        <v>50765</v>
      </c>
      <c r="F2626" s="14" t="s">
        <v>16</v>
      </c>
      <c r="G2626" s="20" t="s">
        <v>21</v>
      </c>
      <c r="H2626" s="14" t="s">
        <v>24</v>
      </c>
      <c r="I2626" s="22">
        <v>2023.0</v>
      </c>
      <c r="J2626" s="16" t="str">
        <f>IFERROR(__xludf.DUMMYFUNCTION("FILTER('CLASFICACIÓN'!$F$3:$F5618,'CLASFICACIÓN'!$G$3:$G5618=M2626)"),"LOS 3 AÑOS")</f>
        <v>LOS 3 AÑOS</v>
      </c>
      <c r="K2626" s="16"/>
      <c r="L2626" s="14" t="s">
        <v>148</v>
      </c>
      <c r="M2626" s="16" t="str">
        <f t="shared" si="1"/>
        <v>507656 Primaria</v>
      </c>
      <c r="N2626" s="17"/>
      <c r="O2626" s="17"/>
      <c r="P2626" s="17"/>
      <c r="Q2626" s="17"/>
      <c r="R2626" s="17"/>
      <c r="S2626" s="17"/>
      <c r="T2626" s="17"/>
    </row>
    <row r="2627">
      <c r="A2627" s="21">
        <v>1430.0</v>
      </c>
      <c r="B2627" s="20" t="s">
        <v>90</v>
      </c>
      <c r="C2627" s="20" t="s">
        <v>14</v>
      </c>
      <c r="D2627" s="20" t="s">
        <v>15</v>
      </c>
      <c r="E2627" s="12" t="str">
        <f>IFERROR(__xludf.DUMMYFUNCTION("FILTER(colegios!$B$2:$B5618,colegios!$A$2:$A5618=L2627)"),"50696 YANACANCHA")</f>
        <v>50696 YANACANCHA</v>
      </c>
      <c r="F2627" s="14" t="s">
        <v>16</v>
      </c>
      <c r="G2627" s="20" t="s">
        <v>17</v>
      </c>
      <c r="H2627" s="14" t="s">
        <v>18</v>
      </c>
      <c r="I2627" s="22">
        <v>2023.0</v>
      </c>
      <c r="J2627" s="16" t="str">
        <f>IFERROR(__xludf.DUMMYFUNCTION("FILTER('CLASFICACIÓN'!$F$3:$F5618,'CLASFICACIÓN'!$G$3:$G5618=M2627)"),"2023 Y 2024")</f>
        <v>2023 Y 2024</v>
      </c>
      <c r="K2627" s="16"/>
      <c r="L2627" s="14" t="s">
        <v>149</v>
      </c>
      <c r="M2627" s="16" t="str">
        <f t="shared" si="1"/>
        <v>50696 YANACANCHA2 Primaria</v>
      </c>
      <c r="N2627" s="17"/>
      <c r="O2627" s="17"/>
      <c r="P2627" s="17"/>
      <c r="Q2627" s="17"/>
      <c r="R2627" s="17"/>
      <c r="S2627" s="17"/>
      <c r="T2627" s="17"/>
    </row>
    <row r="2628">
      <c r="A2628" s="21">
        <v>1431.0</v>
      </c>
      <c r="B2628" s="20" t="s">
        <v>90</v>
      </c>
      <c r="C2628" s="20" t="s">
        <v>14</v>
      </c>
      <c r="D2628" s="20" t="s">
        <v>15</v>
      </c>
      <c r="E2628" s="12" t="str">
        <f>IFERROR(__xludf.DUMMYFUNCTION("FILTER(colegios!$B$2:$B5618,colegios!$A$2:$A5618=L2628)"),"50696 YANACANCHA")</f>
        <v>50696 YANACANCHA</v>
      </c>
      <c r="F2628" s="14" t="s">
        <v>16</v>
      </c>
      <c r="G2628" s="20" t="s">
        <v>21</v>
      </c>
      <c r="H2628" s="14" t="s">
        <v>24</v>
      </c>
      <c r="I2628" s="22">
        <v>2023.0</v>
      </c>
      <c r="J2628" s="16" t="str">
        <f>IFERROR(__xludf.DUMMYFUNCTION("FILTER('CLASFICACIÓN'!$F$3:$F5618,'CLASFICACIÓN'!$G$3:$G5618=M2628)"),"2023 Y 2024")</f>
        <v>2023 Y 2024</v>
      </c>
      <c r="K2628" s="16"/>
      <c r="L2628" s="14" t="s">
        <v>149</v>
      </c>
      <c r="M2628" s="16" t="str">
        <f t="shared" si="1"/>
        <v>50696 YANACANCHA2 Primaria</v>
      </c>
      <c r="N2628" s="17"/>
      <c r="O2628" s="17"/>
      <c r="P2628" s="17"/>
      <c r="Q2628" s="17"/>
      <c r="R2628" s="17"/>
      <c r="S2628" s="17"/>
      <c r="T2628" s="17"/>
    </row>
    <row r="2629">
      <c r="A2629" s="21">
        <v>1432.0</v>
      </c>
      <c r="B2629" s="20" t="s">
        <v>90</v>
      </c>
      <c r="C2629" s="20" t="s">
        <v>14</v>
      </c>
      <c r="D2629" s="20" t="s">
        <v>15</v>
      </c>
      <c r="E2629" s="12" t="str">
        <f>IFERROR(__xludf.DUMMYFUNCTION("FILTER(colegios!$B$2:$B5618,colegios!$A$2:$A5618=L2629)"),"50696 YANACANCHA")</f>
        <v>50696 YANACANCHA</v>
      </c>
      <c r="F2629" s="14" t="s">
        <v>16</v>
      </c>
      <c r="G2629" s="20" t="s">
        <v>21</v>
      </c>
      <c r="H2629" s="14" t="s">
        <v>24</v>
      </c>
      <c r="I2629" s="22">
        <v>2023.0</v>
      </c>
      <c r="J2629" s="16" t="str">
        <f>IFERROR(__xludf.DUMMYFUNCTION("FILTER('CLASFICACIÓN'!$F$3:$F5618,'CLASFICACIÓN'!$G$3:$G5618=M2629)"),"2023 Y 2024")</f>
        <v>2023 Y 2024</v>
      </c>
      <c r="K2629" s="16"/>
      <c r="L2629" s="14" t="s">
        <v>149</v>
      </c>
      <c r="M2629" s="16" t="str">
        <f t="shared" si="1"/>
        <v>50696 YANACANCHA2 Primaria</v>
      </c>
      <c r="N2629" s="17"/>
      <c r="O2629" s="17"/>
      <c r="P2629" s="17"/>
      <c r="Q2629" s="17"/>
      <c r="R2629" s="17"/>
      <c r="S2629" s="17"/>
      <c r="T2629" s="17"/>
    </row>
    <row r="2630">
      <c r="A2630" s="21">
        <v>1433.0</v>
      </c>
      <c r="B2630" s="20" t="s">
        <v>90</v>
      </c>
      <c r="C2630" s="20" t="s">
        <v>14</v>
      </c>
      <c r="D2630" s="20" t="s">
        <v>20</v>
      </c>
      <c r="E2630" s="12" t="str">
        <f>IFERROR(__xludf.DUMMYFUNCTION("FILTER(colegios!$B$2:$B5618,colegios!$A$2:$A5618=L2630)"),"50696 YANACANCHA")</f>
        <v>50696 YANACANCHA</v>
      </c>
      <c r="F2630" s="14" t="s">
        <v>16</v>
      </c>
      <c r="G2630" s="20" t="s">
        <v>17</v>
      </c>
      <c r="H2630" s="14" t="s">
        <v>18</v>
      </c>
      <c r="I2630" s="22">
        <v>2023.0</v>
      </c>
      <c r="J2630" s="16" t="str">
        <f>IFERROR(__xludf.DUMMYFUNCTION("FILTER('CLASFICACIÓN'!$F$3:$F5618,'CLASFICACIÓN'!$G$3:$G5618=M2630)"),"2023 Y 2024")</f>
        <v>2023 Y 2024</v>
      </c>
      <c r="K2630" s="16"/>
      <c r="L2630" s="14" t="s">
        <v>149</v>
      </c>
      <c r="M2630" s="16" t="str">
        <f t="shared" si="1"/>
        <v>50696 YANACANCHA4 Primaria</v>
      </c>
      <c r="N2630" s="17"/>
      <c r="O2630" s="17"/>
      <c r="P2630" s="17"/>
      <c r="Q2630" s="17"/>
      <c r="R2630" s="17"/>
      <c r="S2630" s="17"/>
      <c r="T2630" s="17"/>
    </row>
    <row r="2631">
      <c r="A2631" s="21">
        <v>1434.0</v>
      </c>
      <c r="B2631" s="20" t="s">
        <v>90</v>
      </c>
      <c r="C2631" s="20" t="s">
        <v>14</v>
      </c>
      <c r="D2631" s="20" t="s">
        <v>20</v>
      </c>
      <c r="E2631" s="12" t="str">
        <f>IFERROR(__xludf.DUMMYFUNCTION("FILTER(colegios!$B$2:$B5618,colegios!$A$2:$A5618=L2631)"),"50696 YANACANCHA")</f>
        <v>50696 YANACANCHA</v>
      </c>
      <c r="F2631" s="14" t="s">
        <v>16</v>
      </c>
      <c r="G2631" s="20" t="s">
        <v>21</v>
      </c>
      <c r="H2631" s="14" t="s">
        <v>18</v>
      </c>
      <c r="I2631" s="22">
        <v>2023.0</v>
      </c>
      <c r="J2631" s="16" t="str">
        <f>IFERROR(__xludf.DUMMYFUNCTION("FILTER('CLASFICACIÓN'!$F$3:$F5618,'CLASFICACIÓN'!$G$3:$G5618=M2631)"),"2023 Y 2024")</f>
        <v>2023 Y 2024</v>
      </c>
      <c r="K2631" s="16"/>
      <c r="L2631" s="14" t="s">
        <v>149</v>
      </c>
      <c r="M2631" s="16" t="str">
        <f t="shared" si="1"/>
        <v>50696 YANACANCHA4 Primaria</v>
      </c>
      <c r="N2631" s="17"/>
      <c r="O2631" s="17"/>
      <c r="P2631" s="17"/>
      <c r="Q2631" s="17"/>
      <c r="R2631" s="17"/>
      <c r="S2631" s="17"/>
      <c r="T2631" s="17"/>
    </row>
    <row r="2632">
      <c r="A2632" s="21">
        <v>1435.0</v>
      </c>
      <c r="B2632" s="20" t="s">
        <v>90</v>
      </c>
      <c r="C2632" s="20" t="s">
        <v>14</v>
      </c>
      <c r="D2632" s="20" t="s">
        <v>20</v>
      </c>
      <c r="E2632" s="12" t="str">
        <f>IFERROR(__xludf.DUMMYFUNCTION("FILTER(colegios!$B$2:$B5618,colegios!$A$2:$A5618=L2632)"),"50696 YANACANCHA")</f>
        <v>50696 YANACANCHA</v>
      </c>
      <c r="F2632" s="14" t="s">
        <v>16</v>
      </c>
      <c r="G2632" s="20" t="s">
        <v>21</v>
      </c>
      <c r="H2632" s="14" t="s">
        <v>24</v>
      </c>
      <c r="I2632" s="22">
        <v>2023.0</v>
      </c>
      <c r="J2632" s="16" t="str">
        <f>IFERROR(__xludf.DUMMYFUNCTION("FILTER('CLASFICACIÓN'!$F$3:$F5618,'CLASFICACIÓN'!$G$3:$G5618=M2632)"),"2023 Y 2024")</f>
        <v>2023 Y 2024</v>
      </c>
      <c r="K2632" s="16"/>
      <c r="L2632" s="14" t="s">
        <v>149</v>
      </c>
      <c r="M2632" s="16" t="str">
        <f t="shared" si="1"/>
        <v>50696 YANACANCHA4 Primaria</v>
      </c>
      <c r="N2632" s="17"/>
      <c r="O2632" s="17"/>
      <c r="P2632" s="17"/>
      <c r="Q2632" s="17"/>
      <c r="R2632" s="17"/>
      <c r="S2632" s="17"/>
      <c r="T2632" s="17"/>
    </row>
    <row r="2633">
      <c r="A2633" s="21">
        <v>1436.0</v>
      </c>
      <c r="B2633" s="20" t="s">
        <v>90</v>
      </c>
      <c r="C2633" s="20" t="s">
        <v>14</v>
      </c>
      <c r="D2633" s="20" t="s">
        <v>20</v>
      </c>
      <c r="E2633" s="12" t="str">
        <f>IFERROR(__xludf.DUMMYFUNCTION("FILTER(colegios!$B$2:$B5618,colegios!$A$2:$A5618=L2633)"),"50696 YANACANCHA")</f>
        <v>50696 YANACANCHA</v>
      </c>
      <c r="F2633" s="14" t="s">
        <v>16</v>
      </c>
      <c r="G2633" s="20" t="s">
        <v>21</v>
      </c>
      <c r="H2633" s="14" t="s">
        <v>18</v>
      </c>
      <c r="I2633" s="22">
        <v>2023.0</v>
      </c>
      <c r="J2633" s="16" t="str">
        <f>IFERROR(__xludf.DUMMYFUNCTION("FILTER('CLASFICACIÓN'!$F$3:$F5618,'CLASFICACIÓN'!$G$3:$G5618=M2633)"),"2023 Y 2024")</f>
        <v>2023 Y 2024</v>
      </c>
      <c r="K2633" s="16"/>
      <c r="L2633" s="14" t="s">
        <v>149</v>
      </c>
      <c r="M2633" s="16" t="str">
        <f t="shared" si="1"/>
        <v>50696 YANACANCHA4 Primaria</v>
      </c>
      <c r="N2633" s="17"/>
      <c r="O2633" s="17"/>
      <c r="P2633" s="17"/>
      <c r="Q2633" s="17"/>
      <c r="R2633" s="17"/>
      <c r="S2633" s="17"/>
      <c r="T2633" s="17"/>
    </row>
    <row r="2634">
      <c r="A2634" s="21">
        <v>1437.0</v>
      </c>
      <c r="B2634" s="20" t="s">
        <v>90</v>
      </c>
      <c r="C2634" s="20" t="s">
        <v>14</v>
      </c>
      <c r="D2634" s="20" t="s">
        <v>20</v>
      </c>
      <c r="E2634" s="12" t="str">
        <f>IFERROR(__xludf.DUMMYFUNCTION("FILTER(colegios!$B$2:$B5618,colegios!$A$2:$A5618=L2634)"),"50696 YANACANCHA")</f>
        <v>50696 YANACANCHA</v>
      </c>
      <c r="F2634" s="14" t="s">
        <v>16</v>
      </c>
      <c r="G2634" s="20" t="s">
        <v>21</v>
      </c>
      <c r="H2634" s="14" t="s">
        <v>18</v>
      </c>
      <c r="I2634" s="22">
        <v>2023.0</v>
      </c>
      <c r="J2634" s="16" t="str">
        <f>IFERROR(__xludf.DUMMYFUNCTION("FILTER('CLASFICACIÓN'!$F$3:$F5618,'CLASFICACIÓN'!$G$3:$G5618=M2634)"),"2023 Y 2024")</f>
        <v>2023 Y 2024</v>
      </c>
      <c r="K2634" s="16"/>
      <c r="L2634" s="14" t="s">
        <v>149</v>
      </c>
      <c r="M2634" s="16" t="str">
        <f t="shared" si="1"/>
        <v>50696 YANACANCHA4 Primaria</v>
      </c>
      <c r="N2634" s="17"/>
      <c r="O2634" s="17"/>
      <c r="P2634" s="17"/>
      <c r="Q2634" s="17"/>
      <c r="R2634" s="17"/>
      <c r="S2634" s="17"/>
      <c r="T2634" s="17"/>
    </row>
    <row r="2635">
      <c r="A2635" s="21">
        <v>1438.0</v>
      </c>
      <c r="B2635" s="20" t="s">
        <v>90</v>
      </c>
      <c r="C2635" s="20" t="s">
        <v>14</v>
      </c>
      <c r="D2635" s="20" t="s">
        <v>20</v>
      </c>
      <c r="E2635" s="12" t="str">
        <f>IFERROR(__xludf.DUMMYFUNCTION("FILTER(colegios!$B$2:$B5618,colegios!$A$2:$A5618=L2635)"),"50696 YANACANCHA")</f>
        <v>50696 YANACANCHA</v>
      </c>
      <c r="F2635" s="14" t="s">
        <v>16</v>
      </c>
      <c r="G2635" s="20" t="s">
        <v>17</v>
      </c>
      <c r="H2635" s="14" t="s">
        <v>24</v>
      </c>
      <c r="I2635" s="22">
        <v>2023.0</v>
      </c>
      <c r="J2635" s="16" t="str">
        <f>IFERROR(__xludf.DUMMYFUNCTION("FILTER('CLASFICACIÓN'!$F$3:$F5618,'CLASFICACIÓN'!$G$3:$G5618=M2635)"),"2023 Y 2024")</f>
        <v>2023 Y 2024</v>
      </c>
      <c r="K2635" s="16"/>
      <c r="L2635" s="14" t="s">
        <v>149</v>
      </c>
      <c r="M2635" s="16" t="str">
        <f t="shared" si="1"/>
        <v>50696 YANACANCHA4 Primaria</v>
      </c>
      <c r="N2635" s="17"/>
      <c r="O2635" s="17"/>
      <c r="P2635" s="17"/>
      <c r="Q2635" s="17"/>
      <c r="R2635" s="17"/>
      <c r="S2635" s="17"/>
      <c r="T2635" s="17"/>
    </row>
    <row r="2636">
      <c r="A2636" s="21">
        <v>1439.0</v>
      </c>
      <c r="B2636" s="20" t="s">
        <v>90</v>
      </c>
      <c r="C2636" s="20" t="s">
        <v>14</v>
      </c>
      <c r="D2636" s="20" t="s">
        <v>22</v>
      </c>
      <c r="E2636" s="12" t="str">
        <f>IFERROR(__xludf.DUMMYFUNCTION("FILTER(colegios!$B$2:$B5618,colegios!$A$2:$A5618=L2636)"),"50696 YANACANCHA")</f>
        <v>50696 YANACANCHA</v>
      </c>
      <c r="F2636" s="14" t="s">
        <v>16</v>
      </c>
      <c r="G2636" s="20" t="s">
        <v>21</v>
      </c>
      <c r="H2636" s="14" t="s">
        <v>18</v>
      </c>
      <c r="I2636" s="22">
        <v>2023.0</v>
      </c>
      <c r="J2636" s="16" t="str">
        <f>IFERROR(__xludf.DUMMYFUNCTION("FILTER('CLASFICACIÓN'!$F$3:$F5618,'CLASFICACIÓN'!$G$3:$G5618=M2636)"),"2023 Y 2024")</f>
        <v>2023 Y 2024</v>
      </c>
      <c r="K2636" s="16"/>
      <c r="L2636" s="14" t="s">
        <v>149</v>
      </c>
      <c r="M2636" s="16" t="str">
        <f t="shared" si="1"/>
        <v>50696 YANACANCHA6 Primaria</v>
      </c>
      <c r="N2636" s="17"/>
      <c r="O2636" s="17"/>
      <c r="P2636" s="17"/>
      <c r="Q2636" s="17"/>
      <c r="R2636" s="17"/>
      <c r="S2636" s="17"/>
      <c r="T2636" s="17"/>
    </row>
    <row r="2637">
      <c r="A2637" s="21">
        <v>1440.0</v>
      </c>
      <c r="B2637" s="20" t="s">
        <v>90</v>
      </c>
      <c r="C2637" s="20" t="s">
        <v>14</v>
      </c>
      <c r="D2637" s="20" t="s">
        <v>22</v>
      </c>
      <c r="E2637" s="12" t="str">
        <f>IFERROR(__xludf.DUMMYFUNCTION("FILTER(colegios!$B$2:$B5618,colegios!$A$2:$A5618=L2637)"),"50696 YANACANCHA")</f>
        <v>50696 YANACANCHA</v>
      </c>
      <c r="F2637" s="14" t="s">
        <v>16</v>
      </c>
      <c r="G2637" s="20" t="s">
        <v>21</v>
      </c>
      <c r="H2637" s="14" t="s">
        <v>18</v>
      </c>
      <c r="I2637" s="22">
        <v>2023.0</v>
      </c>
      <c r="J2637" s="16" t="str">
        <f>IFERROR(__xludf.DUMMYFUNCTION("FILTER('CLASFICACIÓN'!$F$3:$F5618,'CLASFICACIÓN'!$G$3:$G5618=M2637)"),"2023 Y 2024")</f>
        <v>2023 Y 2024</v>
      </c>
      <c r="K2637" s="16"/>
      <c r="L2637" s="14" t="s">
        <v>149</v>
      </c>
      <c r="M2637" s="16" t="str">
        <f t="shared" si="1"/>
        <v>50696 YANACANCHA6 Primaria</v>
      </c>
      <c r="N2637" s="17"/>
      <c r="O2637" s="17"/>
      <c r="P2637" s="17"/>
      <c r="Q2637" s="17"/>
      <c r="R2637" s="17"/>
      <c r="S2637" s="17"/>
      <c r="T2637" s="17"/>
    </row>
    <row r="2638">
      <c r="A2638" s="21">
        <v>1441.0</v>
      </c>
      <c r="B2638" s="20" t="s">
        <v>90</v>
      </c>
      <c r="C2638" s="20" t="s">
        <v>14</v>
      </c>
      <c r="D2638" s="20" t="s">
        <v>22</v>
      </c>
      <c r="E2638" s="12" t="str">
        <f>IFERROR(__xludf.DUMMYFUNCTION("FILTER(colegios!$B$2:$B5618,colegios!$A$2:$A5618=L2638)"),"50696 YANACANCHA")</f>
        <v>50696 YANACANCHA</v>
      </c>
      <c r="F2638" s="14" t="s">
        <v>16</v>
      </c>
      <c r="G2638" s="20" t="s">
        <v>21</v>
      </c>
      <c r="H2638" s="14" t="s">
        <v>24</v>
      </c>
      <c r="I2638" s="22">
        <v>2023.0</v>
      </c>
      <c r="J2638" s="16" t="str">
        <f>IFERROR(__xludf.DUMMYFUNCTION("FILTER('CLASFICACIÓN'!$F$3:$F5618,'CLASFICACIÓN'!$G$3:$G5618=M2638)"),"2023 Y 2024")</f>
        <v>2023 Y 2024</v>
      </c>
      <c r="K2638" s="16"/>
      <c r="L2638" s="14" t="s">
        <v>149</v>
      </c>
      <c r="M2638" s="16" t="str">
        <f t="shared" si="1"/>
        <v>50696 YANACANCHA6 Primaria</v>
      </c>
      <c r="N2638" s="17"/>
      <c r="O2638" s="17"/>
      <c r="P2638" s="17"/>
      <c r="Q2638" s="17"/>
      <c r="R2638" s="17"/>
      <c r="S2638" s="17"/>
      <c r="T2638" s="17"/>
    </row>
    <row r="2639">
      <c r="A2639" s="18">
        <v>2269.0</v>
      </c>
      <c r="B2639" s="12" t="s">
        <v>13</v>
      </c>
      <c r="C2639" s="12" t="s">
        <v>14</v>
      </c>
      <c r="D2639" s="20" t="s">
        <v>15</v>
      </c>
      <c r="E2639" s="12" t="str">
        <f>IFERROR(__xludf.DUMMYFUNCTION("FILTER(colegios!$B$2:$B5618,colegios!$A$2:$A5618=L2639)"),"60133")</f>
        <v>60133</v>
      </c>
      <c r="F2639" s="14" t="s">
        <v>16</v>
      </c>
      <c r="G2639" s="14" t="s">
        <v>17</v>
      </c>
      <c r="H2639" s="14" t="s">
        <v>18</v>
      </c>
      <c r="I2639" s="15">
        <v>2022.0</v>
      </c>
      <c r="J2639" s="16" t="str">
        <f>IFERROR(__xludf.DUMMYFUNCTION("FILTER('CLASFICACIÓN'!$F$3:$F5618,'CLASFICACIÓN'!$G$3:$G5618=M2639)"),"LOS 3 AÑOS")</f>
        <v>LOS 3 AÑOS</v>
      </c>
      <c r="K2639" s="16" t="str">
        <f t="array" ref="K2639">IFERROR(DGET('PADD-R'!$B$1:$K5618,'PADD-R'!$K$1,{'PADD-R'!$B$1;E2639}),"NO PARTICIPÓ")</f>
        <v>PADD 2023 Y 2024</v>
      </c>
      <c r="L2639" s="14" t="s">
        <v>138</v>
      </c>
      <c r="M2639" s="16" t="str">
        <f t="shared" si="1"/>
        <v>601332 Primaria</v>
      </c>
      <c r="N2639" s="23"/>
      <c r="O2639" s="17"/>
      <c r="P2639" s="17"/>
      <c r="Q2639" s="17"/>
      <c r="R2639" s="17"/>
      <c r="S2639" s="17"/>
      <c r="T2639" s="17"/>
    </row>
    <row r="2640">
      <c r="A2640" s="18">
        <v>2270.0</v>
      </c>
      <c r="B2640" s="12" t="s">
        <v>13</v>
      </c>
      <c r="C2640" s="12" t="s">
        <v>14</v>
      </c>
      <c r="D2640" s="20" t="s">
        <v>15</v>
      </c>
      <c r="E2640" s="12" t="str">
        <f>IFERROR(__xludf.DUMMYFUNCTION("FILTER(colegios!$B$2:$B5618,colegios!$A$2:$A5618=L2640)"),"60133")</f>
        <v>60133</v>
      </c>
      <c r="F2640" s="14" t="s">
        <v>16</v>
      </c>
      <c r="G2640" s="14" t="s">
        <v>17</v>
      </c>
      <c r="H2640" s="14" t="s">
        <v>18</v>
      </c>
      <c r="I2640" s="15">
        <v>2022.0</v>
      </c>
      <c r="J2640" s="16" t="str">
        <f>IFERROR(__xludf.DUMMYFUNCTION("FILTER('CLASFICACIÓN'!$F$3:$F5618,'CLASFICACIÓN'!$G$3:$G5618=M2640)"),"LOS 3 AÑOS")</f>
        <v>LOS 3 AÑOS</v>
      </c>
      <c r="K2640" s="16" t="str">
        <f t="array" ref="K2640">IFERROR(DGET('PADD-R'!$B$1:$K5618,'PADD-R'!$K$1,{'PADD-R'!$B$1;E2640}),"NO PARTICIPÓ")</f>
        <v>PADD 2023 Y 2024</v>
      </c>
      <c r="L2640" s="14" t="s">
        <v>138</v>
      </c>
      <c r="M2640" s="16" t="str">
        <f t="shared" si="1"/>
        <v>601332 Primaria</v>
      </c>
      <c r="N2640" s="23"/>
      <c r="O2640" s="17"/>
      <c r="P2640" s="17"/>
      <c r="Q2640" s="17"/>
      <c r="R2640" s="17"/>
      <c r="S2640" s="17"/>
      <c r="T2640" s="17"/>
    </row>
    <row r="2641">
      <c r="A2641" s="18">
        <v>2271.0</v>
      </c>
      <c r="B2641" s="12" t="s">
        <v>13</v>
      </c>
      <c r="C2641" s="12" t="s">
        <v>14</v>
      </c>
      <c r="D2641" s="20" t="s">
        <v>15</v>
      </c>
      <c r="E2641" s="12" t="str">
        <f>IFERROR(__xludf.DUMMYFUNCTION("FILTER(colegios!$B$2:$B5618,colegios!$A$2:$A5618=L2641)"),"60133")</f>
        <v>60133</v>
      </c>
      <c r="F2641" s="14" t="s">
        <v>16</v>
      </c>
      <c r="G2641" s="14" t="s">
        <v>17</v>
      </c>
      <c r="H2641" s="14" t="s">
        <v>24</v>
      </c>
      <c r="I2641" s="15">
        <v>2022.0</v>
      </c>
      <c r="J2641" s="16" t="str">
        <f>IFERROR(__xludf.DUMMYFUNCTION("FILTER('CLASFICACIÓN'!$F$3:$F5618,'CLASFICACIÓN'!$G$3:$G5618=M2641)"),"LOS 3 AÑOS")</f>
        <v>LOS 3 AÑOS</v>
      </c>
      <c r="K2641" s="16" t="str">
        <f t="array" ref="K2641">IFERROR(DGET('PADD-R'!$B$1:$K5618,'PADD-R'!$K$1,{'PADD-R'!$B$1;E2641}),"NO PARTICIPÓ")</f>
        <v>PADD 2023 Y 2024</v>
      </c>
      <c r="L2641" s="14" t="s">
        <v>138</v>
      </c>
      <c r="M2641" s="16" t="str">
        <f t="shared" si="1"/>
        <v>601332 Primaria</v>
      </c>
      <c r="N2641" s="23"/>
      <c r="O2641" s="17"/>
      <c r="P2641" s="17"/>
      <c r="Q2641" s="17"/>
      <c r="R2641" s="17"/>
      <c r="S2641" s="17"/>
      <c r="T2641" s="17"/>
    </row>
    <row r="2642">
      <c r="A2642" s="18">
        <v>2272.0</v>
      </c>
      <c r="B2642" s="12" t="s">
        <v>13</v>
      </c>
      <c r="C2642" s="12" t="s">
        <v>14</v>
      </c>
      <c r="D2642" s="20" t="s">
        <v>15</v>
      </c>
      <c r="E2642" s="12" t="str">
        <f>IFERROR(__xludf.DUMMYFUNCTION("FILTER(colegios!$B$2:$B5618,colegios!$A$2:$A5618=L2642)"),"60133")</f>
        <v>60133</v>
      </c>
      <c r="F2642" s="14" t="s">
        <v>16</v>
      </c>
      <c r="G2642" s="14" t="s">
        <v>21</v>
      </c>
      <c r="H2642" s="14" t="s">
        <v>24</v>
      </c>
      <c r="I2642" s="15">
        <v>2022.0</v>
      </c>
      <c r="J2642" s="16" t="str">
        <f>IFERROR(__xludf.DUMMYFUNCTION("FILTER('CLASFICACIÓN'!$F$3:$F5618,'CLASFICACIÓN'!$G$3:$G5618=M2642)"),"LOS 3 AÑOS")</f>
        <v>LOS 3 AÑOS</v>
      </c>
      <c r="K2642" s="16" t="str">
        <f t="array" ref="K2642">IFERROR(DGET('PADD-R'!$B$1:$K5618,'PADD-R'!$K$1,{'PADD-R'!$B$1;E2642}),"NO PARTICIPÓ")</f>
        <v>PADD 2023 Y 2024</v>
      </c>
      <c r="L2642" s="14" t="s">
        <v>138</v>
      </c>
      <c r="M2642" s="16" t="str">
        <f t="shared" si="1"/>
        <v>601332 Primaria</v>
      </c>
      <c r="N2642" s="23"/>
      <c r="O2642" s="17"/>
      <c r="P2642" s="17"/>
      <c r="Q2642" s="17"/>
      <c r="R2642" s="17"/>
      <c r="S2642" s="17"/>
      <c r="T2642" s="17"/>
    </row>
    <row r="2643">
      <c r="A2643" s="18">
        <v>2273.0</v>
      </c>
      <c r="B2643" s="12" t="s">
        <v>13</v>
      </c>
      <c r="C2643" s="12" t="s">
        <v>14</v>
      </c>
      <c r="D2643" s="20" t="s">
        <v>15</v>
      </c>
      <c r="E2643" s="12" t="str">
        <f>IFERROR(__xludf.DUMMYFUNCTION("FILTER(colegios!$B$2:$B5618,colegios!$A$2:$A5618=L2643)"),"60133")</f>
        <v>60133</v>
      </c>
      <c r="F2643" s="14" t="s">
        <v>16</v>
      </c>
      <c r="G2643" s="14" t="s">
        <v>17</v>
      </c>
      <c r="H2643" s="14" t="s">
        <v>24</v>
      </c>
      <c r="I2643" s="15">
        <v>2022.0</v>
      </c>
      <c r="J2643" s="16" t="str">
        <f>IFERROR(__xludf.DUMMYFUNCTION("FILTER('CLASFICACIÓN'!$F$3:$F5618,'CLASFICACIÓN'!$G$3:$G5618=M2643)"),"LOS 3 AÑOS")</f>
        <v>LOS 3 AÑOS</v>
      </c>
      <c r="K2643" s="16" t="str">
        <f t="array" ref="K2643">IFERROR(DGET('PADD-R'!$B$1:$K5618,'PADD-R'!$K$1,{'PADD-R'!$B$1;E2643}),"NO PARTICIPÓ")</f>
        <v>PADD 2023 Y 2024</v>
      </c>
      <c r="L2643" s="14" t="s">
        <v>138</v>
      </c>
      <c r="M2643" s="16" t="str">
        <f t="shared" si="1"/>
        <v>601332 Primaria</v>
      </c>
      <c r="N2643" s="23"/>
      <c r="O2643" s="17"/>
      <c r="P2643" s="17"/>
      <c r="Q2643" s="17"/>
      <c r="R2643" s="17"/>
      <c r="S2643" s="17"/>
      <c r="T2643" s="17"/>
    </row>
    <row r="2644">
      <c r="A2644" s="18">
        <v>2274.0</v>
      </c>
      <c r="B2644" s="12" t="s">
        <v>13</v>
      </c>
      <c r="C2644" s="12" t="s">
        <v>14</v>
      </c>
      <c r="D2644" s="20" t="s">
        <v>15</v>
      </c>
      <c r="E2644" s="12" t="str">
        <f>IFERROR(__xludf.DUMMYFUNCTION("FILTER(colegios!$B$2:$B5618,colegios!$A$2:$A5618=L2644)"),"60133")</f>
        <v>60133</v>
      </c>
      <c r="F2644" s="14" t="s">
        <v>16</v>
      </c>
      <c r="G2644" s="14" t="s">
        <v>21</v>
      </c>
      <c r="H2644" s="14" t="s">
        <v>18</v>
      </c>
      <c r="I2644" s="15">
        <v>2022.0</v>
      </c>
      <c r="J2644" s="16" t="str">
        <f>IFERROR(__xludf.DUMMYFUNCTION("FILTER('CLASFICACIÓN'!$F$3:$F5618,'CLASFICACIÓN'!$G$3:$G5618=M2644)"),"LOS 3 AÑOS")</f>
        <v>LOS 3 AÑOS</v>
      </c>
      <c r="K2644" s="16" t="str">
        <f t="array" ref="K2644">IFERROR(DGET('PADD-R'!$B$1:$K5618,'PADD-R'!$K$1,{'PADD-R'!$B$1;E2644}),"NO PARTICIPÓ")</f>
        <v>PADD 2023 Y 2024</v>
      </c>
      <c r="L2644" s="14" t="s">
        <v>138</v>
      </c>
      <c r="M2644" s="16" t="str">
        <f t="shared" si="1"/>
        <v>601332 Primaria</v>
      </c>
      <c r="N2644" s="23"/>
      <c r="O2644" s="17"/>
      <c r="P2644" s="17"/>
      <c r="Q2644" s="17"/>
      <c r="R2644" s="17"/>
      <c r="S2644" s="17"/>
      <c r="T2644" s="17"/>
    </row>
    <row r="2645">
      <c r="A2645" s="18">
        <v>2275.0</v>
      </c>
      <c r="B2645" s="12" t="s">
        <v>13</v>
      </c>
      <c r="C2645" s="12" t="s">
        <v>14</v>
      </c>
      <c r="D2645" s="20" t="s">
        <v>15</v>
      </c>
      <c r="E2645" s="12" t="str">
        <f>IFERROR(__xludf.DUMMYFUNCTION("FILTER(colegios!$B$2:$B5618,colegios!$A$2:$A5618=L2645)"),"60133")</f>
        <v>60133</v>
      </c>
      <c r="F2645" s="14" t="s">
        <v>16</v>
      </c>
      <c r="G2645" s="14" t="s">
        <v>21</v>
      </c>
      <c r="H2645" s="14" t="s">
        <v>18</v>
      </c>
      <c r="I2645" s="15">
        <v>2022.0</v>
      </c>
      <c r="J2645" s="16" t="str">
        <f>IFERROR(__xludf.DUMMYFUNCTION("FILTER('CLASFICACIÓN'!$F$3:$F5618,'CLASFICACIÓN'!$G$3:$G5618=M2645)"),"LOS 3 AÑOS")</f>
        <v>LOS 3 AÑOS</v>
      </c>
      <c r="K2645" s="16" t="str">
        <f t="array" ref="K2645">IFERROR(DGET('PADD-R'!$B$1:$K5618,'PADD-R'!$K$1,{'PADD-R'!$B$1;E2645}),"NO PARTICIPÓ")</f>
        <v>PADD 2023 Y 2024</v>
      </c>
      <c r="L2645" s="14" t="s">
        <v>138</v>
      </c>
      <c r="M2645" s="16" t="str">
        <f t="shared" si="1"/>
        <v>601332 Primaria</v>
      </c>
      <c r="N2645" s="23"/>
      <c r="O2645" s="17"/>
      <c r="P2645" s="17"/>
      <c r="Q2645" s="17"/>
      <c r="R2645" s="17"/>
      <c r="S2645" s="17"/>
      <c r="T2645" s="17"/>
    </row>
    <row r="2646">
      <c r="A2646" s="18">
        <v>2276.0</v>
      </c>
      <c r="B2646" s="12" t="s">
        <v>13</v>
      </c>
      <c r="C2646" s="12" t="s">
        <v>14</v>
      </c>
      <c r="D2646" s="20" t="s">
        <v>15</v>
      </c>
      <c r="E2646" s="12" t="str">
        <f>IFERROR(__xludf.DUMMYFUNCTION("FILTER(colegios!$B$2:$B5618,colegios!$A$2:$A5618=L2646)"),"60133")</f>
        <v>60133</v>
      </c>
      <c r="F2646" s="14" t="s">
        <v>16</v>
      </c>
      <c r="G2646" s="14" t="s">
        <v>21</v>
      </c>
      <c r="H2646" s="14" t="s">
        <v>18</v>
      </c>
      <c r="I2646" s="15">
        <v>2022.0</v>
      </c>
      <c r="J2646" s="16" t="str">
        <f>IFERROR(__xludf.DUMMYFUNCTION("FILTER('CLASFICACIÓN'!$F$3:$F5618,'CLASFICACIÓN'!$G$3:$G5618=M2646)"),"LOS 3 AÑOS")</f>
        <v>LOS 3 AÑOS</v>
      </c>
      <c r="K2646" s="16" t="str">
        <f t="array" ref="K2646">IFERROR(DGET('PADD-R'!$B$1:$K5618,'PADD-R'!$K$1,{'PADD-R'!$B$1;E2646}),"NO PARTICIPÓ")</f>
        <v>PADD 2023 Y 2024</v>
      </c>
      <c r="L2646" s="14" t="s">
        <v>138</v>
      </c>
      <c r="M2646" s="16" t="str">
        <f t="shared" si="1"/>
        <v>601332 Primaria</v>
      </c>
      <c r="N2646" s="23"/>
      <c r="O2646" s="17"/>
      <c r="P2646" s="17"/>
      <c r="Q2646" s="17"/>
      <c r="R2646" s="17"/>
      <c r="S2646" s="17"/>
      <c r="T2646" s="17"/>
    </row>
    <row r="2647">
      <c r="A2647" s="18">
        <v>2277.0</v>
      </c>
      <c r="B2647" s="12" t="s">
        <v>13</v>
      </c>
      <c r="C2647" s="12" t="s">
        <v>14</v>
      </c>
      <c r="D2647" s="20" t="s">
        <v>15</v>
      </c>
      <c r="E2647" s="12" t="str">
        <f>IFERROR(__xludf.DUMMYFUNCTION("FILTER(colegios!$B$2:$B5618,colegios!$A$2:$A5618=L2647)"),"60133")</f>
        <v>60133</v>
      </c>
      <c r="F2647" s="14" t="s">
        <v>16</v>
      </c>
      <c r="G2647" s="14" t="s">
        <v>17</v>
      </c>
      <c r="H2647" s="14" t="s">
        <v>24</v>
      </c>
      <c r="I2647" s="15">
        <v>2022.0</v>
      </c>
      <c r="J2647" s="16" t="str">
        <f>IFERROR(__xludf.DUMMYFUNCTION("FILTER('CLASFICACIÓN'!$F$3:$F5618,'CLASFICACIÓN'!$G$3:$G5618=M2647)"),"LOS 3 AÑOS")</f>
        <v>LOS 3 AÑOS</v>
      </c>
      <c r="K2647" s="16" t="str">
        <f t="array" ref="K2647">IFERROR(DGET('PADD-R'!$B$1:$K5618,'PADD-R'!$K$1,{'PADD-R'!$B$1;E2647}),"NO PARTICIPÓ")</f>
        <v>PADD 2023 Y 2024</v>
      </c>
      <c r="L2647" s="14" t="s">
        <v>138</v>
      </c>
      <c r="M2647" s="16" t="str">
        <f t="shared" si="1"/>
        <v>601332 Primaria</v>
      </c>
      <c r="N2647" s="23"/>
      <c r="O2647" s="17"/>
      <c r="P2647" s="17"/>
      <c r="Q2647" s="17"/>
      <c r="R2647" s="17"/>
      <c r="S2647" s="17"/>
      <c r="T2647" s="17"/>
    </row>
    <row r="2648">
      <c r="A2648" s="18">
        <v>2278.0</v>
      </c>
      <c r="B2648" s="12" t="s">
        <v>13</v>
      </c>
      <c r="C2648" s="12" t="s">
        <v>14</v>
      </c>
      <c r="D2648" s="20" t="s">
        <v>15</v>
      </c>
      <c r="E2648" s="12" t="str">
        <f>IFERROR(__xludf.DUMMYFUNCTION("FILTER(colegios!$B$2:$B5618,colegios!$A$2:$A5618=L2648)"),"60133")</f>
        <v>60133</v>
      </c>
      <c r="F2648" s="14" t="s">
        <v>16</v>
      </c>
      <c r="G2648" s="14" t="s">
        <v>17</v>
      </c>
      <c r="H2648" s="14" t="s">
        <v>24</v>
      </c>
      <c r="I2648" s="15">
        <v>2022.0</v>
      </c>
      <c r="J2648" s="16" t="str">
        <f>IFERROR(__xludf.DUMMYFUNCTION("FILTER('CLASFICACIÓN'!$F$3:$F5618,'CLASFICACIÓN'!$G$3:$G5618=M2648)"),"LOS 3 AÑOS")</f>
        <v>LOS 3 AÑOS</v>
      </c>
      <c r="K2648" s="16" t="str">
        <f t="array" ref="K2648">IFERROR(DGET('PADD-R'!$B$1:$K5618,'PADD-R'!$K$1,{'PADD-R'!$B$1;E2648}),"NO PARTICIPÓ")</f>
        <v>PADD 2023 Y 2024</v>
      </c>
      <c r="L2648" s="14" t="s">
        <v>138</v>
      </c>
      <c r="M2648" s="16" t="str">
        <f t="shared" si="1"/>
        <v>601332 Primaria</v>
      </c>
      <c r="N2648" s="23"/>
      <c r="O2648" s="17"/>
      <c r="P2648" s="17"/>
      <c r="Q2648" s="17"/>
      <c r="R2648" s="17"/>
      <c r="S2648" s="17"/>
      <c r="T2648" s="17"/>
    </row>
    <row r="2649">
      <c r="A2649" s="18">
        <v>2279.0</v>
      </c>
      <c r="B2649" s="12" t="s">
        <v>13</v>
      </c>
      <c r="C2649" s="12" t="s">
        <v>14</v>
      </c>
      <c r="D2649" s="20" t="s">
        <v>15</v>
      </c>
      <c r="E2649" s="12" t="str">
        <f>IFERROR(__xludf.DUMMYFUNCTION("FILTER(colegios!$B$2:$B5618,colegios!$A$2:$A5618=L2649)"),"60133")</f>
        <v>60133</v>
      </c>
      <c r="F2649" s="14" t="s">
        <v>16</v>
      </c>
      <c r="G2649" s="14" t="s">
        <v>21</v>
      </c>
      <c r="H2649" s="14" t="s">
        <v>24</v>
      </c>
      <c r="I2649" s="15">
        <v>2022.0</v>
      </c>
      <c r="J2649" s="16" t="str">
        <f>IFERROR(__xludf.DUMMYFUNCTION("FILTER('CLASFICACIÓN'!$F$3:$F5618,'CLASFICACIÓN'!$G$3:$G5618=M2649)"),"LOS 3 AÑOS")</f>
        <v>LOS 3 AÑOS</v>
      </c>
      <c r="K2649" s="16" t="str">
        <f t="array" ref="K2649">IFERROR(DGET('PADD-R'!$B$1:$K5618,'PADD-R'!$K$1,{'PADD-R'!$B$1;E2649}),"NO PARTICIPÓ")</f>
        <v>PADD 2023 Y 2024</v>
      </c>
      <c r="L2649" s="14" t="s">
        <v>138</v>
      </c>
      <c r="M2649" s="16" t="str">
        <f t="shared" si="1"/>
        <v>601332 Primaria</v>
      </c>
      <c r="N2649" s="23"/>
      <c r="O2649" s="17"/>
      <c r="P2649" s="17"/>
      <c r="Q2649" s="17"/>
      <c r="R2649" s="17"/>
      <c r="S2649" s="17"/>
      <c r="T2649" s="17"/>
    </row>
    <row r="2650">
      <c r="A2650" s="18">
        <v>2280.0</v>
      </c>
      <c r="B2650" s="12" t="s">
        <v>13</v>
      </c>
      <c r="C2650" s="12" t="s">
        <v>14</v>
      </c>
      <c r="D2650" s="20" t="s">
        <v>15</v>
      </c>
      <c r="E2650" s="12" t="str">
        <f>IFERROR(__xludf.DUMMYFUNCTION("FILTER(colegios!$B$2:$B5618,colegios!$A$2:$A5618=L2650)"),"60133")</f>
        <v>60133</v>
      </c>
      <c r="F2650" s="14" t="s">
        <v>16</v>
      </c>
      <c r="G2650" s="14" t="s">
        <v>21</v>
      </c>
      <c r="H2650" s="14" t="s">
        <v>24</v>
      </c>
      <c r="I2650" s="15">
        <v>2022.0</v>
      </c>
      <c r="J2650" s="16" t="str">
        <f>IFERROR(__xludf.DUMMYFUNCTION("FILTER('CLASFICACIÓN'!$F$3:$F5618,'CLASFICACIÓN'!$G$3:$G5618=M2650)"),"LOS 3 AÑOS")</f>
        <v>LOS 3 AÑOS</v>
      </c>
      <c r="K2650" s="16" t="str">
        <f t="array" ref="K2650">IFERROR(DGET('PADD-R'!$B$1:$K5618,'PADD-R'!$K$1,{'PADD-R'!$B$1;E2650}),"NO PARTICIPÓ")</f>
        <v>PADD 2023 Y 2024</v>
      </c>
      <c r="L2650" s="14" t="s">
        <v>138</v>
      </c>
      <c r="M2650" s="16" t="str">
        <f t="shared" si="1"/>
        <v>601332 Primaria</v>
      </c>
      <c r="N2650" s="23"/>
      <c r="O2650" s="17"/>
      <c r="P2650" s="17"/>
      <c r="Q2650" s="17"/>
      <c r="R2650" s="17"/>
      <c r="S2650" s="17"/>
      <c r="T2650" s="17"/>
    </row>
    <row r="2651">
      <c r="A2651" s="18">
        <v>2281.0</v>
      </c>
      <c r="B2651" s="12" t="s">
        <v>13</v>
      </c>
      <c r="C2651" s="12" t="s">
        <v>14</v>
      </c>
      <c r="D2651" s="20" t="s">
        <v>15</v>
      </c>
      <c r="E2651" s="12" t="str">
        <f>IFERROR(__xludf.DUMMYFUNCTION("FILTER(colegios!$B$2:$B5618,colegios!$A$2:$A5618=L2651)"),"60133")</f>
        <v>60133</v>
      </c>
      <c r="F2651" s="14" t="s">
        <v>16</v>
      </c>
      <c r="G2651" s="14" t="s">
        <v>21</v>
      </c>
      <c r="H2651" s="14" t="s">
        <v>24</v>
      </c>
      <c r="I2651" s="15">
        <v>2022.0</v>
      </c>
      <c r="J2651" s="16" t="str">
        <f>IFERROR(__xludf.DUMMYFUNCTION("FILTER('CLASFICACIÓN'!$F$3:$F5618,'CLASFICACIÓN'!$G$3:$G5618=M2651)"),"LOS 3 AÑOS")</f>
        <v>LOS 3 AÑOS</v>
      </c>
      <c r="K2651" s="16" t="str">
        <f t="array" ref="K2651">IFERROR(DGET('PADD-R'!$B$1:$K5618,'PADD-R'!$K$1,{'PADD-R'!$B$1;E2651}),"NO PARTICIPÓ")</f>
        <v>PADD 2023 Y 2024</v>
      </c>
      <c r="L2651" s="14" t="s">
        <v>138</v>
      </c>
      <c r="M2651" s="16" t="str">
        <f t="shared" si="1"/>
        <v>601332 Primaria</v>
      </c>
      <c r="N2651" s="23"/>
      <c r="O2651" s="17"/>
      <c r="P2651" s="17"/>
      <c r="Q2651" s="17"/>
      <c r="R2651" s="17"/>
      <c r="S2651" s="17"/>
      <c r="T2651" s="17"/>
    </row>
    <row r="2652">
      <c r="A2652" s="18">
        <v>2282.0</v>
      </c>
      <c r="B2652" s="12" t="s">
        <v>13</v>
      </c>
      <c r="C2652" s="12" t="s">
        <v>27</v>
      </c>
      <c r="D2652" s="20" t="s">
        <v>28</v>
      </c>
      <c r="E2652" s="12" t="str">
        <f>IFERROR(__xludf.DUMMYFUNCTION("FILTER(colegios!$B$2:$B5618,colegios!$A$2:$A5618=L2652)"),"60133")</f>
        <v>60133</v>
      </c>
      <c r="F2652" s="14" t="s">
        <v>16</v>
      </c>
      <c r="G2652" s="14" t="s">
        <v>17</v>
      </c>
      <c r="H2652" s="14" t="s">
        <v>18</v>
      </c>
      <c r="I2652" s="15">
        <v>2022.0</v>
      </c>
      <c r="J2652" s="16" t="str">
        <f>IFERROR(__xludf.DUMMYFUNCTION("FILTER('CLASFICACIÓN'!$F$3:$F5618,'CLASFICACIÓN'!$G$3:$G5618=M2652)"),"LOS 3 AÑOS")</f>
        <v>LOS 3 AÑOS</v>
      </c>
      <c r="K2652" s="16" t="str">
        <f t="array" ref="K2652">IFERROR(DGET('PADD-R'!$B$1:$K5618,'PADD-R'!$K$1,{'PADD-R'!$B$1;E2652}),"NO PARTICIPÓ")</f>
        <v>PADD 2023 Y 2024</v>
      </c>
      <c r="L2652" s="14" t="s">
        <v>138</v>
      </c>
      <c r="M2652" s="16" t="str">
        <f t="shared" si="1"/>
        <v>601332 Secundaria</v>
      </c>
      <c r="N2652" s="23"/>
      <c r="O2652" s="17"/>
      <c r="P2652" s="17"/>
      <c r="Q2652" s="17"/>
      <c r="R2652" s="17"/>
      <c r="S2652" s="17"/>
      <c r="T2652" s="17"/>
    </row>
    <row r="2653">
      <c r="A2653" s="18">
        <v>2283.0</v>
      </c>
      <c r="B2653" s="12" t="s">
        <v>13</v>
      </c>
      <c r="C2653" s="12" t="s">
        <v>27</v>
      </c>
      <c r="D2653" s="20" t="s">
        <v>28</v>
      </c>
      <c r="E2653" s="12" t="str">
        <f>IFERROR(__xludf.DUMMYFUNCTION("FILTER(colegios!$B$2:$B5618,colegios!$A$2:$A5618=L2653)"),"60133")</f>
        <v>60133</v>
      </c>
      <c r="F2653" s="14" t="s">
        <v>16</v>
      </c>
      <c r="G2653" s="14" t="s">
        <v>21</v>
      </c>
      <c r="H2653" s="14" t="s">
        <v>18</v>
      </c>
      <c r="I2653" s="15">
        <v>2022.0</v>
      </c>
      <c r="J2653" s="16" t="str">
        <f>IFERROR(__xludf.DUMMYFUNCTION("FILTER('CLASFICACIÓN'!$F$3:$F5618,'CLASFICACIÓN'!$G$3:$G5618=M2653)"),"LOS 3 AÑOS")</f>
        <v>LOS 3 AÑOS</v>
      </c>
      <c r="K2653" s="16" t="str">
        <f t="array" ref="K2653">IFERROR(DGET('PADD-R'!$B$1:$K5618,'PADD-R'!$K$1,{'PADD-R'!$B$1;E2653}),"NO PARTICIPÓ")</f>
        <v>PADD 2023 Y 2024</v>
      </c>
      <c r="L2653" s="14" t="s">
        <v>138</v>
      </c>
      <c r="M2653" s="16" t="str">
        <f t="shared" si="1"/>
        <v>601332 Secundaria</v>
      </c>
      <c r="N2653" s="23"/>
      <c r="O2653" s="17"/>
      <c r="P2653" s="17"/>
      <c r="Q2653" s="17"/>
      <c r="R2653" s="17"/>
      <c r="S2653" s="17"/>
      <c r="T2653" s="17"/>
    </row>
    <row r="2654">
      <c r="A2654" s="18">
        <v>2284.0</v>
      </c>
      <c r="B2654" s="12" t="s">
        <v>13</v>
      </c>
      <c r="C2654" s="12" t="s">
        <v>27</v>
      </c>
      <c r="D2654" s="20" t="s">
        <v>28</v>
      </c>
      <c r="E2654" s="12" t="str">
        <f>IFERROR(__xludf.DUMMYFUNCTION("FILTER(colegios!$B$2:$B5618,colegios!$A$2:$A5618=L2654)"),"60133")</f>
        <v>60133</v>
      </c>
      <c r="F2654" s="14" t="s">
        <v>16</v>
      </c>
      <c r="G2654" s="14" t="s">
        <v>21</v>
      </c>
      <c r="H2654" s="14" t="s">
        <v>18</v>
      </c>
      <c r="I2654" s="15">
        <v>2022.0</v>
      </c>
      <c r="J2654" s="16" t="str">
        <f>IFERROR(__xludf.DUMMYFUNCTION("FILTER('CLASFICACIÓN'!$F$3:$F5618,'CLASFICACIÓN'!$G$3:$G5618=M2654)"),"LOS 3 AÑOS")</f>
        <v>LOS 3 AÑOS</v>
      </c>
      <c r="K2654" s="16" t="str">
        <f t="array" ref="K2654">IFERROR(DGET('PADD-R'!$B$1:$K5618,'PADD-R'!$K$1,{'PADD-R'!$B$1;E2654}),"NO PARTICIPÓ")</f>
        <v>PADD 2023 Y 2024</v>
      </c>
      <c r="L2654" s="14" t="s">
        <v>138</v>
      </c>
      <c r="M2654" s="16" t="str">
        <f t="shared" si="1"/>
        <v>601332 Secundaria</v>
      </c>
      <c r="N2654" s="23"/>
      <c r="O2654" s="17"/>
      <c r="P2654" s="17"/>
      <c r="Q2654" s="17"/>
      <c r="R2654" s="17"/>
      <c r="S2654" s="17"/>
      <c r="T2654" s="17"/>
    </row>
    <row r="2655">
      <c r="A2655" s="18">
        <v>2285.0</v>
      </c>
      <c r="B2655" s="12" t="s">
        <v>13</v>
      </c>
      <c r="C2655" s="12" t="s">
        <v>27</v>
      </c>
      <c r="D2655" s="20" t="s">
        <v>28</v>
      </c>
      <c r="E2655" s="12" t="str">
        <f>IFERROR(__xludf.DUMMYFUNCTION("FILTER(colegios!$B$2:$B5618,colegios!$A$2:$A5618=L2655)"),"60133")</f>
        <v>60133</v>
      </c>
      <c r="F2655" s="14" t="s">
        <v>16</v>
      </c>
      <c r="G2655" s="14" t="s">
        <v>17</v>
      </c>
      <c r="H2655" s="14" t="s">
        <v>18</v>
      </c>
      <c r="I2655" s="15">
        <v>2022.0</v>
      </c>
      <c r="J2655" s="16" t="str">
        <f>IFERROR(__xludf.DUMMYFUNCTION("FILTER('CLASFICACIÓN'!$F$3:$F5618,'CLASFICACIÓN'!$G$3:$G5618=M2655)"),"LOS 3 AÑOS")</f>
        <v>LOS 3 AÑOS</v>
      </c>
      <c r="K2655" s="16" t="str">
        <f t="array" ref="K2655">IFERROR(DGET('PADD-R'!$B$1:$K5618,'PADD-R'!$K$1,{'PADD-R'!$B$1;E2655}),"NO PARTICIPÓ")</f>
        <v>PADD 2023 Y 2024</v>
      </c>
      <c r="L2655" s="14" t="s">
        <v>138</v>
      </c>
      <c r="M2655" s="16" t="str">
        <f t="shared" si="1"/>
        <v>601332 Secundaria</v>
      </c>
      <c r="N2655" s="23"/>
      <c r="O2655" s="17"/>
      <c r="P2655" s="17"/>
      <c r="Q2655" s="17"/>
      <c r="R2655" s="17"/>
      <c r="S2655" s="17"/>
      <c r="T2655" s="17"/>
    </row>
    <row r="2656">
      <c r="A2656" s="18">
        <v>2286.0</v>
      </c>
      <c r="B2656" s="12" t="s">
        <v>13</v>
      </c>
      <c r="C2656" s="12" t="s">
        <v>27</v>
      </c>
      <c r="D2656" s="20" t="s">
        <v>28</v>
      </c>
      <c r="E2656" s="12" t="str">
        <f>IFERROR(__xludf.DUMMYFUNCTION("FILTER(colegios!$B$2:$B5618,colegios!$A$2:$A5618=L2656)"),"60133")</f>
        <v>60133</v>
      </c>
      <c r="F2656" s="14" t="s">
        <v>16</v>
      </c>
      <c r="G2656" s="14" t="s">
        <v>21</v>
      </c>
      <c r="H2656" s="14" t="s">
        <v>18</v>
      </c>
      <c r="I2656" s="15">
        <v>2022.0</v>
      </c>
      <c r="J2656" s="16" t="str">
        <f>IFERROR(__xludf.DUMMYFUNCTION("FILTER('CLASFICACIÓN'!$F$3:$F5618,'CLASFICACIÓN'!$G$3:$G5618=M2656)"),"LOS 3 AÑOS")</f>
        <v>LOS 3 AÑOS</v>
      </c>
      <c r="K2656" s="16" t="str">
        <f t="array" ref="K2656">IFERROR(DGET('PADD-R'!$B$1:$K5618,'PADD-R'!$K$1,{'PADD-R'!$B$1;E2656}),"NO PARTICIPÓ")</f>
        <v>PADD 2023 Y 2024</v>
      </c>
      <c r="L2656" s="14" t="s">
        <v>138</v>
      </c>
      <c r="M2656" s="16" t="str">
        <f t="shared" si="1"/>
        <v>601332 Secundaria</v>
      </c>
      <c r="N2656" s="23"/>
      <c r="O2656" s="17"/>
      <c r="P2656" s="17"/>
      <c r="Q2656" s="17"/>
      <c r="R2656" s="17"/>
      <c r="S2656" s="17"/>
      <c r="T2656" s="17"/>
    </row>
    <row r="2657">
      <c r="A2657" s="18">
        <v>2287.0</v>
      </c>
      <c r="B2657" s="12" t="s">
        <v>13</v>
      </c>
      <c r="C2657" s="12" t="s">
        <v>27</v>
      </c>
      <c r="D2657" s="20" t="s">
        <v>28</v>
      </c>
      <c r="E2657" s="12" t="str">
        <f>IFERROR(__xludf.DUMMYFUNCTION("FILTER(colegios!$B$2:$B5618,colegios!$A$2:$A5618=L2657)"),"60133")</f>
        <v>60133</v>
      </c>
      <c r="F2657" s="14" t="s">
        <v>16</v>
      </c>
      <c r="G2657" s="14" t="s">
        <v>17</v>
      </c>
      <c r="H2657" s="14" t="s">
        <v>18</v>
      </c>
      <c r="I2657" s="15">
        <v>2022.0</v>
      </c>
      <c r="J2657" s="16" t="str">
        <f>IFERROR(__xludf.DUMMYFUNCTION("FILTER('CLASFICACIÓN'!$F$3:$F5618,'CLASFICACIÓN'!$G$3:$G5618=M2657)"),"LOS 3 AÑOS")</f>
        <v>LOS 3 AÑOS</v>
      </c>
      <c r="K2657" s="16" t="str">
        <f t="array" ref="K2657">IFERROR(DGET('PADD-R'!$B$1:$K5618,'PADD-R'!$K$1,{'PADD-R'!$B$1;E2657}),"NO PARTICIPÓ")</f>
        <v>PADD 2023 Y 2024</v>
      </c>
      <c r="L2657" s="14" t="s">
        <v>138</v>
      </c>
      <c r="M2657" s="16" t="str">
        <f t="shared" si="1"/>
        <v>601332 Secundaria</v>
      </c>
      <c r="N2657" s="23"/>
      <c r="O2657" s="17"/>
      <c r="P2657" s="17"/>
      <c r="Q2657" s="17"/>
      <c r="R2657" s="17"/>
      <c r="S2657" s="17"/>
      <c r="T2657" s="17"/>
    </row>
    <row r="2658">
      <c r="A2658" s="18">
        <v>2288.0</v>
      </c>
      <c r="B2658" s="12" t="s">
        <v>13</v>
      </c>
      <c r="C2658" s="12" t="s">
        <v>27</v>
      </c>
      <c r="D2658" s="20" t="s">
        <v>28</v>
      </c>
      <c r="E2658" s="12" t="str">
        <f>IFERROR(__xludf.DUMMYFUNCTION("FILTER(colegios!$B$2:$B5618,colegios!$A$2:$A5618=L2658)"),"60133")</f>
        <v>60133</v>
      </c>
      <c r="F2658" s="14" t="s">
        <v>16</v>
      </c>
      <c r="G2658" s="14" t="s">
        <v>17</v>
      </c>
      <c r="H2658" s="14" t="s">
        <v>18</v>
      </c>
      <c r="I2658" s="15">
        <v>2022.0</v>
      </c>
      <c r="J2658" s="16" t="str">
        <f>IFERROR(__xludf.DUMMYFUNCTION("FILTER('CLASFICACIÓN'!$F$3:$F5618,'CLASFICACIÓN'!$G$3:$G5618=M2658)"),"LOS 3 AÑOS")</f>
        <v>LOS 3 AÑOS</v>
      </c>
      <c r="K2658" s="16" t="str">
        <f t="array" ref="K2658">IFERROR(DGET('PADD-R'!$B$1:$K5618,'PADD-R'!$K$1,{'PADD-R'!$B$1;E2658}),"NO PARTICIPÓ")</f>
        <v>PADD 2023 Y 2024</v>
      </c>
      <c r="L2658" s="14" t="s">
        <v>138</v>
      </c>
      <c r="M2658" s="16" t="str">
        <f t="shared" si="1"/>
        <v>601332 Secundaria</v>
      </c>
      <c r="N2658" s="23"/>
      <c r="O2658" s="17"/>
      <c r="P2658" s="17"/>
      <c r="Q2658" s="17"/>
      <c r="R2658" s="17"/>
      <c r="S2658" s="17"/>
      <c r="T2658" s="17"/>
    </row>
    <row r="2659">
      <c r="A2659" s="18">
        <v>2289.0</v>
      </c>
      <c r="B2659" s="12" t="s">
        <v>13</v>
      </c>
      <c r="C2659" s="12" t="s">
        <v>27</v>
      </c>
      <c r="D2659" s="20" t="s">
        <v>28</v>
      </c>
      <c r="E2659" s="12" t="str">
        <f>IFERROR(__xludf.DUMMYFUNCTION("FILTER(colegios!$B$2:$B5618,colegios!$A$2:$A5618=L2659)"),"60133")</f>
        <v>60133</v>
      </c>
      <c r="F2659" s="14" t="s">
        <v>16</v>
      </c>
      <c r="G2659" s="14" t="s">
        <v>21</v>
      </c>
      <c r="H2659" s="14" t="s">
        <v>18</v>
      </c>
      <c r="I2659" s="15">
        <v>2022.0</v>
      </c>
      <c r="J2659" s="16" t="str">
        <f>IFERROR(__xludf.DUMMYFUNCTION("FILTER('CLASFICACIÓN'!$F$3:$F5618,'CLASFICACIÓN'!$G$3:$G5618=M2659)"),"LOS 3 AÑOS")</f>
        <v>LOS 3 AÑOS</v>
      </c>
      <c r="K2659" s="16" t="str">
        <f t="array" ref="K2659">IFERROR(DGET('PADD-R'!$B$1:$K5618,'PADD-R'!$K$1,{'PADD-R'!$B$1;E2659}),"NO PARTICIPÓ")</f>
        <v>PADD 2023 Y 2024</v>
      </c>
      <c r="L2659" s="14" t="s">
        <v>138</v>
      </c>
      <c r="M2659" s="16" t="str">
        <f t="shared" si="1"/>
        <v>601332 Secundaria</v>
      </c>
      <c r="N2659" s="23"/>
      <c r="O2659" s="17"/>
      <c r="P2659" s="17"/>
      <c r="Q2659" s="17"/>
      <c r="R2659" s="17"/>
      <c r="S2659" s="17"/>
      <c r="T2659" s="17"/>
    </row>
    <row r="2660">
      <c r="A2660" s="18">
        <v>2290.0</v>
      </c>
      <c r="B2660" s="12" t="s">
        <v>13</v>
      </c>
      <c r="C2660" s="12" t="s">
        <v>27</v>
      </c>
      <c r="D2660" s="20" t="s">
        <v>28</v>
      </c>
      <c r="E2660" s="12" t="str">
        <f>IFERROR(__xludf.DUMMYFUNCTION("FILTER(colegios!$B$2:$B5618,colegios!$A$2:$A5618=L2660)"),"60133")</f>
        <v>60133</v>
      </c>
      <c r="F2660" s="14" t="s">
        <v>16</v>
      </c>
      <c r="G2660" s="14" t="s">
        <v>21</v>
      </c>
      <c r="H2660" s="14" t="s">
        <v>18</v>
      </c>
      <c r="I2660" s="15">
        <v>2022.0</v>
      </c>
      <c r="J2660" s="16" t="str">
        <f>IFERROR(__xludf.DUMMYFUNCTION("FILTER('CLASFICACIÓN'!$F$3:$F5618,'CLASFICACIÓN'!$G$3:$G5618=M2660)"),"LOS 3 AÑOS")</f>
        <v>LOS 3 AÑOS</v>
      </c>
      <c r="K2660" s="16" t="str">
        <f t="array" ref="K2660">IFERROR(DGET('PADD-R'!$B$1:$K5618,'PADD-R'!$K$1,{'PADD-R'!$B$1;E2660}),"NO PARTICIPÓ")</f>
        <v>PADD 2023 Y 2024</v>
      </c>
      <c r="L2660" s="14" t="s">
        <v>138</v>
      </c>
      <c r="M2660" s="16" t="str">
        <f t="shared" si="1"/>
        <v>601332 Secundaria</v>
      </c>
      <c r="N2660" s="23"/>
      <c r="O2660" s="17"/>
      <c r="P2660" s="17"/>
      <c r="Q2660" s="17"/>
      <c r="R2660" s="17"/>
      <c r="S2660" s="17"/>
      <c r="T2660" s="17"/>
    </row>
    <row r="2661">
      <c r="A2661" s="18">
        <v>2291.0</v>
      </c>
      <c r="B2661" s="12" t="s">
        <v>13</v>
      </c>
      <c r="C2661" s="12" t="s">
        <v>27</v>
      </c>
      <c r="D2661" s="20" t="s">
        <v>28</v>
      </c>
      <c r="E2661" s="12" t="str">
        <f>IFERROR(__xludf.DUMMYFUNCTION("FILTER(colegios!$B$2:$B5618,colegios!$A$2:$A5618=L2661)"),"60133")</f>
        <v>60133</v>
      </c>
      <c r="F2661" s="14" t="s">
        <v>16</v>
      </c>
      <c r="G2661" s="14" t="s">
        <v>17</v>
      </c>
      <c r="H2661" s="14" t="s">
        <v>18</v>
      </c>
      <c r="I2661" s="15">
        <v>2022.0</v>
      </c>
      <c r="J2661" s="16" t="str">
        <f>IFERROR(__xludf.DUMMYFUNCTION("FILTER('CLASFICACIÓN'!$F$3:$F5618,'CLASFICACIÓN'!$G$3:$G5618=M2661)"),"LOS 3 AÑOS")</f>
        <v>LOS 3 AÑOS</v>
      </c>
      <c r="K2661" s="16" t="str">
        <f t="array" ref="K2661">IFERROR(DGET('PADD-R'!$B$1:$K5618,'PADD-R'!$K$1,{'PADD-R'!$B$1;E2661}),"NO PARTICIPÓ")</f>
        <v>PADD 2023 Y 2024</v>
      </c>
      <c r="L2661" s="14" t="s">
        <v>138</v>
      </c>
      <c r="M2661" s="16" t="str">
        <f t="shared" si="1"/>
        <v>601332 Secundaria</v>
      </c>
      <c r="N2661" s="23"/>
      <c r="O2661" s="17"/>
      <c r="P2661" s="17"/>
      <c r="Q2661" s="17"/>
      <c r="R2661" s="17"/>
      <c r="S2661" s="17"/>
      <c r="T2661" s="17"/>
    </row>
    <row r="2662">
      <c r="A2662" s="18">
        <v>2292.0</v>
      </c>
      <c r="B2662" s="12" t="s">
        <v>13</v>
      </c>
      <c r="C2662" s="12" t="s">
        <v>27</v>
      </c>
      <c r="D2662" s="20" t="s">
        <v>28</v>
      </c>
      <c r="E2662" s="12" t="str">
        <f>IFERROR(__xludf.DUMMYFUNCTION("FILTER(colegios!$B$2:$B5618,colegios!$A$2:$A5618=L2662)"),"60133")</f>
        <v>60133</v>
      </c>
      <c r="F2662" s="14" t="s">
        <v>16</v>
      </c>
      <c r="G2662" s="14" t="s">
        <v>21</v>
      </c>
      <c r="H2662" s="14" t="s">
        <v>18</v>
      </c>
      <c r="I2662" s="15">
        <v>2022.0</v>
      </c>
      <c r="J2662" s="16" t="str">
        <f>IFERROR(__xludf.DUMMYFUNCTION("FILTER('CLASFICACIÓN'!$F$3:$F5618,'CLASFICACIÓN'!$G$3:$G5618=M2662)"),"LOS 3 AÑOS")</f>
        <v>LOS 3 AÑOS</v>
      </c>
      <c r="K2662" s="16" t="str">
        <f t="array" ref="K2662">IFERROR(DGET('PADD-R'!$B$1:$K5618,'PADD-R'!$K$1,{'PADD-R'!$B$1;E2662}),"NO PARTICIPÓ")</f>
        <v>PADD 2023 Y 2024</v>
      </c>
      <c r="L2662" s="14" t="s">
        <v>138</v>
      </c>
      <c r="M2662" s="16" t="str">
        <f t="shared" si="1"/>
        <v>601332 Secundaria</v>
      </c>
      <c r="N2662" s="23"/>
      <c r="O2662" s="17"/>
      <c r="P2662" s="17"/>
      <c r="Q2662" s="17"/>
      <c r="R2662" s="17"/>
      <c r="S2662" s="17"/>
      <c r="T2662" s="17"/>
    </row>
    <row r="2663">
      <c r="A2663" s="18">
        <v>2293.0</v>
      </c>
      <c r="B2663" s="12" t="s">
        <v>13</v>
      </c>
      <c r="C2663" s="12" t="s">
        <v>27</v>
      </c>
      <c r="D2663" s="20" t="s">
        <v>28</v>
      </c>
      <c r="E2663" s="12" t="str">
        <f>IFERROR(__xludf.DUMMYFUNCTION("FILTER(colegios!$B$2:$B5618,colegios!$A$2:$A5618=L2663)"),"60133")</f>
        <v>60133</v>
      </c>
      <c r="F2663" s="14" t="s">
        <v>16</v>
      </c>
      <c r="G2663" s="14" t="s">
        <v>17</v>
      </c>
      <c r="H2663" s="14" t="s">
        <v>18</v>
      </c>
      <c r="I2663" s="15">
        <v>2022.0</v>
      </c>
      <c r="J2663" s="16" t="str">
        <f>IFERROR(__xludf.DUMMYFUNCTION("FILTER('CLASFICACIÓN'!$F$3:$F5618,'CLASFICACIÓN'!$G$3:$G5618=M2663)"),"LOS 3 AÑOS")</f>
        <v>LOS 3 AÑOS</v>
      </c>
      <c r="K2663" s="16" t="str">
        <f t="array" ref="K2663">IFERROR(DGET('PADD-R'!$B$1:$K5618,'PADD-R'!$K$1,{'PADD-R'!$B$1;E2663}),"NO PARTICIPÓ")</f>
        <v>PADD 2023 Y 2024</v>
      </c>
      <c r="L2663" s="14" t="s">
        <v>138</v>
      </c>
      <c r="M2663" s="16" t="str">
        <f t="shared" si="1"/>
        <v>601332 Secundaria</v>
      </c>
      <c r="N2663" s="23"/>
      <c r="O2663" s="17"/>
      <c r="P2663" s="17"/>
      <c r="Q2663" s="17"/>
      <c r="R2663" s="17"/>
      <c r="S2663" s="17"/>
      <c r="T2663" s="17"/>
    </row>
    <row r="2664">
      <c r="A2664" s="18">
        <v>2294.0</v>
      </c>
      <c r="B2664" s="12" t="s">
        <v>13</v>
      </c>
      <c r="C2664" s="12" t="s">
        <v>27</v>
      </c>
      <c r="D2664" s="20" t="s">
        <v>28</v>
      </c>
      <c r="E2664" s="12" t="str">
        <f>IFERROR(__xludf.DUMMYFUNCTION("FILTER(colegios!$B$2:$B5618,colegios!$A$2:$A5618=L2664)"),"60133")</f>
        <v>60133</v>
      </c>
      <c r="F2664" s="14" t="s">
        <v>16</v>
      </c>
      <c r="G2664" s="14" t="s">
        <v>17</v>
      </c>
      <c r="H2664" s="14" t="s">
        <v>18</v>
      </c>
      <c r="I2664" s="15">
        <v>2022.0</v>
      </c>
      <c r="J2664" s="16" t="str">
        <f>IFERROR(__xludf.DUMMYFUNCTION("FILTER('CLASFICACIÓN'!$F$3:$F5618,'CLASFICACIÓN'!$G$3:$G5618=M2664)"),"LOS 3 AÑOS")</f>
        <v>LOS 3 AÑOS</v>
      </c>
      <c r="K2664" s="16" t="str">
        <f t="array" ref="K2664">IFERROR(DGET('PADD-R'!$B$1:$K5618,'PADD-R'!$K$1,{'PADD-R'!$B$1;E2664}),"NO PARTICIPÓ")</f>
        <v>PADD 2023 Y 2024</v>
      </c>
      <c r="L2664" s="14" t="s">
        <v>138</v>
      </c>
      <c r="M2664" s="16" t="str">
        <f t="shared" si="1"/>
        <v>601332 Secundaria</v>
      </c>
      <c r="N2664" s="23"/>
      <c r="O2664" s="17"/>
      <c r="P2664" s="17"/>
      <c r="Q2664" s="17"/>
      <c r="R2664" s="17"/>
      <c r="S2664" s="17"/>
      <c r="T2664" s="17"/>
    </row>
    <row r="2665">
      <c r="A2665" s="18">
        <v>2295.0</v>
      </c>
      <c r="B2665" s="12" t="s">
        <v>13</v>
      </c>
      <c r="C2665" s="12" t="s">
        <v>27</v>
      </c>
      <c r="D2665" s="20" t="s">
        <v>28</v>
      </c>
      <c r="E2665" s="12" t="str">
        <f>IFERROR(__xludf.DUMMYFUNCTION("FILTER(colegios!$B$2:$B5618,colegios!$A$2:$A5618=L2665)"),"60133")</f>
        <v>60133</v>
      </c>
      <c r="F2665" s="14" t="s">
        <v>16</v>
      </c>
      <c r="G2665" s="14" t="s">
        <v>17</v>
      </c>
      <c r="H2665" s="14" t="s">
        <v>18</v>
      </c>
      <c r="I2665" s="15">
        <v>2022.0</v>
      </c>
      <c r="J2665" s="16" t="str">
        <f>IFERROR(__xludf.DUMMYFUNCTION("FILTER('CLASFICACIÓN'!$F$3:$F5618,'CLASFICACIÓN'!$G$3:$G5618=M2665)"),"LOS 3 AÑOS")</f>
        <v>LOS 3 AÑOS</v>
      </c>
      <c r="K2665" s="16" t="str">
        <f t="array" ref="K2665">IFERROR(DGET('PADD-R'!$B$1:$K5618,'PADD-R'!$K$1,{'PADD-R'!$B$1;E2665}),"NO PARTICIPÓ")</f>
        <v>PADD 2023 Y 2024</v>
      </c>
      <c r="L2665" s="14" t="s">
        <v>138</v>
      </c>
      <c r="M2665" s="16" t="str">
        <f t="shared" si="1"/>
        <v>601332 Secundaria</v>
      </c>
      <c r="N2665" s="23"/>
      <c r="O2665" s="17"/>
      <c r="P2665" s="17"/>
      <c r="Q2665" s="17"/>
      <c r="R2665" s="17"/>
      <c r="S2665" s="17"/>
      <c r="T2665" s="17"/>
    </row>
    <row r="2666">
      <c r="A2666" s="18">
        <v>2296.0</v>
      </c>
      <c r="B2666" s="12" t="s">
        <v>13</v>
      </c>
      <c r="C2666" s="12" t="s">
        <v>27</v>
      </c>
      <c r="D2666" s="20" t="s">
        <v>28</v>
      </c>
      <c r="E2666" s="12" t="str">
        <f>IFERROR(__xludf.DUMMYFUNCTION("FILTER(colegios!$B$2:$B5618,colegios!$A$2:$A5618=L2666)"),"60133")</f>
        <v>60133</v>
      </c>
      <c r="F2666" s="14" t="s">
        <v>16</v>
      </c>
      <c r="G2666" s="14" t="s">
        <v>17</v>
      </c>
      <c r="H2666" s="14" t="s">
        <v>18</v>
      </c>
      <c r="I2666" s="15">
        <v>2022.0</v>
      </c>
      <c r="J2666" s="16" t="str">
        <f>IFERROR(__xludf.DUMMYFUNCTION("FILTER('CLASFICACIÓN'!$F$3:$F5618,'CLASFICACIÓN'!$G$3:$G5618=M2666)"),"LOS 3 AÑOS")</f>
        <v>LOS 3 AÑOS</v>
      </c>
      <c r="K2666" s="16" t="str">
        <f t="array" ref="K2666">IFERROR(DGET('PADD-R'!$B$1:$K5618,'PADD-R'!$K$1,{'PADD-R'!$B$1;E2666}),"NO PARTICIPÓ")</f>
        <v>PADD 2023 Y 2024</v>
      </c>
      <c r="L2666" s="14" t="s">
        <v>138</v>
      </c>
      <c r="M2666" s="16" t="str">
        <f t="shared" si="1"/>
        <v>601332 Secundaria</v>
      </c>
      <c r="N2666" s="23"/>
      <c r="O2666" s="17"/>
      <c r="P2666" s="17"/>
      <c r="Q2666" s="17"/>
      <c r="R2666" s="17"/>
      <c r="S2666" s="17"/>
      <c r="T2666" s="17"/>
    </row>
    <row r="2667">
      <c r="A2667" s="18">
        <v>2297.0</v>
      </c>
      <c r="B2667" s="12" t="s">
        <v>13</v>
      </c>
      <c r="C2667" s="12" t="s">
        <v>27</v>
      </c>
      <c r="D2667" s="20" t="s">
        <v>28</v>
      </c>
      <c r="E2667" s="12" t="str">
        <f>IFERROR(__xludf.DUMMYFUNCTION("FILTER(colegios!$B$2:$B5618,colegios!$A$2:$A5618=L2667)"),"60133")</f>
        <v>60133</v>
      </c>
      <c r="F2667" s="14" t="s">
        <v>16</v>
      </c>
      <c r="G2667" s="14" t="s">
        <v>17</v>
      </c>
      <c r="H2667" s="14" t="s">
        <v>18</v>
      </c>
      <c r="I2667" s="15">
        <v>2022.0</v>
      </c>
      <c r="J2667" s="16" t="str">
        <f>IFERROR(__xludf.DUMMYFUNCTION("FILTER('CLASFICACIÓN'!$F$3:$F5618,'CLASFICACIÓN'!$G$3:$G5618=M2667)"),"LOS 3 AÑOS")</f>
        <v>LOS 3 AÑOS</v>
      </c>
      <c r="K2667" s="16" t="str">
        <f t="array" ref="K2667">IFERROR(DGET('PADD-R'!$B$1:$K5618,'PADD-R'!$K$1,{'PADD-R'!$B$1;E2667}),"NO PARTICIPÓ")</f>
        <v>PADD 2023 Y 2024</v>
      </c>
      <c r="L2667" s="14" t="s">
        <v>138</v>
      </c>
      <c r="M2667" s="16" t="str">
        <f t="shared" si="1"/>
        <v>601332 Secundaria</v>
      </c>
      <c r="N2667" s="23"/>
      <c r="O2667" s="17"/>
      <c r="P2667" s="17"/>
      <c r="Q2667" s="17"/>
      <c r="R2667" s="17"/>
      <c r="S2667" s="17"/>
      <c r="T2667" s="17"/>
    </row>
    <row r="2668">
      <c r="A2668" s="18">
        <v>2298.0</v>
      </c>
      <c r="B2668" s="12" t="s">
        <v>13</v>
      </c>
      <c r="C2668" s="12" t="s">
        <v>27</v>
      </c>
      <c r="D2668" s="20" t="s">
        <v>28</v>
      </c>
      <c r="E2668" s="12" t="str">
        <f>IFERROR(__xludf.DUMMYFUNCTION("FILTER(colegios!$B$2:$B5618,colegios!$A$2:$A5618=L2668)"),"60133")</f>
        <v>60133</v>
      </c>
      <c r="F2668" s="14" t="s">
        <v>16</v>
      </c>
      <c r="G2668" s="14" t="s">
        <v>17</v>
      </c>
      <c r="H2668" s="14" t="s">
        <v>18</v>
      </c>
      <c r="I2668" s="15">
        <v>2022.0</v>
      </c>
      <c r="J2668" s="16" t="str">
        <f>IFERROR(__xludf.DUMMYFUNCTION("FILTER('CLASFICACIÓN'!$F$3:$F5618,'CLASFICACIÓN'!$G$3:$G5618=M2668)"),"LOS 3 AÑOS")</f>
        <v>LOS 3 AÑOS</v>
      </c>
      <c r="K2668" s="16" t="str">
        <f t="array" ref="K2668">IFERROR(DGET('PADD-R'!$B$1:$K5618,'PADD-R'!$K$1,{'PADD-R'!$B$1;E2668}),"NO PARTICIPÓ")</f>
        <v>PADD 2023 Y 2024</v>
      </c>
      <c r="L2668" s="14" t="s">
        <v>138</v>
      </c>
      <c r="M2668" s="16" t="str">
        <f t="shared" si="1"/>
        <v>601332 Secundaria</v>
      </c>
      <c r="N2668" s="23"/>
      <c r="O2668" s="17"/>
      <c r="P2668" s="17"/>
      <c r="Q2668" s="17"/>
      <c r="R2668" s="17"/>
      <c r="S2668" s="17"/>
      <c r="T2668" s="17"/>
    </row>
    <row r="2669">
      <c r="A2669" s="18">
        <v>2299.0</v>
      </c>
      <c r="B2669" s="12" t="s">
        <v>13</v>
      </c>
      <c r="C2669" s="12" t="s">
        <v>27</v>
      </c>
      <c r="D2669" s="20" t="s">
        <v>28</v>
      </c>
      <c r="E2669" s="12" t="str">
        <f>IFERROR(__xludf.DUMMYFUNCTION("FILTER(colegios!$B$2:$B5618,colegios!$A$2:$A5618=L2669)"),"60133")</f>
        <v>60133</v>
      </c>
      <c r="F2669" s="14" t="s">
        <v>16</v>
      </c>
      <c r="G2669" s="14" t="s">
        <v>17</v>
      </c>
      <c r="H2669" s="14" t="s">
        <v>18</v>
      </c>
      <c r="I2669" s="15">
        <v>2022.0</v>
      </c>
      <c r="J2669" s="16" t="str">
        <f>IFERROR(__xludf.DUMMYFUNCTION("FILTER('CLASFICACIÓN'!$F$3:$F5618,'CLASFICACIÓN'!$G$3:$G5618=M2669)"),"LOS 3 AÑOS")</f>
        <v>LOS 3 AÑOS</v>
      </c>
      <c r="K2669" s="16" t="str">
        <f t="array" ref="K2669">IFERROR(DGET('PADD-R'!$B$1:$K5618,'PADD-R'!$K$1,{'PADD-R'!$B$1;E2669}),"NO PARTICIPÓ")</f>
        <v>PADD 2023 Y 2024</v>
      </c>
      <c r="L2669" s="14" t="s">
        <v>138</v>
      </c>
      <c r="M2669" s="16" t="str">
        <f t="shared" si="1"/>
        <v>601332 Secundaria</v>
      </c>
      <c r="N2669" s="23"/>
      <c r="O2669" s="17"/>
      <c r="P2669" s="17"/>
      <c r="Q2669" s="17"/>
      <c r="R2669" s="17"/>
      <c r="S2669" s="17"/>
      <c r="T2669" s="17"/>
    </row>
    <row r="2670">
      <c r="A2670" s="18">
        <v>2300.0</v>
      </c>
      <c r="B2670" s="12" t="s">
        <v>13</v>
      </c>
      <c r="C2670" s="12" t="s">
        <v>27</v>
      </c>
      <c r="D2670" s="20" t="s">
        <v>28</v>
      </c>
      <c r="E2670" s="12" t="str">
        <f>IFERROR(__xludf.DUMMYFUNCTION("FILTER(colegios!$B$2:$B5618,colegios!$A$2:$A5618=L2670)"),"60133")</f>
        <v>60133</v>
      </c>
      <c r="F2670" s="14" t="s">
        <v>16</v>
      </c>
      <c r="G2670" s="14" t="s">
        <v>21</v>
      </c>
      <c r="H2670" s="14" t="s">
        <v>18</v>
      </c>
      <c r="I2670" s="15">
        <v>2022.0</v>
      </c>
      <c r="J2670" s="16" t="str">
        <f>IFERROR(__xludf.DUMMYFUNCTION("FILTER('CLASFICACIÓN'!$F$3:$F5618,'CLASFICACIÓN'!$G$3:$G5618=M2670)"),"LOS 3 AÑOS")</f>
        <v>LOS 3 AÑOS</v>
      </c>
      <c r="K2670" s="16" t="str">
        <f t="array" ref="K2670">IFERROR(DGET('PADD-R'!$B$1:$K5618,'PADD-R'!$K$1,{'PADD-R'!$B$1;E2670}),"NO PARTICIPÓ")</f>
        <v>PADD 2023 Y 2024</v>
      </c>
      <c r="L2670" s="14" t="s">
        <v>138</v>
      </c>
      <c r="M2670" s="16" t="str">
        <f t="shared" si="1"/>
        <v>601332 Secundaria</v>
      </c>
      <c r="N2670" s="23"/>
      <c r="O2670" s="17"/>
      <c r="P2670" s="17"/>
      <c r="Q2670" s="17"/>
      <c r="R2670" s="17"/>
      <c r="S2670" s="17"/>
      <c r="T2670" s="17"/>
    </row>
    <row r="2671">
      <c r="A2671" s="18">
        <v>2301.0</v>
      </c>
      <c r="B2671" s="12" t="s">
        <v>13</v>
      </c>
      <c r="C2671" s="12" t="s">
        <v>27</v>
      </c>
      <c r="D2671" s="20" t="s">
        <v>28</v>
      </c>
      <c r="E2671" s="12" t="str">
        <f>IFERROR(__xludf.DUMMYFUNCTION("FILTER(colegios!$B$2:$B5618,colegios!$A$2:$A5618=L2671)"),"60133")</f>
        <v>60133</v>
      </c>
      <c r="F2671" s="14" t="s">
        <v>16</v>
      </c>
      <c r="G2671" s="14" t="s">
        <v>21</v>
      </c>
      <c r="H2671" s="14" t="s">
        <v>18</v>
      </c>
      <c r="I2671" s="15">
        <v>2022.0</v>
      </c>
      <c r="J2671" s="16" t="str">
        <f>IFERROR(__xludf.DUMMYFUNCTION("FILTER('CLASFICACIÓN'!$F$3:$F5618,'CLASFICACIÓN'!$G$3:$G5618=M2671)"),"LOS 3 AÑOS")</f>
        <v>LOS 3 AÑOS</v>
      </c>
      <c r="K2671" s="16" t="str">
        <f t="array" ref="K2671">IFERROR(DGET('PADD-R'!$B$1:$K5618,'PADD-R'!$K$1,{'PADD-R'!$B$1;E2671}),"NO PARTICIPÓ")</f>
        <v>PADD 2023 Y 2024</v>
      </c>
      <c r="L2671" s="14" t="s">
        <v>138</v>
      </c>
      <c r="M2671" s="16" t="str">
        <f t="shared" si="1"/>
        <v>601332 Secundaria</v>
      </c>
      <c r="N2671" s="23"/>
      <c r="O2671" s="17"/>
      <c r="P2671" s="17"/>
      <c r="Q2671" s="17"/>
      <c r="R2671" s="17"/>
      <c r="S2671" s="17"/>
      <c r="T2671" s="17"/>
    </row>
    <row r="2672">
      <c r="A2672" s="18">
        <v>2302.0</v>
      </c>
      <c r="B2672" s="12" t="s">
        <v>13</v>
      </c>
      <c r="C2672" s="12" t="s">
        <v>27</v>
      </c>
      <c r="D2672" s="20" t="s">
        <v>28</v>
      </c>
      <c r="E2672" s="12" t="str">
        <f>IFERROR(__xludf.DUMMYFUNCTION("FILTER(colegios!$B$2:$B5618,colegios!$A$2:$A5618=L2672)"),"60133")</f>
        <v>60133</v>
      </c>
      <c r="F2672" s="14" t="s">
        <v>16</v>
      </c>
      <c r="G2672" s="14" t="s">
        <v>17</v>
      </c>
      <c r="H2672" s="14" t="s">
        <v>18</v>
      </c>
      <c r="I2672" s="15">
        <v>2022.0</v>
      </c>
      <c r="J2672" s="16" t="str">
        <f>IFERROR(__xludf.DUMMYFUNCTION("FILTER('CLASFICACIÓN'!$F$3:$F5618,'CLASFICACIÓN'!$G$3:$G5618=M2672)"),"LOS 3 AÑOS")</f>
        <v>LOS 3 AÑOS</v>
      </c>
      <c r="K2672" s="16" t="str">
        <f t="array" ref="K2672">IFERROR(DGET('PADD-R'!$B$1:$K5618,'PADD-R'!$K$1,{'PADD-R'!$B$1;E2672}),"NO PARTICIPÓ")</f>
        <v>PADD 2023 Y 2024</v>
      </c>
      <c r="L2672" s="14" t="s">
        <v>138</v>
      </c>
      <c r="M2672" s="16" t="str">
        <f t="shared" si="1"/>
        <v>601332 Secundaria</v>
      </c>
      <c r="N2672" s="23"/>
      <c r="O2672" s="17"/>
      <c r="P2672" s="17"/>
      <c r="Q2672" s="17"/>
      <c r="R2672" s="17"/>
      <c r="S2672" s="17"/>
      <c r="T2672" s="17"/>
    </row>
    <row r="2673">
      <c r="A2673" s="18">
        <v>2303.0</v>
      </c>
      <c r="B2673" s="12" t="s">
        <v>13</v>
      </c>
      <c r="C2673" s="12" t="s">
        <v>27</v>
      </c>
      <c r="D2673" s="20" t="s">
        <v>28</v>
      </c>
      <c r="E2673" s="12" t="str">
        <f>IFERROR(__xludf.DUMMYFUNCTION("FILTER(colegios!$B$2:$B5618,colegios!$A$2:$A5618=L2673)"),"60133")</f>
        <v>60133</v>
      </c>
      <c r="F2673" s="14" t="s">
        <v>16</v>
      </c>
      <c r="G2673" s="14" t="s">
        <v>21</v>
      </c>
      <c r="H2673" s="14" t="s">
        <v>18</v>
      </c>
      <c r="I2673" s="15">
        <v>2022.0</v>
      </c>
      <c r="J2673" s="16" t="str">
        <f>IFERROR(__xludf.DUMMYFUNCTION("FILTER('CLASFICACIÓN'!$F$3:$F5618,'CLASFICACIÓN'!$G$3:$G5618=M2673)"),"LOS 3 AÑOS")</f>
        <v>LOS 3 AÑOS</v>
      </c>
      <c r="K2673" s="16" t="str">
        <f t="array" ref="K2673">IFERROR(DGET('PADD-R'!$B$1:$K5618,'PADD-R'!$K$1,{'PADD-R'!$B$1;E2673}),"NO PARTICIPÓ")</f>
        <v>PADD 2023 Y 2024</v>
      </c>
      <c r="L2673" s="14" t="s">
        <v>138</v>
      </c>
      <c r="M2673" s="16" t="str">
        <f t="shared" si="1"/>
        <v>601332 Secundaria</v>
      </c>
      <c r="N2673" s="23"/>
      <c r="O2673" s="17"/>
      <c r="P2673" s="17"/>
      <c r="Q2673" s="17"/>
      <c r="R2673" s="17"/>
      <c r="S2673" s="17"/>
      <c r="T2673" s="17"/>
    </row>
    <row r="2674">
      <c r="A2674" s="18">
        <v>2304.0</v>
      </c>
      <c r="B2674" s="12" t="s">
        <v>13</v>
      </c>
      <c r="C2674" s="12" t="s">
        <v>27</v>
      </c>
      <c r="D2674" s="20" t="s">
        <v>28</v>
      </c>
      <c r="E2674" s="12" t="str">
        <f>IFERROR(__xludf.DUMMYFUNCTION("FILTER(colegios!$B$2:$B5618,colegios!$A$2:$A5618=L2674)"),"60133")</f>
        <v>60133</v>
      </c>
      <c r="F2674" s="14" t="s">
        <v>16</v>
      </c>
      <c r="G2674" s="14" t="s">
        <v>21</v>
      </c>
      <c r="H2674" s="14" t="s">
        <v>18</v>
      </c>
      <c r="I2674" s="15">
        <v>2022.0</v>
      </c>
      <c r="J2674" s="16" t="str">
        <f>IFERROR(__xludf.DUMMYFUNCTION("FILTER('CLASFICACIÓN'!$F$3:$F5618,'CLASFICACIÓN'!$G$3:$G5618=M2674)"),"LOS 3 AÑOS")</f>
        <v>LOS 3 AÑOS</v>
      </c>
      <c r="K2674" s="16" t="str">
        <f t="array" ref="K2674">IFERROR(DGET('PADD-R'!$B$1:$K5618,'PADD-R'!$K$1,{'PADD-R'!$B$1;E2674}),"NO PARTICIPÓ")</f>
        <v>PADD 2023 Y 2024</v>
      </c>
      <c r="L2674" s="14" t="s">
        <v>138</v>
      </c>
      <c r="M2674" s="16" t="str">
        <f t="shared" si="1"/>
        <v>601332 Secundaria</v>
      </c>
      <c r="N2674" s="23"/>
      <c r="O2674" s="17"/>
      <c r="P2674" s="17"/>
      <c r="Q2674" s="17"/>
      <c r="R2674" s="17"/>
      <c r="S2674" s="17"/>
      <c r="T2674" s="17"/>
    </row>
    <row r="2675">
      <c r="A2675" s="18">
        <v>2305.0</v>
      </c>
      <c r="B2675" s="12" t="s">
        <v>13</v>
      </c>
      <c r="C2675" s="12" t="s">
        <v>27</v>
      </c>
      <c r="D2675" s="20" t="s">
        <v>28</v>
      </c>
      <c r="E2675" s="12" t="str">
        <f>IFERROR(__xludf.DUMMYFUNCTION("FILTER(colegios!$B$2:$B5618,colegios!$A$2:$A5618=L2675)"),"60133")</f>
        <v>60133</v>
      </c>
      <c r="F2675" s="14" t="s">
        <v>16</v>
      </c>
      <c r="G2675" s="14" t="s">
        <v>17</v>
      </c>
      <c r="H2675" s="14" t="s">
        <v>18</v>
      </c>
      <c r="I2675" s="15">
        <v>2022.0</v>
      </c>
      <c r="J2675" s="16" t="str">
        <f>IFERROR(__xludf.DUMMYFUNCTION("FILTER('CLASFICACIÓN'!$F$3:$F5618,'CLASFICACIÓN'!$G$3:$G5618=M2675)"),"LOS 3 AÑOS")</f>
        <v>LOS 3 AÑOS</v>
      </c>
      <c r="K2675" s="16" t="str">
        <f t="array" ref="K2675">IFERROR(DGET('PADD-R'!$B$1:$K5618,'PADD-R'!$K$1,{'PADD-R'!$B$1;E2675}),"NO PARTICIPÓ")</f>
        <v>PADD 2023 Y 2024</v>
      </c>
      <c r="L2675" s="14" t="s">
        <v>138</v>
      </c>
      <c r="M2675" s="16" t="str">
        <f t="shared" si="1"/>
        <v>601332 Secundaria</v>
      </c>
      <c r="N2675" s="23"/>
      <c r="O2675" s="17"/>
      <c r="P2675" s="17"/>
      <c r="Q2675" s="17"/>
      <c r="R2675" s="17"/>
      <c r="S2675" s="17"/>
      <c r="T2675" s="17"/>
    </row>
    <row r="2676">
      <c r="A2676" s="18">
        <v>2306.0</v>
      </c>
      <c r="B2676" s="12" t="s">
        <v>13</v>
      </c>
      <c r="C2676" s="12" t="s">
        <v>27</v>
      </c>
      <c r="D2676" s="20" t="s">
        <v>28</v>
      </c>
      <c r="E2676" s="12" t="str">
        <f>IFERROR(__xludf.DUMMYFUNCTION("FILTER(colegios!$B$2:$B5618,colegios!$A$2:$A5618=L2676)"),"60133")</f>
        <v>60133</v>
      </c>
      <c r="F2676" s="14" t="s">
        <v>16</v>
      </c>
      <c r="G2676" s="14" t="s">
        <v>17</v>
      </c>
      <c r="H2676" s="14" t="s">
        <v>18</v>
      </c>
      <c r="I2676" s="15">
        <v>2022.0</v>
      </c>
      <c r="J2676" s="16" t="str">
        <f>IFERROR(__xludf.DUMMYFUNCTION("FILTER('CLASFICACIÓN'!$F$3:$F5618,'CLASFICACIÓN'!$G$3:$G5618=M2676)"),"LOS 3 AÑOS")</f>
        <v>LOS 3 AÑOS</v>
      </c>
      <c r="K2676" s="16" t="str">
        <f t="array" ref="K2676">IFERROR(DGET('PADD-R'!$B$1:$K5618,'PADD-R'!$K$1,{'PADD-R'!$B$1;E2676}),"NO PARTICIPÓ")</f>
        <v>PADD 2023 Y 2024</v>
      </c>
      <c r="L2676" s="14" t="s">
        <v>138</v>
      </c>
      <c r="M2676" s="16" t="str">
        <f t="shared" si="1"/>
        <v>601332 Secundaria</v>
      </c>
      <c r="N2676" s="23"/>
      <c r="O2676" s="17"/>
      <c r="P2676" s="17"/>
      <c r="Q2676" s="17"/>
      <c r="R2676" s="17"/>
      <c r="S2676" s="17"/>
      <c r="T2676" s="17"/>
    </row>
    <row r="2677">
      <c r="A2677" s="18">
        <v>2307.0</v>
      </c>
      <c r="B2677" s="12" t="s">
        <v>13</v>
      </c>
      <c r="C2677" s="12" t="s">
        <v>27</v>
      </c>
      <c r="D2677" s="20" t="s">
        <v>28</v>
      </c>
      <c r="E2677" s="12" t="str">
        <f>IFERROR(__xludf.DUMMYFUNCTION("FILTER(colegios!$B$2:$B5618,colegios!$A$2:$A5618=L2677)"),"60133")</f>
        <v>60133</v>
      </c>
      <c r="F2677" s="14" t="s">
        <v>16</v>
      </c>
      <c r="G2677" s="14" t="s">
        <v>21</v>
      </c>
      <c r="H2677" s="14" t="s">
        <v>18</v>
      </c>
      <c r="I2677" s="15">
        <v>2022.0</v>
      </c>
      <c r="J2677" s="16" t="str">
        <f>IFERROR(__xludf.DUMMYFUNCTION("FILTER('CLASFICACIÓN'!$F$3:$F5618,'CLASFICACIÓN'!$G$3:$G5618=M2677)"),"LOS 3 AÑOS")</f>
        <v>LOS 3 AÑOS</v>
      </c>
      <c r="K2677" s="16" t="str">
        <f t="array" ref="K2677">IFERROR(DGET('PADD-R'!$B$1:$K5618,'PADD-R'!$K$1,{'PADD-R'!$B$1;E2677}),"NO PARTICIPÓ")</f>
        <v>PADD 2023 Y 2024</v>
      </c>
      <c r="L2677" s="14" t="s">
        <v>138</v>
      </c>
      <c r="M2677" s="16" t="str">
        <f t="shared" si="1"/>
        <v>601332 Secundaria</v>
      </c>
      <c r="N2677" s="23"/>
      <c r="O2677" s="17"/>
      <c r="P2677" s="17"/>
      <c r="Q2677" s="17"/>
      <c r="R2677" s="17"/>
      <c r="S2677" s="17"/>
      <c r="T2677" s="17"/>
    </row>
    <row r="2678">
      <c r="A2678" s="18">
        <v>2308.0</v>
      </c>
      <c r="B2678" s="12" t="s">
        <v>13</v>
      </c>
      <c r="C2678" s="12" t="s">
        <v>27</v>
      </c>
      <c r="D2678" s="20" t="s">
        <v>28</v>
      </c>
      <c r="E2678" s="12" t="str">
        <f>IFERROR(__xludf.DUMMYFUNCTION("FILTER(colegios!$B$2:$B5618,colegios!$A$2:$A5618=L2678)"),"60133")</f>
        <v>60133</v>
      </c>
      <c r="F2678" s="14" t="s">
        <v>16</v>
      </c>
      <c r="G2678" s="14" t="s">
        <v>21</v>
      </c>
      <c r="H2678" s="14" t="s">
        <v>18</v>
      </c>
      <c r="I2678" s="15">
        <v>2022.0</v>
      </c>
      <c r="J2678" s="16" t="str">
        <f>IFERROR(__xludf.DUMMYFUNCTION("FILTER('CLASFICACIÓN'!$F$3:$F5618,'CLASFICACIÓN'!$G$3:$G5618=M2678)"),"LOS 3 AÑOS")</f>
        <v>LOS 3 AÑOS</v>
      </c>
      <c r="K2678" s="16" t="str">
        <f t="array" ref="K2678">IFERROR(DGET('PADD-R'!$B$1:$K5618,'PADD-R'!$K$1,{'PADD-R'!$B$1;E2678}),"NO PARTICIPÓ")</f>
        <v>PADD 2023 Y 2024</v>
      </c>
      <c r="L2678" s="14" t="s">
        <v>138</v>
      </c>
      <c r="M2678" s="16" t="str">
        <f t="shared" si="1"/>
        <v>601332 Secundaria</v>
      </c>
      <c r="N2678" s="23"/>
      <c r="O2678" s="17"/>
      <c r="P2678" s="17"/>
      <c r="Q2678" s="17"/>
      <c r="R2678" s="17"/>
      <c r="S2678" s="17"/>
      <c r="T2678" s="17"/>
    </row>
    <row r="2679">
      <c r="A2679" s="18">
        <v>2309.0</v>
      </c>
      <c r="B2679" s="12" t="s">
        <v>13</v>
      </c>
      <c r="C2679" s="12" t="s">
        <v>27</v>
      </c>
      <c r="D2679" s="20" t="s">
        <v>28</v>
      </c>
      <c r="E2679" s="12" t="str">
        <f>IFERROR(__xludf.DUMMYFUNCTION("FILTER(colegios!$B$2:$B5618,colegios!$A$2:$A5618=L2679)"),"60133")</f>
        <v>60133</v>
      </c>
      <c r="F2679" s="14" t="s">
        <v>16</v>
      </c>
      <c r="G2679" s="14" t="s">
        <v>17</v>
      </c>
      <c r="H2679" s="14" t="s">
        <v>18</v>
      </c>
      <c r="I2679" s="15">
        <v>2022.0</v>
      </c>
      <c r="J2679" s="16" t="str">
        <f>IFERROR(__xludf.DUMMYFUNCTION("FILTER('CLASFICACIÓN'!$F$3:$F5618,'CLASFICACIÓN'!$G$3:$G5618=M2679)"),"LOS 3 AÑOS")</f>
        <v>LOS 3 AÑOS</v>
      </c>
      <c r="K2679" s="16" t="str">
        <f t="array" ref="K2679">IFERROR(DGET('PADD-R'!$B$1:$K5618,'PADD-R'!$K$1,{'PADD-R'!$B$1;E2679}),"NO PARTICIPÓ")</f>
        <v>PADD 2023 Y 2024</v>
      </c>
      <c r="L2679" s="14" t="s">
        <v>138</v>
      </c>
      <c r="M2679" s="16" t="str">
        <f t="shared" si="1"/>
        <v>601332 Secundaria</v>
      </c>
      <c r="N2679" s="23"/>
      <c r="O2679" s="17"/>
      <c r="P2679" s="17"/>
      <c r="Q2679" s="17"/>
      <c r="R2679" s="17"/>
      <c r="S2679" s="17"/>
      <c r="T2679" s="17"/>
    </row>
    <row r="2680">
      <c r="A2680" s="18">
        <v>2310.0</v>
      </c>
      <c r="B2680" s="12" t="s">
        <v>13</v>
      </c>
      <c r="C2680" s="12" t="s">
        <v>27</v>
      </c>
      <c r="D2680" s="20" t="s">
        <v>28</v>
      </c>
      <c r="E2680" s="12" t="str">
        <f>IFERROR(__xludf.DUMMYFUNCTION("FILTER(colegios!$B$2:$B5618,colegios!$A$2:$A5618=L2680)"),"60133")</f>
        <v>60133</v>
      </c>
      <c r="F2680" s="14" t="s">
        <v>16</v>
      </c>
      <c r="G2680" s="14" t="s">
        <v>21</v>
      </c>
      <c r="H2680" s="14" t="s">
        <v>18</v>
      </c>
      <c r="I2680" s="15">
        <v>2022.0</v>
      </c>
      <c r="J2680" s="16" t="str">
        <f>IFERROR(__xludf.DUMMYFUNCTION("FILTER('CLASFICACIÓN'!$F$3:$F5618,'CLASFICACIÓN'!$G$3:$G5618=M2680)"),"LOS 3 AÑOS")</f>
        <v>LOS 3 AÑOS</v>
      </c>
      <c r="K2680" s="16" t="str">
        <f t="array" ref="K2680">IFERROR(DGET('PADD-R'!$B$1:$K5618,'PADD-R'!$K$1,{'PADD-R'!$B$1;E2680}),"NO PARTICIPÓ")</f>
        <v>PADD 2023 Y 2024</v>
      </c>
      <c r="L2680" s="14" t="s">
        <v>138</v>
      </c>
      <c r="M2680" s="16" t="str">
        <f t="shared" si="1"/>
        <v>601332 Secundaria</v>
      </c>
      <c r="N2680" s="23"/>
      <c r="O2680" s="17"/>
      <c r="P2680" s="17"/>
      <c r="Q2680" s="17"/>
      <c r="R2680" s="17"/>
      <c r="S2680" s="17"/>
      <c r="T2680" s="17"/>
    </row>
    <row r="2681">
      <c r="A2681" s="18">
        <v>2311.0</v>
      </c>
      <c r="B2681" s="12" t="s">
        <v>13</v>
      </c>
      <c r="C2681" s="12" t="s">
        <v>27</v>
      </c>
      <c r="D2681" s="20" t="s">
        <v>28</v>
      </c>
      <c r="E2681" s="12" t="str">
        <f>IFERROR(__xludf.DUMMYFUNCTION("FILTER(colegios!$B$2:$B5618,colegios!$A$2:$A5618=L2681)"),"60133")</f>
        <v>60133</v>
      </c>
      <c r="F2681" s="14" t="s">
        <v>16</v>
      </c>
      <c r="G2681" s="14" t="s">
        <v>21</v>
      </c>
      <c r="H2681" s="14" t="s">
        <v>18</v>
      </c>
      <c r="I2681" s="15">
        <v>2022.0</v>
      </c>
      <c r="J2681" s="16" t="str">
        <f>IFERROR(__xludf.DUMMYFUNCTION("FILTER('CLASFICACIÓN'!$F$3:$F5618,'CLASFICACIÓN'!$G$3:$G5618=M2681)"),"LOS 3 AÑOS")</f>
        <v>LOS 3 AÑOS</v>
      </c>
      <c r="K2681" s="16" t="str">
        <f t="array" ref="K2681">IFERROR(DGET('PADD-R'!$B$1:$K5618,'PADD-R'!$K$1,{'PADD-R'!$B$1;E2681}),"NO PARTICIPÓ")</f>
        <v>PADD 2023 Y 2024</v>
      </c>
      <c r="L2681" s="14" t="s">
        <v>138</v>
      </c>
      <c r="M2681" s="16" t="str">
        <f t="shared" si="1"/>
        <v>601332 Secundaria</v>
      </c>
      <c r="N2681" s="23"/>
      <c r="O2681" s="17"/>
      <c r="P2681" s="17"/>
      <c r="Q2681" s="17"/>
      <c r="R2681" s="17"/>
      <c r="S2681" s="17"/>
      <c r="T2681" s="17"/>
    </row>
    <row r="2682">
      <c r="A2682" s="18">
        <v>2312.0</v>
      </c>
      <c r="B2682" s="12" t="s">
        <v>13</v>
      </c>
      <c r="C2682" s="12" t="s">
        <v>27</v>
      </c>
      <c r="D2682" s="20" t="s">
        <v>28</v>
      </c>
      <c r="E2682" s="12" t="str">
        <f>IFERROR(__xludf.DUMMYFUNCTION("FILTER(colegios!$B$2:$B5618,colegios!$A$2:$A5618=L2682)"),"60133")</f>
        <v>60133</v>
      </c>
      <c r="F2682" s="14" t="s">
        <v>16</v>
      </c>
      <c r="G2682" s="14" t="s">
        <v>17</v>
      </c>
      <c r="H2682" s="14" t="s">
        <v>18</v>
      </c>
      <c r="I2682" s="15">
        <v>2022.0</v>
      </c>
      <c r="J2682" s="16" t="str">
        <f>IFERROR(__xludf.DUMMYFUNCTION("FILTER('CLASFICACIÓN'!$F$3:$F5618,'CLASFICACIÓN'!$G$3:$G5618=M2682)"),"LOS 3 AÑOS")</f>
        <v>LOS 3 AÑOS</v>
      </c>
      <c r="K2682" s="16" t="str">
        <f t="array" ref="K2682">IFERROR(DGET('PADD-R'!$B$1:$K5618,'PADD-R'!$K$1,{'PADD-R'!$B$1;E2682}),"NO PARTICIPÓ")</f>
        <v>PADD 2023 Y 2024</v>
      </c>
      <c r="L2682" s="14" t="s">
        <v>138</v>
      </c>
      <c r="M2682" s="16" t="str">
        <f t="shared" si="1"/>
        <v>601332 Secundaria</v>
      </c>
      <c r="N2682" s="23"/>
      <c r="O2682" s="17"/>
      <c r="P2682" s="17"/>
      <c r="Q2682" s="17"/>
      <c r="R2682" s="17"/>
      <c r="S2682" s="17"/>
      <c r="T2682" s="17"/>
    </row>
    <row r="2683">
      <c r="A2683" s="18">
        <v>2313.0</v>
      </c>
      <c r="B2683" s="12" t="s">
        <v>13</v>
      </c>
      <c r="C2683" s="12" t="s">
        <v>27</v>
      </c>
      <c r="D2683" s="20" t="s">
        <v>28</v>
      </c>
      <c r="E2683" s="12" t="str">
        <f>IFERROR(__xludf.DUMMYFUNCTION("FILTER(colegios!$B$2:$B5618,colegios!$A$2:$A5618=L2683)"),"60133")</f>
        <v>60133</v>
      </c>
      <c r="F2683" s="14" t="s">
        <v>16</v>
      </c>
      <c r="G2683" s="14" t="s">
        <v>17</v>
      </c>
      <c r="H2683" s="14" t="s">
        <v>18</v>
      </c>
      <c r="I2683" s="15">
        <v>2022.0</v>
      </c>
      <c r="J2683" s="16" t="str">
        <f>IFERROR(__xludf.DUMMYFUNCTION("FILTER('CLASFICACIÓN'!$F$3:$F5618,'CLASFICACIÓN'!$G$3:$G5618=M2683)"),"LOS 3 AÑOS")</f>
        <v>LOS 3 AÑOS</v>
      </c>
      <c r="K2683" s="16" t="str">
        <f t="array" ref="K2683">IFERROR(DGET('PADD-R'!$B$1:$K5618,'PADD-R'!$K$1,{'PADD-R'!$B$1;E2683}),"NO PARTICIPÓ")</f>
        <v>PADD 2023 Y 2024</v>
      </c>
      <c r="L2683" s="14" t="s">
        <v>138</v>
      </c>
      <c r="M2683" s="16" t="str">
        <f t="shared" si="1"/>
        <v>601332 Secundaria</v>
      </c>
      <c r="N2683" s="23"/>
      <c r="O2683" s="17"/>
      <c r="P2683" s="17"/>
      <c r="Q2683" s="17"/>
      <c r="R2683" s="17"/>
      <c r="S2683" s="17"/>
      <c r="T2683" s="17"/>
    </row>
    <row r="2684">
      <c r="A2684" s="18">
        <v>2314.0</v>
      </c>
      <c r="B2684" s="12" t="s">
        <v>13</v>
      </c>
      <c r="C2684" s="12" t="s">
        <v>27</v>
      </c>
      <c r="D2684" s="20" t="s">
        <v>28</v>
      </c>
      <c r="E2684" s="12" t="str">
        <f>IFERROR(__xludf.DUMMYFUNCTION("FILTER(colegios!$B$2:$B5618,colegios!$A$2:$A5618=L2684)"),"60133")</f>
        <v>60133</v>
      </c>
      <c r="F2684" s="14" t="s">
        <v>16</v>
      </c>
      <c r="G2684" s="14" t="s">
        <v>21</v>
      </c>
      <c r="H2684" s="14" t="s">
        <v>18</v>
      </c>
      <c r="I2684" s="15">
        <v>2022.0</v>
      </c>
      <c r="J2684" s="16" t="str">
        <f>IFERROR(__xludf.DUMMYFUNCTION("FILTER('CLASFICACIÓN'!$F$3:$F5618,'CLASFICACIÓN'!$G$3:$G5618=M2684)"),"LOS 3 AÑOS")</f>
        <v>LOS 3 AÑOS</v>
      </c>
      <c r="K2684" s="16" t="str">
        <f t="array" ref="K2684">IFERROR(DGET('PADD-R'!$B$1:$K5618,'PADD-R'!$K$1,{'PADD-R'!$B$1;E2684}),"NO PARTICIPÓ")</f>
        <v>PADD 2023 Y 2024</v>
      </c>
      <c r="L2684" s="14" t="s">
        <v>138</v>
      </c>
      <c r="M2684" s="16" t="str">
        <f t="shared" si="1"/>
        <v>601332 Secundaria</v>
      </c>
      <c r="N2684" s="23"/>
      <c r="O2684" s="17"/>
      <c r="P2684" s="17"/>
      <c r="Q2684" s="17"/>
      <c r="R2684" s="17"/>
      <c r="S2684" s="17"/>
      <c r="T2684" s="17"/>
    </row>
    <row r="2685">
      <c r="A2685" s="18">
        <v>2315.0</v>
      </c>
      <c r="B2685" s="12" t="s">
        <v>13</v>
      </c>
      <c r="C2685" s="12" t="s">
        <v>27</v>
      </c>
      <c r="D2685" s="20" t="s">
        <v>28</v>
      </c>
      <c r="E2685" s="12" t="str">
        <f>IFERROR(__xludf.DUMMYFUNCTION("FILTER(colegios!$B$2:$B5618,colegios!$A$2:$A5618=L2685)"),"60133")</f>
        <v>60133</v>
      </c>
      <c r="F2685" s="14" t="s">
        <v>16</v>
      </c>
      <c r="G2685" s="14" t="s">
        <v>21</v>
      </c>
      <c r="H2685" s="14" t="s">
        <v>18</v>
      </c>
      <c r="I2685" s="15">
        <v>2022.0</v>
      </c>
      <c r="J2685" s="16" t="str">
        <f>IFERROR(__xludf.DUMMYFUNCTION("FILTER('CLASFICACIÓN'!$F$3:$F5618,'CLASFICACIÓN'!$G$3:$G5618=M2685)"),"LOS 3 AÑOS")</f>
        <v>LOS 3 AÑOS</v>
      </c>
      <c r="K2685" s="16" t="str">
        <f t="array" ref="K2685">IFERROR(DGET('PADD-R'!$B$1:$K5618,'PADD-R'!$K$1,{'PADD-R'!$B$1;E2685}),"NO PARTICIPÓ")</f>
        <v>PADD 2023 Y 2024</v>
      </c>
      <c r="L2685" s="14" t="s">
        <v>138</v>
      </c>
      <c r="M2685" s="16" t="str">
        <f t="shared" si="1"/>
        <v>601332 Secundaria</v>
      </c>
      <c r="N2685" s="23"/>
      <c r="O2685" s="17"/>
      <c r="P2685" s="17"/>
      <c r="Q2685" s="17"/>
      <c r="R2685" s="17"/>
      <c r="S2685" s="17"/>
      <c r="T2685" s="17"/>
    </row>
    <row r="2686">
      <c r="A2686" s="18">
        <v>2316.0</v>
      </c>
      <c r="B2686" s="12" t="s">
        <v>13</v>
      </c>
      <c r="C2686" s="12" t="s">
        <v>27</v>
      </c>
      <c r="D2686" s="20" t="s">
        <v>28</v>
      </c>
      <c r="E2686" s="12" t="str">
        <f>IFERROR(__xludf.DUMMYFUNCTION("FILTER(colegios!$B$2:$B5618,colegios!$A$2:$A5618=L2686)"),"60133")</f>
        <v>60133</v>
      </c>
      <c r="F2686" s="14" t="s">
        <v>16</v>
      </c>
      <c r="G2686" s="14" t="s">
        <v>21</v>
      </c>
      <c r="H2686" s="14" t="s">
        <v>18</v>
      </c>
      <c r="I2686" s="15">
        <v>2022.0</v>
      </c>
      <c r="J2686" s="16" t="str">
        <f>IFERROR(__xludf.DUMMYFUNCTION("FILTER('CLASFICACIÓN'!$F$3:$F5618,'CLASFICACIÓN'!$G$3:$G5618=M2686)"),"LOS 3 AÑOS")</f>
        <v>LOS 3 AÑOS</v>
      </c>
      <c r="K2686" s="16" t="str">
        <f t="array" ref="K2686">IFERROR(DGET('PADD-R'!$B$1:$K5618,'PADD-R'!$K$1,{'PADD-R'!$B$1;E2686}),"NO PARTICIPÓ")</f>
        <v>PADD 2023 Y 2024</v>
      </c>
      <c r="L2686" s="14" t="s">
        <v>138</v>
      </c>
      <c r="M2686" s="16" t="str">
        <f t="shared" si="1"/>
        <v>601332 Secundaria</v>
      </c>
      <c r="N2686" s="23"/>
      <c r="O2686" s="17"/>
      <c r="P2686" s="17"/>
      <c r="Q2686" s="17"/>
      <c r="R2686" s="17"/>
      <c r="S2686" s="17"/>
      <c r="T2686" s="17"/>
    </row>
    <row r="2687">
      <c r="A2687" s="18">
        <v>2317.0</v>
      </c>
      <c r="B2687" s="12" t="s">
        <v>13</v>
      </c>
      <c r="C2687" s="12" t="s">
        <v>27</v>
      </c>
      <c r="D2687" s="20" t="s">
        <v>28</v>
      </c>
      <c r="E2687" s="12" t="str">
        <f>IFERROR(__xludf.DUMMYFUNCTION("FILTER(colegios!$B$2:$B5618,colegios!$A$2:$A5618=L2687)"),"60133")</f>
        <v>60133</v>
      </c>
      <c r="F2687" s="14" t="s">
        <v>16</v>
      </c>
      <c r="G2687" s="14" t="s">
        <v>17</v>
      </c>
      <c r="H2687" s="14" t="s">
        <v>18</v>
      </c>
      <c r="I2687" s="15">
        <v>2022.0</v>
      </c>
      <c r="J2687" s="16" t="str">
        <f>IFERROR(__xludf.DUMMYFUNCTION("FILTER('CLASFICACIÓN'!$F$3:$F5618,'CLASFICACIÓN'!$G$3:$G5618=M2687)"),"LOS 3 AÑOS")</f>
        <v>LOS 3 AÑOS</v>
      </c>
      <c r="K2687" s="16" t="str">
        <f t="array" ref="K2687">IFERROR(DGET('PADD-R'!$B$1:$K5618,'PADD-R'!$K$1,{'PADD-R'!$B$1;E2687}),"NO PARTICIPÓ")</f>
        <v>PADD 2023 Y 2024</v>
      </c>
      <c r="L2687" s="14" t="s">
        <v>138</v>
      </c>
      <c r="M2687" s="16" t="str">
        <f t="shared" si="1"/>
        <v>601332 Secundaria</v>
      </c>
      <c r="N2687" s="23"/>
      <c r="O2687" s="17"/>
      <c r="P2687" s="17"/>
      <c r="Q2687" s="17"/>
      <c r="R2687" s="17"/>
      <c r="S2687" s="17"/>
      <c r="T2687" s="17"/>
    </row>
    <row r="2688">
      <c r="A2688" s="18">
        <v>2318.0</v>
      </c>
      <c r="B2688" s="12" t="s">
        <v>13</v>
      </c>
      <c r="C2688" s="12" t="s">
        <v>14</v>
      </c>
      <c r="D2688" s="20" t="s">
        <v>20</v>
      </c>
      <c r="E2688" s="12" t="str">
        <f>IFERROR(__xludf.DUMMYFUNCTION("FILTER(colegios!$B$2:$B5618,colegios!$A$2:$A5618=L2688)"),"60133")</f>
        <v>60133</v>
      </c>
      <c r="F2688" s="14" t="s">
        <v>16</v>
      </c>
      <c r="G2688" s="14" t="s">
        <v>21</v>
      </c>
      <c r="H2688" s="14" t="s">
        <v>18</v>
      </c>
      <c r="I2688" s="15">
        <v>2022.0</v>
      </c>
      <c r="J2688" s="16" t="str">
        <f>IFERROR(__xludf.DUMMYFUNCTION("FILTER('CLASFICACIÓN'!$F$3:$F5618,'CLASFICACIÓN'!$G$3:$G5618=M2688)"),"LOS 3 AÑOS")</f>
        <v>LOS 3 AÑOS</v>
      </c>
      <c r="K2688" s="16" t="str">
        <f t="array" ref="K2688">IFERROR(DGET('PADD-R'!$B$1:$K5618,'PADD-R'!$K$1,{'PADD-R'!$B$1;E2688}),"NO PARTICIPÓ")</f>
        <v>PADD 2023 Y 2024</v>
      </c>
      <c r="L2688" s="14" t="s">
        <v>138</v>
      </c>
      <c r="M2688" s="16" t="str">
        <f t="shared" si="1"/>
        <v>601334 Primaria</v>
      </c>
      <c r="N2688" s="23"/>
      <c r="O2688" s="17"/>
      <c r="P2688" s="17"/>
      <c r="Q2688" s="17"/>
      <c r="R2688" s="17"/>
      <c r="S2688" s="17"/>
      <c r="T2688" s="17"/>
    </row>
    <row r="2689">
      <c r="A2689" s="18">
        <v>2319.0</v>
      </c>
      <c r="B2689" s="12" t="s">
        <v>13</v>
      </c>
      <c r="C2689" s="12" t="s">
        <v>14</v>
      </c>
      <c r="D2689" s="20" t="s">
        <v>20</v>
      </c>
      <c r="E2689" s="12" t="str">
        <f>IFERROR(__xludf.DUMMYFUNCTION("FILTER(colegios!$B$2:$B5618,colegios!$A$2:$A5618=L2689)"),"60133")</f>
        <v>60133</v>
      </c>
      <c r="F2689" s="14" t="s">
        <v>16</v>
      </c>
      <c r="G2689" s="14" t="s">
        <v>17</v>
      </c>
      <c r="H2689" s="14" t="s">
        <v>18</v>
      </c>
      <c r="I2689" s="15">
        <v>2022.0</v>
      </c>
      <c r="J2689" s="16" t="str">
        <f>IFERROR(__xludf.DUMMYFUNCTION("FILTER('CLASFICACIÓN'!$F$3:$F5618,'CLASFICACIÓN'!$G$3:$G5618=M2689)"),"LOS 3 AÑOS")</f>
        <v>LOS 3 AÑOS</v>
      </c>
      <c r="K2689" s="16" t="str">
        <f t="array" ref="K2689">IFERROR(DGET('PADD-R'!$B$1:$K5618,'PADD-R'!$K$1,{'PADD-R'!$B$1;E2689}),"NO PARTICIPÓ")</f>
        <v>PADD 2023 Y 2024</v>
      </c>
      <c r="L2689" s="14" t="s">
        <v>138</v>
      </c>
      <c r="M2689" s="16" t="str">
        <f t="shared" si="1"/>
        <v>601334 Primaria</v>
      </c>
      <c r="N2689" s="23"/>
      <c r="O2689" s="17"/>
      <c r="P2689" s="17"/>
      <c r="Q2689" s="17"/>
      <c r="R2689" s="17"/>
      <c r="S2689" s="17"/>
      <c r="T2689" s="17"/>
    </row>
    <row r="2690">
      <c r="A2690" s="18">
        <v>2320.0</v>
      </c>
      <c r="B2690" s="12" t="s">
        <v>13</v>
      </c>
      <c r="C2690" s="12" t="s">
        <v>14</v>
      </c>
      <c r="D2690" s="20" t="s">
        <v>20</v>
      </c>
      <c r="E2690" s="12" t="str">
        <f>IFERROR(__xludf.DUMMYFUNCTION("FILTER(colegios!$B$2:$B5618,colegios!$A$2:$A5618=L2690)"),"60133")</f>
        <v>60133</v>
      </c>
      <c r="F2690" s="14" t="s">
        <v>16</v>
      </c>
      <c r="G2690" s="14" t="s">
        <v>21</v>
      </c>
      <c r="H2690" s="14" t="s">
        <v>24</v>
      </c>
      <c r="I2690" s="15">
        <v>2022.0</v>
      </c>
      <c r="J2690" s="16" t="str">
        <f>IFERROR(__xludf.DUMMYFUNCTION("FILTER('CLASFICACIÓN'!$F$3:$F5618,'CLASFICACIÓN'!$G$3:$G5618=M2690)"),"LOS 3 AÑOS")</f>
        <v>LOS 3 AÑOS</v>
      </c>
      <c r="K2690" s="16" t="str">
        <f t="array" ref="K2690">IFERROR(DGET('PADD-R'!$B$1:$K5618,'PADD-R'!$K$1,{'PADD-R'!$B$1;E2690}),"NO PARTICIPÓ")</f>
        <v>PADD 2023 Y 2024</v>
      </c>
      <c r="L2690" s="14" t="s">
        <v>138</v>
      </c>
      <c r="M2690" s="16" t="str">
        <f t="shared" si="1"/>
        <v>601334 Primaria</v>
      </c>
      <c r="N2690" s="23"/>
      <c r="O2690" s="17"/>
      <c r="P2690" s="17"/>
      <c r="Q2690" s="17"/>
      <c r="R2690" s="17"/>
      <c r="S2690" s="17"/>
      <c r="T2690" s="17"/>
    </row>
    <row r="2691">
      <c r="A2691" s="18">
        <v>2321.0</v>
      </c>
      <c r="B2691" s="12" t="s">
        <v>13</v>
      </c>
      <c r="C2691" s="12" t="s">
        <v>14</v>
      </c>
      <c r="D2691" s="20" t="s">
        <v>20</v>
      </c>
      <c r="E2691" s="12" t="str">
        <f>IFERROR(__xludf.DUMMYFUNCTION("FILTER(colegios!$B$2:$B5618,colegios!$A$2:$A5618=L2691)"),"60133")</f>
        <v>60133</v>
      </c>
      <c r="F2691" s="14" t="s">
        <v>16</v>
      </c>
      <c r="G2691" s="14" t="s">
        <v>17</v>
      </c>
      <c r="H2691" s="14" t="s">
        <v>18</v>
      </c>
      <c r="I2691" s="15">
        <v>2022.0</v>
      </c>
      <c r="J2691" s="16" t="str">
        <f>IFERROR(__xludf.DUMMYFUNCTION("FILTER('CLASFICACIÓN'!$F$3:$F5618,'CLASFICACIÓN'!$G$3:$G5618=M2691)"),"LOS 3 AÑOS")</f>
        <v>LOS 3 AÑOS</v>
      </c>
      <c r="K2691" s="16" t="str">
        <f t="array" ref="K2691">IFERROR(DGET('PADD-R'!$B$1:$K5618,'PADD-R'!$K$1,{'PADD-R'!$B$1;E2691}),"NO PARTICIPÓ")</f>
        <v>PADD 2023 Y 2024</v>
      </c>
      <c r="L2691" s="14" t="s">
        <v>138</v>
      </c>
      <c r="M2691" s="16" t="str">
        <f t="shared" si="1"/>
        <v>601334 Primaria</v>
      </c>
      <c r="N2691" s="23"/>
      <c r="O2691" s="17"/>
      <c r="P2691" s="17"/>
      <c r="Q2691" s="17"/>
      <c r="R2691" s="17"/>
      <c r="S2691" s="17"/>
      <c r="T2691" s="17"/>
    </row>
    <row r="2692">
      <c r="A2692" s="18">
        <v>2322.0</v>
      </c>
      <c r="B2692" s="12" t="s">
        <v>13</v>
      </c>
      <c r="C2692" s="12" t="s">
        <v>14</v>
      </c>
      <c r="D2692" s="20" t="s">
        <v>20</v>
      </c>
      <c r="E2692" s="12" t="str">
        <f>IFERROR(__xludf.DUMMYFUNCTION("FILTER(colegios!$B$2:$B5618,colegios!$A$2:$A5618=L2692)"),"60133")</f>
        <v>60133</v>
      </c>
      <c r="F2692" s="14" t="s">
        <v>16</v>
      </c>
      <c r="G2692" s="14" t="s">
        <v>21</v>
      </c>
      <c r="H2692" s="14" t="s">
        <v>24</v>
      </c>
      <c r="I2692" s="15">
        <v>2022.0</v>
      </c>
      <c r="J2692" s="16" t="str">
        <f>IFERROR(__xludf.DUMMYFUNCTION("FILTER('CLASFICACIÓN'!$F$3:$F5618,'CLASFICACIÓN'!$G$3:$G5618=M2692)"),"LOS 3 AÑOS")</f>
        <v>LOS 3 AÑOS</v>
      </c>
      <c r="K2692" s="16" t="str">
        <f t="array" ref="K2692">IFERROR(DGET('PADD-R'!$B$1:$K5618,'PADD-R'!$K$1,{'PADD-R'!$B$1;E2692}),"NO PARTICIPÓ")</f>
        <v>PADD 2023 Y 2024</v>
      </c>
      <c r="L2692" s="14" t="s">
        <v>138</v>
      </c>
      <c r="M2692" s="16" t="str">
        <f t="shared" si="1"/>
        <v>601334 Primaria</v>
      </c>
      <c r="N2692" s="23"/>
      <c r="O2692" s="17"/>
      <c r="P2692" s="17"/>
      <c r="Q2692" s="17"/>
      <c r="R2692" s="17"/>
      <c r="S2692" s="17"/>
      <c r="T2692" s="17"/>
    </row>
    <row r="2693">
      <c r="A2693" s="18">
        <v>2323.0</v>
      </c>
      <c r="B2693" s="12" t="s">
        <v>13</v>
      </c>
      <c r="C2693" s="12" t="s">
        <v>14</v>
      </c>
      <c r="D2693" s="20" t="s">
        <v>20</v>
      </c>
      <c r="E2693" s="12" t="str">
        <f>IFERROR(__xludf.DUMMYFUNCTION("FILTER(colegios!$B$2:$B5618,colegios!$A$2:$A5618=L2693)"),"60133")</f>
        <v>60133</v>
      </c>
      <c r="F2693" s="14" t="s">
        <v>16</v>
      </c>
      <c r="G2693" s="14" t="s">
        <v>21</v>
      </c>
      <c r="H2693" s="14" t="s">
        <v>24</v>
      </c>
      <c r="I2693" s="15">
        <v>2022.0</v>
      </c>
      <c r="J2693" s="16" t="str">
        <f>IFERROR(__xludf.DUMMYFUNCTION("FILTER('CLASFICACIÓN'!$F$3:$F5618,'CLASFICACIÓN'!$G$3:$G5618=M2693)"),"LOS 3 AÑOS")</f>
        <v>LOS 3 AÑOS</v>
      </c>
      <c r="K2693" s="16" t="str">
        <f t="array" ref="K2693">IFERROR(DGET('PADD-R'!$B$1:$K5618,'PADD-R'!$K$1,{'PADD-R'!$B$1;E2693}),"NO PARTICIPÓ")</f>
        <v>PADD 2023 Y 2024</v>
      </c>
      <c r="L2693" s="14" t="s">
        <v>138</v>
      </c>
      <c r="M2693" s="16" t="str">
        <f t="shared" si="1"/>
        <v>601334 Primaria</v>
      </c>
      <c r="N2693" s="23"/>
      <c r="O2693" s="17"/>
      <c r="P2693" s="17"/>
      <c r="Q2693" s="17"/>
      <c r="R2693" s="17"/>
      <c r="S2693" s="17"/>
      <c r="T2693" s="17"/>
    </row>
    <row r="2694">
      <c r="A2694" s="18">
        <v>2324.0</v>
      </c>
      <c r="B2694" s="12" t="s">
        <v>13</v>
      </c>
      <c r="C2694" s="12" t="s">
        <v>14</v>
      </c>
      <c r="D2694" s="20" t="s">
        <v>20</v>
      </c>
      <c r="E2694" s="12" t="str">
        <f>IFERROR(__xludf.DUMMYFUNCTION("FILTER(colegios!$B$2:$B5618,colegios!$A$2:$A5618=L2694)"),"60133")</f>
        <v>60133</v>
      </c>
      <c r="F2694" s="14" t="s">
        <v>16</v>
      </c>
      <c r="G2694" s="14" t="s">
        <v>21</v>
      </c>
      <c r="H2694" s="14" t="s">
        <v>18</v>
      </c>
      <c r="I2694" s="15">
        <v>2022.0</v>
      </c>
      <c r="J2694" s="16" t="str">
        <f>IFERROR(__xludf.DUMMYFUNCTION("FILTER('CLASFICACIÓN'!$F$3:$F5618,'CLASFICACIÓN'!$G$3:$G5618=M2694)"),"LOS 3 AÑOS")</f>
        <v>LOS 3 AÑOS</v>
      </c>
      <c r="K2694" s="16" t="str">
        <f t="array" ref="K2694">IFERROR(DGET('PADD-R'!$B$1:$K5618,'PADD-R'!$K$1,{'PADD-R'!$B$1;E2694}),"NO PARTICIPÓ")</f>
        <v>PADD 2023 Y 2024</v>
      </c>
      <c r="L2694" s="14" t="s">
        <v>138</v>
      </c>
      <c r="M2694" s="16" t="str">
        <f t="shared" si="1"/>
        <v>601334 Primaria</v>
      </c>
      <c r="N2694" s="23"/>
      <c r="O2694" s="17"/>
      <c r="P2694" s="17"/>
      <c r="Q2694" s="17"/>
      <c r="R2694" s="17"/>
      <c r="S2694" s="17"/>
      <c r="T2694" s="17"/>
    </row>
    <row r="2695">
      <c r="A2695" s="18">
        <v>2325.0</v>
      </c>
      <c r="B2695" s="12" t="s">
        <v>13</v>
      </c>
      <c r="C2695" s="12" t="s">
        <v>14</v>
      </c>
      <c r="D2695" s="20" t="s">
        <v>20</v>
      </c>
      <c r="E2695" s="12" t="str">
        <f>IFERROR(__xludf.DUMMYFUNCTION("FILTER(colegios!$B$2:$B5618,colegios!$A$2:$A5618=L2695)"),"60133")</f>
        <v>60133</v>
      </c>
      <c r="F2695" s="14" t="s">
        <v>16</v>
      </c>
      <c r="G2695" s="14" t="s">
        <v>17</v>
      </c>
      <c r="H2695" s="14" t="s">
        <v>18</v>
      </c>
      <c r="I2695" s="15">
        <v>2022.0</v>
      </c>
      <c r="J2695" s="16" t="str">
        <f>IFERROR(__xludf.DUMMYFUNCTION("FILTER('CLASFICACIÓN'!$F$3:$F5618,'CLASFICACIÓN'!$G$3:$G5618=M2695)"),"LOS 3 AÑOS")</f>
        <v>LOS 3 AÑOS</v>
      </c>
      <c r="K2695" s="16" t="str">
        <f t="array" ref="K2695">IFERROR(DGET('PADD-R'!$B$1:$K5618,'PADD-R'!$K$1,{'PADD-R'!$B$1;E2695}),"NO PARTICIPÓ")</f>
        <v>PADD 2023 Y 2024</v>
      </c>
      <c r="L2695" s="14" t="s">
        <v>138</v>
      </c>
      <c r="M2695" s="16" t="str">
        <f t="shared" si="1"/>
        <v>601334 Primaria</v>
      </c>
      <c r="N2695" s="23"/>
      <c r="O2695" s="17"/>
      <c r="P2695" s="17"/>
      <c r="Q2695" s="17"/>
      <c r="R2695" s="17"/>
      <c r="S2695" s="17"/>
      <c r="T2695" s="17"/>
    </row>
    <row r="2696">
      <c r="A2696" s="18">
        <v>2326.0</v>
      </c>
      <c r="B2696" s="12" t="s">
        <v>13</v>
      </c>
      <c r="C2696" s="12" t="s">
        <v>14</v>
      </c>
      <c r="D2696" s="20" t="s">
        <v>20</v>
      </c>
      <c r="E2696" s="12" t="str">
        <f>IFERROR(__xludf.DUMMYFUNCTION("FILTER(colegios!$B$2:$B5618,colegios!$A$2:$A5618=L2696)"),"60133")</f>
        <v>60133</v>
      </c>
      <c r="F2696" s="14" t="s">
        <v>16</v>
      </c>
      <c r="G2696" s="14" t="s">
        <v>17</v>
      </c>
      <c r="H2696" s="14" t="s">
        <v>18</v>
      </c>
      <c r="I2696" s="15">
        <v>2022.0</v>
      </c>
      <c r="J2696" s="16" t="str">
        <f>IFERROR(__xludf.DUMMYFUNCTION("FILTER('CLASFICACIÓN'!$F$3:$F5618,'CLASFICACIÓN'!$G$3:$G5618=M2696)"),"LOS 3 AÑOS")</f>
        <v>LOS 3 AÑOS</v>
      </c>
      <c r="K2696" s="16" t="str">
        <f t="array" ref="K2696">IFERROR(DGET('PADD-R'!$B$1:$K5618,'PADD-R'!$K$1,{'PADD-R'!$B$1;E2696}),"NO PARTICIPÓ")</f>
        <v>PADD 2023 Y 2024</v>
      </c>
      <c r="L2696" s="14" t="s">
        <v>138</v>
      </c>
      <c r="M2696" s="16" t="str">
        <f t="shared" si="1"/>
        <v>601334 Primaria</v>
      </c>
      <c r="N2696" s="23"/>
      <c r="O2696" s="17"/>
      <c r="P2696" s="17"/>
      <c r="Q2696" s="17"/>
      <c r="R2696" s="17"/>
      <c r="S2696" s="17"/>
      <c r="T2696" s="17"/>
    </row>
    <row r="2697">
      <c r="A2697" s="18">
        <v>2327.0</v>
      </c>
      <c r="B2697" s="12" t="s">
        <v>13</v>
      </c>
      <c r="C2697" s="12" t="s">
        <v>14</v>
      </c>
      <c r="D2697" s="20" t="s">
        <v>20</v>
      </c>
      <c r="E2697" s="12" t="str">
        <f>IFERROR(__xludf.DUMMYFUNCTION("FILTER(colegios!$B$2:$B5618,colegios!$A$2:$A5618=L2697)"),"60133")</f>
        <v>60133</v>
      </c>
      <c r="F2697" s="14" t="s">
        <v>16</v>
      </c>
      <c r="G2697" s="14" t="s">
        <v>17</v>
      </c>
      <c r="H2697" s="14" t="s">
        <v>18</v>
      </c>
      <c r="I2697" s="15">
        <v>2022.0</v>
      </c>
      <c r="J2697" s="16" t="str">
        <f>IFERROR(__xludf.DUMMYFUNCTION("FILTER('CLASFICACIÓN'!$F$3:$F5618,'CLASFICACIÓN'!$G$3:$G5618=M2697)"),"LOS 3 AÑOS")</f>
        <v>LOS 3 AÑOS</v>
      </c>
      <c r="K2697" s="16" t="str">
        <f t="array" ref="K2697">IFERROR(DGET('PADD-R'!$B$1:$K5618,'PADD-R'!$K$1,{'PADD-R'!$B$1;E2697}),"NO PARTICIPÓ")</f>
        <v>PADD 2023 Y 2024</v>
      </c>
      <c r="L2697" s="14" t="s">
        <v>138</v>
      </c>
      <c r="M2697" s="16" t="str">
        <f t="shared" si="1"/>
        <v>601334 Primaria</v>
      </c>
      <c r="N2697" s="23"/>
      <c r="O2697" s="17"/>
      <c r="P2697" s="17"/>
      <c r="Q2697" s="17"/>
      <c r="R2697" s="17"/>
      <c r="S2697" s="17"/>
      <c r="T2697" s="17"/>
    </row>
    <row r="2698">
      <c r="A2698" s="18">
        <v>2328.0</v>
      </c>
      <c r="B2698" s="12" t="s">
        <v>13</v>
      </c>
      <c r="C2698" s="12" t="s">
        <v>14</v>
      </c>
      <c r="D2698" s="20" t="s">
        <v>20</v>
      </c>
      <c r="E2698" s="12" t="str">
        <f>IFERROR(__xludf.DUMMYFUNCTION("FILTER(colegios!$B$2:$B5618,colegios!$A$2:$A5618=L2698)"),"60133")</f>
        <v>60133</v>
      </c>
      <c r="F2698" s="14" t="s">
        <v>16</v>
      </c>
      <c r="G2698" s="14" t="s">
        <v>21</v>
      </c>
      <c r="H2698" s="14" t="s">
        <v>18</v>
      </c>
      <c r="I2698" s="15">
        <v>2022.0</v>
      </c>
      <c r="J2698" s="16" t="str">
        <f>IFERROR(__xludf.DUMMYFUNCTION("FILTER('CLASFICACIÓN'!$F$3:$F5618,'CLASFICACIÓN'!$G$3:$G5618=M2698)"),"LOS 3 AÑOS")</f>
        <v>LOS 3 AÑOS</v>
      </c>
      <c r="K2698" s="16" t="str">
        <f t="array" ref="K2698">IFERROR(DGET('PADD-R'!$B$1:$K5618,'PADD-R'!$K$1,{'PADD-R'!$B$1;E2698}),"NO PARTICIPÓ")</f>
        <v>PADD 2023 Y 2024</v>
      </c>
      <c r="L2698" s="14" t="s">
        <v>138</v>
      </c>
      <c r="M2698" s="16" t="str">
        <f t="shared" si="1"/>
        <v>601334 Primaria</v>
      </c>
      <c r="N2698" s="23"/>
      <c r="O2698" s="17"/>
      <c r="P2698" s="17"/>
      <c r="Q2698" s="17"/>
      <c r="R2698" s="17"/>
      <c r="S2698" s="17"/>
      <c r="T2698" s="17"/>
    </row>
    <row r="2699">
      <c r="A2699" s="18">
        <v>2329.0</v>
      </c>
      <c r="B2699" s="12" t="s">
        <v>13</v>
      </c>
      <c r="C2699" s="12" t="s">
        <v>14</v>
      </c>
      <c r="D2699" s="20" t="s">
        <v>20</v>
      </c>
      <c r="E2699" s="12" t="str">
        <f>IFERROR(__xludf.DUMMYFUNCTION("FILTER(colegios!$B$2:$B5618,colegios!$A$2:$A5618=L2699)"),"60133")</f>
        <v>60133</v>
      </c>
      <c r="F2699" s="14" t="s">
        <v>16</v>
      </c>
      <c r="G2699" s="14" t="s">
        <v>17</v>
      </c>
      <c r="H2699" s="14" t="s">
        <v>18</v>
      </c>
      <c r="I2699" s="15">
        <v>2022.0</v>
      </c>
      <c r="J2699" s="16" t="str">
        <f>IFERROR(__xludf.DUMMYFUNCTION("FILTER('CLASFICACIÓN'!$F$3:$F5618,'CLASFICACIÓN'!$G$3:$G5618=M2699)"),"LOS 3 AÑOS")</f>
        <v>LOS 3 AÑOS</v>
      </c>
      <c r="K2699" s="16" t="str">
        <f t="array" ref="K2699">IFERROR(DGET('PADD-R'!$B$1:$K5618,'PADD-R'!$K$1,{'PADD-R'!$B$1;E2699}),"NO PARTICIPÓ")</f>
        <v>PADD 2023 Y 2024</v>
      </c>
      <c r="L2699" s="14" t="s">
        <v>138</v>
      </c>
      <c r="M2699" s="16" t="str">
        <f t="shared" si="1"/>
        <v>601334 Primaria</v>
      </c>
      <c r="N2699" s="23"/>
      <c r="O2699" s="17"/>
      <c r="P2699" s="17"/>
      <c r="Q2699" s="17"/>
      <c r="R2699" s="17"/>
      <c r="S2699" s="17"/>
      <c r="T2699" s="17"/>
    </row>
    <row r="2700">
      <c r="A2700" s="18">
        <v>2330.0</v>
      </c>
      <c r="B2700" s="12" t="s">
        <v>13</v>
      </c>
      <c r="C2700" s="12" t="s">
        <v>14</v>
      </c>
      <c r="D2700" s="20" t="s">
        <v>20</v>
      </c>
      <c r="E2700" s="12" t="str">
        <f>IFERROR(__xludf.DUMMYFUNCTION("FILTER(colegios!$B$2:$B5618,colegios!$A$2:$A5618=L2700)"),"60133")</f>
        <v>60133</v>
      </c>
      <c r="F2700" s="14" t="s">
        <v>16</v>
      </c>
      <c r="G2700" s="14" t="s">
        <v>17</v>
      </c>
      <c r="H2700" s="14" t="s">
        <v>18</v>
      </c>
      <c r="I2700" s="15">
        <v>2022.0</v>
      </c>
      <c r="J2700" s="16" t="str">
        <f>IFERROR(__xludf.DUMMYFUNCTION("FILTER('CLASFICACIÓN'!$F$3:$F5618,'CLASFICACIÓN'!$G$3:$G5618=M2700)"),"LOS 3 AÑOS")</f>
        <v>LOS 3 AÑOS</v>
      </c>
      <c r="K2700" s="16" t="str">
        <f t="array" ref="K2700">IFERROR(DGET('PADD-R'!$B$1:$K5618,'PADD-R'!$K$1,{'PADD-R'!$B$1;E2700}),"NO PARTICIPÓ")</f>
        <v>PADD 2023 Y 2024</v>
      </c>
      <c r="L2700" s="14" t="s">
        <v>138</v>
      </c>
      <c r="M2700" s="16" t="str">
        <f t="shared" si="1"/>
        <v>601334 Primaria</v>
      </c>
      <c r="N2700" s="23"/>
      <c r="O2700" s="17"/>
      <c r="P2700" s="17"/>
      <c r="Q2700" s="17"/>
      <c r="R2700" s="17"/>
      <c r="S2700" s="17"/>
      <c r="T2700" s="17"/>
    </row>
    <row r="2701">
      <c r="A2701" s="18">
        <v>2331.0</v>
      </c>
      <c r="B2701" s="12" t="s">
        <v>13</v>
      </c>
      <c r="C2701" s="12" t="s">
        <v>14</v>
      </c>
      <c r="D2701" s="20" t="s">
        <v>20</v>
      </c>
      <c r="E2701" s="12" t="str">
        <f>IFERROR(__xludf.DUMMYFUNCTION("FILTER(colegios!$B$2:$B5618,colegios!$A$2:$A5618=L2701)"),"60133")</f>
        <v>60133</v>
      </c>
      <c r="F2701" s="14" t="s">
        <v>16</v>
      </c>
      <c r="G2701" s="14" t="s">
        <v>17</v>
      </c>
      <c r="H2701" s="14" t="s">
        <v>24</v>
      </c>
      <c r="I2701" s="15">
        <v>2022.0</v>
      </c>
      <c r="J2701" s="16" t="str">
        <f>IFERROR(__xludf.DUMMYFUNCTION("FILTER('CLASFICACIÓN'!$F$3:$F5618,'CLASFICACIÓN'!$G$3:$G5618=M2701)"),"LOS 3 AÑOS")</f>
        <v>LOS 3 AÑOS</v>
      </c>
      <c r="K2701" s="16" t="str">
        <f t="array" ref="K2701">IFERROR(DGET('PADD-R'!$B$1:$K5618,'PADD-R'!$K$1,{'PADD-R'!$B$1;E2701}),"NO PARTICIPÓ")</f>
        <v>PADD 2023 Y 2024</v>
      </c>
      <c r="L2701" s="14" t="s">
        <v>138</v>
      </c>
      <c r="M2701" s="16" t="str">
        <f t="shared" si="1"/>
        <v>601334 Primaria</v>
      </c>
      <c r="N2701" s="23"/>
      <c r="O2701" s="17"/>
      <c r="P2701" s="17"/>
      <c r="Q2701" s="17"/>
      <c r="R2701" s="17"/>
      <c r="S2701" s="17"/>
      <c r="T2701" s="17"/>
    </row>
    <row r="2702">
      <c r="A2702" s="18">
        <v>2332.0</v>
      </c>
      <c r="B2702" s="12" t="s">
        <v>13</v>
      </c>
      <c r="C2702" s="12" t="s">
        <v>14</v>
      </c>
      <c r="D2702" s="20" t="s">
        <v>20</v>
      </c>
      <c r="E2702" s="12" t="str">
        <f>IFERROR(__xludf.DUMMYFUNCTION("FILTER(colegios!$B$2:$B5618,colegios!$A$2:$A5618=L2702)"),"60133")</f>
        <v>60133</v>
      </c>
      <c r="F2702" s="14" t="s">
        <v>16</v>
      </c>
      <c r="G2702" s="14" t="s">
        <v>17</v>
      </c>
      <c r="H2702" s="14" t="s">
        <v>18</v>
      </c>
      <c r="I2702" s="15">
        <v>2022.0</v>
      </c>
      <c r="J2702" s="16" t="str">
        <f>IFERROR(__xludf.DUMMYFUNCTION("FILTER('CLASFICACIÓN'!$F$3:$F5618,'CLASFICACIÓN'!$G$3:$G5618=M2702)"),"LOS 3 AÑOS")</f>
        <v>LOS 3 AÑOS</v>
      </c>
      <c r="K2702" s="16" t="str">
        <f t="array" ref="K2702">IFERROR(DGET('PADD-R'!$B$1:$K5618,'PADD-R'!$K$1,{'PADD-R'!$B$1;E2702}),"NO PARTICIPÓ")</f>
        <v>PADD 2023 Y 2024</v>
      </c>
      <c r="L2702" s="14" t="s">
        <v>138</v>
      </c>
      <c r="M2702" s="16" t="str">
        <f t="shared" si="1"/>
        <v>601334 Primaria</v>
      </c>
      <c r="N2702" s="23"/>
      <c r="O2702" s="17"/>
      <c r="P2702" s="17"/>
      <c r="Q2702" s="17"/>
      <c r="R2702" s="17"/>
      <c r="S2702" s="17"/>
      <c r="T2702" s="17"/>
    </row>
    <row r="2703">
      <c r="A2703" s="18">
        <v>2333.0</v>
      </c>
      <c r="B2703" s="12" t="s">
        <v>13</v>
      </c>
      <c r="C2703" s="12" t="s">
        <v>14</v>
      </c>
      <c r="D2703" s="20" t="s">
        <v>20</v>
      </c>
      <c r="E2703" s="12" t="str">
        <f>IFERROR(__xludf.DUMMYFUNCTION("FILTER(colegios!$B$2:$B5618,colegios!$A$2:$A5618=L2703)"),"60133")</f>
        <v>60133</v>
      </c>
      <c r="F2703" s="14" t="s">
        <v>16</v>
      </c>
      <c r="G2703" s="14" t="s">
        <v>17</v>
      </c>
      <c r="H2703" s="14" t="s">
        <v>18</v>
      </c>
      <c r="I2703" s="15">
        <v>2022.0</v>
      </c>
      <c r="J2703" s="16" t="str">
        <f>IFERROR(__xludf.DUMMYFUNCTION("FILTER('CLASFICACIÓN'!$F$3:$F5618,'CLASFICACIÓN'!$G$3:$G5618=M2703)"),"LOS 3 AÑOS")</f>
        <v>LOS 3 AÑOS</v>
      </c>
      <c r="K2703" s="16" t="str">
        <f t="array" ref="K2703">IFERROR(DGET('PADD-R'!$B$1:$K5618,'PADD-R'!$K$1,{'PADD-R'!$B$1;E2703}),"NO PARTICIPÓ")</f>
        <v>PADD 2023 Y 2024</v>
      </c>
      <c r="L2703" s="14" t="s">
        <v>138</v>
      </c>
      <c r="M2703" s="16" t="str">
        <f t="shared" si="1"/>
        <v>601334 Primaria</v>
      </c>
      <c r="N2703" s="23"/>
      <c r="O2703" s="17"/>
      <c r="P2703" s="17"/>
      <c r="Q2703" s="17"/>
      <c r="R2703" s="17"/>
      <c r="S2703" s="17"/>
      <c r="T2703" s="17"/>
    </row>
    <row r="2704">
      <c r="A2704" s="18">
        <v>2334.0</v>
      </c>
      <c r="B2704" s="12" t="s">
        <v>13</v>
      </c>
      <c r="C2704" s="12" t="s">
        <v>14</v>
      </c>
      <c r="D2704" s="20" t="s">
        <v>20</v>
      </c>
      <c r="E2704" s="12" t="str">
        <f>IFERROR(__xludf.DUMMYFUNCTION("FILTER(colegios!$B$2:$B5618,colegios!$A$2:$A5618=L2704)"),"60133")</f>
        <v>60133</v>
      </c>
      <c r="F2704" s="14" t="s">
        <v>16</v>
      </c>
      <c r="G2704" s="14" t="s">
        <v>17</v>
      </c>
      <c r="H2704" s="14" t="s">
        <v>24</v>
      </c>
      <c r="I2704" s="15">
        <v>2022.0</v>
      </c>
      <c r="J2704" s="16" t="str">
        <f>IFERROR(__xludf.DUMMYFUNCTION("FILTER('CLASFICACIÓN'!$F$3:$F5618,'CLASFICACIÓN'!$G$3:$G5618=M2704)"),"LOS 3 AÑOS")</f>
        <v>LOS 3 AÑOS</v>
      </c>
      <c r="K2704" s="16" t="str">
        <f t="array" ref="K2704">IFERROR(DGET('PADD-R'!$B$1:$K5618,'PADD-R'!$K$1,{'PADD-R'!$B$1;E2704}),"NO PARTICIPÓ")</f>
        <v>PADD 2023 Y 2024</v>
      </c>
      <c r="L2704" s="14" t="s">
        <v>138</v>
      </c>
      <c r="M2704" s="16" t="str">
        <f t="shared" si="1"/>
        <v>601334 Primaria</v>
      </c>
      <c r="N2704" s="23"/>
      <c r="O2704" s="17"/>
      <c r="P2704" s="17"/>
      <c r="Q2704" s="17"/>
      <c r="R2704" s="17"/>
      <c r="S2704" s="17"/>
      <c r="T2704" s="17"/>
    </row>
    <row r="2705">
      <c r="A2705" s="18">
        <v>2335.0</v>
      </c>
      <c r="B2705" s="12" t="s">
        <v>13</v>
      </c>
      <c r="C2705" s="12" t="s">
        <v>14</v>
      </c>
      <c r="D2705" s="20" t="s">
        <v>20</v>
      </c>
      <c r="E2705" s="12" t="str">
        <f>IFERROR(__xludf.DUMMYFUNCTION("FILTER(colegios!$B$2:$B5618,colegios!$A$2:$A5618=L2705)"),"60133")</f>
        <v>60133</v>
      </c>
      <c r="F2705" s="14" t="s">
        <v>16</v>
      </c>
      <c r="G2705" s="14" t="s">
        <v>17</v>
      </c>
      <c r="H2705" s="14" t="s">
        <v>18</v>
      </c>
      <c r="I2705" s="15">
        <v>2022.0</v>
      </c>
      <c r="J2705" s="16" t="str">
        <f>IFERROR(__xludf.DUMMYFUNCTION("FILTER('CLASFICACIÓN'!$F$3:$F5618,'CLASFICACIÓN'!$G$3:$G5618=M2705)"),"LOS 3 AÑOS")</f>
        <v>LOS 3 AÑOS</v>
      </c>
      <c r="K2705" s="16" t="str">
        <f t="array" ref="K2705">IFERROR(DGET('PADD-R'!$B$1:$K5618,'PADD-R'!$K$1,{'PADD-R'!$B$1;E2705}),"NO PARTICIPÓ")</f>
        <v>PADD 2023 Y 2024</v>
      </c>
      <c r="L2705" s="14" t="s">
        <v>138</v>
      </c>
      <c r="M2705" s="16" t="str">
        <f t="shared" si="1"/>
        <v>601334 Primaria</v>
      </c>
      <c r="N2705" s="23"/>
      <c r="O2705" s="17"/>
      <c r="P2705" s="17"/>
      <c r="Q2705" s="17"/>
      <c r="R2705" s="17"/>
      <c r="S2705" s="17"/>
      <c r="T2705" s="17"/>
    </row>
    <row r="2706">
      <c r="A2706" s="18">
        <v>2336.0</v>
      </c>
      <c r="B2706" s="12" t="s">
        <v>13</v>
      </c>
      <c r="C2706" s="12" t="s">
        <v>14</v>
      </c>
      <c r="D2706" s="20" t="s">
        <v>20</v>
      </c>
      <c r="E2706" s="12" t="str">
        <f>IFERROR(__xludf.DUMMYFUNCTION("FILTER(colegios!$B$2:$B5618,colegios!$A$2:$A5618=L2706)"),"60133")</f>
        <v>60133</v>
      </c>
      <c r="F2706" s="14" t="s">
        <v>16</v>
      </c>
      <c r="G2706" s="14" t="s">
        <v>17</v>
      </c>
      <c r="H2706" s="14" t="s">
        <v>24</v>
      </c>
      <c r="I2706" s="15">
        <v>2022.0</v>
      </c>
      <c r="J2706" s="16" t="str">
        <f>IFERROR(__xludf.DUMMYFUNCTION("FILTER('CLASFICACIÓN'!$F$3:$F5618,'CLASFICACIÓN'!$G$3:$G5618=M2706)"),"LOS 3 AÑOS")</f>
        <v>LOS 3 AÑOS</v>
      </c>
      <c r="K2706" s="16" t="str">
        <f t="array" ref="K2706">IFERROR(DGET('PADD-R'!$B$1:$K5618,'PADD-R'!$K$1,{'PADD-R'!$B$1;E2706}),"NO PARTICIPÓ")</f>
        <v>PADD 2023 Y 2024</v>
      </c>
      <c r="L2706" s="14" t="s">
        <v>138</v>
      </c>
      <c r="M2706" s="16" t="str">
        <f t="shared" si="1"/>
        <v>601334 Primaria</v>
      </c>
      <c r="N2706" s="23"/>
      <c r="O2706" s="17"/>
      <c r="P2706" s="17"/>
      <c r="Q2706" s="17"/>
      <c r="R2706" s="17"/>
      <c r="S2706" s="17"/>
      <c r="T2706" s="17"/>
    </row>
    <row r="2707">
      <c r="A2707" s="18">
        <v>2337.0</v>
      </c>
      <c r="B2707" s="12" t="s">
        <v>13</v>
      </c>
      <c r="C2707" s="12" t="s">
        <v>14</v>
      </c>
      <c r="D2707" s="20" t="s">
        <v>20</v>
      </c>
      <c r="E2707" s="12" t="str">
        <f>IFERROR(__xludf.DUMMYFUNCTION("FILTER(colegios!$B$2:$B5618,colegios!$A$2:$A5618=L2707)"),"60133")</f>
        <v>60133</v>
      </c>
      <c r="F2707" s="14" t="s">
        <v>16</v>
      </c>
      <c r="G2707" s="14" t="s">
        <v>17</v>
      </c>
      <c r="H2707" s="14" t="s">
        <v>18</v>
      </c>
      <c r="I2707" s="15">
        <v>2022.0</v>
      </c>
      <c r="J2707" s="16" t="str">
        <f>IFERROR(__xludf.DUMMYFUNCTION("FILTER('CLASFICACIÓN'!$F$3:$F5618,'CLASFICACIÓN'!$G$3:$G5618=M2707)"),"LOS 3 AÑOS")</f>
        <v>LOS 3 AÑOS</v>
      </c>
      <c r="K2707" s="16" t="str">
        <f t="array" ref="K2707">IFERROR(DGET('PADD-R'!$B$1:$K5618,'PADD-R'!$K$1,{'PADD-R'!$B$1;E2707}),"NO PARTICIPÓ")</f>
        <v>PADD 2023 Y 2024</v>
      </c>
      <c r="L2707" s="14" t="s">
        <v>138</v>
      </c>
      <c r="M2707" s="16" t="str">
        <f t="shared" si="1"/>
        <v>601334 Primaria</v>
      </c>
      <c r="N2707" s="23"/>
      <c r="O2707" s="17"/>
      <c r="P2707" s="17"/>
      <c r="Q2707" s="17"/>
      <c r="R2707" s="17"/>
      <c r="S2707" s="17"/>
      <c r="T2707" s="17"/>
    </row>
    <row r="2708">
      <c r="A2708" s="18">
        <v>2338.0</v>
      </c>
      <c r="B2708" s="12" t="s">
        <v>13</v>
      </c>
      <c r="C2708" s="12" t="s">
        <v>14</v>
      </c>
      <c r="D2708" s="20" t="s">
        <v>20</v>
      </c>
      <c r="E2708" s="12" t="str">
        <f>IFERROR(__xludf.DUMMYFUNCTION("FILTER(colegios!$B$2:$B5618,colegios!$A$2:$A5618=L2708)"),"60133")</f>
        <v>60133</v>
      </c>
      <c r="F2708" s="14" t="s">
        <v>16</v>
      </c>
      <c r="G2708" s="14" t="s">
        <v>17</v>
      </c>
      <c r="H2708" s="14" t="s">
        <v>18</v>
      </c>
      <c r="I2708" s="15">
        <v>2022.0</v>
      </c>
      <c r="J2708" s="16" t="str">
        <f>IFERROR(__xludf.DUMMYFUNCTION("FILTER('CLASFICACIÓN'!$F$3:$F5618,'CLASFICACIÓN'!$G$3:$G5618=M2708)"),"LOS 3 AÑOS")</f>
        <v>LOS 3 AÑOS</v>
      </c>
      <c r="K2708" s="16" t="str">
        <f t="array" ref="K2708">IFERROR(DGET('PADD-R'!$B$1:$K5618,'PADD-R'!$K$1,{'PADD-R'!$B$1;E2708}),"NO PARTICIPÓ")</f>
        <v>PADD 2023 Y 2024</v>
      </c>
      <c r="L2708" s="14" t="s">
        <v>138</v>
      </c>
      <c r="M2708" s="16" t="str">
        <f t="shared" si="1"/>
        <v>601334 Primaria</v>
      </c>
      <c r="N2708" s="23"/>
      <c r="O2708" s="17"/>
      <c r="P2708" s="17"/>
      <c r="Q2708" s="17"/>
      <c r="R2708" s="17"/>
      <c r="S2708" s="17"/>
      <c r="T2708" s="17"/>
    </row>
    <row r="2709">
      <c r="A2709" s="18">
        <v>2339.0</v>
      </c>
      <c r="B2709" s="12" t="s">
        <v>13</v>
      </c>
      <c r="C2709" s="12" t="s">
        <v>14</v>
      </c>
      <c r="D2709" s="20" t="s">
        <v>20</v>
      </c>
      <c r="E2709" s="12" t="str">
        <f>IFERROR(__xludf.DUMMYFUNCTION("FILTER(colegios!$B$2:$B5618,colegios!$A$2:$A5618=L2709)"),"60133")</f>
        <v>60133</v>
      </c>
      <c r="F2709" s="14" t="s">
        <v>16</v>
      </c>
      <c r="G2709" s="14" t="s">
        <v>17</v>
      </c>
      <c r="H2709" s="14" t="s">
        <v>18</v>
      </c>
      <c r="I2709" s="15">
        <v>2022.0</v>
      </c>
      <c r="J2709" s="16" t="str">
        <f>IFERROR(__xludf.DUMMYFUNCTION("FILTER('CLASFICACIÓN'!$F$3:$F5618,'CLASFICACIÓN'!$G$3:$G5618=M2709)"),"LOS 3 AÑOS")</f>
        <v>LOS 3 AÑOS</v>
      </c>
      <c r="K2709" s="16" t="str">
        <f t="array" ref="K2709">IFERROR(DGET('PADD-R'!$B$1:$K5618,'PADD-R'!$K$1,{'PADD-R'!$B$1;E2709}),"NO PARTICIPÓ")</f>
        <v>PADD 2023 Y 2024</v>
      </c>
      <c r="L2709" s="14" t="s">
        <v>138</v>
      </c>
      <c r="M2709" s="16" t="str">
        <f t="shared" si="1"/>
        <v>601334 Primaria</v>
      </c>
      <c r="N2709" s="23"/>
      <c r="O2709" s="17"/>
      <c r="P2709" s="17"/>
      <c r="Q2709" s="17"/>
      <c r="R2709" s="17"/>
      <c r="S2709" s="17"/>
      <c r="T2709" s="17"/>
    </row>
    <row r="2710">
      <c r="A2710" s="18">
        <v>2340.0</v>
      </c>
      <c r="B2710" s="12" t="s">
        <v>13</v>
      </c>
      <c r="C2710" s="12" t="s">
        <v>14</v>
      </c>
      <c r="D2710" s="20" t="s">
        <v>20</v>
      </c>
      <c r="E2710" s="12" t="str">
        <f>IFERROR(__xludf.DUMMYFUNCTION("FILTER(colegios!$B$2:$B5618,colegios!$A$2:$A5618=L2710)"),"60133")</f>
        <v>60133</v>
      </c>
      <c r="F2710" s="14" t="s">
        <v>16</v>
      </c>
      <c r="G2710" s="14" t="s">
        <v>17</v>
      </c>
      <c r="H2710" s="14" t="s">
        <v>18</v>
      </c>
      <c r="I2710" s="15">
        <v>2022.0</v>
      </c>
      <c r="J2710" s="16" t="str">
        <f>IFERROR(__xludf.DUMMYFUNCTION("FILTER('CLASFICACIÓN'!$F$3:$F5618,'CLASFICACIÓN'!$G$3:$G5618=M2710)"),"LOS 3 AÑOS")</f>
        <v>LOS 3 AÑOS</v>
      </c>
      <c r="K2710" s="16" t="str">
        <f t="array" ref="K2710">IFERROR(DGET('PADD-R'!$B$1:$K5618,'PADD-R'!$K$1,{'PADD-R'!$B$1;E2710}),"NO PARTICIPÓ")</f>
        <v>PADD 2023 Y 2024</v>
      </c>
      <c r="L2710" s="14" t="s">
        <v>138</v>
      </c>
      <c r="M2710" s="16" t="str">
        <f t="shared" si="1"/>
        <v>601334 Primaria</v>
      </c>
      <c r="N2710" s="23"/>
      <c r="O2710" s="17"/>
      <c r="P2710" s="17"/>
      <c r="Q2710" s="17"/>
      <c r="R2710" s="17"/>
      <c r="S2710" s="17"/>
      <c r="T2710" s="17"/>
    </row>
    <row r="2711">
      <c r="A2711" s="18">
        <v>2341.0</v>
      </c>
      <c r="B2711" s="12" t="s">
        <v>13</v>
      </c>
      <c r="C2711" s="12" t="s">
        <v>14</v>
      </c>
      <c r="D2711" s="20" t="s">
        <v>20</v>
      </c>
      <c r="E2711" s="12" t="str">
        <f>IFERROR(__xludf.DUMMYFUNCTION("FILTER(colegios!$B$2:$B5618,colegios!$A$2:$A5618=L2711)"),"60133")</f>
        <v>60133</v>
      </c>
      <c r="F2711" s="14" t="s">
        <v>16</v>
      </c>
      <c r="G2711" s="20" t="s">
        <v>21</v>
      </c>
      <c r="H2711" s="14" t="s">
        <v>18</v>
      </c>
      <c r="I2711" s="15">
        <v>2022.0</v>
      </c>
      <c r="J2711" s="16" t="str">
        <f>IFERROR(__xludf.DUMMYFUNCTION("FILTER('CLASFICACIÓN'!$F$3:$F5618,'CLASFICACIÓN'!$G$3:$G5618=M2711)"),"LOS 3 AÑOS")</f>
        <v>LOS 3 AÑOS</v>
      </c>
      <c r="K2711" s="16" t="str">
        <f t="array" ref="K2711">IFERROR(DGET('PADD-R'!$B$1:$K5618,'PADD-R'!$K$1,{'PADD-R'!$B$1;E2711}),"NO PARTICIPÓ")</f>
        <v>PADD 2023 Y 2024</v>
      </c>
      <c r="L2711" s="14" t="s">
        <v>138</v>
      </c>
      <c r="M2711" s="16" t="str">
        <f t="shared" si="1"/>
        <v>601334 Primaria</v>
      </c>
      <c r="N2711" s="23"/>
      <c r="O2711" s="17"/>
      <c r="P2711" s="17"/>
      <c r="Q2711" s="17"/>
      <c r="R2711" s="17"/>
      <c r="S2711" s="17"/>
      <c r="T2711" s="17"/>
    </row>
    <row r="2712">
      <c r="A2712" s="18">
        <v>2342.0</v>
      </c>
      <c r="B2712" s="12" t="s">
        <v>13</v>
      </c>
      <c r="C2712" s="12" t="s">
        <v>14</v>
      </c>
      <c r="D2712" s="20" t="s">
        <v>20</v>
      </c>
      <c r="E2712" s="12" t="str">
        <f>IFERROR(__xludf.DUMMYFUNCTION("FILTER(colegios!$B$2:$B5618,colegios!$A$2:$A5618=L2712)"),"60133")</f>
        <v>60133</v>
      </c>
      <c r="F2712" s="14" t="s">
        <v>16</v>
      </c>
      <c r="G2712" s="20" t="s">
        <v>21</v>
      </c>
      <c r="H2712" s="14" t="s">
        <v>24</v>
      </c>
      <c r="I2712" s="15">
        <v>2022.0</v>
      </c>
      <c r="J2712" s="16" t="str">
        <f>IFERROR(__xludf.DUMMYFUNCTION("FILTER('CLASFICACIÓN'!$F$3:$F5618,'CLASFICACIÓN'!$G$3:$G5618=M2712)"),"LOS 3 AÑOS")</f>
        <v>LOS 3 AÑOS</v>
      </c>
      <c r="K2712" s="16" t="str">
        <f t="array" ref="K2712">IFERROR(DGET('PADD-R'!$B$1:$K5618,'PADD-R'!$K$1,{'PADD-R'!$B$1;E2712}),"NO PARTICIPÓ")</f>
        <v>PADD 2023 Y 2024</v>
      </c>
      <c r="L2712" s="14" t="s">
        <v>138</v>
      </c>
      <c r="M2712" s="16" t="str">
        <f t="shared" si="1"/>
        <v>601334 Primaria</v>
      </c>
      <c r="N2712" s="23"/>
      <c r="O2712" s="17"/>
      <c r="P2712" s="17"/>
      <c r="Q2712" s="17"/>
      <c r="R2712" s="17"/>
      <c r="S2712" s="17"/>
      <c r="T2712" s="17"/>
    </row>
    <row r="2713">
      <c r="A2713" s="18">
        <v>2343.0</v>
      </c>
      <c r="B2713" s="12" t="s">
        <v>13</v>
      </c>
      <c r="C2713" s="12" t="s">
        <v>14</v>
      </c>
      <c r="D2713" s="20" t="s">
        <v>20</v>
      </c>
      <c r="E2713" s="12" t="str">
        <f>IFERROR(__xludf.DUMMYFUNCTION("FILTER(colegios!$B$2:$B5618,colegios!$A$2:$A5618=L2713)"),"60133")</f>
        <v>60133</v>
      </c>
      <c r="F2713" s="14" t="s">
        <v>16</v>
      </c>
      <c r="G2713" s="20" t="s">
        <v>21</v>
      </c>
      <c r="H2713" s="14" t="s">
        <v>18</v>
      </c>
      <c r="I2713" s="15">
        <v>2022.0</v>
      </c>
      <c r="J2713" s="16" t="str">
        <f>IFERROR(__xludf.DUMMYFUNCTION("FILTER('CLASFICACIÓN'!$F$3:$F5618,'CLASFICACIÓN'!$G$3:$G5618=M2713)"),"LOS 3 AÑOS")</f>
        <v>LOS 3 AÑOS</v>
      </c>
      <c r="K2713" s="16" t="str">
        <f t="array" ref="K2713">IFERROR(DGET('PADD-R'!$B$1:$K5618,'PADD-R'!$K$1,{'PADD-R'!$B$1;E2713}),"NO PARTICIPÓ")</f>
        <v>PADD 2023 Y 2024</v>
      </c>
      <c r="L2713" s="14" t="s">
        <v>138</v>
      </c>
      <c r="M2713" s="16" t="str">
        <f t="shared" si="1"/>
        <v>601334 Primaria</v>
      </c>
      <c r="N2713" s="23"/>
      <c r="O2713" s="17"/>
      <c r="P2713" s="17"/>
      <c r="Q2713" s="17"/>
      <c r="R2713" s="17"/>
      <c r="S2713" s="17"/>
      <c r="T2713" s="17"/>
    </row>
    <row r="2714">
      <c r="A2714" s="18">
        <v>2344.0</v>
      </c>
      <c r="B2714" s="12" t="s">
        <v>13</v>
      </c>
      <c r="C2714" s="12" t="s">
        <v>14</v>
      </c>
      <c r="D2714" s="20" t="s">
        <v>20</v>
      </c>
      <c r="E2714" s="12" t="str">
        <f>IFERROR(__xludf.DUMMYFUNCTION("FILTER(colegios!$B$2:$B5618,colegios!$A$2:$A5618=L2714)"),"60133")</f>
        <v>60133</v>
      </c>
      <c r="F2714" s="14" t="s">
        <v>16</v>
      </c>
      <c r="G2714" s="20" t="s">
        <v>17</v>
      </c>
      <c r="H2714" s="14" t="s">
        <v>18</v>
      </c>
      <c r="I2714" s="15">
        <v>2022.0</v>
      </c>
      <c r="J2714" s="16" t="str">
        <f>IFERROR(__xludf.DUMMYFUNCTION("FILTER('CLASFICACIÓN'!$F$3:$F5618,'CLASFICACIÓN'!$G$3:$G5618=M2714)"),"LOS 3 AÑOS")</f>
        <v>LOS 3 AÑOS</v>
      </c>
      <c r="K2714" s="16" t="str">
        <f t="array" ref="K2714">IFERROR(DGET('PADD-R'!$B$1:$K5618,'PADD-R'!$K$1,{'PADD-R'!$B$1;E2714}),"NO PARTICIPÓ")</f>
        <v>PADD 2023 Y 2024</v>
      </c>
      <c r="L2714" s="14" t="s">
        <v>138</v>
      </c>
      <c r="M2714" s="16" t="str">
        <f t="shared" si="1"/>
        <v>601334 Primaria</v>
      </c>
      <c r="N2714" s="23"/>
      <c r="O2714" s="17"/>
      <c r="P2714" s="17"/>
      <c r="Q2714" s="17"/>
      <c r="R2714" s="17"/>
      <c r="S2714" s="17"/>
      <c r="T2714" s="17"/>
    </row>
    <row r="2715">
      <c r="A2715" s="18">
        <v>2345.0</v>
      </c>
      <c r="B2715" s="12" t="s">
        <v>13</v>
      </c>
      <c r="C2715" s="12" t="s">
        <v>14</v>
      </c>
      <c r="D2715" s="20" t="s">
        <v>20</v>
      </c>
      <c r="E2715" s="12" t="str">
        <f>IFERROR(__xludf.DUMMYFUNCTION("FILTER(colegios!$B$2:$B5618,colegios!$A$2:$A5618=L2715)"),"60133")</f>
        <v>60133</v>
      </c>
      <c r="F2715" s="14" t="s">
        <v>16</v>
      </c>
      <c r="G2715" s="20" t="s">
        <v>21</v>
      </c>
      <c r="H2715" s="14" t="s">
        <v>18</v>
      </c>
      <c r="I2715" s="15">
        <v>2022.0</v>
      </c>
      <c r="J2715" s="16" t="str">
        <f>IFERROR(__xludf.DUMMYFUNCTION("FILTER('CLASFICACIÓN'!$F$3:$F5618,'CLASFICACIÓN'!$G$3:$G5618=M2715)"),"LOS 3 AÑOS")</f>
        <v>LOS 3 AÑOS</v>
      </c>
      <c r="K2715" s="16" t="str">
        <f t="array" ref="K2715">IFERROR(DGET('PADD-R'!$B$1:$K5618,'PADD-R'!$K$1,{'PADD-R'!$B$1;E2715}),"NO PARTICIPÓ")</f>
        <v>PADD 2023 Y 2024</v>
      </c>
      <c r="L2715" s="14" t="s">
        <v>138</v>
      </c>
      <c r="M2715" s="16" t="str">
        <f t="shared" si="1"/>
        <v>601334 Primaria</v>
      </c>
      <c r="N2715" s="23"/>
      <c r="O2715" s="17"/>
      <c r="P2715" s="17"/>
      <c r="Q2715" s="17"/>
      <c r="R2715" s="17"/>
      <c r="S2715" s="17"/>
      <c r="T2715" s="17"/>
    </row>
    <row r="2716">
      <c r="A2716" s="18">
        <v>2346.0</v>
      </c>
      <c r="B2716" s="12" t="s">
        <v>13</v>
      </c>
      <c r="C2716" s="12" t="s">
        <v>14</v>
      </c>
      <c r="D2716" s="20" t="s">
        <v>20</v>
      </c>
      <c r="E2716" s="12" t="str">
        <f>IFERROR(__xludf.DUMMYFUNCTION("FILTER(colegios!$B$2:$B5618,colegios!$A$2:$A5618=L2716)"),"60133")</f>
        <v>60133</v>
      </c>
      <c r="F2716" s="14" t="s">
        <v>16</v>
      </c>
      <c r="G2716" s="20" t="s">
        <v>17</v>
      </c>
      <c r="H2716" s="14" t="s">
        <v>18</v>
      </c>
      <c r="I2716" s="15">
        <v>2022.0</v>
      </c>
      <c r="J2716" s="16" t="str">
        <f>IFERROR(__xludf.DUMMYFUNCTION("FILTER('CLASFICACIÓN'!$F$3:$F5618,'CLASFICACIÓN'!$G$3:$G5618=M2716)"),"LOS 3 AÑOS")</f>
        <v>LOS 3 AÑOS</v>
      </c>
      <c r="K2716" s="16" t="str">
        <f t="array" ref="K2716">IFERROR(DGET('PADD-R'!$B$1:$K5618,'PADD-R'!$K$1,{'PADD-R'!$B$1;E2716}),"NO PARTICIPÓ")</f>
        <v>PADD 2023 Y 2024</v>
      </c>
      <c r="L2716" s="14" t="s">
        <v>138</v>
      </c>
      <c r="M2716" s="16" t="str">
        <f t="shared" si="1"/>
        <v>601334 Primaria</v>
      </c>
      <c r="N2716" s="23"/>
      <c r="O2716" s="17"/>
      <c r="P2716" s="17"/>
      <c r="Q2716" s="17"/>
      <c r="R2716" s="17"/>
      <c r="S2716" s="17"/>
      <c r="T2716" s="17"/>
    </row>
    <row r="2717">
      <c r="A2717" s="18">
        <v>2347.0</v>
      </c>
      <c r="B2717" s="12" t="s">
        <v>13</v>
      </c>
      <c r="C2717" s="12" t="s">
        <v>14</v>
      </c>
      <c r="D2717" s="20" t="s">
        <v>20</v>
      </c>
      <c r="E2717" s="12" t="str">
        <f>IFERROR(__xludf.DUMMYFUNCTION("FILTER(colegios!$B$2:$B5618,colegios!$A$2:$A5618=L2717)"),"60133")</f>
        <v>60133</v>
      </c>
      <c r="F2717" s="14" t="s">
        <v>16</v>
      </c>
      <c r="G2717" s="20" t="s">
        <v>17</v>
      </c>
      <c r="H2717" s="14" t="s">
        <v>24</v>
      </c>
      <c r="I2717" s="15">
        <v>2022.0</v>
      </c>
      <c r="J2717" s="16" t="str">
        <f>IFERROR(__xludf.DUMMYFUNCTION("FILTER('CLASFICACIÓN'!$F$3:$F5618,'CLASFICACIÓN'!$G$3:$G5618=M2717)"),"LOS 3 AÑOS")</f>
        <v>LOS 3 AÑOS</v>
      </c>
      <c r="K2717" s="16" t="str">
        <f t="array" ref="K2717">IFERROR(DGET('PADD-R'!$B$1:$K5618,'PADD-R'!$K$1,{'PADD-R'!$B$1;E2717}),"NO PARTICIPÓ")</f>
        <v>PADD 2023 Y 2024</v>
      </c>
      <c r="L2717" s="14" t="s">
        <v>138</v>
      </c>
      <c r="M2717" s="16" t="str">
        <f t="shared" si="1"/>
        <v>601334 Primaria</v>
      </c>
      <c r="N2717" s="23"/>
      <c r="O2717" s="17"/>
      <c r="P2717" s="17"/>
      <c r="Q2717" s="17"/>
      <c r="R2717" s="17"/>
      <c r="S2717" s="17"/>
      <c r="T2717" s="17"/>
    </row>
    <row r="2718">
      <c r="A2718" s="18">
        <v>2348.0</v>
      </c>
      <c r="B2718" s="12" t="s">
        <v>13</v>
      </c>
      <c r="C2718" s="12" t="s">
        <v>14</v>
      </c>
      <c r="D2718" s="20" t="s">
        <v>20</v>
      </c>
      <c r="E2718" s="12" t="str">
        <f>IFERROR(__xludf.DUMMYFUNCTION("FILTER(colegios!$B$2:$B5618,colegios!$A$2:$A5618=L2718)"),"60133")</f>
        <v>60133</v>
      </c>
      <c r="F2718" s="14" t="s">
        <v>16</v>
      </c>
      <c r="G2718" s="20" t="s">
        <v>17</v>
      </c>
      <c r="H2718" s="14" t="s">
        <v>18</v>
      </c>
      <c r="I2718" s="15">
        <v>2022.0</v>
      </c>
      <c r="J2718" s="16" t="str">
        <f>IFERROR(__xludf.DUMMYFUNCTION("FILTER('CLASFICACIÓN'!$F$3:$F5618,'CLASFICACIÓN'!$G$3:$G5618=M2718)"),"LOS 3 AÑOS")</f>
        <v>LOS 3 AÑOS</v>
      </c>
      <c r="K2718" s="16" t="str">
        <f t="array" ref="K2718">IFERROR(DGET('PADD-R'!$B$1:$K5618,'PADD-R'!$K$1,{'PADD-R'!$B$1;E2718}),"NO PARTICIPÓ")</f>
        <v>PADD 2023 Y 2024</v>
      </c>
      <c r="L2718" s="14" t="s">
        <v>138</v>
      </c>
      <c r="M2718" s="16" t="str">
        <f t="shared" si="1"/>
        <v>601334 Primaria</v>
      </c>
      <c r="N2718" s="23"/>
      <c r="O2718" s="17"/>
      <c r="P2718" s="17"/>
      <c r="Q2718" s="17"/>
      <c r="R2718" s="17"/>
      <c r="S2718" s="17"/>
      <c r="T2718" s="17"/>
    </row>
    <row r="2719">
      <c r="A2719" s="18">
        <v>2349.0</v>
      </c>
      <c r="B2719" s="12" t="s">
        <v>13</v>
      </c>
      <c r="C2719" s="12" t="s">
        <v>27</v>
      </c>
      <c r="D2719" s="20" t="s">
        <v>30</v>
      </c>
      <c r="E2719" s="12" t="str">
        <f>IFERROR(__xludf.DUMMYFUNCTION("FILTER(colegios!$B$2:$B5618,colegios!$A$2:$A5618=L2719)"),"60133")</f>
        <v>60133</v>
      </c>
      <c r="F2719" s="14" t="s">
        <v>16</v>
      </c>
      <c r="G2719" s="20" t="s">
        <v>17</v>
      </c>
      <c r="H2719" s="14" t="s">
        <v>18</v>
      </c>
      <c r="I2719" s="15">
        <v>2022.0</v>
      </c>
      <c r="J2719" s="16" t="str">
        <f>IFERROR(__xludf.DUMMYFUNCTION("FILTER('CLASFICACIÓN'!$F$3:$F5618,'CLASFICACIÓN'!$G$3:$G5618=M2719)"),"LOS 3 AÑOS")</f>
        <v>LOS 3 AÑOS</v>
      </c>
      <c r="K2719" s="16" t="str">
        <f t="array" ref="K2719">IFERROR(DGET('PADD-R'!$B$1:$K5618,'PADD-R'!$K$1,{'PADD-R'!$B$1;E2719}),"NO PARTICIPÓ")</f>
        <v>PADD 2023 Y 2024</v>
      </c>
      <c r="L2719" s="14" t="s">
        <v>138</v>
      </c>
      <c r="M2719" s="16" t="str">
        <f t="shared" si="1"/>
        <v>601334 Secundaria</v>
      </c>
      <c r="N2719" s="23"/>
      <c r="O2719" s="17"/>
      <c r="P2719" s="17"/>
      <c r="Q2719" s="17"/>
      <c r="R2719" s="17"/>
      <c r="S2719" s="17"/>
      <c r="T2719" s="17"/>
    </row>
    <row r="2720">
      <c r="A2720" s="18">
        <v>2350.0</v>
      </c>
      <c r="B2720" s="12" t="s">
        <v>13</v>
      </c>
      <c r="C2720" s="12" t="s">
        <v>27</v>
      </c>
      <c r="D2720" s="20" t="s">
        <v>30</v>
      </c>
      <c r="E2720" s="12" t="str">
        <f>IFERROR(__xludf.DUMMYFUNCTION("FILTER(colegios!$B$2:$B5618,colegios!$A$2:$A5618=L2720)"),"60133")</f>
        <v>60133</v>
      </c>
      <c r="F2720" s="14" t="s">
        <v>16</v>
      </c>
      <c r="G2720" s="20" t="s">
        <v>21</v>
      </c>
      <c r="H2720" s="14" t="s">
        <v>18</v>
      </c>
      <c r="I2720" s="15">
        <v>2022.0</v>
      </c>
      <c r="J2720" s="16" t="str">
        <f>IFERROR(__xludf.DUMMYFUNCTION("FILTER('CLASFICACIÓN'!$F$3:$F5618,'CLASFICACIÓN'!$G$3:$G5618=M2720)"),"LOS 3 AÑOS")</f>
        <v>LOS 3 AÑOS</v>
      </c>
      <c r="K2720" s="16" t="str">
        <f t="array" ref="K2720">IFERROR(DGET('PADD-R'!$B$1:$K5618,'PADD-R'!$K$1,{'PADD-R'!$B$1;E2720}),"NO PARTICIPÓ")</f>
        <v>PADD 2023 Y 2024</v>
      </c>
      <c r="L2720" s="14" t="s">
        <v>138</v>
      </c>
      <c r="M2720" s="16" t="str">
        <f t="shared" si="1"/>
        <v>601334 Secundaria</v>
      </c>
      <c r="N2720" s="23"/>
      <c r="O2720" s="17"/>
      <c r="P2720" s="17"/>
      <c r="Q2720" s="17"/>
      <c r="R2720" s="17"/>
      <c r="S2720" s="17"/>
      <c r="T2720" s="17"/>
    </row>
    <row r="2721">
      <c r="A2721" s="18">
        <v>2351.0</v>
      </c>
      <c r="B2721" s="12" t="s">
        <v>13</v>
      </c>
      <c r="C2721" s="12" t="s">
        <v>27</v>
      </c>
      <c r="D2721" s="20" t="s">
        <v>30</v>
      </c>
      <c r="E2721" s="12" t="str">
        <f>IFERROR(__xludf.DUMMYFUNCTION("FILTER(colegios!$B$2:$B5618,colegios!$A$2:$A5618=L2721)"),"60133")</f>
        <v>60133</v>
      </c>
      <c r="F2721" s="14" t="s">
        <v>16</v>
      </c>
      <c r="G2721" s="20" t="s">
        <v>17</v>
      </c>
      <c r="H2721" s="14" t="s">
        <v>18</v>
      </c>
      <c r="I2721" s="15">
        <v>2022.0</v>
      </c>
      <c r="J2721" s="16" t="str">
        <f>IFERROR(__xludf.DUMMYFUNCTION("FILTER('CLASFICACIÓN'!$F$3:$F5618,'CLASFICACIÓN'!$G$3:$G5618=M2721)"),"LOS 3 AÑOS")</f>
        <v>LOS 3 AÑOS</v>
      </c>
      <c r="K2721" s="16" t="str">
        <f t="array" ref="K2721">IFERROR(DGET('PADD-R'!$B$1:$K5618,'PADD-R'!$K$1,{'PADD-R'!$B$1;E2721}),"NO PARTICIPÓ")</f>
        <v>PADD 2023 Y 2024</v>
      </c>
      <c r="L2721" s="14" t="s">
        <v>138</v>
      </c>
      <c r="M2721" s="16" t="str">
        <f t="shared" si="1"/>
        <v>601334 Secundaria</v>
      </c>
      <c r="N2721" s="23"/>
      <c r="O2721" s="17"/>
      <c r="P2721" s="17"/>
      <c r="Q2721" s="17"/>
      <c r="R2721" s="17"/>
      <c r="S2721" s="17"/>
      <c r="T2721" s="17"/>
    </row>
    <row r="2722">
      <c r="A2722" s="18">
        <v>2352.0</v>
      </c>
      <c r="B2722" s="12" t="s">
        <v>13</v>
      </c>
      <c r="C2722" s="12" t="s">
        <v>27</v>
      </c>
      <c r="D2722" s="20" t="s">
        <v>30</v>
      </c>
      <c r="E2722" s="12" t="str">
        <f>IFERROR(__xludf.DUMMYFUNCTION("FILTER(colegios!$B$2:$B5618,colegios!$A$2:$A5618=L2722)"),"60133")</f>
        <v>60133</v>
      </c>
      <c r="F2722" s="14" t="s">
        <v>16</v>
      </c>
      <c r="G2722" s="20" t="s">
        <v>21</v>
      </c>
      <c r="H2722" s="14" t="s">
        <v>18</v>
      </c>
      <c r="I2722" s="15">
        <v>2022.0</v>
      </c>
      <c r="J2722" s="16" t="str">
        <f>IFERROR(__xludf.DUMMYFUNCTION("FILTER('CLASFICACIÓN'!$F$3:$F5618,'CLASFICACIÓN'!$G$3:$G5618=M2722)"),"LOS 3 AÑOS")</f>
        <v>LOS 3 AÑOS</v>
      </c>
      <c r="K2722" s="16" t="str">
        <f t="array" ref="K2722">IFERROR(DGET('PADD-R'!$B$1:$K5618,'PADD-R'!$K$1,{'PADD-R'!$B$1;E2722}),"NO PARTICIPÓ")</f>
        <v>PADD 2023 Y 2024</v>
      </c>
      <c r="L2722" s="14" t="s">
        <v>138</v>
      </c>
      <c r="M2722" s="16" t="str">
        <f t="shared" si="1"/>
        <v>601334 Secundaria</v>
      </c>
      <c r="N2722" s="23"/>
      <c r="O2722" s="17"/>
      <c r="P2722" s="17"/>
      <c r="Q2722" s="17"/>
      <c r="R2722" s="17"/>
      <c r="S2722" s="17"/>
      <c r="T2722" s="17"/>
    </row>
    <row r="2723">
      <c r="A2723" s="18">
        <v>2353.0</v>
      </c>
      <c r="B2723" s="12" t="s">
        <v>13</v>
      </c>
      <c r="C2723" s="12" t="s">
        <v>27</v>
      </c>
      <c r="D2723" s="20" t="s">
        <v>30</v>
      </c>
      <c r="E2723" s="12" t="str">
        <f>IFERROR(__xludf.DUMMYFUNCTION("FILTER(colegios!$B$2:$B5618,colegios!$A$2:$A5618=L2723)"),"60133")</f>
        <v>60133</v>
      </c>
      <c r="F2723" s="14" t="s">
        <v>16</v>
      </c>
      <c r="G2723" s="20" t="s">
        <v>21</v>
      </c>
      <c r="H2723" s="14" t="s">
        <v>18</v>
      </c>
      <c r="I2723" s="15">
        <v>2022.0</v>
      </c>
      <c r="J2723" s="16" t="str">
        <f>IFERROR(__xludf.DUMMYFUNCTION("FILTER('CLASFICACIÓN'!$F$3:$F5618,'CLASFICACIÓN'!$G$3:$G5618=M2723)"),"LOS 3 AÑOS")</f>
        <v>LOS 3 AÑOS</v>
      </c>
      <c r="K2723" s="16" t="str">
        <f t="array" ref="K2723">IFERROR(DGET('PADD-R'!$B$1:$K5618,'PADD-R'!$K$1,{'PADD-R'!$B$1;E2723}),"NO PARTICIPÓ")</f>
        <v>PADD 2023 Y 2024</v>
      </c>
      <c r="L2723" s="14" t="s">
        <v>138</v>
      </c>
      <c r="M2723" s="16" t="str">
        <f t="shared" si="1"/>
        <v>601334 Secundaria</v>
      </c>
      <c r="N2723" s="23"/>
      <c r="O2723" s="17"/>
      <c r="P2723" s="17"/>
      <c r="Q2723" s="17"/>
      <c r="R2723" s="17"/>
      <c r="S2723" s="17"/>
      <c r="T2723" s="17"/>
    </row>
    <row r="2724">
      <c r="A2724" s="18">
        <v>2354.0</v>
      </c>
      <c r="B2724" s="12" t="s">
        <v>13</v>
      </c>
      <c r="C2724" s="12" t="s">
        <v>27</v>
      </c>
      <c r="D2724" s="20" t="s">
        <v>30</v>
      </c>
      <c r="E2724" s="12" t="str">
        <f>IFERROR(__xludf.DUMMYFUNCTION("FILTER(colegios!$B$2:$B5618,colegios!$A$2:$A5618=L2724)"),"60133")</f>
        <v>60133</v>
      </c>
      <c r="F2724" s="14" t="s">
        <v>16</v>
      </c>
      <c r="G2724" s="20" t="s">
        <v>17</v>
      </c>
      <c r="H2724" s="14" t="s">
        <v>18</v>
      </c>
      <c r="I2724" s="15">
        <v>2022.0</v>
      </c>
      <c r="J2724" s="16" t="str">
        <f>IFERROR(__xludf.DUMMYFUNCTION("FILTER('CLASFICACIÓN'!$F$3:$F5618,'CLASFICACIÓN'!$G$3:$G5618=M2724)"),"LOS 3 AÑOS")</f>
        <v>LOS 3 AÑOS</v>
      </c>
      <c r="K2724" s="16" t="str">
        <f t="array" ref="K2724">IFERROR(DGET('PADD-R'!$B$1:$K5618,'PADD-R'!$K$1,{'PADD-R'!$B$1;E2724}),"NO PARTICIPÓ")</f>
        <v>PADD 2023 Y 2024</v>
      </c>
      <c r="L2724" s="14" t="s">
        <v>138</v>
      </c>
      <c r="M2724" s="16" t="str">
        <f t="shared" si="1"/>
        <v>601334 Secundaria</v>
      </c>
      <c r="N2724" s="23"/>
      <c r="O2724" s="17"/>
      <c r="P2724" s="17"/>
      <c r="Q2724" s="17"/>
      <c r="R2724" s="17"/>
      <c r="S2724" s="17"/>
      <c r="T2724" s="17"/>
    </row>
    <row r="2725">
      <c r="A2725" s="18">
        <v>2355.0</v>
      </c>
      <c r="B2725" s="12" t="s">
        <v>13</v>
      </c>
      <c r="C2725" s="12" t="s">
        <v>27</v>
      </c>
      <c r="D2725" s="20" t="s">
        <v>30</v>
      </c>
      <c r="E2725" s="12" t="str">
        <f>IFERROR(__xludf.DUMMYFUNCTION("FILTER(colegios!$B$2:$B5618,colegios!$A$2:$A5618=L2725)"),"60133")</f>
        <v>60133</v>
      </c>
      <c r="F2725" s="14" t="s">
        <v>16</v>
      </c>
      <c r="G2725" s="20" t="s">
        <v>17</v>
      </c>
      <c r="H2725" s="14" t="s">
        <v>18</v>
      </c>
      <c r="I2725" s="15">
        <v>2022.0</v>
      </c>
      <c r="J2725" s="16" t="str">
        <f>IFERROR(__xludf.DUMMYFUNCTION("FILTER('CLASFICACIÓN'!$F$3:$F5618,'CLASFICACIÓN'!$G$3:$G5618=M2725)"),"LOS 3 AÑOS")</f>
        <v>LOS 3 AÑOS</v>
      </c>
      <c r="K2725" s="16" t="str">
        <f t="array" ref="K2725">IFERROR(DGET('PADD-R'!$B$1:$K5618,'PADD-R'!$K$1,{'PADD-R'!$B$1;E2725}),"NO PARTICIPÓ")</f>
        <v>PADD 2023 Y 2024</v>
      </c>
      <c r="L2725" s="14" t="s">
        <v>138</v>
      </c>
      <c r="M2725" s="16" t="str">
        <f t="shared" si="1"/>
        <v>601334 Secundaria</v>
      </c>
      <c r="N2725" s="23"/>
      <c r="O2725" s="17"/>
      <c r="P2725" s="17"/>
      <c r="Q2725" s="17"/>
      <c r="R2725" s="17"/>
      <c r="S2725" s="17"/>
      <c r="T2725" s="17"/>
    </row>
    <row r="2726">
      <c r="A2726" s="18">
        <v>2356.0</v>
      </c>
      <c r="B2726" s="12" t="s">
        <v>13</v>
      </c>
      <c r="C2726" s="12" t="s">
        <v>27</v>
      </c>
      <c r="D2726" s="20" t="s">
        <v>30</v>
      </c>
      <c r="E2726" s="12" t="str">
        <f>IFERROR(__xludf.DUMMYFUNCTION("FILTER(colegios!$B$2:$B5618,colegios!$A$2:$A5618=L2726)"),"60133")</f>
        <v>60133</v>
      </c>
      <c r="F2726" s="14" t="s">
        <v>16</v>
      </c>
      <c r="G2726" s="20" t="s">
        <v>17</v>
      </c>
      <c r="H2726" s="14" t="s">
        <v>18</v>
      </c>
      <c r="I2726" s="15">
        <v>2022.0</v>
      </c>
      <c r="J2726" s="16" t="str">
        <f>IFERROR(__xludf.DUMMYFUNCTION("FILTER('CLASFICACIÓN'!$F$3:$F5618,'CLASFICACIÓN'!$G$3:$G5618=M2726)"),"LOS 3 AÑOS")</f>
        <v>LOS 3 AÑOS</v>
      </c>
      <c r="K2726" s="16" t="str">
        <f t="array" ref="K2726">IFERROR(DGET('PADD-R'!$B$1:$K5618,'PADD-R'!$K$1,{'PADD-R'!$B$1;E2726}),"NO PARTICIPÓ")</f>
        <v>PADD 2023 Y 2024</v>
      </c>
      <c r="L2726" s="14" t="s">
        <v>138</v>
      </c>
      <c r="M2726" s="16" t="str">
        <f t="shared" si="1"/>
        <v>601334 Secundaria</v>
      </c>
      <c r="N2726" s="23"/>
      <c r="O2726" s="17"/>
      <c r="P2726" s="17"/>
      <c r="Q2726" s="17"/>
      <c r="R2726" s="17"/>
      <c r="S2726" s="17"/>
      <c r="T2726" s="17"/>
    </row>
    <row r="2727">
      <c r="A2727" s="18">
        <v>2357.0</v>
      </c>
      <c r="B2727" s="12" t="s">
        <v>13</v>
      </c>
      <c r="C2727" s="12" t="s">
        <v>27</v>
      </c>
      <c r="D2727" s="20" t="s">
        <v>30</v>
      </c>
      <c r="E2727" s="12" t="str">
        <f>IFERROR(__xludf.DUMMYFUNCTION("FILTER(colegios!$B$2:$B5618,colegios!$A$2:$A5618=L2727)"),"60133")</f>
        <v>60133</v>
      </c>
      <c r="F2727" s="14" t="s">
        <v>16</v>
      </c>
      <c r="G2727" s="20" t="s">
        <v>21</v>
      </c>
      <c r="H2727" s="14" t="s">
        <v>18</v>
      </c>
      <c r="I2727" s="15">
        <v>2022.0</v>
      </c>
      <c r="J2727" s="16" t="str">
        <f>IFERROR(__xludf.DUMMYFUNCTION("FILTER('CLASFICACIÓN'!$F$3:$F5618,'CLASFICACIÓN'!$G$3:$G5618=M2727)"),"LOS 3 AÑOS")</f>
        <v>LOS 3 AÑOS</v>
      </c>
      <c r="K2727" s="16" t="str">
        <f t="array" ref="K2727">IFERROR(DGET('PADD-R'!$B$1:$K5618,'PADD-R'!$K$1,{'PADD-R'!$B$1;E2727}),"NO PARTICIPÓ")</f>
        <v>PADD 2023 Y 2024</v>
      </c>
      <c r="L2727" s="14" t="s">
        <v>138</v>
      </c>
      <c r="M2727" s="16" t="str">
        <f t="shared" si="1"/>
        <v>601334 Secundaria</v>
      </c>
      <c r="N2727" s="23"/>
      <c r="O2727" s="17"/>
      <c r="P2727" s="17"/>
      <c r="Q2727" s="17"/>
      <c r="R2727" s="17"/>
      <c r="S2727" s="17"/>
      <c r="T2727" s="17"/>
    </row>
    <row r="2728">
      <c r="A2728" s="18">
        <v>2358.0</v>
      </c>
      <c r="B2728" s="12" t="s">
        <v>13</v>
      </c>
      <c r="C2728" s="12" t="s">
        <v>27</v>
      </c>
      <c r="D2728" s="20" t="s">
        <v>30</v>
      </c>
      <c r="E2728" s="12" t="str">
        <f>IFERROR(__xludf.DUMMYFUNCTION("FILTER(colegios!$B$2:$B5618,colegios!$A$2:$A5618=L2728)"),"60133")</f>
        <v>60133</v>
      </c>
      <c r="F2728" s="14" t="s">
        <v>16</v>
      </c>
      <c r="G2728" s="20" t="s">
        <v>17</v>
      </c>
      <c r="H2728" s="14" t="s">
        <v>18</v>
      </c>
      <c r="I2728" s="15">
        <v>2022.0</v>
      </c>
      <c r="J2728" s="16" t="str">
        <f>IFERROR(__xludf.DUMMYFUNCTION("FILTER('CLASFICACIÓN'!$F$3:$F5618,'CLASFICACIÓN'!$G$3:$G5618=M2728)"),"LOS 3 AÑOS")</f>
        <v>LOS 3 AÑOS</v>
      </c>
      <c r="K2728" s="16" t="str">
        <f t="array" ref="K2728">IFERROR(DGET('PADD-R'!$B$1:$K5618,'PADD-R'!$K$1,{'PADD-R'!$B$1;E2728}),"NO PARTICIPÓ")</f>
        <v>PADD 2023 Y 2024</v>
      </c>
      <c r="L2728" s="14" t="s">
        <v>138</v>
      </c>
      <c r="M2728" s="16" t="str">
        <f t="shared" si="1"/>
        <v>601334 Secundaria</v>
      </c>
      <c r="N2728" s="23"/>
      <c r="O2728" s="17"/>
      <c r="P2728" s="17"/>
      <c r="Q2728" s="17"/>
      <c r="R2728" s="17"/>
      <c r="S2728" s="17"/>
      <c r="T2728" s="17"/>
    </row>
    <row r="2729">
      <c r="A2729" s="18">
        <v>2359.0</v>
      </c>
      <c r="B2729" s="12" t="s">
        <v>13</v>
      </c>
      <c r="C2729" s="12" t="s">
        <v>27</v>
      </c>
      <c r="D2729" s="20" t="s">
        <v>30</v>
      </c>
      <c r="E2729" s="12" t="str">
        <f>IFERROR(__xludf.DUMMYFUNCTION("FILTER(colegios!$B$2:$B5618,colegios!$A$2:$A5618=L2729)"),"60133")</f>
        <v>60133</v>
      </c>
      <c r="F2729" s="14" t="s">
        <v>16</v>
      </c>
      <c r="G2729" s="20" t="s">
        <v>21</v>
      </c>
      <c r="H2729" s="14" t="s">
        <v>18</v>
      </c>
      <c r="I2729" s="15">
        <v>2022.0</v>
      </c>
      <c r="J2729" s="16" t="str">
        <f>IFERROR(__xludf.DUMMYFUNCTION("FILTER('CLASFICACIÓN'!$F$3:$F5618,'CLASFICACIÓN'!$G$3:$G5618=M2729)"),"LOS 3 AÑOS")</f>
        <v>LOS 3 AÑOS</v>
      </c>
      <c r="K2729" s="16" t="str">
        <f t="array" ref="K2729">IFERROR(DGET('PADD-R'!$B$1:$K5618,'PADD-R'!$K$1,{'PADD-R'!$B$1;E2729}),"NO PARTICIPÓ")</f>
        <v>PADD 2023 Y 2024</v>
      </c>
      <c r="L2729" s="14" t="s">
        <v>138</v>
      </c>
      <c r="M2729" s="16" t="str">
        <f t="shared" si="1"/>
        <v>601334 Secundaria</v>
      </c>
      <c r="N2729" s="23"/>
      <c r="O2729" s="17"/>
      <c r="P2729" s="17"/>
      <c r="Q2729" s="17"/>
      <c r="R2729" s="17"/>
      <c r="S2729" s="17"/>
      <c r="T2729" s="17"/>
    </row>
    <row r="2730">
      <c r="A2730" s="18">
        <v>2360.0</v>
      </c>
      <c r="B2730" s="12" t="s">
        <v>13</v>
      </c>
      <c r="C2730" s="12" t="s">
        <v>27</v>
      </c>
      <c r="D2730" s="20" t="s">
        <v>30</v>
      </c>
      <c r="E2730" s="12" t="str">
        <f>IFERROR(__xludf.DUMMYFUNCTION("FILTER(colegios!$B$2:$B5618,colegios!$A$2:$A5618=L2730)"),"60133")</f>
        <v>60133</v>
      </c>
      <c r="F2730" s="14" t="s">
        <v>16</v>
      </c>
      <c r="G2730" s="20" t="s">
        <v>21</v>
      </c>
      <c r="H2730" s="14" t="s">
        <v>18</v>
      </c>
      <c r="I2730" s="15">
        <v>2022.0</v>
      </c>
      <c r="J2730" s="16" t="str">
        <f>IFERROR(__xludf.DUMMYFUNCTION("FILTER('CLASFICACIÓN'!$F$3:$F5618,'CLASFICACIÓN'!$G$3:$G5618=M2730)"),"LOS 3 AÑOS")</f>
        <v>LOS 3 AÑOS</v>
      </c>
      <c r="K2730" s="16" t="str">
        <f t="array" ref="K2730">IFERROR(DGET('PADD-R'!$B$1:$K5618,'PADD-R'!$K$1,{'PADD-R'!$B$1;E2730}),"NO PARTICIPÓ")</f>
        <v>PADD 2023 Y 2024</v>
      </c>
      <c r="L2730" s="14" t="s">
        <v>138</v>
      </c>
      <c r="M2730" s="16" t="str">
        <f t="shared" si="1"/>
        <v>601334 Secundaria</v>
      </c>
      <c r="N2730" s="23"/>
      <c r="O2730" s="17"/>
      <c r="P2730" s="17"/>
      <c r="Q2730" s="17"/>
      <c r="R2730" s="17"/>
      <c r="S2730" s="17"/>
      <c r="T2730" s="17"/>
    </row>
    <row r="2731">
      <c r="A2731" s="18">
        <v>2361.0</v>
      </c>
      <c r="B2731" s="12" t="s">
        <v>13</v>
      </c>
      <c r="C2731" s="12" t="s">
        <v>27</v>
      </c>
      <c r="D2731" s="20" t="s">
        <v>30</v>
      </c>
      <c r="E2731" s="12" t="str">
        <f>IFERROR(__xludf.DUMMYFUNCTION("FILTER(colegios!$B$2:$B5618,colegios!$A$2:$A5618=L2731)"),"60133")</f>
        <v>60133</v>
      </c>
      <c r="F2731" s="14" t="s">
        <v>16</v>
      </c>
      <c r="G2731" s="20" t="s">
        <v>21</v>
      </c>
      <c r="H2731" s="14" t="s">
        <v>18</v>
      </c>
      <c r="I2731" s="15">
        <v>2022.0</v>
      </c>
      <c r="J2731" s="16" t="str">
        <f>IFERROR(__xludf.DUMMYFUNCTION("FILTER('CLASFICACIÓN'!$F$3:$F5618,'CLASFICACIÓN'!$G$3:$G5618=M2731)"),"LOS 3 AÑOS")</f>
        <v>LOS 3 AÑOS</v>
      </c>
      <c r="K2731" s="16" t="str">
        <f t="array" ref="K2731">IFERROR(DGET('PADD-R'!$B$1:$K5618,'PADD-R'!$K$1,{'PADD-R'!$B$1;E2731}),"NO PARTICIPÓ")</f>
        <v>PADD 2023 Y 2024</v>
      </c>
      <c r="L2731" s="14" t="s">
        <v>138</v>
      </c>
      <c r="M2731" s="16" t="str">
        <f t="shared" si="1"/>
        <v>601334 Secundaria</v>
      </c>
      <c r="N2731" s="23"/>
      <c r="O2731" s="17"/>
      <c r="P2731" s="17"/>
      <c r="Q2731" s="17"/>
      <c r="R2731" s="17"/>
      <c r="S2731" s="17"/>
      <c r="T2731" s="17"/>
    </row>
    <row r="2732">
      <c r="A2732" s="18">
        <v>2362.0</v>
      </c>
      <c r="B2732" s="12" t="s">
        <v>13</v>
      </c>
      <c r="C2732" s="12" t="s">
        <v>27</v>
      </c>
      <c r="D2732" s="20" t="s">
        <v>30</v>
      </c>
      <c r="E2732" s="12" t="str">
        <f>IFERROR(__xludf.DUMMYFUNCTION("FILTER(colegios!$B$2:$B5618,colegios!$A$2:$A5618=L2732)"),"60133")</f>
        <v>60133</v>
      </c>
      <c r="F2732" s="14" t="s">
        <v>16</v>
      </c>
      <c r="G2732" s="20" t="s">
        <v>17</v>
      </c>
      <c r="H2732" s="14" t="s">
        <v>18</v>
      </c>
      <c r="I2732" s="15">
        <v>2022.0</v>
      </c>
      <c r="J2732" s="16" t="str">
        <f>IFERROR(__xludf.DUMMYFUNCTION("FILTER('CLASFICACIÓN'!$F$3:$F5618,'CLASFICACIÓN'!$G$3:$G5618=M2732)"),"LOS 3 AÑOS")</f>
        <v>LOS 3 AÑOS</v>
      </c>
      <c r="K2732" s="16" t="str">
        <f t="array" ref="K2732">IFERROR(DGET('PADD-R'!$B$1:$K5618,'PADD-R'!$K$1,{'PADD-R'!$B$1;E2732}),"NO PARTICIPÓ")</f>
        <v>PADD 2023 Y 2024</v>
      </c>
      <c r="L2732" s="14" t="s">
        <v>138</v>
      </c>
      <c r="M2732" s="16" t="str">
        <f t="shared" si="1"/>
        <v>601334 Secundaria</v>
      </c>
      <c r="N2732" s="23"/>
      <c r="O2732" s="17"/>
      <c r="P2732" s="17"/>
      <c r="Q2732" s="17"/>
      <c r="R2732" s="17"/>
      <c r="S2732" s="17"/>
      <c r="T2732" s="17"/>
    </row>
    <row r="2733">
      <c r="A2733" s="18">
        <v>2363.0</v>
      </c>
      <c r="B2733" s="12" t="s">
        <v>13</v>
      </c>
      <c r="C2733" s="12" t="s">
        <v>27</v>
      </c>
      <c r="D2733" s="20" t="s">
        <v>30</v>
      </c>
      <c r="E2733" s="12" t="str">
        <f>IFERROR(__xludf.DUMMYFUNCTION("FILTER(colegios!$B$2:$B5618,colegios!$A$2:$A5618=L2733)"),"60133")</f>
        <v>60133</v>
      </c>
      <c r="F2733" s="14" t="s">
        <v>16</v>
      </c>
      <c r="G2733" s="20" t="s">
        <v>21</v>
      </c>
      <c r="H2733" s="14" t="s">
        <v>18</v>
      </c>
      <c r="I2733" s="15">
        <v>2022.0</v>
      </c>
      <c r="J2733" s="16" t="str">
        <f>IFERROR(__xludf.DUMMYFUNCTION("FILTER('CLASFICACIÓN'!$F$3:$F5618,'CLASFICACIÓN'!$G$3:$G5618=M2733)"),"LOS 3 AÑOS")</f>
        <v>LOS 3 AÑOS</v>
      </c>
      <c r="K2733" s="16" t="str">
        <f t="array" ref="K2733">IFERROR(DGET('PADD-R'!$B$1:$K5618,'PADD-R'!$K$1,{'PADD-R'!$B$1;E2733}),"NO PARTICIPÓ")</f>
        <v>PADD 2023 Y 2024</v>
      </c>
      <c r="L2733" s="14" t="s">
        <v>138</v>
      </c>
      <c r="M2733" s="16" t="str">
        <f t="shared" si="1"/>
        <v>601334 Secundaria</v>
      </c>
      <c r="N2733" s="23"/>
      <c r="O2733" s="17"/>
      <c r="P2733" s="17"/>
      <c r="Q2733" s="17"/>
      <c r="R2733" s="17"/>
      <c r="S2733" s="17"/>
      <c r="T2733" s="17"/>
    </row>
    <row r="2734">
      <c r="A2734" s="18">
        <v>2364.0</v>
      </c>
      <c r="B2734" s="12" t="s">
        <v>13</v>
      </c>
      <c r="C2734" s="12" t="s">
        <v>27</v>
      </c>
      <c r="D2734" s="20" t="s">
        <v>30</v>
      </c>
      <c r="E2734" s="12" t="str">
        <f>IFERROR(__xludf.DUMMYFUNCTION("FILTER(colegios!$B$2:$B5618,colegios!$A$2:$A5618=L2734)"),"60133")</f>
        <v>60133</v>
      </c>
      <c r="F2734" s="14" t="s">
        <v>16</v>
      </c>
      <c r="G2734" s="20" t="s">
        <v>17</v>
      </c>
      <c r="H2734" s="14" t="s">
        <v>18</v>
      </c>
      <c r="I2734" s="15">
        <v>2022.0</v>
      </c>
      <c r="J2734" s="16" t="str">
        <f>IFERROR(__xludf.DUMMYFUNCTION("FILTER('CLASFICACIÓN'!$F$3:$F5618,'CLASFICACIÓN'!$G$3:$G5618=M2734)"),"LOS 3 AÑOS")</f>
        <v>LOS 3 AÑOS</v>
      </c>
      <c r="K2734" s="16" t="str">
        <f t="array" ref="K2734">IFERROR(DGET('PADD-R'!$B$1:$K5618,'PADD-R'!$K$1,{'PADD-R'!$B$1;E2734}),"NO PARTICIPÓ")</f>
        <v>PADD 2023 Y 2024</v>
      </c>
      <c r="L2734" s="14" t="s">
        <v>138</v>
      </c>
      <c r="M2734" s="16" t="str">
        <f t="shared" si="1"/>
        <v>601334 Secundaria</v>
      </c>
      <c r="N2734" s="23"/>
      <c r="O2734" s="17"/>
      <c r="P2734" s="17"/>
      <c r="Q2734" s="17"/>
      <c r="R2734" s="17"/>
      <c r="S2734" s="17"/>
      <c r="T2734" s="17"/>
    </row>
    <row r="2735">
      <c r="A2735" s="18">
        <v>2365.0</v>
      </c>
      <c r="B2735" s="12" t="s">
        <v>13</v>
      </c>
      <c r="C2735" s="12" t="s">
        <v>27</v>
      </c>
      <c r="D2735" s="20" t="s">
        <v>30</v>
      </c>
      <c r="E2735" s="12" t="str">
        <f>IFERROR(__xludf.DUMMYFUNCTION("FILTER(colegios!$B$2:$B5618,colegios!$A$2:$A5618=L2735)"),"60133")</f>
        <v>60133</v>
      </c>
      <c r="F2735" s="14" t="s">
        <v>16</v>
      </c>
      <c r="G2735" s="20" t="s">
        <v>17</v>
      </c>
      <c r="H2735" s="14" t="s">
        <v>18</v>
      </c>
      <c r="I2735" s="15">
        <v>2022.0</v>
      </c>
      <c r="J2735" s="16" t="str">
        <f>IFERROR(__xludf.DUMMYFUNCTION("FILTER('CLASFICACIÓN'!$F$3:$F5618,'CLASFICACIÓN'!$G$3:$G5618=M2735)"),"LOS 3 AÑOS")</f>
        <v>LOS 3 AÑOS</v>
      </c>
      <c r="K2735" s="16" t="str">
        <f t="array" ref="K2735">IFERROR(DGET('PADD-R'!$B$1:$K5618,'PADD-R'!$K$1,{'PADD-R'!$B$1;E2735}),"NO PARTICIPÓ")</f>
        <v>PADD 2023 Y 2024</v>
      </c>
      <c r="L2735" s="14" t="s">
        <v>138</v>
      </c>
      <c r="M2735" s="16" t="str">
        <f t="shared" si="1"/>
        <v>601334 Secundaria</v>
      </c>
      <c r="N2735" s="23"/>
      <c r="O2735" s="17"/>
      <c r="P2735" s="17"/>
      <c r="Q2735" s="17"/>
      <c r="R2735" s="17"/>
      <c r="S2735" s="17"/>
      <c r="T2735" s="17"/>
    </row>
    <row r="2736">
      <c r="A2736" s="18">
        <v>2366.0</v>
      </c>
      <c r="B2736" s="12" t="s">
        <v>13</v>
      </c>
      <c r="C2736" s="12" t="s">
        <v>27</v>
      </c>
      <c r="D2736" s="20" t="s">
        <v>30</v>
      </c>
      <c r="E2736" s="12" t="str">
        <f>IFERROR(__xludf.DUMMYFUNCTION("FILTER(colegios!$B$2:$B5618,colegios!$A$2:$A5618=L2736)"),"60133")</f>
        <v>60133</v>
      </c>
      <c r="F2736" s="14" t="s">
        <v>16</v>
      </c>
      <c r="G2736" s="20" t="s">
        <v>17</v>
      </c>
      <c r="H2736" s="14" t="s">
        <v>18</v>
      </c>
      <c r="I2736" s="15">
        <v>2022.0</v>
      </c>
      <c r="J2736" s="16" t="str">
        <f>IFERROR(__xludf.DUMMYFUNCTION("FILTER('CLASFICACIÓN'!$F$3:$F5618,'CLASFICACIÓN'!$G$3:$G5618=M2736)"),"LOS 3 AÑOS")</f>
        <v>LOS 3 AÑOS</v>
      </c>
      <c r="K2736" s="16" t="str">
        <f t="array" ref="K2736">IFERROR(DGET('PADD-R'!$B$1:$K5618,'PADD-R'!$K$1,{'PADD-R'!$B$1;E2736}),"NO PARTICIPÓ")</f>
        <v>PADD 2023 Y 2024</v>
      </c>
      <c r="L2736" s="14" t="s">
        <v>138</v>
      </c>
      <c r="M2736" s="16" t="str">
        <f t="shared" si="1"/>
        <v>601334 Secundaria</v>
      </c>
      <c r="N2736" s="23"/>
      <c r="O2736" s="17"/>
      <c r="P2736" s="17"/>
      <c r="Q2736" s="17"/>
      <c r="R2736" s="17"/>
      <c r="S2736" s="17"/>
      <c r="T2736" s="17"/>
    </row>
    <row r="2737">
      <c r="A2737" s="18">
        <v>2367.0</v>
      </c>
      <c r="B2737" s="12" t="s">
        <v>13</v>
      </c>
      <c r="C2737" s="12" t="s">
        <v>27</v>
      </c>
      <c r="D2737" s="20" t="s">
        <v>30</v>
      </c>
      <c r="E2737" s="12" t="str">
        <f>IFERROR(__xludf.DUMMYFUNCTION("FILTER(colegios!$B$2:$B5618,colegios!$A$2:$A5618=L2737)"),"60133")</f>
        <v>60133</v>
      </c>
      <c r="F2737" s="14" t="s">
        <v>16</v>
      </c>
      <c r="G2737" s="20" t="s">
        <v>21</v>
      </c>
      <c r="H2737" s="14" t="s">
        <v>18</v>
      </c>
      <c r="I2737" s="15">
        <v>2022.0</v>
      </c>
      <c r="J2737" s="16" t="str">
        <f>IFERROR(__xludf.DUMMYFUNCTION("FILTER('CLASFICACIÓN'!$F$3:$F5618,'CLASFICACIÓN'!$G$3:$G5618=M2737)"),"LOS 3 AÑOS")</f>
        <v>LOS 3 AÑOS</v>
      </c>
      <c r="K2737" s="16" t="str">
        <f t="array" ref="K2737">IFERROR(DGET('PADD-R'!$B$1:$K5618,'PADD-R'!$K$1,{'PADD-R'!$B$1;E2737}),"NO PARTICIPÓ")</f>
        <v>PADD 2023 Y 2024</v>
      </c>
      <c r="L2737" s="14" t="s">
        <v>138</v>
      </c>
      <c r="M2737" s="16" t="str">
        <f t="shared" si="1"/>
        <v>601334 Secundaria</v>
      </c>
      <c r="N2737" s="23"/>
      <c r="O2737" s="17"/>
      <c r="P2737" s="17"/>
      <c r="Q2737" s="17"/>
      <c r="R2737" s="17"/>
      <c r="S2737" s="17"/>
      <c r="T2737" s="17"/>
    </row>
    <row r="2738">
      <c r="A2738" s="18">
        <v>2368.0</v>
      </c>
      <c r="B2738" s="12" t="s">
        <v>13</v>
      </c>
      <c r="C2738" s="12" t="s">
        <v>27</v>
      </c>
      <c r="D2738" s="20" t="s">
        <v>30</v>
      </c>
      <c r="E2738" s="12" t="str">
        <f>IFERROR(__xludf.DUMMYFUNCTION("FILTER(colegios!$B$2:$B5618,colegios!$A$2:$A5618=L2738)"),"60133")</f>
        <v>60133</v>
      </c>
      <c r="F2738" s="14" t="s">
        <v>16</v>
      </c>
      <c r="G2738" s="20" t="s">
        <v>21</v>
      </c>
      <c r="H2738" s="14" t="s">
        <v>18</v>
      </c>
      <c r="I2738" s="15">
        <v>2022.0</v>
      </c>
      <c r="J2738" s="16" t="str">
        <f>IFERROR(__xludf.DUMMYFUNCTION("FILTER('CLASFICACIÓN'!$F$3:$F5618,'CLASFICACIÓN'!$G$3:$G5618=M2738)"),"LOS 3 AÑOS")</f>
        <v>LOS 3 AÑOS</v>
      </c>
      <c r="K2738" s="16" t="str">
        <f t="array" ref="K2738">IFERROR(DGET('PADD-R'!$B$1:$K5618,'PADD-R'!$K$1,{'PADD-R'!$B$1;E2738}),"NO PARTICIPÓ")</f>
        <v>PADD 2023 Y 2024</v>
      </c>
      <c r="L2738" s="14" t="s">
        <v>138</v>
      </c>
      <c r="M2738" s="16" t="str">
        <f t="shared" si="1"/>
        <v>601334 Secundaria</v>
      </c>
      <c r="N2738" s="23"/>
      <c r="O2738" s="17"/>
      <c r="P2738" s="17"/>
      <c r="Q2738" s="17"/>
      <c r="R2738" s="17"/>
      <c r="S2738" s="17"/>
      <c r="T2738" s="17"/>
    </row>
    <row r="2739">
      <c r="A2739" s="18">
        <v>2369.0</v>
      </c>
      <c r="B2739" s="12" t="s">
        <v>13</v>
      </c>
      <c r="C2739" s="12" t="s">
        <v>27</v>
      </c>
      <c r="D2739" s="20" t="s">
        <v>30</v>
      </c>
      <c r="E2739" s="12" t="str">
        <f>IFERROR(__xludf.DUMMYFUNCTION("FILTER(colegios!$B$2:$B5618,colegios!$A$2:$A5618=L2739)"),"60133")</f>
        <v>60133</v>
      </c>
      <c r="F2739" s="14" t="s">
        <v>16</v>
      </c>
      <c r="G2739" s="20" t="s">
        <v>21</v>
      </c>
      <c r="H2739" s="14" t="s">
        <v>18</v>
      </c>
      <c r="I2739" s="15">
        <v>2022.0</v>
      </c>
      <c r="J2739" s="16" t="str">
        <f>IFERROR(__xludf.DUMMYFUNCTION("FILTER('CLASFICACIÓN'!$F$3:$F5618,'CLASFICACIÓN'!$G$3:$G5618=M2739)"),"LOS 3 AÑOS")</f>
        <v>LOS 3 AÑOS</v>
      </c>
      <c r="K2739" s="16" t="str">
        <f t="array" ref="K2739">IFERROR(DGET('PADD-R'!$B$1:$K5618,'PADD-R'!$K$1,{'PADD-R'!$B$1;E2739}),"NO PARTICIPÓ")</f>
        <v>PADD 2023 Y 2024</v>
      </c>
      <c r="L2739" s="14" t="s">
        <v>138</v>
      </c>
      <c r="M2739" s="16" t="str">
        <f t="shared" si="1"/>
        <v>601334 Secundaria</v>
      </c>
      <c r="N2739" s="23"/>
      <c r="O2739" s="17"/>
      <c r="P2739" s="17"/>
      <c r="Q2739" s="17"/>
      <c r="R2739" s="17"/>
      <c r="S2739" s="17"/>
      <c r="T2739" s="17"/>
    </row>
    <row r="2740">
      <c r="A2740" s="18">
        <v>2370.0</v>
      </c>
      <c r="B2740" s="12" t="s">
        <v>13</v>
      </c>
      <c r="C2740" s="12" t="s">
        <v>27</v>
      </c>
      <c r="D2740" s="20" t="s">
        <v>30</v>
      </c>
      <c r="E2740" s="12" t="str">
        <f>IFERROR(__xludf.DUMMYFUNCTION("FILTER(colegios!$B$2:$B5618,colegios!$A$2:$A5618=L2740)"),"60133")</f>
        <v>60133</v>
      </c>
      <c r="F2740" s="14" t="s">
        <v>16</v>
      </c>
      <c r="G2740" s="20" t="s">
        <v>21</v>
      </c>
      <c r="H2740" s="14" t="s">
        <v>18</v>
      </c>
      <c r="I2740" s="15">
        <v>2022.0</v>
      </c>
      <c r="J2740" s="16" t="str">
        <f>IFERROR(__xludf.DUMMYFUNCTION("FILTER('CLASFICACIÓN'!$F$3:$F5618,'CLASFICACIÓN'!$G$3:$G5618=M2740)"),"LOS 3 AÑOS")</f>
        <v>LOS 3 AÑOS</v>
      </c>
      <c r="K2740" s="16" t="str">
        <f t="array" ref="K2740">IFERROR(DGET('PADD-R'!$B$1:$K5618,'PADD-R'!$K$1,{'PADD-R'!$B$1;E2740}),"NO PARTICIPÓ")</f>
        <v>PADD 2023 Y 2024</v>
      </c>
      <c r="L2740" s="14" t="s">
        <v>138</v>
      </c>
      <c r="M2740" s="16" t="str">
        <f t="shared" si="1"/>
        <v>601334 Secundaria</v>
      </c>
      <c r="N2740" s="23"/>
      <c r="O2740" s="17"/>
      <c r="P2740" s="17"/>
      <c r="Q2740" s="17"/>
      <c r="R2740" s="17"/>
      <c r="S2740" s="17"/>
      <c r="T2740" s="17"/>
    </row>
    <row r="2741">
      <c r="A2741" s="18">
        <v>2371.0</v>
      </c>
      <c r="B2741" s="12" t="s">
        <v>13</v>
      </c>
      <c r="C2741" s="12" t="s">
        <v>27</v>
      </c>
      <c r="D2741" s="20" t="s">
        <v>30</v>
      </c>
      <c r="E2741" s="12" t="str">
        <f>IFERROR(__xludf.DUMMYFUNCTION("FILTER(colegios!$B$2:$B5618,colegios!$A$2:$A5618=L2741)"),"60133")</f>
        <v>60133</v>
      </c>
      <c r="F2741" s="14" t="s">
        <v>16</v>
      </c>
      <c r="G2741" s="20" t="s">
        <v>17</v>
      </c>
      <c r="H2741" s="14" t="s">
        <v>18</v>
      </c>
      <c r="I2741" s="15">
        <v>2022.0</v>
      </c>
      <c r="J2741" s="16" t="str">
        <f>IFERROR(__xludf.DUMMYFUNCTION("FILTER('CLASFICACIÓN'!$F$3:$F5618,'CLASFICACIÓN'!$G$3:$G5618=M2741)"),"LOS 3 AÑOS")</f>
        <v>LOS 3 AÑOS</v>
      </c>
      <c r="K2741" s="16" t="str">
        <f t="array" ref="K2741">IFERROR(DGET('PADD-R'!$B$1:$K5618,'PADD-R'!$K$1,{'PADD-R'!$B$1;E2741}),"NO PARTICIPÓ")</f>
        <v>PADD 2023 Y 2024</v>
      </c>
      <c r="L2741" s="14" t="s">
        <v>138</v>
      </c>
      <c r="M2741" s="16" t="str">
        <f t="shared" si="1"/>
        <v>601334 Secundaria</v>
      </c>
      <c r="N2741" s="23"/>
      <c r="O2741" s="17"/>
      <c r="P2741" s="17"/>
      <c r="Q2741" s="17"/>
      <c r="R2741" s="17"/>
      <c r="S2741" s="17"/>
      <c r="T2741" s="17"/>
    </row>
    <row r="2742">
      <c r="A2742" s="18">
        <v>2372.0</v>
      </c>
      <c r="B2742" s="12" t="s">
        <v>13</v>
      </c>
      <c r="C2742" s="12" t="s">
        <v>27</v>
      </c>
      <c r="D2742" s="20" t="s">
        <v>30</v>
      </c>
      <c r="E2742" s="12" t="str">
        <f>IFERROR(__xludf.DUMMYFUNCTION("FILTER(colegios!$B$2:$B5618,colegios!$A$2:$A5618=L2742)"),"60133")</f>
        <v>60133</v>
      </c>
      <c r="F2742" s="14" t="s">
        <v>16</v>
      </c>
      <c r="G2742" s="20" t="s">
        <v>21</v>
      </c>
      <c r="H2742" s="14" t="s">
        <v>18</v>
      </c>
      <c r="I2742" s="15">
        <v>2022.0</v>
      </c>
      <c r="J2742" s="16" t="str">
        <f>IFERROR(__xludf.DUMMYFUNCTION("FILTER('CLASFICACIÓN'!$F$3:$F5618,'CLASFICACIÓN'!$G$3:$G5618=M2742)"),"LOS 3 AÑOS")</f>
        <v>LOS 3 AÑOS</v>
      </c>
      <c r="K2742" s="16" t="str">
        <f t="array" ref="K2742">IFERROR(DGET('PADD-R'!$B$1:$K5618,'PADD-R'!$K$1,{'PADD-R'!$B$1;E2742}),"NO PARTICIPÓ")</f>
        <v>PADD 2023 Y 2024</v>
      </c>
      <c r="L2742" s="14" t="s">
        <v>138</v>
      </c>
      <c r="M2742" s="16" t="str">
        <f t="shared" si="1"/>
        <v>601334 Secundaria</v>
      </c>
      <c r="N2742" s="23"/>
      <c r="O2742" s="17"/>
      <c r="P2742" s="17"/>
      <c r="Q2742" s="17"/>
      <c r="R2742" s="17"/>
      <c r="S2742" s="17"/>
      <c r="T2742" s="17"/>
    </row>
    <row r="2743">
      <c r="A2743" s="18">
        <v>2373.0</v>
      </c>
      <c r="B2743" s="12" t="s">
        <v>13</v>
      </c>
      <c r="C2743" s="12" t="s">
        <v>27</v>
      </c>
      <c r="D2743" s="20" t="s">
        <v>30</v>
      </c>
      <c r="E2743" s="12" t="str">
        <f>IFERROR(__xludf.DUMMYFUNCTION("FILTER(colegios!$B$2:$B5618,colegios!$A$2:$A5618=L2743)"),"60133")</f>
        <v>60133</v>
      </c>
      <c r="F2743" s="14" t="s">
        <v>16</v>
      </c>
      <c r="G2743" s="20" t="s">
        <v>21</v>
      </c>
      <c r="H2743" s="14" t="s">
        <v>18</v>
      </c>
      <c r="I2743" s="15">
        <v>2022.0</v>
      </c>
      <c r="J2743" s="16" t="str">
        <f>IFERROR(__xludf.DUMMYFUNCTION("FILTER('CLASFICACIÓN'!$F$3:$F5618,'CLASFICACIÓN'!$G$3:$G5618=M2743)"),"LOS 3 AÑOS")</f>
        <v>LOS 3 AÑOS</v>
      </c>
      <c r="K2743" s="16" t="str">
        <f t="array" ref="K2743">IFERROR(DGET('PADD-R'!$B$1:$K5618,'PADD-R'!$K$1,{'PADD-R'!$B$1;E2743}),"NO PARTICIPÓ")</f>
        <v>PADD 2023 Y 2024</v>
      </c>
      <c r="L2743" s="14" t="s">
        <v>138</v>
      </c>
      <c r="M2743" s="16" t="str">
        <f t="shared" si="1"/>
        <v>601334 Secundaria</v>
      </c>
      <c r="N2743" s="23"/>
      <c r="O2743" s="17"/>
      <c r="P2743" s="17"/>
      <c r="Q2743" s="17"/>
      <c r="R2743" s="17"/>
      <c r="S2743" s="17"/>
      <c r="T2743" s="17"/>
    </row>
    <row r="2744">
      <c r="A2744" s="18">
        <v>2374.0</v>
      </c>
      <c r="B2744" s="12" t="s">
        <v>13</v>
      </c>
      <c r="C2744" s="12" t="s">
        <v>14</v>
      </c>
      <c r="D2744" s="20" t="s">
        <v>22</v>
      </c>
      <c r="E2744" s="12" t="str">
        <f>IFERROR(__xludf.DUMMYFUNCTION("FILTER(colegios!$B$2:$B5618,colegios!$A$2:$A5618=L2744)"),"60133")</f>
        <v>60133</v>
      </c>
      <c r="F2744" s="14" t="s">
        <v>16</v>
      </c>
      <c r="G2744" s="20" t="s">
        <v>21</v>
      </c>
      <c r="H2744" s="14" t="s">
        <v>18</v>
      </c>
      <c r="I2744" s="15">
        <v>2022.0</v>
      </c>
      <c r="J2744" s="16" t="str">
        <f>IFERROR(__xludf.DUMMYFUNCTION("FILTER('CLASFICACIÓN'!$F$3:$F5618,'CLASFICACIÓN'!$G$3:$G5618=M2744)"),"LOS 3 AÑOS")</f>
        <v>LOS 3 AÑOS</v>
      </c>
      <c r="K2744" s="16" t="str">
        <f t="array" ref="K2744">IFERROR(DGET('PADD-R'!$B$1:$K5618,'PADD-R'!$K$1,{'PADD-R'!$B$1;E2744}),"NO PARTICIPÓ")</f>
        <v>PADD 2023 Y 2024</v>
      </c>
      <c r="L2744" s="14" t="s">
        <v>138</v>
      </c>
      <c r="M2744" s="16" t="str">
        <f t="shared" si="1"/>
        <v>601336 Primaria</v>
      </c>
      <c r="N2744" s="23"/>
      <c r="O2744" s="17"/>
      <c r="P2744" s="17"/>
      <c r="Q2744" s="17"/>
      <c r="R2744" s="17"/>
      <c r="S2744" s="17"/>
      <c r="T2744" s="17"/>
    </row>
    <row r="2745">
      <c r="A2745" s="18">
        <v>2375.0</v>
      </c>
      <c r="B2745" s="12" t="s">
        <v>13</v>
      </c>
      <c r="C2745" s="12" t="s">
        <v>14</v>
      </c>
      <c r="D2745" s="20" t="s">
        <v>22</v>
      </c>
      <c r="E2745" s="12" t="str">
        <f>IFERROR(__xludf.DUMMYFUNCTION("FILTER(colegios!$B$2:$B5618,colegios!$A$2:$A5618=L2745)"),"60133")</f>
        <v>60133</v>
      </c>
      <c r="F2745" s="14" t="s">
        <v>16</v>
      </c>
      <c r="G2745" s="20" t="s">
        <v>21</v>
      </c>
      <c r="H2745" s="14" t="s">
        <v>18</v>
      </c>
      <c r="I2745" s="15">
        <v>2022.0</v>
      </c>
      <c r="J2745" s="16" t="str">
        <f>IFERROR(__xludf.DUMMYFUNCTION("FILTER('CLASFICACIÓN'!$F$3:$F5618,'CLASFICACIÓN'!$G$3:$G5618=M2745)"),"LOS 3 AÑOS")</f>
        <v>LOS 3 AÑOS</v>
      </c>
      <c r="K2745" s="16" t="str">
        <f t="array" ref="K2745">IFERROR(DGET('PADD-R'!$B$1:$K5618,'PADD-R'!$K$1,{'PADD-R'!$B$1;E2745}),"NO PARTICIPÓ")</f>
        <v>PADD 2023 Y 2024</v>
      </c>
      <c r="L2745" s="14" t="s">
        <v>138</v>
      </c>
      <c r="M2745" s="16" t="str">
        <f t="shared" si="1"/>
        <v>601336 Primaria</v>
      </c>
      <c r="N2745" s="23"/>
      <c r="O2745" s="17"/>
      <c r="P2745" s="17"/>
      <c r="Q2745" s="17"/>
      <c r="R2745" s="17"/>
      <c r="S2745" s="17"/>
      <c r="T2745" s="17"/>
    </row>
    <row r="2746">
      <c r="A2746" s="18">
        <v>2376.0</v>
      </c>
      <c r="B2746" s="12" t="s">
        <v>13</v>
      </c>
      <c r="C2746" s="12" t="s">
        <v>14</v>
      </c>
      <c r="D2746" s="20" t="s">
        <v>22</v>
      </c>
      <c r="E2746" s="12" t="str">
        <f>IFERROR(__xludf.DUMMYFUNCTION("FILTER(colegios!$B$2:$B5618,colegios!$A$2:$A5618=L2746)"),"60133")</f>
        <v>60133</v>
      </c>
      <c r="F2746" s="14" t="s">
        <v>16</v>
      </c>
      <c r="G2746" s="20" t="s">
        <v>21</v>
      </c>
      <c r="H2746" s="14" t="s">
        <v>18</v>
      </c>
      <c r="I2746" s="15">
        <v>2022.0</v>
      </c>
      <c r="J2746" s="16" t="str">
        <f>IFERROR(__xludf.DUMMYFUNCTION("FILTER('CLASFICACIÓN'!$F$3:$F5618,'CLASFICACIÓN'!$G$3:$G5618=M2746)"),"LOS 3 AÑOS")</f>
        <v>LOS 3 AÑOS</v>
      </c>
      <c r="K2746" s="16" t="str">
        <f t="array" ref="K2746">IFERROR(DGET('PADD-R'!$B$1:$K5618,'PADD-R'!$K$1,{'PADD-R'!$B$1;E2746}),"NO PARTICIPÓ")</f>
        <v>PADD 2023 Y 2024</v>
      </c>
      <c r="L2746" s="14" t="s">
        <v>138</v>
      </c>
      <c r="M2746" s="16" t="str">
        <f t="shared" si="1"/>
        <v>601336 Primaria</v>
      </c>
      <c r="N2746" s="23"/>
      <c r="O2746" s="17"/>
      <c r="P2746" s="17"/>
      <c r="Q2746" s="17"/>
      <c r="R2746" s="17"/>
      <c r="S2746" s="17"/>
      <c r="T2746" s="17"/>
    </row>
    <row r="2747">
      <c r="A2747" s="18">
        <v>2377.0</v>
      </c>
      <c r="B2747" s="12" t="s">
        <v>13</v>
      </c>
      <c r="C2747" s="12" t="s">
        <v>14</v>
      </c>
      <c r="D2747" s="20" t="s">
        <v>22</v>
      </c>
      <c r="E2747" s="12" t="str">
        <f>IFERROR(__xludf.DUMMYFUNCTION("FILTER(colegios!$B$2:$B5618,colegios!$A$2:$A5618=L2747)"),"60133")</f>
        <v>60133</v>
      </c>
      <c r="F2747" s="14" t="s">
        <v>16</v>
      </c>
      <c r="G2747" s="20" t="s">
        <v>17</v>
      </c>
      <c r="H2747" s="14" t="s">
        <v>18</v>
      </c>
      <c r="I2747" s="15">
        <v>2022.0</v>
      </c>
      <c r="J2747" s="16" t="str">
        <f>IFERROR(__xludf.DUMMYFUNCTION("FILTER('CLASFICACIÓN'!$F$3:$F5618,'CLASFICACIÓN'!$G$3:$G5618=M2747)"),"LOS 3 AÑOS")</f>
        <v>LOS 3 AÑOS</v>
      </c>
      <c r="K2747" s="16" t="str">
        <f t="array" ref="K2747">IFERROR(DGET('PADD-R'!$B$1:$K5618,'PADD-R'!$K$1,{'PADD-R'!$B$1;E2747}),"NO PARTICIPÓ")</f>
        <v>PADD 2023 Y 2024</v>
      </c>
      <c r="L2747" s="14" t="s">
        <v>138</v>
      </c>
      <c r="M2747" s="16" t="str">
        <f t="shared" si="1"/>
        <v>601336 Primaria</v>
      </c>
      <c r="N2747" s="23"/>
      <c r="O2747" s="17"/>
      <c r="P2747" s="17"/>
      <c r="Q2747" s="17"/>
      <c r="R2747" s="17"/>
      <c r="S2747" s="17"/>
      <c r="T2747" s="17"/>
    </row>
    <row r="2748">
      <c r="A2748" s="18">
        <v>2378.0</v>
      </c>
      <c r="B2748" s="12" t="s">
        <v>13</v>
      </c>
      <c r="C2748" s="12" t="s">
        <v>14</v>
      </c>
      <c r="D2748" s="20" t="s">
        <v>22</v>
      </c>
      <c r="E2748" s="12" t="str">
        <f>IFERROR(__xludf.DUMMYFUNCTION("FILTER(colegios!$B$2:$B5618,colegios!$A$2:$A5618=L2748)"),"60133")</f>
        <v>60133</v>
      </c>
      <c r="F2748" s="14" t="s">
        <v>16</v>
      </c>
      <c r="G2748" s="20" t="s">
        <v>21</v>
      </c>
      <c r="H2748" s="14" t="s">
        <v>18</v>
      </c>
      <c r="I2748" s="15">
        <v>2022.0</v>
      </c>
      <c r="J2748" s="16" t="str">
        <f>IFERROR(__xludf.DUMMYFUNCTION("FILTER('CLASFICACIÓN'!$F$3:$F5618,'CLASFICACIÓN'!$G$3:$G5618=M2748)"),"LOS 3 AÑOS")</f>
        <v>LOS 3 AÑOS</v>
      </c>
      <c r="K2748" s="16" t="str">
        <f t="array" ref="K2748">IFERROR(DGET('PADD-R'!$B$1:$K5618,'PADD-R'!$K$1,{'PADD-R'!$B$1;E2748}),"NO PARTICIPÓ")</f>
        <v>PADD 2023 Y 2024</v>
      </c>
      <c r="L2748" s="14" t="s">
        <v>138</v>
      </c>
      <c r="M2748" s="16" t="str">
        <f t="shared" si="1"/>
        <v>601336 Primaria</v>
      </c>
      <c r="N2748" s="23"/>
      <c r="O2748" s="17"/>
      <c r="P2748" s="17"/>
      <c r="Q2748" s="17"/>
      <c r="R2748" s="17"/>
      <c r="S2748" s="17"/>
      <c r="T2748" s="17"/>
    </row>
    <row r="2749">
      <c r="A2749" s="18">
        <v>2379.0</v>
      </c>
      <c r="B2749" s="12" t="s">
        <v>13</v>
      </c>
      <c r="C2749" s="12" t="s">
        <v>14</v>
      </c>
      <c r="D2749" s="20" t="s">
        <v>22</v>
      </c>
      <c r="E2749" s="12" t="str">
        <f>IFERROR(__xludf.DUMMYFUNCTION("FILTER(colegios!$B$2:$B5618,colegios!$A$2:$A5618=L2749)"),"60133")</f>
        <v>60133</v>
      </c>
      <c r="F2749" s="14" t="s">
        <v>16</v>
      </c>
      <c r="G2749" s="20" t="s">
        <v>17</v>
      </c>
      <c r="H2749" s="14" t="s">
        <v>18</v>
      </c>
      <c r="I2749" s="15">
        <v>2022.0</v>
      </c>
      <c r="J2749" s="16" t="str">
        <f>IFERROR(__xludf.DUMMYFUNCTION("FILTER('CLASFICACIÓN'!$F$3:$F5618,'CLASFICACIÓN'!$G$3:$G5618=M2749)"),"LOS 3 AÑOS")</f>
        <v>LOS 3 AÑOS</v>
      </c>
      <c r="K2749" s="16" t="str">
        <f t="array" ref="K2749">IFERROR(DGET('PADD-R'!$B$1:$K5618,'PADD-R'!$K$1,{'PADD-R'!$B$1;E2749}),"NO PARTICIPÓ")</f>
        <v>PADD 2023 Y 2024</v>
      </c>
      <c r="L2749" s="14" t="s">
        <v>138</v>
      </c>
      <c r="M2749" s="16" t="str">
        <f t="shared" si="1"/>
        <v>601336 Primaria</v>
      </c>
      <c r="N2749" s="23"/>
      <c r="O2749" s="17"/>
      <c r="P2749" s="17"/>
      <c r="Q2749" s="17"/>
      <c r="R2749" s="17"/>
      <c r="S2749" s="17"/>
      <c r="T2749" s="17"/>
    </row>
    <row r="2750">
      <c r="A2750" s="18">
        <v>2380.0</v>
      </c>
      <c r="B2750" s="12" t="s">
        <v>13</v>
      </c>
      <c r="C2750" s="12" t="s">
        <v>14</v>
      </c>
      <c r="D2750" s="20" t="s">
        <v>22</v>
      </c>
      <c r="E2750" s="12" t="str">
        <f>IFERROR(__xludf.DUMMYFUNCTION("FILTER(colegios!$B$2:$B5618,colegios!$A$2:$A5618=L2750)"),"60133")</f>
        <v>60133</v>
      </c>
      <c r="F2750" s="14" t="s">
        <v>16</v>
      </c>
      <c r="G2750" s="20" t="s">
        <v>21</v>
      </c>
      <c r="H2750" s="14" t="s">
        <v>18</v>
      </c>
      <c r="I2750" s="15">
        <v>2022.0</v>
      </c>
      <c r="J2750" s="16" t="str">
        <f>IFERROR(__xludf.DUMMYFUNCTION("FILTER('CLASFICACIÓN'!$F$3:$F5618,'CLASFICACIÓN'!$G$3:$G5618=M2750)"),"LOS 3 AÑOS")</f>
        <v>LOS 3 AÑOS</v>
      </c>
      <c r="K2750" s="16" t="str">
        <f t="array" ref="K2750">IFERROR(DGET('PADD-R'!$B$1:$K5618,'PADD-R'!$K$1,{'PADD-R'!$B$1;E2750}),"NO PARTICIPÓ")</f>
        <v>PADD 2023 Y 2024</v>
      </c>
      <c r="L2750" s="14" t="s">
        <v>138</v>
      </c>
      <c r="M2750" s="16" t="str">
        <f t="shared" si="1"/>
        <v>601336 Primaria</v>
      </c>
      <c r="N2750" s="23"/>
      <c r="O2750" s="17"/>
      <c r="P2750" s="17"/>
      <c r="Q2750" s="17"/>
      <c r="R2750" s="17"/>
      <c r="S2750" s="17"/>
      <c r="T2750" s="17"/>
    </row>
    <row r="2751">
      <c r="A2751" s="18">
        <v>2381.0</v>
      </c>
      <c r="B2751" s="12" t="s">
        <v>13</v>
      </c>
      <c r="C2751" s="12" t="s">
        <v>14</v>
      </c>
      <c r="D2751" s="20" t="s">
        <v>22</v>
      </c>
      <c r="E2751" s="12" t="str">
        <f>IFERROR(__xludf.DUMMYFUNCTION("FILTER(colegios!$B$2:$B5618,colegios!$A$2:$A5618=L2751)"),"60133")</f>
        <v>60133</v>
      </c>
      <c r="F2751" s="14" t="s">
        <v>16</v>
      </c>
      <c r="G2751" s="20" t="s">
        <v>17</v>
      </c>
      <c r="H2751" s="14" t="s">
        <v>18</v>
      </c>
      <c r="I2751" s="15">
        <v>2022.0</v>
      </c>
      <c r="J2751" s="16" t="str">
        <f>IFERROR(__xludf.DUMMYFUNCTION("FILTER('CLASFICACIÓN'!$F$3:$F5618,'CLASFICACIÓN'!$G$3:$G5618=M2751)"),"LOS 3 AÑOS")</f>
        <v>LOS 3 AÑOS</v>
      </c>
      <c r="K2751" s="16" t="str">
        <f t="array" ref="K2751">IFERROR(DGET('PADD-R'!$B$1:$K5618,'PADD-R'!$K$1,{'PADD-R'!$B$1;E2751}),"NO PARTICIPÓ")</f>
        <v>PADD 2023 Y 2024</v>
      </c>
      <c r="L2751" s="14" t="s">
        <v>138</v>
      </c>
      <c r="M2751" s="16" t="str">
        <f t="shared" si="1"/>
        <v>601336 Primaria</v>
      </c>
      <c r="N2751" s="23"/>
      <c r="O2751" s="17"/>
      <c r="P2751" s="17"/>
      <c r="Q2751" s="17"/>
      <c r="R2751" s="17"/>
      <c r="S2751" s="17"/>
      <c r="T2751" s="17"/>
    </row>
    <row r="2752">
      <c r="A2752" s="18">
        <v>2382.0</v>
      </c>
      <c r="B2752" s="12" t="s">
        <v>13</v>
      </c>
      <c r="C2752" s="12" t="s">
        <v>14</v>
      </c>
      <c r="D2752" s="20" t="s">
        <v>22</v>
      </c>
      <c r="E2752" s="12" t="str">
        <f>IFERROR(__xludf.DUMMYFUNCTION("FILTER(colegios!$B$2:$B5618,colegios!$A$2:$A5618=L2752)"),"60133")</f>
        <v>60133</v>
      </c>
      <c r="F2752" s="14" t="s">
        <v>16</v>
      </c>
      <c r="G2752" s="20" t="s">
        <v>21</v>
      </c>
      <c r="H2752" s="14" t="s">
        <v>18</v>
      </c>
      <c r="I2752" s="15">
        <v>2022.0</v>
      </c>
      <c r="J2752" s="16" t="str">
        <f>IFERROR(__xludf.DUMMYFUNCTION("FILTER('CLASFICACIÓN'!$F$3:$F5618,'CLASFICACIÓN'!$G$3:$G5618=M2752)"),"LOS 3 AÑOS")</f>
        <v>LOS 3 AÑOS</v>
      </c>
      <c r="K2752" s="16" t="str">
        <f t="array" ref="K2752">IFERROR(DGET('PADD-R'!$B$1:$K5618,'PADD-R'!$K$1,{'PADD-R'!$B$1;E2752}),"NO PARTICIPÓ")</f>
        <v>PADD 2023 Y 2024</v>
      </c>
      <c r="L2752" s="14" t="s">
        <v>138</v>
      </c>
      <c r="M2752" s="16" t="str">
        <f t="shared" si="1"/>
        <v>601336 Primaria</v>
      </c>
      <c r="N2752" s="23"/>
      <c r="O2752" s="17"/>
      <c r="P2752" s="17"/>
      <c r="Q2752" s="17"/>
      <c r="R2752" s="17"/>
      <c r="S2752" s="17"/>
      <c r="T2752" s="17"/>
    </row>
    <row r="2753">
      <c r="A2753" s="18">
        <v>2383.0</v>
      </c>
      <c r="B2753" s="12" t="s">
        <v>13</v>
      </c>
      <c r="C2753" s="12" t="s">
        <v>14</v>
      </c>
      <c r="D2753" s="20" t="s">
        <v>22</v>
      </c>
      <c r="E2753" s="12" t="str">
        <f>IFERROR(__xludf.DUMMYFUNCTION("FILTER(colegios!$B$2:$B5618,colegios!$A$2:$A5618=L2753)"),"60133")</f>
        <v>60133</v>
      </c>
      <c r="F2753" s="14" t="s">
        <v>16</v>
      </c>
      <c r="G2753" s="20" t="s">
        <v>21</v>
      </c>
      <c r="H2753" s="14" t="s">
        <v>18</v>
      </c>
      <c r="I2753" s="15">
        <v>2022.0</v>
      </c>
      <c r="J2753" s="16" t="str">
        <f>IFERROR(__xludf.DUMMYFUNCTION("FILTER('CLASFICACIÓN'!$F$3:$F5618,'CLASFICACIÓN'!$G$3:$G5618=M2753)"),"LOS 3 AÑOS")</f>
        <v>LOS 3 AÑOS</v>
      </c>
      <c r="K2753" s="16" t="str">
        <f t="array" ref="K2753">IFERROR(DGET('PADD-R'!$B$1:$K5618,'PADD-R'!$K$1,{'PADD-R'!$B$1;E2753}),"NO PARTICIPÓ")</f>
        <v>PADD 2023 Y 2024</v>
      </c>
      <c r="L2753" s="14" t="s">
        <v>138</v>
      </c>
      <c r="M2753" s="16" t="str">
        <f t="shared" si="1"/>
        <v>601336 Primaria</v>
      </c>
      <c r="N2753" s="23"/>
      <c r="O2753" s="17"/>
      <c r="P2753" s="17"/>
      <c r="Q2753" s="17"/>
      <c r="R2753" s="17"/>
      <c r="S2753" s="17"/>
      <c r="T2753" s="17"/>
    </row>
    <row r="2754">
      <c r="A2754" s="18">
        <v>2384.0</v>
      </c>
      <c r="B2754" s="12" t="s">
        <v>13</v>
      </c>
      <c r="C2754" s="12" t="s">
        <v>14</v>
      </c>
      <c r="D2754" s="20" t="s">
        <v>22</v>
      </c>
      <c r="E2754" s="12" t="str">
        <f>IFERROR(__xludf.DUMMYFUNCTION("FILTER(colegios!$B$2:$B5618,colegios!$A$2:$A5618=L2754)"),"60133")</f>
        <v>60133</v>
      </c>
      <c r="F2754" s="14" t="s">
        <v>16</v>
      </c>
      <c r="G2754" s="20" t="s">
        <v>17</v>
      </c>
      <c r="H2754" s="14" t="s">
        <v>18</v>
      </c>
      <c r="I2754" s="15">
        <v>2022.0</v>
      </c>
      <c r="J2754" s="16" t="str">
        <f>IFERROR(__xludf.DUMMYFUNCTION("FILTER('CLASFICACIÓN'!$F$3:$F5618,'CLASFICACIÓN'!$G$3:$G5618=M2754)"),"LOS 3 AÑOS")</f>
        <v>LOS 3 AÑOS</v>
      </c>
      <c r="K2754" s="16" t="str">
        <f t="array" ref="K2754">IFERROR(DGET('PADD-R'!$B$1:$K5618,'PADD-R'!$K$1,{'PADD-R'!$B$1;E2754}),"NO PARTICIPÓ")</f>
        <v>PADD 2023 Y 2024</v>
      </c>
      <c r="L2754" s="14" t="s">
        <v>138</v>
      </c>
      <c r="M2754" s="16" t="str">
        <f t="shared" si="1"/>
        <v>601336 Primaria</v>
      </c>
      <c r="N2754" s="23"/>
      <c r="O2754" s="17"/>
      <c r="P2754" s="17"/>
      <c r="Q2754" s="17"/>
      <c r="R2754" s="17"/>
      <c r="S2754" s="17"/>
      <c r="T2754" s="17"/>
    </row>
    <row r="2755">
      <c r="A2755" s="18">
        <v>2385.0</v>
      </c>
      <c r="B2755" s="12" t="s">
        <v>13</v>
      </c>
      <c r="C2755" s="12" t="s">
        <v>14</v>
      </c>
      <c r="D2755" s="20" t="s">
        <v>22</v>
      </c>
      <c r="E2755" s="12" t="str">
        <f>IFERROR(__xludf.DUMMYFUNCTION("FILTER(colegios!$B$2:$B5618,colegios!$A$2:$A5618=L2755)"),"60133")</f>
        <v>60133</v>
      </c>
      <c r="F2755" s="14" t="s">
        <v>16</v>
      </c>
      <c r="G2755" s="20" t="s">
        <v>17</v>
      </c>
      <c r="H2755" s="14" t="s">
        <v>18</v>
      </c>
      <c r="I2755" s="15">
        <v>2022.0</v>
      </c>
      <c r="J2755" s="16" t="str">
        <f>IFERROR(__xludf.DUMMYFUNCTION("FILTER('CLASFICACIÓN'!$F$3:$F5618,'CLASFICACIÓN'!$G$3:$G5618=M2755)"),"LOS 3 AÑOS")</f>
        <v>LOS 3 AÑOS</v>
      </c>
      <c r="K2755" s="16" t="str">
        <f t="array" ref="K2755">IFERROR(DGET('PADD-R'!$B$1:$K5618,'PADD-R'!$K$1,{'PADD-R'!$B$1;E2755}),"NO PARTICIPÓ")</f>
        <v>PADD 2023 Y 2024</v>
      </c>
      <c r="L2755" s="14" t="s">
        <v>138</v>
      </c>
      <c r="M2755" s="16" t="str">
        <f t="shared" si="1"/>
        <v>601336 Primaria</v>
      </c>
      <c r="N2755" s="23"/>
      <c r="O2755" s="17"/>
      <c r="P2755" s="17"/>
      <c r="Q2755" s="17"/>
      <c r="R2755" s="17"/>
      <c r="S2755" s="17"/>
      <c r="T2755" s="17"/>
    </row>
    <row r="2756">
      <c r="A2756" s="18">
        <v>2386.0</v>
      </c>
      <c r="B2756" s="12" t="s">
        <v>13</v>
      </c>
      <c r="C2756" s="12" t="s">
        <v>14</v>
      </c>
      <c r="D2756" s="20" t="s">
        <v>22</v>
      </c>
      <c r="E2756" s="12" t="str">
        <f>IFERROR(__xludf.DUMMYFUNCTION("FILTER(colegios!$B$2:$B5618,colegios!$A$2:$A5618=L2756)"),"60133")</f>
        <v>60133</v>
      </c>
      <c r="F2756" s="14" t="s">
        <v>16</v>
      </c>
      <c r="G2756" s="20" t="s">
        <v>21</v>
      </c>
      <c r="H2756" s="14" t="s">
        <v>18</v>
      </c>
      <c r="I2756" s="15">
        <v>2022.0</v>
      </c>
      <c r="J2756" s="16" t="str">
        <f>IFERROR(__xludf.DUMMYFUNCTION("FILTER('CLASFICACIÓN'!$F$3:$F5618,'CLASFICACIÓN'!$G$3:$G5618=M2756)"),"LOS 3 AÑOS")</f>
        <v>LOS 3 AÑOS</v>
      </c>
      <c r="K2756" s="16" t="str">
        <f t="array" ref="K2756">IFERROR(DGET('PADD-R'!$B$1:$K5618,'PADD-R'!$K$1,{'PADD-R'!$B$1;E2756}),"NO PARTICIPÓ")</f>
        <v>PADD 2023 Y 2024</v>
      </c>
      <c r="L2756" s="14" t="s">
        <v>138</v>
      </c>
      <c r="M2756" s="16" t="str">
        <f t="shared" si="1"/>
        <v>601336 Primaria</v>
      </c>
      <c r="N2756" s="23"/>
      <c r="O2756" s="17"/>
      <c r="P2756" s="17"/>
      <c r="Q2756" s="17"/>
      <c r="R2756" s="17"/>
      <c r="S2756" s="17"/>
      <c r="T2756" s="17"/>
    </row>
    <row r="2757">
      <c r="A2757" s="18">
        <v>2387.0</v>
      </c>
      <c r="B2757" s="12" t="s">
        <v>13</v>
      </c>
      <c r="C2757" s="12" t="s">
        <v>14</v>
      </c>
      <c r="D2757" s="20" t="s">
        <v>22</v>
      </c>
      <c r="E2757" s="12" t="str">
        <f>IFERROR(__xludf.DUMMYFUNCTION("FILTER(colegios!$B$2:$B5618,colegios!$A$2:$A5618=L2757)"),"60133")</f>
        <v>60133</v>
      </c>
      <c r="F2757" s="14" t="s">
        <v>16</v>
      </c>
      <c r="G2757" s="20" t="s">
        <v>21</v>
      </c>
      <c r="H2757" s="14" t="s">
        <v>18</v>
      </c>
      <c r="I2757" s="15">
        <v>2022.0</v>
      </c>
      <c r="J2757" s="16" t="str">
        <f>IFERROR(__xludf.DUMMYFUNCTION("FILTER('CLASFICACIÓN'!$F$3:$F5618,'CLASFICACIÓN'!$G$3:$G5618=M2757)"),"LOS 3 AÑOS")</f>
        <v>LOS 3 AÑOS</v>
      </c>
      <c r="K2757" s="16" t="str">
        <f t="array" ref="K2757">IFERROR(DGET('PADD-R'!$B$1:$K5618,'PADD-R'!$K$1,{'PADD-R'!$B$1;E2757}),"NO PARTICIPÓ")</f>
        <v>PADD 2023 Y 2024</v>
      </c>
      <c r="L2757" s="14" t="s">
        <v>138</v>
      </c>
      <c r="M2757" s="16" t="str">
        <f t="shared" si="1"/>
        <v>601336 Primaria</v>
      </c>
      <c r="N2757" s="23"/>
      <c r="O2757" s="17"/>
      <c r="P2757" s="17"/>
      <c r="Q2757" s="17"/>
      <c r="R2757" s="17"/>
      <c r="S2757" s="17"/>
      <c r="T2757" s="17"/>
    </row>
    <row r="2758">
      <c r="A2758" s="18">
        <v>2388.0</v>
      </c>
      <c r="B2758" s="12" t="s">
        <v>13</v>
      </c>
      <c r="C2758" s="12" t="s">
        <v>14</v>
      </c>
      <c r="D2758" s="20" t="s">
        <v>22</v>
      </c>
      <c r="E2758" s="12" t="str">
        <f>IFERROR(__xludf.DUMMYFUNCTION("FILTER(colegios!$B$2:$B5618,colegios!$A$2:$A5618=L2758)"),"60133")</f>
        <v>60133</v>
      </c>
      <c r="F2758" s="14" t="s">
        <v>16</v>
      </c>
      <c r="G2758" s="20" t="s">
        <v>21</v>
      </c>
      <c r="H2758" s="14" t="s">
        <v>18</v>
      </c>
      <c r="I2758" s="15">
        <v>2022.0</v>
      </c>
      <c r="J2758" s="16" t="str">
        <f>IFERROR(__xludf.DUMMYFUNCTION("FILTER('CLASFICACIÓN'!$F$3:$F5618,'CLASFICACIÓN'!$G$3:$G5618=M2758)"),"LOS 3 AÑOS")</f>
        <v>LOS 3 AÑOS</v>
      </c>
      <c r="K2758" s="16" t="str">
        <f t="array" ref="K2758">IFERROR(DGET('PADD-R'!$B$1:$K5618,'PADD-R'!$K$1,{'PADD-R'!$B$1;E2758}),"NO PARTICIPÓ")</f>
        <v>PADD 2023 Y 2024</v>
      </c>
      <c r="L2758" s="14" t="s">
        <v>138</v>
      </c>
      <c r="M2758" s="16" t="str">
        <f t="shared" si="1"/>
        <v>601336 Primaria</v>
      </c>
      <c r="N2758" s="23"/>
      <c r="O2758" s="17"/>
      <c r="P2758" s="17"/>
      <c r="Q2758" s="17"/>
      <c r="R2758" s="17"/>
      <c r="S2758" s="17"/>
      <c r="T2758" s="17"/>
    </row>
    <row r="2759">
      <c r="A2759" s="18">
        <v>2389.0</v>
      </c>
      <c r="B2759" s="12" t="s">
        <v>13</v>
      </c>
      <c r="C2759" s="12" t="s">
        <v>14</v>
      </c>
      <c r="D2759" s="20" t="s">
        <v>22</v>
      </c>
      <c r="E2759" s="12" t="str">
        <f>IFERROR(__xludf.DUMMYFUNCTION("FILTER(colegios!$B$2:$B5618,colegios!$A$2:$A5618=L2759)"),"60133")</f>
        <v>60133</v>
      </c>
      <c r="F2759" s="14" t="s">
        <v>16</v>
      </c>
      <c r="G2759" s="20" t="s">
        <v>17</v>
      </c>
      <c r="H2759" s="14" t="s">
        <v>18</v>
      </c>
      <c r="I2759" s="15">
        <v>2022.0</v>
      </c>
      <c r="J2759" s="16" t="str">
        <f>IFERROR(__xludf.DUMMYFUNCTION("FILTER('CLASFICACIÓN'!$F$3:$F5618,'CLASFICACIÓN'!$G$3:$G5618=M2759)"),"LOS 3 AÑOS")</f>
        <v>LOS 3 AÑOS</v>
      </c>
      <c r="K2759" s="16" t="str">
        <f t="array" ref="K2759">IFERROR(DGET('PADD-R'!$B$1:$K5618,'PADD-R'!$K$1,{'PADD-R'!$B$1;E2759}),"NO PARTICIPÓ")</f>
        <v>PADD 2023 Y 2024</v>
      </c>
      <c r="L2759" s="14" t="s">
        <v>138</v>
      </c>
      <c r="M2759" s="16" t="str">
        <f t="shared" si="1"/>
        <v>601336 Primaria</v>
      </c>
      <c r="N2759" s="23"/>
      <c r="O2759" s="17"/>
      <c r="P2759" s="17"/>
      <c r="Q2759" s="17"/>
      <c r="R2759" s="17"/>
      <c r="S2759" s="17"/>
      <c r="T2759" s="17"/>
    </row>
    <row r="2760">
      <c r="A2760" s="18">
        <v>2390.0</v>
      </c>
      <c r="B2760" s="12" t="s">
        <v>13</v>
      </c>
      <c r="C2760" s="12" t="s">
        <v>14</v>
      </c>
      <c r="D2760" s="20" t="s">
        <v>22</v>
      </c>
      <c r="E2760" s="12" t="str">
        <f>IFERROR(__xludf.DUMMYFUNCTION("FILTER(colegios!$B$2:$B5618,colegios!$A$2:$A5618=L2760)"),"60133")</f>
        <v>60133</v>
      </c>
      <c r="F2760" s="14" t="s">
        <v>16</v>
      </c>
      <c r="G2760" s="20" t="s">
        <v>21</v>
      </c>
      <c r="H2760" s="14" t="s">
        <v>18</v>
      </c>
      <c r="I2760" s="15">
        <v>2022.0</v>
      </c>
      <c r="J2760" s="16" t="str">
        <f>IFERROR(__xludf.DUMMYFUNCTION("FILTER('CLASFICACIÓN'!$F$3:$F5618,'CLASFICACIÓN'!$G$3:$G5618=M2760)"),"LOS 3 AÑOS")</f>
        <v>LOS 3 AÑOS</v>
      </c>
      <c r="K2760" s="16" t="str">
        <f t="array" ref="K2760">IFERROR(DGET('PADD-R'!$B$1:$K5618,'PADD-R'!$K$1,{'PADD-R'!$B$1;E2760}),"NO PARTICIPÓ")</f>
        <v>PADD 2023 Y 2024</v>
      </c>
      <c r="L2760" s="14" t="s">
        <v>138</v>
      </c>
      <c r="M2760" s="16" t="str">
        <f t="shared" si="1"/>
        <v>601336 Primaria</v>
      </c>
      <c r="N2760" s="23"/>
      <c r="O2760" s="17"/>
      <c r="P2760" s="17"/>
      <c r="Q2760" s="17"/>
      <c r="R2760" s="17"/>
      <c r="S2760" s="17"/>
      <c r="T2760" s="17"/>
    </row>
    <row r="2761">
      <c r="A2761" s="18">
        <v>2391.0</v>
      </c>
      <c r="B2761" s="12" t="s">
        <v>13</v>
      </c>
      <c r="C2761" s="12" t="s">
        <v>14</v>
      </c>
      <c r="D2761" s="20" t="s">
        <v>22</v>
      </c>
      <c r="E2761" s="12" t="str">
        <f>IFERROR(__xludf.DUMMYFUNCTION("FILTER(colegios!$B$2:$B5618,colegios!$A$2:$A5618=L2761)"),"60133")</f>
        <v>60133</v>
      </c>
      <c r="F2761" s="14" t="s">
        <v>16</v>
      </c>
      <c r="G2761" s="20" t="s">
        <v>21</v>
      </c>
      <c r="H2761" s="14" t="s">
        <v>18</v>
      </c>
      <c r="I2761" s="15">
        <v>2022.0</v>
      </c>
      <c r="J2761" s="16" t="str">
        <f>IFERROR(__xludf.DUMMYFUNCTION("FILTER('CLASFICACIÓN'!$F$3:$F5618,'CLASFICACIÓN'!$G$3:$G5618=M2761)"),"LOS 3 AÑOS")</f>
        <v>LOS 3 AÑOS</v>
      </c>
      <c r="K2761" s="16" t="str">
        <f t="array" ref="K2761">IFERROR(DGET('PADD-R'!$B$1:$K5618,'PADD-R'!$K$1,{'PADD-R'!$B$1;E2761}),"NO PARTICIPÓ")</f>
        <v>PADD 2023 Y 2024</v>
      </c>
      <c r="L2761" s="14" t="s">
        <v>138</v>
      </c>
      <c r="M2761" s="16" t="str">
        <f t="shared" si="1"/>
        <v>601336 Primaria</v>
      </c>
      <c r="N2761" s="23"/>
      <c r="O2761" s="17"/>
      <c r="P2761" s="17"/>
      <c r="Q2761" s="17"/>
      <c r="R2761" s="17"/>
      <c r="S2761" s="17"/>
      <c r="T2761" s="17"/>
    </row>
    <row r="2762">
      <c r="A2762" s="18">
        <v>2392.0</v>
      </c>
      <c r="B2762" s="12" t="s">
        <v>13</v>
      </c>
      <c r="C2762" s="12" t="s">
        <v>14</v>
      </c>
      <c r="D2762" s="20" t="s">
        <v>22</v>
      </c>
      <c r="E2762" s="12" t="str">
        <f>IFERROR(__xludf.DUMMYFUNCTION("FILTER(colegios!$B$2:$B5618,colegios!$A$2:$A5618=L2762)"),"60133")</f>
        <v>60133</v>
      </c>
      <c r="F2762" s="14" t="s">
        <v>16</v>
      </c>
      <c r="G2762" s="20" t="s">
        <v>17</v>
      </c>
      <c r="H2762" s="14" t="s">
        <v>18</v>
      </c>
      <c r="I2762" s="15">
        <v>2022.0</v>
      </c>
      <c r="J2762" s="16" t="str">
        <f>IFERROR(__xludf.DUMMYFUNCTION("FILTER('CLASFICACIÓN'!$F$3:$F5618,'CLASFICACIÓN'!$G$3:$G5618=M2762)"),"LOS 3 AÑOS")</f>
        <v>LOS 3 AÑOS</v>
      </c>
      <c r="K2762" s="16" t="str">
        <f t="array" ref="K2762">IFERROR(DGET('PADD-R'!$B$1:$K5618,'PADD-R'!$K$1,{'PADD-R'!$B$1;E2762}),"NO PARTICIPÓ")</f>
        <v>PADD 2023 Y 2024</v>
      </c>
      <c r="L2762" s="14" t="s">
        <v>138</v>
      </c>
      <c r="M2762" s="16" t="str">
        <f t="shared" si="1"/>
        <v>601336 Primaria</v>
      </c>
      <c r="N2762" s="23"/>
      <c r="O2762" s="17"/>
      <c r="P2762" s="17"/>
      <c r="Q2762" s="17"/>
      <c r="R2762" s="17"/>
      <c r="S2762" s="17"/>
      <c r="T2762" s="17"/>
    </row>
    <row r="2763">
      <c r="A2763" s="18">
        <v>2393.0</v>
      </c>
      <c r="B2763" s="12" t="s">
        <v>13</v>
      </c>
      <c r="C2763" s="12" t="s">
        <v>14</v>
      </c>
      <c r="D2763" s="20" t="s">
        <v>22</v>
      </c>
      <c r="E2763" s="12" t="str">
        <f>IFERROR(__xludf.DUMMYFUNCTION("FILTER(colegios!$B$2:$B5618,colegios!$A$2:$A5618=L2763)"),"60133")</f>
        <v>60133</v>
      </c>
      <c r="F2763" s="14" t="s">
        <v>16</v>
      </c>
      <c r="G2763" s="20" t="s">
        <v>21</v>
      </c>
      <c r="H2763" s="14" t="s">
        <v>18</v>
      </c>
      <c r="I2763" s="15">
        <v>2022.0</v>
      </c>
      <c r="J2763" s="16" t="str">
        <f>IFERROR(__xludf.DUMMYFUNCTION("FILTER('CLASFICACIÓN'!$F$3:$F5618,'CLASFICACIÓN'!$G$3:$G5618=M2763)"),"LOS 3 AÑOS")</f>
        <v>LOS 3 AÑOS</v>
      </c>
      <c r="K2763" s="16" t="str">
        <f t="array" ref="K2763">IFERROR(DGET('PADD-R'!$B$1:$K5618,'PADD-R'!$K$1,{'PADD-R'!$B$1;E2763}),"NO PARTICIPÓ")</f>
        <v>PADD 2023 Y 2024</v>
      </c>
      <c r="L2763" s="14" t="s">
        <v>138</v>
      </c>
      <c r="M2763" s="16" t="str">
        <f t="shared" si="1"/>
        <v>601336 Primaria</v>
      </c>
      <c r="N2763" s="23"/>
      <c r="O2763" s="17"/>
      <c r="P2763" s="17"/>
      <c r="Q2763" s="17"/>
      <c r="R2763" s="17"/>
      <c r="S2763" s="17"/>
      <c r="T2763" s="17"/>
    </row>
    <row r="2764">
      <c r="A2764" s="18">
        <v>2394.0</v>
      </c>
      <c r="B2764" s="12" t="s">
        <v>13</v>
      </c>
      <c r="C2764" s="12" t="s">
        <v>14</v>
      </c>
      <c r="D2764" s="20" t="s">
        <v>22</v>
      </c>
      <c r="E2764" s="12" t="str">
        <f>IFERROR(__xludf.DUMMYFUNCTION("FILTER(colegios!$B$2:$B5618,colegios!$A$2:$A5618=L2764)"),"60133")</f>
        <v>60133</v>
      </c>
      <c r="F2764" s="14" t="s">
        <v>16</v>
      </c>
      <c r="G2764" s="20" t="s">
        <v>21</v>
      </c>
      <c r="H2764" s="14" t="s">
        <v>18</v>
      </c>
      <c r="I2764" s="15">
        <v>2022.0</v>
      </c>
      <c r="J2764" s="16" t="str">
        <f>IFERROR(__xludf.DUMMYFUNCTION("FILTER('CLASFICACIÓN'!$F$3:$F5618,'CLASFICACIÓN'!$G$3:$G5618=M2764)"),"LOS 3 AÑOS")</f>
        <v>LOS 3 AÑOS</v>
      </c>
      <c r="K2764" s="16" t="str">
        <f t="array" ref="K2764">IFERROR(DGET('PADD-R'!$B$1:$K5618,'PADD-R'!$K$1,{'PADD-R'!$B$1;E2764}),"NO PARTICIPÓ")</f>
        <v>PADD 2023 Y 2024</v>
      </c>
      <c r="L2764" s="14" t="s">
        <v>138</v>
      </c>
      <c r="M2764" s="16" t="str">
        <f t="shared" si="1"/>
        <v>601336 Primaria</v>
      </c>
      <c r="N2764" s="23"/>
      <c r="O2764" s="17"/>
      <c r="P2764" s="17"/>
      <c r="Q2764" s="17"/>
      <c r="R2764" s="17"/>
      <c r="S2764" s="17"/>
      <c r="T2764" s="17"/>
    </row>
    <row r="2765">
      <c r="A2765" s="18">
        <v>2395.0</v>
      </c>
      <c r="B2765" s="12" t="s">
        <v>13</v>
      </c>
      <c r="C2765" s="12" t="s">
        <v>14</v>
      </c>
      <c r="D2765" s="20" t="s">
        <v>22</v>
      </c>
      <c r="E2765" s="12" t="str">
        <f>IFERROR(__xludf.DUMMYFUNCTION("FILTER(colegios!$B$2:$B5618,colegios!$A$2:$A5618=L2765)"),"60133")</f>
        <v>60133</v>
      </c>
      <c r="F2765" s="14" t="s">
        <v>16</v>
      </c>
      <c r="G2765" s="20" t="s">
        <v>17</v>
      </c>
      <c r="H2765" s="14" t="s">
        <v>18</v>
      </c>
      <c r="I2765" s="15">
        <v>2022.0</v>
      </c>
      <c r="J2765" s="16" t="str">
        <f>IFERROR(__xludf.DUMMYFUNCTION("FILTER('CLASFICACIÓN'!$F$3:$F5618,'CLASFICACIÓN'!$G$3:$G5618=M2765)"),"LOS 3 AÑOS")</f>
        <v>LOS 3 AÑOS</v>
      </c>
      <c r="K2765" s="16" t="str">
        <f t="array" ref="K2765">IFERROR(DGET('PADD-R'!$B$1:$K5618,'PADD-R'!$K$1,{'PADD-R'!$B$1;E2765}),"NO PARTICIPÓ")</f>
        <v>PADD 2023 Y 2024</v>
      </c>
      <c r="L2765" s="14" t="s">
        <v>138</v>
      </c>
      <c r="M2765" s="16" t="str">
        <f t="shared" si="1"/>
        <v>601336 Primaria</v>
      </c>
      <c r="N2765" s="23"/>
      <c r="O2765" s="17"/>
      <c r="P2765" s="17"/>
      <c r="Q2765" s="17"/>
      <c r="R2765" s="17"/>
      <c r="S2765" s="17"/>
      <c r="T2765" s="17"/>
    </row>
    <row r="2766">
      <c r="A2766" s="18">
        <v>2396.0</v>
      </c>
      <c r="B2766" s="12" t="s">
        <v>13</v>
      </c>
      <c r="C2766" s="12" t="s">
        <v>14</v>
      </c>
      <c r="D2766" s="20" t="s">
        <v>22</v>
      </c>
      <c r="E2766" s="12" t="str">
        <f>IFERROR(__xludf.DUMMYFUNCTION("FILTER(colegios!$B$2:$B5618,colegios!$A$2:$A5618=L2766)"),"60133")</f>
        <v>60133</v>
      </c>
      <c r="F2766" s="14" t="s">
        <v>16</v>
      </c>
      <c r="G2766" s="20" t="s">
        <v>17</v>
      </c>
      <c r="H2766" s="14" t="s">
        <v>18</v>
      </c>
      <c r="I2766" s="15">
        <v>2022.0</v>
      </c>
      <c r="J2766" s="16" t="str">
        <f>IFERROR(__xludf.DUMMYFUNCTION("FILTER('CLASFICACIÓN'!$F$3:$F5618,'CLASFICACIÓN'!$G$3:$G5618=M2766)"),"LOS 3 AÑOS")</f>
        <v>LOS 3 AÑOS</v>
      </c>
      <c r="K2766" s="16" t="str">
        <f t="array" ref="K2766">IFERROR(DGET('PADD-R'!$B$1:$K5618,'PADD-R'!$K$1,{'PADD-R'!$B$1;E2766}),"NO PARTICIPÓ")</f>
        <v>PADD 2023 Y 2024</v>
      </c>
      <c r="L2766" s="14" t="s">
        <v>138</v>
      </c>
      <c r="M2766" s="16" t="str">
        <f t="shared" si="1"/>
        <v>601336 Primaria</v>
      </c>
      <c r="N2766" s="23"/>
      <c r="O2766" s="17"/>
      <c r="P2766" s="17"/>
      <c r="Q2766" s="17"/>
      <c r="R2766" s="17"/>
      <c r="S2766" s="17"/>
      <c r="T2766" s="17"/>
    </row>
    <row r="2767">
      <c r="A2767" s="18">
        <v>2397.0</v>
      </c>
      <c r="B2767" s="12" t="s">
        <v>13</v>
      </c>
      <c r="C2767" s="12" t="s">
        <v>14</v>
      </c>
      <c r="D2767" s="20" t="s">
        <v>22</v>
      </c>
      <c r="E2767" s="12" t="str">
        <f>IFERROR(__xludf.DUMMYFUNCTION("FILTER(colegios!$B$2:$B5618,colegios!$A$2:$A5618=L2767)"),"60133")</f>
        <v>60133</v>
      </c>
      <c r="F2767" s="14" t="s">
        <v>16</v>
      </c>
      <c r="G2767" s="20" t="s">
        <v>17</v>
      </c>
      <c r="H2767" s="14" t="s">
        <v>18</v>
      </c>
      <c r="I2767" s="15">
        <v>2022.0</v>
      </c>
      <c r="J2767" s="16" t="str">
        <f>IFERROR(__xludf.DUMMYFUNCTION("FILTER('CLASFICACIÓN'!$F$3:$F5618,'CLASFICACIÓN'!$G$3:$G5618=M2767)"),"LOS 3 AÑOS")</f>
        <v>LOS 3 AÑOS</v>
      </c>
      <c r="K2767" s="16" t="str">
        <f t="array" ref="K2767">IFERROR(DGET('PADD-R'!$B$1:$K5618,'PADD-R'!$K$1,{'PADD-R'!$B$1;E2767}),"NO PARTICIPÓ")</f>
        <v>PADD 2023 Y 2024</v>
      </c>
      <c r="L2767" s="14" t="s">
        <v>138</v>
      </c>
      <c r="M2767" s="16" t="str">
        <f t="shared" si="1"/>
        <v>601336 Primaria</v>
      </c>
      <c r="N2767" s="23"/>
      <c r="O2767" s="17"/>
      <c r="P2767" s="17"/>
      <c r="Q2767" s="17"/>
      <c r="R2767" s="17"/>
      <c r="S2767" s="17"/>
      <c r="T2767" s="17"/>
    </row>
    <row r="2768">
      <c r="A2768" s="18">
        <v>2398.0</v>
      </c>
      <c r="B2768" s="12" t="s">
        <v>13</v>
      </c>
      <c r="C2768" s="12" t="s">
        <v>14</v>
      </c>
      <c r="D2768" s="20" t="s">
        <v>22</v>
      </c>
      <c r="E2768" s="12" t="str">
        <f>IFERROR(__xludf.DUMMYFUNCTION("FILTER(colegios!$B$2:$B5618,colegios!$A$2:$A5618=L2768)"),"60133")</f>
        <v>60133</v>
      </c>
      <c r="F2768" s="14" t="s">
        <v>16</v>
      </c>
      <c r="G2768" s="20" t="s">
        <v>21</v>
      </c>
      <c r="H2768" s="14" t="s">
        <v>18</v>
      </c>
      <c r="I2768" s="15">
        <v>2022.0</v>
      </c>
      <c r="J2768" s="16" t="str">
        <f>IFERROR(__xludf.DUMMYFUNCTION("FILTER('CLASFICACIÓN'!$F$3:$F5618,'CLASFICACIÓN'!$G$3:$G5618=M2768)"),"LOS 3 AÑOS")</f>
        <v>LOS 3 AÑOS</v>
      </c>
      <c r="K2768" s="16" t="str">
        <f t="array" ref="K2768">IFERROR(DGET('PADD-R'!$B$1:$K5618,'PADD-R'!$K$1,{'PADD-R'!$B$1;E2768}),"NO PARTICIPÓ")</f>
        <v>PADD 2023 Y 2024</v>
      </c>
      <c r="L2768" s="14" t="s">
        <v>138</v>
      </c>
      <c r="M2768" s="16" t="str">
        <f t="shared" si="1"/>
        <v>601336 Primaria</v>
      </c>
      <c r="N2768" s="23"/>
      <c r="O2768" s="17"/>
      <c r="P2768" s="17"/>
      <c r="Q2768" s="17"/>
      <c r="R2768" s="17"/>
      <c r="S2768" s="17"/>
      <c r="T2768" s="17"/>
    </row>
    <row r="2769">
      <c r="A2769" s="18">
        <v>2399.0</v>
      </c>
      <c r="B2769" s="12" t="s">
        <v>13</v>
      </c>
      <c r="C2769" s="12" t="s">
        <v>14</v>
      </c>
      <c r="D2769" s="20" t="s">
        <v>22</v>
      </c>
      <c r="E2769" s="12" t="str">
        <f>IFERROR(__xludf.DUMMYFUNCTION("FILTER(colegios!$B$2:$B5618,colegios!$A$2:$A5618=L2769)"),"60133")</f>
        <v>60133</v>
      </c>
      <c r="F2769" s="14" t="s">
        <v>16</v>
      </c>
      <c r="G2769" s="20" t="s">
        <v>17</v>
      </c>
      <c r="H2769" s="14" t="s">
        <v>18</v>
      </c>
      <c r="I2769" s="15">
        <v>2022.0</v>
      </c>
      <c r="J2769" s="16" t="str">
        <f>IFERROR(__xludf.DUMMYFUNCTION("FILTER('CLASFICACIÓN'!$F$3:$F5618,'CLASFICACIÓN'!$G$3:$G5618=M2769)"),"LOS 3 AÑOS")</f>
        <v>LOS 3 AÑOS</v>
      </c>
      <c r="K2769" s="16" t="str">
        <f t="array" ref="K2769">IFERROR(DGET('PADD-R'!$B$1:$K5618,'PADD-R'!$K$1,{'PADD-R'!$B$1;E2769}),"NO PARTICIPÓ")</f>
        <v>PADD 2023 Y 2024</v>
      </c>
      <c r="L2769" s="14" t="s">
        <v>138</v>
      </c>
      <c r="M2769" s="16" t="str">
        <f t="shared" si="1"/>
        <v>601336 Primaria</v>
      </c>
      <c r="N2769" s="23"/>
      <c r="O2769" s="17"/>
      <c r="P2769" s="17"/>
      <c r="Q2769" s="17"/>
      <c r="R2769" s="17"/>
      <c r="S2769" s="17"/>
      <c r="T2769" s="17"/>
    </row>
    <row r="2770">
      <c r="A2770" s="18">
        <v>2400.0</v>
      </c>
      <c r="B2770" s="12" t="s">
        <v>13</v>
      </c>
      <c r="C2770" s="12" t="s">
        <v>14</v>
      </c>
      <c r="D2770" s="20" t="s">
        <v>22</v>
      </c>
      <c r="E2770" s="12" t="str">
        <f>IFERROR(__xludf.DUMMYFUNCTION("FILTER(colegios!$B$2:$B5618,colegios!$A$2:$A5618=L2770)"),"60133")</f>
        <v>60133</v>
      </c>
      <c r="F2770" s="14" t="s">
        <v>16</v>
      </c>
      <c r="G2770" s="20" t="s">
        <v>17</v>
      </c>
      <c r="H2770" s="14" t="s">
        <v>18</v>
      </c>
      <c r="I2770" s="15">
        <v>2022.0</v>
      </c>
      <c r="J2770" s="16" t="str">
        <f>IFERROR(__xludf.DUMMYFUNCTION("FILTER('CLASFICACIÓN'!$F$3:$F5618,'CLASFICACIÓN'!$G$3:$G5618=M2770)"),"LOS 3 AÑOS")</f>
        <v>LOS 3 AÑOS</v>
      </c>
      <c r="K2770" s="16" t="str">
        <f t="array" ref="K2770">IFERROR(DGET('PADD-R'!$B$1:$K5618,'PADD-R'!$K$1,{'PADD-R'!$B$1;E2770}),"NO PARTICIPÓ")</f>
        <v>PADD 2023 Y 2024</v>
      </c>
      <c r="L2770" s="14" t="s">
        <v>138</v>
      </c>
      <c r="M2770" s="16" t="str">
        <f t="shared" si="1"/>
        <v>601336 Primaria</v>
      </c>
      <c r="N2770" s="23"/>
      <c r="O2770" s="17"/>
      <c r="P2770" s="17"/>
      <c r="Q2770" s="17"/>
      <c r="R2770" s="17"/>
      <c r="S2770" s="17"/>
      <c r="T2770" s="17"/>
    </row>
    <row r="2771">
      <c r="A2771" s="18">
        <v>2401.0</v>
      </c>
      <c r="B2771" s="12" t="s">
        <v>13</v>
      </c>
      <c r="C2771" s="12" t="s">
        <v>14</v>
      </c>
      <c r="D2771" s="20" t="s">
        <v>22</v>
      </c>
      <c r="E2771" s="12" t="str">
        <f>IFERROR(__xludf.DUMMYFUNCTION("FILTER(colegios!$B$2:$B5618,colegios!$A$2:$A5618=L2771)"),"60133")</f>
        <v>60133</v>
      </c>
      <c r="F2771" s="14" t="s">
        <v>16</v>
      </c>
      <c r="G2771" s="20" t="s">
        <v>17</v>
      </c>
      <c r="H2771" s="14" t="s">
        <v>18</v>
      </c>
      <c r="I2771" s="15">
        <v>2022.0</v>
      </c>
      <c r="J2771" s="16" t="str">
        <f>IFERROR(__xludf.DUMMYFUNCTION("FILTER('CLASFICACIÓN'!$F$3:$F5618,'CLASFICACIÓN'!$G$3:$G5618=M2771)"),"LOS 3 AÑOS")</f>
        <v>LOS 3 AÑOS</v>
      </c>
      <c r="K2771" s="16" t="str">
        <f t="array" ref="K2771">IFERROR(DGET('PADD-R'!$B$1:$K5618,'PADD-R'!$K$1,{'PADD-R'!$B$1;E2771}),"NO PARTICIPÓ")</f>
        <v>PADD 2023 Y 2024</v>
      </c>
      <c r="L2771" s="14" t="s">
        <v>138</v>
      </c>
      <c r="M2771" s="16" t="str">
        <f t="shared" si="1"/>
        <v>601336 Primaria</v>
      </c>
      <c r="N2771" s="23"/>
      <c r="O2771" s="17"/>
      <c r="P2771" s="17"/>
      <c r="Q2771" s="17"/>
      <c r="R2771" s="17"/>
      <c r="S2771" s="17"/>
      <c r="T2771" s="17"/>
    </row>
    <row r="2772">
      <c r="A2772" s="18">
        <v>2422.0</v>
      </c>
      <c r="B2772" s="12" t="s">
        <v>13</v>
      </c>
      <c r="C2772" s="12" t="s">
        <v>14</v>
      </c>
      <c r="D2772" s="20" t="s">
        <v>15</v>
      </c>
      <c r="E2772" s="12" t="str">
        <f>IFERROR(__xludf.DUMMYFUNCTION("FILTER(colegios!$B$2:$B5618,colegios!$A$2:$A5618=L2772)"),"601331")</f>
        <v>601331</v>
      </c>
      <c r="F2772" s="14" t="s">
        <v>16</v>
      </c>
      <c r="G2772" s="20" t="s">
        <v>17</v>
      </c>
      <c r="H2772" s="14" t="s">
        <v>18</v>
      </c>
      <c r="I2772" s="15">
        <v>2022.0</v>
      </c>
      <c r="J2772" s="16" t="str">
        <f>IFERROR(__xludf.DUMMYFUNCTION("FILTER('CLASFICACIÓN'!$F$3:$F5618,'CLASFICACIÓN'!$G$3:$G5618=M2772)"),"LOS 3 AÑOS")</f>
        <v>LOS 3 AÑOS</v>
      </c>
      <c r="K2772" s="16" t="str">
        <f t="array" ref="K2772">IFERROR(DGET('PADD-R'!$B$1:$K5618,'PADD-R'!$K$1,{'PADD-R'!$B$1;E2772}),"NO PARTICIPÓ")</f>
        <v>SOLO 2023</v>
      </c>
      <c r="L2772" s="14" t="s">
        <v>136</v>
      </c>
      <c r="M2772" s="16" t="str">
        <f t="shared" si="1"/>
        <v>6013312 Primaria</v>
      </c>
      <c r="N2772" s="23"/>
      <c r="O2772" s="17"/>
      <c r="P2772" s="17"/>
      <c r="Q2772" s="17"/>
      <c r="R2772" s="17"/>
      <c r="S2772" s="17"/>
      <c r="T2772" s="17"/>
    </row>
    <row r="2773">
      <c r="A2773" s="18">
        <v>2423.0</v>
      </c>
      <c r="B2773" s="12" t="s">
        <v>13</v>
      </c>
      <c r="C2773" s="12" t="s">
        <v>14</v>
      </c>
      <c r="D2773" s="20" t="s">
        <v>15</v>
      </c>
      <c r="E2773" s="12" t="str">
        <f>IFERROR(__xludf.DUMMYFUNCTION("FILTER(colegios!$B$2:$B5618,colegios!$A$2:$A5618=L2773)"),"601331")</f>
        <v>601331</v>
      </c>
      <c r="F2773" s="14" t="s">
        <v>16</v>
      </c>
      <c r="G2773" s="20" t="s">
        <v>21</v>
      </c>
      <c r="H2773" s="14" t="s">
        <v>18</v>
      </c>
      <c r="I2773" s="15">
        <v>2022.0</v>
      </c>
      <c r="J2773" s="16" t="str">
        <f>IFERROR(__xludf.DUMMYFUNCTION("FILTER('CLASFICACIÓN'!$F$3:$F5618,'CLASFICACIÓN'!$G$3:$G5618=M2773)"),"LOS 3 AÑOS")</f>
        <v>LOS 3 AÑOS</v>
      </c>
      <c r="K2773" s="16" t="str">
        <f t="array" ref="K2773">IFERROR(DGET('PADD-R'!$B$1:$K5618,'PADD-R'!$K$1,{'PADD-R'!$B$1;E2773}),"NO PARTICIPÓ")</f>
        <v>SOLO 2023</v>
      </c>
      <c r="L2773" s="14" t="s">
        <v>136</v>
      </c>
      <c r="M2773" s="16" t="str">
        <f t="shared" si="1"/>
        <v>6013312 Primaria</v>
      </c>
      <c r="N2773" s="23"/>
      <c r="O2773" s="17"/>
      <c r="P2773" s="17"/>
      <c r="Q2773" s="17"/>
      <c r="R2773" s="17"/>
      <c r="S2773" s="17"/>
      <c r="T2773" s="17"/>
    </row>
    <row r="2774">
      <c r="A2774" s="18">
        <v>2424.0</v>
      </c>
      <c r="B2774" s="12" t="s">
        <v>13</v>
      </c>
      <c r="C2774" s="12" t="s">
        <v>14</v>
      </c>
      <c r="D2774" s="20" t="s">
        <v>15</v>
      </c>
      <c r="E2774" s="12" t="str">
        <f>IFERROR(__xludf.DUMMYFUNCTION("FILTER(colegios!$B$2:$B5618,colegios!$A$2:$A5618=L2774)"),"601331")</f>
        <v>601331</v>
      </c>
      <c r="F2774" s="14" t="s">
        <v>16</v>
      </c>
      <c r="G2774" s="20" t="s">
        <v>17</v>
      </c>
      <c r="H2774" s="14" t="s">
        <v>18</v>
      </c>
      <c r="I2774" s="15">
        <v>2022.0</v>
      </c>
      <c r="J2774" s="16" t="str">
        <f>IFERROR(__xludf.DUMMYFUNCTION("FILTER('CLASFICACIÓN'!$F$3:$F5618,'CLASFICACIÓN'!$G$3:$G5618=M2774)"),"LOS 3 AÑOS")</f>
        <v>LOS 3 AÑOS</v>
      </c>
      <c r="K2774" s="16" t="str">
        <f t="array" ref="K2774">IFERROR(DGET('PADD-R'!$B$1:$K5618,'PADD-R'!$K$1,{'PADD-R'!$B$1;E2774}),"NO PARTICIPÓ")</f>
        <v>SOLO 2023</v>
      </c>
      <c r="L2774" s="14" t="s">
        <v>136</v>
      </c>
      <c r="M2774" s="16" t="str">
        <f t="shared" si="1"/>
        <v>6013312 Primaria</v>
      </c>
      <c r="N2774" s="23"/>
      <c r="O2774" s="17"/>
      <c r="P2774" s="17"/>
      <c r="Q2774" s="17"/>
      <c r="R2774" s="17"/>
      <c r="S2774" s="17"/>
      <c r="T2774" s="17"/>
    </row>
    <row r="2775">
      <c r="A2775" s="18">
        <v>2425.0</v>
      </c>
      <c r="B2775" s="12" t="s">
        <v>13</v>
      </c>
      <c r="C2775" s="12" t="s">
        <v>14</v>
      </c>
      <c r="D2775" s="20" t="s">
        <v>15</v>
      </c>
      <c r="E2775" s="12" t="str">
        <f>IFERROR(__xludf.DUMMYFUNCTION("FILTER(colegios!$B$2:$B5618,colegios!$A$2:$A5618=L2775)"),"601331")</f>
        <v>601331</v>
      </c>
      <c r="F2775" s="14" t="s">
        <v>16</v>
      </c>
      <c r="G2775" s="20" t="s">
        <v>17</v>
      </c>
      <c r="H2775" s="14" t="s">
        <v>18</v>
      </c>
      <c r="I2775" s="15">
        <v>2022.0</v>
      </c>
      <c r="J2775" s="16" t="str">
        <f>IFERROR(__xludf.DUMMYFUNCTION("FILTER('CLASFICACIÓN'!$F$3:$F5618,'CLASFICACIÓN'!$G$3:$G5618=M2775)"),"LOS 3 AÑOS")</f>
        <v>LOS 3 AÑOS</v>
      </c>
      <c r="K2775" s="16" t="str">
        <f t="array" ref="K2775">IFERROR(DGET('PADD-R'!$B$1:$K5618,'PADD-R'!$K$1,{'PADD-R'!$B$1;E2775}),"NO PARTICIPÓ")</f>
        <v>SOLO 2023</v>
      </c>
      <c r="L2775" s="14" t="s">
        <v>136</v>
      </c>
      <c r="M2775" s="16" t="str">
        <f t="shared" si="1"/>
        <v>6013312 Primaria</v>
      </c>
      <c r="N2775" s="23"/>
      <c r="O2775" s="17"/>
      <c r="P2775" s="17"/>
      <c r="Q2775" s="17"/>
      <c r="R2775" s="17"/>
      <c r="S2775" s="17"/>
      <c r="T2775" s="17"/>
    </row>
    <row r="2776">
      <c r="A2776" s="18">
        <v>2426.0</v>
      </c>
      <c r="B2776" s="12" t="s">
        <v>13</v>
      </c>
      <c r="C2776" s="12" t="s">
        <v>14</v>
      </c>
      <c r="D2776" s="20" t="s">
        <v>15</v>
      </c>
      <c r="E2776" s="12" t="str">
        <f>IFERROR(__xludf.DUMMYFUNCTION("FILTER(colegios!$B$2:$B5618,colegios!$A$2:$A5618=L2776)"),"601331")</f>
        <v>601331</v>
      </c>
      <c r="F2776" s="14" t="s">
        <v>16</v>
      </c>
      <c r="G2776" s="20" t="s">
        <v>21</v>
      </c>
      <c r="H2776" s="14" t="s">
        <v>18</v>
      </c>
      <c r="I2776" s="15">
        <v>2022.0</v>
      </c>
      <c r="J2776" s="16" t="str">
        <f>IFERROR(__xludf.DUMMYFUNCTION("FILTER('CLASFICACIÓN'!$F$3:$F5618,'CLASFICACIÓN'!$G$3:$G5618=M2776)"),"LOS 3 AÑOS")</f>
        <v>LOS 3 AÑOS</v>
      </c>
      <c r="K2776" s="16" t="str">
        <f t="array" ref="K2776">IFERROR(DGET('PADD-R'!$B$1:$K5618,'PADD-R'!$K$1,{'PADD-R'!$B$1;E2776}),"NO PARTICIPÓ")</f>
        <v>SOLO 2023</v>
      </c>
      <c r="L2776" s="14" t="s">
        <v>136</v>
      </c>
      <c r="M2776" s="16" t="str">
        <f t="shared" si="1"/>
        <v>6013312 Primaria</v>
      </c>
      <c r="N2776" s="23"/>
      <c r="O2776" s="17"/>
      <c r="P2776" s="17"/>
      <c r="Q2776" s="17"/>
      <c r="R2776" s="17"/>
      <c r="S2776" s="17"/>
      <c r="T2776" s="17"/>
    </row>
    <row r="2777">
      <c r="A2777" s="18">
        <v>2427.0</v>
      </c>
      <c r="B2777" s="12" t="s">
        <v>13</v>
      </c>
      <c r="C2777" s="12" t="s">
        <v>14</v>
      </c>
      <c r="D2777" s="20" t="s">
        <v>15</v>
      </c>
      <c r="E2777" s="12" t="str">
        <f>IFERROR(__xludf.DUMMYFUNCTION("FILTER(colegios!$B$2:$B5618,colegios!$A$2:$A5618=L2777)"),"601331")</f>
        <v>601331</v>
      </c>
      <c r="F2777" s="14" t="s">
        <v>16</v>
      </c>
      <c r="G2777" s="20" t="s">
        <v>17</v>
      </c>
      <c r="H2777" s="14" t="s">
        <v>18</v>
      </c>
      <c r="I2777" s="15">
        <v>2022.0</v>
      </c>
      <c r="J2777" s="16" t="str">
        <f>IFERROR(__xludf.DUMMYFUNCTION("FILTER('CLASFICACIÓN'!$F$3:$F5618,'CLASFICACIÓN'!$G$3:$G5618=M2777)"),"LOS 3 AÑOS")</f>
        <v>LOS 3 AÑOS</v>
      </c>
      <c r="K2777" s="16" t="str">
        <f t="array" ref="K2777">IFERROR(DGET('PADD-R'!$B$1:$K5618,'PADD-R'!$K$1,{'PADD-R'!$B$1;E2777}),"NO PARTICIPÓ")</f>
        <v>SOLO 2023</v>
      </c>
      <c r="L2777" s="14" t="s">
        <v>136</v>
      </c>
      <c r="M2777" s="16" t="str">
        <f t="shared" si="1"/>
        <v>6013312 Primaria</v>
      </c>
      <c r="N2777" s="23"/>
      <c r="O2777" s="17"/>
      <c r="P2777" s="17"/>
      <c r="Q2777" s="17"/>
      <c r="R2777" s="17"/>
      <c r="S2777" s="17"/>
      <c r="T2777" s="17"/>
    </row>
    <row r="2778">
      <c r="A2778" s="18">
        <v>2428.0</v>
      </c>
      <c r="B2778" s="12" t="s">
        <v>13</v>
      </c>
      <c r="C2778" s="12" t="s">
        <v>14</v>
      </c>
      <c r="D2778" s="20" t="s">
        <v>15</v>
      </c>
      <c r="E2778" s="12" t="str">
        <f>IFERROR(__xludf.DUMMYFUNCTION("FILTER(colegios!$B$2:$B5618,colegios!$A$2:$A5618=L2778)"),"601331")</f>
        <v>601331</v>
      </c>
      <c r="F2778" s="14" t="s">
        <v>16</v>
      </c>
      <c r="G2778" s="20" t="s">
        <v>17</v>
      </c>
      <c r="H2778" s="14" t="s">
        <v>18</v>
      </c>
      <c r="I2778" s="15">
        <v>2022.0</v>
      </c>
      <c r="J2778" s="16" t="str">
        <f>IFERROR(__xludf.DUMMYFUNCTION("FILTER('CLASFICACIÓN'!$F$3:$F5618,'CLASFICACIÓN'!$G$3:$G5618=M2778)"),"LOS 3 AÑOS")</f>
        <v>LOS 3 AÑOS</v>
      </c>
      <c r="K2778" s="16" t="str">
        <f t="array" ref="K2778">IFERROR(DGET('PADD-R'!$B$1:$K5618,'PADD-R'!$K$1,{'PADD-R'!$B$1;E2778}),"NO PARTICIPÓ")</f>
        <v>SOLO 2023</v>
      </c>
      <c r="L2778" s="14" t="s">
        <v>136</v>
      </c>
      <c r="M2778" s="16" t="str">
        <f t="shared" si="1"/>
        <v>6013312 Primaria</v>
      </c>
      <c r="N2778" s="23"/>
      <c r="O2778" s="17"/>
      <c r="P2778" s="17"/>
      <c r="Q2778" s="17"/>
      <c r="R2778" s="17"/>
      <c r="S2778" s="17"/>
      <c r="T2778" s="17"/>
    </row>
    <row r="2779">
      <c r="A2779" s="18">
        <v>2429.0</v>
      </c>
      <c r="B2779" s="12" t="s">
        <v>13</v>
      </c>
      <c r="C2779" s="12" t="s">
        <v>14</v>
      </c>
      <c r="D2779" s="20" t="s">
        <v>15</v>
      </c>
      <c r="E2779" s="12" t="str">
        <f>IFERROR(__xludf.DUMMYFUNCTION("FILTER(colegios!$B$2:$B5618,colegios!$A$2:$A5618=L2779)"),"601331")</f>
        <v>601331</v>
      </c>
      <c r="F2779" s="14" t="s">
        <v>16</v>
      </c>
      <c r="G2779" s="20" t="s">
        <v>21</v>
      </c>
      <c r="H2779" s="14" t="s">
        <v>18</v>
      </c>
      <c r="I2779" s="15">
        <v>2022.0</v>
      </c>
      <c r="J2779" s="16" t="str">
        <f>IFERROR(__xludf.DUMMYFUNCTION("FILTER('CLASFICACIÓN'!$F$3:$F5618,'CLASFICACIÓN'!$G$3:$G5618=M2779)"),"LOS 3 AÑOS")</f>
        <v>LOS 3 AÑOS</v>
      </c>
      <c r="K2779" s="16" t="str">
        <f t="array" ref="K2779">IFERROR(DGET('PADD-R'!$B$1:$K5618,'PADD-R'!$K$1,{'PADD-R'!$B$1;E2779}),"NO PARTICIPÓ")</f>
        <v>SOLO 2023</v>
      </c>
      <c r="L2779" s="14" t="s">
        <v>136</v>
      </c>
      <c r="M2779" s="16" t="str">
        <f t="shared" si="1"/>
        <v>6013312 Primaria</v>
      </c>
      <c r="N2779" s="23"/>
      <c r="O2779" s="17"/>
      <c r="P2779" s="17"/>
      <c r="Q2779" s="17"/>
      <c r="R2779" s="17"/>
      <c r="S2779" s="17"/>
      <c r="T2779" s="17"/>
    </row>
    <row r="2780">
      <c r="A2780" s="18">
        <v>2430.0</v>
      </c>
      <c r="B2780" s="12" t="s">
        <v>13</v>
      </c>
      <c r="C2780" s="12" t="s">
        <v>14</v>
      </c>
      <c r="D2780" s="20" t="s">
        <v>15</v>
      </c>
      <c r="E2780" s="12" t="str">
        <f>IFERROR(__xludf.DUMMYFUNCTION("FILTER(colegios!$B$2:$B5618,colegios!$A$2:$A5618=L2780)"),"601331")</f>
        <v>601331</v>
      </c>
      <c r="F2780" s="14" t="s">
        <v>16</v>
      </c>
      <c r="G2780" s="20" t="s">
        <v>21</v>
      </c>
      <c r="H2780" s="14" t="s">
        <v>18</v>
      </c>
      <c r="I2780" s="15">
        <v>2022.0</v>
      </c>
      <c r="J2780" s="16" t="str">
        <f>IFERROR(__xludf.DUMMYFUNCTION("FILTER('CLASFICACIÓN'!$F$3:$F5618,'CLASFICACIÓN'!$G$3:$G5618=M2780)"),"LOS 3 AÑOS")</f>
        <v>LOS 3 AÑOS</v>
      </c>
      <c r="K2780" s="16" t="str">
        <f t="array" ref="K2780">IFERROR(DGET('PADD-R'!$B$1:$K5618,'PADD-R'!$K$1,{'PADD-R'!$B$1;E2780}),"NO PARTICIPÓ")</f>
        <v>SOLO 2023</v>
      </c>
      <c r="L2780" s="14" t="s">
        <v>136</v>
      </c>
      <c r="M2780" s="16" t="str">
        <f t="shared" si="1"/>
        <v>6013312 Primaria</v>
      </c>
      <c r="N2780" s="23"/>
      <c r="O2780" s="17"/>
      <c r="P2780" s="17"/>
      <c r="Q2780" s="17"/>
      <c r="R2780" s="17"/>
      <c r="S2780" s="17"/>
      <c r="T2780" s="17"/>
    </row>
    <row r="2781">
      <c r="A2781" s="18">
        <v>2431.0</v>
      </c>
      <c r="B2781" s="12" t="s">
        <v>13</v>
      </c>
      <c r="C2781" s="12" t="s">
        <v>14</v>
      </c>
      <c r="D2781" s="20" t="s">
        <v>15</v>
      </c>
      <c r="E2781" s="12" t="str">
        <f>IFERROR(__xludf.DUMMYFUNCTION("FILTER(colegios!$B$2:$B5618,colegios!$A$2:$A5618=L2781)"),"601331")</f>
        <v>601331</v>
      </c>
      <c r="F2781" s="14" t="s">
        <v>16</v>
      </c>
      <c r="G2781" s="20" t="s">
        <v>21</v>
      </c>
      <c r="H2781" s="14" t="s">
        <v>18</v>
      </c>
      <c r="I2781" s="15">
        <v>2022.0</v>
      </c>
      <c r="J2781" s="16" t="str">
        <f>IFERROR(__xludf.DUMMYFUNCTION("FILTER('CLASFICACIÓN'!$F$3:$F5618,'CLASFICACIÓN'!$G$3:$G5618=M2781)"),"LOS 3 AÑOS")</f>
        <v>LOS 3 AÑOS</v>
      </c>
      <c r="K2781" s="16" t="str">
        <f t="array" ref="K2781">IFERROR(DGET('PADD-R'!$B$1:$K5618,'PADD-R'!$K$1,{'PADD-R'!$B$1;E2781}),"NO PARTICIPÓ")</f>
        <v>SOLO 2023</v>
      </c>
      <c r="L2781" s="14" t="s">
        <v>136</v>
      </c>
      <c r="M2781" s="16" t="str">
        <f t="shared" si="1"/>
        <v>6013312 Primaria</v>
      </c>
      <c r="N2781" s="23"/>
      <c r="O2781" s="17"/>
      <c r="P2781" s="17"/>
      <c r="Q2781" s="17"/>
      <c r="R2781" s="17"/>
      <c r="S2781" s="17"/>
      <c r="T2781" s="17"/>
    </row>
    <row r="2782">
      <c r="A2782" s="18">
        <v>2432.0</v>
      </c>
      <c r="B2782" s="12" t="s">
        <v>13</v>
      </c>
      <c r="C2782" s="12" t="s">
        <v>14</v>
      </c>
      <c r="D2782" s="20" t="s">
        <v>15</v>
      </c>
      <c r="E2782" s="12" t="str">
        <f>IFERROR(__xludf.DUMMYFUNCTION("FILTER(colegios!$B$2:$B5618,colegios!$A$2:$A5618=L2782)"),"601331")</f>
        <v>601331</v>
      </c>
      <c r="F2782" s="14" t="s">
        <v>16</v>
      </c>
      <c r="G2782" s="20" t="s">
        <v>17</v>
      </c>
      <c r="H2782" s="14" t="s">
        <v>18</v>
      </c>
      <c r="I2782" s="15">
        <v>2022.0</v>
      </c>
      <c r="J2782" s="16" t="str">
        <f>IFERROR(__xludf.DUMMYFUNCTION("FILTER('CLASFICACIÓN'!$F$3:$F5618,'CLASFICACIÓN'!$G$3:$G5618=M2782)"),"LOS 3 AÑOS")</f>
        <v>LOS 3 AÑOS</v>
      </c>
      <c r="K2782" s="16" t="str">
        <f t="array" ref="K2782">IFERROR(DGET('PADD-R'!$B$1:$K5618,'PADD-R'!$K$1,{'PADD-R'!$B$1;E2782}),"NO PARTICIPÓ")</f>
        <v>SOLO 2023</v>
      </c>
      <c r="L2782" s="14" t="s">
        <v>136</v>
      </c>
      <c r="M2782" s="16" t="str">
        <f t="shared" si="1"/>
        <v>6013312 Primaria</v>
      </c>
      <c r="N2782" s="23"/>
      <c r="O2782" s="17"/>
      <c r="P2782" s="17"/>
      <c r="Q2782" s="17"/>
      <c r="R2782" s="17"/>
      <c r="S2782" s="17"/>
      <c r="T2782" s="17"/>
    </row>
    <row r="2783">
      <c r="A2783" s="18">
        <v>2433.0</v>
      </c>
      <c r="B2783" s="12" t="s">
        <v>13</v>
      </c>
      <c r="C2783" s="12" t="s">
        <v>14</v>
      </c>
      <c r="D2783" s="20" t="s">
        <v>15</v>
      </c>
      <c r="E2783" s="12" t="str">
        <f>IFERROR(__xludf.DUMMYFUNCTION("FILTER(colegios!$B$2:$B5618,colegios!$A$2:$A5618=L2783)"),"601331")</f>
        <v>601331</v>
      </c>
      <c r="F2783" s="14" t="s">
        <v>16</v>
      </c>
      <c r="G2783" s="20" t="s">
        <v>21</v>
      </c>
      <c r="H2783" s="14" t="s">
        <v>18</v>
      </c>
      <c r="I2783" s="15">
        <v>2022.0</v>
      </c>
      <c r="J2783" s="16" t="str">
        <f>IFERROR(__xludf.DUMMYFUNCTION("FILTER('CLASFICACIÓN'!$F$3:$F5618,'CLASFICACIÓN'!$G$3:$G5618=M2783)"),"LOS 3 AÑOS")</f>
        <v>LOS 3 AÑOS</v>
      </c>
      <c r="K2783" s="16" t="str">
        <f t="array" ref="K2783">IFERROR(DGET('PADD-R'!$B$1:$K5618,'PADD-R'!$K$1,{'PADD-R'!$B$1;E2783}),"NO PARTICIPÓ")</f>
        <v>SOLO 2023</v>
      </c>
      <c r="L2783" s="14" t="s">
        <v>136</v>
      </c>
      <c r="M2783" s="16" t="str">
        <f t="shared" si="1"/>
        <v>6013312 Primaria</v>
      </c>
      <c r="N2783" s="23"/>
      <c r="O2783" s="17"/>
      <c r="P2783" s="17"/>
      <c r="Q2783" s="17"/>
      <c r="R2783" s="17"/>
      <c r="S2783" s="17"/>
      <c r="T2783" s="17"/>
    </row>
    <row r="2784">
      <c r="A2784" s="18">
        <v>2434.0</v>
      </c>
      <c r="B2784" s="12" t="s">
        <v>13</v>
      </c>
      <c r="C2784" s="12" t="s">
        <v>14</v>
      </c>
      <c r="D2784" s="20" t="s">
        <v>15</v>
      </c>
      <c r="E2784" s="12" t="str">
        <f>IFERROR(__xludf.DUMMYFUNCTION("FILTER(colegios!$B$2:$B5618,colegios!$A$2:$A5618=L2784)"),"601331")</f>
        <v>601331</v>
      </c>
      <c r="F2784" s="14" t="s">
        <v>16</v>
      </c>
      <c r="G2784" s="20" t="s">
        <v>21</v>
      </c>
      <c r="H2784" s="14" t="s">
        <v>18</v>
      </c>
      <c r="I2784" s="15">
        <v>2022.0</v>
      </c>
      <c r="J2784" s="16" t="str">
        <f>IFERROR(__xludf.DUMMYFUNCTION("FILTER('CLASFICACIÓN'!$F$3:$F5618,'CLASFICACIÓN'!$G$3:$G5618=M2784)"),"LOS 3 AÑOS")</f>
        <v>LOS 3 AÑOS</v>
      </c>
      <c r="K2784" s="16" t="str">
        <f t="array" ref="K2784">IFERROR(DGET('PADD-R'!$B$1:$K5618,'PADD-R'!$K$1,{'PADD-R'!$B$1;E2784}),"NO PARTICIPÓ")</f>
        <v>SOLO 2023</v>
      </c>
      <c r="L2784" s="14" t="s">
        <v>136</v>
      </c>
      <c r="M2784" s="16" t="str">
        <f t="shared" si="1"/>
        <v>6013312 Primaria</v>
      </c>
      <c r="N2784" s="23"/>
      <c r="O2784" s="17"/>
      <c r="P2784" s="17"/>
      <c r="Q2784" s="17"/>
      <c r="R2784" s="17"/>
      <c r="S2784" s="17"/>
      <c r="T2784" s="17"/>
    </row>
    <row r="2785">
      <c r="A2785" s="18">
        <v>2435.0</v>
      </c>
      <c r="B2785" s="12" t="s">
        <v>13</v>
      </c>
      <c r="C2785" s="12" t="s">
        <v>14</v>
      </c>
      <c r="D2785" s="20" t="s">
        <v>15</v>
      </c>
      <c r="E2785" s="12" t="str">
        <f>IFERROR(__xludf.DUMMYFUNCTION("FILTER(colegios!$B$2:$B5618,colegios!$A$2:$A5618=L2785)"),"601331")</f>
        <v>601331</v>
      </c>
      <c r="F2785" s="14" t="s">
        <v>16</v>
      </c>
      <c r="G2785" s="20" t="s">
        <v>21</v>
      </c>
      <c r="H2785" s="14" t="s">
        <v>18</v>
      </c>
      <c r="I2785" s="15">
        <v>2022.0</v>
      </c>
      <c r="J2785" s="16" t="str">
        <f>IFERROR(__xludf.DUMMYFUNCTION("FILTER('CLASFICACIÓN'!$F$3:$F5618,'CLASFICACIÓN'!$G$3:$G5618=M2785)"),"LOS 3 AÑOS")</f>
        <v>LOS 3 AÑOS</v>
      </c>
      <c r="K2785" s="16" t="str">
        <f t="array" ref="K2785">IFERROR(DGET('PADD-R'!$B$1:$K5618,'PADD-R'!$K$1,{'PADD-R'!$B$1;E2785}),"NO PARTICIPÓ")</f>
        <v>SOLO 2023</v>
      </c>
      <c r="L2785" s="14" t="s">
        <v>136</v>
      </c>
      <c r="M2785" s="16" t="str">
        <f t="shared" si="1"/>
        <v>6013312 Primaria</v>
      </c>
      <c r="N2785" s="23"/>
      <c r="O2785" s="17"/>
      <c r="P2785" s="17"/>
      <c r="Q2785" s="17"/>
      <c r="R2785" s="17"/>
      <c r="S2785" s="17"/>
      <c r="T2785" s="17"/>
    </row>
    <row r="2786">
      <c r="A2786" s="18">
        <v>2436.0</v>
      </c>
      <c r="B2786" s="12" t="s">
        <v>13</v>
      </c>
      <c r="C2786" s="12" t="s">
        <v>14</v>
      </c>
      <c r="D2786" s="20" t="s">
        <v>15</v>
      </c>
      <c r="E2786" s="12" t="str">
        <f>IFERROR(__xludf.DUMMYFUNCTION("FILTER(colegios!$B$2:$B5618,colegios!$A$2:$A5618=L2786)"),"601331")</f>
        <v>601331</v>
      </c>
      <c r="F2786" s="14" t="s">
        <v>16</v>
      </c>
      <c r="G2786" s="20" t="s">
        <v>21</v>
      </c>
      <c r="H2786" s="14" t="s">
        <v>18</v>
      </c>
      <c r="I2786" s="15">
        <v>2022.0</v>
      </c>
      <c r="J2786" s="16" t="str">
        <f>IFERROR(__xludf.DUMMYFUNCTION("FILTER('CLASFICACIÓN'!$F$3:$F5618,'CLASFICACIÓN'!$G$3:$G5618=M2786)"),"LOS 3 AÑOS")</f>
        <v>LOS 3 AÑOS</v>
      </c>
      <c r="K2786" s="16" t="str">
        <f t="array" ref="K2786">IFERROR(DGET('PADD-R'!$B$1:$K5618,'PADD-R'!$K$1,{'PADD-R'!$B$1;E2786}),"NO PARTICIPÓ")</f>
        <v>SOLO 2023</v>
      </c>
      <c r="L2786" s="14" t="s">
        <v>136</v>
      </c>
      <c r="M2786" s="16" t="str">
        <f t="shared" si="1"/>
        <v>6013312 Primaria</v>
      </c>
      <c r="N2786" s="23"/>
      <c r="O2786" s="17"/>
      <c r="P2786" s="17"/>
      <c r="Q2786" s="17"/>
      <c r="R2786" s="17"/>
      <c r="S2786" s="17"/>
      <c r="T2786" s="17"/>
    </row>
    <row r="2787">
      <c r="A2787" s="18">
        <v>2437.0</v>
      </c>
      <c r="B2787" s="12" t="s">
        <v>13</v>
      </c>
      <c r="C2787" s="12" t="s">
        <v>14</v>
      </c>
      <c r="D2787" s="20" t="s">
        <v>15</v>
      </c>
      <c r="E2787" s="12" t="str">
        <f>IFERROR(__xludf.DUMMYFUNCTION("FILTER(colegios!$B$2:$B5618,colegios!$A$2:$A5618=L2787)"),"601331")</f>
        <v>601331</v>
      </c>
      <c r="F2787" s="14" t="s">
        <v>16</v>
      </c>
      <c r="G2787" s="20" t="s">
        <v>17</v>
      </c>
      <c r="H2787" s="14" t="s">
        <v>18</v>
      </c>
      <c r="I2787" s="15">
        <v>2022.0</v>
      </c>
      <c r="J2787" s="16" t="str">
        <f>IFERROR(__xludf.DUMMYFUNCTION("FILTER('CLASFICACIÓN'!$F$3:$F5618,'CLASFICACIÓN'!$G$3:$G5618=M2787)"),"LOS 3 AÑOS")</f>
        <v>LOS 3 AÑOS</v>
      </c>
      <c r="K2787" s="16" t="str">
        <f t="array" ref="K2787">IFERROR(DGET('PADD-R'!$B$1:$K5618,'PADD-R'!$K$1,{'PADD-R'!$B$1;E2787}),"NO PARTICIPÓ")</f>
        <v>SOLO 2023</v>
      </c>
      <c r="L2787" s="14" t="s">
        <v>136</v>
      </c>
      <c r="M2787" s="16" t="str">
        <f t="shared" si="1"/>
        <v>6013312 Primaria</v>
      </c>
      <c r="N2787" s="23"/>
      <c r="O2787" s="17"/>
      <c r="P2787" s="17"/>
      <c r="Q2787" s="17"/>
      <c r="R2787" s="17"/>
      <c r="S2787" s="17"/>
      <c r="T2787" s="17"/>
    </row>
    <row r="2788">
      <c r="A2788" s="18">
        <v>2438.0</v>
      </c>
      <c r="B2788" s="12" t="s">
        <v>13</v>
      </c>
      <c r="C2788" s="12" t="s">
        <v>27</v>
      </c>
      <c r="D2788" s="20" t="s">
        <v>28</v>
      </c>
      <c r="E2788" s="12" t="str">
        <f>IFERROR(__xludf.DUMMYFUNCTION("FILTER(colegios!$B$2:$B5618,colegios!$A$2:$A5618=L2788)"),"601331")</f>
        <v>601331</v>
      </c>
      <c r="F2788" s="14" t="s">
        <v>16</v>
      </c>
      <c r="G2788" s="20" t="s">
        <v>17</v>
      </c>
      <c r="H2788" s="14" t="s">
        <v>18</v>
      </c>
      <c r="I2788" s="15">
        <v>2022.0</v>
      </c>
      <c r="J2788" s="16" t="str">
        <f>IFERROR(__xludf.DUMMYFUNCTION("FILTER('CLASFICACIÓN'!$F$3:$F5618,'CLASFICACIÓN'!$G$3:$G5618=M2788)"),"LOS 3 AÑOS")</f>
        <v>LOS 3 AÑOS</v>
      </c>
      <c r="K2788" s="16" t="str">
        <f t="array" ref="K2788">IFERROR(DGET('PADD-R'!$B$1:$K5618,'PADD-R'!$K$1,{'PADD-R'!$B$1;E2788}),"NO PARTICIPÓ")</f>
        <v>SOLO 2023</v>
      </c>
      <c r="L2788" s="14" t="s">
        <v>136</v>
      </c>
      <c r="M2788" s="16" t="str">
        <f t="shared" si="1"/>
        <v>6013312 Secundaria</v>
      </c>
      <c r="N2788" s="23"/>
      <c r="O2788" s="17"/>
      <c r="P2788" s="17"/>
      <c r="Q2788" s="17"/>
      <c r="R2788" s="17"/>
      <c r="S2788" s="17"/>
      <c r="T2788" s="17"/>
    </row>
    <row r="2789">
      <c r="A2789" s="18">
        <v>2439.0</v>
      </c>
      <c r="B2789" s="12" t="s">
        <v>13</v>
      </c>
      <c r="C2789" s="12" t="s">
        <v>27</v>
      </c>
      <c r="D2789" s="20" t="s">
        <v>28</v>
      </c>
      <c r="E2789" s="12" t="str">
        <f>IFERROR(__xludf.DUMMYFUNCTION("FILTER(colegios!$B$2:$B5618,colegios!$A$2:$A5618=L2789)"),"601331")</f>
        <v>601331</v>
      </c>
      <c r="F2789" s="14" t="s">
        <v>16</v>
      </c>
      <c r="G2789" s="20" t="s">
        <v>17</v>
      </c>
      <c r="H2789" s="14" t="s">
        <v>18</v>
      </c>
      <c r="I2789" s="15">
        <v>2022.0</v>
      </c>
      <c r="J2789" s="16" t="str">
        <f>IFERROR(__xludf.DUMMYFUNCTION("FILTER('CLASFICACIÓN'!$F$3:$F5618,'CLASFICACIÓN'!$G$3:$G5618=M2789)"),"LOS 3 AÑOS")</f>
        <v>LOS 3 AÑOS</v>
      </c>
      <c r="K2789" s="16" t="str">
        <f t="array" ref="K2789">IFERROR(DGET('PADD-R'!$B$1:$K5618,'PADD-R'!$K$1,{'PADD-R'!$B$1;E2789}),"NO PARTICIPÓ")</f>
        <v>SOLO 2023</v>
      </c>
      <c r="L2789" s="14" t="s">
        <v>136</v>
      </c>
      <c r="M2789" s="16" t="str">
        <f t="shared" si="1"/>
        <v>6013312 Secundaria</v>
      </c>
      <c r="N2789" s="23"/>
      <c r="O2789" s="17"/>
      <c r="P2789" s="17"/>
      <c r="Q2789" s="17"/>
      <c r="R2789" s="17"/>
      <c r="S2789" s="17"/>
      <c r="T2789" s="17"/>
    </row>
    <row r="2790">
      <c r="A2790" s="18">
        <v>2440.0</v>
      </c>
      <c r="B2790" s="12" t="s">
        <v>13</v>
      </c>
      <c r="C2790" s="12" t="s">
        <v>27</v>
      </c>
      <c r="D2790" s="20" t="s">
        <v>28</v>
      </c>
      <c r="E2790" s="12" t="str">
        <f>IFERROR(__xludf.DUMMYFUNCTION("FILTER(colegios!$B$2:$B5618,colegios!$A$2:$A5618=L2790)"),"601331")</f>
        <v>601331</v>
      </c>
      <c r="F2790" s="14" t="s">
        <v>16</v>
      </c>
      <c r="G2790" s="20" t="s">
        <v>21</v>
      </c>
      <c r="H2790" s="14" t="s">
        <v>18</v>
      </c>
      <c r="I2790" s="15">
        <v>2022.0</v>
      </c>
      <c r="J2790" s="16" t="str">
        <f>IFERROR(__xludf.DUMMYFUNCTION("FILTER('CLASFICACIÓN'!$F$3:$F5618,'CLASFICACIÓN'!$G$3:$G5618=M2790)"),"LOS 3 AÑOS")</f>
        <v>LOS 3 AÑOS</v>
      </c>
      <c r="K2790" s="16" t="str">
        <f t="array" ref="K2790">IFERROR(DGET('PADD-R'!$B$1:$K5618,'PADD-R'!$K$1,{'PADD-R'!$B$1;E2790}),"NO PARTICIPÓ")</f>
        <v>SOLO 2023</v>
      </c>
      <c r="L2790" s="14" t="s">
        <v>136</v>
      </c>
      <c r="M2790" s="16" t="str">
        <f t="shared" si="1"/>
        <v>6013312 Secundaria</v>
      </c>
      <c r="N2790" s="23"/>
      <c r="O2790" s="17"/>
      <c r="P2790" s="17"/>
      <c r="Q2790" s="17"/>
      <c r="R2790" s="17"/>
      <c r="S2790" s="17"/>
      <c r="T2790" s="17"/>
    </row>
    <row r="2791">
      <c r="A2791" s="18">
        <v>2441.0</v>
      </c>
      <c r="B2791" s="12" t="s">
        <v>13</v>
      </c>
      <c r="C2791" s="12" t="s">
        <v>27</v>
      </c>
      <c r="D2791" s="20" t="s">
        <v>28</v>
      </c>
      <c r="E2791" s="12" t="str">
        <f>IFERROR(__xludf.DUMMYFUNCTION("FILTER(colegios!$B$2:$B5618,colegios!$A$2:$A5618=L2791)"),"601331")</f>
        <v>601331</v>
      </c>
      <c r="F2791" s="14" t="s">
        <v>16</v>
      </c>
      <c r="G2791" s="20" t="s">
        <v>17</v>
      </c>
      <c r="H2791" s="14" t="s">
        <v>18</v>
      </c>
      <c r="I2791" s="15">
        <v>2022.0</v>
      </c>
      <c r="J2791" s="16" t="str">
        <f>IFERROR(__xludf.DUMMYFUNCTION("FILTER('CLASFICACIÓN'!$F$3:$F5618,'CLASFICACIÓN'!$G$3:$G5618=M2791)"),"LOS 3 AÑOS")</f>
        <v>LOS 3 AÑOS</v>
      </c>
      <c r="K2791" s="16" t="str">
        <f t="array" ref="K2791">IFERROR(DGET('PADD-R'!$B$1:$K5618,'PADD-R'!$K$1,{'PADD-R'!$B$1;E2791}),"NO PARTICIPÓ")</f>
        <v>SOLO 2023</v>
      </c>
      <c r="L2791" s="14" t="s">
        <v>136</v>
      </c>
      <c r="M2791" s="16" t="str">
        <f t="shared" si="1"/>
        <v>6013312 Secundaria</v>
      </c>
      <c r="N2791" s="23"/>
      <c r="O2791" s="17"/>
      <c r="P2791" s="17"/>
      <c r="Q2791" s="17"/>
      <c r="R2791" s="17"/>
      <c r="S2791" s="17"/>
      <c r="T2791" s="17"/>
    </row>
    <row r="2792">
      <c r="A2792" s="18">
        <v>2442.0</v>
      </c>
      <c r="B2792" s="12" t="s">
        <v>13</v>
      </c>
      <c r="C2792" s="12" t="s">
        <v>27</v>
      </c>
      <c r="D2792" s="20" t="s">
        <v>28</v>
      </c>
      <c r="E2792" s="12" t="str">
        <f>IFERROR(__xludf.DUMMYFUNCTION("FILTER(colegios!$B$2:$B5618,colegios!$A$2:$A5618=L2792)"),"601331")</f>
        <v>601331</v>
      </c>
      <c r="F2792" s="14" t="s">
        <v>16</v>
      </c>
      <c r="G2792" s="20" t="s">
        <v>21</v>
      </c>
      <c r="H2792" s="14" t="s">
        <v>18</v>
      </c>
      <c r="I2792" s="15">
        <v>2022.0</v>
      </c>
      <c r="J2792" s="16" t="str">
        <f>IFERROR(__xludf.DUMMYFUNCTION("FILTER('CLASFICACIÓN'!$F$3:$F5618,'CLASFICACIÓN'!$G$3:$G5618=M2792)"),"LOS 3 AÑOS")</f>
        <v>LOS 3 AÑOS</v>
      </c>
      <c r="K2792" s="16" t="str">
        <f t="array" ref="K2792">IFERROR(DGET('PADD-R'!$B$1:$K5618,'PADD-R'!$K$1,{'PADD-R'!$B$1;E2792}),"NO PARTICIPÓ")</f>
        <v>SOLO 2023</v>
      </c>
      <c r="L2792" s="14" t="s">
        <v>136</v>
      </c>
      <c r="M2792" s="16" t="str">
        <f t="shared" si="1"/>
        <v>6013312 Secundaria</v>
      </c>
      <c r="N2792" s="23"/>
      <c r="O2792" s="17"/>
      <c r="P2792" s="17"/>
      <c r="Q2792" s="17"/>
      <c r="R2792" s="17"/>
      <c r="S2792" s="17"/>
      <c r="T2792" s="17"/>
    </row>
    <row r="2793">
      <c r="A2793" s="18">
        <v>2443.0</v>
      </c>
      <c r="B2793" s="12" t="s">
        <v>13</v>
      </c>
      <c r="C2793" s="12" t="s">
        <v>27</v>
      </c>
      <c r="D2793" s="20" t="s">
        <v>28</v>
      </c>
      <c r="E2793" s="12" t="str">
        <f>IFERROR(__xludf.DUMMYFUNCTION("FILTER(colegios!$B$2:$B5618,colegios!$A$2:$A5618=L2793)"),"601331")</f>
        <v>601331</v>
      </c>
      <c r="F2793" s="14" t="s">
        <v>16</v>
      </c>
      <c r="G2793" s="20" t="s">
        <v>17</v>
      </c>
      <c r="H2793" s="14" t="s">
        <v>18</v>
      </c>
      <c r="I2793" s="15">
        <v>2022.0</v>
      </c>
      <c r="J2793" s="16" t="str">
        <f>IFERROR(__xludf.DUMMYFUNCTION("FILTER('CLASFICACIÓN'!$F$3:$F5618,'CLASFICACIÓN'!$G$3:$G5618=M2793)"),"LOS 3 AÑOS")</f>
        <v>LOS 3 AÑOS</v>
      </c>
      <c r="K2793" s="16" t="str">
        <f t="array" ref="K2793">IFERROR(DGET('PADD-R'!$B$1:$K5618,'PADD-R'!$K$1,{'PADD-R'!$B$1;E2793}),"NO PARTICIPÓ")</f>
        <v>SOLO 2023</v>
      </c>
      <c r="L2793" s="14" t="s">
        <v>136</v>
      </c>
      <c r="M2793" s="16" t="str">
        <f t="shared" si="1"/>
        <v>6013312 Secundaria</v>
      </c>
      <c r="N2793" s="23"/>
      <c r="O2793" s="17"/>
      <c r="P2793" s="17"/>
      <c r="Q2793" s="17"/>
      <c r="R2793" s="17"/>
      <c r="S2793" s="17"/>
      <c r="T2793" s="17"/>
    </row>
    <row r="2794">
      <c r="A2794" s="18">
        <v>2444.0</v>
      </c>
      <c r="B2794" s="12" t="s">
        <v>13</v>
      </c>
      <c r="C2794" s="12" t="s">
        <v>27</v>
      </c>
      <c r="D2794" s="20" t="s">
        <v>28</v>
      </c>
      <c r="E2794" s="12" t="str">
        <f>IFERROR(__xludf.DUMMYFUNCTION("FILTER(colegios!$B$2:$B5618,colegios!$A$2:$A5618=L2794)"),"601331")</f>
        <v>601331</v>
      </c>
      <c r="F2794" s="14" t="s">
        <v>16</v>
      </c>
      <c r="G2794" s="20" t="s">
        <v>21</v>
      </c>
      <c r="H2794" s="14" t="s">
        <v>18</v>
      </c>
      <c r="I2794" s="15">
        <v>2022.0</v>
      </c>
      <c r="J2794" s="16" t="str">
        <f>IFERROR(__xludf.DUMMYFUNCTION("FILTER('CLASFICACIÓN'!$F$3:$F5618,'CLASFICACIÓN'!$G$3:$G5618=M2794)"),"LOS 3 AÑOS")</f>
        <v>LOS 3 AÑOS</v>
      </c>
      <c r="K2794" s="16" t="str">
        <f t="array" ref="K2794">IFERROR(DGET('PADD-R'!$B$1:$K5618,'PADD-R'!$K$1,{'PADD-R'!$B$1;E2794}),"NO PARTICIPÓ")</f>
        <v>SOLO 2023</v>
      </c>
      <c r="L2794" s="14" t="s">
        <v>136</v>
      </c>
      <c r="M2794" s="16" t="str">
        <f t="shared" si="1"/>
        <v>6013312 Secundaria</v>
      </c>
      <c r="N2794" s="23"/>
      <c r="O2794" s="17"/>
      <c r="P2794" s="17"/>
      <c r="Q2794" s="17"/>
      <c r="R2794" s="17"/>
      <c r="S2794" s="17"/>
      <c r="T2794" s="17"/>
    </row>
    <row r="2795">
      <c r="A2795" s="18">
        <v>2445.0</v>
      </c>
      <c r="B2795" s="12" t="s">
        <v>13</v>
      </c>
      <c r="C2795" s="12" t="s">
        <v>27</v>
      </c>
      <c r="D2795" s="20" t="s">
        <v>28</v>
      </c>
      <c r="E2795" s="12" t="str">
        <f>IFERROR(__xludf.DUMMYFUNCTION("FILTER(colegios!$B$2:$B5618,colegios!$A$2:$A5618=L2795)"),"601331")</f>
        <v>601331</v>
      </c>
      <c r="F2795" s="14" t="s">
        <v>16</v>
      </c>
      <c r="G2795" s="20" t="s">
        <v>17</v>
      </c>
      <c r="H2795" s="14" t="s">
        <v>18</v>
      </c>
      <c r="I2795" s="15">
        <v>2022.0</v>
      </c>
      <c r="J2795" s="16" t="str">
        <f>IFERROR(__xludf.DUMMYFUNCTION("FILTER('CLASFICACIÓN'!$F$3:$F5618,'CLASFICACIÓN'!$G$3:$G5618=M2795)"),"LOS 3 AÑOS")</f>
        <v>LOS 3 AÑOS</v>
      </c>
      <c r="K2795" s="16" t="str">
        <f t="array" ref="K2795">IFERROR(DGET('PADD-R'!$B$1:$K5618,'PADD-R'!$K$1,{'PADD-R'!$B$1;E2795}),"NO PARTICIPÓ")</f>
        <v>SOLO 2023</v>
      </c>
      <c r="L2795" s="14" t="s">
        <v>136</v>
      </c>
      <c r="M2795" s="16" t="str">
        <f t="shared" si="1"/>
        <v>6013312 Secundaria</v>
      </c>
      <c r="N2795" s="23"/>
      <c r="O2795" s="17"/>
      <c r="P2795" s="17"/>
      <c r="Q2795" s="17"/>
      <c r="R2795" s="17"/>
      <c r="S2795" s="17"/>
      <c r="T2795" s="17"/>
    </row>
    <row r="2796">
      <c r="A2796" s="18">
        <v>2446.0</v>
      </c>
      <c r="B2796" s="12" t="s">
        <v>13</v>
      </c>
      <c r="C2796" s="12" t="s">
        <v>27</v>
      </c>
      <c r="D2796" s="20" t="s">
        <v>28</v>
      </c>
      <c r="E2796" s="12" t="str">
        <f>IFERROR(__xludf.DUMMYFUNCTION("FILTER(colegios!$B$2:$B5618,colegios!$A$2:$A5618=L2796)"),"601331")</f>
        <v>601331</v>
      </c>
      <c r="F2796" s="14" t="s">
        <v>16</v>
      </c>
      <c r="G2796" s="20" t="s">
        <v>21</v>
      </c>
      <c r="H2796" s="14" t="s">
        <v>18</v>
      </c>
      <c r="I2796" s="15">
        <v>2022.0</v>
      </c>
      <c r="J2796" s="16" t="str">
        <f>IFERROR(__xludf.DUMMYFUNCTION("FILTER('CLASFICACIÓN'!$F$3:$F5618,'CLASFICACIÓN'!$G$3:$G5618=M2796)"),"LOS 3 AÑOS")</f>
        <v>LOS 3 AÑOS</v>
      </c>
      <c r="K2796" s="16" t="str">
        <f t="array" ref="K2796">IFERROR(DGET('PADD-R'!$B$1:$K5618,'PADD-R'!$K$1,{'PADD-R'!$B$1;E2796}),"NO PARTICIPÓ")</f>
        <v>SOLO 2023</v>
      </c>
      <c r="L2796" s="14" t="s">
        <v>136</v>
      </c>
      <c r="M2796" s="16" t="str">
        <f t="shared" si="1"/>
        <v>6013312 Secundaria</v>
      </c>
      <c r="N2796" s="23"/>
      <c r="O2796" s="17"/>
      <c r="P2796" s="17"/>
      <c r="Q2796" s="17"/>
      <c r="R2796" s="17"/>
      <c r="S2796" s="17"/>
      <c r="T2796" s="17"/>
    </row>
    <row r="2797">
      <c r="A2797" s="18">
        <v>2447.0</v>
      </c>
      <c r="B2797" s="12" t="s">
        <v>13</v>
      </c>
      <c r="C2797" s="12" t="s">
        <v>27</v>
      </c>
      <c r="D2797" s="20" t="s">
        <v>28</v>
      </c>
      <c r="E2797" s="12" t="str">
        <f>IFERROR(__xludf.DUMMYFUNCTION("FILTER(colegios!$B$2:$B5618,colegios!$A$2:$A5618=L2797)"),"601331")</f>
        <v>601331</v>
      </c>
      <c r="F2797" s="14" t="s">
        <v>16</v>
      </c>
      <c r="G2797" s="20" t="s">
        <v>21</v>
      </c>
      <c r="H2797" s="14" t="s">
        <v>18</v>
      </c>
      <c r="I2797" s="15">
        <v>2022.0</v>
      </c>
      <c r="J2797" s="16" t="str">
        <f>IFERROR(__xludf.DUMMYFUNCTION("FILTER('CLASFICACIÓN'!$F$3:$F5618,'CLASFICACIÓN'!$G$3:$G5618=M2797)"),"LOS 3 AÑOS")</f>
        <v>LOS 3 AÑOS</v>
      </c>
      <c r="K2797" s="16" t="str">
        <f t="array" ref="K2797">IFERROR(DGET('PADD-R'!$B$1:$K5618,'PADD-R'!$K$1,{'PADD-R'!$B$1;E2797}),"NO PARTICIPÓ")</f>
        <v>SOLO 2023</v>
      </c>
      <c r="L2797" s="14" t="s">
        <v>136</v>
      </c>
      <c r="M2797" s="16" t="str">
        <f t="shared" si="1"/>
        <v>6013312 Secundaria</v>
      </c>
      <c r="N2797" s="23"/>
      <c r="O2797" s="17"/>
      <c r="P2797" s="17"/>
      <c r="Q2797" s="17"/>
      <c r="R2797" s="17"/>
      <c r="S2797" s="17"/>
      <c r="T2797" s="17"/>
    </row>
    <row r="2798">
      <c r="A2798" s="18">
        <v>2448.0</v>
      </c>
      <c r="B2798" s="12" t="s">
        <v>13</v>
      </c>
      <c r="C2798" s="12" t="s">
        <v>27</v>
      </c>
      <c r="D2798" s="20" t="s">
        <v>28</v>
      </c>
      <c r="E2798" s="12" t="str">
        <f>IFERROR(__xludf.DUMMYFUNCTION("FILTER(colegios!$B$2:$B5618,colegios!$A$2:$A5618=L2798)"),"601331")</f>
        <v>601331</v>
      </c>
      <c r="F2798" s="14" t="s">
        <v>16</v>
      </c>
      <c r="G2798" s="20" t="s">
        <v>21</v>
      </c>
      <c r="H2798" s="14" t="s">
        <v>18</v>
      </c>
      <c r="I2798" s="15">
        <v>2022.0</v>
      </c>
      <c r="J2798" s="16" t="str">
        <f>IFERROR(__xludf.DUMMYFUNCTION("FILTER('CLASFICACIÓN'!$F$3:$F5618,'CLASFICACIÓN'!$G$3:$G5618=M2798)"),"LOS 3 AÑOS")</f>
        <v>LOS 3 AÑOS</v>
      </c>
      <c r="K2798" s="16" t="str">
        <f t="array" ref="K2798">IFERROR(DGET('PADD-R'!$B$1:$K5618,'PADD-R'!$K$1,{'PADD-R'!$B$1;E2798}),"NO PARTICIPÓ")</f>
        <v>SOLO 2023</v>
      </c>
      <c r="L2798" s="14" t="s">
        <v>136</v>
      </c>
      <c r="M2798" s="16" t="str">
        <f t="shared" si="1"/>
        <v>6013312 Secundaria</v>
      </c>
      <c r="N2798" s="23"/>
      <c r="O2798" s="17"/>
      <c r="P2798" s="17"/>
      <c r="Q2798" s="17"/>
      <c r="R2798" s="17"/>
      <c r="S2798" s="17"/>
      <c r="T2798" s="17"/>
    </row>
    <row r="2799">
      <c r="A2799" s="18">
        <v>2449.0</v>
      </c>
      <c r="B2799" s="12" t="s">
        <v>13</v>
      </c>
      <c r="C2799" s="12" t="s">
        <v>27</v>
      </c>
      <c r="D2799" s="20" t="s">
        <v>28</v>
      </c>
      <c r="E2799" s="12" t="str">
        <f>IFERROR(__xludf.DUMMYFUNCTION("FILTER(colegios!$B$2:$B5618,colegios!$A$2:$A5618=L2799)"),"601331")</f>
        <v>601331</v>
      </c>
      <c r="F2799" s="14" t="s">
        <v>16</v>
      </c>
      <c r="G2799" s="20" t="s">
        <v>21</v>
      </c>
      <c r="H2799" s="14" t="s">
        <v>18</v>
      </c>
      <c r="I2799" s="15">
        <v>2022.0</v>
      </c>
      <c r="J2799" s="16" t="str">
        <f>IFERROR(__xludf.DUMMYFUNCTION("FILTER('CLASFICACIÓN'!$F$3:$F5618,'CLASFICACIÓN'!$G$3:$G5618=M2799)"),"LOS 3 AÑOS")</f>
        <v>LOS 3 AÑOS</v>
      </c>
      <c r="K2799" s="16" t="str">
        <f t="array" ref="K2799">IFERROR(DGET('PADD-R'!$B$1:$K5618,'PADD-R'!$K$1,{'PADD-R'!$B$1;E2799}),"NO PARTICIPÓ")</f>
        <v>SOLO 2023</v>
      </c>
      <c r="L2799" s="14" t="s">
        <v>136</v>
      </c>
      <c r="M2799" s="16" t="str">
        <f t="shared" si="1"/>
        <v>6013312 Secundaria</v>
      </c>
      <c r="N2799" s="23"/>
      <c r="O2799" s="17"/>
      <c r="P2799" s="17"/>
      <c r="Q2799" s="17"/>
      <c r="R2799" s="17"/>
      <c r="S2799" s="17"/>
      <c r="T2799" s="17"/>
    </row>
    <row r="2800">
      <c r="A2800" s="18">
        <v>2450.0</v>
      </c>
      <c r="B2800" s="12" t="s">
        <v>13</v>
      </c>
      <c r="C2800" s="12" t="s">
        <v>27</v>
      </c>
      <c r="D2800" s="20" t="s">
        <v>28</v>
      </c>
      <c r="E2800" s="12" t="str">
        <f>IFERROR(__xludf.DUMMYFUNCTION("FILTER(colegios!$B$2:$B5618,colegios!$A$2:$A5618=L2800)"),"601331")</f>
        <v>601331</v>
      </c>
      <c r="F2800" s="14" t="s">
        <v>16</v>
      </c>
      <c r="G2800" s="20" t="s">
        <v>21</v>
      </c>
      <c r="H2800" s="14" t="s">
        <v>18</v>
      </c>
      <c r="I2800" s="15">
        <v>2022.0</v>
      </c>
      <c r="J2800" s="16" t="str">
        <f>IFERROR(__xludf.DUMMYFUNCTION("FILTER('CLASFICACIÓN'!$F$3:$F5618,'CLASFICACIÓN'!$G$3:$G5618=M2800)"),"LOS 3 AÑOS")</f>
        <v>LOS 3 AÑOS</v>
      </c>
      <c r="K2800" s="16" t="str">
        <f t="array" ref="K2800">IFERROR(DGET('PADD-R'!$B$1:$K5618,'PADD-R'!$K$1,{'PADD-R'!$B$1;E2800}),"NO PARTICIPÓ")</f>
        <v>SOLO 2023</v>
      </c>
      <c r="L2800" s="14" t="s">
        <v>136</v>
      </c>
      <c r="M2800" s="16" t="str">
        <f t="shared" si="1"/>
        <v>6013312 Secundaria</v>
      </c>
      <c r="N2800" s="23"/>
      <c r="O2800" s="17"/>
      <c r="P2800" s="17"/>
      <c r="Q2800" s="17"/>
      <c r="R2800" s="17"/>
      <c r="S2800" s="17"/>
      <c r="T2800" s="17"/>
    </row>
    <row r="2801">
      <c r="A2801" s="18">
        <v>2451.0</v>
      </c>
      <c r="B2801" s="12" t="s">
        <v>13</v>
      </c>
      <c r="C2801" s="12" t="s">
        <v>27</v>
      </c>
      <c r="D2801" s="20" t="s">
        <v>28</v>
      </c>
      <c r="E2801" s="12" t="str">
        <f>IFERROR(__xludf.DUMMYFUNCTION("FILTER(colegios!$B$2:$B5618,colegios!$A$2:$A5618=L2801)"),"601331")</f>
        <v>601331</v>
      </c>
      <c r="F2801" s="14" t="s">
        <v>16</v>
      </c>
      <c r="G2801" s="20" t="s">
        <v>17</v>
      </c>
      <c r="H2801" s="14" t="s">
        <v>18</v>
      </c>
      <c r="I2801" s="15">
        <v>2022.0</v>
      </c>
      <c r="J2801" s="16" t="str">
        <f>IFERROR(__xludf.DUMMYFUNCTION("FILTER('CLASFICACIÓN'!$F$3:$F5618,'CLASFICACIÓN'!$G$3:$G5618=M2801)"),"LOS 3 AÑOS")</f>
        <v>LOS 3 AÑOS</v>
      </c>
      <c r="K2801" s="16" t="str">
        <f t="array" ref="K2801">IFERROR(DGET('PADD-R'!$B$1:$K5618,'PADD-R'!$K$1,{'PADD-R'!$B$1;E2801}),"NO PARTICIPÓ")</f>
        <v>SOLO 2023</v>
      </c>
      <c r="L2801" s="14" t="s">
        <v>136</v>
      </c>
      <c r="M2801" s="16" t="str">
        <f t="shared" si="1"/>
        <v>6013312 Secundaria</v>
      </c>
      <c r="N2801" s="23"/>
      <c r="O2801" s="17"/>
      <c r="P2801" s="17"/>
      <c r="Q2801" s="17"/>
      <c r="R2801" s="17"/>
      <c r="S2801" s="17"/>
      <c r="T2801" s="17"/>
    </row>
    <row r="2802">
      <c r="A2802" s="18">
        <v>2452.0</v>
      </c>
      <c r="B2802" s="12" t="s">
        <v>13</v>
      </c>
      <c r="C2802" s="12" t="s">
        <v>27</v>
      </c>
      <c r="D2802" s="20" t="s">
        <v>28</v>
      </c>
      <c r="E2802" s="12" t="str">
        <f>IFERROR(__xludf.DUMMYFUNCTION("FILTER(colegios!$B$2:$B5618,colegios!$A$2:$A5618=L2802)"),"601331")</f>
        <v>601331</v>
      </c>
      <c r="F2802" s="14" t="s">
        <v>16</v>
      </c>
      <c r="G2802" s="20" t="s">
        <v>21</v>
      </c>
      <c r="H2802" s="14" t="s">
        <v>18</v>
      </c>
      <c r="I2802" s="15">
        <v>2022.0</v>
      </c>
      <c r="J2802" s="16" t="str">
        <f>IFERROR(__xludf.DUMMYFUNCTION("FILTER('CLASFICACIÓN'!$F$3:$F5618,'CLASFICACIÓN'!$G$3:$G5618=M2802)"),"LOS 3 AÑOS")</f>
        <v>LOS 3 AÑOS</v>
      </c>
      <c r="K2802" s="16" t="str">
        <f t="array" ref="K2802">IFERROR(DGET('PADD-R'!$B$1:$K5618,'PADD-R'!$K$1,{'PADD-R'!$B$1;E2802}),"NO PARTICIPÓ")</f>
        <v>SOLO 2023</v>
      </c>
      <c r="L2802" s="14" t="s">
        <v>136</v>
      </c>
      <c r="M2802" s="16" t="str">
        <f t="shared" si="1"/>
        <v>6013312 Secundaria</v>
      </c>
      <c r="N2802" s="23"/>
      <c r="O2802" s="17"/>
      <c r="P2802" s="17"/>
      <c r="Q2802" s="17"/>
      <c r="R2802" s="17"/>
      <c r="S2802" s="17"/>
      <c r="T2802" s="17"/>
    </row>
    <row r="2803">
      <c r="A2803" s="18">
        <v>2453.0</v>
      </c>
      <c r="B2803" s="12" t="s">
        <v>13</v>
      </c>
      <c r="C2803" s="12" t="s">
        <v>27</v>
      </c>
      <c r="D2803" s="20" t="s">
        <v>28</v>
      </c>
      <c r="E2803" s="12" t="str">
        <f>IFERROR(__xludf.DUMMYFUNCTION("FILTER(colegios!$B$2:$B5618,colegios!$A$2:$A5618=L2803)"),"601331")</f>
        <v>601331</v>
      </c>
      <c r="F2803" s="14" t="s">
        <v>16</v>
      </c>
      <c r="G2803" s="20" t="s">
        <v>17</v>
      </c>
      <c r="H2803" s="14" t="s">
        <v>18</v>
      </c>
      <c r="I2803" s="15">
        <v>2022.0</v>
      </c>
      <c r="J2803" s="16" t="str">
        <f>IFERROR(__xludf.DUMMYFUNCTION("FILTER('CLASFICACIÓN'!$F$3:$F5618,'CLASFICACIÓN'!$G$3:$G5618=M2803)"),"LOS 3 AÑOS")</f>
        <v>LOS 3 AÑOS</v>
      </c>
      <c r="K2803" s="16" t="str">
        <f t="array" ref="K2803">IFERROR(DGET('PADD-R'!$B$1:$K5618,'PADD-R'!$K$1,{'PADD-R'!$B$1;E2803}),"NO PARTICIPÓ")</f>
        <v>SOLO 2023</v>
      </c>
      <c r="L2803" s="14" t="s">
        <v>136</v>
      </c>
      <c r="M2803" s="16" t="str">
        <f t="shared" si="1"/>
        <v>6013312 Secundaria</v>
      </c>
      <c r="N2803" s="23"/>
      <c r="O2803" s="17"/>
      <c r="P2803" s="17"/>
      <c r="Q2803" s="17"/>
      <c r="R2803" s="17"/>
      <c r="S2803" s="17"/>
      <c r="T2803" s="17"/>
    </row>
    <row r="2804">
      <c r="A2804" s="18">
        <v>2454.0</v>
      </c>
      <c r="B2804" s="12" t="s">
        <v>13</v>
      </c>
      <c r="C2804" s="12" t="s">
        <v>27</v>
      </c>
      <c r="D2804" s="20" t="s">
        <v>28</v>
      </c>
      <c r="E2804" s="12" t="str">
        <f>IFERROR(__xludf.DUMMYFUNCTION("FILTER(colegios!$B$2:$B5618,colegios!$A$2:$A5618=L2804)"),"601331")</f>
        <v>601331</v>
      </c>
      <c r="F2804" s="14" t="s">
        <v>16</v>
      </c>
      <c r="G2804" s="20" t="s">
        <v>21</v>
      </c>
      <c r="H2804" s="14" t="s">
        <v>18</v>
      </c>
      <c r="I2804" s="15">
        <v>2022.0</v>
      </c>
      <c r="J2804" s="16" t="str">
        <f>IFERROR(__xludf.DUMMYFUNCTION("FILTER('CLASFICACIÓN'!$F$3:$F5618,'CLASFICACIÓN'!$G$3:$G5618=M2804)"),"LOS 3 AÑOS")</f>
        <v>LOS 3 AÑOS</v>
      </c>
      <c r="K2804" s="16" t="str">
        <f t="array" ref="K2804">IFERROR(DGET('PADD-R'!$B$1:$K5618,'PADD-R'!$K$1,{'PADD-R'!$B$1;E2804}),"NO PARTICIPÓ")</f>
        <v>SOLO 2023</v>
      </c>
      <c r="L2804" s="14" t="s">
        <v>136</v>
      </c>
      <c r="M2804" s="16" t="str">
        <f t="shared" si="1"/>
        <v>6013312 Secundaria</v>
      </c>
      <c r="N2804" s="23"/>
      <c r="O2804" s="17"/>
      <c r="P2804" s="17"/>
      <c r="Q2804" s="17"/>
      <c r="R2804" s="17"/>
      <c r="S2804" s="17"/>
      <c r="T2804" s="17"/>
    </row>
    <row r="2805">
      <c r="A2805" s="18">
        <v>2455.0</v>
      </c>
      <c r="B2805" s="12" t="s">
        <v>13</v>
      </c>
      <c r="C2805" s="12" t="s">
        <v>14</v>
      </c>
      <c r="D2805" s="20" t="s">
        <v>20</v>
      </c>
      <c r="E2805" s="12" t="str">
        <f>IFERROR(__xludf.DUMMYFUNCTION("FILTER(colegios!$B$2:$B5618,colegios!$A$2:$A5618=L2805)"),"601331")</f>
        <v>601331</v>
      </c>
      <c r="F2805" s="14" t="s">
        <v>16</v>
      </c>
      <c r="G2805" s="20" t="s">
        <v>21</v>
      </c>
      <c r="H2805" s="14" t="s">
        <v>24</v>
      </c>
      <c r="I2805" s="15">
        <v>2022.0</v>
      </c>
      <c r="J2805" s="16" t="str">
        <f>IFERROR(__xludf.DUMMYFUNCTION("FILTER('CLASFICACIÓN'!$F$3:$F5618,'CLASFICACIÓN'!$G$3:$G5618=M2805)"),"LOS 3 AÑOS")</f>
        <v>LOS 3 AÑOS</v>
      </c>
      <c r="K2805" s="16" t="str">
        <f t="array" ref="K2805">IFERROR(DGET('PADD-R'!$B$1:$K5618,'PADD-R'!$K$1,{'PADD-R'!$B$1;E2805}),"NO PARTICIPÓ")</f>
        <v>SOLO 2023</v>
      </c>
      <c r="L2805" s="14" t="s">
        <v>136</v>
      </c>
      <c r="M2805" s="16" t="str">
        <f t="shared" si="1"/>
        <v>6013314 Primaria</v>
      </c>
      <c r="N2805" s="23"/>
      <c r="O2805" s="17"/>
      <c r="P2805" s="17"/>
      <c r="Q2805" s="17"/>
      <c r="R2805" s="17"/>
      <c r="S2805" s="17"/>
      <c r="T2805" s="17"/>
    </row>
    <row r="2806">
      <c r="A2806" s="18">
        <v>2456.0</v>
      </c>
      <c r="B2806" s="12" t="s">
        <v>13</v>
      </c>
      <c r="C2806" s="12" t="s">
        <v>14</v>
      </c>
      <c r="D2806" s="20" t="s">
        <v>20</v>
      </c>
      <c r="E2806" s="12" t="str">
        <f>IFERROR(__xludf.DUMMYFUNCTION("FILTER(colegios!$B$2:$B5618,colegios!$A$2:$A5618=L2806)"),"601331")</f>
        <v>601331</v>
      </c>
      <c r="F2806" s="14" t="s">
        <v>16</v>
      </c>
      <c r="G2806" s="20" t="s">
        <v>17</v>
      </c>
      <c r="H2806" s="14" t="s">
        <v>24</v>
      </c>
      <c r="I2806" s="15">
        <v>2022.0</v>
      </c>
      <c r="J2806" s="16" t="str">
        <f>IFERROR(__xludf.DUMMYFUNCTION("FILTER('CLASFICACIÓN'!$F$3:$F5618,'CLASFICACIÓN'!$G$3:$G5618=M2806)"),"LOS 3 AÑOS")</f>
        <v>LOS 3 AÑOS</v>
      </c>
      <c r="K2806" s="16" t="str">
        <f t="array" ref="K2806">IFERROR(DGET('PADD-R'!$B$1:$K5618,'PADD-R'!$K$1,{'PADD-R'!$B$1;E2806}),"NO PARTICIPÓ")</f>
        <v>SOLO 2023</v>
      </c>
      <c r="L2806" s="14" t="s">
        <v>136</v>
      </c>
      <c r="M2806" s="16" t="str">
        <f t="shared" si="1"/>
        <v>6013314 Primaria</v>
      </c>
      <c r="N2806" s="23"/>
      <c r="O2806" s="17"/>
      <c r="P2806" s="17"/>
      <c r="Q2806" s="17"/>
      <c r="R2806" s="17"/>
      <c r="S2806" s="17"/>
      <c r="T2806" s="17"/>
    </row>
    <row r="2807">
      <c r="A2807" s="18">
        <v>2457.0</v>
      </c>
      <c r="B2807" s="12" t="s">
        <v>13</v>
      </c>
      <c r="C2807" s="12" t="s">
        <v>14</v>
      </c>
      <c r="D2807" s="20" t="s">
        <v>20</v>
      </c>
      <c r="E2807" s="12" t="str">
        <f>IFERROR(__xludf.DUMMYFUNCTION("FILTER(colegios!$B$2:$B5618,colegios!$A$2:$A5618=L2807)"),"601331")</f>
        <v>601331</v>
      </c>
      <c r="F2807" s="14" t="s">
        <v>16</v>
      </c>
      <c r="G2807" s="20" t="s">
        <v>17</v>
      </c>
      <c r="H2807" s="14" t="s">
        <v>24</v>
      </c>
      <c r="I2807" s="15">
        <v>2022.0</v>
      </c>
      <c r="J2807" s="16" t="str">
        <f>IFERROR(__xludf.DUMMYFUNCTION("FILTER('CLASFICACIÓN'!$F$3:$F5618,'CLASFICACIÓN'!$G$3:$G5618=M2807)"),"LOS 3 AÑOS")</f>
        <v>LOS 3 AÑOS</v>
      </c>
      <c r="K2807" s="16" t="str">
        <f t="array" ref="K2807">IFERROR(DGET('PADD-R'!$B$1:$K5618,'PADD-R'!$K$1,{'PADD-R'!$B$1;E2807}),"NO PARTICIPÓ")</f>
        <v>SOLO 2023</v>
      </c>
      <c r="L2807" s="14" t="s">
        <v>136</v>
      </c>
      <c r="M2807" s="16" t="str">
        <f t="shared" si="1"/>
        <v>6013314 Primaria</v>
      </c>
      <c r="N2807" s="23"/>
      <c r="O2807" s="17"/>
      <c r="P2807" s="17"/>
      <c r="Q2807" s="17"/>
      <c r="R2807" s="17"/>
      <c r="S2807" s="17"/>
      <c r="T2807" s="17"/>
    </row>
    <row r="2808">
      <c r="A2808" s="18">
        <v>2458.0</v>
      </c>
      <c r="B2808" s="12" t="s">
        <v>13</v>
      </c>
      <c r="C2808" s="12" t="s">
        <v>14</v>
      </c>
      <c r="D2808" s="20" t="s">
        <v>20</v>
      </c>
      <c r="E2808" s="12" t="str">
        <f>IFERROR(__xludf.DUMMYFUNCTION("FILTER(colegios!$B$2:$B5618,colegios!$A$2:$A5618=L2808)"),"601331")</f>
        <v>601331</v>
      </c>
      <c r="F2808" s="14" t="s">
        <v>16</v>
      </c>
      <c r="G2808" s="20" t="s">
        <v>17</v>
      </c>
      <c r="H2808" s="14" t="s">
        <v>18</v>
      </c>
      <c r="I2808" s="15">
        <v>2022.0</v>
      </c>
      <c r="J2808" s="16" t="str">
        <f>IFERROR(__xludf.DUMMYFUNCTION("FILTER('CLASFICACIÓN'!$F$3:$F5618,'CLASFICACIÓN'!$G$3:$G5618=M2808)"),"LOS 3 AÑOS")</f>
        <v>LOS 3 AÑOS</v>
      </c>
      <c r="K2808" s="16" t="str">
        <f t="array" ref="K2808">IFERROR(DGET('PADD-R'!$B$1:$K5618,'PADD-R'!$K$1,{'PADD-R'!$B$1;E2808}),"NO PARTICIPÓ")</f>
        <v>SOLO 2023</v>
      </c>
      <c r="L2808" s="14" t="s">
        <v>136</v>
      </c>
      <c r="M2808" s="16" t="str">
        <f t="shared" si="1"/>
        <v>6013314 Primaria</v>
      </c>
      <c r="N2808" s="23"/>
      <c r="O2808" s="17"/>
      <c r="P2808" s="17"/>
      <c r="Q2808" s="17"/>
      <c r="R2808" s="17"/>
      <c r="S2808" s="17"/>
      <c r="T2808" s="17"/>
    </row>
    <row r="2809">
      <c r="A2809" s="18">
        <v>2459.0</v>
      </c>
      <c r="B2809" s="12" t="s">
        <v>13</v>
      </c>
      <c r="C2809" s="12" t="s">
        <v>14</v>
      </c>
      <c r="D2809" s="20" t="s">
        <v>20</v>
      </c>
      <c r="E2809" s="12" t="str">
        <f>IFERROR(__xludf.DUMMYFUNCTION("FILTER(colegios!$B$2:$B5618,colegios!$A$2:$A5618=L2809)"),"601331")</f>
        <v>601331</v>
      </c>
      <c r="F2809" s="14" t="s">
        <v>16</v>
      </c>
      <c r="G2809" s="20" t="s">
        <v>21</v>
      </c>
      <c r="H2809" s="14" t="s">
        <v>24</v>
      </c>
      <c r="I2809" s="15">
        <v>2022.0</v>
      </c>
      <c r="J2809" s="16" t="str">
        <f>IFERROR(__xludf.DUMMYFUNCTION("FILTER('CLASFICACIÓN'!$F$3:$F5618,'CLASFICACIÓN'!$G$3:$G5618=M2809)"),"LOS 3 AÑOS")</f>
        <v>LOS 3 AÑOS</v>
      </c>
      <c r="K2809" s="16" t="str">
        <f t="array" ref="K2809">IFERROR(DGET('PADD-R'!$B$1:$K5618,'PADD-R'!$K$1,{'PADD-R'!$B$1;E2809}),"NO PARTICIPÓ")</f>
        <v>SOLO 2023</v>
      </c>
      <c r="L2809" s="14" t="s">
        <v>136</v>
      </c>
      <c r="M2809" s="16" t="str">
        <f t="shared" si="1"/>
        <v>6013314 Primaria</v>
      </c>
      <c r="N2809" s="23"/>
      <c r="O2809" s="17"/>
      <c r="P2809" s="17"/>
      <c r="Q2809" s="17"/>
      <c r="R2809" s="17"/>
      <c r="S2809" s="17"/>
      <c r="T2809" s="17"/>
    </row>
    <row r="2810">
      <c r="A2810" s="18">
        <v>2460.0</v>
      </c>
      <c r="B2810" s="12" t="s">
        <v>13</v>
      </c>
      <c r="C2810" s="12" t="s">
        <v>14</v>
      </c>
      <c r="D2810" s="20" t="s">
        <v>20</v>
      </c>
      <c r="E2810" s="12" t="str">
        <f>IFERROR(__xludf.DUMMYFUNCTION("FILTER(colegios!$B$2:$B5618,colegios!$A$2:$A5618=L2810)"),"601331")</f>
        <v>601331</v>
      </c>
      <c r="F2810" s="14" t="s">
        <v>16</v>
      </c>
      <c r="G2810" s="20" t="s">
        <v>21</v>
      </c>
      <c r="H2810" s="14" t="s">
        <v>18</v>
      </c>
      <c r="I2810" s="15">
        <v>2022.0</v>
      </c>
      <c r="J2810" s="16" t="str">
        <f>IFERROR(__xludf.DUMMYFUNCTION("FILTER('CLASFICACIÓN'!$F$3:$F5618,'CLASFICACIÓN'!$G$3:$G5618=M2810)"),"LOS 3 AÑOS")</f>
        <v>LOS 3 AÑOS</v>
      </c>
      <c r="K2810" s="16" t="str">
        <f t="array" ref="K2810">IFERROR(DGET('PADD-R'!$B$1:$K5618,'PADD-R'!$K$1,{'PADD-R'!$B$1;E2810}),"NO PARTICIPÓ")</f>
        <v>SOLO 2023</v>
      </c>
      <c r="L2810" s="14" t="s">
        <v>136</v>
      </c>
      <c r="M2810" s="16" t="str">
        <f t="shared" si="1"/>
        <v>6013314 Primaria</v>
      </c>
      <c r="N2810" s="23"/>
      <c r="O2810" s="17"/>
      <c r="P2810" s="17"/>
      <c r="Q2810" s="17"/>
      <c r="R2810" s="17"/>
      <c r="S2810" s="17"/>
      <c r="T2810" s="17"/>
    </row>
    <row r="2811">
      <c r="A2811" s="18">
        <v>2461.0</v>
      </c>
      <c r="B2811" s="12" t="s">
        <v>13</v>
      </c>
      <c r="C2811" s="12" t="s">
        <v>14</v>
      </c>
      <c r="D2811" s="20" t="s">
        <v>20</v>
      </c>
      <c r="E2811" s="12" t="str">
        <f>IFERROR(__xludf.DUMMYFUNCTION("FILTER(colegios!$B$2:$B5618,colegios!$A$2:$A5618=L2811)"),"601331")</f>
        <v>601331</v>
      </c>
      <c r="F2811" s="14" t="s">
        <v>16</v>
      </c>
      <c r="G2811" s="20" t="s">
        <v>21</v>
      </c>
      <c r="H2811" s="14" t="s">
        <v>18</v>
      </c>
      <c r="I2811" s="15">
        <v>2022.0</v>
      </c>
      <c r="J2811" s="16" t="str">
        <f>IFERROR(__xludf.DUMMYFUNCTION("FILTER('CLASFICACIÓN'!$F$3:$F5618,'CLASFICACIÓN'!$G$3:$G5618=M2811)"),"LOS 3 AÑOS")</f>
        <v>LOS 3 AÑOS</v>
      </c>
      <c r="K2811" s="16" t="str">
        <f t="array" ref="K2811">IFERROR(DGET('PADD-R'!$B$1:$K5618,'PADD-R'!$K$1,{'PADD-R'!$B$1;E2811}),"NO PARTICIPÓ")</f>
        <v>SOLO 2023</v>
      </c>
      <c r="L2811" s="14" t="s">
        <v>136</v>
      </c>
      <c r="M2811" s="16" t="str">
        <f t="shared" si="1"/>
        <v>6013314 Primaria</v>
      </c>
      <c r="N2811" s="23"/>
      <c r="O2811" s="17"/>
      <c r="P2811" s="17"/>
      <c r="Q2811" s="17"/>
      <c r="R2811" s="17"/>
      <c r="S2811" s="17"/>
      <c r="T2811" s="17"/>
    </row>
    <row r="2812">
      <c r="A2812" s="18">
        <v>2462.0</v>
      </c>
      <c r="B2812" s="12" t="s">
        <v>13</v>
      </c>
      <c r="C2812" s="12" t="s">
        <v>14</v>
      </c>
      <c r="D2812" s="20" t="s">
        <v>20</v>
      </c>
      <c r="E2812" s="12" t="str">
        <f>IFERROR(__xludf.DUMMYFUNCTION("FILTER(colegios!$B$2:$B5618,colegios!$A$2:$A5618=L2812)"),"601331")</f>
        <v>601331</v>
      </c>
      <c r="F2812" s="14" t="s">
        <v>16</v>
      </c>
      <c r="G2812" s="20" t="s">
        <v>17</v>
      </c>
      <c r="H2812" s="14" t="s">
        <v>18</v>
      </c>
      <c r="I2812" s="15">
        <v>2022.0</v>
      </c>
      <c r="J2812" s="16" t="str">
        <f>IFERROR(__xludf.DUMMYFUNCTION("FILTER('CLASFICACIÓN'!$F$3:$F5618,'CLASFICACIÓN'!$G$3:$G5618=M2812)"),"LOS 3 AÑOS")</f>
        <v>LOS 3 AÑOS</v>
      </c>
      <c r="K2812" s="16" t="str">
        <f t="array" ref="K2812">IFERROR(DGET('PADD-R'!$B$1:$K5618,'PADD-R'!$K$1,{'PADD-R'!$B$1;E2812}),"NO PARTICIPÓ")</f>
        <v>SOLO 2023</v>
      </c>
      <c r="L2812" s="14" t="s">
        <v>136</v>
      </c>
      <c r="M2812" s="16" t="str">
        <f t="shared" si="1"/>
        <v>6013314 Primaria</v>
      </c>
      <c r="N2812" s="23"/>
      <c r="O2812" s="17"/>
      <c r="P2812" s="17"/>
      <c r="Q2812" s="17"/>
      <c r="R2812" s="17"/>
      <c r="S2812" s="17"/>
      <c r="T2812" s="17"/>
    </row>
    <row r="2813">
      <c r="A2813" s="18">
        <v>2463.0</v>
      </c>
      <c r="B2813" s="12" t="s">
        <v>13</v>
      </c>
      <c r="C2813" s="12" t="s">
        <v>14</v>
      </c>
      <c r="D2813" s="20" t="s">
        <v>20</v>
      </c>
      <c r="E2813" s="12" t="str">
        <f>IFERROR(__xludf.DUMMYFUNCTION("FILTER(colegios!$B$2:$B5618,colegios!$A$2:$A5618=L2813)"),"601331")</f>
        <v>601331</v>
      </c>
      <c r="F2813" s="14" t="s">
        <v>16</v>
      </c>
      <c r="G2813" s="20" t="s">
        <v>21</v>
      </c>
      <c r="H2813" s="14" t="s">
        <v>18</v>
      </c>
      <c r="I2813" s="15">
        <v>2022.0</v>
      </c>
      <c r="J2813" s="16" t="str">
        <f>IFERROR(__xludf.DUMMYFUNCTION("FILTER('CLASFICACIÓN'!$F$3:$F5618,'CLASFICACIÓN'!$G$3:$G5618=M2813)"),"LOS 3 AÑOS")</f>
        <v>LOS 3 AÑOS</v>
      </c>
      <c r="K2813" s="16" t="str">
        <f t="array" ref="K2813">IFERROR(DGET('PADD-R'!$B$1:$K5618,'PADD-R'!$K$1,{'PADD-R'!$B$1;E2813}),"NO PARTICIPÓ")</f>
        <v>SOLO 2023</v>
      </c>
      <c r="L2813" s="14" t="s">
        <v>136</v>
      </c>
      <c r="M2813" s="16" t="str">
        <f t="shared" si="1"/>
        <v>6013314 Primaria</v>
      </c>
      <c r="N2813" s="23"/>
      <c r="O2813" s="17"/>
      <c r="P2813" s="17"/>
      <c r="Q2813" s="17"/>
      <c r="R2813" s="17"/>
      <c r="S2813" s="17"/>
      <c r="T2813" s="17"/>
    </row>
    <row r="2814">
      <c r="A2814" s="18">
        <v>2464.0</v>
      </c>
      <c r="B2814" s="12" t="s">
        <v>13</v>
      </c>
      <c r="C2814" s="12" t="s">
        <v>14</v>
      </c>
      <c r="D2814" s="20" t="s">
        <v>20</v>
      </c>
      <c r="E2814" s="12" t="str">
        <f>IFERROR(__xludf.DUMMYFUNCTION("FILTER(colegios!$B$2:$B5618,colegios!$A$2:$A5618=L2814)"),"601331")</f>
        <v>601331</v>
      </c>
      <c r="F2814" s="14" t="s">
        <v>16</v>
      </c>
      <c r="G2814" s="20" t="s">
        <v>17</v>
      </c>
      <c r="H2814" s="14" t="s">
        <v>18</v>
      </c>
      <c r="I2814" s="15">
        <v>2022.0</v>
      </c>
      <c r="J2814" s="16" t="str">
        <f>IFERROR(__xludf.DUMMYFUNCTION("FILTER('CLASFICACIÓN'!$F$3:$F5618,'CLASFICACIÓN'!$G$3:$G5618=M2814)"),"LOS 3 AÑOS")</f>
        <v>LOS 3 AÑOS</v>
      </c>
      <c r="K2814" s="16" t="str">
        <f t="array" ref="K2814">IFERROR(DGET('PADD-R'!$B$1:$K5618,'PADD-R'!$K$1,{'PADD-R'!$B$1;E2814}),"NO PARTICIPÓ")</f>
        <v>SOLO 2023</v>
      </c>
      <c r="L2814" s="14" t="s">
        <v>136</v>
      </c>
      <c r="M2814" s="16" t="str">
        <f t="shared" si="1"/>
        <v>6013314 Primaria</v>
      </c>
      <c r="N2814" s="23"/>
      <c r="O2814" s="17"/>
      <c r="P2814" s="17"/>
      <c r="Q2814" s="17"/>
      <c r="R2814" s="17"/>
      <c r="S2814" s="17"/>
      <c r="T2814" s="17"/>
    </row>
    <row r="2815">
      <c r="A2815" s="18">
        <v>2465.0</v>
      </c>
      <c r="B2815" s="12" t="s">
        <v>13</v>
      </c>
      <c r="C2815" s="12" t="s">
        <v>14</v>
      </c>
      <c r="D2815" s="20" t="s">
        <v>20</v>
      </c>
      <c r="E2815" s="12" t="str">
        <f>IFERROR(__xludf.DUMMYFUNCTION("FILTER(colegios!$B$2:$B5618,colegios!$A$2:$A5618=L2815)"),"601331")</f>
        <v>601331</v>
      </c>
      <c r="F2815" s="14" t="s">
        <v>16</v>
      </c>
      <c r="G2815" s="20" t="s">
        <v>21</v>
      </c>
      <c r="H2815" s="14" t="s">
        <v>18</v>
      </c>
      <c r="I2815" s="15">
        <v>2022.0</v>
      </c>
      <c r="J2815" s="16" t="str">
        <f>IFERROR(__xludf.DUMMYFUNCTION("FILTER('CLASFICACIÓN'!$F$3:$F5618,'CLASFICACIÓN'!$G$3:$G5618=M2815)"),"LOS 3 AÑOS")</f>
        <v>LOS 3 AÑOS</v>
      </c>
      <c r="K2815" s="16" t="str">
        <f t="array" ref="K2815">IFERROR(DGET('PADD-R'!$B$1:$K5618,'PADD-R'!$K$1,{'PADD-R'!$B$1;E2815}),"NO PARTICIPÓ")</f>
        <v>SOLO 2023</v>
      </c>
      <c r="L2815" s="14" t="s">
        <v>136</v>
      </c>
      <c r="M2815" s="16" t="str">
        <f t="shared" si="1"/>
        <v>6013314 Primaria</v>
      </c>
      <c r="N2815" s="23"/>
      <c r="O2815" s="17"/>
      <c r="P2815" s="17"/>
      <c r="Q2815" s="17"/>
      <c r="R2815" s="17"/>
      <c r="S2815" s="17"/>
      <c r="T2815" s="17"/>
    </row>
    <row r="2816">
      <c r="A2816" s="18">
        <v>2466.0</v>
      </c>
      <c r="B2816" s="12" t="s">
        <v>13</v>
      </c>
      <c r="C2816" s="12" t="s">
        <v>14</v>
      </c>
      <c r="D2816" s="20" t="s">
        <v>20</v>
      </c>
      <c r="E2816" s="12" t="str">
        <f>IFERROR(__xludf.DUMMYFUNCTION("FILTER(colegios!$B$2:$B5618,colegios!$A$2:$A5618=L2816)"),"601331")</f>
        <v>601331</v>
      </c>
      <c r="F2816" s="14" t="s">
        <v>16</v>
      </c>
      <c r="G2816" s="20" t="s">
        <v>21</v>
      </c>
      <c r="H2816" s="14" t="s">
        <v>18</v>
      </c>
      <c r="I2816" s="15">
        <v>2022.0</v>
      </c>
      <c r="J2816" s="16" t="str">
        <f>IFERROR(__xludf.DUMMYFUNCTION("FILTER('CLASFICACIÓN'!$F$3:$F5618,'CLASFICACIÓN'!$G$3:$G5618=M2816)"),"LOS 3 AÑOS")</f>
        <v>LOS 3 AÑOS</v>
      </c>
      <c r="K2816" s="16" t="str">
        <f t="array" ref="K2816">IFERROR(DGET('PADD-R'!$B$1:$K5618,'PADD-R'!$K$1,{'PADD-R'!$B$1;E2816}),"NO PARTICIPÓ")</f>
        <v>SOLO 2023</v>
      </c>
      <c r="L2816" s="14" t="s">
        <v>136</v>
      </c>
      <c r="M2816" s="16" t="str">
        <f t="shared" si="1"/>
        <v>6013314 Primaria</v>
      </c>
      <c r="N2816" s="23"/>
      <c r="O2816" s="17"/>
      <c r="P2816" s="17"/>
      <c r="Q2816" s="17"/>
      <c r="R2816" s="17"/>
      <c r="S2816" s="17"/>
      <c r="T2816" s="17"/>
    </row>
    <row r="2817">
      <c r="A2817" s="18">
        <v>2467.0</v>
      </c>
      <c r="B2817" s="12" t="s">
        <v>13</v>
      </c>
      <c r="C2817" s="12" t="s">
        <v>14</v>
      </c>
      <c r="D2817" s="20" t="s">
        <v>20</v>
      </c>
      <c r="E2817" s="12" t="str">
        <f>IFERROR(__xludf.DUMMYFUNCTION("FILTER(colegios!$B$2:$B5618,colegios!$A$2:$A5618=L2817)"),"601331")</f>
        <v>601331</v>
      </c>
      <c r="F2817" s="14" t="s">
        <v>16</v>
      </c>
      <c r="G2817" s="20" t="s">
        <v>17</v>
      </c>
      <c r="H2817" s="14" t="s">
        <v>24</v>
      </c>
      <c r="I2817" s="15">
        <v>2022.0</v>
      </c>
      <c r="J2817" s="16" t="str">
        <f>IFERROR(__xludf.DUMMYFUNCTION("FILTER('CLASFICACIÓN'!$F$3:$F5618,'CLASFICACIÓN'!$G$3:$G5618=M2817)"),"LOS 3 AÑOS")</f>
        <v>LOS 3 AÑOS</v>
      </c>
      <c r="K2817" s="16" t="str">
        <f t="array" ref="K2817">IFERROR(DGET('PADD-R'!$B$1:$K5618,'PADD-R'!$K$1,{'PADD-R'!$B$1;E2817}),"NO PARTICIPÓ")</f>
        <v>SOLO 2023</v>
      </c>
      <c r="L2817" s="14" t="s">
        <v>136</v>
      </c>
      <c r="M2817" s="16" t="str">
        <f t="shared" si="1"/>
        <v>6013314 Primaria</v>
      </c>
      <c r="N2817" s="23"/>
      <c r="O2817" s="17"/>
      <c r="P2817" s="17"/>
      <c r="Q2817" s="17"/>
      <c r="R2817" s="17"/>
      <c r="S2817" s="17"/>
      <c r="T2817" s="17"/>
    </row>
    <row r="2818">
      <c r="A2818" s="18">
        <v>2468.0</v>
      </c>
      <c r="B2818" s="12" t="s">
        <v>13</v>
      </c>
      <c r="C2818" s="12" t="s">
        <v>14</v>
      </c>
      <c r="D2818" s="20" t="s">
        <v>20</v>
      </c>
      <c r="E2818" s="12" t="str">
        <f>IFERROR(__xludf.DUMMYFUNCTION("FILTER(colegios!$B$2:$B5618,colegios!$A$2:$A5618=L2818)"),"601331")</f>
        <v>601331</v>
      </c>
      <c r="F2818" s="14" t="s">
        <v>16</v>
      </c>
      <c r="G2818" s="20" t="s">
        <v>17</v>
      </c>
      <c r="H2818" s="14" t="s">
        <v>24</v>
      </c>
      <c r="I2818" s="15">
        <v>2022.0</v>
      </c>
      <c r="J2818" s="16" t="str">
        <f>IFERROR(__xludf.DUMMYFUNCTION("FILTER('CLASFICACIÓN'!$F$3:$F5618,'CLASFICACIÓN'!$G$3:$G5618=M2818)"),"LOS 3 AÑOS")</f>
        <v>LOS 3 AÑOS</v>
      </c>
      <c r="K2818" s="16" t="str">
        <f t="array" ref="K2818">IFERROR(DGET('PADD-R'!$B$1:$K5618,'PADD-R'!$K$1,{'PADD-R'!$B$1;E2818}),"NO PARTICIPÓ")</f>
        <v>SOLO 2023</v>
      </c>
      <c r="L2818" s="14" t="s">
        <v>136</v>
      </c>
      <c r="M2818" s="16" t="str">
        <f t="shared" si="1"/>
        <v>6013314 Primaria</v>
      </c>
      <c r="N2818" s="23"/>
      <c r="O2818" s="17"/>
      <c r="P2818" s="17"/>
      <c r="Q2818" s="17"/>
      <c r="R2818" s="17"/>
      <c r="S2818" s="17"/>
      <c r="T2818" s="17"/>
    </row>
    <row r="2819">
      <c r="A2819" s="18">
        <v>2469.0</v>
      </c>
      <c r="B2819" s="12" t="s">
        <v>13</v>
      </c>
      <c r="C2819" s="12" t="s">
        <v>14</v>
      </c>
      <c r="D2819" s="20" t="s">
        <v>20</v>
      </c>
      <c r="E2819" s="12" t="str">
        <f>IFERROR(__xludf.DUMMYFUNCTION("FILTER(colegios!$B$2:$B5618,colegios!$A$2:$A5618=L2819)"),"601331")</f>
        <v>601331</v>
      </c>
      <c r="F2819" s="14" t="s">
        <v>16</v>
      </c>
      <c r="G2819" s="20" t="s">
        <v>21</v>
      </c>
      <c r="H2819" s="14" t="s">
        <v>18</v>
      </c>
      <c r="I2819" s="15">
        <v>2022.0</v>
      </c>
      <c r="J2819" s="16" t="str">
        <f>IFERROR(__xludf.DUMMYFUNCTION("FILTER('CLASFICACIÓN'!$F$3:$F5618,'CLASFICACIÓN'!$G$3:$G5618=M2819)"),"LOS 3 AÑOS")</f>
        <v>LOS 3 AÑOS</v>
      </c>
      <c r="K2819" s="16" t="str">
        <f t="array" ref="K2819">IFERROR(DGET('PADD-R'!$B$1:$K5618,'PADD-R'!$K$1,{'PADD-R'!$B$1;E2819}),"NO PARTICIPÓ")</f>
        <v>SOLO 2023</v>
      </c>
      <c r="L2819" s="14" t="s">
        <v>136</v>
      </c>
      <c r="M2819" s="16" t="str">
        <f t="shared" si="1"/>
        <v>6013314 Primaria</v>
      </c>
      <c r="N2819" s="23"/>
      <c r="O2819" s="17"/>
      <c r="P2819" s="17"/>
      <c r="Q2819" s="17"/>
      <c r="R2819" s="17"/>
      <c r="S2819" s="17"/>
      <c r="T2819" s="17"/>
    </row>
    <row r="2820">
      <c r="A2820" s="18">
        <v>2470.0</v>
      </c>
      <c r="B2820" s="12" t="s">
        <v>13</v>
      </c>
      <c r="C2820" s="12" t="s">
        <v>14</v>
      </c>
      <c r="D2820" s="20" t="s">
        <v>20</v>
      </c>
      <c r="E2820" s="12" t="str">
        <f>IFERROR(__xludf.DUMMYFUNCTION("FILTER(colegios!$B$2:$B5618,colegios!$A$2:$A5618=L2820)"),"601331")</f>
        <v>601331</v>
      </c>
      <c r="F2820" s="14" t="s">
        <v>16</v>
      </c>
      <c r="G2820" s="20" t="s">
        <v>17</v>
      </c>
      <c r="H2820" s="14" t="s">
        <v>24</v>
      </c>
      <c r="I2820" s="15">
        <v>2022.0</v>
      </c>
      <c r="J2820" s="16" t="str">
        <f>IFERROR(__xludf.DUMMYFUNCTION("FILTER('CLASFICACIÓN'!$F$3:$F5618,'CLASFICACIÓN'!$G$3:$G5618=M2820)"),"LOS 3 AÑOS")</f>
        <v>LOS 3 AÑOS</v>
      </c>
      <c r="K2820" s="16" t="str">
        <f t="array" ref="K2820">IFERROR(DGET('PADD-R'!$B$1:$K5618,'PADD-R'!$K$1,{'PADD-R'!$B$1;E2820}),"NO PARTICIPÓ")</f>
        <v>SOLO 2023</v>
      </c>
      <c r="L2820" s="14" t="s">
        <v>136</v>
      </c>
      <c r="M2820" s="16" t="str">
        <f t="shared" si="1"/>
        <v>6013314 Primaria</v>
      </c>
      <c r="N2820" s="23"/>
      <c r="O2820" s="17"/>
      <c r="P2820" s="17"/>
      <c r="Q2820" s="17"/>
      <c r="R2820" s="17"/>
      <c r="S2820" s="17"/>
      <c r="T2820" s="17"/>
    </row>
    <row r="2821">
      <c r="A2821" s="18">
        <v>2471.0</v>
      </c>
      <c r="B2821" s="12" t="s">
        <v>13</v>
      </c>
      <c r="C2821" s="12" t="s">
        <v>14</v>
      </c>
      <c r="D2821" s="20" t="s">
        <v>20</v>
      </c>
      <c r="E2821" s="12" t="str">
        <f>IFERROR(__xludf.DUMMYFUNCTION("FILTER(colegios!$B$2:$B5618,colegios!$A$2:$A5618=L2821)"),"601331")</f>
        <v>601331</v>
      </c>
      <c r="F2821" s="14" t="s">
        <v>16</v>
      </c>
      <c r="G2821" s="20" t="s">
        <v>17</v>
      </c>
      <c r="H2821" s="14" t="s">
        <v>18</v>
      </c>
      <c r="I2821" s="15">
        <v>2022.0</v>
      </c>
      <c r="J2821" s="16" t="str">
        <f>IFERROR(__xludf.DUMMYFUNCTION("FILTER('CLASFICACIÓN'!$F$3:$F5618,'CLASFICACIÓN'!$G$3:$G5618=M2821)"),"LOS 3 AÑOS")</f>
        <v>LOS 3 AÑOS</v>
      </c>
      <c r="K2821" s="16" t="str">
        <f t="array" ref="K2821">IFERROR(DGET('PADD-R'!$B$1:$K5618,'PADD-R'!$K$1,{'PADD-R'!$B$1;E2821}),"NO PARTICIPÓ")</f>
        <v>SOLO 2023</v>
      </c>
      <c r="L2821" s="14" t="s">
        <v>136</v>
      </c>
      <c r="M2821" s="16" t="str">
        <f t="shared" si="1"/>
        <v>6013314 Primaria</v>
      </c>
      <c r="N2821" s="23"/>
      <c r="O2821" s="17"/>
      <c r="P2821" s="17"/>
      <c r="Q2821" s="17"/>
      <c r="R2821" s="17"/>
      <c r="S2821" s="17"/>
      <c r="T2821" s="17"/>
    </row>
    <row r="2822">
      <c r="A2822" s="18">
        <v>2472.0</v>
      </c>
      <c r="B2822" s="12" t="s">
        <v>13</v>
      </c>
      <c r="C2822" s="12" t="s">
        <v>14</v>
      </c>
      <c r="D2822" s="20" t="s">
        <v>20</v>
      </c>
      <c r="E2822" s="12" t="str">
        <f>IFERROR(__xludf.DUMMYFUNCTION("FILTER(colegios!$B$2:$B5618,colegios!$A$2:$A5618=L2822)"),"601331")</f>
        <v>601331</v>
      </c>
      <c r="F2822" s="14" t="s">
        <v>16</v>
      </c>
      <c r="G2822" s="20" t="s">
        <v>17</v>
      </c>
      <c r="H2822" s="14" t="s">
        <v>24</v>
      </c>
      <c r="I2822" s="15">
        <v>2022.0</v>
      </c>
      <c r="J2822" s="16" t="str">
        <f>IFERROR(__xludf.DUMMYFUNCTION("FILTER('CLASFICACIÓN'!$F$3:$F5618,'CLASFICACIÓN'!$G$3:$G5618=M2822)"),"LOS 3 AÑOS")</f>
        <v>LOS 3 AÑOS</v>
      </c>
      <c r="K2822" s="16" t="str">
        <f t="array" ref="K2822">IFERROR(DGET('PADD-R'!$B$1:$K5618,'PADD-R'!$K$1,{'PADD-R'!$B$1;E2822}),"NO PARTICIPÓ")</f>
        <v>SOLO 2023</v>
      </c>
      <c r="L2822" s="14" t="s">
        <v>136</v>
      </c>
      <c r="M2822" s="16" t="str">
        <f t="shared" si="1"/>
        <v>6013314 Primaria</v>
      </c>
      <c r="N2822" s="23"/>
      <c r="O2822" s="17"/>
      <c r="P2822" s="17"/>
      <c r="Q2822" s="17"/>
      <c r="R2822" s="17"/>
      <c r="S2822" s="17"/>
      <c r="T2822" s="17"/>
    </row>
    <row r="2823">
      <c r="A2823" s="18">
        <v>2473.0</v>
      </c>
      <c r="B2823" s="12" t="s">
        <v>13</v>
      </c>
      <c r="C2823" s="12" t="s">
        <v>14</v>
      </c>
      <c r="D2823" s="20" t="s">
        <v>20</v>
      </c>
      <c r="E2823" s="12" t="str">
        <f>IFERROR(__xludf.DUMMYFUNCTION("FILTER(colegios!$B$2:$B5618,colegios!$A$2:$A5618=L2823)"),"601331")</f>
        <v>601331</v>
      </c>
      <c r="F2823" s="14" t="s">
        <v>16</v>
      </c>
      <c r="G2823" s="20" t="s">
        <v>21</v>
      </c>
      <c r="H2823" s="14" t="s">
        <v>18</v>
      </c>
      <c r="I2823" s="15">
        <v>2022.0</v>
      </c>
      <c r="J2823" s="16" t="str">
        <f>IFERROR(__xludf.DUMMYFUNCTION("FILTER('CLASFICACIÓN'!$F$3:$F5618,'CLASFICACIÓN'!$G$3:$G5618=M2823)"),"LOS 3 AÑOS")</f>
        <v>LOS 3 AÑOS</v>
      </c>
      <c r="K2823" s="16" t="str">
        <f t="array" ref="K2823">IFERROR(DGET('PADD-R'!$B$1:$K5618,'PADD-R'!$K$1,{'PADD-R'!$B$1;E2823}),"NO PARTICIPÓ")</f>
        <v>SOLO 2023</v>
      </c>
      <c r="L2823" s="14" t="s">
        <v>136</v>
      </c>
      <c r="M2823" s="16" t="str">
        <f t="shared" si="1"/>
        <v>6013314 Primaria</v>
      </c>
      <c r="N2823" s="23"/>
      <c r="O2823" s="17"/>
      <c r="P2823" s="17"/>
      <c r="Q2823" s="17"/>
      <c r="R2823" s="17"/>
      <c r="S2823" s="17"/>
      <c r="T2823" s="17"/>
    </row>
    <row r="2824">
      <c r="A2824" s="18">
        <v>2474.0</v>
      </c>
      <c r="B2824" s="12" t="s">
        <v>13</v>
      </c>
      <c r="C2824" s="12" t="s">
        <v>14</v>
      </c>
      <c r="D2824" s="20" t="s">
        <v>20</v>
      </c>
      <c r="E2824" s="12" t="str">
        <f>IFERROR(__xludf.DUMMYFUNCTION("FILTER(colegios!$B$2:$B5618,colegios!$A$2:$A5618=L2824)"),"601331")</f>
        <v>601331</v>
      </c>
      <c r="F2824" s="14" t="s">
        <v>16</v>
      </c>
      <c r="G2824" s="20" t="s">
        <v>21</v>
      </c>
      <c r="H2824" s="14" t="s">
        <v>24</v>
      </c>
      <c r="I2824" s="15">
        <v>2022.0</v>
      </c>
      <c r="J2824" s="16" t="str">
        <f>IFERROR(__xludf.DUMMYFUNCTION("FILTER('CLASFICACIÓN'!$F$3:$F5618,'CLASFICACIÓN'!$G$3:$G5618=M2824)"),"LOS 3 AÑOS")</f>
        <v>LOS 3 AÑOS</v>
      </c>
      <c r="K2824" s="16" t="str">
        <f t="array" ref="K2824">IFERROR(DGET('PADD-R'!$B$1:$K5618,'PADD-R'!$K$1,{'PADD-R'!$B$1;E2824}),"NO PARTICIPÓ")</f>
        <v>SOLO 2023</v>
      </c>
      <c r="L2824" s="14" t="s">
        <v>136</v>
      </c>
      <c r="M2824" s="16" t="str">
        <f t="shared" si="1"/>
        <v>6013314 Primaria</v>
      </c>
      <c r="N2824" s="23"/>
      <c r="O2824" s="17"/>
      <c r="P2824" s="17"/>
      <c r="Q2824" s="17"/>
      <c r="R2824" s="17"/>
      <c r="S2824" s="17"/>
      <c r="T2824" s="17"/>
    </row>
    <row r="2825">
      <c r="A2825" s="18">
        <v>2475.0</v>
      </c>
      <c r="B2825" s="12" t="s">
        <v>13</v>
      </c>
      <c r="C2825" s="12" t="s">
        <v>27</v>
      </c>
      <c r="D2825" s="20" t="s">
        <v>30</v>
      </c>
      <c r="E2825" s="12" t="str">
        <f>IFERROR(__xludf.DUMMYFUNCTION("FILTER(colegios!$B$2:$B5618,colegios!$A$2:$A5618=L2825)"),"601331")</f>
        <v>601331</v>
      </c>
      <c r="F2825" s="14" t="s">
        <v>16</v>
      </c>
      <c r="G2825" s="20" t="s">
        <v>17</v>
      </c>
      <c r="H2825" s="14" t="s">
        <v>18</v>
      </c>
      <c r="I2825" s="15">
        <v>2022.0</v>
      </c>
      <c r="J2825" s="16" t="str">
        <f>IFERROR(__xludf.DUMMYFUNCTION("FILTER('CLASFICACIÓN'!$F$3:$F5618,'CLASFICACIÓN'!$G$3:$G5618=M2825)"),"LOS 3 AÑOS")</f>
        <v>LOS 3 AÑOS</v>
      </c>
      <c r="K2825" s="16" t="str">
        <f t="array" ref="K2825">IFERROR(DGET('PADD-R'!$B$1:$K5618,'PADD-R'!$K$1,{'PADD-R'!$B$1;E2825}),"NO PARTICIPÓ")</f>
        <v>SOLO 2023</v>
      </c>
      <c r="L2825" s="14" t="s">
        <v>136</v>
      </c>
      <c r="M2825" s="16" t="str">
        <f t="shared" si="1"/>
        <v>6013314 Secundaria</v>
      </c>
      <c r="N2825" s="23"/>
      <c r="O2825" s="17"/>
      <c r="P2825" s="17"/>
      <c r="Q2825" s="17"/>
      <c r="R2825" s="17"/>
      <c r="S2825" s="17"/>
      <c r="T2825" s="17"/>
    </row>
    <row r="2826">
      <c r="A2826" s="18">
        <v>2476.0</v>
      </c>
      <c r="B2826" s="12" t="s">
        <v>13</v>
      </c>
      <c r="C2826" s="12" t="s">
        <v>27</v>
      </c>
      <c r="D2826" s="20" t="s">
        <v>30</v>
      </c>
      <c r="E2826" s="12" t="str">
        <f>IFERROR(__xludf.DUMMYFUNCTION("FILTER(colegios!$B$2:$B5618,colegios!$A$2:$A5618=L2826)"),"601331")</f>
        <v>601331</v>
      </c>
      <c r="F2826" s="14" t="s">
        <v>16</v>
      </c>
      <c r="G2826" s="20" t="s">
        <v>21</v>
      </c>
      <c r="H2826" s="14" t="s">
        <v>18</v>
      </c>
      <c r="I2826" s="15">
        <v>2022.0</v>
      </c>
      <c r="J2826" s="16" t="str">
        <f>IFERROR(__xludf.DUMMYFUNCTION("FILTER('CLASFICACIÓN'!$F$3:$F5618,'CLASFICACIÓN'!$G$3:$G5618=M2826)"),"LOS 3 AÑOS")</f>
        <v>LOS 3 AÑOS</v>
      </c>
      <c r="K2826" s="16" t="str">
        <f t="array" ref="K2826">IFERROR(DGET('PADD-R'!$B$1:$K5618,'PADD-R'!$K$1,{'PADD-R'!$B$1;E2826}),"NO PARTICIPÓ")</f>
        <v>SOLO 2023</v>
      </c>
      <c r="L2826" s="14" t="s">
        <v>136</v>
      </c>
      <c r="M2826" s="16" t="str">
        <f t="shared" si="1"/>
        <v>6013314 Secundaria</v>
      </c>
      <c r="N2826" s="23"/>
      <c r="O2826" s="17"/>
      <c r="P2826" s="17"/>
      <c r="Q2826" s="17"/>
      <c r="R2826" s="17"/>
      <c r="S2826" s="17"/>
      <c r="T2826" s="17"/>
    </row>
    <row r="2827">
      <c r="A2827" s="18">
        <v>2477.0</v>
      </c>
      <c r="B2827" s="12" t="s">
        <v>13</v>
      </c>
      <c r="C2827" s="12" t="s">
        <v>27</v>
      </c>
      <c r="D2827" s="20" t="s">
        <v>30</v>
      </c>
      <c r="E2827" s="12" t="str">
        <f>IFERROR(__xludf.DUMMYFUNCTION("FILTER(colegios!$B$2:$B5618,colegios!$A$2:$A5618=L2827)"),"601331")</f>
        <v>601331</v>
      </c>
      <c r="F2827" s="14" t="s">
        <v>16</v>
      </c>
      <c r="G2827" s="20" t="s">
        <v>17</v>
      </c>
      <c r="H2827" s="14" t="s">
        <v>18</v>
      </c>
      <c r="I2827" s="15">
        <v>2022.0</v>
      </c>
      <c r="J2827" s="16" t="str">
        <f>IFERROR(__xludf.DUMMYFUNCTION("FILTER('CLASFICACIÓN'!$F$3:$F5618,'CLASFICACIÓN'!$G$3:$G5618=M2827)"),"LOS 3 AÑOS")</f>
        <v>LOS 3 AÑOS</v>
      </c>
      <c r="K2827" s="16" t="str">
        <f t="array" ref="K2827">IFERROR(DGET('PADD-R'!$B$1:$K5618,'PADD-R'!$K$1,{'PADD-R'!$B$1;E2827}),"NO PARTICIPÓ")</f>
        <v>SOLO 2023</v>
      </c>
      <c r="L2827" s="14" t="s">
        <v>136</v>
      </c>
      <c r="M2827" s="16" t="str">
        <f t="shared" si="1"/>
        <v>6013314 Secundaria</v>
      </c>
      <c r="N2827" s="23"/>
      <c r="O2827" s="17"/>
      <c r="P2827" s="17"/>
      <c r="Q2827" s="17"/>
      <c r="R2827" s="17"/>
      <c r="S2827" s="17"/>
      <c r="T2827" s="17"/>
    </row>
    <row r="2828">
      <c r="A2828" s="18">
        <v>2478.0</v>
      </c>
      <c r="B2828" s="12" t="s">
        <v>13</v>
      </c>
      <c r="C2828" s="12" t="s">
        <v>27</v>
      </c>
      <c r="D2828" s="20" t="s">
        <v>30</v>
      </c>
      <c r="E2828" s="12" t="str">
        <f>IFERROR(__xludf.DUMMYFUNCTION("FILTER(colegios!$B$2:$B5618,colegios!$A$2:$A5618=L2828)"),"601331")</f>
        <v>601331</v>
      </c>
      <c r="F2828" s="14" t="s">
        <v>16</v>
      </c>
      <c r="G2828" s="20" t="s">
        <v>21</v>
      </c>
      <c r="H2828" s="14" t="s">
        <v>18</v>
      </c>
      <c r="I2828" s="15">
        <v>2022.0</v>
      </c>
      <c r="J2828" s="16" t="str">
        <f>IFERROR(__xludf.DUMMYFUNCTION("FILTER('CLASFICACIÓN'!$F$3:$F5618,'CLASFICACIÓN'!$G$3:$G5618=M2828)"),"LOS 3 AÑOS")</f>
        <v>LOS 3 AÑOS</v>
      </c>
      <c r="K2828" s="16" t="str">
        <f t="array" ref="K2828">IFERROR(DGET('PADD-R'!$B$1:$K5618,'PADD-R'!$K$1,{'PADD-R'!$B$1;E2828}),"NO PARTICIPÓ")</f>
        <v>SOLO 2023</v>
      </c>
      <c r="L2828" s="14" t="s">
        <v>136</v>
      </c>
      <c r="M2828" s="16" t="str">
        <f t="shared" si="1"/>
        <v>6013314 Secundaria</v>
      </c>
      <c r="N2828" s="23"/>
      <c r="O2828" s="17"/>
      <c r="P2828" s="17"/>
      <c r="Q2828" s="17"/>
      <c r="R2828" s="17"/>
      <c r="S2828" s="17"/>
      <c r="T2828" s="17"/>
    </row>
    <row r="2829">
      <c r="A2829" s="18">
        <v>2479.0</v>
      </c>
      <c r="B2829" s="12" t="s">
        <v>13</v>
      </c>
      <c r="C2829" s="12" t="s">
        <v>27</v>
      </c>
      <c r="D2829" s="20" t="s">
        <v>30</v>
      </c>
      <c r="E2829" s="12" t="str">
        <f>IFERROR(__xludf.DUMMYFUNCTION("FILTER(colegios!$B$2:$B5618,colegios!$A$2:$A5618=L2829)"),"601331")</f>
        <v>601331</v>
      </c>
      <c r="F2829" s="14" t="s">
        <v>16</v>
      </c>
      <c r="G2829" s="20" t="s">
        <v>21</v>
      </c>
      <c r="H2829" s="14" t="s">
        <v>18</v>
      </c>
      <c r="I2829" s="15">
        <v>2022.0</v>
      </c>
      <c r="J2829" s="16" t="str">
        <f>IFERROR(__xludf.DUMMYFUNCTION("FILTER('CLASFICACIÓN'!$F$3:$F5618,'CLASFICACIÓN'!$G$3:$G5618=M2829)"),"LOS 3 AÑOS")</f>
        <v>LOS 3 AÑOS</v>
      </c>
      <c r="K2829" s="16" t="str">
        <f t="array" ref="K2829">IFERROR(DGET('PADD-R'!$B$1:$K5618,'PADD-R'!$K$1,{'PADD-R'!$B$1;E2829}),"NO PARTICIPÓ")</f>
        <v>SOLO 2023</v>
      </c>
      <c r="L2829" s="14" t="s">
        <v>136</v>
      </c>
      <c r="M2829" s="16" t="str">
        <f t="shared" si="1"/>
        <v>6013314 Secundaria</v>
      </c>
      <c r="N2829" s="23"/>
      <c r="O2829" s="17"/>
      <c r="P2829" s="17"/>
      <c r="Q2829" s="17"/>
      <c r="R2829" s="17"/>
      <c r="S2829" s="17"/>
      <c r="T2829" s="17"/>
    </row>
    <row r="2830">
      <c r="A2830" s="18">
        <v>2480.0</v>
      </c>
      <c r="B2830" s="12" t="s">
        <v>13</v>
      </c>
      <c r="C2830" s="12" t="s">
        <v>27</v>
      </c>
      <c r="D2830" s="20" t="s">
        <v>30</v>
      </c>
      <c r="E2830" s="12" t="str">
        <f>IFERROR(__xludf.DUMMYFUNCTION("FILTER(colegios!$B$2:$B5618,colegios!$A$2:$A5618=L2830)"),"601331")</f>
        <v>601331</v>
      </c>
      <c r="F2830" s="14" t="s">
        <v>16</v>
      </c>
      <c r="G2830" s="20" t="s">
        <v>21</v>
      </c>
      <c r="H2830" s="14" t="s">
        <v>18</v>
      </c>
      <c r="I2830" s="15">
        <v>2022.0</v>
      </c>
      <c r="J2830" s="16" t="str">
        <f>IFERROR(__xludf.DUMMYFUNCTION("FILTER('CLASFICACIÓN'!$F$3:$F5618,'CLASFICACIÓN'!$G$3:$G5618=M2830)"),"LOS 3 AÑOS")</f>
        <v>LOS 3 AÑOS</v>
      </c>
      <c r="K2830" s="16" t="str">
        <f t="array" ref="K2830">IFERROR(DGET('PADD-R'!$B$1:$K5618,'PADD-R'!$K$1,{'PADD-R'!$B$1;E2830}),"NO PARTICIPÓ")</f>
        <v>SOLO 2023</v>
      </c>
      <c r="L2830" s="14" t="s">
        <v>136</v>
      </c>
      <c r="M2830" s="16" t="str">
        <f t="shared" si="1"/>
        <v>6013314 Secundaria</v>
      </c>
      <c r="N2830" s="23"/>
      <c r="O2830" s="17"/>
      <c r="P2830" s="17"/>
      <c r="Q2830" s="17"/>
      <c r="R2830" s="17"/>
      <c r="S2830" s="17"/>
      <c r="T2830" s="17"/>
    </row>
    <row r="2831">
      <c r="A2831" s="18">
        <v>2481.0</v>
      </c>
      <c r="B2831" s="12" t="s">
        <v>13</v>
      </c>
      <c r="C2831" s="12" t="s">
        <v>27</v>
      </c>
      <c r="D2831" s="20" t="s">
        <v>30</v>
      </c>
      <c r="E2831" s="12" t="str">
        <f>IFERROR(__xludf.DUMMYFUNCTION("FILTER(colegios!$B$2:$B5618,colegios!$A$2:$A5618=L2831)"),"601331")</f>
        <v>601331</v>
      </c>
      <c r="F2831" s="14" t="s">
        <v>16</v>
      </c>
      <c r="G2831" s="20" t="s">
        <v>21</v>
      </c>
      <c r="H2831" s="14" t="s">
        <v>18</v>
      </c>
      <c r="I2831" s="15">
        <v>2022.0</v>
      </c>
      <c r="J2831" s="16" t="str">
        <f>IFERROR(__xludf.DUMMYFUNCTION("FILTER('CLASFICACIÓN'!$F$3:$F5618,'CLASFICACIÓN'!$G$3:$G5618=M2831)"),"LOS 3 AÑOS")</f>
        <v>LOS 3 AÑOS</v>
      </c>
      <c r="K2831" s="16" t="str">
        <f t="array" ref="K2831">IFERROR(DGET('PADD-R'!$B$1:$K5618,'PADD-R'!$K$1,{'PADD-R'!$B$1;E2831}),"NO PARTICIPÓ")</f>
        <v>SOLO 2023</v>
      </c>
      <c r="L2831" s="14" t="s">
        <v>136</v>
      </c>
      <c r="M2831" s="16" t="str">
        <f t="shared" si="1"/>
        <v>6013314 Secundaria</v>
      </c>
      <c r="N2831" s="23"/>
      <c r="O2831" s="17"/>
      <c r="P2831" s="17"/>
      <c r="Q2831" s="17"/>
      <c r="R2831" s="17"/>
      <c r="S2831" s="17"/>
      <c r="T2831" s="17"/>
    </row>
    <row r="2832">
      <c r="A2832" s="18">
        <v>2482.0</v>
      </c>
      <c r="B2832" s="12" t="s">
        <v>13</v>
      </c>
      <c r="C2832" s="12" t="s">
        <v>27</v>
      </c>
      <c r="D2832" s="20" t="s">
        <v>30</v>
      </c>
      <c r="E2832" s="12" t="str">
        <f>IFERROR(__xludf.DUMMYFUNCTION("FILTER(colegios!$B$2:$B5618,colegios!$A$2:$A5618=L2832)"),"601331")</f>
        <v>601331</v>
      </c>
      <c r="F2832" s="14" t="s">
        <v>16</v>
      </c>
      <c r="G2832" s="20" t="s">
        <v>17</v>
      </c>
      <c r="H2832" s="14" t="s">
        <v>18</v>
      </c>
      <c r="I2832" s="15">
        <v>2022.0</v>
      </c>
      <c r="J2832" s="16" t="str">
        <f>IFERROR(__xludf.DUMMYFUNCTION("FILTER('CLASFICACIÓN'!$F$3:$F5618,'CLASFICACIÓN'!$G$3:$G5618=M2832)"),"LOS 3 AÑOS")</f>
        <v>LOS 3 AÑOS</v>
      </c>
      <c r="K2832" s="16" t="str">
        <f t="array" ref="K2832">IFERROR(DGET('PADD-R'!$B$1:$K5618,'PADD-R'!$K$1,{'PADD-R'!$B$1;E2832}),"NO PARTICIPÓ")</f>
        <v>SOLO 2023</v>
      </c>
      <c r="L2832" s="14" t="s">
        <v>136</v>
      </c>
      <c r="M2832" s="16" t="str">
        <f t="shared" si="1"/>
        <v>6013314 Secundaria</v>
      </c>
      <c r="N2832" s="23"/>
      <c r="O2832" s="17"/>
      <c r="P2832" s="17"/>
      <c r="Q2832" s="17"/>
      <c r="R2832" s="17"/>
      <c r="S2832" s="17"/>
      <c r="T2832" s="17"/>
    </row>
    <row r="2833">
      <c r="A2833" s="18">
        <v>2483.0</v>
      </c>
      <c r="B2833" s="12" t="s">
        <v>13</v>
      </c>
      <c r="C2833" s="12" t="s">
        <v>27</v>
      </c>
      <c r="D2833" s="20" t="s">
        <v>30</v>
      </c>
      <c r="E2833" s="12" t="str">
        <f>IFERROR(__xludf.DUMMYFUNCTION("FILTER(colegios!$B$2:$B5618,colegios!$A$2:$A5618=L2833)"),"601331")</f>
        <v>601331</v>
      </c>
      <c r="F2833" s="14" t="s">
        <v>16</v>
      </c>
      <c r="G2833" s="20" t="s">
        <v>21</v>
      </c>
      <c r="H2833" s="14" t="s">
        <v>18</v>
      </c>
      <c r="I2833" s="15">
        <v>2022.0</v>
      </c>
      <c r="J2833" s="16" t="str">
        <f>IFERROR(__xludf.DUMMYFUNCTION("FILTER('CLASFICACIÓN'!$F$3:$F5618,'CLASFICACIÓN'!$G$3:$G5618=M2833)"),"LOS 3 AÑOS")</f>
        <v>LOS 3 AÑOS</v>
      </c>
      <c r="K2833" s="16" t="str">
        <f t="array" ref="K2833">IFERROR(DGET('PADD-R'!$B$1:$K5618,'PADD-R'!$K$1,{'PADD-R'!$B$1;E2833}),"NO PARTICIPÓ")</f>
        <v>SOLO 2023</v>
      </c>
      <c r="L2833" s="14" t="s">
        <v>136</v>
      </c>
      <c r="M2833" s="16" t="str">
        <f t="shared" si="1"/>
        <v>6013314 Secundaria</v>
      </c>
      <c r="N2833" s="23"/>
      <c r="O2833" s="17"/>
      <c r="P2833" s="17"/>
      <c r="Q2833" s="17"/>
      <c r="R2833" s="17"/>
      <c r="S2833" s="17"/>
      <c r="T2833" s="17"/>
    </row>
    <row r="2834">
      <c r="A2834" s="18">
        <v>2484.0</v>
      </c>
      <c r="B2834" s="12" t="s">
        <v>13</v>
      </c>
      <c r="C2834" s="12" t="s">
        <v>27</v>
      </c>
      <c r="D2834" s="20" t="s">
        <v>30</v>
      </c>
      <c r="E2834" s="12" t="str">
        <f>IFERROR(__xludf.DUMMYFUNCTION("FILTER(colegios!$B$2:$B5618,colegios!$A$2:$A5618=L2834)"),"601331")</f>
        <v>601331</v>
      </c>
      <c r="F2834" s="14" t="s">
        <v>16</v>
      </c>
      <c r="G2834" s="20" t="s">
        <v>21</v>
      </c>
      <c r="H2834" s="14" t="s">
        <v>18</v>
      </c>
      <c r="I2834" s="15">
        <v>2022.0</v>
      </c>
      <c r="J2834" s="16" t="str">
        <f>IFERROR(__xludf.DUMMYFUNCTION("FILTER('CLASFICACIÓN'!$F$3:$F5618,'CLASFICACIÓN'!$G$3:$G5618=M2834)"),"LOS 3 AÑOS")</f>
        <v>LOS 3 AÑOS</v>
      </c>
      <c r="K2834" s="16" t="str">
        <f t="array" ref="K2834">IFERROR(DGET('PADD-R'!$B$1:$K5618,'PADD-R'!$K$1,{'PADD-R'!$B$1;E2834}),"NO PARTICIPÓ")</f>
        <v>SOLO 2023</v>
      </c>
      <c r="L2834" s="14" t="s">
        <v>136</v>
      </c>
      <c r="M2834" s="16" t="str">
        <f t="shared" si="1"/>
        <v>6013314 Secundaria</v>
      </c>
      <c r="N2834" s="23"/>
      <c r="O2834" s="17"/>
      <c r="P2834" s="17"/>
      <c r="Q2834" s="17"/>
      <c r="R2834" s="17"/>
      <c r="S2834" s="17"/>
      <c r="T2834" s="17"/>
    </row>
    <row r="2835">
      <c r="A2835" s="18">
        <v>2485.0</v>
      </c>
      <c r="B2835" s="12" t="s">
        <v>13</v>
      </c>
      <c r="C2835" s="12" t="s">
        <v>27</v>
      </c>
      <c r="D2835" s="20" t="s">
        <v>30</v>
      </c>
      <c r="E2835" s="12" t="str">
        <f>IFERROR(__xludf.DUMMYFUNCTION("FILTER(colegios!$B$2:$B5618,colegios!$A$2:$A5618=L2835)"),"601331")</f>
        <v>601331</v>
      </c>
      <c r="F2835" s="14" t="s">
        <v>16</v>
      </c>
      <c r="G2835" s="20" t="s">
        <v>17</v>
      </c>
      <c r="H2835" s="14" t="s">
        <v>18</v>
      </c>
      <c r="I2835" s="15">
        <v>2022.0</v>
      </c>
      <c r="J2835" s="16" t="str">
        <f>IFERROR(__xludf.DUMMYFUNCTION("FILTER('CLASFICACIÓN'!$F$3:$F5618,'CLASFICACIÓN'!$G$3:$G5618=M2835)"),"LOS 3 AÑOS")</f>
        <v>LOS 3 AÑOS</v>
      </c>
      <c r="K2835" s="16" t="str">
        <f t="array" ref="K2835">IFERROR(DGET('PADD-R'!$B$1:$K5618,'PADD-R'!$K$1,{'PADD-R'!$B$1;E2835}),"NO PARTICIPÓ")</f>
        <v>SOLO 2023</v>
      </c>
      <c r="L2835" s="14" t="s">
        <v>136</v>
      </c>
      <c r="M2835" s="16" t="str">
        <f t="shared" si="1"/>
        <v>6013314 Secundaria</v>
      </c>
      <c r="N2835" s="23"/>
      <c r="O2835" s="17"/>
      <c r="P2835" s="17"/>
      <c r="Q2835" s="17"/>
      <c r="R2835" s="17"/>
      <c r="S2835" s="17"/>
      <c r="T2835" s="17"/>
    </row>
    <row r="2836">
      <c r="A2836" s="18">
        <v>2486.0</v>
      </c>
      <c r="B2836" s="12" t="s">
        <v>13</v>
      </c>
      <c r="C2836" s="12" t="s">
        <v>27</v>
      </c>
      <c r="D2836" s="20" t="s">
        <v>30</v>
      </c>
      <c r="E2836" s="12" t="str">
        <f>IFERROR(__xludf.DUMMYFUNCTION("FILTER(colegios!$B$2:$B5618,colegios!$A$2:$A5618=L2836)"),"601331")</f>
        <v>601331</v>
      </c>
      <c r="F2836" s="14" t="s">
        <v>16</v>
      </c>
      <c r="G2836" s="20" t="s">
        <v>17</v>
      </c>
      <c r="H2836" s="14" t="s">
        <v>18</v>
      </c>
      <c r="I2836" s="15">
        <v>2022.0</v>
      </c>
      <c r="J2836" s="16" t="str">
        <f>IFERROR(__xludf.DUMMYFUNCTION("FILTER('CLASFICACIÓN'!$F$3:$F5618,'CLASFICACIÓN'!$G$3:$G5618=M2836)"),"LOS 3 AÑOS")</f>
        <v>LOS 3 AÑOS</v>
      </c>
      <c r="K2836" s="16" t="str">
        <f t="array" ref="K2836">IFERROR(DGET('PADD-R'!$B$1:$K5618,'PADD-R'!$K$1,{'PADD-R'!$B$1;E2836}),"NO PARTICIPÓ")</f>
        <v>SOLO 2023</v>
      </c>
      <c r="L2836" s="14" t="s">
        <v>136</v>
      </c>
      <c r="M2836" s="16" t="str">
        <f t="shared" si="1"/>
        <v>6013314 Secundaria</v>
      </c>
      <c r="N2836" s="23"/>
      <c r="O2836" s="17"/>
      <c r="P2836" s="17"/>
      <c r="Q2836" s="17"/>
      <c r="R2836" s="17"/>
      <c r="S2836" s="17"/>
      <c r="T2836" s="17"/>
    </row>
    <row r="2837">
      <c r="A2837" s="18">
        <v>2487.0</v>
      </c>
      <c r="B2837" s="12" t="s">
        <v>13</v>
      </c>
      <c r="C2837" s="12" t="s">
        <v>27</v>
      </c>
      <c r="D2837" s="20" t="s">
        <v>30</v>
      </c>
      <c r="E2837" s="12" t="str">
        <f>IFERROR(__xludf.DUMMYFUNCTION("FILTER(colegios!$B$2:$B5618,colegios!$A$2:$A5618=L2837)"),"601331")</f>
        <v>601331</v>
      </c>
      <c r="F2837" s="14" t="s">
        <v>16</v>
      </c>
      <c r="G2837" s="20" t="s">
        <v>17</v>
      </c>
      <c r="H2837" s="14" t="s">
        <v>18</v>
      </c>
      <c r="I2837" s="15">
        <v>2022.0</v>
      </c>
      <c r="J2837" s="16" t="str">
        <f>IFERROR(__xludf.DUMMYFUNCTION("FILTER('CLASFICACIÓN'!$F$3:$F5618,'CLASFICACIÓN'!$G$3:$G5618=M2837)"),"LOS 3 AÑOS")</f>
        <v>LOS 3 AÑOS</v>
      </c>
      <c r="K2837" s="16" t="str">
        <f t="array" ref="K2837">IFERROR(DGET('PADD-R'!$B$1:$K5618,'PADD-R'!$K$1,{'PADD-R'!$B$1;E2837}),"NO PARTICIPÓ")</f>
        <v>SOLO 2023</v>
      </c>
      <c r="L2837" s="14" t="s">
        <v>136</v>
      </c>
      <c r="M2837" s="16" t="str">
        <f t="shared" si="1"/>
        <v>6013314 Secundaria</v>
      </c>
      <c r="N2837" s="23"/>
      <c r="O2837" s="17"/>
      <c r="P2837" s="17"/>
      <c r="Q2837" s="17"/>
      <c r="R2837" s="17"/>
      <c r="S2837" s="17"/>
      <c r="T2837" s="17"/>
    </row>
    <row r="2838">
      <c r="A2838" s="18">
        <v>2488.0</v>
      </c>
      <c r="B2838" s="12" t="s">
        <v>13</v>
      </c>
      <c r="C2838" s="12" t="s">
        <v>27</v>
      </c>
      <c r="D2838" s="20" t="s">
        <v>30</v>
      </c>
      <c r="E2838" s="12" t="str">
        <f>IFERROR(__xludf.DUMMYFUNCTION("FILTER(colegios!$B$2:$B5618,colegios!$A$2:$A5618=L2838)"),"601331")</f>
        <v>601331</v>
      </c>
      <c r="F2838" s="14" t="s">
        <v>16</v>
      </c>
      <c r="G2838" s="20" t="s">
        <v>17</v>
      </c>
      <c r="H2838" s="14" t="s">
        <v>18</v>
      </c>
      <c r="I2838" s="15">
        <v>2022.0</v>
      </c>
      <c r="J2838" s="16" t="str">
        <f>IFERROR(__xludf.DUMMYFUNCTION("FILTER('CLASFICACIÓN'!$F$3:$F5618,'CLASFICACIÓN'!$G$3:$G5618=M2838)"),"LOS 3 AÑOS")</f>
        <v>LOS 3 AÑOS</v>
      </c>
      <c r="K2838" s="16" t="str">
        <f t="array" ref="K2838">IFERROR(DGET('PADD-R'!$B$1:$K5618,'PADD-R'!$K$1,{'PADD-R'!$B$1;E2838}),"NO PARTICIPÓ")</f>
        <v>SOLO 2023</v>
      </c>
      <c r="L2838" s="14" t="s">
        <v>136</v>
      </c>
      <c r="M2838" s="16" t="str">
        <f t="shared" si="1"/>
        <v>6013314 Secundaria</v>
      </c>
      <c r="N2838" s="23"/>
      <c r="O2838" s="17"/>
      <c r="P2838" s="17"/>
      <c r="Q2838" s="17"/>
      <c r="R2838" s="17"/>
      <c r="S2838" s="17"/>
      <c r="T2838" s="17"/>
    </row>
    <row r="2839">
      <c r="A2839" s="18">
        <v>2489.0</v>
      </c>
      <c r="B2839" s="12" t="s">
        <v>13</v>
      </c>
      <c r="C2839" s="12" t="s">
        <v>27</v>
      </c>
      <c r="D2839" s="20" t="s">
        <v>30</v>
      </c>
      <c r="E2839" s="12" t="str">
        <f>IFERROR(__xludf.DUMMYFUNCTION("FILTER(colegios!$B$2:$B5618,colegios!$A$2:$A5618=L2839)"),"601331")</f>
        <v>601331</v>
      </c>
      <c r="F2839" s="14" t="s">
        <v>16</v>
      </c>
      <c r="G2839" s="20" t="s">
        <v>21</v>
      </c>
      <c r="H2839" s="14" t="s">
        <v>18</v>
      </c>
      <c r="I2839" s="15">
        <v>2022.0</v>
      </c>
      <c r="J2839" s="16" t="str">
        <f>IFERROR(__xludf.DUMMYFUNCTION("FILTER('CLASFICACIÓN'!$F$3:$F5618,'CLASFICACIÓN'!$G$3:$G5618=M2839)"),"LOS 3 AÑOS")</f>
        <v>LOS 3 AÑOS</v>
      </c>
      <c r="K2839" s="16" t="str">
        <f t="array" ref="K2839">IFERROR(DGET('PADD-R'!$B$1:$K5618,'PADD-R'!$K$1,{'PADD-R'!$B$1;E2839}),"NO PARTICIPÓ")</f>
        <v>SOLO 2023</v>
      </c>
      <c r="L2839" s="14" t="s">
        <v>136</v>
      </c>
      <c r="M2839" s="16" t="str">
        <f t="shared" si="1"/>
        <v>6013314 Secundaria</v>
      </c>
      <c r="N2839" s="23"/>
      <c r="O2839" s="17"/>
      <c r="P2839" s="17"/>
      <c r="Q2839" s="17"/>
      <c r="R2839" s="17"/>
      <c r="S2839" s="17"/>
      <c r="T2839" s="17"/>
    </row>
    <row r="2840">
      <c r="A2840" s="18">
        <v>2490.0</v>
      </c>
      <c r="B2840" s="12" t="s">
        <v>13</v>
      </c>
      <c r="C2840" s="12" t="s">
        <v>27</v>
      </c>
      <c r="D2840" s="20" t="s">
        <v>30</v>
      </c>
      <c r="E2840" s="12" t="str">
        <f>IFERROR(__xludf.DUMMYFUNCTION("FILTER(colegios!$B$2:$B5618,colegios!$A$2:$A5618=L2840)"),"601331")</f>
        <v>601331</v>
      </c>
      <c r="F2840" s="14" t="s">
        <v>16</v>
      </c>
      <c r="G2840" s="20" t="s">
        <v>21</v>
      </c>
      <c r="H2840" s="14" t="s">
        <v>18</v>
      </c>
      <c r="I2840" s="15">
        <v>2022.0</v>
      </c>
      <c r="J2840" s="16" t="str">
        <f>IFERROR(__xludf.DUMMYFUNCTION("FILTER('CLASFICACIÓN'!$F$3:$F5618,'CLASFICACIÓN'!$G$3:$G5618=M2840)"),"LOS 3 AÑOS")</f>
        <v>LOS 3 AÑOS</v>
      </c>
      <c r="K2840" s="16" t="str">
        <f t="array" ref="K2840">IFERROR(DGET('PADD-R'!$B$1:$K5618,'PADD-R'!$K$1,{'PADD-R'!$B$1;E2840}),"NO PARTICIPÓ")</f>
        <v>SOLO 2023</v>
      </c>
      <c r="L2840" s="14" t="s">
        <v>136</v>
      </c>
      <c r="M2840" s="16" t="str">
        <f t="shared" si="1"/>
        <v>6013314 Secundaria</v>
      </c>
      <c r="N2840" s="23"/>
      <c r="O2840" s="17"/>
      <c r="P2840" s="17"/>
      <c r="Q2840" s="17"/>
      <c r="R2840" s="17"/>
      <c r="S2840" s="17"/>
      <c r="T2840" s="17"/>
    </row>
    <row r="2841">
      <c r="A2841" s="18">
        <v>2491.0</v>
      </c>
      <c r="B2841" s="12" t="s">
        <v>13</v>
      </c>
      <c r="C2841" s="12" t="s">
        <v>27</v>
      </c>
      <c r="D2841" s="20" t="s">
        <v>30</v>
      </c>
      <c r="E2841" s="12" t="str">
        <f>IFERROR(__xludf.DUMMYFUNCTION("FILTER(colegios!$B$2:$B5618,colegios!$A$2:$A5618=L2841)"),"601331")</f>
        <v>601331</v>
      </c>
      <c r="F2841" s="14" t="s">
        <v>16</v>
      </c>
      <c r="G2841" s="20" t="s">
        <v>17</v>
      </c>
      <c r="H2841" s="14" t="s">
        <v>18</v>
      </c>
      <c r="I2841" s="15">
        <v>2022.0</v>
      </c>
      <c r="J2841" s="16" t="str">
        <f>IFERROR(__xludf.DUMMYFUNCTION("FILTER('CLASFICACIÓN'!$F$3:$F5618,'CLASFICACIÓN'!$G$3:$G5618=M2841)"),"LOS 3 AÑOS")</f>
        <v>LOS 3 AÑOS</v>
      </c>
      <c r="K2841" s="16" t="str">
        <f t="array" ref="K2841">IFERROR(DGET('PADD-R'!$B$1:$K5618,'PADD-R'!$K$1,{'PADD-R'!$B$1;E2841}),"NO PARTICIPÓ")</f>
        <v>SOLO 2023</v>
      </c>
      <c r="L2841" s="14" t="s">
        <v>136</v>
      </c>
      <c r="M2841" s="16" t="str">
        <f t="shared" si="1"/>
        <v>6013314 Secundaria</v>
      </c>
      <c r="N2841" s="23"/>
      <c r="O2841" s="17"/>
      <c r="P2841" s="17"/>
      <c r="Q2841" s="17"/>
      <c r="R2841" s="17"/>
      <c r="S2841" s="17"/>
      <c r="T2841" s="17"/>
    </row>
    <row r="2842">
      <c r="A2842" s="18">
        <v>2492.0</v>
      </c>
      <c r="B2842" s="12" t="s">
        <v>13</v>
      </c>
      <c r="C2842" s="12" t="s">
        <v>14</v>
      </c>
      <c r="D2842" s="20" t="s">
        <v>22</v>
      </c>
      <c r="E2842" s="12" t="str">
        <f>IFERROR(__xludf.DUMMYFUNCTION("FILTER(colegios!$B$2:$B5618,colegios!$A$2:$A5618=L2842)"),"601331")</f>
        <v>601331</v>
      </c>
      <c r="F2842" s="14" t="s">
        <v>16</v>
      </c>
      <c r="G2842" s="20" t="s">
        <v>17</v>
      </c>
      <c r="H2842" s="14" t="s">
        <v>18</v>
      </c>
      <c r="I2842" s="15">
        <v>2022.0</v>
      </c>
      <c r="J2842" s="16" t="str">
        <f>IFERROR(__xludf.DUMMYFUNCTION("FILTER('CLASFICACIÓN'!$F$3:$F5618,'CLASFICACIÓN'!$G$3:$G5618=M2842)"),"LOS 3 AÑOS")</f>
        <v>LOS 3 AÑOS</v>
      </c>
      <c r="K2842" s="16" t="str">
        <f t="array" ref="K2842">IFERROR(DGET('PADD-R'!$B$1:$K5618,'PADD-R'!$K$1,{'PADD-R'!$B$1;E2842}),"NO PARTICIPÓ")</f>
        <v>SOLO 2023</v>
      </c>
      <c r="L2842" s="14" t="s">
        <v>136</v>
      </c>
      <c r="M2842" s="16" t="str">
        <f t="shared" si="1"/>
        <v>6013316 Primaria</v>
      </c>
      <c r="N2842" s="23"/>
      <c r="O2842" s="17"/>
      <c r="P2842" s="17"/>
      <c r="Q2842" s="17"/>
      <c r="R2842" s="17"/>
      <c r="S2842" s="17"/>
      <c r="T2842" s="17"/>
    </row>
    <row r="2843">
      <c r="A2843" s="18">
        <v>2493.0</v>
      </c>
      <c r="B2843" s="12" t="s">
        <v>13</v>
      </c>
      <c r="C2843" s="12" t="s">
        <v>14</v>
      </c>
      <c r="D2843" s="20" t="s">
        <v>22</v>
      </c>
      <c r="E2843" s="12" t="str">
        <f>IFERROR(__xludf.DUMMYFUNCTION("FILTER(colegios!$B$2:$B5618,colegios!$A$2:$A5618=L2843)"),"601331")</f>
        <v>601331</v>
      </c>
      <c r="F2843" s="14" t="s">
        <v>16</v>
      </c>
      <c r="G2843" s="20" t="s">
        <v>17</v>
      </c>
      <c r="H2843" s="14" t="s">
        <v>18</v>
      </c>
      <c r="I2843" s="15">
        <v>2022.0</v>
      </c>
      <c r="J2843" s="16" t="str">
        <f>IFERROR(__xludf.DUMMYFUNCTION("FILTER('CLASFICACIÓN'!$F$3:$F5618,'CLASFICACIÓN'!$G$3:$G5618=M2843)"),"LOS 3 AÑOS")</f>
        <v>LOS 3 AÑOS</v>
      </c>
      <c r="K2843" s="16" t="str">
        <f t="array" ref="K2843">IFERROR(DGET('PADD-R'!$B$1:$K5618,'PADD-R'!$K$1,{'PADD-R'!$B$1;E2843}),"NO PARTICIPÓ")</f>
        <v>SOLO 2023</v>
      </c>
      <c r="L2843" s="14" t="s">
        <v>136</v>
      </c>
      <c r="M2843" s="16" t="str">
        <f t="shared" si="1"/>
        <v>6013316 Primaria</v>
      </c>
      <c r="N2843" s="23"/>
      <c r="O2843" s="17"/>
      <c r="P2843" s="17"/>
      <c r="Q2843" s="17"/>
      <c r="R2843" s="17"/>
      <c r="S2843" s="17"/>
      <c r="T2843" s="17"/>
    </row>
    <row r="2844">
      <c r="A2844" s="18">
        <v>2494.0</v>
      </c>
      <c r="B2844" s="12" t="s">
        <v>13</v>
      </c>
      <c r="C2844" s="12" t="s">
        <v>14</v>
      </c>
      <c r="D2844" s="20" t="s">
        <v>22</v>
      </c>
      <c r="E2844" s="12" t="str">
        <f>IFERROR(__xludf.DUMMYFUNCTION("FILTER(colegios!$B$2:$B5618,colegios!$A$2:$A5618=L2844)"),"601331")</f>
        <v>601331</v>
      </c>
      <c r="F2844" s="14" t="s">
        <v>16</v>
      </c>
      <c r="G2844" s="20" t="s">
        <v>17</v>
      </c>
      <c r="H2844" s="14" t="s">
        <v>18</v>
      </c>
      <c r="I2844" s="15">
        <v>2022.0</v>
      </c>
      <c r="J2844" s="16" t="str">
        <f>IFERROR(__xludf.DUMMYFUNCTION("FILTER('CLASFICACIÓN'!$F$3:$F5618,'CLASFICACIÓN'!$G$3:$G5618=M2844)"),"LOS 3 AÑOS")</f>
        <v>LOS 3 AÑOS</v>
      </c>
      <c r="K2844" s="16" t="str">
        <f t="array" ref="K2844">IFERROR(DGET('PADD-R'!$B$1:$K5618,'PADD-R'!$K$1,{'PADD-R'!$B$1;E2844}),"NO PARTICIPÓ")</f>
        <v>SOLO 2023</v>
      </c>
      <c r="L2844" s="14" t="s">
        <v>136</v>
      </c>
      <c r="M2844" s="16" t="str">
        <f t="shared" si="1"/>
        <v>6013316 Primaria</v>
      </c>
      <c r="N2844" s="23"/>
      <c r="O2844" s="17"/>
      <c r="P2844" s="17"/>
      <c r="Q2844" s="17"/>
      <c r="R2844" s="17"/>
      <c r="S2844" s="17"/>
      <c r="T2844" s="17"/>
    </row>
    <row r="2845">
      <c r="A2845" s="18">
        <v>2495.0</v>
      </c>
      <c r="B2845" s="12" t="s">
        <v>13</v>
      </c>
      <c r="C2845" s="12" t="s">
        <v>14</v>
      </c>
      <c r="D2845" s="20" t="s">
        <v>22</v>
      </c>
      <c r="E2845" s="12" t="str">
        <f>IFERROR(__xludf.DUMMYFUNCTION("FILTER(colegios!$B$2:$B5618,colegios!$A$2:$A5618=L2845)"),"601331")</f>
        <v>601331</v>
      </c>
      <c r="F2845" s="14" t="s">
        <v>16</v>
      </c>
      <c r="G2845" s="20" t="s">
        <v>21</v>
      </c>
      <c r="H2845" s="14" t="s">
        <v>18</v>
      </c>
      <c r="I2845" s="15">
        <v>2022.0</v>
      </c>
      <c r="J2845" s="16" t="str">
        <f>IFERROR(__xludf.DUMMYFUNCTION("FILTER('CLASFICACIÓN'!$F$3:$F5618,'CLASFICACIÓN'!$G$3:$G5618=M2845)"),"LOS 3 AÑOS")</f>
        <v>LOS 3 AÑOS</v>
      </c>
      <c r="K2845" s="16" t="str">
        <f t="array" ref="K2845">IFERROR(DGET('PADD-R'!$B$1:$K5618,'PADD-R'!$K$1,{'PADD-R'!$B$1;E2845}),"NO PARTICIPÓ")</f>
        <v>SOLO 2023</v>
      </c>
      <c r="L2845" s="14" t="s">
        <v>136</v>
      </c>
      <c r="M2845" s="16" t="str">
        <f t="shared" si="1"/>
        <v>6013316 Primaria</v>
      </c>
      <c r="N2845" s="23"/>
      <c r="O2845" s="17"/>
      <c r="P2845" s="17"/>
      <c r="Q2845" s="17"/>
      <c r="R2845" s="17"/>
      <c r="S2845" s="17"/>
      <c r="T2845" s="17"/>
    </row>
    <row r="2846">
      <c r="A2846" s="18">
        <v>2496.0</v>
      </c>
      <c r="B2846" s="12" t="s">
        <v>13</v>
      </c>
      <c r="C2846" s="12" t="s">
        <v>14</v>
      </c>
      <c r="D2846" s="20" t="s">
        <v>22</v>
      </c>
      <c r="E2846" s="12" t="str">
        <f>IFERROR(__xludf.DUMMYFUNCTION("FILTER(colegios!$B$2:$B5618,colegios!$A$2:$A5618=L2846)"),"601331")</f>
        <v>601331</v>
      </c>
      <c r="F2846" s="14" t="s">
        <v>16</v>
      </c>
      <c r="G2846" s="20" t="s">
        <v>17</v>
      </c>
      <c r="H2846" s="14" t="s">
        <v>18</v>
      </c>
      <c r="I2846" s="15">
        <v>2022.0</v>
      </c>
      <c r="J2846" s="16" t="str">
        <f>IFERROR(__xludf.DUMMYFUNCTION("FILTER('CLASFICACIÓN'!$F$3:$F5618,'CLASFICACIÓN'!$G$3:$G5618=M2846)"),"LOS 3 AÑOS")</f>
        <v>LOS 3 AÑOS</v>
      </c>
      <c r="K2846" s="16" t="str">
        <f t="array" ref="K2846">IFERROR(DGET('PADD-R'!$B$1:$K5618,'PADD-R'!$K$1,{'PADD-R'!$B$1;E2846}),"NO PARTICIPÓ")</f>
        <v>SOLO 2023</v>
      </c>
      <c r="L2846" s="14" t="s">
        <v>136</v>
      </c>
      <c r="M2846" s="16" t="str">
        <f t="shared" si="1"/>
        <v>6013316 Primaria</v>
      </c>
      <c r="N2846" s="23"/>
      <c r="O2846" s="17"/>
      <c r="P2846" s="17"/>
      <c r="Q2846" s="17"/>
      <c r="R2846" s="17"/>
      <c r="S2846" s="17"/>
      <c r="T2846" s="17"/>
    </row>
    <row r="2847">
      <c r="A2847" s="18">
        <v>2497.0</v>
      </c>
      <c r="B2847" s="12" t="s">
        <v>13</v>
      </c>
      <c r="C2847" s="12" t="s">
        <v>14</v>
      </c>
      <c r="D2847" s="20" t="s">
        <v>22</v>
      </c>
      <c r="E2847" s="12" t="str">
        <f>IFERROR(__xludf.DUMMYFUNCTION("FILTER(colegios!$B$2:$B5618,colegios!$A$2:$A5618=L2847)"),"601331")</f>
        <v>601331</v>
      </c>
      <c r="F2847" s="14" t="s">
        <v>16</v>
      </c>
      <c r="G2847" s="20" t="s">
        <v>21</v>
      </c>
      <c r="H2847" s="14" t="s">
        <v>18</v>
      </c>
      <c r="I2847" s="15">
        <v>2022.0</v>
      </c>
      <c r="J2847" s="16" t="str">
        <f>IFERROR(__xludf.DUMMYFUNCTION("FILTER('CLASFICACIÓN'!$F$3:$F5618,'CLASFICACIÓN'!$G$3:$G5618=M2847)"),"LOS 3 AÑOS")</f>
        <v>LOS 3 AÑOS</v>
      </c>
      <c r="K2847" s="16" t="str">
        <f t="array" ref="K2847">IFERROR(DGET('PADD-R'!$B$1:$K5618,'PADD-R'!$K$1,{'PADD-R'!$B$1;E2847}),"NO PARTICIPÓ")</f>
        <v>SOLO 2023</v>
      </c>
      <c r="L2847" s="14" t="s">
        <v>136</v>
      </c>
      <c r="M2847" s="16" t="str">
        <f t="shared" si="1"/>
        <v>6013316 Primaria</v>
      </c>
      <c r="N2847" s="23"/>
      <c r="O2847" s="17"/>
      <c r="P2847" s="17"/>
      <c r="Q2847" s="17"/>
      <c r="R2847" s="17"/>
      <c r="S2847" s="17"/>
      <c r="T2847" s="17"/>
    </row>
    <row r="2848">
      <c r="A2848" s="18">
        <v>2498.0</v>
      </c>
      <c r="B2848" s="12" t="s">
        <v>13</v>
      </c>
      <c r="C2848" s="12" t="s">
        <v>14</v>
      </c>
      <c r="D2848" s="20" t="s">
        <v>22</v>
      </c>
      <c r="E2848" s="12" t="str">
        <f>IFERROR(__xludf.DUMMYFUNCTION("FILTER(colegios!$B$2:$B5618,colegios!$A$2:$A5618=L2848)"),"601331")</f>
        <v>601331</v>
      </c>
      <c r="F2848" s="14" t="s">
        <v>16</v>
      </c>
      <c r="G2848" s="20" t="s">
        <v>21</v>
      </c>
      <c r="H2848" s="14" t="s">
        <v>18</v>
      </c>
      <c r="I2848" s="15">
        <v>2022.0</v>
      </c>
      <c r="J2848" s="16" t="str">
        <f>IFERROR(__xludf.DUMMYFUNCTION("FILTER('CLASFICACIÓN'!$F$3:$F5618,'CLASFICACIÓN'!$G$3:$G5618=M2848)"),"LOS 3 AÑOS")</f>
        <v>LOS 3 AÑOS</v>
      </c>
      <c r="K2848" s="16" t="str">
        <f t="array" ref="K2848">IFERROR(DGET('PADD-R'!$B$1:$K5618,'PADD-R'!$K$1,{'PADD-R'!$B$1;E2848}),"NO PARTICIPÓ")</f>
        <v>SOLO 2023</v>
      </c>
      <c r="L2848" s="14" t="s">
        <v>136</v>
      </c>
      <c r="M2848" s="16" t="str">
        <f t="shared" si="1"/>
        <v>6013316 Primaria</v>
      </c>
      <c r="N2848" s="23"/>
      <c r="O2848" s="17"/>
      <c r="P2848" s="17"/>
      <c r="Q2848" s="17"/>
      <c r="R2848" s="17"/>
      <c r="S2848" s="17"/>
      <c r="T2848" s="17"/>
    </row>
    <row r="2849">
      <c r="A2849" s="18">
        <v>2499.0</v>
      </c>
      <c r="B2849" s="12" t="s">
        <v>13</v>
      </c>
      <c r="C2849" s="12" t="s">
        <v>14</v>
      </c>
      <c r="D2849" s="20" t="s">
        <v>22</v>
      </c>
      <c r="E2849" s="12" t="str">
        <f>IFERROR(__xludf.DUMMYFUNCTION("FILTER(colegios!$B$2:$B5618,colegios!$A$2:$A5618=L2849)"),"601331")</f>
        <v>601331</v>
      </c>
      <c r="F2849" s="14" t="s">
        <v>16</v>
      </c>
      <c r="G2849" s="20" t="s">
        <v>21</v>
      </c>
      <c r="H2849" s="14" t="s">
        <v>18</v>
      </c>
      <c r="I2849" s="15">
        <v>2022.0</v>
      </c>
      <c r="J2849" s="16" t="str">
        <f>IFERROR(__xludf.DUMMYFUNCTION("FILTER('CLASFICACIÓN'!$F$3:$F5618,'CLASFICACIÓN'!$G$3:$G5618=M2849)"),"LOS 3 AÑOS")</f>
        <v>LOS 3 AÑOS</v>
      </c>
      <c r="K2849" s="16" t="str">
        <f t="array" ref="K2849">IFERROR(DGET('PADD-R'!$B$1:$K5618,'PADD-R'!$K$1,{'PADD-R'!$B$1;E2849}),"NO PARTICIPÓ")</f>
        <v>SOLO 2023</v>
      </c>
      <c r="L2849" s="14" t="s">
        <v>136</v>
      </c>
      <c r="M2849" s="16" t="str">
        <f t="shared" si="1"/>
        <v>6013316 Primaria</v>
      </c>
      <c r="N2849" s="23"/>
      <c r="O2849" s="17"/>
      <c r="P2849" s="17"/>
      <c r="Q2849" s="17"/>
      <c r="R2849" s="17"/>
      <c r="S2849" s="17"/>
      <c r="T2849" s="17"/>
    </row>
    <row r="2850">
      <c r="A2850" s="18">
        <v>2500.0</v>
      </c>
      <c r="B2850" s="12" t="s">
        <v>13</v>
      </c>
      <c r="C2850" s="12" t="s">
        <v>14</v>
      </c>
      <c r="D2850" s="20" t="s">
        <v>22</v>
      </c>
      <c r="E2850" s="12" t="str">
        <f>IFERROR(__xludf.DUMMYFUNCTION("FILTER(colegios!$B$2:$B5618,colegios!$A$2:$A5618=L2850)"),"601331")</f>
        <v>601331</v>
      </c>
      <c r="F2850" s="14" t="s">
        <v>16</v>
      </c>
      <c r="G2850" s="20" t="s">
        <v>21</v>
      </c>
      <c r="H2850" s="14" t="s">
        <v>18</v>
      </c>
      <c r="I2850" s="15">
        <v>2022.0</v>
      </c>
      <c r="J2850" s="16" t="str">
        <f>IFERROR(__xludf.DUMMYFUNCTION("FILTER('CLASFICACIÓN'!$F$3:$F5618,'CLASFICACIÓN'!$G$3:$G5618=M2850)"),"LOS 3 AÑOS")</f>
        <v>LOS 3 AÑOS</v>
      </c>
      <c r="K2850" s="16" t="str">
        <f t="array" ref="K2850">IFERROR(DGET('PADD-R'!$B$1:$K5618,'PADD-R'!$K$1,{'PADD-R'!$B$1;E2850}),"NO PARTICIPÓ")</f>
        <v>SOLO 2023</v>
      </c>
      <c r="L2850" s="14" t="s">
        <v>136</v>
      </c>
      <c r="M2850" s="16" t="str">
        <f t="shared" si="1"/>
        <v>6013316 Primaria</v>
      </c>
      <c r="N2850" s="23"/>
      <c r="O2850" s="17"/>
      <c r="P2850" s="17"/>
      <c r="Q2850" s="17"/>
      <c r="R2850" s="17"/>
      <c r="S2850" s="17"/>
      <c r="T2850" s="17"/>
    </row>
    <row r="2851">
      <c r="A2851" s="18">
        <v>2501.0</v>
      </c>
      <c r="B2851" s="12" t="s">
        <v>13</v>
      </c>
      <c r="C2851" s="12" t="s">
        <v>14</v>
      </c>
      <c r="D2851" s="20" t="s">
        <v>22</v>
      </c>
      <c r="E2851" s="12" t="str">
        <f>IFERROR(__xludf.DUMMYFUNCTION("FILTER(colegios!$B$2:$B5618,colegios!$A$2:$A5618=L2851)"),"601331")</f>
        <v>601331</v>
      </c>
      <c r="F2851" s="14" t="s">
        <v>16</v>
      </c>
      <c r="G2851" s="20" t="s">
        <v>21</v>
      </c>
      <c r="H2851" s="14" t="s">
        <v>18</v>
      </c>
      <c r="I2851" s="15">
        <v>2022.0</v>
      </c>
      <c r="J2851" s="16" t="str">
        <f>IFERROR(__xludf.DUMMYFUNCTION("FILTER('CLASFICACIÓN'!$F$3:$F5618,'CLASFICACIÓN'!$G$3:$G5618=M2851)"),"LOS 3 AÑOS")</f>
        <v>LOS 3 AÑOS</v>
      </c>
      <c r="K2851" s="16" t="str">
        <f t="array" ref="K2851">IFERROR(DGET('PADD-R'!$B$1:$K5618,'PADD-R'!$K$1,{'PADD-R'!$B$1;E2851}),"NO PARTICIPÓ")</f>
        <v>SOLO 2023</v>
      </c>
      <c r="L2851" s="14" t="s">
        <v>136</v>
      </c>
      <c r="M2851" s="16" t="str">
        <f t="shared" si="1"/>
        <v>6013316 Primaria</v>
      </c>
      <c r="N2851" s="23"/>
      <c r="O2851" s="17"/>
      <c r="P2851" s="17"/>
      <c r="Q2851" s="17"/>
      <c r="R2851" s="17"/>
      <c r="S2851" s="17"/>
      <c r="T2851" s="17"/>
    </row>
    <row r="2852">
      <c r="A2852" s="18">
        <v>2502.0</v>
      </c>
      <c r="B2852" s="12" t="s">
        <v>13</v>
      </c>
      <c r="C2852" s="12" t="s">
        <v>14</v>
      </c>
      <c r="D2852" s="20" t="s">
        <v>22</v>
      </c>
      <c r="E2852" s="12" t="str">
        <f>IFERROR(__xludf.DUMMYFUNCTION("FILTER(colegios!$B$2:$B5618,colegios!$A$2:$A5618=L2852)"),"601331")</f>
        <v>601331</v>
      </c>
      <c r="F2852" s="14" t="s">
        <v>16</v>
      </c>
      <c r="G2852" s="20" t="s">
        <v>21</v>
      </c>
      <c r="H2852" s="14" t="s">
        <v>18</v>
      </c>
      <c r="I2852" s="15">
        <v>2022.0</v>
      </c>
      <c r="J2852" s="16" t="str">
        <f>IFERROR(__xludf.DUMMYFUNCTION("FILTER('CLASFICACIÓN'!$F$3:$F5618,'CLASFICACIÓN'!$G$3:$G5618=M2852)"),"LOS 3 AÑOS")</f>
        <v>LOS 3 AÑOS</v>
      </c>
      <c r="K2852" s="16" t="str">
        <f t="array" ref="K2852">IFERROR(DGET('PADD-R'!$B$1:$K5618,'PADD-R'!$K$1,{'PADD-R'!$B$1;E2852}),"NO PARTICIPÓ")</f>
        <v>SOLO 2023</v>
      </c>
      <c r="L2852" s="14" t="s">
        <v>136</v>
      </c>
      <c r="M2852" s="16" t="str">
        <f t="shared" si="1"/>
        <v>6013316 Primaria</v>
      </c>
      <c r="N2852" s="23"/>
      <c r="O2852" s="17"/>
      <c r="P2852" s="17"/>
      <c r="Q2852" s="17"/>
      <c r="R2852" s="17"/>
      <c r="S2852" s="17"/>
      <c r="T2852" s="17"/>
    </row>
    <row r="2853">
      <c r="A2853" s="18">
        <v>2503.0</v>
      </c>
      <c r="B2853" s="12" t="s">
        <v>13</v>
      </c>
      <c r="C2853" s="12" t="s">
        <v>14</v>
      </c>
      <c r="D2853" s="20" t="s">
        <v>22</v>
      </c>
      <c r="E2853" s="12" t="str">
        <f>IFERROR(__xludf.DUMMYFUNCTION("FILTER(colegios!$B$2:$B5618,colegios!$A$2:$A5618=L2853)"),"601331")</f>
        <v>601331</v>
      </c>
      <c r="F2853" s="14" t="s">
        <v>16</v>
      </c>
      <c r="G2853" s="20" t="s">
        <v>17</v>
      </c>
      <c r="H2853" s="14" t="s">
        <v>18</v>
      </c>
      <c r="I2853" s="15">
        <v>2022.0</v>
      </c>
      <c r="J2853" s="16" t="str">
        <f>IFERROR(__xludf.DUMMYFUNCTION("FILTER('CLASFICACIÓN'!$F$3:$F5618,'CLASFICACIÓN'!$G$3:$G5618=M2853)"),"LOS 3 AÑOS")</f>
        <v>LOS 3 AÑOS</v>
      </c>
      <c r="K2853" s="16" t="str">
        <f t="array" ref="K2853">IFERROR(DGET('PADD-R'!$B$1:$K5618,'PADD-R'!$K$1,{'PADD-R'!$B$1;E2853}),"NO PARTICIPÓ")</f>
        <v>SOLO 2023</v>
      </c>
      <c r="L2853" s="14" t="s">
        <v>136</v>
      </c>
      <c r="M2853" s="16" t="str">
        <f t="shared" si="1"/>
        <v>6013316 Primaria</v>
      </c>
      <c r="N2853" s="23"/>
      <c r="O2853" s="17"/>
      <c r="P2853" s="17"/>
      <c r="Q2853" s="17"/>
      <c r="R2853" s="17"/>
      <c r="S2853" s="17"/>
      <c r="T2853" s="17"/>
    </row>
    <row r="2854">
      <c r="A2854" s="18">
        <v>2504.0</v>
      </c>
      <c r="B2854" s="12" t="s">
        <v>13</v>
      </c>
      <c r="C2854" s="12" t="s">
        <v>14</v>
      </c>
      <c r="D2854" s="20" t="s">
        <v>22</v>
      </c>
      <c r="E2854" s="12" t="str">
        <f>IFERROR(__xludf.DUMMYFUNCTION("FILTER(colegios!$B$2:$B5618,colegios!$A$2:$A5618=L2854)"),"601331")</f>
        <v>601331</v>
      </c>
      <c r="F2854" s="14" t="s">
        <v>16</v>
      </c>
      <c r="G2854" s="20" t="s">
        <v>17</v>
      </c>
      <c r="H2854" s="14" t="s">
        <v>18</v>
      </c>
      <c r="I2854" s="15">
        <v>2022.0</v>
      </c>
      <c r="J2854" s="16" t="str">
        <f>IFERROR(__xludf.DUMMYFUNCTION("FILTER('CLASFICACIÓN'!$F$3:$F5618,'CLASFICACIÓN'!$G$3:$G5618=M2854)"),"LOS 3 AÑOS")</f>
        <v>LOS 3 AÑOS</v>
      </c>
      <c r="K2854" s="16" t="str">
        <f t="array" ref="K2854">IFERROR(DGET('PADD-R'!$B$1:$K5618,'PADD-R'!$K$1,{'PADD-R'!$B$1;E2854}),"NO PARTICIPÓ")</f>
        <v>SOLO 2023</v>
      </c>
      <c r="L2854" s="14" t="s">
        <v>136</v>
      </c>
      <c r="M2854" s="16" t="str">
        <f t="shared" si="1"/>
        <v>6013316 Primaria</v>
      </c>
      <c r="N2854" s="23"/>
      <c r="O2854" s="17"/>
      <c r="P2854" s="17"/>
      <c r="Q2854" s="17"/>
      <c r="R2854" s="17"/>
      <c r="S2854" s="17"/>
      <c r="T2854" s="17"/>
    </row>
    <row r="2855">
      <c r="A2855" s="18">
        <v>2505.0</v>
      </c>
      <c r="B2855" s="12" t="s">
        <v>13</v>
      </c>
      <c r="C2855" s="12" t="s">
        <v>14</v>
      </c>
      <c r="D2855" s="20" t="s">
        <v>22</v>
      </c>
      <c r="E2855" s="12" t="str">
        <f>IFERROR(__xludf.DUMMYFUNCTION("FILTER(colegios!$B$2:$B5618,colegios!$A$2:$A5618=L2855)"),"601331")</f>
        <v>601331</v>
      </c>
      <c r="F2855" s="14" t="s">
        <v>16</v>
      </c>
      <c r="G2855" s="20" t="s">
        <v>17</v>
      </c>
      <c r="H2855" s="14" t="s">
        <v>18</v>
      </c>
      <c r="I2855" s="15">
        <v>2022.0</v>
      </c>
      <c r="J2855" s="16" t="str">
        <f>IFERROR(__xludf.DUMMYFUNCTION("FILTER('CLASFICACIÓN'!$F$3:$F5618,'CLASFICACIÓN'!$G$3:$G5618=M2855)"),"LOS 3 AÑOS")</f>
        <v>LOS 3 AÑOS</v>
      </c>
      <c r="K2855" s="16" t="str">
        <f t="array" ref="K2855">IFERROR(DGET('PADD-R'!$B$1:$K5618,'PADD-R'!$K$1,{'PADD-R'!$B$1;E2855}),"NO PARTICIPÓ")</f>
        <v>SOLO 2023</v>
      </c>
      <c r="L2855" s="14" t="s">
        <v>136</v>
      </c>
      <c r="M2855" s="16" t="str">
        <f t="shared" si="1"/>
        <v>6013316 Primaria</v>
      </c>
      <c r="N2855" s="23"/>
      <c r="O2855" s="17"/>
      <c r="P2855" s="17"/>
      <c r="Q2855" s="17"/>
      <c r="R2855" s="17"/>
      <c r="S2855" s="17"/>
      <c r="T2855" s="17"/>
    </row>
    <row r="2856">
      <c r="A2856" s="18">
        <v>2506.0</v>
      </c>
      <c r="B2856" s="12" t="s">
        <v>13</v>
      </c>
      <c r="C2856" s="12" t="s">
        <v>14</v>
      </c>
      <c r="D2856" s="20" t="s">
        <v>22</v>
      </c>
      <c r="E2856" s="12" t="str">
        <f>IFERROR(__xludf.DUMMYFUNCTION("FILTER(colegios!$B$2:$B5618,colegios!$A$2:$A5618=L2856)"),"601331")</f>
        <v>601331</v>
      </c>
      <c r="F2856" s="14" t="s">
        <v>16</v>
      </c>
      <c r="G2856" s="20" t="s">
        <v>21</v>
      </c>
      <c r="H2856" s="14" t="s">
        <v>18</v>
      </c>
      <c r="I2856" s="15">
        <v>2022.0</v>
      </c>
      <c r="J2856" s="16" t="str">
        <f>IFERROR(__xludf.DUMMYFUNCTION("FILTER('CLASFICACIÓN'!$F$3:$F5618,'CLASFICACIÓN'!$G$3:$G5618=M2856)"),"LOS 3 AÑOS")</f>
        <v>LOS 3 AÑOS</v>
      </c>
      <c r="K2856" s="16" t="str">
        <f t="array" ref="K2856">IFERROR(DGET('PADD-R'!$B$1:$K5618,'PADD-R'!$K$1,{'PADD-R'!$B$1;E2856}),"NO PARTICIPÓ")</f>
        <v>SOLO 2023</v>
      </c>
      <c r="L2856" s="14" t="s">
        <v>136</v>
      </c>
      <c r="M2856" s="16" t="str">
        <f t="shared" si="1"/>
        <v>6013316 Primaria</v>
      </c>
      <c r="N2856" s="23"/>
      <c r="O2856" s="17"/>
      <c r="P2856" s="17"/>
      <c r="Q2856" s="17"/>
      <c r="R2856" s="17"/>
      <c r="S2856" s="17"/>
      <c r="T2856" s="17"/>
    </row>
    <row r="2857">
      <c r="A2857" s="18">
        <v>2507.0</v>
      </c>
      <c r="B2857" s="12" t="s">
        <v>13</v>
      </c>
      <c r="C2857" s="12" t="s">
        <v>14</v>
      </c>
      <c r="D2857" s="20" t="s">
        <v>22</v>
      </c>
      <c r="E2857" s="12" t="str">
        <f>IFERROR(__xludf.DUMMYFUNCTION("FILTER(colegios!$B$2:$B5618,colegios!$A$2:$A5618=L2857)"),"601331")</f>
        <v>601331</v>
      </c>
      <c r="F2857" s="14" t="s">
        <v>16</v>
      </c>
      <c r="G2857" s="20" t="s">
        <v>17</v>
      </c>
      <c r="H2857" s="14" t="s">
        <v>18</v>
      </c>
      <c r="I2857" s="15">
        <v>2022.0</v>
      </c>
      <c r="J2857" s="16" t="str">
        <f>IFERROR(__xludf.DUMMYFUNCTION("FILTER('CLASFICACIÓN'!$F$3:$F5618,'CLASFICACIÓN'!$G$3:$G5618=M2857)"),"LOS 3 AÑOS")</f>
        <v>LOS 3 AÑOS</v>
      </c>
      <c r="K2857" s="16" t="str">
        <f t="array" ref="K2857">IFERROR(DGET('PADD-R'!$B$1:$K5618,'PADD-R'!$K$1,{'PADD-R'!$B$1;E2857}),"NO PARTICIPÓ")</f>
        <v>SOLO 2023</v>
      </c>
      <c r="L2857" s="14" t="s">
        <v>136</v>
      </c>
      <c r="M2857" s="16" t="str">
        <f t="shared" si="1"/>
        <v>6013316 Primaria</v>
      </c>
      <c r="N2857" s="23"/>
      <c r="O2857" s="17"/>
      <c r="P2857" s="17"/>
      <c r="Q2857" s="17"/>
      <c r="R2857" s="17"/>
      <c r="S2857" s="17"/>
      <c r="T2857" s="17"/>
    </row>
    <row r="2858">
      <c r="A2858" s="18">
        <v>2508.0</v>
      </c>
      <c r="B2858" s="12" t="s">
        <v>13</v>
      </c>
      <c r="C2858" s="12" t="s">
        <v>14</v>
      </c>
      <c r="D2858" s="20" t="s">
        <v>22</v>
      </c>
      <c r="E2858" s="12" t="str">
        <f>IFERROR(__xludf.DUMMYFUNCTION("FILTER(colegios!$B$2:$B5618,colegios!$A$2:$A5618=L2858)"),"601331")</f>
        <v>601331</v>
      </c>
      <c r="F2858" s="14" t="s">
        <v>16</v>
      </c>
      <c r="G2858" s="20" t="s">
        <v>17</v>
      </c>
      <c r="H2858" s="14" t="s">
        <v>18</v>
      </c>
      <c r="I2858" s="15">
        <v>2022.0</v>
      </c>
      <c r="J2858" s="16" t="str">
        <f>IFERROR(__xludf.DUMMYFUNCTION("FILTER('CLASFICACIÓN'!$F$3:$F5618,'CLASFICACIÓN'!$G$3:$G5618=M2858)"),"LOS 3 AÑOS")</f>
        <v>LOS 3 AÑOS</v>
      </c>
      <c r="K2858" s="16" t="str">
        <f t="array" ref="K2858">IFERROR(DGET('PADD-R'!$B$1:$K5618,'PADD-R'!$K$1,{'PADD-R'!$B$1;E2858}),"NO PARTICIPÓ")</f>
        <v>SOLO 2023</v>
      </c>
      <c r="L2858" s="14" t="s">
        <v>136</v>
      </c>
      <c r="M2858" s="16" t="str">
        <f t="shared" si="1"/>
        <v>6013316 Primaria</v>
      </c>
      <c r="N2858" s="23"/>
      <c r="O2858" s="17"/>
      <c r="P2858" s="17"/>
      <c r="Q2858" s="17"/>
      <c r="R2858" s="17"/>
      <c r="S2858" s="17"/>
      <c r="T2858" s="17"/>
    </row>
    <row r="2859">
      <c r="A2859" s="18">
        <v>2515.0</v>
      </c>
      <c r="B2859" s="12" t="s">
        <v>13</v>
      </c>
      <c r="C2859" s="12" t="s">
        <v>14</v>
      </c>
      <c r="D2859" s="20" t="s">
        <v>15</v>
      </c>
      <c r="E2859" s="12" t="str">
        <f>IFERROR(__xludf.DUMMYFUNCTION("FILTER(colegios!$B$2:$B5618,colegios!$A$2:$A5618=L2859)"),"601448")</f>
        <v>601448</v>
      </c>
      <c r="F2859" s="14" t="s">
        <v>16</v>
      </c>
      <c r="G2859" s="20" t="s">
        <v>17</v>
      </c>
      <c r="H2859" s="14" t="s">
        <v>18</v>
      </c>
      <c r="I2859" s="15">
        <v>2022.0</v>
      </c>
      <c r="J2859" s="16" t="str">
        <f>IFERROR(__xludf.DUMMYFUNCTION("FILTER('CLASFICACIÓN'!$F$3:$F5618,'CLASFICACIÓN'!$G$3:$G5618=M2859)"),"LOS 3 AÑOS")</f>
        <v>LOS 3 AÑOS</v>
      </c>
      <c r="K2859" s="16" t="str">
        <f t="array" ref="K2859">IFERROR(DGET('PADD-R'!$B$1:$K5618,'PADD-R'!$K$1,{'PADD-R'!$B$1;E2859}),"NO PARTICIPÓ")</f>
        <v>PADD 2023 Y 2024</v>
      </c>
      <c r="L2859" s="14" t="s">
        <v>131</v>
      </c>
      <c r="M2859" s="16" t="str">
        <f t="shared" si="1"/>
        <v>6014482 Primaria</v>
      </c>
      <c r="N2859" s="23"/>
      <c r="O2859" s="17"/>
      <c r="P2859" s="17"/>
      <c r="Q2859" s="17"/>
      <c r="R2859" s="17"/>
      <c r="S2859" s="17"/>
      <c r="T2859" s="17"/>
    </row>
    <row r="2860">
      <c r="A2860" s="18">
        <v>2516.0</v>
      </c>
      <c r="B2860" s="12" t="s">
        <v>13</v>
      </c>
      <c r="C2860" s="12" t="s">
        <v>14</v>
      </c>
      <c r="D2860" s="20" t="s">
        <v>15</v>
      </c>
      <c r="E2860" s="12" t="str">
        <f>IFERROR(__xludf.DUMMYFUNCTION("FILTER(colegios!$B$2:$B5618,colegios!$A$2:$A5618=L2860)"),"601448")</f>
        <v>601448</v>
      </c>
      <c r="F2860" s="14" t="s">
        <v>16</v>
      </c>
      <c r="G2860" s="20" t="s">
        <v>17</v>
      </c>
      <c r="H2860" s="14" t="s">
        <v>18</v>
      </c>
      <c r="I2860" s="15">
        <v>2022.0</v>
      </c>
      <c r="J2860" s="16" t="str">
        <f>IFERROR(__xludf.DUMMYFUNCTION("FILTER('CLASFICACIÓN'!$F$3:$F5618,'CLASFICACIÓN'!$G$3:$G5618=M2860)"),"LOS 3 AÑOS")</f>
        <v>LOS 3 AÑOS</v>
      </c>
      <c r="K2860" s="16" t="str">
        <f t="array" ref="K2860">IFERROR(DGET('PADD-R'!$B$1:$K5618,'PADD-R'!$K$1,{'PADD-R'!$B$1;E2860}),"NO PARTICIPÓ")</f>
        <v>PADD 2023 Y 2024</v>
      </c>
      <c r="L2860" s="14" t="s">
        <v>131</v>
      </c>
      <c r="M2860" s="16" t="str">
        <f t="shared" si="1"/>
        <v>6014482 Primaria</v>
      </c>
      <c r="N2860" s="23"/>
      <c r="O2860" s="17"/>
      <c r="P2860" s="17"/>
      <c r="Q2860" s="17"/>
      <c r="R2860" s="17"/>
      <c r="S2860" s="17"/>
      <c r="T2860" s="17"/>
    </row>
    <row r="2861">
      <c r="A2861" s="18">
        <v>2517.0</v>
      </c>
      <c r="B2861" s="12" t="s">
        <v>13</v>
      </c>
      <c r="C2861" s="12" t="s">
        <v>14</v>
      </c>
      <c r="D2861" s="20" t="s">
        <v>20</v>
      </c>
      <c r="E2861" s="12" t="str">
        <f>IFERROR(__xludf.DUMMYFUNCTION("FILTER(colegios!$B$2:$B5618,colegios!$A$2:$A5618=L2861)"),"601448")</f>
        <v>601448</v>
      </c>
      <c r="F2861" s="14" t="s">
        <v>16</v>
      </c>
      <c r="G2861" s="20" t="s">
        <v>17</v>
      </c>
      <c r="H2861" s="14" t="s">
        <v>18</v>
      </c>
      <c r="I2861" s="15">
        <v>2022.0</v>
      </c>
      <c r="J2861" s="16" t="str">
        <f>IFERROR(__xludf.DUMMYFUNCTION("FILTER('CLASFICACIÓN'!$F$3:$F5618,'CLASFICACIÓN'!$G$3:$G5618=M2861)"),"LOS 3 AÑOS")</f>
        <v>LOS 3 AÑOS</v>
      </c>
      <c r="K2861" s="16" t="str">
        <f t="array" ref="K2861">IFERROR(DGET('PADD-R'!$B$1:$K5618,'PADD-R'!$K$1,{'PADD-R'!$B$1;E2861}),"NO PARTICIPÓ")</f>
        <v>PADD 2023 Y 2024</v>
      </c>
      <c r="L2861" s="14" t="s">
        <v>131</v>
      </c>
      <c r="M2861" s="16" t="str">
        <f t="shared" si="1"/>
        <v>6014484 Primaria</v>
      </c>
      <c r="N2861" s="23"/>
      <c r="O2861" s="17"/>
      <c r="P2861" s="17"/>
      <c r="Q2861" s="17"/>
      <c r="R2861" s="17"/>
      <c r="S2861" s="17"/>
      <c r="T2861" s="17"/>
    </row>
    <row r="2862">
      <c r="A2862" s="18">
        <v>2518.0</v>
      </c>
      <c r="B2862" s="12" t="s">
        <v>13</v>
      </c>
      <c r="C2862" s="12" t="s">
        <v>14</v>
      </c>
      <c r="D2862" s="20" t="s">
        <v>20</v>
      </c>
      <c r="E2862" s="12" t="str">
        <f>IFERROR(__xludf.DUMMYFUNCTION("FILTER(colegios!$B$2:$B5618,colegios!$A$2:$A5618=L2862)"),"601448")</f>
        <v>601448</v>
      </c>
      <c r="F2862" s="14" t="s">
        <v>16</v>
      </c>
      <c r="G2862" s="20" t="s">
        <v>17</v>
      </c>
      <c r="H2862" s="14" t="s">
        <v>18</v>
      </c>
      <c r="I2862" s="15">
        <v>2022.0</v>
      </c>
      <c r="J2862" s="16" t="str">
        <f>IFERROR(__xludf.DUMMYFUNCTION("FILTER('CLASFICACIÓN'!$F$3:$F5618,'CLASFICACIÓN'!$G$3:$G5618=M2862)"),"LOS 3 AÑOS")</f>
        <v>LOS 3 AÑOS</v>
      </c>
      <c r="K2862" s="16" t="str">
        <f t="array" ref="K2862">IFERROR(DGET('PADD-R'!$B$1:$K5618,'PADD-R'!$K$1,{'PADD-R'!$B$1;E2862}),"NO PARTICIPÓ")</f>
        <v>PADD 2023 Y 2024</v>
      </c>
      <c r="L2862" s="14" t="s">
        <v>131</v>
      </c>
      <c r="M2862" s="16" t="str">
        <f t="shared" si="1"/>
        <v>6014484 Primaria</v>
      </c>
      <c r="N2862" s="23"/>
      <c r="O2862" s="17"/>
      <c r="P2862" s="17"/>
      <c r="Q2862" s="17"/>
      <c r="R2862" s="17"/>
      <c r="S2862" s="17"/>
      <c r="T2862" s="17"/>
    </row>
    <row r="2863">
      <c r="A2863" s="18">
        <v>2519.0</v>
      </c>
      <c r="B2863" s="12" t="s">
        <v>13</v>
      </c>
      <c r="C2863" s="12" t="s">
        <v>14</v>
      </c>
      <c r="D2863" s="20" t="s">
        <v>20</v>
      </c>
      <c r="E2863" s="12" t="str">
        <f>IFERROR(__xludf.DUMMYFUNCTION("FILTER(colegios!$B$2:$B5618,colegios!$A$2:$A5618=L2863)"),"601448")</f>
        <v>601448</v>
      </c>
      <c r="F2863" s="14" t="s">
        <v>16</v>
      </c>
      <c r="G2863" s="20" t="s">
        <v>21</v>
      </c>
      <c r="H2863" s="14" t="s">
        <v>18</v>
      </c>
      <c r="I2863" s="15">
        <v>2022.0</v>
      </c>
      <c r="J2863" s="16" t="str">
        <f>IFERROR(__xludf.DUMMYFUNCTION("FILTER('CLASFICACIÓN'!$F$3:$F5618,'CLASFICACIÓN'!$G$3:$G5618=M2863)"),"LOS 3 AÑOS")</f>
        <v>LOS 3 AÑOS</v>
      </c>
      <c r="K2863" s="16" t="str">
        <f t="array" ref="K2863">IFERROR(DGET('PADD-R'!$B$1:$K5618,'PADD-R'!$K$1,{'PADD-R'!$B$1;E2863}),"NO PARTICIPÓ")</f>
        <v>PADD 2023 Y 2024</v>
      </c>
      <c r="L2863" s="14" t="s">
        <v>131</v>
      </c>
      <c r="M2863" s="16" t="str">
        <f t="shared" si="1"/>
        <v>6014484 Primaria</v>
      </c>
      <c r="N2863" s="23"/>
      <c r="O2863" s="17"/>
      <c r="P2863" s="17"/>
      <c r="Q2863" s="17"/>
      <c r="R2863" s="17"/>
      <c r="S2863" s="17"/>
      <c r="T2863" s="17"/>
    </row>
    <row r="2864">
      <c r="A2864" s="18">
        <v>2520.0</v>
      </c>
      <c r="B2864" s="12" t="s">
        <v>13</v>
      </c>
      <c r="C2864" s="12" t="s">
        <v>14</v>
      </c>
      <c r="D2864" s="20" t="s">
        <v>20</v>
      </c>
      <c r="E2864" s="12" t="str">
        <f>IFERROR(__xludf.DUMMYFUNCTION("FILTER(colegios!$B$2:$B5618,colegios!$A$2:$A5618=L2864)"),"601448")</f>
        <v>601448</v>
      </c>
      <c r="F2864" s="14" t="s">
        <v>16</v>
      </c>
      <c r="G2864" s="20" t="s">
        <v>17</v>
      </c>
      <c r="H2864" s="14" t="s">
        <v>18</v>
      </c>
      <c r="I2864" s="15">
        <v>2022.0</v>
      </c>
      <c r="J2864" s="16" t="str">
        <f>IFERROR(__xludf.DUMMYFUNCTION("FILTER('CLASFICACIÓN'!$F$3:$F5618,'CLASFICACIÓN'!$G$3:$G5618=M2864)"),"LOS 3 AÑOS")</f>
        <v>LOS 3 AÑOS</v>
      </c>
      <c r="K2864" s="16" t="str">
        <f t="array" ref="K2864">IFERROR(DGET('PADD-R'!$B$1:$K5618,'PADD-R'!$K$1,{'PADD-R'!$B$1;E2864}),"NO PARTICIPÓ")</f>
        <v>PADD 2023 Y 2024</v>
      </c>
      <c r="L2864" s="14" t="s">
        <v>131</v>
      </c>
      <c r="M2864" s="16" t="str">
        <f t="shared" si="1"/>
        <v>6014484 Primaria</v>
      </c>
      <c r="N2864" s="23"/>
      <c r="O2864" s="17"/>
      <c r="P2864" s="17"/>
      <c r="Q2864" s="17"/>
      <c r="R2864" s="17"/>
      <c r="S2864" s="17"/>
      <c r="T2864" s="17"/>
    </row>
    <row r="2865">
      <c r="A2865" s="18">
        <v>2521.0</v>
      </c>
      <c r="B2865" s="12" t="s">
        <v>13</v>
      </c>
      <c r="C2865" s="12" t="s">
        <v>14</v>
      </c>
      <c r="D2865" s="20" t="s">
        <v>20</v>
      </c>
      <c r="E2865" s="12" t="str">
        <f>IFERROR(__xludf.DUMMYFUNCTION("FILTER(colegios!$B$2:$B5618,colegios!$A$2:$A5618=L2865)"),"601448")</f>
        <v>601448</v>
      </c>
      <c r="F2865" s="14" t="s">
        <v>16</v>
      </c>
      <c r="G2865" s="20" t="s">
        <v>17</v>
      </c>
      <c r="H2865" s="14" t="s">
        <v>24</v>
      </c>
      <c r="I2865" s="15">
        <v>2022.0</v>
      </c>
      <c r="J2865" s="16" t="str">
        <f>IFERROR(__xludf.DUMMYFUNCTION("FILTER('CLASFICACIÓN'!$F$3:$F5618,'CLASFICACIÓN'!$G$3:$G5618=M2865)"),"LOS 3 AÑOS")</f>
        <v>LOS 3 AÑOS</v>
      </c>
      <c r="K2865" s="16" t="str">
        <f t="array" ref="K2865">IFERROR(DGET('PADD-R'!$B$1:$K5618,'PADD-R'!$K$1,{'PADD-R'!$B$1;E2865}),"NO PARTICIPÓ")</f>
        <v>PADD 2023 Y 2024</v>
      </c>
      <c r="L2865" s="14" t="s">
        <v>131</v>
      </c>
      <c r="M2865" s="16" t="str">
        <f t="shared" si="1"/>
        <v>6014484 Primaria</v>
      </c>
      <c r="N2865" s="23"/>
      <c r="O2865" s="17"/>
      <c r="P2865" s="17"/>
      <c r="Q2865" s="17"/>
      <c r="R2865" s="17"/>
      <c r="S2865" s="17"/>
      <c r="T2865" s="17"/>
    </row>
    <row r="2866">
      <c r="A2866" s="18">
        <v>2522.0</v>
      </c>
      <c r="B2866" s="12" t="s">
        <v>13</v>
      </c>
      <c r="C2866" s="12" t="s">
        <v>14</v>
      </c>
      <c r="D2866" s="20" t="s">
        <v>20</v>
      </c>
      <c r="E2866" s="12" t="str">
        <f>IFERROR(__xludf.DUMMYFUNCTION("FILTER(colegios!$B$2:$B5618,colegios!$A$2:$A5618=L2866)"),"601448")</f>
        <v>601448</v>
      </c>
      <c r="F2866" s="14" t="s">
        <v>16</v>
      </c>
      <c r="G2866" s="20" t="s">
        <v>21</v>
      </c>
      <c r="H2866" s="14" t="s">
        <v>18</v>
      </c>
      <c r="I2866" s="15">
        <v>2022.0</v>
      </c>
      <c r="J2866" s="16" t="str">
        <f>IFERROR(__xludf.DUMMYFUNCTION("FILTER('CLASFICACIÓN'!$F$3:$F5618,'CLASFICACIÓN'!$G$3:$G5618=M2866)"),"LOS 3 AÑOS")</f>
        <v>LOS 3 AÑOS</v>
      </c>
      <c r="K2866" s="16" t="str">
        <f t="array" ref="K2866">IFERROR(DGET('PADD-R'!$B$1:$K5618,'PADD-R'!$K$1,{'PADD-R'!$B$1;E2866}),"NO PARTICIPÓ")</f>
        <v>PADD 2023 Y 2024</v>
      </c>
      <c r="L2866" s="14" t="s">
        <v>131</v>
      </c>
      <c r="M2866" s="16" t="str">
        <f t="shared" si="1"/>
        <v>6014484 Primaria</v>
      </c>
      <c r="N2866" s="23"/>
      <c r="O2866" s="17"/>
      <c r="P2866" s="17"/>
      <c r="Q2866" s="17"/>
      <c r="R2866" s="17"/>
      <c r="S2866" s="17"/>
      <c r="T2866" s="17"/>
    </row>
    <row r="2867">
      <c r="A2867" s="18">
        <v>2523.0</v>
      </c>
      <c r="B2867" s="12" t="s">
        <v>13</v>
      </c>
      <c r="C2867" s="12" t="s">
        <v>14</v>
      </c>
      <c r="D2867" s="20" t="s">
        <v>20</v>
      </c>
      <c r="E2867" s="12" t="str">
        <f>IFERROR(__xludf.DUMMYFUNCTION("FILTER(colegios!$B$2:$B5618,colegios!$A$2:$A5618=L2867)"),"601448")</f>
        <v>601448</v>
      </c>
      <c r="F2867" s="14" t="s">
        <v>16</v>
      </c>
      <c r="G2867" s="20" t="s">
        <v>17</v>
      </c>
      <c r="H2867" s="14" t="s">
        <v>18</v>
      </c>
      <c r="I2867" s="15">
        <v>2022.0</v>
      </c>
      <c r="J2867" s="16" t="str">
        <f>IFERROR(__xludf.DUMMYFUNCTION("FILTER('CLASFICACIÓN'!$F$3:$F5618,'CLASFICACIÓN'!$G$3:$G5618=M2867)"),"LOS 3 AÑOS")</f>
        <v>LOS 3 AÑOS</v>
      </c>
      <c r="K2867" s="16" t="str">
        <f t="array" ref="K2867">IFERROR(DGET('PADD-R'!$B$1:$K5618,'PADD-R'!$K$1,{'PADD-R'!$B$1;E2867}),"NO PARTICIPÓ")</f>
        <v>PADD 2023 Y 2024</v>
      </c>
      <c r="L2867" s="14" t="s">
        <v>131</v>
      </c>
      <c r="M2867" s="16" t="str">
        <f t="shared" si="1"/>
        <v>6014484 Primaria</v>
      </c>
      <c r="N2867" s="23"/>
      <c r="O2867" s="17"/>
      <c r="P2867" s="17"/>
      <c r="Q2867" s="17"/>
      <c r="R2867" s="17"/>
      <c r="S2867" s="17"/>
      <c r="T2867" s="17"/>
    </row>
    <row r="2868">
      <c r="A2868" s="18">
        <v>2524.0</v>
      </c>
      <c r="B2868" s="12" t="s">
        <v>13</v>
      </c>
      <c r="C2868" s="12" t="s">
        <v>14</v>
      </c>
      <c r="D2868" s="20" t="s">
        <v>20</v>
      </c>
      <c r="E2868" s="12" t="str">
        <f>IFERROR(__xludf.DUMMYFUNCTION("FILTER(colegios!$B$2:$B5618,colegios!$A$2:$A5618=L2868)"),"601448")</f>
        <v>601448</v>
      </c>
      <c r="F2868" s="14" t="s">
        <v>16</v>
      </c>
      <c r="G2868" s="20" t="s">
        <v>21</v>
      </c>
      <c r="H2868" s="14" t="s">
        <v>18</v>
      </c>
      <c r="I2868" s="15">
        <v>2022.0</v>
      </c>
      <c r="J2868" s="16" t="str">
        <f>IFERROR(__xludf.DUMMYFUNCTION("FILTER('CLASFICACIÓN'!$F$3:$F5618,'CLASFICACIÓN'!$G$3:$G5618=M2868)"),"LOS 3 AÑOS")</f>
        <v>LOS 3 AÑOS</v>
      </c>
      <c r="K2868" s="16" t="str">
        <f t="array" ref="K2868">IFERROR(DGET('PADD-R'!$B$1:$K5618,'PADD-R'!$K$1,{'PADD-R'!$B$1;E2868}),"NO PARTICIPÓ")</f>
        <v>PADD 2023 Y 2024</v>
      </c>
      <c r="L2868" s="14" t="s">
        <v>131</v>
      </c>
      <c r="M2868" s="16" t="str">
        <f t="shared" si="1"/>
        <v>6014484 Primaria</v>
      </c>
      <c r="N2868" s="23"/>
      <c r="O2868" s="17"/>
      <c r="P2868" s="17"/>
      <c r="Q2868" s="17"/>
      <c r="R2868" s="17"/>
      <c r="S2868" s="17"/>
      <c r="T2868" s="17"/>
    </row>
    <row r="2869">
      <c r="A2869" s="18">
        <v>2525.0</v>
      </c>
      <c r="B2869" s="12" t="s">
        <v>13</v>
      </c>
      <c r="C2869" s="12" t="s">
        <v>14</v>
      </c>
      <c r="D2869" s="20" t="s">
        <v>20</v>
      </c>
      <c r="E2869" s="12" t="str">
        <f>IFERROR(__xludf.DUMMYFUNCTION("FILTER(colegios!$B$2:$B5618,colegios!$A$2:$A5618=L2869)"),"601448")</f>
        <v>601448</v>
      </c>
      <c r="F2869" s="14" t="s">
        <v>16</v>
      </c>
      <c r="G2869" s="20" t="s">
        <v>21</v>
      </c>
      <c r="H2869" s="14" t="s">
        <v>18</v>
      </c>
      <c r="I2869" s="15">
        <v>2022.0</v>
      </c>
      <c r="J2869" s="16" t="str">
        <f>IFERROR(__xludf.DUMMYFUNCTION("FILTER('CLASFICACIÓN'!$F$3:$F5618,'CLASFICACIÓN'!$G$3:$G5618=M2869)"),"LOS 3 AÑOS")</f>
        <v>LOS 3 AÑOS</v>
      </c>
      <c r="K2869" s="16" t="str">
        <f t="array" ref="K2869">IFERROR(DGET('PADD-R'!$B$1:$K5618,'PADD-R'!$K$1,{'PADD-R'!$B$1;E2869}),"NO PARTICIPÓ")</f>
        <v>PADD 2023 Y 2024</v>
      </c>
      <c r="L2869" s="14" t="s">
        <v>131</v>
      </c>
      <c r="M2869" s="16" t="str">
        <f t="shared" si="1"/>
        <v>6014484 Primaria</v>
      </c>
      <c r="N2869" s="23"/>
      <c r="O2869" s="17"/>
      <c r="P2869" s="17"/>
      <c r="Q2869" s="17"/>
      <c r="R2869" s="17"/>
      <c r="S2869" s="17"/>
      <c r="T2869" s="17"/>
    </row>
    <row r="2870">
      <c r="A2870" s="18">
        <v>2526.0</v>
      </c>
      <c r="B2870" s="12" t="s">
        <v>13</v>
      </c>
      <c r="C2870" s="12" t="s">
        <v>14</v>
      </c>
      <c r="D2870" s="20" t="s">
        <v>20</v>
      </c>
      <c r="E2870" s="12" t="str">
        <f>IFERROR(__xludf.DUMMYFUNCTION("FILTER(colegios!$B$2:$B5618,colegios!$A$2:$A5618=L2870)"),"601448")</f>
        <v>601448</v>
      </c>
      <c r="F2870" s="14" t="s">
        <v>16</v>
      </c>
      <c r="G2870" s="20" t="s">
        <v>17</v>
      </c>
      <c r="H2870" s="14" t="s">
        <v>18</v>
      </c>
      <c r="I2870" s="15">
        <v>2022.0</v>
      </c>
      <c r="J2870" s="16" t="str">
        <f>IFERROR(__xludf.DUMMYFUNCTION("FILTER('CLASFICACIÓN'!$F$3:$F5618,'CLASFICACIÓN'!$G$3:$G5618=M2870)"),"LOS 3 AÑOS")</f>
        <v>LOS 3 AÑOS</v>
      </c>
      <c r="K2870" s="16" t="str">
        <f t="array" ref="K2870">IFERROR(DGET('PADD-R'!$B$1:$K5618,'PADD-R'!$K$1,{'PADD-R'!$B$1;E2870}),"NO PARTICIPÓ")</f>
        <v>PADD 2023 Y 2024</v>
      </c>
      <c r="L2870" s="14" t="s">
        <v>131</v>
      </c>
      <c r="M2870" s="16" t="str">
        <f t="shared" si="1"/>
        <v>6014484 Primaria</v>
      </c>
      <c r="N2870" s="23"/>
      <c r="O2870" s="17"/>
      <c r="P2870" s="17"/>
      <c r="Q2870" s="17"/>
      <c r="R2870" s="17"/>
      <c r="S2870" s="17"/>
      <c r="T2870" s="17"/>
    </row>
    <row r="2871">
      <c r="A2871" s="18">
        <v>2527.0</v>
      </c>
      <c r="B2871" s="12" t="s">
        <v>13</v>
      </c>
      <c r="C2871" s="12" t="s">
        <v>14</v>
      </c>
      <c r="D2871" s="20" t="s">
        <v>22</v>
      </c>
      <c r="E2871" s="12" t="str">
        <f>IFERROR(__xludf.DUMMYFUNCTION("FILTER(colegios!$B$2:$B5618,colegios!$A$2:$A5618=L2871)"),"601448")</f>
        <v>601448</v>
      </c>
      <c r="F2871" s="14" t="s">
        <v>16</v>
      </c>
      <c r="G2871" s="20" t="s">
        <v>21</v>
      </c>
      <c r="H2871" s="14" t="s">
        <v>18</v>
      </c>
      <c r="I2871" s="15">
        <v>2022.0</v>
      </c>
      <c r="J2871" s="16" t="str">
        <f>IFERROR(__xludf.DUMMYFUNCTION("FILTER('CLASFICACIÓN'!$F$3:$F5618,'CLASFICACIÓN'!$G$3:$G5618=M2871)"),"LOS 3 AÑOS")</f>
        <v>LOS 3 AÑOS</v>
      </c>
      <c r="K2871" s="16" t="str">
        <f t="array" ref="K2871">IFERROR(DGET('PADD-R'!$B$1:$K5618,'PADD-R'!$K$1,{'PADD-R'!$B$1;E2871}),"NO PARTICIPÓ")</f>
        <v>PADD 2023 Y 2024</v>
      </c>
      <c r="L2871" s="14" t="s">
        <v>131</v>
      </c>
      <c r="M2871" s="16" t="str">
        <f t="shared" si="1"/>
        <v>6014486 Primaria</v>
      </c>
      <c r="N2871" s="23"/>
      <c r="O2871" s="17"/>
      <c r="P2871" s="17"/>
      <c r="Q2871" s="17"/>
      <c r="R2871" s="17"/>
      <c r="S2871" s="17"/>
      <c r="T2871" s="17"/>
    </row>
    <row r="2872">
      <c r="A2872" s="18">
        <v>2528.0</v>
      </c>
      <c r="B2872" s="12" t="s">
        <v>13</v>
      </c>
      <c r="C2872" s="12" t="s">
        <v>14</v>
      </c>
      <c r="D2872" s="20" t="s">
        <v>22</v>
      </c>
      <c r="E2872" s="12" t="str">
        <f>IFERROR(__xludf.DUMMYFUNCTION("FILTER(colegios!$B$2:$B5618,colegios!$A$2:$A5618=L2872)"),"601448")</f>
        <v>601448</v>
      </c>
      <c r="F2872" s="14" t="s">
        <v>16</v>
      </c>
      <c r="G2872" s="20" t="s">
        <v>17</v>
      </c>
      <c r="H2872" s="14" t="s">
        <v>18</v>
      </c>
      <c r="I2872" s="15">
        <v>2022.0</v>
      </c>
      <c r="J2872" s="16" t="str">
        <f>IFERROR(__xludf.DUMMYFUNCTION("FILTER('CLASFICACIÓN'!$F$3:$F5618,'CLASFICACIÓN'!$G$3:$G5618=M2872)"),"LOS 3 AÑOS")</f>
        <v>LOS 3 AÑOS</v>
      </c>
      <c r="K2872" s="16" t="str">
        <f t="array" ref="K2872">IFERROR(DGET('PADD-R'!$B$1:$K5618,'PADD-R'!$K$1,{'PADD-R'!$B$1;E2872}),"NO PARTICIPÓ")</f>
        <v>PADD 2023 Y 2024</v>
      </c>
      <c r="L2872" s="14" t="s">
        <v>131</v>
      </c>
      <c r="M2872" s="16" t="str">
        <f t="shared" si="1"/>
        <v>6014486 Primaria</v>
      </c>
      <c r="N2872" s="23"/>
      <c r="O2872" s="17"/>
      <c r="P2872" s="17"/>
      <c r="Q2872" s="17"/>
      <c r="R2872" s="17"/>
      <c r="S2872" s="17"/>
      <c r="T2872" s="17"/>
    </row>
    <row r="2873">
      <c r="A2873" s="18">
        <v>2529.0</v>
      </c>
      <c r="B2873" s="12" t="s">
        <v>13</v>
      </c>
      <c r="C2873" s="12" t="s">
        <v>14</v>
      </c>
      <c r="D2873" s="20" t="s">
        <v>22</v>
      </c>
      <c r="E2873" s="12" t="str">
        <f>IFERROR(__xludf.DUMMYFUNCTION("FILTER(colegios!$B$2:$B5618,colegios!$A$2:$A5618=L2873)"),"601448")</f>
        <v>601448</v>
      </c>
      <c r="F2873" s="14" t="s">
        <v>16</v>
      </c>
      <c r="G2873" s="20" t="s">
        <v>17</v>
      </c>
      <c r="H2873" s="14" t="s">
        <v>18</v>
      </c>
      <c r="I2873" s="15">
        <v>2022.0</v>
      </c>
      <c r="J2873" s="16" t="str">
        <f>IFERROR(__xludf.DUMMYFUNCTION("FILTER('CLASFICACIÓN'!$F$3:$F5618,'CLASFICACIÓN'!$G$3:$G5618=M2873)"),"LOS 3 AÑOS")</f>
        <v>LOS 3 AÑOS</v>
      </c>
      <c r="K2873" s="16" t="str">
        <f t="array" ref="K2873">IFERROR(DGET('PADD-R'!$B$1:$K5618,'PADD-R'!$K$1,{'PADD-R'!$B$1;E2873}),"NO PARTICIPÓ")</f>
        <v>PADD 2023 Y 2024</v>
      </c>
      <c r="L2873" s="14" t="s">
        <v>131</v>
      </c>
      <c r="M2873" s="16" t="str">
        <f t="shared" si="1"/>
        <v>6014486 Primaria</v>
      </c>
      <c r="N2873" s="23"/>
      <c r="O2873" s="17"/>
      <c r="P2873" s="17"/>
      <c r="Q2873" s="17"/>
      <c r="R2873" s="17"/>
      <c r="S2873" s="17"/>
      <c r="T2873" s="17"/>
    </row>
    <row r="2874">
      <c r="A2874" s="18">
        <v>2530.0</v>
      </c>
      <c r="B2874" s="12" t="s">
        <v>13</v>
      </c>
      <c r="C2874" s="12" t="s">
        <v>14</v>
      </c>
      <c r="D2874" s="20" t="s">
        <v>22</v>
      </c>
      <c r="E2874" s="12" t="str">
        <f>IFERROR(__xludf.DUMMYFUNCTION("FILTER(colegios!$B$2:$B5618,colegios!$A$2:$A5618=L2874)"),"601448")</f>
        <v>601448</v>
      </c>
      <c r="F2874" s="14" t="s">
        <v>16</v>
      </c>
      <c r="G2874" s="20" t="s">
        <v>17</v>
      </c>
      <c r="H2874" s="14" t="s">
        <v>24</v>
      </c>
      <c r="I2874" s="15">
        <v>2022.0</v>
      </c>
      <c r="J2874" s="16" t="str">
        <f>IFERROR(__xludf.DUMMYFUNCTION("FILTER('CLASFICACIÓN'!$F$3:$F5618,'CLASFICACIÓN'!$G$3:$G5618=M2874)"),"LOS 3 AÑOS")</f>
        <v>LOS 3 AÑOS</v>
      </c>
      <c r="K2874" s="16" t="str">
        <f t="array" ref="K2874">IFERROR(DGET('PADD-R'!$B$1:$K5618,'PADD-R'!$K$1,{'PADD-R'!$B$1;E2874}),"NO PARTICIPÓ")</f>
        <v>PADD 2023 Y 2024</v>
      </c>
      <c r="L2874" s="14" t="s">
        <v>131</v>
      </c>
      <c r="M2874" s="16" t="str">
        <f t="shared" si="1"/>
        <v>6014486 Primaria</v>
      </c>
      <c r="N2874" s="23"/>
      <c r="O2874" s="17"/>
      <c r="P2874" s="17"/>
      <c r="Q2874" s="17"/>
      <c r="R2874" s="17"/>
      <c r="S2874" s="17"/>
      <c r="T2874" s="17"/>
    </row>
    <row r="2875">
      <c r="A2875" s="18">
        <v>2531.0</v>
      </c>
      <c r="B2875" s="12" t="s">
        <v>13</v>
      </c>
      <c r="C2875" s="12" t="s">
        <v>14</v>
      </c>
      <c r="D2875" s="20" t="s">
        <v>22</v>
      </c>
      <c r="E2875" s="12" t="str">
        <f>IFERROR(__xludf.DUMMYFUNCTION("FILTER(colegios!$B$2:$B5618,colegios!$A$2:$A5618=L2875)"),"601448")</f>
        <v>601448</v>
      </c>
      <c r="F2875" s="14" t="s">
        <v>16</v>
      </c>
      <c r="G2875" s="20" t="s">
        <v>17</v>
      </c>
      <c r="H2875" s="14" t="s">
        <v>18</v>
      </c>
      <c r="I2875" s="15">
        <v>2022.0</v>
      </c>
      <c r="J2875" s="16" t="str">
        <f>IFERROR(__xludf.DUMMYFUNCTION("FILTER('CLASFICACIÓN'!$F$3:$F5618,'CLASFICACIÓN'!$G$3:$G5618=M2875)"),"LOS 3 AÑOS")</f>
        <v>LOS 3 AÑOS</v>
      </c>
      <c r="K2875" s="16" t="str">
        <f t="array" ref="K2875">IFERROR(DGET('PADD-R'!$B$1:$K5618,'PADD-R'!$K$1,{'PADD-R'!$B$1;E2875}),"NO PARTICIPÓ")</f>
        <v>PADD 2023 Y 2024</v>
      </c>
      <c r="L2875" s="14" t="s">
        <v>131</v>
      </c>
      <c r="M2875" s="16" t="str">
        <f t="shared" si="1"/>
        <v>6014486 Primaria</v>
      </c>
      <c r="N2875" s="23"/>
      <c r="O2875" s="17"/>
      <c r="P2875" s="17"/>
      <c r="Q2875" s="17"/>
      <c r="R2875" s="17"/>
      <c r="S2875" s="17"/>
      <c r="T2875" s="17"/>
    </row>
    <row r="2876">
      <c r="A2876" s="18">
        <v>2532.0</v>
      </c>
      <c r="B2876" s="12" t="s">
        <v>13</v>
      </c>
      <c r="C2876" s="12" t="s">
        <v>14</v>
      </c>
      <c r="D2876" s="20" t="s">
        <v>22</v>
      </c>
      <c r="E2876" s="12" t="str">
        <f>IFERROR(__xludf.DUMMYFUNCTION("FILTER(colegios!$B$2:$B5618,colegios!$A$2:$A5618=L2876)"),"601448")</f>
        <v>601448</v>
      </c>
      <c r="F2876" s="14" t="s">
        <v>16</v>
      </c>
      <c r="G2876" s="20" t="s">
        <v>17</v>
      </c>
      <c r="H2876" s="14" t="s">
        <v>18</v>
      </c>
      <c r="I2876" s="15">
        <v>2022.0</v>
      </c>
      <c r="J2876" s="16" t="str">
        <f>IFERROR(__xludf.DUMMYFUNCTION("FILTER('CLASFICACIÓN'!$F$3:$F5618,'CLASFICACIÓN'!$G$3:$G5618=M2876)"),"LOS 3 AÑOS")</f>
        <v>LOS 3 AÑOS</v>
      </c>
      <c r="K2876" s="16" t="str">
        <f t="array" ref="K2876">IFERROR(DGET('PADD-R'!$B$1:$K5618,'PADD-R'!$K$1,{'PADD-R'!$B$1;E2876}),"NO PARTICIPÓ")</f>
        <v>PADD 2023 Y 2024</v>
      </c>
      <c r="L2876" s="14" t="s">
        <v>131</v>
      </c>
      <c r="M2876" s="16" t="str">
        <f t="shared" si="1"/>
        <v>6014486 Primaria</v>
      </c>
      <c r="N2876" s="23"/>
      <c r="O2876" s="17"/>
      <c r="P2876" s="17"/>
      <c r="Q2876" s="17"/>
      <c r="R2876" s="17"/>
      <c r="S2876" s="17"/>
      <c r="T2876" s="17"/>
    </row>
    <row r="2877">
      <c r="A2877" s="18">
        <v>2533.0</v>
      </c>
      <c r="B2877" s="12" t="s">
        <v>13</v>
      </c>
      <c r="C2877" s="12" t="s">
        <v>14</v>
      </c>
      <c r="D2877" s="20" t="s">
        <v>22</v>
      </c>
      <c r="E2877" s="12" t="str">
        <f>IFERROR(__xludf.DUMMYFUNCTION("FILTER(colegios!$B$2:$B5618,colegios!$A$2:$A5618=L2877)"),"601448")</f>
        <v>601448</v>
      </c>
      <c r="F2877" s="14" t="s">
        <v>16</v>
      </c>
      <c r="G2877" s="20" t="s">
        <v>21</v>
      </c>
      <c r="H2877" s="14" t="s">
        <v>18</v>
      </c>
      <c r="I2877" s="15">
        <v>2022.0</v>
      </c>
      <c r="J2877" s="16" t="str">
        <f>IFERROR(__xludf.DUMMYFUNCTION("FILTER('CLASFICACIÓN'!$F$3:$F5618,'CLASFICACIÓN'!$G$3:$G5618=M2877)"),"LOS 3 AÑOS")</f>
        <v>LOS 3 AÑOS</v>
      </c>
      <c r="K2877" s="16" t="str">
        <f t="array" ref="K2877">IFERROR(DGET('PADD-R'!$B$1:$K5618,'PADD-R'!$K$1,{'PADD-R'!$B$1;E2877}),"NO PARTICIPÓ")</f>
        <v>PADD 2023 Y 2024</v>
      </c>
      <c r="L2877" s="14" t="s">
        <v>131</v>
      </c>
      <c r="M2877" s="16" t="str">
        <f t="shared" si="1"/>
        <v>6014486 Primaria</v>
      </c>
      <c r="N2877" s="23"/>
      <c r="O2877" s="17"/>
      <c r="P2877" s="17"/>
      <c r="Q2877" s="17"/>
      <c r="R2877" s="17"/>
      <c r="S2877" s="17"/>
      <c r="T2877" s="17"/>
    </row>
    <row r="2878">
      <c r="A2878" s="18">
        <v>2539.0</v>
      </c>
      <c r="B2878" s="12" t="s">
        <v>13</v>
      </c>
      <c r="C2878" s="12" t="s">
        <v>14</v>
      </c>
      <c r="D2878" s="20" t="s">
        <v>15</v>
      </c>
      <c r="E2878" s="12" t="str">
        <f>IFERROR(__xludf.DUMMYFUNCTION("FILTER(colegios!$B$2:$B5618,colegios!$A$2:$A5618=L2878)"),"6010230 BARBARA D'ACHILLE")</f>
        <v>6010230 BARBARA D'ACHILLE</v>
      </c>
      <c r="F2878" s="14" t="s">
        <v>16</v>
      </c>
      <c r="G2878" s="20" t="s">
        <v>17</v>
      </c>
      <c r="H2878" s="14" t="s">
        <v>18</v>
      </c>
      <c r="I2878" s="15">
        <v>2022.0</v>
      </c>
      <c r="J2878" s="16" t="str">
        <f>IFERROR(__xludf.DUMMYFUNCTION("FILTER('CLASFICACIÓN'!$F$3:$F5618,'CLASFICACIÓN'!$G$3:$G5618=M2878)"),"LOS 3 AÑOS")</f>
        <v>LOS 3 AÑOS</v>
      </c>
      <c r="K2878" s="16" t="str">
        <f t="array" ref="K2878">IFERROR(DGET('PADD-R'!$B$1:$K5618,'PADD-R'!$K$1,{'PADD-R'!$B$1;E2878}),"NO PARTICIPÓ")</f>
        <v>PADD 2023 Y 2024</v>
      </c>
      <c r="L2878" s="14" t="s">
        <v>137</v>
      </c>
      <c r="M2878" s="16" t="str">
        <f t="shared" si="1"/>
        <v>6010230 BARBARA D'ACHILLE2 Primaria</v>
      </c>
      <c r="N2878" s="23"/>
      <c r="O2878" s="17"/>
      <c r="P2878" s="17"/>
      <c r="Q2878" s="17"/>
      <c r="R2878" s="17"/>
      <c r="S2878" s="17"/>
      <c r="T2878" s="17"/>
    </row>
    <row r="2879">
      <c r="A2879" s="18">
        <v>2540.0</v>
      </c>
      <c r="B2879" s="12" t="s">
        <v>13</v>
      </c>
      <c r="C2879" s="12" t="s">
        <v>14</v>
      </c>
      <c r="D2879" s="20" t="s">
        <v>15</v>
      </c>
      <c r="E2879" s="12" t="str">
        <f>IFERROR(__xludf.DUMMYFUNCTION("FILTER(colegios!$B$2:$B5618,colegios!$A$2:$A5618=L2879)"),"6010230 BARBARA D'ACHILLE")</f>
        <v>6010230 BARBARA D'ACHILLE</v>
      </c>
      <c r="F2879" s="14" t="s">
        <v>16</v>
      </c>
      <c r="G2879" s="20" t="s">
        <v>17</v>
      </c>
      <c r="H2879" s="14" t="s">
        <v>18</v>
      </c>
      <c r="I2879" s="15">
        <v>2022.0</v>
      </c>
      <c r="J2879" s="16" t="str">
        <f>IFERROR(__xludf.DUMMYFUNCTION("FILTER('CLASFICACIÓN'!$F$3:$F5618,'CLASFICACIÓN'!$G$3:$G5618=M2879)"),"LOS 3 AÑOS")</f>
        <v>LOS 3 AÑOS</v>
      </c>
      <c r="K2879" s="16" t="str">
        <f t="array" ref="K2879">IFERROR(DGET('PADD-R'!$B$1:$K5618,'PADD-R'!$K$1,{'PADD-R'!$B$1;E2879}),"NO PARTICIPÓ")</f>
        <v>PADD 2023 Y 2024</v>
      </c>
      <c r="L2879" s="14" t="s">
        <v>137</v>
      </c>
      <c r="M2879" s="16" t="str">
        <f t="shared" si="1"/>
        <v>6010230 BARBARA D'ACHILLE2 Primaria</v>
      </c>
      <c r="N2879" s="23"/>
      <c r="O2879" s="17"/>
      <c r="P2879" s="17"/>
      <c r="Q2879" s="17"/>
      <c r="R2879" s="17"/>
      <c r="S2879" s="17"/>
      <c r="T2879" s="17"/>
    </row>
    <row r="2880">
      <c r="A2880" s="18">
        <v>2541.0</v>
      </c>
      <c r="B2880" s="12" t="s">
        <v>13</v>
      </c>
      <c r="C2880" s="12" t="s">
        <v>14</v>
      </c>
      <c r="D2880" s="20" t="s">
        <v>15</v>
      </c>
      <c r="E2880" s="12" t="str">
        <f>IFERROR(__xludf.DUMMYFUNCTION("FILTER(colegios!$B$2:$B5618,colegios!$A$2:$A5618=L2880)"),"6010230 BARBARA D'ACHILLE")</f>
        <v>6010230 BARBARA D'ACHILLE</v>
      </c>
      <c r="F2880" s="14" t="s">
        <v>16</v>
      </c>
      <c r="G2880" s="20" t="s">
        <v>21</v>
      </c>
      <c r="H2880" s="14" t="s">
        <v>18</v>
      </c>
      <c r="I2880" s="15">
        <v>2022.0</v>
      </c>
      <c r="J2880" s="16" t="str">
        <f>IFERROR(__xludf.DUMMYFUNCTION("FILTER('CLASFICACIÓN'!$F$3:$F5618,'CLASFICACIÓN'!$G$3:$G5618=M2880)"),"LOS 3 AÑOS")</f>
        <v>LOS 3 AÑOS</v>
      </c>
      <c r="K2880" s="16" t="str">
        <f t="array" ref="K2880">IFERROR(DGET('PADD-R'!$B$1:$K5618,'PADD-R'!$K$1,{'PADD-R'!$B$1;E2880}),"NO PARTICIPÓ")</f>
        <v>PADD 2023 Y 2024</v>
      </c>
      <c r="L2880" s="14" t="s">
        <v>137</v>
      </c>
      <c r="M2880" s="16" t="str">
        <f t="shared" si="1"/>
        <v>6010230 BARBARA D'ACHILLE2 Primaria</v>
      </c>
      <c r="N2880" s="23"/>
      <c r="O2880" s="17"/>
      <c r="P2880" s="17"/>
      <c r="Q2880" s="17"/>
      <c r="R2880" s="17"/>
      <c r="S2880" s="17"/>
      <c r="T2880" s="17"/>
    </row>
    <row r="2881">
      <c r="A2881" s="18">
        <v>2542.0</v>
      </c>
      <c r="B2881" s="12" t="s">
        <v>13</v>
      </c>
      <c r="C2881" s="12" t="s">
        <v>14</v>
      </c>
      <c r="D2881" s="20" t="s">
        <v>15</v>
      </c>
      <c r="E2881" s="12" t="str">
        <f>IFERROR(__xludf.DUMMYFUNCTION("FILTER(colegios!$B$2:$B5618,colegios!$A$2:$A5618=L2881)"),"6010230 BARBARA D'ACHILLE")</f>
        <v>6010230 BARBARA D'ACHILLE</v>
      </c>
      <c r="F2881" s="14" t="s">
        <v>16</v>
      </c>
      <c r="G2881" s="20" t="s">
        <v>17</v>
      </c>
      <c r="H2881" s="14" t="s">
        <v>18</v>
      </c>
      <c r="I2881" s="15">
        <v>2022.0</v>
      </c>
      <c r="J2881" s="16" t="str">
        <f>IFERROR(__xludf.DUMMYFUNCTION("FILTER('CLASFICACIÓN'!$F$3:$F5618,'CLASFICACIÓN'!$G$3:$G5618=M2881)"),"LOS 3 AÑOS")</f>
        <v>LOS 3 AÑOS</v>
      </c>
      <c r="K2881" s="16" t="str">
        <f t="array" ref="K2881">IFERROR(DGET('PADD-R'!$B$1:$K5618,'PADD-R'!$K$1,{'PADD-R'!$B$1;E2881}),"NO PARTICIPÓ")</f>
        <v>PADD 2023 Y 2024</v>
      </c>
      <c r="L2881" s="14" t="s">
        <v>137</v>
      </c>
      <c r="M2881" s="16" t="str">
        <f t="shared" si="1"/>
        <v>6010230 BARBARA D'ACHILLE2 Primaria</v>
      </c>
      <c r="N2881" s="23"/>
      <c r="O2881" s="17"/>
      <c r="P2881" s="17"/>
      <c r="Q2881" s="17"/>
      <c r="R2881" s="17"/>
      <c r="S2881" s="17"/>
      <c r="T2881" s="17"/>
    </row>
    <row r="2882">
      <c r="A2882" s="18">
        <v>2543.0</v>
      </c>
      <c r="B2882" s="12" t="s">
        <v>13</v>
      </c>
      <c r="C2882" s="12" t="s">
        <v>14</v>
      </c>
      <c r="D2882" s="20" t="s">
        <v>15</v>
      </c>
      <c r="E2882" s="12" t="str">
        <f>IFERROR(__xludf.DUMMYFUNCTION("FILTER(colegios!$B$2:$B5618,colegios!$A$2:$A5618=L2882)"),"6010230 BARBARA D'ACHILLE")</f>
        <v>6010230 BARBARA D'ACHILLE</v>
      </c>
      <c r="F2882" s="14" t="s">
        <v>16</v>
      </c>
      <c r="G2882" s="20" t="s">
        <v>21</v>
      </c>
      <c r="H2882" s="14" t="s">
        <v>24</v>
      </c>
      <c r="I2882" s="15">
        <v>2022.0</v>
      </c>
      <c r="J2882" s="16" t="str">
        <f>IFERROR(__xludf.DUMMYFUNCTION("FILTER('CLASFICACIÓN'!$F$3:$F5618,'CLASFICACIÓN'!$G$3:$G5618=M2882)"),"LOS 3 AÑOS")</f>
        <v>LOS 3 AÑOS</v>
      </c>
      <c r="K2882" s="16" t="str">
        <f t="array" ref="K2882">IFERROR(DGET('PADD-R'!$B$1:$K5618,'PADD-R'!$K$1,{'PADD-R'!$B$1;E2882}),"NO PARTICIPÓ")</f>
        <v>PADD 2023 Y 2024</v>
      </c>
      <c r="L2882" s="14" t="s">
        <v>137</v>
      </c>
      <c r="M2882" s="16" t="str">
        <f t="shared" si="1"/>
        <v>6010230 BARBARA D'ACHILLE2 Primaria</v>
      </c>
      <c r="N2882" s="23"/>
      <c r="O2882" s="17"/>
      <c r="P2882" s="17"/>
      <c r="Q2882" s="17"/>
      <c r="R2882" s="17"/>
      <c r="S2882" s="17"/>
      <c r="T2882" s="17"/>
    </row>
    <row r="2883">
      <c r="A2883" s="18">
        <v>2544.0</v>
      </c>
      <c r="B2883" s="12" t="s">
        <v>13</v>
      </c>
      <c r="C2883" s="12" t="s">
        <v>27</v>
      </c>
      <c r="D2883" s="20" t="s">
        <v>28</v>
      </c>
      <c r="E2883" s="12" t="str">
        <f>IFERROR(__xludf.DUMMYFUNCTION("FILTER(colegios!$B$2:$B5618,colegios!$A$2:$A5618=L2883)"),"6010230 BARBARA D'ACHILLE")</f>
        <v>6010230 BARBARA D'ACHILLE</v>
      </c>
      <c r="F2883" s="14" t="s">
        <v>16</v>
      </c>
      <c r="G2883" s="20" t="s">
        <v>17</v>
      </c>
      <c r="H2883" s="14" t="s">
        <v>18</v>
      </c>
      <c r="I2883" s="15">
        <v>2022.0</v>
      </c>
      <c r="J2883" s="16" t="str">
        <f>IFERROR(__xludf.DUMMYFUNCTION("FILTER('CLASFICACIÓN'!$F$3:$F5618,'CLASFICACIÓN'!$G$3:$G5618=M2883)"),"LOS 3 AÑOS")</f>
        <v>LOS 3 AÑOS</v>
      </c>
      <c r="K2883" s="16" t="str">
        <f t="array" ref="K2883">IFERROR(DGET('PADD-R'!$B$1:$K5618,'PADD-R'!$K$1,{'PADD-R'!$B$1;E2883}),"NO PARTICIPÓ")</f>
        <v>PADD 2023 Y 2024</v>
      </c>
      <c r="L2883" s="14" t="s">
        <v>137</v>
      </c>
      <c r="M2883" s="16" t="str">
        <f t="shared" si="1"/>
        <v>6010230 BARBARA D'ACHILLE2 Secundaria</v>
      </c>
      <c r="N2883" s="23"/>
      <c r="O2883" s="17"/>
      <c r="P2883" s="17"/>
      <c r="Q2883" s="17"/>
      <c r="R2883" s="17"/>
      <c r="S2883" s="17"/>
      <c r="T2883" s="17"/>
    </row>
    <row r="2884">
      <c r="A2884" s="18">
        <v>2545.0</v>
      </c>
      <c r="B2884" s="12" t="s">
        <v>13</v>
      </c>
      <c r="C2884" s="12" t="s">
        <v>27</v>
      </c>
      <c r="D2884" s="20" t="s">
        <v>28</v>
      </c>
      <c r="E2884" s="12" t="str">
        <f>IFERROR(__xludf.DUMMYFUNCTION("FILTER(colegios!$B$2:$B5618,colegios!$A$2:$A5618=L2884)"),"6010230 BARBARA D'ACHILLE")</f>
        <v>6010230 BARBARA D'ACHILLE</v>
      </c>
      <c r="F2884" s="14" t="s">
        <v>16</v>
      </c>
      <c r="G2884" s="20" t="s">
        <v>17</v>
      </c>
      <c r="H2884" s="14" t="s">
        <v>18</v>
      </c>
      <c r="I2884" s="15">
        <v>2022.0</v>
      </c>
      <c r="J2884" s="16" t="str">
        <f>IFERROR(__xludf.DUMMYFUNCTION("FILTER('CLASFICACIÓN'!$F$3:$F5618,'CLASFICACIÓN'!$G$3:$G5618=M2884)"),"LOS 3 AÑOS")</f>
        <v>LOS 3 AÑOS</v>
      </c>
      <c r="K2884" s="16" t="str">
        <f t="array" ref="K2884">IFERROR(DGET('PADD-R'!$B$1:$K5618,'PADD-R'!$K$1,{'PADD-R'!$B$1;E2884}),"NO PARTICIPÓ")</f>
        <v>PADD 2023 Y 2024</v>
      </c>
      <c r="L2884" s="14" t="s">
        <v>137</v>
      </c>
      <c r="M2884" s="16" t="str">
        <f t="shared" si="1"/>
        <v>6010230 BARBARA D'ACHILLE2 Secundaria</v>
      </c>
      <c r="N2884" s="23"/>
      <c r="O2884" s="17"/>
      <c r="P2884" s="17"/>
      <c r="Q2884" s="17"/>
      <c r="R2884" s="17"/>
      <c r="S2884" s="17"/>
      <c r="T2884" s="17"/>
    </row>
    <row r="2885">
      <c r="A2885" s="18">
        <v>2546.0</v>
      </c>
      <c r="B2885" s="12" t="s">
        <v>13</v>
      </c>
      <c r="C2885" s="12" t="s">
        <v>27</v>
      </c>
      <c r="D2885" s="20" t="s">
        <v>28</v>
      </c>
      <c r="E2885" s="12" t="str">
        <f>IFERROR(__xludf.DUMMYFUNCTION("FILTER(colegios!$B$2:$B5618,colegios!$A$2:$A5618=L2885)"),"6010230 BARBARA D'ACHILLE")</f>
        <v>6010230 BARBARA D'ACHILLE</v>
      </c>
      <c r="F2885" s="14" t="s">
        <v>16</v>
      </c>
      <c r="G2885" s="20" t="s">
        <v>21</v>
      </c>
      <c r="H2885" s="14" t="s">
        <v>18</v>
      </c>
      <c r="I2885" s="15">
        <v>2022.0</v>
      </c>
      <c r="J2885" s="16" t="str">
        <f>IFERROR(__xludf.DUMMYFUNCTION("FILTER('CLASFICACIÓN'!$F$3:$F5618,'CLASFICACIÓN'!$G$3:$G5618=M2885)"),"LOS 3 AÑOS")</f>
        <v>LOS 3 AÑOS</v>
      </c>
      <c r="K2885" s="16" t="str">
        <f t="array" ref="K2885">IFERROR(DGET('PADD-R'!$B$1:$K5618,'PADD-R'!$K$1,{'PADD-R'!$B$1;E2885}),"NO PARTICIPÓ")</f>
        <v>PADD 2023 Y 2024</v>
      </c>
      <c r="L2885" s="14" t="s">
        <v>137</v>
      </c>
      <c r="M2885" s="16" t="str">
        <f t="shared" si="1"/>
        <v>6010230 BARBARA D'ACHILLE2 Secundaria</v>
      </c>
      <c r="N2885" s="23"/>
      <c r="O2885" s="17"/>
      <c r="P2885" s="17"/>
      <c r="Q2885" s="17"/>
      <c r="R2885" s="17"/>
      <c r="S2885" s="17"/>
      <c r="T2885" s="17"/>
    </row>
    <row r="2886">
      <c r="A2886" s="18">
        <v>2547.0</v>
      </c>
      <c r="B2886" s="12" t="s">
        <v>13</v>
      </c>
      <c r="C2886" s="12" t="s">
        <v>27</v>
      </c>
      <c r="D2886" s="20" t="s">
        <v>28</v>
      </c>
      <c r="E2886" s="12" t="str">
        <f>IFERROR(__xludf.DUMMYFUNCTION("FILTER(colegios!$B$2:$B5618,colegios!$A$2:$A5618=L2886)"),"6010230 BARBARA D'ACHILLE")</f>
        <v>6010230 BARBARA D'ACHILLE</v>
      </c>
      <c r="F2886" s="14" t="s">
        <v>16</v>
      </c>
      <c r="G2886" s="20" t="s">
        <v>21</v>
      </c>
      <c r="H2886" s="14" t="s">
        <v>18</v>
      </c>
      <c r="I2886" s="15">
        <v>2022.0</v>
      </c>
      <c r="J2886" s="16" t="str">
        <f>IFERROR(__xludf.DUMMYFUNCTION("FILTER('CLASFICACIÓN'!$F$3:$F5618,'CLASFICACIÓN'!$G$3:$G5618=M2886)"),"LOS 3 AÑOS")</f>
        <v>LOS 3 AÑOS</v>
      </c>
      <c r="K2886" s="16" t="str">
        <f t="array" ref="K2886">IFERROR(DGET('PADD-R'!$B$1:$K5618,'PADD-R'!$K$1,{'PADD-R'!$B$1;E2886}),"NO PARTICIPÓ")</f>
        <v>PADD 2023 Y 2024</v>
      </c>
      <c r="L2886" s="14" t="s">
        <v>137</v>
      </c>
      <c r="M2886" s="16" t="str">
        <f t="shared" si="1"/>
        <v>6010230 BARBARA D'ACHILLE2 Secundaria</v>
      </c>
      <c r="N2886" s="23"/>
      <c r="O2886" s="17"/>
      <c r="P2886" s="17"/>
      <c r="Q2886" s="17"/>
      <c r="R2886" s="17"/>
      <c r="S2886" s="17"/>
      <c r="T2886" s="17"/>
    </row>
    <row r="2887">
      <c r="A2887" s="18">
        <v>2548.0</v>
      </c>
      <c r="B2887" s="12" t="s">
        <v>13</v>
      </c>
      <c r="C2887" s="12" t="s">
        <v>27</v>
      </c>
      <c r="D2887" s="20" t="s">
        <v>28</v>
      </c>
      <c r="E2887" s="12" t="str">
        <f>IFERROR(__xludf.DUMMYFUNCTION("FILTER(colegios!$B$2:$B5618,colegios!$A$2:$A5618=L2887)"),"6010230 BARBARA D'ACHILLE")</f>
        <v>6010230 BARBARA D'ACHILLE</v>
      </c>
      <c r="F2887" s="14" t="s">
        <v>16</v>
      </c>
      <c r="G2887" s="20" t="s">
        <v>17</v>
      </c>
      <c r="H2887" s="14" t="s">
        <v>18</v>
      </c>
      <c r="I2887" s="15">
        <v>2022.0</v>
      </c>
      <c r="J2887" s="16" t="str">
        <f>IFERROR(__xludf.DUMMYFUNCTION("FILTER('CLASFICACIÓN'!$F$3:$F5618,'CLASFICACIÓN'!$G$3:$G5618=M2887)"),"LOS 3 AÑOS")</f>
        <v>LOS 3 AÑOS</v>
      </c>
      <c r="K2887" s="16" t="str">
        <f t="array" ref="K2887">IFERROR(DGET('PADD-R'!$B$1:$K5618,'PADD-R'!$K$1,{'PADD-R'!$B$1;E2887}),"NO PARTICIPÓ")</f>
        <v>PADD 2023 Y 2024</v>
      </c>
      <c r="L2887" s="14" t="s">
        <v>137</v>
      </c>
      <c r="M2887" s="16" t="str">
        <f t="shared" si="1"/>
        <v>6010230 BARBARA D'ACHILLE2 Secundaria</v>
      </c>
      <c r="N2887" s="23"/>
      <c r="O2887" s="17"/>
      <c r="P2887" s="17"/>
      <c r="Q2887" s="17"/>
      <c r="R2887" s="17"/>
      <c r="S2887" s="17"/>
      <c r="T2887" s="17"/>
    </row>
    <row r="2888">
      <c r="A2888" s="18">
        <v>2549.0</v>
      </c>
      <c r="B2888" s="12" t="s">
        <v>13</v>
      </c>
      <c r="C2888" s="12" t="s">
        <v>27</v>
      </c>
      <c r="D2888" s="20" t="s">
        <v>28</v>
      </c>
      <c r="E2888" s="12" t="str">
        <f>IFERROR(__xludf.DUMMYFUNCTION("FILTER(colegios!$B$2:$B5618,colegios!$A$2:$A5618=L2888)"),"6010230 BARBARA D'ACHILLE")</f>
        <v>6010230 BARBARA D'ACHILLE</v>
      </c>
      <c r="F2888" s="14" t="s">
        <v>16</v>
      </c>
      <c r="G2888" s="20" t="s">
        <v>21</v>
      </c>
      <c r="H2888" s="14" t="s">
        <v>18</v>
      </c>
      <c r="I2888" s="15">
        <v>2022.0</v>
      </c>
      <c r="J2888" s="16" t="str">
        <f>IFERROR(__xludf.DUMMYFUNCTION("FILTER('CLASFICACIÓN'!$F$3:$F5618,'CLASFICACIÓN'!$G$3:$G5618=M2888)"),"LOS 3 AÑOS")</f>
        <v>LOS 3 AÑOS</v>
      </c>
      <c r="K2888" s="16" t="str">
        <f t="array" ref="K2888">IFERROR(DGET('PADD-R'!$B$1:$K5618,'PADD-R'!$K$1,{'PADD-R'!$B$1;E2888}),"NO PARTICIPÓ")</f>
        <v>PADD 2023 Y 2024</v>
      </c>
      <c r="L2888" s="14" t="s">
        <v>137</v>
      </c>
      <c r="M2888" s="16" t="str">
        <f t="shared" si="1"/>
        <v>6010230 BARBARA D'ACHILLE2 Secundaria</v>
      </c>
      <c r="N2888" s="23"/>
      <c r="O2888" s="17"/>
      <c r="P2888" s="17"/>
      <c r="Q2888" s="17"/>
      <c r="R2888" s="17"/>
      <c r="S2888" s="17"/>
      <c r="T2888" s="17"/>
    </row>
    <row r="2889">
      <c r="A2889" s="18">
        <v>2550.0</v>
      </c>
      <c r="B2889" s="12" t="s">
        <v>13</v>
      </c>
      <c r="C2889" s="12" t="s">
        <v>27</v>
      </c>
      <c r="D2889" s="20" t="s">
        <v>28</v>
      </c>
      <c r="E2889" s="12" t="str">
        <f>IFERROR(__xludf.DUMMYFUNCTION("FILTER(colegios!$B$2:$B5618,colegios!$A$2:$A5618=L2889)"),"6010230 BARBARA D'ACHILLE")</f>
        <v>6010230 BARBARA D'ACHILLE</v>
      </c>
      <c r="F2889" s="14" t="s">
        <v>16</v>
      </c>
      <c r="G2889" s="20" t="s">
        <v>17</v>
      </c>
      <c r="H2889" s="14" t="s">
        <v>18</v>
      </c>
      <c r="I2889" s="15">
        <v>2022.0</v>
      </c>
      <c r="J2889" s="16" t="str">
        <f>IFERROR(__xludf.DUMMYFUNCTION("FILTER('CLASFICACIÓN'!$F$3:$F5618,'CLASFICACIÓN'!$G$3:$G5618=M2889)"),"LOS 3 AÑOS")</f>
        <v>LOS 3 AÑOS</v>
      </c>
      <c r="K2889" s="16" t="str">
        <f t="array" ref="K2889">IFERROR(DGET('PADD-R'!$B$1:$K5618,'PADD-R'!$K$1,{'PADD-R'!$B$1;E2889}),"NO PARTICIPÓ")</f>
        <v>PADD 2023 Y 2024</v>
      </c>
      <c r="L2889" s="14" t="s">
        <v>137</v>
      </c>
      <c r="M2889" s="16" t="str">
        <f t="shared" si="1"/>
        <v>6010230 BARBARA D'ACHILLE2 Secundaria</v>
      </c>
      <c r="N2889" s="23"/>
      <c r="O2889" s="17"/>
      <c r="P2889" s="17"/>
      <c r="Q2889" s="17"/>
      <c r="R2889" s="17"/>
      <c r="S2889" s="17"/>
      <c r="T2889" s="17"/>
    </row>
    <row r="2890">
      <c r="A2890" s="18">
        <v>2551.0</v>
      </c>
      <c r="B2890" s="12" t="s">
        <v>13</v>
      </c>
      <c r="C2890" s="12" t="s">
        <v>27</v>
      </c>
      <c r="D2890" s="20" t="s">
        <v>28</v>
      </c>
      <c r="E2890" s="12" t="str">
        <f>IFERROR(__xludf.DUMMYFUNCTION("FILTER(colegios!$B$2:$B5618,colegios!$A$2:$A5618=L2890)"),"6010230 BARBARA D'ACHILLE")</f>
        <v>6010230 BARBARA D'ACHILLE</v>
      </c>
      <c r="F2890" s="14" t="s">
        <v>16</v>
      </c>
      <c r="G2890" s="20" t="s">
        <v>21</v>
      </c>
      <c r="H2890" s="14" t="s">
        <v>18</v>
      </c>
      <c r="I2890" s="15">
        <v>2022.0</v>
      </c>
      <c r="J2890" s="16" t="str">
        <f>IFERROR(__xludf.DUMMYFUNCTION("FILTER('CLASFICACIÓN'!$F$3:$F5618,'CLASFICACIÓN'!$G$3:$G5618=M2890)"),"LOS 3 AÑOS")</f>
        <v>LOS 3 AÑOS</v>
      </c>
      <c r="K2890" s="16" t="str">
        <f t="array" ref="K2890">IFERROR(DGET('PADD-R'!$B$1:$K5618,'PADD-R'!$K$1,{'PADD-R'!$B$1;E2890}),"NO PARTICIPÓ")</f>
        <v>PADD 2023 Y 2024</v>
      </c>
      <c r="L2890" s="14" t="s">
        <v>137</v>
      </c>
      <c r="M2890" s="16" t="str">
        <f t="shared" si="1"/>
        <v>6010230 BARBARA D'ACHILLE2 Secundaria</v>
      </c>
      <c r="N2890" s="23"/>
      <c r="O2890" s="17"/>
      <c r="P2890" s="17"/>
      <c r="Q2890" s="17"/>
      <c r="R2890" s="17"/>
      <c r="S2890" s="17"/>
      <c r="T2890" s="17"/>
    </row>
    <row r="2891">
      <c r="A2891" s="18">
        <v>2552.0</v>
      </c>
      <c r="B2891" s="12" t="s">
        <v>13</v>
      </c>
      <c r="C2891" s="12" t="s">
        <v>27</v>
      </c>
      <c r="D2891" s="20" t="s">
        <v>28</v>
      </c>
      <c r="E2891" s="12" t="str">
        <f>IFERROR(__xludf.DUMMYFUNCTION("FILTER(colegios!$B$2:$B5618,colegios!$A$2:$A5618=L2891)"),"6010230 BARBARA D'ACHILLE")</f>
        <v>6010230 BARBARA D'ACHILLE</v>
      </c>
      <c r="F2891" s="14" t="s">
        <v>16</v>
      </c>
      <c r="G2891" s="20" t="s">
        <v>17</v>
      </c>
      <c r="H2891" s="14" t="s">
        <v>18</v>
      </c>
      <c r="I2891" s="15">
        <v>2022.0</v>
      </c>
      <c r="J2891" s="16" t="str">
        <f>IFERROR(__xludf.DUMMYFUNCTION("FILTER('CLASFICACIÓN'!$F$3:$F5618,'CLASFICACIÓN'!$G$3:$G5618=M2891)"),"LOS 3 AÑOS")</f>
        <v>LOS 3 AÑOS</v>
      </c>
      <c r="K2891" s="16" t="str">
        <f t="array" ref="K2891">IFERROR(DGET('PADD-R'!$B$1:$K5618,'PADD-R'!$K$1,{'PADD-R'!$B$1;E2891}),"NO PARTICIPÓ")</f>
        <v>PADD 2023 Y 2024</v>
      </c>
      <c r="L2891" s="14" t="s">
        <v>137</v>
      </c>
      <c r="M2891" s="16" t="str">
        <f t="shared" si="1"/>
        <v>6010230 BARBARA D'ACHILLE2 Secundaria</v>
      </c>
      <c r="N2891" s="23"/>
      <c r="O2891" s="17"/>
      <c r="P2891" s="17"/>
      <c r="Q2891" s="17"/>
      <c r="R2891" s="17"/>
      <c r="S2891" s="17"/>
      <c r="T2891" s="17"/>
    </row>
    <row r="2892">
      <c r="A2892" s="18">
        <v>2553.0</v>
      </c>
      <c r="B2892" s="12" t="s">
        <v>13</v>
      </c>
      <c r="C2892" s="12" t="s">
        <v>14</v>
      </c>
      <c r="D2892" s="20" t="s">
        <v>20</v>
      </c>
      <c r="E2892" s="12" t="str">
        <f>IFERROR(__xludf.DUMMYFUNCTION("FILTER(colegios!$B$2:$B5618,colegios!$A$2:$A5618=L2892)"),"6010230 BARBARA D'ACHILLE")</f>
        <v>6010230 BARBARA D'ACHILLE</v>
      </c>
      <c r="F2892" s="14" t="s">
        <v>16</v>
      </c>
      <c r="G2892" s="20" t="s">
        <v>21</v>
      </c>
      <c r="H2892" s="14" t="s">
        <v>18</v>
      </c>
      <c r="I2892" s="15">
        <v>2022.0</v>
      </c>
      <c r="J2892" s="16" t="str">
        <f>IFERROR(__xludf.DUMMYFUNCTION("FILTER('CLASFICACIÓN'!$F$3:$F5618,'CLASFICACIÓN'!$G$3:$G5618=M2892)"),"LOS 3 AÑOS")</f>
        <v>LOS 3 AÑOS</v>
      </c>
      <c r="K2892" s="16" t="str">
        <f t="array" ref="K2892">IFERROR(DGET('PADD-R'!$B$1:$K5618,'PADD-R'!$K$1,{'PADD-R'!$B$1;E2892}),"NO PARTICIPÓ")</f>
        <v>PADD 2023 Y 2024</v>
      </c>
      <c r="L2892" s="14" t="s">
        <v>137</v>
      </c>
      <c r="M2892" s="16" t="str">
        <f t="shared" si="1"/>
        <v>6010230 BARBARA D'ACHILLE4 Primaria</v>
      </c>
      <c r="N2892" s="23"/>
      <c r="O2892" s="17"/>
      <c r="P2892" s="17"/>
      <c r="Q2892" s="17"/>
      <c r="R2892" s="17"/>
      <c r="S2892" s="17"/>
      <c r="T2892" s="17"/>
    </row>
    <row r="2893">
      <c r="A2893" s="18">
        <v>2554.0</v>
      </c>
      <c r="B2893" s="12" t="s">
        <v>13</v>
      </c>
      <c r="C2893" s="12" t="s">
        <v>14</v>
      </c>
      <c r="D2893" s="20" t="s">
        <v>20</v>
      </c>
      <c r="E2893" s="12" t="str">
        <f>IFERROR(__xludf.DUMMYFUNCTION("FILTER(colegios!$B$2:$B5618,colegios!$A$2:$A5618=L2893)"),"6010230 BARBARA D'ACHILLE")</f>
        <v>6010230 BARBARA D'ACHILLE</v>
      </c>
      <c r="F2893" s="14" t="s">
        <v>16</v>
      </c>
      <c r="G2893" s="20" t="s">
        <v>21</v>
      </c>
      <c r="H2893" s="14" t="s">
        <v>18</v>
      </c>
      <c r="I2893" s="15">
        <v>2022.0</v>
      </c>
      <c r="J2893" s="16" t="str">
        <f>IFERROR(__xludf.DUMMYFUNCTION("FILTER('CLASFICACIÓN'!$F$3:$F5618,'CLASFICACIÓN'!$G$3:$G5618=M2893)"),"LOS 3 AÑOS")</f>
        <v>LOS 3 AÑOS</v>
      </c>
      <c r="K2893" s="16" t="str">
        <f t="array" ref="K2893">IFERROR(DGET('PADD-R'!$B$1:$K5618,'PADD-R'!$K$1,{'PADD-R'!$B$1;E2893}),"NO PARTICIPÓ")</f>
        <v>PADD 2023 Y 2024</v>
      </c>
      <c r="L2893" s="14" t="s">
        <v>137</v>
      </c>
      <c r="M2893" s="16" t="str">
        <f t="shared" si="1"/>
        <v>6010230 BARBARA D'ACHILLE4 Primaria</v>
      </c>
      <c r="N2893" s="23"/>
      <c r="O2893" s="17"/>
      <c r="P2893" s="17"/>
      <c r="Q2893" s="17"/>
      <c r="R2893" s="17"/>
      <c r="S2893" s="17"/>
      <c r="T2893" s="17"/>
    </row>
    <row r="2894">
      <c r="A2894" s="18">
        <v>2555.0</v>
      </c>
      <c r="B2894" s="12" t="s">
        <v>13</v>
      </c>
      <c r="C2894" s="12" t="s">
        <v>14</v>
      </c>
      <c r="D2894" s="20" t="s">
        <v>20</v>
      </c>
      <c r="E2894" s="12" t="str">
        <f>IFERROR(__xludf.DUMMYFUNCTION("FILTER(colegios!$B$2:$B5618,colegios!$A$2:$A5618=L2894)"),"6010230 BARBARA D'ACHILLE")</f>
        <v>6010230 BARBARA D'ACHILLE</v>
      </c>
      <c r="F2894" s="14" t="s">
        <v>16</v>
      </c>
      <c r="G2894" s="20" t="s">
        <v>21</v>
      </c>
      <c r="H2894" s="14" t="s">
        <v>18</v>
      </c>
      <c r="I2894" s="15">
        <v>2022.0</v>
      </c>
      <c r="J2894" s="16" t="str">
        <f>IFERROR(__xludf.DUMMYFUNCTION("FILTER('CLASFICACIÓN'!$F$3:$F5618,'CLASFICACIÓN'!$G$3:$G5618=M2894)"),"LOS 3 AÑOS")</f>
        <v>LOS 3 AÑOS</v>
      </c>
      <c r="K2894" s="16" t="str">
        <f t="array" ref="K2894">IFERROR(DGET('PADD-R'!$B$1:$K5618,'PADD-R'!$K$1,{'PADD-R'!$B$1;E2894}),"NO PARTICIPÓ")</f>
        <v>PADD 2023 Y 2024</v>
      </c>
      <c r="L2894" s="14" t="s">
        <v>137</v>
      </c>
      <c r="M2894" s="16" t="str">
        <f t="shared" si="1"/>
        <v>6010230 BARBARA D'ACHILLE4 Primaria</v>
      </c>
      <c r="N2894" s="23"/>
      <c r="O2894" s="17"/>
      <c r="P2894" s="17"/>
      <c r="Q2894" s="17"/>
      <c r="R2894" s="17"/>
      <c r="S2894" s="17"/>
      <c r="T2894" s="17"/>
    </row>
    <row r="2895">
      <c r="A2895" s="18">
        <v>2556.0</v>
      </c>
      <c r="B2895" s="12" t="s">
        <v>13</v>
      </c>
      <c r="C2895" s="12" t="s">
        <v>14</v>
      </c>
      <c r="D2895" s="20" t="s">
        <v>20</v>
      </c>
      <c r="E2895" s="12" t="str">
        <f>IFERROR(__xludf.DUMMYFUNCTION("FILTER(colegios!$B$2:$B5618,colegios!$A$2:$A5618=L2895)"),"6010230 BARBARA D'ACHILLE")</f>
        <v>6010230 BARBARA D'ACHILLE</v>
      </c>
      <c r="F2895" s="14" t="s">
        <v>16</v>
      </c>
      <c r="G2895" s="20" t="s">
        <v>17</v>
      </c>
      <c r="H2895" s="14" t="s">
        <v>18</v>
      </c>
      <c r="I2895" s="15">
        <v>2022.0</v>
      </c>
      <c r="J2895" s="16" t="str">
        <f>IFERROR(__xludf.DUMMYFUNCTION("FILTER('CLASFICACIÓN'!$F$3:$F5618,'CLASFICACIÓN'!$G$3:$G5618=M2895)"),"LOS 3 AÑOS")</f>
        <v>LOS 3 AÑOS</v>
      </c>
      <c r="K2895" s="16" t="str">
        <f t="array" ref="K2895">IFERROR(DGET('PADD-R'!$B$1:$K5618,'PADD-R'!$K$1,{'PADD-R'!$B$1;E2895}),"NO PARTICIPÓ")</f>
        <v>PADD 2023 Y 2024</v>
      </c>
      <c r="L2895" s="14" t="s">
        <v>137</v>
      </c>
      <c r="M2895" s="16" t="str">
        <f t="shared" si="1"/>
        <v>6010230 BARBARA D'ACHILLE4 Primaria</v>
      </c>
      <c r="N2895" s="23"/>
      <c r="O2895" s="17"/>
      <c r="P2895" s="17"/>
      <c r="Q2895" s="17"/>
      <c r="R2895" s="17"/>
      <c r="S2895" s="17"/>
      <c r="T2895" s="17"/>
    </row>
    <row r="2896">
      <c r="A2896" s="18">
        <v>2557.0</v>
      </c>
      <c r="B2896" s="12" t="s">
        <v>13</v>
      </c>
      <c r="C2896" s="12" t="s">
        <v>14</v>
      </c>
      <c r="D2896" s="20" t="s">
        <v>20</v>
      </c>
      <c r="E2896" s="12" t="str">
        <f>IFERROR(__xludf.DUMMYFUNCTION("FILTER(colegios!$B$2:$B5618,colegios!$A$2:$A5618=L2896)"),"6010230 BARBARA D'ACHILLE")</f>
        <v>6010230 BARBARA D'ACHILLE</v>
      </c>
      <c r="F2896" s="14" t="s">
        <v>16</v>
      </c>
      <c r="G2896" s="20" t="s">
        <v>21</v>
      </c>
      <c r="H2896" s="14" t="s">
        <v>18</v>
      </c>
      <c r="I2896" s="15">
        <v>2022.0</v>
      </c>
      <c r="J2896" s="16" t="str">
        <f>IFERROR(__xludf.DUMMYFUNCTION("FILTER('CLASFICACIÓN'!$F$3:$F5618,'CLASFICACIÓN'!$G$3:$G5618=M2896)"),"LOS 3 AÑOS")</f>
        <v>LOS 3 AÑOS</v>
      </c>
      <c r="K2896" s="16" t="str">
        <f t="array" ref="K2896">IFERROR(DGET('PADD-R'!$B$1:$K5618,'PADD-R'!$K$1,{'PADD-R'!$B$1;E2896}),"NO PARTICIPÓ")</f>
        <v>PADD 2023 Y 2024</v>
      </c>
      <c r="L2896" s="14" t="s">
        <v>137</v>
      </c>
      <c r="M2896" s="16" t="str">
        <f t="shared" si="1"/>
        <v>6010230 BARBARA D'ACHILLE4 Primaria</v>
      </c>
      <c r="N2896" s="23"/>
      <c r="O2896" s="17"/>
      <c r="P2896" s="17"/>
      <c r="Q2896" s="17"/>
      <c r="R2896" s="17"/>
      <c r="S2896" s="17"/>
      <c r="T2896" s="17"/>
    </row>
    <row r="2897">
      <c r="A2897" s="18">
        <v>2558.0</v>
      </c>
      <c r="B2897" s="12" t="s">
        <v>13</v>
      </c>
      <c r="C2897" s="12" t="s">
        <v>14</v>
      </c>
      <c r="D2897" s="20" t="s">
        <v>20</v>
      </c>
      <c r="E2897" s="12" t="str">
        <f>IFERROR(__xludf.DUMMYFUNCTION("FILTER(colegios!$B$2:$B5618,colegios!$A$2:$A5618=L2897)"),"6010230 BARBARA D'ACHILLE")</f>
        <v>6010230 BARBARA D'ACHILLE</v>
      </c>
      <c r="F2897" s="14" t="s">
        <v>16</v>
      </c>
      <c r="G2897" s="20" t="s">
        <v>17</v>
      </c>
      <c r="H2897" s="14" t="s">
        <v>18</v>
      </c>
      <c r="I2897" s="15">
        <v>2022.0</v>
      </c>
      <c r="J2897" s="16" t="str">
        <f>IFERROR(__xludf.DUMMYFUNCTION("FILTER('CLASFICACIÓN'!$F$3:$F5618,'CLASFICACIÓN'!$G$3:$G5618=M2897)"),"LOS 3 AÑOS")</f>
        <v>LOS 3 AÑOS</v>
      </c>
      <c r="K2897" s="16" t="str">
        <f t="array" ref="K2897">IFERROR(DGET('PADD-R'!$B$1:$K5618,'PADD-R'!$K$1,{'PADD-R'!$B$1;E2897}),"NO PARTICIPÓ")</f>
        <v>PADD 2023 Y 2024</v>
      </c>
      <c r="L2897" s="14" t="s">
        <v>137</v>
      </c>
      <c r="M2897" s="16" t="str">
        <f t="shared" si="1"/>
        <v>6010230 BARBARA D'ACHILLE4 Primaria</v>
      </c>
      <c r="N2897" s="23"/>
      <c r="O2897" s="17"/>
      <c r="P2897" s="17"/>
      <c r="Q2897" s="17"/>
      <c r="R2897" s="17"/>
      <c r="S2897" s="17"/>
      <c r="T2897" s="17"/>
    </row>
    <row r="2898">
      <c r="A2898" s="18">
        <v>2559.0</v>
      </c>
      <c r="B2898" s="12" t="s">
        <v>13</v>
      </c>
      <c r="C2898" s="12" t="s">
        <v>14</v>
      </c>
      <c r="D2898" s="20" t="s">
        <v>20</v>
      </c>
      <c r="E2898" s="12" t="str">
        <f>IFERROR(__xludf.DUMMYFUNCTION("FILTER(colegios!$B$2:$B5618,colegios!$A$2:$A5618=L2898)"),"6010230 BARBARA D'ACHILLE")</f>
        <v>6010230 BARBARA D'ACHILLE</v>
      </c>
      <c r="F2898" s="14" t="s">
        <v>16</v>
      </c>
      <c r="G2898" s="20" t="s">
        <v>21</v>
      </c>
      <c r="H2898" s="14" t="s">
        <v>18</v>
      </c>
      <c r="I2898" s="15">
        <v>2022.0</v>
      </c>
      <c r="J2898" s="16" t="str">
        <f>IFERROR(__xludf.DUMMYFUNCTION("FILTER('CLASFICACIÓN'!$F$3:$F5618,'CLASFICACIÓN'!$G$3:$G5618=M2898)"),"LOS 3 AÑOS")</f>
        <v>LOS 3 AÑOS</v>
      </c>
      <c r="K2898" s="16" t="str">
        <f t="array" ref="K2898">IFERROR(DGET('PADD-R'!$B$1:$K5618,'PADD-R'!$K$1,{'PADD-R'!$B$1;E2898}),"NO PARTICIPÓ")</f>
        <v>PADD 2023 Y 2024</v>
      </c>
      <c r="L2898" s="14" t="s">
        <v>137</v>
      </c>
      <c r="M2898" s="16" t="str">
        <f t="shared" si="1"/>
        <v>6010230 BARBARA D'ACHILLE4 Primaria</v>
      </c>
      <c r="N2898" s="23"/>
      <c r="O2898" s="17"/>
      <c r="P2898" s="17"/>
      <c r="Q2898" s="17"/>
      <c r="R2898" s="17"/>
      <c r="S2898" s="17"/>
      <c r="T2898" s="17"/>
    </row>
    <row r="2899">
      <c r="A2899" s="18">
        <v>2560.0</v>
      </c>
      <c r="B2899" s="12" t="s">
        <v>13</v>
      </c>
      <c r="C2899" s="12" t="s">
        <v>14</v>
      </c>
      <c r="D2899" s="20" t="s">
        <v>20</v>
      </c>
      <c r="E2899" s="12" t="str">
        <f>IFERROR(__xludf.DUMMYFUNCTION("FILTER(colegios!$B$2:$B5618,colegios!$A$2:$A5618=L2899)"),"6010230 BARBARA D'ACHILLE")</f>
        <v>6010230 BARBARA D'ACHILLE</v>
      </c>
      <c r="F2899" s="14" t="s">
        <v>16</v>
      </c>
      <c r="G2899" s="20" t="s">
        <v>21</v>
      </c>
      <c r="H2899" s="14" t="s">
        <v>18</v>
      </c>
      <c r="I2899" s="15">
        <v>2022.0</v>
      </c>
      <c r="J2899" s="16" t="str">
        <f>IFERROR(__xludf.DUMMYFUNCTION("FILTER('CLASFICACIÓN'!$F$3:$F5618,'CLASFICACIÓN'!$G$3:$G5618=M2899)"),"LOS 3 AÑOS")</f>
        <v>LOS 3 AÑOS</v>
      </c>
      <c r="K2899" s="16" t="str">
        <f t="array" ref="K2899">IFERROR(DGET('PADD-R'!$B$1:$K5618,'PADD-R'!$K$1,{'PADD-R'!$B$1;E2899}),"NO PARTICIPÓ")</f>
        <v>PADD 2023 Y 2024</v>
      </c>
      <c r="L2899" s="14" t="s">
        <v>137</v>
      </c>
      <c r="M2899" s="16" t="str">
        <f t="shared" si="1"/>
        <v>6010230 BARBARA D'ACHILLE4 Primaria</v>
      </c>
      <c r="N2899" s="23"/>
      <c r="O2899" s="17"/>
      <c r="P2899" s="17"/>
      <c r="Q2899" s="17"/>
      <c r="R2899" s="17"/>
      <c r="S2899" s="17"/>
      <c r="T2899" s="17"/>
    </row>
    <row r="2900">
      <c r="A2900" s="18">
        <v>2561.0</v>
      </c>
      <c r="B2900" s="12" t="s">
        <v>13</v>
      </c>
      <c r="C2900" s="12" t="s">
        <v>14</v>
      </c>
      <c r="D2900" s="20" t="s">
        <v>20</v>
      </c>
      <c r="E2900" s="12" t="str">
        <f>IFERROR(__xludf.DUMMYFUNCTION("FILTER(colegios!$B$2:$B5618,colegios!$A$2:$A5618=L2900)"),"6010230 BARBARA D'ACHILLE")</f>
        <v>6010230 BARBARA D'ACHILLE</v>
      </c>
      <c r="F2900" s="14" t="s">
        <v>16</v>
      </c>
      <c r="G2900" s="20" t="s">
        <v>17</v>
      </c>
      <c r="H2900" s="14" t="s">
        <v>18</v>
      </c>
      <c r="I2900" s="15">
        <v>2022.0</v>
      </c>
      <c r="J2900" s="16" t="str">
        <f>IFERROR(__xludf.DUMMYFUNCTION("FILTER('CLASFICACIÓN'!$F$3:$F5618,'CLASFICACIÓN'!$G$3:$G5618=M2900)"),"LOS 3 AÑOS")</f>
        <v>LOS 3 AÑOS</v>
      </c>
      <c r="K2900" s="16" t="str">
        <f t="array" ref="K2900">IFERROR(DGET('PADD-R'!$B$1:$K5618,'PADD-R'!$K$1,{'PADD-R'!$B$1;E2900}),"NO PARTICIPÓ")</f>
        <v>PADD 2023 Y 2024</v>
      </c>
      <c r="L2900" s="14" t="s">
        <v>137</v>
      </c>
      <c r="M2900" s="16" t="str">
        <f t="shared" si="1"/>
        <v>6010230 BARBARA D'ACHILLE4 Primaria</v>
      </c>
      <c r="N2900" s="23"/>
      <c r="O2900" s="17"/>
      <c r="P2900" s="17"/>
      <c r="Q2900" s="17"/>
      <c r="R2900" s="17"/>
      <c r="S2900" s="17"/>
      <c r="T2900" s="17"/>
    </row>
    <row r="2901">
      <c r="A2901" s="18">
        <v>2562.0</v>
      </c>
      <c r="B2901" s="12" t="s">
        <v>13</v>
      </c>
      <c r="C2901" s="12" t="s">
        <v>14</v>
      </c>
      <c r="D2901" s="20" t="s">
        <v>20</v>
      </c>
      <c r="E2901" s="12" t="str">
        <f>IFERROR(__xludf.DUMMYFUNCTION("FILTER(colegios!$B$2:$B5618,colegios!$A$2:$A5618=L2901)"),"6010230 BARBARA D'ACHILLE")</f>
        <v>6010230 BARBARA D'ACHILLE</v>
      </c>
      <c r="F2901" s="14" t="s">
        <v>16</v>
      </c>
      <c r="G2901" s="20" t="s">
        <v>17</v>
      </c>
      <c r="H2901" s="14" t="s">
        <v>18</v>
      </c>
      <c r="I2901" s="15">
        <v>2022.0</v>
      </c>
      <c r="J2901" s="16" t="str">
        <f>IFERROR(__xludf.DUMMYFUNCTION("FILTER('CLASFICACIÓN'!$F$3:$F5618,'CLASFICACIÓN'!$G$3:$G5618=M2901)"),"LOS 3 AÑOS")</f>
        <v>LOS 3 AÑOS</v>
      </c>
      <c r="K2901" s="16" t="str">
        <f t="array" ref="K2901">IFERROR(DGET('PADD-R'!$B$1:$K5618,'PADD-R'!$K$1,{'PADD-R'!$B$1;E2901}),"NO PARTICIPÓ")</f>
        <v>PADD 2023 Y 2024</v>
      </c>
      <c r="L2901" s="14" t="s">
        <v>137</v>
      </c>
      <c r="M2901" s="16" t="str">
        <f t="shared" si="1"/>
        <v>6010230 BARBARA D'ACHILLE4 Primaria</v>
      </c>
      <c r="N2901" s="23"/>
      <c r="O2901" s="17"/>
      <c r="P2901" s="17"/>
      <c r="Q2901" s="17"/>
      <c r="R2901" s="17"/>
      <c r="S2901" s="17"/>
      <c r="T2901" s="17"/>
    </row>
    <row r="2902">
      <c r="A2902" s="18">
        <v>2563.0</v>
      </c>
      <c r="B2902" s="12" t="s">
        <v>13</v>
      </c>
      <c r="C2902" s="12" t="s">
        <v>27</v>
      </c>
      <c r="D2902" s="20" t="s">
        <v>30</v>
      </c>
      <c r="E2902" s="12" t="str">
        <f>IFERROR(__xludf.DUMMYFUNCTION("FILTER(colegios!$B$2:$B5618,colegios!$A$2:$A5618=L2902)"),"6010230 BARBARA D'ACHILLE")</f>
        <v>6010230 BARBARA D'ACHILLE</v>
      </c>
      <c r="F2902" s="14" t="s">
        <v>16</v>
      </c>
      <c r="G2902" s="20" t="s">
        <v>21</v>
      </c>
      <c r="H2902" s="14" t="s">
        <v>18</v>
      </c>
      <c r="I2902" s="15">
        <v>2022.0</v>
      </c>
      <c r="J2902" s="16" t="str">
        <f>IFERROR(__xludf.DUMMYFUNCTION("FILTER('CLASFICACIÓN'!$F$3:$F5618,'CLASFICACIÓN'!$G$3:$G5618=M2902)"),"LOS 3 AÑOS")</f>
        <v>LOS 3 AÑOS</v>
      </c>
      <c r="K2902" s="16" t="str">
        <f t="array" ref="K2902">IFERROR(DGET('PADD-R'!$B$1:$K5618,'PADD-R'!$K$1,{'PADD-R'!$B$1;E2902}),"NO PARTICIPÓ")</f>
        <v>PADD 2023 Y 2024</v>
      </c>
      <c r="L2902" s="14" t="s">
        <v>137</v>
      </c>
      <c r="M2902" s="16" t="str">
        <f t="shared" si="1"/>
        <v>6010230 BARBARA D'ACHILLE4 Secundaria</v>
      </c>
      <c r="N2902" s="23"/>
      <c r="O2902" s="17"/>
      <c r="P2902" s="17"/>
      <c r="Q2902" s="17"/>
      <c r="R2902" s="17"/>
      <c r="S2902" s="17"/>
      <c r="T2902" s="17"/>
    </row>
    <row r="2903">
      <c r="A2903" s="18">
        <v>2564.0</v>
      </c>
      <c r="B2903" s="12" t="s">
        <v>13</v>
      </c>
      <c r="C2903" s="12" t="s">
        <v>27</v>
      </c>
      <c r="D2903" s="20" t="s">
        <v>30</v>
      </c>
      <c r="E2903" s="12" t="str">
        <f>IFERROR(__xludf.DUMMYFUNCTION("FILTER(colegios!$B$2:$B5618,colegios!$A$2:$A5618=L2903)"),"6010230 BARBARA D'ACHILLE")</f>
        <v>6010230 BARBARA D'ACHILLE</v>
      </c>
      <c r="F2903" s="14" t="s">
        <v>16</v>
      </c>
      <c r="G2903" s="20" t="s">
        <v>21</v>
      </c>
      <c r="H2903" s="14" t="s">
        <v>18</v>
      </c>
      <c r="I2903" s="15">
        <v>2022.0</v>
      </c>
      <c r="J2903" s="16" t="str">
        <f>IFERROR(__xludf.DUMMYFUNCTION("FILTER('CLASFICACIÓN'!$F$3:$F5618,'CLASFICACIÓN'!$G$3:$G5618=M2903)"),"LOS 3 AÑOS")</f>
        <v>LOS 3 AÑOS</v>
      </c>
      <c r="K2903" s="16" t="str">
        <f t="array" ref="K2903">IFERROR(DGET('PADD-R'!$B$1:$K5618,'PADD-R'!$K$1,{'PADD-R'!$B$1;E2903}),"NO PARTICIPÓ")</f>
        <v>PADD 2023 Y 2024</v>
      </c>
      <c r="L2903" s="14" t="s">
        <v>137</v>
      </c>
      <c r="M2903" s="16" t="str">
        <f t="shared" si="1"/>
        <v>6010230 BARBARA D'ACHILLE4 Secundaria</v>
      </c>
      <c r="N2903" s="23"/>
      <c r="O2903" s="17"/>
      <c r="P2903" s="17"/>
      <c r="Q2903" s="17"/>
      <c r="R2903" s="17"/>
      <c r="S2903" s="17"/>
      <c r="T2903" s="17"/>
    </row>
    <row r="2904">
      <c r="A2904" s="18">
        <v>2565.0</v>
      </c>
      <c r="B2904" s="12" t="s">
        <v>13</v>
      </c>
      <c r="C2904" s="12" t="s">
        <v>27</v>
      </c>
      <c r="D2904" s="20" t="s">
        <v>30</v>
      </c>
      <c r="E2904" s="12" t="str">
        <f>IFERROR(__xludf.DUMMYFUNCTION("FILTER(colegios!$B$2:$B5618,colegios!$A$2:$A5618=L2904)"),"6010230 BARBARA D'ACHILLE")</f>
        <v>6010230 BARBARA D'ACHILLE</v>
      </c>
      <c r="F2904" s="14" t="s">
        <v>16</v>
      </c>
      <c r="G2904" s="20" t="s">
        <v>21</v>
      </c>
      <c r="H2904" s="14" t="s">
        <v>18</v>
      </c>
      <c r="I2904" s="15">
        <v>2022.0</v>
      </c>
      <c r="J2904" s="16" t="str">
        <f>IFERROR(__xludf.DUMMYFUNCTION("FILTER('CLASFICACIÓN'!$F$3:$F5618,'CLASFICACIÓN'!$G$3:$G5618=M2904)"),"LOS 3 AÑOS")</f>
        <v>LOS 3 AÑOS</v>
      </c>
      <c r="K2904" s="16" t="str">
        <f t="array" ref="K2904">IFERROR(DGET('PADD-R'!$B$1:$K5618,'PADD-R'!$K$1,{'PADD-R'!$B$1;E2904}),"NO PARTICIPÓ")</f>
        <v>PADD 2023 Y 2024</v>
      </c>
      <c r="L2904" s="14" t="s">
        <v>137</v>
      </c>
      <c r="M2904" s="16" t="str">
        <f t="shared" si="1"/>
        <v>6010230 BARBARA D'ACHILLE4 Secundaria</v>
      </c>
      <c r="N2904" s="23"/>
      <c r="O2904" s="17"/>
      <c r="P2904" s="17"/>
      <c r="Q2904" s="17"/>
      <c r="R2904" s="17"/>
      <c r="S2904" s="17"/>
      <c r="T2904" s="17"/>
    </row>
    <row r="2905">
      <c r="A2905" s="18">
        <v>2566.0</v>
      </c>
      <c r="B2905" s="12" t="s">
        <v>13</v>
      </c>
      <c r="C2905" s="12" t="s">
        <v>27</v>
      </c>
      <c r="D2905" s="20" t="s">
        <v>30</v>
      </c>
      <c r="E2905" s="12" t="str">
        <f>IFERROR(__xludf.DUMMYFUNCTION("FILTER(colegios!$B$2:$B5618,colegios!$A$2:$A5618=L2905)"),"6010230 BARBARA D'ACHILLE")</f>
        <v>6010230 BARBARA D'ACHILLE</v>
      </c>
      <c r="F2905" s="14" t="s">
        <v>16</v>
      </c>
      <c r="G2905" s="20" t="s">
        <v>17</v>
      </c>
      <c r="H2905" s="14" t="s">
        <v>24</v>
      </c>
      <c r="I2905" s="15">
        <v>2022.0</v>
      </c>
      <c r="J2905" s="16" t="str">
        <f>IFERROR(__xludf.DUMMYFUNCTION("FILTER('CLASFICACIÓN'!$F$3:$F5618,'CLASFICACIÓN'!$G$3:$G5618=M2905)"),"LOS 3 AÑOS")</f>
        <v>LOS 3 AÑOS</v>
      </c>
      <c r="K2905" s="16" t="str">
        <f t="array" ref="K2905">IFERROR(DGET('PADD-R'!$B$1:$K5618,'PADD-R'!$K$1,{'PADD-R'!$B$1;E2905}),"NO PARTICIPÓ")</f>
        <v>PADD 2023 Y 2024</v>
      </c>
      <c r="L2905" s="14" t="s">
        <v>137</v>
      </c>
      <c r="M2905" s="16" t="str">
        <f t="shared" si="1"/>
        <v>6010230 BARBARA D'ACHILLE4 Secundaria</v>
      </c>
      <c r="N2905" s="23"/>
      <c r="O2905" s="17"/>
      <c r="P2905" s="17"/>
      <c r="Q2905" s="17"/>
      <c r="R2905" s="17"/>
      <c r="S2905" s="17"/>
      <c r="T2905" s="17"/>
    </row>
    <row r="2906">
      <c r="A2906" s="18">
        <v>2567.0</v>
      </c>
      <c r="B2906" s="12" t="s">
        <v>13</v>
      </c>
      <c r="C2906" s="12" t="s">
        <v>27</v>
      </c>
      <c r="D2906" s="20" t="s">
        <v>30</v>
      </c>
      <c r="E2906" s="12" t="str">
        <f>IFERROR(__xludf.DUMMYFUNCTION("FILTER(colegios!$B$2:$B5618,colegios!$A$2:$A5618=L2906)"),"6010230 BARBARA D'ACHILLE")</f>
        <v>6010230 BARBARA D'ACHILLE</v>
      </c>
      <c r="F2906" s="14" t="s">
        <v>16</v>
      </c>
      <c r="G2906" s="20" t="s">
        <v>17</v>
      </c>
      <c r="H2906" s="14" t="s">
        <v>18</v>
      </c>
      <c r="I2906" s="15">
        <v>2022.0</v>
      </c>
      <c r="J2906" s="16" t="str">
        <f>IFERROR(__xludf.DUMMYFUNCTION("FILTER('CLASFICACIÓN'!$F$3:$F5618,'CLASFICACIÓN'!$G$3:$G5618=M2906)"),"LOS 3 AÑOS")</f>
        <v>LOS 3 AÑOS</v>
      </c>
      <c r="K2906" s="16" t="str">
        <f t="array" ref="K2906">IFERROR(DGET('PADD-R'!$B$1:$K5618,'PADD-R'!$K$1,{'PADD-R'!$B$1;E2906}),"NO PARTICIPÓ")</f>
        <v>PADD 2023 Y 2024</v>
      </c>
      <c r="L2906" s="14" t="s">
        <v>137</v>
      </c>
      <c r="M2906" s="16" t="str">
        <f t="shared" si="1"/>
        <v>6010230 BARBARA D'ACHILLE4 Secundaria</v>
      </c>
      <c r="N2906" s="23"/>
      <c r="O2906" s="17"/>
      <c r="P2906" s="17"/>
      <c r="Q2906" s="17"/>
      <c r="R2906" s="17"/>
      <c r="S2906" s="17"/>
      <c r="T2906" s="17"/>
    </row>
    <row r="2907">
      <c r="A2907" s="18">
        <v>2568.0</v>
      </c>
      <c r="B2907" s="12" t="s">
        <v>13</v>
      </c>
      <c r="C2907" s="12" t="s">
        <v>27</v>
      </c>
      <c r="D2907" s="20" t="s">
        <v>30</v>
      </c>
      <c r="E2907" s="12" t="str">
        <f>IFERROR(__xludf.DUMMYFUNCTION("FILTER(colegios!$B$2:$B5618,colegios!$A$2:$A5618=L2907)"),"6010230 BARBARA D'ACHILLE")</f>
        <v>6010230 BARBARA D'ACHILLE</v>
      </c>
      <c r="F2907" s="14" t="s">
        <v>16</v>
      </c>
      <c r="G2907" s="20" t="s">
        <v>17</v>
      </c>
      <c r="H2907" s="14" t="s">
        <v>18</v>
      </c>
      <c r="I2907" s="15">
        <v>2022.0</v>
      </c>
      <c r="J2907" s="16" t="str">
        <f>IFERROR(__xludf.DUMMYFUNCTION("FILTER('CLASFICACIÓN'!$F$3:$F5618,'CLASFICACIÓN'!$G$3:$G5618=M2907)"),"LOS 3 AÑOS")</f>
        <v>LOS 3 AÑOS</v>
      </c>
      <c r="K2907" s="16" t="str">
        <f t="array" ref="K2907">IFERROR(DGET('PADD-R'!$B$1:$K5618,'PADD-R'!$K$1,{'PADD-R'!$B$1;E2907}),"NO PARTICIPÓ")</f>
        <v>PADD 2023 Y 2024</v>
      </c>
      <c r="L2907" s="14" t="s">
        <v>137</v>
      </c>
      <c r="M2907" s="16" t="str">
        <f t="shared" si="1"/>
        <v>6010230 BARBARA D'ACHILLE4 Secundaria</v>
      </c>
      <c r="N2907" s="23"/>
      <c r="O2907" s="17"/>
      <c r="P2907" s="17"/>
      <c r="Q2907" s="17"/>
      <c r="R2907" s="17"/>
      <c r="S2907" s="17"/>
      <c r="T2907" s="17"/>
    </row>
    <row r="2908">
      <c r="A2908" s="18">
        <v>2569.0</v>
      </c>
      <c r="B2908" s="12" t="s">
        <v>13</v>
      </c>
      <c r="C2908" s="12" t="s">
        <v>27</v>
      </c>
      <c r="D2908" s="20" t="s">
        <v>30</v>
      </c>
      <c r="E2908" s="12" t="str">
        <f>IFERROR(__xludf.DUMMYFUNCTION("FILTER(colegios!$B$2:$B5618,colegios!$A$2:$A5618=L2908)"),"6010230 BARBARA D'ACHILLE")</f>
        <v>6010230 BARBARA D'ACHILLE</v>
      </c>
      <c r="F2908" s="14" t="s">
        <v>16</v>
      </c>
      <c r="G2908" s="20" t="s">
        <v>17</v>
      </c>
      <c r="H2908" s="14" t="s">
        <v>18</v>
      </c>
      <c r="I2908" s="15">
        <v>2022.0</v>
      </c>
      <c r="J2908" s="16" t="str">
        <f>IFERROR(__xludf.DUMMYFUNCTION("FILTER('CLASFICACIÓN'!$F$3:$F5618,'CLASFICACIÓN'!$G$3:$G5618=M2908)"),"LOS 3 AÑOS")</f>
        <v>LOS 3 AÑOS</v>
      </c>
      <c r="K2908" s="16" t="str">
        <f t="array" ref="K2908">IFERROR(DGET('PADD-R'!$B$1:$K5618,'PADD-R'!$K$1,{'PADD-R'!$B$1;E2908}),"NO PARTICIPÓ")</f>
        <v>PADD 2023 Y 2024</v>
      </c>
      <c r="L2908" s="14" t="s">
        <v>137</v>
      </c>
      <c r="M2908" s="16" t="str">
        <f t="shared" si="1"/>
        <v>6010230 BARBARA D'ACHILLE4 Secundaria</v>
      </c>
      <c r="N2908" s="23"/>
      <c r="O2908" s="17"/>
      <c r="P2908" s="17"/>
      <c r="Q2908" s="17"/>
      <c r="R2908" s="17"/>
      <c r="S2908" s="17"/>
      <c r="T2908" s="17"/>
    </row>
    <row r="2909">
      <c r="A2909" s="18">
        <v>2570.0</v>
      </c>
      <c r="B2909" s="12" t="s">
        <v>13</v>
      </c>
      <c r="C2909" s="12" t="s">
        <v>27</v>
      </c>
      <c r="D2909" s="20" t="s">
        <v>30</v>
      </c>
      <c r="E2909" s="12" t="str">
        <f>IFERROR(__xludf.DUMMYFUNCTION("FILTER(colegios!$B$2:$B5618,colegios!$A$2:$A5618=L2909)"),"6010230 BARBARA D'ACHILLE")</f>
        <v>6010230 BARBARA D'ACHILLE</v>
      </c>
      <c r="F2909" s="14" t="s">
        <v>16</v>
      </c>
      <c r="G2909" s="20" t="s">
        <v>21</v>
      </c>
      <c r="H2909" s="14" t="s">
        <v>18</v>
      </c>
      <c r="I2909" s="15">
        <v>2022.0</v>
      </c>
      <c r="J2909" s="16" t="str">
        <f>IFERROR(__xludf.DUMMYFUNCTION("FILTER('CLASFICACIÓN'!$F$3:$F5618,'CLASFICACIÓN'!$G$3:$G5618=M2909)"),"LOS 3 AÑOS")</f>
        <v>LOS 3 AÑOS</v>
      </c>
      <c r="K2909" s="16" t="str">
        <f t="array" ref="K2909">IFERROR(DGET('PADD-R'!$B$1:$K5618,'PADD-R'!$K$1,{'PADD-R'!$B$1;E2909}),"NO PARTICIPÓ")</f>
        <v>PADD 2023 Y 2024</v>
      </c>
      <c r="L2909" s="14" t="s">
        <v>137</v>
      </c>
      <c r="M2909" s="16" t="str">
        <f t="shared" si="1"/>
        <v>6010230 BARBARA D'ACHILLE4 Secundaria</v>
      </c>
      <c r="N2909" s="23"/>
      <c r="O2909" s="17"/>
      <c r="P2909" s="17"/>
      <c r="Q2909" s="17"/>
      <c r="R2909" s="17"/>
      <c r="S2909" s="17"/>
      <c r="T2909" s="17"/>
    </row>
    <row r="2910">
      <c r="A2910" s="18">
        <v>2571.0</v>
      </c>
      <c r="B2910" s="12" t="s">
        <v>13</v>
      </c>
      <c r="C2910" s="12" t="s">
        <v>27</v>
      </c>
      <c r="D2910" s="20" t="s">
        <v>30</v>
      </c>
      <c r="E2910" s="12" t="str">
        <f>IFERROR(__xludf.DUMMYFUNCTION("FILTER(colegios!$B$2:$B5618,colegios!$A$2:$A5618=L2910)"),"6010230 BARBARA D'ACHILLE")</f>
        <v>6010230 BARBARA D'ACHILLE</v>
      </c>
      <c r="F2910" s="14" t="s">
        <v>16</v>
      </c>
      <c r="G2910" s="20" t="s">
        <v>17</v>
      </c>
      <c r="H2910" s="14" t="s">
        <v>24</v>
      </c>
      <c r="I2910" s="15">
        <v>2022.0</v>
      </c>
      <c r="J2910" s="16" t="str">
        <f>IFERROR(__xludf.DUMMYFUNCTION("FILTER('CLASFICACIÓN'!$F$3:$F5618,'CLASFICACIÓN'!$G$3:$G5618=M2910)"),"LOS 3 AÑOS")</f>
        <v>LOS 3 AÑOS</v>
      </c>
      <c r="K2910" s="16" t="str">
        <f t="array" ref="K2910">IFERROR(DGET('PADD-R'!$B$1:$K5618,'PADD-R'!$K$1,{'PADD-R'!$B$1;E2910}),"NO PARTICIPÓ")</f>
        <v>PADD 2023 Y 2024</v>
      </c>
      <c r="L2910" s="14" t="s">
        <v>137</v>
      </c>
      <c r="M2910" s="16" t="str">
        <f t="shared" si="1"/>
        <v>6010230 BARBARA D'ACHILLE4 Secundaria</v>
      </c>
      <c r="N2910" s="23"/>
      <c r="O2910" s="17"/>
      <c r="P2910" s="17"/>
      <c r="Q2910" s="17"/>
      <c r="R2910" s="17"/>
      <c r="S2910" s="17"/>
      <c r="T2910" s="17"/>
    </row>
    <row r="2911">
      <c r="A2911" s="18">
        <v>2572.0</v>
      </c>
      <c r="B2911" s="12" t="s">
        <v>13</v>
      </c>
      <c r="C2911" s="12" t="s">
        <v>27</v>
      </c>
      <c r="D2911" s="20" t="s">
        <v>30</v>
      </c>
      <c r="E2911" s="12" t="str">
        <f>IFERROR(__xludf.DUMMYFUNCTION("FILTER(colegios!$B$2:$B5618,colegios!$A$2:$A5618=L2911)"),"6010230 BARBARA D'ACHILLE")</f>
        <v>6010230 BARBARA D'ACHILLE</v>
      </c>
      <c r="F2911" s="14" t="s">
        <v>16</v>
      </c>
      <c r="G2911" s="20" t="s">
        <v>21</v>
      </c>
      <c r="H2911" s="14" t="s">
        <v>18</v>
      </c>
      <c r="I2911" s="15">
        <v>2022.0</v>
      </c>
      <c r="J2911" s="16" t="str">
        <f>IFERROR(__xludf.DUMMYFUNCTION("FILTER('CLASFICACIÓN'!$F$3:$F5618,'CLASFICACIÓN'!$G$3:$G5618=M2911)"),"LOS 3 AÑOS")</f>
        <v>LOS 3 AÑOS</v>
      </c>
      <c r="K2911" s="16" t="str">
        <f t="array" ref="K2911">IFERROR(DGET('PADD-R'!$B$1:$K5618,'PADD-R'!$K$1,{'PADD-R'!$B$1;E2911}),"NO PARTICIPÓ")</f>
        <v>PADD 2023 Y 2024</v>
      </c>
      <c r="L2911" s="14" t="s">
        <v>137</v>
      </c>
      <c r="M2911" s="16" t="str">
        <f t="shared" si="1"/>
        <v>6010230 BARBARA D'ACHILLE4 Secundaria</v>
      </c>
      <c r="N2911" s="23"/>
      <c r="O2911" s="17"/>
      <c r="P2911" s="17"/>
      <c r="Q2911" s="17"/>
      <c r="R2911" s="17"/>
      <c r="S2911" s="17"/>
      <c r="T2911" s="17"/>
    </row>
    <row r="2912">
      <c r="A2912" s="18">
        <v>2573.0</v>
      </c>
      <c r="B2912" s="12" t="s">
        <v>13</v>
      </c>
      <c r="C2912" s="12" t="s">
        <v>14</v>
      </c>
      <c r="D2912" s="20" t="s">
        <v>22</v>
      </c>
      <c r="E2912" s="12" t="str">
        <f>IFERROR(__xludf.DUMMYFUNCTION("FILTER(colegios!$B$2:$B5618,colegios!$A$2:$A5618=L2912)"),"6010230 BARBARA D'ACHILLE")</f>
        <v>6010230 BARBARA D'ACHILLE</v>
      </c>
      <c r="F2912" s="14" t="s">
        <v>16</v>
      </c>
      <c r="G2912" s="20" t="s">
        <v>21</v>
      </c>
      <c r="H2912" s="14" t="s">
        <v>18</v>
      </c>
      <c r="I2912" s="15">
        <v>2022.0</v>
      </c>
      <c r="J2912" s="16" t="str">
        <f>IFERROR(__xludf.DUMMYFUNCTION("FILTER('CLASFICACIÓN'!$F$3:$F5618,'CLASFICACIÓN'!$G$3:$G5618=M2912)"),"LOS 3 AÑOS")</f>
        <v>LOS 3 AÑOS</v>
      </c>
      <c r="K2912" s="16" t="str">
        <f t="array" ref="K2912">IFERROR(DGET('PADD-R'!$B$1:$K5618,'PADD-R'!$K$1,{'PADD-R'!$B$1;E2912}),"NO PARTICIPÓ")</f>
        <v>PADD 2023 Y 2024</v>
      </c>
      <c r="L2912" s="14" t="s">
        <v>137</v>
      </c>
      <c r="M2912" s="16" t="str">
        <f t="shared" si="1"/>
        <v>6010230 BARBARA D'ACHILLE6 Primaria</v>
      </c>
      <c r="N2912" s="23"/>
      <c r="O2912" s="17"/>
      <c r="P2912" s="17"/>
      <c r="Q2912" s="17"/>
      <c r="R2912" s="17"/>
      <c r="S2912" s="17"/>
      <c r="T2912" s="17"/>
    </row>
    <row r="2913">
      <c r="A2913" s="18">
        <v>2574.0</v>
      </c>
      <c r="B2913" s="12" t="s">
        <v>13</v>
      </c>
      <c r="C2913" s="12" t="s">
        <v>14</v>
      </c>
      <c r="D2913" s="20" t="s">
        <v>22</v>
      </c>
      <c r="E2913" s="12" t="str">
        <f>IFERROR(__xludf.DUMMYFUNCTION("FILTER(colegios!$B$2:$B5618,colegios!$A$2:$A5618=L2913)"),"6010230 BARBARA D'ACHILLE")</f>
        <v>6010230 BARBARA D'ACHILLE</v>
      </c>
      <c r="F2913" s="14" t="s">
        <v>16</v>
      </c>
      <c r="G2913" s="20" t="s">
        <v>21</v>
      </c>
      <c r="H2913" s="14" t="s">
        <v>18</v>
      </c>
      <c r="I2913" s="15">
        <v>2022.0</v>
      </c>
      <c r="J2913" s="16" t="str">
        <f>IFERROR(__xludf.DUMMYFUNCTION("FILTER('CLASFICACIÓN'!$F$3:$F5618,'CLASFICACIÓN'!$G$3:$G5618=M2913)"),"LOS 3 AÑOS")</f>
        <v>LOS 3 AÑOS</v>
      </c>
      <c r="K2913" s="16" t="str">
        <f t="array" ref="K2913">IFERROR(DGET('PADD-R'!$B$1:$K5618,'PADD-R'!$K$1,{'PADD-R'!$B$1;E2913}),"NO PARTICIPÓ")</f>
        <v>PADD 2023 Y 2024</v>
      </c>
      <c r="L2913" s="14" t="s">
        <v>137</v>
      </c>
      <c r="M2913" s="16" t="str">
        <f t="shared" si="1"/>
        <v>6010230 BARBARA D'ACHILLE6 Primaria</v>
      </c>
      <c r="N2913" s="23"/>
      <c r="O2913" s="17"/>
      <c r="P2913" s="17"/>
      <c r="Q2913" s="17"/>
      <c r="R2913" s="17"/>
      <c r="S2913" s="17"/>
      <c r="T2913" s="17"/>
    </row>
    <row r="2914">
      <c r="A2914" s="18">
        <v>2575.0</v>
      </c>
      <c r="B2914" s="12" t="s">
        <v>13</v>
      </c>
      <c r="C2914" s="12" t="s">
        <v>14</v>
      </c>
      <c r="D2914" s="20" t="s">
        <v>22</v>
      </c>
      <c r="E2914" s="12" t="str">
        <f>IFERROR(__xludf.DUMMYFUNCTION("FILTER(colegios!$B$2:$B5618,colegios!$A$2:$A5618=L2914)"),"6010230 BARBARA D'ACHILLE")</f>
        <v>6010230 BARBARA D'ACHILLE</v>
      </c>
      <c r="F2914" s="14" t="s">
        <v>16</v>
      </c>
      <c r="G2914" s="20" t="s">
        <v>17</v>
      </c>
      <c r="H2914" s="14" t="s">
        <v>18</v>
      </c>
      <c r="I2914" s="15">
        <v>2022.0</v>
      </c>
      <c r="J2914" s="16" t="str">
        <f>IFERROR(__xludf.DUMMYFUNCTION("FILTER('CLASFICACIÓN'!$F$3:$F5618,'CLASFICACIÓN'!$G$3:$G5618=M2914)"),"LOS 3 AÑOS")</f>
        <v>LOS 3 AÑOS</v>
      </c>
      <c r="K2914" s="16" t="str">
        <f t="array" ref="K2914">IFERROR(DGET('PADD-R'!$B$1:$K5618,'PADD-R'!$K$1,{'PADD-R'!$B$1;E2914}),"NO PARTICIPÓ")</f>
        <v>PADD 2023 Y 2024</v>
      </c>
      <c r="L2914" s="14" t="s">
        <v>137</v>
      </c>
      <c r="M2914" s="16" t="str">
        <f t="shared" si="1"/>
        <v>6010230 BARBARA D'ACHILLE6 Primaria</v>
      </c>
      <c r="N2914" s="23"/>
      <c r="O2914" s="17"/>
      <c r="P2914" s="17"/>
      <c r="Q2914" s="17"/>
      <c r="R2914" s="17"/>
      <c r="S2914" s="17"/>
      <c r="T2914" s="17"/>
    </row>
    <row r="2915">
      <c r="A2915" s="18">
        <v>2576.0</v>
      </c>
      <c r="B2915" s="12" t="s">
        <v>13</v>
      </c>
      <c r="C2915" s="12" t="s">
        <v>14</v>
      </c>
      <c r="D2915" s="20" t="s">
        <v>22</v>
      </c>
      <c r="E2915" s="12" t="str">
        <f>IFERROR(__xludf.DUMMYFUNCTION("FILTER(colegios!$B$2:$B5618,colegios!$A$2:$A5618=L2915)"),"6010230 BARBARA D'ACHILLE")</f>
        <v>6010230 BARBARA D'ACHILLE</v>
      </c>
      <c r="F2915" s="14" t="s">
        <v>16</v>
      </c>
      <c r="G2915" s="20" t="s">
        <v>21</v>
      </c>
      <c r="H2915" s="14" t="s">
        <v>18</v>
      </c>
      <c r="I2915" s="15">
        <v>2022.0</v>
      </c>
      <c r="J2915" s="16" t="str">
        <f>IFERROR(__xludf.DUMMYFUNCTION("FILTER('CLASFICACIÓN'!$F$3:$F5618,'CLASFICACIÓN'!$G$3:$G5618=M2915)"),"LOS 3 AÑOS")</f>
        <v>LOS 3 AÑOS</v>
      </c>
      <c r="K2915" s="16" t="str">
        <f t="array" ref="K2915">IFERROR(DGET('PADD-R'!$B$1:$K5618,'PADD-R'!$K$1,{'PADD-R'!$B$1;E2915}),"NO PARTICIPÓ")</f>
        <v>PADD 2023 Y 2024</v>
      </c>
      <c r="L2915" s="14" t="s">
        <v>137</v>
      </c>
      <c r="M2915" s="16" t="str">
        <f t="shared" si="1"/>
        <v>6010230 BARBARA D'ACHILLE6 Primaria</v>
      </c>
      <c r="N2915" s="23"/>
      <c r="O2915" s="17"/>
      <c r="P2915" s="17"/>
      <c r="Q2915" s="17"/>
      <c r="R2915" s="17"/>
      <c r="S2915" s="17"/>
      <c r="T2915" s="17"/>
    </row>
    <row r="2916">
      <c r="A2916" s="18">
        <v>2577.0</v>
      </c>
      <c r="B2916" s="12" t="s">
        <v>13</v>
      </c>
      <c r="C2916" s="12" t="s">
        <v>14</v>
      </c>
      <c r="D2916" s="20" t="s">
        <v>22</v>
      </c>
      <c r="E2916" s="12" t="str">
        <f>IFERROR(__xludf.DUMMYFUNCTION("FILTER(colegios!$B$2:$B5618,colegios!$A$2:$A5618=L2916)"),"6010230 BARBARA D'ACHILLE")</f>
        <v>6010230 BARBARA D'ACHILLE</v>
      </c>
      <c r="F2916" s="14" t="s">
        <v>16</v>
      </c>
      <c r="G2916" s="20" t="s">
        <v>21</v>
      </c>
      <c r="H2916" s="14" t="s">
        <v>18</v>
      </c>
      <c r="I2916" s="15">
        <v>2022.0</v>
      </c>
      <c r="J2916" s="16" t="str">
        <f>IFERROR(__xludf.DUMMYFUNCTION("FILTER('CLASFICACIÓN'!$F$3:$F5618,'CLASFICACIÓN'!$G$3:$G5618=M2916)"),"LOS 3 AÑOS")</f>
        <v>LOS 3 AÑOS</v>
      </c>
      <c r="K2916" s="16" t="str">
        <f t="array" ref="K2916">IFERROR(DGET('PADD-R'!$B$1:$K5618,'PADD-R'!$K$1,{'PADD-R'!$B$1;E2916}),"NO PARTICIPÓ")</f>
        <v>PADD 2023 Y 2024</v>
      </c>
      <c r="L2916" s="14" t="s">
        <v>137</v>
      </c>
      <c r="M2916" s="16" t="str">
        <f t="shared" si="1"/>
        <v>6010230 BARBARA D'ACHILLE6 Primaria</v>
      </c>
      <c r="N2916" s="23"/>
      <c r="O2916" s="17"/>
      <c r="P2916" s="17"/>
      <c r="Q2916" s="17"/>
      <c r="R2916" s="17"/>
      <c r="S2916" s="17"/>
      <c r="T2916" s="17"/>
    </row>
    <row r="2917">
      <c r="A2917" s="18">
        <v>2578.0</v>
      </c>
      <c r="B2917" s="12" t="s">
        <v>13</v>
      </c>
      <c r="C2917" s="12" t="s">
        <v>14</v>
      </c>
      <c r="D2917" s="20" t="s">
        <v>22</v>
      </c>
      <c r="E2917" s="12" t="str">
        <f>IFERROR(__xludf.DUMMYFUNCTION("FILTER(colegios!$B$2:$B5618,colegios!$A$2:$A5618=L2917)"),"6010230 BARBARA D'ACHILLE")</f>
        <v>6010230 BARBARA D'ACHILLE</v>
      </c>
      <c r="F2917" s="14" t="s">
        <v>16</v>
      </c>
      <c r="G2917" s="20" t="s">
        <v>21</v>
      </c>
      <c r="H2917" s="14" t="s">
        <v>18</v>
      </c>
      <c r="I2917" s="15">
        <v>2022.0</v>
      </c>
      <c r="J2917" s="16" t="str">
        <f>IFERROR(__xludf.DUMMYFUNCTION("FILTER('CLASFICACIÓN'!$F$3:$F5618,'CLASFICACIÓN'!$G$3:$G5618=M2917)"),"LOS 3 AÑOS")</f>
        <v>LOS 3 AÑOS</v>
      </c>
      <c r="K2917" s="16" t="str">
        <f t="array" ref="K2917">IFERROR(DGET('PADD-R'!$B$1:$K5618,'PADD-R'!$K$1,{'PADD-R'!$B$1;E2917}),"NO PARTICIPÓ")</f>
        <v>PADD 2023 Y 2024</v>
      </c>
      <c r="L2917" s="14" t="s">
        <v>137</v>
      </c>
      <c r="M2917" s="16" t="str">
        <f t="shared" si="1"/>
        <v>6010230 BARBARA D'ACHILLE6 Primaria</v>
      </c>
      <c r="N2917" s="23"/>
      <c r="O2917" s="17"/>
      <c r="P2917" s="17"/>
      <c r="Q2917" s="17"/>
      <c r="R2917" s="17"/>
      <c r="S2917" s="17"/>
      <c r="T2917" s="17"/>
    </row>
    <row r="2918">
      <c r="A2918" s="18">
        <v>2579.0</v>
      </c>
      <c r="B2918" s="12" t="s">
        <v>13</v>
      </c>
      <c r="C2918" s="12" t="s">
        <v>27</v>
      </c>
      <c r="D2918" s="20" t="s">
        <v>28</v>
      </c>
      <c r="E2918" s="12" t="str">
        <f>IFERROR(__xludf.DUMMYFUNCTION("FILTER(colegios!$B$2:$B5618,colegios!$A$2:$A5618=L2918)"),"EL MILAGRO")</f>
        <v>EL MILAGRO</v>
      </c>
      <c r="F2918" s="14" t="s">
        <v>16</v>
      </c>
      <c r="G2918" s="20" t="s">
        <v>21</v>
      </c>
      <c r="H2918" s="14" t="s">
        <v>18</v>
      </c>
      <c r="I2918" s="15">
        <v>2022.0</v>
      </c>
      <c r="J2918" s="16" t="str">
        <f>IFERROR(__xludf.DUMMYFUNCTION("FILTER('CLASFICACIÓN'!$F$3:$F5618,'CLASFICACIÓN'!$G$3:$G5618=M2918)"),"LOS 3 AÑOS")</f>
        <v>LOS 3 AÑOS</v>
      </c>
      <c r="K2918" s="16" t="str">
        <f t="array" ref="K2918">IFERROR(DGET('PADD-R'!$B$1:$K5618,'PADD-R'!$K$1,{'PADD-R'!$B$1;E2918}),"NO PARTICIPÓ")</f>
        <v>NO PARTICIPÓ</v>
      </c>
      <c r="L2918" s="14" t="s">
        <v>29</v>
      </c>
      <c r="M2918" s="16" t="str">
        <f t="shared" si="1"/>
        <v>EL MILAGRO2 Secundaria</v>
      </c>
      <c r="N2918" s="23"/>
      <c r="O2918" s="17"/>
      <c r="P2918" s="17"/>
      <c r="Q2918" s="17"/>
      <c r="R2918" s="17"/>
      <c r="S2918" s="17"/>
      <c r="T2918" s="17"/>
    </row>
    <row r="2919">
      <c r="A2919" s="18">
        <v>2580.0</v>
      </c>
      <c r="B2919" s="12" t="s">
        <v>13</v>
      </c>
      <c r="C2919" s="12" t="s">
        <v>27</v>
      </c>
      <c r="D2919" s="20" t="s">
        <v>28</v>
      </c>
      <c r="E2919" s="12" t="str">
        <f>IFERROR(__xludf.DUMMYFUNCTION("FILTER(colegios!$B$2:$B5618,colegios!$A$2:$A5618=L2919)"),"EL MILAGRO")</f>
        <v>EL MILAGRO</v>
      </c>
      <c r="F2919" s="14" t="s">
        <v>16</v>
      </c>
      <c r="G2919" s="20" t="s">
        <v>17</v>
      </c>
      <c r="H2919" s="14" t="s">
        <v>18</v>
      </c>
      <c r="I2919" s="15">
        <v>2022.0</v>
      </c>
      <c r="J2919" s="16" t="str">
        <f>IFERROR(__xludf.DUMMYFUNCTION("FILTER('CLASFICACIÓN'!$F$3:$F5618,'CLASFICACIÓN'!$G$3:$G5618=M2919)"),"LOS 3 AÑOS")</f>
        <v>LOS 3 AÑOS</v>
      </c>
      <c r="K2919" s="16" t="str">
        <f t="array" ref="K2919">IFERROR(DGET('PADD-R'!$B$1:$K5618,'PADD-R'!$K$1,{'PADD-R'!$B$1;E2919}),"NO PARTICIPÓ")</f>
        <v>NO PARTICIPÓ</v>
      </c>
      <c r="L2919" s="14" t="s">
        <v>29</v>
      </c>
      <c r="M2919" s="16" t="str">
        <f t="shared" si="1"/>
        <v>EL MILAGRO2 Secundaria</v>
      </c>
      <c r="N2919" s="23"/>
      <c r="O2919" s="17"/>
      <c r="P2919" s="17"/>
      <c r="Q2919" s="17"/>
      <c r="R2919" s="17"/>
      <c r="S2919" s="17"/>
      <c r="T2919" s="17"/>
    </row>
    <row r="2920">
      <c r="A2920" s="18">
        <v>2581.0</v>
      </c>
      <c r="B2920" s="12" t="s">
        <v>13</v>
      </c>
      <c r="C2920" s="12" t="s">
        <v>27</v>
      </c>
      <c r="D2920" s="20" t="s">
        <v>28</v>
      </c>
      <c r="E2920" s="12" t="str">
        <f>IFERROR(__xludf.DUMMYFUNCTION("FILTER(colegios!$B$2:$B5618,colegios!$A$2:$A5618=L2920)"),"EL MILAGRO")</f>
        <v>EL MILAGRO</v>
      </c>
      <c r="F2920" s="14" t="s">
        <v>16</v>
      </c>
      <c r="G2920" s="20" t="s">
        <v>21</v>
      </c>
      <c r="H2920" s="14" t="s">
        <v>18</v>
      </c>
      <c r="I2920" s="15">
        <v>2022.0</v>
      </c>
      <c r="J2920" s="16" t="str">
        <f>IFERROR(__xludf.DUMMYFUNCTION("FILTER('CLASFICACIÓN'!$F$3:$F5618,'CLASFICACIÓN'!$G$3:$G5618=M2920)"),"LOS 3 AÑOS")</f>
        <v>LOS 3 AÑOS</v>
      </c>
      <c r="K2920" s="16" t="str">
        <f t="array" ref="K2920">IFERROR(DGET('PADD-R'!$B$1:$K5618,'PADD-R'!$K$1,{'PADD-R'!$B$1;E2920}),"NO PARTICIPÓ")</f>
        <v>NO PARTICIPÓ</v>
      </c>
      <c r="L2920" s="14" t="s">
        <v>29</v>
      </c>
      <c r="M2920" s="16" t="str">
        <f t="shared" si="1"/>
        <v>EL MILAGRO2 Secundaria</v>
      </c>
      <c r="N2920" s="23"/>
      <c r="O2920" s="17"/>
      <c r="P2920" s="17"/>
      <c r="Q2920" s="17"/>
      <c r="R2920" s="17"/>
      <c r="S2920" s="17"/>
      <c r="T2920" s="17"/>
    </row>
    <row r="2921">
      <c r="A2921" s="18">
        <v>2582.0</v>
      </c>
      <c r="B2921" s="12" t="s">
        <v>13</v>
      </c>
      <c r="C2921" s="12" t="s">
        <v>27</v>
      </c>
      <c r="D2921" s="20" t="s">
        <v>28</v>
      </c>
      <c r="E2921" s="12" t="str">
        <f>IFERROR(__xludf.DUMMYFUNCTION("FILTER(colegios!$B$2:$B5618,colegios!$A$2:$A5618=L2921)"),"EL MILAGRO")</f>
        <v>EL MILAGRO</v>
      </c>
      <c r="F2921" s="14" t="s">
        <v>16</v>
      </c>
      <c r="G2921" s="20" t="s">
        <v>21</v>
      </c>
      <c r="H2921" s="14" t="s">
        <v>18</v>
      </c>
      <c r="I2921" s="15">
        <v>2022.0</v>
      </c>
      <c r="J2921" s="16" t="str">
        <f>IFERROR(__xludf.DUMMYFUNCTION("FILTER('CLASFICACIÓN'!$F$3:$F5618,'CLASFICACIÓN'!$G$3:$G5618=M2921)"),"LOS 3 AÑOS")</f>
        <v>LOS 3 AÑOS</v>
      </c>
      <c r="K2921" s="16" t="str">
        <f t="array" ref="K2921">IFERROR(DGET('PADD-R'!$B$1:$K5618,'PADD-R'!$K$1,{'PADD-R'!$B$1;E2921}),"NO PARTICIPÓ")</f>
        <v>NO PARTICIPÓ</v>
      </c>
      <c r="L2921" s="14" t="s">
        <v>29</v>
      </c>
      <c r="M2921" s="16" t="str">
        <f t="shared" si="1"/>
        <v>EL MILAGRO2 Secundaria</v>
      </c>
      <c r="N2921" s="23"/>
      <c r="O2921" s="17"/>
      <c r="P2921" s="17"/>
      <c r="Q2921" s="17"/>
      <c r="R2921" s="17"/>
      <c r="S2921" s="17"/>
      <c r="T2921" s="17"/>
    </row>
    <row r="2922">
      <c r="A2922" s="18">
        <v>2583.0</v>
      </c>
      <c r="B2922" s="12" t="s">
        <v>13</v>
      </c>
      <c r="C2922" s="12" t="s">
        <v>27</v>
      </c>
      <c r="D2922" s="20" t="s">
        <v>28</v>
      </c>
      <c r="E2922" s="12" t="str">
        <f>IFERROR(__xludf.DUMMYFUNCTION("FILTER(colegios!$B$2:$B5618,colegios!$A$2:$A5618=L2922)"),"EL MILAGRO")</f>
        <v>EL MILAGRO</v>
      </c>
      <c r="F2922" s="14" t="s">
        <v>16</v>
      </c>
      <c r="G2922" s="20" t="s">
        <v>21</v>
      </c>
      <c r="H2922" s="14" t="s">
        <v>18</v>
      </c>
      <c r="I2922" s="15">
        <v>2022.0</v>
      </c>
      <c r="J2922" s="16" t="str">
        <f>IFERROR(__xludf.DUMMYFUNCTION("FILTER('CLASFICACIÓN'!$F$3:$F5618,'CLASFICACIÓN'!$G$3:$G5618=M2922)"),"LOS 3 AÑOS")</f>
        <v>LOS 3 AÑOS</v>
      </c>
      <c r="K2922" s="16" t="str">
        <f t="array" ref="K2922">IFERROR(DGET('PADD-R'!$B$1:$K5618,'PADD-R'!$K$1,{'PADD-R'!$B$1;E2922}),"NO PARTICIPÓ")</f>
        <v>NO PARTICIPÓ</v>
      </c>
      <c r="L2922" s="14" t="s">
        <v>29</v>
      </c>
      <c r="M2922" s="16" t="str">
        <f t="shared" si="1"/>
        <v>EL MILAGRO2 Secundaria</v>
      </c>
      <c r="N2922" s="23"/>
      <c r="O2922" s="17"/>
      <c r="P2922" s="17"/>
      <c r="Q2922" s="17"/>
      <c r="R2922" s="17"/>
      <c r="S2922" s="17"/>
      <c r="T2922" s="17"/>
    </row>
    <row r="2923">
      <c r="A2923" s="18">
        <v>2584.0</v>
      </c>
      <c r="B2923" s="12" t="s">
        <v>13</v>
      </c>
      <c r="C2923" s="12" t="s">
        <v>27</v>
      </c>
      <c r="D2923" s="20" t="s">
        <v>28</v>
      </c>
      <c r="E2923" s="12" t="str">
        <f>IFERROR(__xludf.DUMMYFUNCTION("FILTER(colegios!$B$2:$B5618,colegios!$A$2:$A5618=L2923)"),"EL MILAGRO")</f>
        <v>EL MILAGRO</v>
      </c>
      <c r="F2923" s="14" t="s">
        <v>16</v>
      </c>
      <c r="G2923" s="20" t="s">
        <v>21</v>
      </c>
      <c r="H2923" s="14" t="s">
        <v>18</v>
      </c>
      <c r="I2923" s="15">
        <v>2022.0</v>
      </c>
      <c r="J2923" s="16" t="str">
        <f>IFERROR(__xludf.DUMMYFUNCTION("FILTER('CLASFICACIÓN'!$F$3:$F5618,'CLASFICACIÓN'!$G$3:$G5618=M2923)"),"LOS 3 AÑOS")</f>
        <v>LOS 3 AÑOS</v>
      </c>
      <c r="K2923" s="16" t="str">
        <f t="array" ref="K2923">IFERROR(DGET('PADD-R'!$B$1:$K5618,'PADD-R'!$K$1,{'PADD-R'!$B$1;E2923}),"NO PARTICIPÓ")</f>
        <v>NO PARTICIPÓ</v>
      </c>
      <c r="L2923" s="14" t="s">
        <v>29</v>
      </c>
      <c r="M2923" s="16" t="str">
        <f t="shared" si="1"/>
        <v>EL MILAGRO2 Secundaria</v>
      </c>
      <c r="N2923" s="23"/>
      <c r="O2923" s="17"/>
      <c r="P2923" s="17"/>
      <c r="Q2923" s="17"/>
      <c r="R2923" s="17"/>
      <c r="S2923" s="17"/>
      <c r="T2923" s="17"/>
    </row>
    <row r="2924">
      <c r="A2924" s="18">
        <v>2585.0</v>
      </c>
      <c r="B2924" s="12" t="s">
        <v>13</v>
      </c>
      <c r="C2924" s="12" t="s">
        <v>27</v>
      </c>
      <c r="D2924" s="20" t="s">
        <v>28</v>
      </c>
      <c r="E2924" s="12" t="str">
        <f>IFERROR(__xludf.DUMMYFUNCTION("FILTER(colegios!$B$2:$B5618,colegios!$A$2:$A5618=L2924)"),"EL MILAGRO")</f>
        <v>EL MILAGRO</v>
      </c>
      <c r="F2924" s="14" t="s">
        <v>16</v>
      </c>
      <c r="G2924" s="20" t="s">
        <v>21</v>
      </c>
      <c r="H2924" s="14" t="s">
        <v>18</v>
      </c>
      <c r="I2924" s="15">
        <v>2022.0</v>
      </c>
      <c r="J2924" s="16" t="str">
        <f>IFERROR(__xludf.DUMMYFUNCTION("FILTER('CLASFICACIÓN'!$F$3:$F5618,'CLASFICACIÓN'!$G$3:$G5618=M2924)"),"LOS 3 AÑOS")</f>
        <v>LOS 3 AÑOS</v>
      </c>
      <c r="K2924" s="16" t="str">
        <f t="array" ref="K2924">IFERROR(DGET('PADD-R'!$B$1:$K5618,'PADD-R'!$K$1,{'PADD-R'!$B$1;E2924}),"NO PARTICIPÓ")</f>
        <v>NO PARTICIPÓ</v>
      </c>
      <c r="L2924" s="14" t="s">
        <v>29</v>
      </c>
      <c r="M2924" s="16" t="str">
        <f t="shared" si="1"/>
        <v>EL MILAGRO2 Secundaria</v>
      </c>
      <c r="N2924" s="23"/>
      <c r="O2924" s="17"/>
      <c r="P2924" s="17"/>
      <c r="Q2924" s="17"/>
      <c r="R2924" s="17"/>
      <c r="S2924" s="17"/>
      <c r="T2924" s="17"/>
    </row>
    <row r="2925">
      <c r="A2925" s="18">
        <v>2586.0</v>
      </c>
      <c r="B2925" s="12" t="s">
        <v>13</v>
      </c>
      <c r="C2925" s="12" t="s">
        <v>27</v>
      </c>
      <c r="D2925" s="20" t="s">
        <v>28</v>
      </c>
      <c r="E2925" s="12" t="str">
        <f>IFERROR(__xludf.DUMMYFUNCTION("FILTER(colegios!$B$2:$B5618,colegios!$A$2:$A5618=L2925)"),"EL MILAGRO")</f>
        <v>EL MILAGRO</v>
      </c>
      <c r="F2925" s="14" t="s">
        <v>16</v>
      </c>
      <c r="G2925" s="20" t="s">
        <v>21</v>
      </c>
      <c r="H2925" s="14" t="s">
        <v>18</v>
      </c>
      <c r="I2925" s="15">
        <v>2022.0</v>
      </c>
      <c r="J2925" s="16" t="str">
        <f>IFERROR(__xludf.DUMMYFUNCTION("FILTER('CLASFICACIÓN'!$F$3:$F5618,'CLASFICACIÓN'!$G$3:$G5618=M2925)"),"LOS 3 AÑOS")</f>
        <v>LOS 3 AÑOS</v>
      </c>
      <c r="K2925" s="16" t="str">
        <f t="array" ref="K2925">IFERROR(DGET('PADD-R'!$B$1:$K5618,'PADD-R'!$K$1,{'PADD-R'!$B$1;E2925}),"NO PARTICIPÓ")</f>
        <v>NO PARTICIPÓ</v>
      </c>
      <c r="L2925" s="14" t="s">
        <v>29</v>
      </c>
      <c r="M2925" s="16" t="str">
        <f t="shared" si="1"/>
        <v>EL MILAGRO2 Secundaria</v>
      </c>
      <c r="N2925" s="23"/>
      <c r="O2925" s="17"/>
      <c r="P2925" s="17"/>
      <c r="Q2925" s="17"/>
      <c r="R2925" s="17"/>
      <c r="S2925" s="17"/>
      <c r="T2925" s="17"/>
    </row>
    <row r="2926">
      <c r="A2926" s="18">
        <v>2587.0</v>
      </c>
      <c r="B2926" s="12" t="s">
        <v>13</v>
      </c>
      <c r="C2926" s="12" t="s">
        <v>27</v>
      </c>
      <c r="D2926" s="20" t="s">
        <v>28</v>
      </c>
      <c r="E2926" s="12" t="str">
        <f>IFERROR(__xludf.DUMMYFUNCTION("FILTER(colegios!$B$2:$B5618,colegios!$A$2:$A5618=L2926)"),"EL MILAGRO")</f>
        <v>EL MILAGRO</v>
      </c>
      <c r="F2926" s="14" t="s">
        <v>16</v>
      </c>
      <c r="G2926" s="20" t="s">
        <v>17</v>
      </c>
      <c r="H2926" s="14" t="s">
        <v>18</v>
      </c>
      <c r="I2926" s="15">
        <v>2022.0</v>
      </c>
      <c r="J2926" s="16" t="str">
        <f>IFERROR(__xludf.DUMMYFUNCTION("FILTER('CLASFICACIÓN'!$F$3:$F5618,'CLASFICACIÓN'!$G$3:$G5618=M2926)"),"LOS 3 AÑOS")</f>
        <v>LOS 3 AÑOS</v>
      </c>
      <c r="K2926" s="16" t="str">
        <f t="array" ref="K2926">IFERROR(DGET('PADD-R'!$B$1:$K5618,'PADD-R'!$K$1,{'PADD-R'!$B$1;E2926}),"NO PARTICIPÓ")</f>
        <v>NO PARTICIPÓ</v>
      </c>
      <c r="L2926" s="14" t="s">
        <v>29</v>
      </c>
      <c r="M2926" s="16" t="str">
        <f t="shared" si="1"/>
        <v>EL MILAGRO2 Secundaria</v>
      </c>
      <c r="N2926" s="23"/>
      <c r="O2926" s="17"/>
      <c r="P2926" s="17"/>
      <c r="Q2926" s="17"/>
      <c r="R2926" s="17"/>
      <c r="S2926" s="17"/>
      <c r="T2926" s="17"/>
    </row>
    <row r="2927">
      <c r="A2927" s="18">
        <v>2588.0</v>
      </c>
      <c r="B2927" s="12" t="s">
        <v>13</v>
      </c>
      <c r="C2927" s="12" t="s">
        <v>27</v>
      </c>
      <c r="D2927" s="20" t="s">
        <v>28</v>
      </c>
      <c r="E2927" s="12" t="str">
        <f>IFERROR(__xludf.DUMMYFUNCTION("FILTER(colegios!$B$2:$B5618,colegios!$A$2:$A5618=L2927)"),"EL MILAGRO")</f>
        <v>EL MILAGRO</v>
      </c>
      <c r="F2927" s="14" t="s">
        <v>16</v>
      </c>
      <c r="G2927" s="20" t="s">
        <v>17</v>
      </c>
      <c r="H2927" s="14" t="s">
        <v>18</v>
      </c>
      <c r="I2927" s="15">
        <v>2022.0</v>
      </c>
      <c r="J2927" s="16" t="str">
        <f>IFERROR(__xludf.DUMMYFUNCTION("FILTER('CLASFICACIÓN'!$F$3:$F5618,'CLASFICACIÓN'!$G$3:$G5618=M2927)"),"LOS 3 AÑOS")</f>
        <v>LOS 3 AÑOS</v>
      </c>
      <c r="K2927" s="16" t="str">
        <f t="array" ref="K2927">IFERROR(DGET('PADD-R'!$B$1:$K5618,'PADD-R'!$K$1,{'PADD-R'!$B$1;E2927}),"NO PARTICIPÓ")</f>
        <v>NO PARTICIPÓ</v>
      </c>
      <c r="L2927" s="14" t="s">
        <v>29</v>
      </c>
      <c r="M2927" s="16" t="str">
        <f t="shared" si="1"/>
        <v>EL MILAGRO2 Secundaria</v>
      </c>
      <c r="N2927" s="23"/>
      <c r="O2927" s="17"/>
      <c r="P2927" s="17"/>
      <c r="Q2927" s="17"/>
      <c r="R2927" s="17"/>
      <c r="S2927" s="17"/>
      <c r="T2927" s="17"/>
    </row>
    <row r="2928">
      <c r="A2928" s="18">
        <v>2589.0</v>
      </c>
      <c r="B2928" s="12" t="s">
        <v>13</v>
      </c>
      <c r="C2928" s="12" t="s">
        <v>27</v>
      </c>
      <c r="D2928" s="20" t="s">
        <v>28</v>
      </c>
      <c r="E2928" s="12" t="str">
        <f>IFERROR(__xludf.DUMMYFUNCTION("FILTER(colegios!$B$2:$B5618,colegios!$A$2:$A5618=L2928)"),"EL MILAGRO")</f>
        <v>EL MILAGRO</v>
      </c>
      <c r="F2928" s="14" t="s">
        <v>16</v>
      </c>
      <c r="G2928" s="20" t="s">
        <v>17</v>
      </c>
      <c r="H2928" s="14" t="s">
        <v>18</v>
      </c>
      <c r="I2928" s="15">
        <v>2022.0</v>
      </c>
      <c r="J2928" s="16" t="str">
        <f>IFERROR(__xludf.DUMMYFUNCTION("FILTER('CLASFICACIÓN'!$F$3:$F5618,'CLASFICACIÓN'!$G$3:$G5618=M2928)"),"LOS 3 AÑOS")</f>
        <v>LOS 3 AÑOS</v>
      </c>
      <c r="K2928" s="16" t="str">
        <f t="array" ref="K2928">IFERROR(DGET('PADD-R'!$B$1:$K5618,'PADD-R'!$K$1,{'PADD-R'!$B$1;E2928}),"NO PARTICIPÓ")</f>
        <v>NO PARTICIPÓ</v>
      </c>
      <c r="L2928" s="14" t="s">
        <v>29</v>
      </c>
      <c r="M2928" s="16" t="str">
        <f t="shared" si="1"/>
        <v>EL MILAGRO2 Secundaria</v>
      </c>
      <c r="N2928" s="23"/>
      <c r="O2928" s="17"/>
      <c r="P2928" s="17"/>
      <c r="Q2928" s="17"/>
      <c r="R2928" s="17"/>
      <c r="S2928" s="17"/>
      <c r="T2928" s="17"/>
    </row>
    <row r="2929">
      <c r="A2929" s="18">
        <v>2590.0</v>
      </c>
      <c r="B2929" s="12" t="s">
        <v>13</v>
      </c>
      <c r="C2929" s="12" t="s">
        <v>27</v>
      </c>
      <c r="D2929" s="20" t="s">
        <v>28</v>
      </c>
      <c r="E2929" s="12" t="str">
        <f>IFERROR(__xludf.DUMMYFUNCTION("FILTER(colegios!$B$2:$B5618,colegios!$A$2:$A5618=L2929)"),"EL MILAGRO")</f>
        <v>EL MILAGRO</v>
      </c>
      <c r="F2929" s="14" t="s">
        <v>16</v>
      </c>
      <c r="G2929" s="20" t="s">
        <v>17</v>
      </c>
      <c r="H2929" s="14" t="s">
        <v>18</v>
      </c>
      <c r="I2929" s="15">
        <v>2022.0</v>
      </c>
      <c r="J2929" s="16" t="str">
        <f>IFERROR(__xludf.DUMMYFUNCTION("FILTER('CLASFICACIÓN'!$F$3:$F5618,'CLASFICACIÓN'!$G$3:$G5618=M2929)"),"LOS 3 AÑOS")</f>
        <v>LOS 3 AÑOS</v>
      </c>
      <c r="K2929" s="16" t="str">
        <f t="array" ref="K2929">IFERROR(DGET('PADD-R'!$B$1:$K5618,'PADD-R'!$K$1,{'PADD-R'!$B$1;E2929}),"NO PARTICIPÓ")</f>
        <v>NO PARTICIPÓ</v>
      </c>
      <c r="L2929" s="14" t="s">
        <v>29</v>
      </c>
      <c r="M2929" s="16" t="str">
        <f t="shared" si="1"/>
        <v>EL MILAGRO2 Secundaria</v>
      </c>
      <c r="N2929" s="23"/>
      <c r="O2929" s="17"/>
      <c r="P2929" s="17"/>
      <c r="Q2929" s="17"/>
      <c r="R2929" s="17"/>
      <c r="S2929" s="17"/>
      <c r="T2929" s="17"/>
    </row>
    <row r="2930">
      <c r="A2930" s="18">
        <v>2591.0</v>
      </c>
      <c r="B2930" s="12" t="s">
        <v>13</v>
      </c>
      <c r="C2930" s="12" t="s">
        <v>27</v>
      </c>
      <c r="D2930" s="20" t="s">
        <v>28</v>
      </c>
      <c r="E2930" s="12" t="str">
        <f>IFERROR(__xludf.DUMMYFUNCTION("FILTER(colegios!$B$2:$B5618,colegios!$A$2:$A5618=L2930)"),"EL MILAGRO")</f>
        <v>EL MILAGRO</v>
      </c>
      <c r="F2930" s="14" t="s">
        <v>16</v>
      </c>
      <c r="G2930" s="20" t="s">
        <v>21</v>
      </c>
      <c r="H2930" s="14" t="s">
        <v>18</v>
      </c>
      <c r="I2930" s="15">
        <v>2022.0</v>
      </c>
      <c r="J2930" s="16" t="str">
        <f>IFERROR(__xludf.DUMMYFUNCTION("FILTER('CLASFICACIÓN'!$F$3:$F5618,'CLASFICACIÓN'!$G$3:$G5618=M2930)"),"LOS 3 AÑOS")</f>
        <v>LOS 3 AÑOS</v>
      </c>
      <c r="K2930" s="16" t="str">
        <f t="array" ref="K2930">IFERROR(DGET('PADD-R'!$B$1:$K5618,'PADD-R'!$K$1,{'PADD-R'!$B$1;E2930}),"NO PARTICIPÓ")</f>
        <v>NO PARTICIPÓ</v>
      </c>
      <c r="L2930" s="14" t="s">
        <v>29</v>
      </c>
      <c r="M2930" s="16" t="str">
        <f t="shared" si="1"/>
        <v>EL MILAGRO2 Secundaria</v>
      </c>
      <c r="N2930" s="23"/>
      <c r="O2930" s="17"/>
      <c r="P2930" s="17"/>
      <c r="Q2930" s="17"/>
      <c r="R2930" s="17"/>
      <c r="S2930" s="17"/>
      <c r="T2930" s="17"/>
    </row>
    <row r="2931">
      <c r="A2931" s="18">
        <v>2592.0</v>
      </c>
      <c r="B2931" s="12" t="s">
        <v>13</v>
      </c>
      <c r="C2931" s="12" t="s">
        <v>27</v>
      </c>
      <c r="D2931" s="20" t="s">
        <v>28</v>
      </c>
      <c r="E2931" s="12" t="str">
        <f>IFERROR(__xludf.DUMMYFUNCTION("FILTER(colegios!$B$2:$B5618,colegios!$A$2:$A5618=L2931)"),"EL MILAGRO")</f>
        <v>EL MILAGRO</v>
      </c>
      <c r="F2931" s="14" t="s">
        <v>16</v>
      </c>
      <c r="G2931" s="20" t="s">
        <v>21</v>
      </c>
      <c r="H2931" s="14" t="s">
        <v>18</v>
      </c>
      <c r="I2931" s="15">
        <v>2022.0</v>
      </c>
      <c r="J2931" s="16" t="str">
        <f>IFERROR(__xludf.DUMMYFUNCTION("FILTER('CLASFICACIÓN'!$F$3:$F5618,'CLASFICACIÓN'!$G$3:$G5618=M2931)"),"LOS 3 AÑOS")</f>
        <v>LOS 3 AÑOS</v>
      </c>
      <c r="K2931" s="16" t="str">
        <f t="array" ref="K2931">IFERROR(DGET('PADD-R'!$B$1:$K5618,'PADD-R'!$K$1,{'PADD-R'!$B$1;E2931}),"NO PARTICIPÓ")</f>
        <v>NO PARTICIPÓ</v>
      </c>
      <c r="L2931" s="14" t="s">
        <v>29</v>
      </c>
      <c r="M2931" s="16" t="str">
        <f t="shared" si="1"/>
        <v>EL MILAGRO2 Secundaria</v>
      </c>
      <c r="N2931" s="23"/>
      <c r="O2931" s="17"/>
      <c r="P2931" s="17"/>
      <c r="Q2931" s="17"/>
      <c r="R2931" s="17"/>
      <c r="S2931" s="17"/>
      <c r="T2931" s="17"/>
    </row>
    <row r="2932">
      <c r="A2932" s="18">
        <v>2593.0</v>
      </c>
      <c r="B2932" s="12" t="s">
        <v>13</v>
      </c>
      <c r="C2932" s="12" t="s">
        <v>27</v>
      </c>
      <c r="D2932" s="20" t="s">
        <v>28</v>
      </c>
      <c r="E2932" s="12" t="str">
        <f>IFERROR(__xludf.DUMMYFUNCTION("FILTER(colegios!$B$2:$B5618,colegios!$A$2:$A5618=L2932)"),"EL MILAGRO")</f>
        <v>EL MILAGRO</v>
      </c>
      <c r="F2932" s="14" t="s">
        <v>16</v>
      </c>
      <c r="G2932" s="20" t="s">
        <v>21</v>
      </c>
      <c r="H2932" s="14" t="s">
        <v>18</v>
      </c>
      <c r="I2932" s="15">
        <v>2022.0</v>
      </c>
      <c r="J2932" s="16" t="str">
        <f>IFERROR(__xludf.DUMMYFUNCTION("FILTER('CLASFICACIÓN'!$F$3:$F5618,'CLASFICACIÓN'!$G$3:$G5618=M2932)"),"LOS 3 AÑOS")</f>
        <v>LOS 3 AÑOS</v>
      </c>
      <c r="K2932" s="16" t="str">
        <f t="array" ref="K2932">IFERROR(DGET('PADD-R'!$B$1:$K5618,'PADD-R'!$K$1,{'PADD-R'!$B$1;E2932}),"NO PARTICIPÓ")</f>
        <v>NO PARTICIPÓ</v>
      </c>
      <c r="L2932" s="14" t="s">
        <v>29</v>
      </c>
      <c r="M2932" s="16" t="str">
        <f t="shared" si="1"/>
        <v>EL MILAGRO2 Secundaria</v>
      </c>
      <c r="N2932" s="23"/>
      <c r="O2932" s="17"/>
      <c r="P2932" s="17"/>
      <c r="Q2932" s="17"/>
      <c r="R2932" s="17"/>
      <c r="S2932" s="17"/>
      <c r="T2932" s="17"/>
    </row>
    <row r="2933">
      <c r="A2933" s="18">
        <v>2594.0</v>
      </c>
      <c r="B2933" s="12" t="s">
        <v>13</v>
      </c>
      <c r="C2933" s="12" t="s">
        <v>27</v>
      </c>
      <c r="D2933" s="20" t="s">
        <v>28</v>
      </c>
      <c r="E2933" s="12" t="str">
        <f>IFERROR(__xludf.DUMMYFUNCTION("FILTER(colegios!$B$2:$B5618,colegios!$A$2:$A5618=L2933)"),"EL MILAGRO")</f>
        <v>EL MILAGRO</v>
      </c>
      <c r="F2933" s="14" t="s">
        <v>16</v>
      </c>
      <c r="G2933" s="20" t="s">
        <v>21</v>
      </c>
      <c r="H2933" s="14" t="s">
        <v>18</v>
      </c>
      <c r="I2933" s="15">
        <v>2022.0</v>
      </c>
      <c r="J2933" s="16" t="str">
        <f>IFERROR(__xludf.DUMMYFUNCTION("FILTER('CLASFICACIÓN'!$F$3:$F5618,'CLASFICACIÓN'!$G$3:$G5618=M2933)"),"LOS 3 AÑOS")</f>
        <v>LOS 3 AÑOS</v>
      </c>
      <c r="K2933" s="16" t="str">
        <f t="array" ref="K2933">IFERROR(DGET('PADD-R'!$B$1:$K5618,'PADD-R'!$K$1,{'PADD-R'!$B$1;E2933}),"NO PARTICIPÓ")</f>
        <v>NO PARTICIPÓ</v>
      </c>
      <c r="L2933" s="14" t="s">
        <v>29</v>
      </c>
      <c r="M2933" s="16" t="str">
        <f t="shared" si="1"/>
        <v>EL MILAGRO2 Secundaria</v>
      </c>
      <c r="N2933" s="23"/>
      <c r="O2933" s="17"/>
      <c r="P2933" s="17"/>
      <c r="Q2933" s="17"/>
      <c r="R2933" s="17"/>
      <c r="S2933" s="17"/>
      <c r="T2933" s="17"/>
    </row>
    <row r="2934">
      <c r="A2934" s="18">
        <v>2595.0</v>
      </c>
      <c r="B2934" s="12" t="s">
        <v>13</v>
      </c>
      <c r="C2934" s="12" t="s">
        <v>27</v>
      </c>
      <c r="D2934" s="20" t="s">
        <v>28</v>
      </c>
      <c r="E2934" s="12" t="str">
        <f>IFERROR(__xludf.DUMMYFUNCTION("FILTER(colegios!$B$2:$B5618,colegios!$A$2:$A5618=L2934)"),"EL MILAGRO")</f>
        <v>EL MILAGRO</v>
      </c>
      <c r="F2934" s="14" t="s">
        <v>16</v>
      </c>
      <c r="G2934" s="20" t="s">
        <v>21</v>
      </c>
      <c r="H2934" s="14" t="s">
        <v>18</v>
      </c>
      <c r="I2934" s="15">
        <v>2022.0</v>
      </c>
      <c r="J2934" s="16" t="str">
        <f>IFERROR(__xludf.DUMMYFUNCTION("FILTER('CLASFICACIÓN'!$F$3:$F5618,'CLASFICACIÓN'!$G$3:$G5618=M2934)"),"LOS 3 AÑOS")</f>
        <v>LOS 3 AÑOS</v>
      </c>
      <c r="K2934" s="16" t="str">
        <f t="array" ref="K2934">IFERROR(DGET('PADD-R'!$B$1:$K5618,'PADD-R'!$K$1,{'PADD-R'!$B$1;E2934}),"NO PARTICIPÓ")</f>
        <v>NO PARTICIPÓ</v>
      </c>
      <c r="L2934" s="14" t="s">
        <v>29</v>
      </c>
      <c r="M2934" s="16" t="str">
        <f t="shared" si="1"/>
        <v>EL MILAGRO2 Secundaria</v>
      </c>
      <c r="N2934" s="23"/>
      <c r="O2934" s="17"/>
      <c r="P2934" s="17"/>
      <c r="Q2934" s="17"/>
      <c r="R2934" s="17"/>
      <c r="S2934" s="17"/>
      <c r="T2934" s="17"/>
    </row>
    <row r="2935">
      <c r="A2935" s="18">
        <v>2596.0</v>
      </c>
      <c r="B2935" s="12" t="s">
        <v>13</v>
      </c>
      <c r="C2935" s="12" t="s">
        <v>27</v>
      </c>
      <c r="D2935" s="20" t="s">
        <v>28</v>
      </c>
      <c r="E2935" s="12" t="str">
        <f>IFERROR(__xludf.DUMMYFUNCTION("FILTER(colegios!$B$2:$B5618,colegios!$A$2:$A5618=L2935)"),"EL MILAGRO")</f>
        <v>EL MILAGRO</v>
      </c>
      <c r="F2935" s="14" t="s">
        <v>16</v>
      </c>
      <c r="G2935" s="20" t="s">
        <v>21</v>
      </c>
      <c r="H2935" s="14" t="s">
        <v>18</v>
      </c>
      <c r="I2935" s="15">
        <v>2022.0</v>
      </c>
      <c r="J2935" s="16" t="str">
        <f>IFERROR(__xludf.DUMMYFUNCTION("FILTER('CLASFICACIÓN'!$F$3:$F5618,'CLASFICACIÓN'!$G$3:$G5618=M2935)"),"LOS 3 AÑOS")</f>
        <v>LOS 3 AÑOS</v>
      </c>
      <c r="K2935" s="16" t="str">
        <f t="array" ref="K2935">IFERROR(DGET('PADD-R'!$B$1:$K5618,'PADD-R'!$K$1,{'PADD-R'!$B$1;E2935}),"NO PARTICIPÓ")</f>
        <v>NO PARTICIPÓ</v>
      </c>
      <c r="L2935" s="14" t="s">
        <v>29</v>
      </c>
      <c r="M2935" s="16" t="str">
        <f t="shared" si="1"/>
        <v>EL MILAGRO2 Secundaria</v>
      </c>
      <c r="N2935" s="23"/>
      <c r="O2935" s="17"/>
      <c r="P2935" s="17"/>
      <c r="Q2935" s="17"/>
      <c r="R2935" s="17"/>
      <c r="S2935" s="17"/>
      <c r="T2935" s="17"/>
    </row>
    <row r="2936">
      <c r="A2936" s="18">
        <v>2597.0</v>
      </c>
      <c r="B2936" s="12" t="s">
        <v>13</v>
      </c>
      <c r="C2936" s="12" t="s">
        <v>27</v>
      </c>
      <c r="D2936" s="20" t="s">
        <v>28</v>
      </c>
      <c r="E2936" s="12" t="str">
        <f>IFERROR(__xludf.DUMMYFUNCTION("FILTER(colegios!$B$2:$B5618,colegios!$A$2:$A5618=L2936)"),"EL MILAGRO")</f>
        <v>EL MILAGRO</v>
      </c>
      <c r="F2936" s="14" t="s">
        <v>16</v>
      </c>
      <c r="G2936" s="20" t="s">
        <v>17</v>
      </c>
      <c r="H2936" s="14" t="s">
        <v>18</v>
      </c>
      <c r="I2936" s="15">
        <v>2022.0</v>
      </c>
      <c r="J2936" s="16" t="str">
        <f>IFERROR(__xludf.DUMMYFUNCTION("FILTER('CLASFICACIÓN'!$F$3:$F5618,'CLASFICACIÓN'!$G$3:$G5618=M2936)"),"LOS 3 AÑOS")</f>
        <v>LOS 3 AÑOS</v>
      </c>
      <c r="K2936" s="16" t="str">
        <f t="array" ref="K2936">IFERROR(DGET('PADD-R'!$B$1:$K5618,'PADD-R'!$K$1,{'PADD-R'!$B$1;E2936}),"NO PARTICIPÓ")</f>
        <v>NO PARTICIPÓ</v>
      </c>
      <c r="L2936" s="14" t="s">
        <v>29</v>
      </c>
      <c r="M2936" s="16" t="str">
        <f t="shared" si="1"/>
        <v>EL MILAGRO2 Secundaria</v>
      </c>
      <c r="N2936" s="23"/>
      <c r="O2936" s="17"/>
      <c r="P2936" s="17"/>
      <c r="Q2936" s="17"/>
      <c r="R2936" s="17"/>
      <c r="S2936" s="17"/>
      <c r="T2936" s="17"/>
    </row>
    <row r="2937">
      <c r="A2937" s="18">
        <v>2598.0</v>
      </c>
      <c r="B2937" s="12" t="s">
        <v>13</v>
      </c>
      <c r="C2937" s="12" t="s">
        <v>27</v>
      </c>
      <c r="D2937" s="20" t="s">
        <v>28</v>
      </c>
      <c r="E2937" s="12" t="str">
        <f>IFERROR(__xludf.DUMMYFUNCTION("FILTER(colegios!$B$2:$B5618,colegios!$A$2:$A5618=L2937)"),"EL MILAGRO")</f>
        <v>EL MILAGRO</v>
      </c>
      <c r="F2937" s="14" t="s">
        <v>16</v>
      </c>
      <c r="G2937" s="20" t="s">
        <v>17</v>
      </c>
      <c r="H2937" s="14" t="s">
        <v>18</v>
      </c>
      <c r="I2937" s="15">
        <v>2022.0</v>
      </c>
      <c r="J2937" s="16" t="str">
        <f>IFERROR(__xludf.DUMMYFUNCTION("FILTER('CLASFICACIÓN'!$F$3:$F5618,'CLASFICACIÓN'!$G$3:$G5618=M2937)"),"LOS 3 AÑOS")</f>
        <v>LOS 3 AÑOS</v>
      </c>
      <c r="K2937" s="16" t="str">
        <f t="array" ref="K2937">IFERROR(DGET('PADD-R'!$B$1:$K5618,'PADD-R'!$K$1,{'PADD-R'!$B$1;E2937}),"NO PARTICIPÓ")</f>
        <v>NO PARTICIPÓ</v>
      </c>
      <c r="L2937" s="14" t="s">
        <v>29</v>
      </c>
      <c r="M2937" s="16" t="str">
        <f t="shared" si="1"/>
        <v>EL MILAGRO2 Secundaria</v>
      </c>
      <c r="N2937" s="23"/>
      <c r="O2937" s="17"/>
      <c r="P2937" s="17"/>
      <c r="Q2937" s="17"/>
      <c r="R2937" s="17"/>
      <c r="S2937" s="17"/>
      <c r="T2937" s="17"/>
    </row>
    <row r="2938">
      <c r="A2938" s="18">
        <v>2599.0</v>
      </c>
      <c r="B2938" s="12" t="s">
        <v>13</v>
      </c>
      <c r="C2938" s="12" t="s">
        <v>27</v>
      </c>
      <c r="D2938" s="20" t="s">
        <v>28</v>
      </c>
      <c r="E2938" s="12" t="str">
        <f>IFERROR(__xludf.DUMMYFUNCTION("FILTER(colegios!$B$2:$B5618,colegios!$A$2:$A5618=L2938)"),"EL MILAGRO")</f>
        <v>EL MILAGRO</v>
      </c>
      <c r="F2938" s="14" t="s">
        <v>16</v>
      </c>
      <c r="G2938" s="20" t="s">
        <v>17</v>
      </c>
      <c r="H2938" s="14" t="s">
        <v>18</v>
      </c>
      <c r="I2938" s="15">
        <v>2022.0</v>
      </c>
      <c r="J2938" s="16" t="str">
        <f>IFERROR(__xludf.DUMMYFUNCTION("FILTER('CLASFICACIÓN'!$F$3:$F5618,'CLASFICACIÓN'!$G$3:$G5618=M2938)"),"LOS 3 AÑOS")</f>
        <v>LOS 3 AÑOS</v>
      </c>
      <c r="K2938" s="16" t="str">
        <f t="array" ref="K2938">IFERROR(DGET('PADD-R'!$B$1:$K5618,'PADD-R'!$K$1,{'PADD-R'!$B$1;E2938}),"NO PARTICIPÓ")</f>
        <v>NO PARTICIPÓ</v>
      </c>
      <c r="L2938" s="14" t="s">
        <v>29</v>
      </c>
      <c r="M2938" s="16" t="str">
        <f t="shared" si="1"/>
        <v>EL MILAGRO2 Secundaria</v>
      </c>
      <c r="N2938" s="23"/>
      <c r="O2938" s="17"/>
      <c r="P2938" s="17"/>
      <c r="Q2938" s="17"/>
      <c r="R2938" s="17"/>
      <c r="S2938" s="17"/>
      <c r="T2938" s="17"/>
    </row>
    <row r="2939">
      <c r="A2939" s="18">
        <v>2600.0</v>
      </c>
      <c r="B2939" s="12" t="s">
        <v>13</v>
      </c>
      <c r="C2939" s="12" t="s">
        <v>27</v>
      </c>
      <c r="D2939" s="20" t="s">
        <v>28</v>
      </c>
      <c r="E2939" s="12" t="str">
        <f>IFERROR(__xludf.DUMMYFUNCTION("FILTER(colegios!$B$2:$B5618,colegios!$A$2:$A5618=L2939)"),"EL MILAGRO")</f>
        <v>EL MILAGRO</v>
      </c>
      <c r="F2939" s="14" t="s">
        <v>16</v>
      </c>
      <c r="G2939" s="20" t="s">
        <v>17</v>
      </c>
      <c r="H2939" s="14" t="s">
        <v>18</v>
      </c>
      <c r="I2939" s="15">
        <v>2022.0</v>
      </c>
      <c r="J2939" s="16" t="str">
        <f>IFERROR(__xludf.DUMMYFUNCTION("FILTER('CLASFICACIÓN'!$F$3:$F5618,'CLASFICACIÓN'!$G$3:$G5618=M2939)"),"LOS 3 AÑOS")</f>
        <v>LOS 3 AÑOS</v>
      </c>
      <c r="K2939" s="16" t="str">
        <f t="array" ref="K2939">IFERROR(DGET('PADD-R'!$B$1:$K5618,'PADD-R'!$K$1,{'PADD-R'!$B$1;E2939}),"NO PARTICIPÓ")</f>
        <v>NO PARTICIPÓ</v>
      </c>
      <c r="L2939" s="14" t="s">
        <v>29</v>
      </c>
      <c r="M2939" s="16" t="str">
        <f t="shared" si="1"/>
        <v>EL MILAGRO2 Secundaria</v>
      </c>
      <c r="N2939" s="23"/>
      <c r="O2939" s="17"/>
      <c r="P2939" s="17"/>
      <c r="Q2939" s="17"/>
      <c r="R2939" s="17"/>
      <c r="S2939" s="17"/>
      <c r="T2939" s="17"/>
    </row>
    <row r="2940">
      <c r="A2940" s="18">
        <v>2601.0</v>
      </c>
      <c r="B2940" s="12" t="s">
        <v>13</v>
      </c>
      <c r="C2940" s="12" t="s">
        <v>27</v>
      </c>
      <c r="D2940" s="20" t="s">
        <v>28</v>
      </c>
      <c r="E2940" s="12" t="str">
        <f>IFERROR(__xludf.DUMMYFUNCTION("FILTER(colegios!$B$2:$B5618,colegios!$A$2:$A5618=L2940)"),"EL MILAGRO")</f>
        <v>EL MILAGRO</v>
      </c>
      <c r="F2940" s="14" t="s">
        <v>16</v>
      </c>
      <c r="G2940" s="20" t="s">
        <v>17</v>
      </c>
      <c r="H2940" s="14" t="s">
        <v>18</v>
      </c>
      <c r="I2940" s="15">
        <v>2022.0</v>
      </c>
      <c r="J2940" s="16" t="str">
        <f>IFERROR(__xludf.DUMMYFUNCTION("FILTER('CLASFICACIÓN'!$F$3:$F5618,'CLASFICACIÓN'!$G$3:$G5618=M2940)"),"LOS 3 AÑOS")</f>
        <v>LOS 3 AÑOS</v>
      </c>
      <c r="K2940" s="16" t="str">
        <f t="array" ref="K2940">IFERROR(DGET('PADD-R'!$B$1:$K5618,'PADD-R'!$K$1,{'PADD-R'!$B$1;E2940}),"NO PARTICIPÓ")</f>
        <v>NO PARTICIPÓ</v>
      </c>
      <c r="L2940" s="14" t="s">
        <v>29</v>
      </c>
      <c r="M2940" s="16" t="str">
        <f t="shared" si="1"/>
        <v>EL MILAGRO2 Secundaria</v>
      </c>
      <c r="N2940" s="23"/>
      <c r="O2940" s="17"/>
      <c r="P2940" s="17"/>
      <c r="Q2940" s="17"/>
      <c r="R2940" s="17"/>
      <c r="S2940" s="17"/>
      <c r="T2940" s="17"/>
    </row>
    <row r="2941">
      <c r="A2941" s="18">
        <v>2602.0</v>
      </c>
      <c r="B2941" s="12" t="s">
        <v>13</v>
      </c>
      <c r="C2941" s="12" t="s">
        <v>27</v>
      </c>
      <c r="D2941" s="20" t="s">
        <v>28</v>
      </c>
      <c r="E2941" s="12" t="str">
        <f>IFERROR(__xludf.DUMMYFUNCTION("FILTER(colegios!$B$2:$B5618,colegios!$A$2:$A5618=L2941)"),"EL MILAGRO")</f>
        <v>EL MILAGRO</v>
      </c>
      <c r="F2941" s="14" t="s">
        <v>16</v>
      </c>
      <c r="G2941" s="20" t="s">
        <v>17</v>
      </c>
      <c r="H2941" s="14" t="s">
        <v>18</v>
      </c>
      <c r="I2941" s="15">
        <v>2022.0</v>
      </c>
      <c r="J2941" s="16" t="str">
        <f>IFERROR(__xludf.DUMMYFUNCTION("FILTER('CLASFICACIÓN'!$F$3:$F5618,'CLASFICACIÓN'!$G$3:$G5618=M2941)"),"LOS 3 AÑOS")</f>
        <v>LOS 3 AÑOS</v>
      </c>
      <c r="K2941" s="16" t="str">
        <f t="array" ref="K2941">IFERROR(DGET('PADD-R'!$B$1:$K5618,'PADD-R'!$K$1,{'PADD-R'!$B$1;E2941}),"NO PARTICIPÓ")</f>
        <v>NO PARTICIPÓ</v>
      </c>
      <c r="L2941" s="14" t="s">
        <v>29</v>
      </c>
      <c r="M2941" s="16" t="str">
        <f t="shared" si="1"/>
        <v>EL MILAGRO2 Secundaria</v>
      </c>
      <c r="N2941" s="23"/>
      <c r="O2941" s="17"/>
      <c r="P2941" s="17"/>
      <c r="Q2941" s="17"/>
      <c r="R2941" s="17"/>
      <c r="S2941" s="17"/>
      <c r="T2941" s="17"/>
    </row>
    <row r="2942">
      <c r="A2942" s="18">
        <v>2603.0</v>
      </c>
      <c r="B2942" s="12" t="s">
        <v>13</v>
      </c>
      <c r="C2942" s="12" t="s">
        <v>27</v>
      </c>
      <c r="D2942" s="20" t="s">
        <v>28</v>
      </c>
      <c r="E2942" s="12" t="str">
        <f>IFERROR(__xludf.DUMMYFUNCTION("FILTER(colegios!$B$2:$B5618,colegios!$A$2:$A5618=L2942)"),"EL MILAGRO")</f>
        <v>EL MILAGRO</v>
      </c>
      <c r="F2942" s="14" t="s">
        <v>16</v>
      </c>
      <c r="G2942" s="20" t="s">
        <v>21</v>
      </c>
      <c r="H2942" s="14" t="s">
        <v>18</v>
      </c>
      <c r="I2942" s="15">
        <v>2022.0</v>
      </c>
      <c r="J2942" s="16" t="str">
        <f>IFERROR(__xludf.DUMMYFUNCTION("FILTER('CLASFICACIÓN'!$F$3:$F5618,'CLASFICACIÓN'!$G$3:$G5618=M2942)"),"LOS 3 AÑOS")</f>
        <v>LOS 3 AÑOS</v>
      </c>
      <c r="K2942" s="16" t="str">
        <f t="array" ref="K2942">IFERROR(DGET('PADD-R'!$B$1:$K5618,'PADD-R'!$K$1,{'PADD-R'!$B$1;E2942}),"NO PARTICIPÓ")</f>
        <v>NO PARTICIPÓ</v>
      </c>
      <c r="L2942" s="14" t="s">
        <v>29</v>
      </c>
      <c r="M2942" s="16" t="str">
        <f t="shared" si="1"/>
        <v>EL MILAGRO2 Secundaria</v>
      </c>
      <c r="N2942" s="23"/>
      <c r="O2942" s="17"/>
      <c r="P2942" s="17"/>
      <c r="Q2942" s="17"/>
      <c r="R2942" s="17"/>
      <c r="S2942" s="17"/>
      <c r="T2942" s="17"/>
    </row>
    <row r="2943">
      <c r="A2943" s="18">
        <v>2604.0</v>
      </c>
      <c r="B2943" s="12" t="s">
        <v>13</v>
      </c>
      <c r="C2943" s="12" t="s">
        <v>27</v>
      </c>
      <c r="D2943" s="20" t="s">
        <v>28</v>
      </c>
      <c r="E2943" s="12" t="str">
        <f>IFERROR(__xludf.DUMMYFUNCTION("FILTER(colegios!$B$2:$B5618,colegios!$A$2:$A5618=L2943)"),"EL MILAGRO")</f>
        <v>EL MILAGRO</v>
      </c>
      <c r="F2943" s="14" t="s">
        <v>16</v>
      </c>
      <c r="G2943" s="20" t="s">
        <v>21</v>
      </c>
      <c r="H2943" s="14" t="s">
        <v>18</v>
      </c>
      <c r="I2943" s="15">
        <v>2022.0</v>
      </c>
      <c r="J2943" s="16" t="str">
        <f>IFERROR(__xludf.DUMMYFUNCTION("FILTER('CLASFICACIÓN'!$F$3:$F5618,'CLASFICACIÓN'!$G$3:$G5618=M2943)"),"LOS 3 AÑOS")</f>
        <v>LOS 3 AÑOS</v>
      </c>
      <c r="K2943" s="16" t="str">
        <f t="array" ref="K2943">IFERROR(DGET('PADD-R'!$B$1:$K5618,'PADD-R'!$K$1,{'PADD-R'!$B$1;E2943}),"NO PARTICIPÓ")</f>
        <v>NO PARTICIPÓ</v>
      </c>
      <c r="L2943" s="14" t="s">
        <v>29</v>
      </c>
      <c r="M2943" s="16" t="str">
        <f t="shared" si="1"/>
        <v>EL MILAGRO2 Secundaria</v>
      </c>
      <c r="N2943" s="23"/>
      <c r="O2943" s="17"/>
      <c r="P2943" s="17"/>
      <c r="Q2943" s="17"/>
      <c r="R2943" s="17"/>
      <c r="S2943" s="17"/>
      <c r="T2943" s="17"/>
    </row>
    <row r="2944">
      <c r="A2944" s="18">
        <v>2605.0</v>
      </c>
      <c r="B2944" s="12" t="s">
        <v>13</v>
      </c>
      <c r="C2944" s="12" t="s">
        <v>27</v>
      </c>
      <c r="D2944" s="20" t="s">
        <v>28</v>
      </c>
      <c r="E2944" s="12" t="str">
        <f>IFERROR(__xludf.DUMMYFUNCTION("FILTER(colegios!$B$2:$B5618,colegios!$A$2:$A5618=L2944)"),"EL MILAGRO")</f>
        <v>EL MILAGRO</v>
      </c>
      <c r="F2944" s="14" t="s">
        <v>16</v>
      </c>
      <c r="G2944" s="20" t="s">
        <v>21</v>
      </c>
      <c r="H2944" s="14" t="s">
        <v>18</v>
      </c>
      <c r="I2944" s="15">
        <v>2022.0</v>
      </c>
      <c r="J2944" s="16" t="str">
        <f>IFERROR(__xludf.DUMMYFUNCTION("FILTER('CLASFICACIÓN'!$F$3:$F5618,'CLASFICACIÓN'!$G$3:$G5618=M2944)"),"LOS 3 AÑOS")</f>
        <v>LOS 3 AÑOS</v>
      </c>
      <c r="K2944" s="16" t="str">
        <f t="array" ref="K2944">IFERROR(DGET('PADD-R'!$B$1:$K5618,'PADD-R'!$K$1,{'PADD-R'!$B$1;E2944}),"NO PARTICIPÓ")</f>
        <v>NO PARTICIPÓ</v>
      </c>
      <c r="L2944" s="14" t="s">
        <v>29</v>
      </c>
      <c r="M2944" s="16" t="str">
        <f t="shared" si="1"/>
        <v>EL MILAGRO2 Secundaria</v>
      </c>
      <c r="N2944" s="23"/>
      <c r="O2944" s="17"/>
      <c r="P2944" s="17"/>
      <c r="Q2944" s="17"/>
      <c r="R2944" s="17"/>
      <c r="S2944" s="17"/>
      <c r="T2944" s="17"/>
    </row>
    <row r="2945">
      <c r="A2945" s="18">
        <v>2606.0</v>
      </c>
      <c r="B2945" s="12" t="s">
        <v>13</v>
      </c>
      <c r="C2945" s="12" t="s">
        <v>27</v>
      </c>
      <c r="D2945" s="20" t="s">
        <v>28</v>
      </c>
      <c r="E2945" s="12" t="str">
        <f>IFERROR(__xludf.DUMMYFUNCTION("FILTER(colegios!$B$2:$B5618,colegios!$A$2:$A5618=L2945)"),"EL MILAGRO")</f>
        <v>EL MILAGRO</v>
      </c>
      <c r="F2945" s="14" t="s">
        <v>16</v>
      </c>
      <c r="G2945" s="20" t="s">
        <v>17</v>
      </c>
      <c r="H2945" s="14" t="s">
        <v>18</v>
      </c>
      <c r="I2945" s="15">
        <v>2022.0</v>
      </c>
      <c r="J2945" s="16" t="str">
        <f>IFERROR(__xludf.DUMMYFUNCTION("FILTER('CLASFICACIÓN'!$F$3:$F5618,'CLASFICACIÓN'!$G$3:$G5618=M2945)"),"LOS 3 AÑOS")</f>
        <v>LOS 3 AÑOS</v>
      </c>
      <c r="K2945" s="16" t="str">
        <f t="array" ref="K2945">IFERROR(DGET('PADD-R'!$B$1:$K5618,'PADD-R'!$K$1,{'PADD-R'!$B$1;E2945}),"NO PARTICIPÓ")</f>
        <v>NO PARTICIPÓ</v>
      </c>
      <c r="L2945" s="14" t="s">
        <v>29</v>
      </c>
      <c r="M2945" s="16" t="str">
        <f t="shared" si="1"/>
        <v>EL MILAGRO2 Secundaria</v>
      </c>
      <c r="N2945" s="23"/>
      <c r="O2945" s="17"/>
      <c r="P2945" s="17"/>
      <c r="Q2945" s="17"/>
      <c r="R2945" s="17"/>
      <c r="S2945" s="17"/>
      <c r="T2945" s="17"/>
    </row>
    <row r="2946">
      <c r="A2946" s="18">
        <v>2607.0</v>
      </c>
      <c r="B2946" s="12" t="s">
        <v>13</v>
      </c>
      <c r="C2946" s="12" t="s">
        <v>27</v>
      </c>
      <c r="D2946" s="20" t="s">
        <v>28</v>
      </c>
      <c r="E2946" s="12" t="str">
        <f>IFERROR(__xludf.DUMMYFUNCTION("FILTER(colegios!$B$2:$B5618,colegios!$A$2:$A5618=L2946)"),"EL MILAGRO")</f>
        <v>EL MILAGRO</v>
      </c>
      <c r="F2946" s="14" t="s">
        <v>16</v>
      </c>
      <c r="G2946" s="20" t="s">
        <v>21</v>
      </c>
      <c r="H2946" s="14" t="s">
        <v>18</v>
      </c>
      <c r="I2946" s="15">
        <v>2022.0</v>
      </c>
      <c r="J2946" s="16" t="str">
        <f>IFERROR(__xludf.DUMMYFUNCTION("FILTER('CLASFICACIÓN'!$F$3:$F5618,'CLASFICACIÓN'!$G$3:$G5618=M2946)"),"LOS 3 AÑOS")</f>
        <v>LOS 3 AÑOS</v>
      </c>
      <c r="K2946" s="16" t="str">
        <f t="array" ref="K2946">IFERROR(DGET('PADD-R'!$B$1:$K5618,'PADD-R'!$K$1,{'PADD-R'!$B$1;E2946}),"NO PARTICIPÓ")</f>
        <v>NO PARTICIPÓ</v>
      </c>
      <c r="L2946" s="14" t="s">
        <v>29</v>
      </c>
      <c r="M2946" s="16" t="str">
        <f t="shared" si="1"/>
        <v>EL MILAGRO2 Secundaria</v>
      </c>
      <c r="N2946" s="23"/>
      <c r="O2946" s="17"/>
      <c r="P2946" s="17"/>
      <c r="Q2946" s="17"/>
      <c r="R2946" s="17"/>
      <c r="S2946" s="17"/>
      <c r="T2946" s="17"/>
    </row>
    <row r="2947">
      <c r="A2947" s="18">
        <v>2608.0</v>
      </c>
      <c r="B2947" s="12" t="s">
        <v>13</v>
      </c>
      <c r="C2947" s="12" t="s">
        <v>27</v>
      </c>
      <c r="D2947" s="20" t="s">
        <v>28</v>
      </c>
      <c r="E2947" s="12" t="str">
        <f>IFERROR(__xludf.DUMMYFUNCTION("FILTER(colegios!$B$2:$B5618,colegios!$A$2:$A5618=L2947)"),"EL MILAGRO")</f>
        <v>EL MILAGRO</v>
      </c>
      <c r="F2947" s="14" t="s">
        <v>16</v>
      </c>
      <c r="G2947" s="20" t="s">
        <v>21</v>
      </c>
      <c r="H2947" s="14" t="s">
        <v>18</v>
      </c>
      <c r="I2947" s="15">
        <v>2022.0</v>
      </c>
      <c r="J2947" s="16" t="str">
        <f>IFERROR(__xludf.DUMMYFUNCTION("FILTER('CLASFICACIÓN'!$F$3:$F5618,'CLASFICACIÓN'!$G$3:$G5618=M2947)"),"LOS 3 AÑOS")</f>
        <v>LOS 3 AÑOS</v>
      </c>
      <c r="K2947" s="16" t="str">
        <f t="array" ref="K2947">IFERROR(DGET('PADD-R'!$B$1:$K5618,'PADD-R'!$K$1,{'PADD-R'!$B$1;E2947}),"NO PARTICIPÓ")</f>
        <v>NO PARTICIPÓ</v>
      </c>
      <c r="L2947" s="14" t="s">
        <v>29</v>
      </c>
      <c r="M2947" s="16" t="str">
        <f t="shared" si="1"/>
        <v>EL MILAGRO2 Secundaria</v>
      </c>
      <c r="N2947" s="23"/>
      <c r="O2947" s="17"/>
      <c r="P2947" s="17"/>
      <c r="Q2947" s="17"/>
      <c r="R2947" s="17"/>
      <c r="S2947" s="17"/>
      <c r="T2947" s="17"/>
    </row>
    <row r="2948">
      <c r="A2948" s="18">
        <v>2609.0</v>
      </c>
      <c r="B2948" s="12" t="s">
        <v>13</v>
      </c>
      <c r="C2948" s="12" t="s">
        <v>27</v>
      </c>
      <c r="D2948" s="20" t="s">
        <v>28</v>
      </c>
      <c r="E2948" s="12" t="str">
        <f>IFERROR(__xludf.DUMMYFUNCTION("FILTER(colegios!$B$2:$B5618,colegios!$A$2:$A5618=L2948)"),"EL MILAGRO")</f>
        <v>EL MILAGRO</v>
      </c>
      <c r="F2948" s="14" t="s">
        <v>16</v>
      </c>
      <c r="G2948" s="20" t="s">
        <v>21</v>
      </c>
      <c r="H2948" s="14" t="s">
        <v>18</v>
      </c>
      <c r="I2948" s="15">
        <v>2022.0</v>
      </c>
      <c r="J2948" s="16" t="str">
        <f>IFERROR(__xludf.DUMMYFUNCTION("FILTER('CLASFICACIÓN'!$F$3:$F5618,'CLASFICACIÓN'!$G$3:$G5618=M2948)"),"LOS 3 AÑOS")</f>
        <v>LOS 3 AÑOS</v>
      </c>
      <c r="K2948" s="16" t="str">
        <f t="array" ref="K2948">IFERROR(DGET('PADD-R'!$B$1:$K5618,'PADD-R'!$K$1,{'PADD-R'!$B$1;E2948}),"NO PARTICIPÓ")</f>
        <v>NO PARTICIPÓ</v>
      </c>
      <c r="L2948" s="14" t="s">
        <v>29</v>
      </c>
      <c r="M2948" s="16" t="str">
        <f t="shared" si="1"/>
        <v>EL MILAGRO2 Secundaria</v>
      </c>
      <c r="N2948" s="23"/>
      <c r="O2948" s="17"/>
      <c r="P2948" s="17"/>
      <c r="Q2948" s="17"/>
      <c r="R2948" s="17"/>
      <c r="S2948" s="17"/>
      <c r="T2948" s="17"/>
    </row>
    <row r="2949">
      <c r="A2949" s="18">
        <v>2610.0</v>
      </c>
      <c r="B2949" s="12" t="s">
        <v>13</v>
      </c>
      <c r="C2949" s="12" t="s">
        <v>27</v>
      </c>
      <c r="D2949" s="20" t="s">
        <v>30</v>
      </c>
      <c r="E2949" s="12" t="str">
        <f>IFERROR(__xludf.DUMMYFUNCTION("FILTER(colegios!$B$2:$B5618,colegios!$A$2:$A5618=L2949)"),"EL MILAGRO")</f>
        <v>EL MILAGRO</v>
      </c>
      <c r="F2949" s="14" t="s">
        <v>16</v>
      </c>
      <c r="G2949" s="20" t="s">
        <v>21</v>
      </c>
      <c r="H2949" s="14" t="s">
        <v>18</v>
      </c>
      <c r="I2949" s="15">
        <v>2022.0</v>
      </c>
      <c r="J2949" s="16" t="str">
        <f>IFERROR(__xludf.DUMMYFUNCTION("FILTER('CLASFICACIÓN'!$F$3:$F5618,'CLASFICACIÓN'!$G$3:$G5618=M2949)"),"LOS 3 AÑOS")</f>
        <v>LOS 3 AÑOS</v>
      </c>
      <c r="K2949" s="16" t="str">
        <f t="array" ref="K2949">IFERROR(DGET('PADD-R'!$B$1:$K5618,'PADD-R'!$K$1,{'PADD-R'!$B$1;E2949}),"NO PARTICIPÓ")</f>
        <v>NO PARTICIPÓ</v>
      </c>
      <c r="L2949" s="14" t="s">
        <v>29</v>
      </c>
      <c r="M2949" s="16" t="str">
        <f t="shared" si="1"/>
        <v>EL MILAGRO4 Secundaria</v>
      </c>
      <c r="N2949" s="23"/>
      <c r="O2949" s="17"/>
      <c r="P2949" s="17"/>
      <c r="Q2949" s="17"/>
      <c r="R2949" s="17"/>
      <c r="S2949" s="17"/>
      <c r="T2949" s="17"/>
    </row>
    <row r="2950">
      <c r="A2950" s="18">
        <v>2611.0</v>
      </c>
      <c r="B2950" s="12" t="s">
        <v>13</v>
      </c>
      <c r="C2950" s="12" t="s">
        <v>27</v>
      </c>
      <c r="D2950" s="20" t="s">
        <v>30</v>
      </c>
      <c r="E2950" s="12" t="str">
        <f>IFERROR(__xludf.DUMMYFUNCTION("FILTER(colegios!$B$2:$B5618,colegios!$A$2:$A5618=L2950)"),"EL MILAGRO")</f>
        <v>EL MILAGRO</v>
      </c>
      <c r="F2950" s="14" t="s">
        <v>16</v>
      </c>
      <c r="G2950" s="20" t="s">
        <v>17</v>
      </c>
      <c r="H2950" s="14" t="s">
        <v>18</v>
      </c>
      <c r="I2950" s="15">
        <v>2022.0</v>
      </c>
      <c r="J2950" s="16" t="str">
        <f>IFERROR(__xludf.DUMMYFUNCTION("FILTER('CLASFICACIÓN'!$F$3:$F5618,'CLASFICACIÓN'!$G$3:$G5618=M2950)"),"LOS 3 AÑOS")</f>
        <v>LOS 3 AÑOS</v>
      </c>
      <c r="K2950" s="16" t="str">
        <f t="array" ref="K2950">IFERROR(DGET('PADD-R'!$B$1:$K5618,'PADD-R'!$K$1,{'PADD-R'!$B$1;E2950}),"NO PARTICIPÓ")</f>
        <v>NO PARTICIPÓ</v>
      </c>
      <c r="L2950" s="14" t="s">
        <v>29</v>
      </c>
      <c r="M2950" s="16" t="str">
        <f t="shared" si="1"/>
        <v>EL MILAGRO4 Secundaria</v>
      </c>
      <c r="N2950" s="23"/>
      <c r="O2950" s="17"/>
      <c r="P2950" s="17"/>
      <c r="Q2950" s="17"/>
      <c r="R2950" s="17"/>
      <c r="S2950" s="17"/>
      <c r="T2950" s="17"/>
    </row>
    <row r="2951">
      <c r="A2951" s="18">
        <v>2612.0</v>
      </c>
      <c r="B2951" s="12" t="s">
        <v>13</v>
      </c>
      <c r="C2951" s="12" t="s">
        <v>27</v>
      </c>
      <c r="D2951" s="20" t="s">
        <v>30</v>
      </c>
      <c r="E2951" s="12" t="str">
        <f>IFERROR(__xludf.DUMMYFUNCTION("FILTER(colegios!$B$2:$B5618,colegios!$A$2:$A5618=L2951)"),"EL MILAGRO")</f>
        <v>EL MILAGRO</v>
      </c>
      <c r="F2951" s="14" t="s">
        <v>16</v>
      </c>
      <c r="G2951" s="20" t="s">
        <v>21</v>
      </c>
      <c r="H2951" s="14" t="s">
        <v>18</v>
      </c>
      <c r="I2951" s="15">
        <v>2022.0</v>
      </c>
      <c r="J2951" s="16" t="str">
        <f>IFERROR(__xludf.DUMMYFUNCTION("FILTER('CLASFICACIÓN'!$F$3:$F5618,'CLASFICACIÓN'!$G$3:$G5618=M2951)"),"LOS 3 AÑOS")</f>
        <v>LOS 3 AÑOS</v>
      </c>
      <c r="K2951" s="16" t="str">
        <f t="array" ref="K2951">IFERROR(DGET('PADD-R'!$B$1:$K5618,'PADD-R'!$K$1,{'PADD-R'!$B$1;E2951}),"NO PARTICIPÓ")</f>
        <v>NO PARTICIPÓ</v>
      </c>
      <c r="L2951" s="14" t="s">
        <v>29</v>
      </c>
      <c r="M2951" s="16" t="str">
        <f t="shared" si="1"/>
        <v>EL MILAGRO4 Secundaria</v>
      </c>
      <c r="N2951" s="23"/>
      <c r="O2951" s="17"/>
      <c r="P2951" s="17"/>
      <c r="Q2951" s="17"/>
      <c r="R2951" s="17"/>
      <c r="S2951" s="17"/>
      <c r="T2951" s="17"/>
    </row>
    <row r="2952">
      <c r="A2952" s="18">
        <v>2613.0</v>
      </c>
      <c r="B2952" s="12" t="s">
        <v>13</v>
      </c>
      <c r="C2952" s="12" t="s">
        <v>27</v>
      </c>
      <c r="D2952" s="20" t="s">
        <v>30</v>
      </c>
      <c r="E2952" s="12" t="str">
        <f>IFERROR(__xludf.DUMMYFUNCTION("FILTER(colegios!$B$2:$B5618,colegios!$A$2:$A5618=L2952)"),"EL MILAGRO")</f>
        <v>EL MILAGRO</v>
      </c>
      <c r="F2952" s="14" t="s">
        <v>16</v>
      </c>
      <c r="G2952" s="20" t="s">
        <v>21</v>
      </c>
      <c r="H2952" s="14" t="s">
        <v>18</v>
      </c>
      <c r="I2952" s="15">
        <v>2022.0</v>
      </c>
      <c r="J2952" s="16" t="str">
        <f>IFERROR(__xludf.DUMMYFUNCTION("FILTER('CLASFICACIÓN'!$F$3:$F5618,'CLASFICACIÓN'!$G$3:$G5618=M2952)"),"LOS 3 AÑOS")</f>
        <v>LOS 3 AÑOS</v>
      </c>
      <c r="K2952" s="16" t="str">
        <f t="array" ref="K2952">IFERROR(DGET('PADD-R'!$B$1:$K5618,'PADD-R'!$K$1,{'PADD-R'!$B$1;E2952}),"NO PARTICIPÓ")</f>
        <v>NO PARTICIPÓ</v>
      </c>
      <c r="L2952" s="14" t="s">
        <v>29</v>
      </c>
      <c r="M2952" s="16" t="str">
        <f t="shared" si="1"/>
        <v>EL MILAGRO4 Secundaria</v>
      </c>
      <c r="N2952" s="23"/>
      <c r="O2952" s="17"/>
      <c r="P2952" s="17"/>
      <c r="Q2952" s="17"/>
      <c r="R2952" s="17"/>
      <c r="S2952" s="17"/>
      <c r="T2952" s="17"/>
    </row>
    <row r="2953">
      <c r="A2953" s="18">
        <v>2614.0</v>
      </c>
      <c r="B2953" s="12" t="s">
        <v>13</v>
      </c>
      <c r="C2953" s="12" t="s">
        <v>27</v>
      </c>
      <c r="D2953" s="20" t="s">
        <v>30</v>
      </c>
      <c r="E2953" s="12" t="str">
        <f>IFERROR(__xludf.DUMMYFUNCTION("FILTER(colegios!$B$2:$B5618,colegios!$A$2:$A5618=L2953)"),"EL MILAGRO")</f>
        <v>EL MILAGRO</v>
      </c>
      <c r="F2953" s="14" t="s">
        <v>16</v>
      </c>
      <c r="G2953" s="20" t="s">
        <v>17</v>
      </c>
      <c r="H2953" s="14" t="s">
        <v>18</v>
      </c>
      <c r="I2953" s="15">
        <v>2022.0</v>
      </c>
      <c r="J2953" s="16" t="str">
        <f>IFERROR(__xludf.DUMMYFUNCTION("FILTER('CLASFICACIÓN'!$F$3:$F5618,'CLASFICACIÓN'!$G$3:$G5618=M2953)"),"LOS 3 AÑOS")</f>
        <v>LOS 3 AÑOS</v>
      </c>
      <c r="K2953" s="16" t="str">
        <f t="array" ref="K2953">IFERROR(DGET('PADD-R'!$B$1:$K5618,'PADD-R'!$K$1,{'PADD-R'!$B$1;E2953}),"NO PARTICIPÓ")</f>
        <v>NO PARTICIPÓ</v>
      </c>
      <c r="L2953" s="14" t="s">
        <v>29</v>
      </c>
      <c r="M2953" s="16" t="str">
        <f t="shared" si="1"/>
        <v>EL MILAGRO4 Secundaria</v>
      </c>
      <c r="N2953" s="23"/>
      <c r="O2953" s="17"/>
      <c r="P2953" s="17"/>
      <c r="Q2953" s="17"/>
      <c r="R2953" s="17"/>
      <c r="S2953" s="17"/>
      <c r="T2953" s="17"/>
    </row>
    <row r="2954">
      <c r="A2954" s="18">
        <v>2615.0</v>
      </c>
      <c r="B2954" s="12" t="s">
        <v>13</v>
      </c>
      <c r="C2954" s="12" t="s">
        <v>27</v>
      </c>
      <c r="D2954" s="20" t="s">
        <v>30</v>
      </c>
      <c r="E2954" s="12" t="str">
        <f>IFERROR(__xludf.DUMMYFUNCTION("FILTER(colegios!$B$2:$B5618,colegios!$A$2:$A5618=L2954)"),"EL MILAGRO")</f>
        <v>EL MILAGRO</v>
      </c>
      <c r="F2954" s="14" t="s">
        <v>16</v>
      </c>
      <c r="G2954" s="20" t="s">
        <v>17</v>
      </c>
      <c r="H2954" s="14" t="s">
        <v>18</v>
      </c>
      <c r="I2954" s="15">
        <v>2022.0</v>
      </c>
      <c r="J2954" s="16" t="str">
        <f>IFERROR(__xludf.DUMMYFUNCTION("FILTER('CLASFICACIÓN'!$F$3:$F5618,'CLASFICACIÓN'!$G$3:$G5618=M2954)"),"LOS 3 AÑOS")</f>
        <v>LOS 3 AÑOS</v>
      </c>
      <c r="K2954" s="16" t="str">
        <f t="array" ref="K2954">IFERROR(DGET('PADD-R'!$B$1:$K5618,'PADD-R'!$K$1,{'PADD-R'!$B$1;E2954}),"NO PARTICIPÓ")</f>
        <v>NO PARTICIPÓ</v>
      </c>
      <c r="L2954" s="14" t="s">
        <v>29</v>
      </c>
      <c r="M2954" s="16" t="str">
        <f t="shared" si="1"/>
        <v>EL MILAGRO4 Secundaria</v>
      </c>
      <c r="N2954" s="23"/>
      <c r="O2954" s="17"/>
      <c r="P2954" s="17"/>
      <c r="Q2954" s="17"/>
      <c r="R2954" s="17"/>
      <c r="S2954" s="17"/>
      <c r="T2954" s="17"/>
    </row>
    <row r="2955">
      <c r="A2955" s="18">
        <v>2616.0</v>
      </c>
      <c r="B2955" s="12" t="s">
        <v>13</v>
      </c>
      <c r="C2955" s="12" t="s">
        <v>27</v>
      </c>
      <c r="D2955" s="20" t="s">
        <v>30</v>
      </c>
      <c r="E2955" s="12" t="str">
        <f>IFERROR(__xludf.DUMMYFUNCTION("FILTER(colegios!$B$2:$B5618,colegios!$A$2:$A5618=L2955)"),"EL MILAGRO")</f>
        <v>EL MILAGRO</v>
      </c>
      <c r="F2955" s="14" t="s">
        <v>16</v>
      </c>
      <c r="G2955" s="20" t="s">
        <v>17</v>
      </c>
      <c r="H2955" s="14" t="s">
        <v>18</v>
      </c>
      <c r="I2955" s="15">
        <v>2022.0</v>
      </c>
      <c r="J2955" s="16" t="str">
        <f>IFERROR(__xludf.DUMMYFUNCTION("FILTER('CLASFICACIÓN'!$F$3:$F5618,'CLASFICACIÓN'!$G$3:$G5618=M2955)"),"LOS 3 AÑOS")</f>
        <v>LOS 3 AÑOS</v>
      </c>
      <c r="K2955" s="16" t="str">
        <f t="array" ref="K2955">IFERROR(DGET('PADD-R'!$B$1:$K5618,'PADD-R'!$K$1,{'PADD-R'!$B$1;E2955}),"NO PARTICIPÓ")</f>
        <v>NO PARTICIPÓ</v>
      </c>
      <c r="L2955" s="14" t="s">
        <v>29</v>
      </c>
      <c r="M2955" s="16" t="str">
        <f t="shared" si="1"/>
        <v>EL MILAGRO4 Secundaria</v>
      </c>
      <c r="N2955" s="23"/>
      <c r="O2955" s="17"/>
      <c r="P2955" s="17"/>
      <c r="Q2955" s="17"/>
      <c r="R2955" s="17"/>
      <c r="S2955" s="17"/>
      <c r="T2955" s="17"/>
    </row>
    <row r="2956">
      <c r="A2956" s="18">
        <v>2617.0</v>
      </c>
      <c r="B2956" s="12" t="s">
        <v>13</v>
      </c>
      <c r="C2956" s="12" t="s">
        <v>27</v>
      </c>
      <c r="D2956" s="20" t="s">
        <v>30</v>
      </c>
      <c r="E2956" s="12" t="str">
        <f>IFERROR(__xludf.DUMMYFUNCTION("FILTER(colegios!$B$2:$B5618,colegios!$A$2:$A5618=L2956)"),"EL MILAGRO")</f>
        <v>EL MILAGRO</v>
      </c>
      <c r="F2956" s="14" t="s">
        <v>16</v>
      </c>
      <c r="G2956" s="20" t="s">
        <v>21</v>
      </c>
      <c r="H2956" s="14" t="s">
        <v>18</v>
      </c>
      <c r="I2956" s="15">
        <v>2022.0</v>
      </c>
      <c r="J2956" s="16" t="str">
        <f>IFERROR(__xludf.DUMMYFUNCTION("FILTER('CLASFICACIÓN'!$F$3:$F5618,'CLASFICACIÓN'!$G$3:$G5618=M2956)"),"LOS 3 AÑOS")</f>
        <v>LOS 3 AÑOS</v>
      </c>
      <c r="K2956" s="16" t="str">
        <f t="array" ref="K2956">IFERROR(DGET('PADD-R'!$B$1:$K5618,'PADD-R'!$K$1,{'PADD-R'!$B$1;E2956}),"NO PARTICIPÓ")</f>
        <v>NO PARTICIPÓ</v>
      </c>
      <c r="L2956" s="14" t="s">
        <v>29</v>
      </c>
      <c r="M2956" s="16" t="str">
        <f t="shared" si="1"/>
        <v>EL MILAGRO4 Secundaria</v>
      </c>
      <c r="N2956" s="23"/>
      <c r="O2956" s="17"/>
      <c r="P2956" s="17"/>
      <c r="Q2956" s="17"/>
      <c r="R2956" s="17"/>
      <c r="S2956" s="17"/>
      <c r="T2956" s="17"/>
    </row>
    <row r="2957">
      <c r="A2957" s="18">
        <v>2618.0</v>
      </c>
      <c r="B2957" s="12" t="s">
        <v>13</v>
      </c>
      <c r="C2957" s="12" t="s">
        <v>27</v>
      </c>
      <c r="D2957" s="20" t="s">
        <v>30</v>
      </c>
      <c r="E2957" s="12" t="str">
        <f>IFERROR(__xludf.DUMMYFUNCTION("FILTER(colegios!$B$2:$B5618,colegios!$A$2:$A5618=L2957)"),"EL MILAGRO")</f>
        <v>EL MILAGRO</v>
      </c>
      <c r="F2957" s="14" t="s">
        <v>16</v>
      </c>
      <c r="G2957" s="20" t="s">
        <v>21</v>
      </c>
      <c r="H2957" s="14" t="s">
        <v>18</v>
      </c>
      <c r="I2957" s="15">
        <v>2022.0</v>
      </c>
      <c r="J2957" s="16" t="str">
        <f>IFERROR(__xludf.DUMMYFUNCTION("FILTER('CLASFICACIÓN'!$F$3:$F5618,'CLASFICACIÓN'!$G$3:$G5618=M2957)"),"LOS 3 AÑOS")</f>
        <v>LOS 3 AÑOS</v>
      </c>
      <c r="K2957" s="16" t="str">
        <f t="array" ref="K2957">IFERROR(DGET('PADD-R'!$B$1:$K5618,'PADD-R'!$K$1,{'PADD-R'!$B$1;E2957}),"NO PARTICIPÓ")</f>
        <v>NO PARTICIPÓ</v>
      </c>
      <c r="L2957" s="14" t="s">
        <v>29</v>
      </c>
      <c r="M2957" s="16" t="str">
        <f t="shared" si="1"/>
        <v>EL MILAGRO4 Secundaria</v>
      </c>
      <c r="N2957" s="23"/>
      <c r="O2957" s="17"/>
      <c r="P2957" s="17"/>
      <c r="Q2957" s="17"/>
      <c r="R2957" s="17"/>
      <c r="S2957" s="17"/>
      <c r="T2957" s="17"/>
    </row>
    <row r="2958">
      <c r="A2958" s="18">
        <v>2619.0</v>
      </c>
      <c r="B2958" s="12" t="s">
        <v>13</v>
      </c>
      <c r="C2958" s="12" t="s">
        <v>27</v>
      </c>
      <c r="D2958" s="20" t="s">
        <v>30</v>
      </c>
      <c r="E2958" s="12" t="str">
        <f>IFERROR(__xludf.DUMMYFUNCTION("FILTER(colegios!$B$2:$B5618,colegios!$A$2:$A5618=L2958)"),"EL MILAGRO")</f>
        <v>EL MILAGRO</v>
      </c>
      <c r="F2958" s="14" t="s">
        <v>16</v>
      </c>
      <c r="G2958" s="20" t="s">
        <v>21</v>
      </c>
      <c r="H2958" s="14" t="s">
        <v>18</v>
      </c>
      <c r="I2958" s="15">
        <v>2022.0</v>
      </c>
      <c r="J2958" s="16" t="str">
        <f>IFERROR(__xludf.DUMMYFUNCTION("FILTER('CLASFICACIÓN'!$F$3:$F5618,'CLASFICACIÓN'!$G$3:$G5618=M2958)"),"LOS 3 AÑOS")</f>
        <v>LOS 3 AÑOS</v>
      </c>
      <c r="K2958" s="16" t="str">
        <f t="array" ref="K2958">IFERROR(DGET('PADD-R'!$B$1:$K5618,'PADD-R'!$K$1,{'PADD-R'!$B$1;E2958}),"NO PARTICIPÓ")</f>
        <v>NO PARTICIPÓ</v>
      </c>
      <c r="L2958" s="14" t="s">
        <v>29</v>
      </c>
      <c r="M2958" s="16" t="str">
        <f t="shared" si="1"/>
        <v>EL MILAGRO4 Secundaria</v>
      </c>
      <c r="N2958" s="23"/>
      <c r="O2958" s="17"/>
      <c r="P2958" s="17"/>
      <c r="Q2958" s="17"/>
      <c r="R2958" s="17"/>
      <c r="S2958" s="17"/>
      <c r="T2958" s="17"/>
    </row>
    <row r="2959">
      <c r="A2959" s="18">
        <v>2620.0</v>
      </c>
      <c r="B2959" s="12" t="s">
        <v>13</v>
      </c>
      <c r="C2959" s="12" t="s">
        <v>27</v>
      </c>
      <c r="D2959" s="20" t="s">
        <v>30</v>
      </c>
      <c r="E2959" s="12" t="str">
        <f>IFERROR(__xludf.DUMMYFUNCTION("FILTER(colegios!$B$2:$B5618,colegios!$A$2:$A5618=L2959)"),"EL MILAGRO")</f>
        <v>EL MILAGRO</v>
      </c>
      <c r="F2959" s="14" t="s">
        <v>16</v>
      </c>
      <c r="G2959" s="20" t="s">
        <v>21</v>
      </c>
      <c r="H2959" s="14" t="s">
        <v>18</v>
      </c>
      <c r="I2959" s="15">
        <v>2022.0</v>
      </c>
      <c r="J2959" s="16" t="str">
        <f>IFERROR(__xludf.DUMMYFUNCTION("FILTER('CLASFICACIÓN'!$F$3:$F5618,'CLASFICACIÓN'!$G$3:$G5618=M2959)"),"LOS 3 AÑOS")</f>
        <v>LOS 3 AÑOS</v>
      </c>
      <c r="K2959" s="16" t="str">
        <f t="array" ref="K2959">IFERROR(DGET('PADD-R'!$B$1:$K5618,'PADD-R'!$K$1,{'PADD-R'!$B$1;E2959}),"NO PARTICIPÓ")</f>
        <v>NO PARTICIPÓ</v>
      </c>
      <c r="L2959" s="14" t="s">
        <v>29</v>
      </c>
      <c r="M2959" s="16" t="str">
        <f t="shared" si="1"/>
        <v>EL MILAGRO4 Secundaria</v>
      </c>
      <c r="N2959" s="23"/>
      <c r="O2959" s="17"/>
      <c r="P2959" s="17"/>
      <c r="Q2959" s="17"/>
      <c r="R2959" s="17"/>
      <c r="S2959" s="17"/>
      <c r="T2959" s="17"/>
    </row>
    <row r="2960">
      <c r="A2960" s="18">
        <v>2621.0</v>
      </c>
      <c r="B2960" s="12" t="s">
        <v>13</v>
      </c>
      <c r="C2960" s="12" t="s">
        <v>27</v>
      </c>
      <c r="D2960" s="20" t="s">
        <v>30</v>
      </c>
      <c r="E2960" s="12" t="str">
        <f>IFERROR(__xludf.DUMMYFUNCTION("FILTER(colegios!$B$2:$B5618,colegios!$A$2:$A5618=L2960)"),"EL MILAGRO")</f>
        <v>EL MILAGRO</v>
      </c>
      <c r="F2960" s="14" t="s">
        <v>16</v>
      </c>
      <c r="G2960" s="20" t="s">
        <v>17</v>
      </c>
      <c r="H2960" s="14" t="s">
        <v>18</v>
      </c>
      <c r="I2960" s="15">
        <v>2022.0</v>
      </c>
      <c r="J2960" s="16" t="str">
        <f>IFERROR(__xludf.DUMMYFUNCTION("FILTER('CLASFICACIÓN'!$F$3:$F5618,'CLASFICACIÓN'!$G$3:$G5618=M2960)"),"LOS 3 AÑOS")</f>
        <v>LOS 3 AÑOS</v>
      </c>
      <c r="K2960" s="16" t="str">
        <f t="array" ref="K2960">IFERROR(DGET('PADD-R'!$B$1:$K5618,'PADD-R'!$K$1,{'PADD-R'!$B$1;E2960}),"NO PARTICIPÓ")</f>
        <v>NO PARTICIPÓ</v>
      </c>
      <c r="L2960" s="14" t="s">
        <v>29</v>
      </c>
      <c r="M2960" s="16" t="str">
        <f t="shared" si="1"/>
        <v>EL MILAGRO4 Secundaria</v>
      </c>
      <c r="N2960" s="23"/>
      <c r="O2960" s="17"/>
      <c r="P2960" s="17"/>
      <c r="Q2960" s="17"/>
      <c r="R2960" s="17"/>
      <c r="S2960" s="17"/>
      <c r="T2960" s="17"/>
    </row>
    <row r="2961">
      <c r="A2961" s="18">
        <v>2622.0</v>
      </c>
      <c r="B2961" s="12" t="s">
        <v>13</v>
      </c>
      <c r="C2961" s="12" t="s">
        <v>27</v>
      </c>
      <c r="D2961" s="20" t="s">
        <v>30</v>
      </c>
      <c r="E2961" s="12" t="str">
        <f>IFERROR(__xludf.DUMMYFUNCTION("FILTER(colegios!$B$2:$B5618,colegios!$A$2:$A5618=L2961)"),"EL MILAGRO")</f>
        <v>EL MILAGRO</v>
      </c>
      <c r="F2961" s="14" t="s">
        <v>16</v>
      </c>
      <c r="G2961" s="20" t="s">
        <v>17</v>
      </c>
      <c r="H2961" s="14" t="s">
        <v>18</v>
      </c>
      <c r="I2961" s="15">
        <v>2022.0</v>
      </c>
      <c r="J2961" s="16" t="str">
        <f>IFERROR(__xludf.DUMMYFUNCTION("FILTER('CLASFICACIÓN'!$F$3:$F5618,'CLASFICACIÓN'!$G$3:$G5618=M2961)"),"LOS 3 AÑOS")</f>
        <v>LOS 3 AÑOS</v>
      </c>
      <c r="K2961" s="16" t="str">
        <f t="array" ref="K2961">IFERROR(DGET('PADD-R'!$B$1:$K5618,'PADD-R'!$K$1,{'PADD-R'!$B$1;E2961}),"NO PARTICIPÓ")</f>
        <v>NO PARTICIPÓ</v>
      </c>
      <c r="L2961" s="14" t="s">
        <v>29</v>
      </c>
      <c r="M2961" s="16" t="str">
        <f t="shared" si="1"/>
        <v>EL MILAGRO4 Secundaria</v>
      </c>
      <c r="N2961" s="23"/>
      <c r="O2961" s="17"/>
      <c r="P2961" s="17"/>
      <c r="Q2961" s="17"/>
      <c r="R2961" s="17"/>
      <c r="S2961" s="17"/>
      <c r="T2961" s="17"/>
    </row>
    <row r="2962">
      <c r="A2962" s="18">
        <v>2623.0</v>
      </c>
      <c r="B2962" s="12" t="s">
        <v>13</v>
      </c>
      <c r="C2962" s="12" t="s">
        <v>27</v>
      </c>
      <c r="D2962" s="20" t="s">
        <v>30</v>
      </c>
      <c r="E2962" s="12" t="str">
        <f>IFERROR(__xludf.DUMMYFUNCTION("FILTER(colegios!$B$2:$B5618,colegios!$A$2:$A5618=L2962)"),"EL MILAGRO")</f>
        <v>EL MILAGRO</v>
      </c>
      <c r="F2962" s="14" t="s">
        <v>16</v>
      </c>
      <c r="G2962" s="20" t="s">
        <v>17</v>
      </c>
      <c r="H2962" s="14" t="s">
        <v>18</v>
      </c>
      <c r="I2962" s="15">
        <v>2022.0</v>
      </c>
      <c r="J2962" s="16" t="str">
        <f>IFERROR(__xludf.DUMMYFUNCTION("FILTER('CLASFICACIÓN'!$F$3:$F5618,'CLASFICACIÓN'!$G$3:$G5618=M2962)"),"LOS 3 AÑOS")</f>
        <v>LOS 3 AÑOS</v>
      </c>
      <c r="K2962" s="16" t="str">
        <f t="array" ref="K2962">IFERROR(DGET('PADD-R'!$B$1:$K5618,'PADD-R'!$K$1,{'PADD-R'!$B$1;E2962}),"NO PARTICIPÓ")</f>
        <v>NO PARTICIPÓ</v>
      </c>
      <c r="L2962" s="14" t="s">
        <v>29</v>
      </c>
      <c r="M2962" s="16" t="str">
        <f t="shared" si="1"/>
        <v>EL MILAGRO4 Secundaria</v>
      </c>
      <c r="N2962" s="23"/>
      <c r="O2962" s="17"/>
      <c r="P2962" s="17"/>
      <c r="Q2962" s="17"/>
      <c r="R2962" s="17"/>
      <c r="S2962" s="17"/>
      <c r="T2962" s="17"/>
    </row>
    <row r="2963">
      <c r="A2963" s="18">
        <v>2624.0</v>
      </c>
      <c r="B2963" s="12" t="s">
        <v>13</v>
      </c>
      <c r="C2963" s="12" t="s">
        <v>27</v>
      </c>
      <c r="D2963" s="20" t="s">
        <v>30</v>
      </c>
      <c r="E2963" s="12" t="str">
        <f>IFERROR(__xludf.DUMMYFUNCTION("FILTER(colegios!$B$2:$B5618,colegios!$A$2:$A5618=L2963)"),"EL MILAGRO")</f>
        <v>EL MILAGRO</v>
      </c>
      <c r="F2963" s="14" t="s">
        <v>16</v>
      </c>
      <c r="G2963" s="20" t="s">
        <v>21</v>
      </c>
      <c r="H2963" s="14" t="s">
        <v>18</v>
      </c>
      <c r="I2963" s="15">
        <v>2022.0</v>
      </c>
      <c r="J2963" s="16" t="str">
        <f>IFERROR(__xludf.DUMMYFUNCTION("FILTER('CLASFICACIÓN'!$F$3:$F5618,'CLASFICACIÓN'!$G$3:$G5618=M2963)"),"LOS 3 AÑOS")</f>
        <v>LOS 3 AÑOS</v>
      </c>
      <c r="K2963" s="16" t="str">
        <f t="array" ref="K2963">IFERROR(DGET('PADD-R'!$B$1:$K5618,'PADD-R'!$K$1,{'PADD-R'!$B$1;E2963}),"NO PARTICIPÓ")</f>
        <v>NO PARTICIPÓ</v>
      </c>
      <c r="L2963" s="14" t="s">
        <v>29</v>
      </c>
      <c r="M2963" s="16" t="str">
        <f t="shared" si="1"/>
        <v>EL MILAGRO4 Secundaria</v>
      </c>
      <c r="N2963" s="23"/>
      <c r="O2963" s="17"/>
      <c r="P2963" s="17"/>
      <c r="Q2963" s="17"/>
      <c r="R2963" s="17"/>
      <c r="S2963" s="17"/>
      <c r="T2963" s="17"/>
    </row>
    <row r="2964">
      <c r="A2964" s="18">
        <v>2625.0</v>
      </c>
      <c r="B2964" s="12" t="s">
        <v>13</v>
      </c>
      <c r="C2964" s="12" t="s">
        <v>27</v>
      </c>
      <c r="D2964" s="20" t="s">
        <v>30</v>
      </c>
      <c r="E2964" s="12" t="str">
        <f>IFERROR(__xludf.DUMMYFUNCTION("FILTER(colegios!$B$2:$B5618,colegios!$A$2:$A5618=L2964)"),"EL MILAGRO")</f>
        <v>EL MILAGRO</v>
      </c>
      <c r="F2964" s="14" t="s">
        <v>16</v>
      </c>
      <c r="G2964" s="20" t="s">
        <v>21</v>
      </c>
      <c r="H2964" s="14" t="s">
        <v>18</v>
      </c>
      <c r="I2964" s="15">
        <v>2022.0</v>
      </c>
      <c r="J2964" s="16" t="str">
        <f>IFERROR(__xludf.DUMMYFUNCTION("FILTER('CLASFICACIÓN'!$F$3:$F5618,'CLASFICACIÓN'!$G$3:$G5618=M2964)"),"LOS 3 AÑOS")</f>
        <v>LOS 3 AÑOS</v>
      </c>
      <c r="K2964" s="16" t="str">
        <f t="array" ref="K2964">IFERROR(DGET('PADD-R'!$B$1:$K5618,'PADD-R'!$K$1,{'PADD-R'!$B$1;E2964}),"NO PARTICIPÓ")</f>
        <v>NO PARTICIPÓ</v>
      </c>
      <c r="L2964" s="14" t="s">
        <v>29</v>
      </c>
      <c r="M2964" s="16" t="str">
        <f t="shared" si="1"/>
        <v>EL MILAGRO4 Secundaria</v>
      </c>
      <c r="N2964" s="23"/>
      <c r="O2964" s="17"/>
      <c r="P2964" s="17"/>
      <c r="Q2964" s="17"/>
      <c r="R2964" s="17"/>
      <c r="S2964" s="17"/>
      <c r="T2964" s="17"/>
    </row>
    <row r="2965">
      <c r="A2965" s="18">
        <v>2626.0</v>
      </c>
      <c r="B2965" s="12" t="s">
        <v>13</v>
      </c>
      <c r="C2965" s="12" t="s">
        <v>27</v>
      </c>
      <c r="D2965" s="20" t="s">
        <v>30</v>
      </c>
      <c r="E2965" s="12" t="str">
        <f>IFERROR(__xludf.DUMMYFUNCTION("FILTER(colegios!$B$2:$B5618,colegios!$A$2:$A5618=L2965)"),"EL MILAGRO")</f>
        <v>EL MILAGRO</v>
      </c>
      <c r="F2965" s="14" t="s">
        <v>16</v>
      </c>
      <c r="G2965" s="20" t="s">
        <v>21</v>
      </c>
      <c r="H2965" s="14" t="s">
        <v>18</v>
      </c>
      <c r="I2965" s="15">
        <v>2022.0</v>
      </c>
      <c r="J2965" s="16" t="str">
        <f>IFERROR(__xludf.DUMMYFUNCTION("FILTER('CLASFICACIÓN'!$F$3:$F5618,'CLASFICACIÓN'!$G$3:$G5618=M2965)"),"LOS 3 AÑOS")</f>
        <v>LOS 3 AÑOS</v>
      </c>
      <c r="K2965" s="16" t="str">
        <f t="array" ref="K2965">IFERROR(DGET('PADD-R'!$B$1:$K5618,'PADD-R'!$K$1,{'PADD-R'!$B$1;E2965}),"NO PARTICIPÓ")</f>
        <v>NO PARTICIPÓ</v>
      </c>
      <c r="L2965" s="14" t="s">
        <v>29</v>
      </c>
      <c r="M2965" s="16" t="str">
        <f t="shared" si="1"/>
        <v>EL MILAGRO4 Secundaria</v>
      </c>
      <c r="N2965" s="23"/>
      <c r="O2965" s="17"/>
      <c r="P2965" s="17"/>
      <c r="Q2965" s="17"/>
      <c r="R2965" s="17"/>
      <c r="S2965" s="17"/>
      <c r="T2965" s="17"/>
    </row>
    <row r="2966">
      <c r="A2966" s="18">
        <v>2627.0</v>
      </c>
      <c r="B2966" s="12" t="s">
        <v>13</v>
      </c>
      <c r="C2966" s="12" t="s">
        <v>27</v>
      </c>
      <c r="D2966" s="20" t="s">
        <v>30</v>
      </c>
      <c r="E2966" s="12" t="str">
        <f>IFERROR(__xludf.DUMMYFUNCTION("FILTER(colegios!$B$2:$B5618,colegios!$A$2:$A5618=L2966)"),"EL MILAGRO")</f>
        <v>EL MILAGRO</v>
      </c>
      <c r="F2966" s="14" t="s">
        <v>16</v>
      </c>
      <c r="G2966" s="20" t="s">
        <v>21</v>
      </c>
      <c r="H2966" s="14" t="s">
        <v>18</v>
      </c>
      <c r="I2966" s="15">
        <v>2022.0</v>
      </c>
      <c r="J2966" s="16" t="str">
        <f>IFERROR(__xludf.DUMMYFUNCTION("FILTER('CLASFICACIÓN'!$F$3:$F5618,'CLASFICACIÓN'!$G$3:$G5618=M2966)"),"LOS 3 AÑOS")</f>
        <v>LOS 3 AÑOS</v>
      </c>
      <c r="K2966" s="16" t="str">
        <f t="array" ref="K2966">IFERROR(DGET('PADD-R'!$B$1:$K5618,'PADD-R'!$K$1,{'PADD-R'!$B$1;E2966}),"NO PARTICIPÓ")</f>
        <v>NO PARTICIPÓ</v>
      </c>
      <c r="L2966" s="14" t="s">
        <v>29</v>
      </c>
      <c r="M2966" s="16" t="str">
        <f t="shared" si="1"/>
        <v>EL MILAGRO4 Secundaria</v>
      </c>
      <c r="N2966" s="23"/>
      <c r="O2966" s="17"/>
      <c r="P2966" s="17"/>
      <c r="Q2966" s="17"/>
      <c r="R2966" s="17"/>
      <c r="S2966" s="17"/>
      <c r="T2966" s="17"/>
    </row>
    <row r="2967">
      <c r="A2967" s="18">
        <v>2628.0</v>
      </c>
      <c r="B2967" s="12" t="s">
        <v>13</v>
      </c>
      <c r="C2967" s="12" t="s">
        <v>27</v>
      </c>
      <c r="D2967" s="20" t="s">
        <v>30</v>
      </c>
      <c r="E2967" s="12" t="str">
        <f>IFERROR(__xludf.DUMMYFUNCTION("FILTER(colegios!$B$2:$B5618,colegios!$A$2:$A5618=L2967)"),"EL MILAGRO")</f>
        <v>EL MILAGRO</v>
      </c>
      <c r="F2967" s="14" t="s">
        <v>16</v>
      </c>
      <c r="G2967" s="20" t="s">
        <v>21</v>
      </c>
      <c r="H2967" s="14" t="s">
        <v>18</v>
      </c>
      <c r="I2967" s="15">
        <v>2022.0</v>
      </c>
      <c r="J2967" s="16" t="str">
        <f>IFERROR(__xludf.DUMMYFUNCTION("FILTER('CLASFICACIÓN'!$F$3:$F5618,'CLASFICACIÓN'!$G$3:$G5618=M2967)"),"LOS 3 AÑOS")</f>
        <v>LOS 3 AÑOS</v>
      </c>
      <c r="K2967" s="16" t="str">
        <f t="array" ref="K2967">IFERROR(DGET('PADD-R'!$B$1:$K5618,'PADD-R'!$K$1,{'PADD-R'!$B$1;E2967}),"NO PARTICIPÓ")</f>
        <v>NO PARTICIPÓ</v>
      </c>
      <c r="L2967" s="14" t="s">
        <v>29</v>
      </c>
      <c r="M2967" s="16" t="str">
        <f t="shared" si="1"/>
        <v>EL MILAGRO4 Secundaria</v>
      </c>
      <c r="N2967" s="23"/>
      <c r="O2967" s="17"/>
      <c r="P2967" s="17"/>
      <c r="Q2967" s="17"/>
      <c r="R2967" s="17"/>
      <c r="S2967" s="17"/>
      <c r="T2967" s="17"/>
    </row>
    <row r="2968">
      <c r="A2968" s="18">
        <v>2629.0</v>
      </c>
      <c r="B2968" s="12" t="s">
        <v>13</v>
      </c>
      <c r="C2968" s="12" t="s">
        <v>27</v>
      </c>
      <c r="D2968" s="20" t="s">
        <v>30</v>
      </c>
      <c r="E2968" s="12" t="str">
        <f>IFERROR(__xludf.DUMMYFUNCTION("FILTER(colegios!$B$2:$B5618,colegios!$A$2:$A5618=L2968)"),"EL MILAGRO")</f>
        <v>EL MILAGRO</v>
      </c>
      <c r="F2968" s="14" t="s">
        <v>16</v>
      </c>
      <c r="G2968" s="20" t="s">
        <v>21</v>
      </c>
      <c r="H2968" s="14" t="s">
        <v>18</v>
      </c>
      <c r="I2968" s="15">
        <v>2022.0</v>
      </c>
      <c r="J2968" s="16" t="str">
        <f>IFERROR(__xludf.DUMMYFUNCTION("FILTER('CLASFICACIÓN'!$F$3:$F5618,'CLASFICACIÓN'!$G$3:$G5618=M2968)"),"LOS 3 AÑOS")</f>
        <v>LOS 3 AÑOS</v>
      </c>
      <c r="K2968" s="16" t="str">
        <f t="array" ref="K2968">IFERROR(DGET('PADD-R'!$B$1:$K5618,'PADD-R'!$K$1,{'PADD-R'!$B$1;E2968}),"NO PARTICIPÓ")</f>
        <v>NO PARTICIPÓ</v>
      </c>
      <c r="L2968" s="14" t="s">
        <v>29</v>
      </c>
      <c r="M2968" s="16" t="str">
        <f t="shared" si="1"/>
        <v>EL MILAGRO4 Secundaria</v>
      </c>
      <c r="N2968" s="23"/>
      <c r="O2968" s="17"/>
      <c r="P2968" s="17"/>
      <c r="Q2968" s="17"/>
      <c r="R2968" s="17"/>
      <c r="S2968" s="17"/>
      <c r="T2968" s="17"/>
    </row>
    <row r="2969">
      <c r="A2969" s="18">
        <v>2630.0</v>
      </c>
      <c r="B2969" s="12" t="s">
        <v>13</v>
      </c>
      <c r="C2969" s="12" t="s">
        <v>27</v>
      </c>
      <c r="D2969" s="20" t="s">
        <v>30</v>
      </c>
      <c r="E2969" s="12" t="str">
        <f>IFERROR(__xludf.DUMMYFUNCTION("FILTER(colegios!$B$2:$B5618,colegios!$A$2:$A5618=L2969)"),"EL MILAGRO")</f>
        <v>EL MILAGRO</v>
      </c>
      <c r="F2969" s="14" t="s">
        <v>16</v>
      </c>
      <c r="G2969" s="20" t="s">
        <v>21</v>
      </c>
      <c r="H2969" s="14" t="s">
        <v>18</v>
      </c>
      <c r="I2969" s="15">
        <v>2022.0</v>
      </c>
      <c r="J2969" s="16" t="str">
        <f>IFERROR(__xludf.DUMMYFUNCTION("FILTER('CLASFICACIÓN'!$F$3:$F5618,'CLASFICACIÓN'!$G$3:$G5618=M2969)"),"LOS 3 AÑOS")</f>
        <v>LOS 3 AÑOS</v>
      </c>
      <c r="K2969" s="16" t="str">
        <f t="array" ref="K2969">IFERROR(DGET('PADD-R'!$B$1:$K5618,'PADD-R'!$K$1,{'PADD-R'!$B$1;E2969}),"NO PARTICIPÓ")</f>
        <v>NO PARTICIPÓ</v>
      </c>
      <c r="L2969" s="14" t="s">
        <v>29</v>
      </c>
      <c r="M2969" s="16" t="str">
        <f t="shared" si="1"/>
        <v>EL MILAGRO4 Secundaria</v>
      </c>
      <c r="N2969" s="23"/>
      <c r="O2969" s="17"/>
      <c r="P2969" s="17"/>
      <c r="Q2969" s="17"/>
      <c r="R2969" s="17"/>
      <c r="S2969" s="17"/>
      <c r="T2969" s="17"/>
    </row>
    <row r="2970">
      <c r="A2970" s="18">
        <v>2631.0</v>
      </c>
      <c r="B2970" s="12" t="s">
        <v>13</v>
      </c>
      <c r="C2970" s="12" t="s">
        <v>27</v>
      </c>
      <c r="D2970" s="20" t="s">
        <v>30</v>
      </c>
      <c r="E2970" s="12" t="str">
        <f>IFERROR(__xludf.DUMMYFUNCTION("FILTER(colegios!$B$2:$B5618,colegios!$A$2:$A5618=L2970)"),"EL MILAGRO")</f>
        <v>EL MILAGRO</v>
      </c>
      <c r="F2970" s="14" t="s">
        <v>16</v>
      </c>
      <c r="G2970" s="20" t="s">
        <v>17</v>
      </c>
      <c r="H2970" s="14" t="s">
        <v>18</v>
      </c>
      <c r="I2970" s="15">
        <v>2022.0</v>
      </c>
      <c r="J2970" s="16" t="str">
        <f>IFERROR(__xludf.DUMMYFUNCTION("FILTER('CLASFICACIÓN'!$F$3:$F5618,'CLASFICACIÓN'!$G$3:$G5618=M2970)"),"LOS 3 AÑOS")</f>
        <v>LOS 3 AÑOS</v>
      </c>
      <c r="K2970" s="16" t="str">
        <f t="array" ref="K2970">IFERROR(DGET('PADD-R'!$B$1:$K5618,'PADD-R'!$K$1,{'PADD-R'!$B$1;E2970}),"NO PARTICIPÓ")</f>
        <v>NO PARTICIPÓ</v>
      </c>
      <c r="L2970" s="14" t="s">
        <v>29</v>
      </c>
      <c r="M2970" s="16" t="str">
        <f t="shared" si="1"/>
        <v>EL MILAGRO4 Secundaria</v>
      </c>
      <c r="N2970" s="23"/>
      <c r="O2970" s="17"/>
      <c r="P2970" s="17"/>
      <c r="Q2970" s="17"/>
      <c r="R2970" s="17"/>
      <c r="S2970" s="17"/>
      <c r="T2970" s="17"/>
    </row>
    <row r="2971">
      <c r="A2971" s="18">
        <v>2632.0</v>
      </c>
      <c r="B2971" s="12" t="s">
        <v>13</v>
      </c>
      <c r="C2971" s="12" t="s">
        <v>27</v>
      </c>
      <c r="D2971" s="20" t="s">
        <v>30</v>
      </c>
      <c r="E2971" s="12" t="str">
        <f>IFERROR(__xludf.DUMMYFUNCTION("FILTER(colegios!$B$2:$B5618,colegios!$A$2:$A5618=L2971)"),"EL MILAGRO")</f>
        <v>EL MILAGRO</v>
      </c>
      <c r="F2971" s="14" t="s">
        <v>16</v>
      </c>
      <c r="G2971" s="20" t="s">
        <v>21</v>
      </c>
      <c r="H2971" s="14" t="s">
        <v>18</v>
      </c>
      <c r="I2971" s="15">
        <v>2022.0</v>
      </c>
      <c r="J2971" s="16" t="str">
        <f>IFERROR(__xludf.DUMMYFUNCTION("FILTER('CLASFICACIÓN'!$F$3:$F5618,'CLASFICACIÓN'!$G$3:$G5618=M2971)"),"LOS 3 AÑOS")</f>
        <v>LOS 3 AÑOS</v>
      </c>
      <c r="K2971" s="16" t="str">
        <f t="array" ref="K2971">IFERROR(DGET('PADD-R'!$B$1:$K5618,'PADD-R'!$K$1,{'PADD-R'!$B$1;E2971}),"NO PARTICIPÓ")</f>
        <v>NO PARTICIPÓ</v>
      </c>
      <c r="L2971" s="14" t="s">
        <v>29</v>
      </c>
      <c r="M2971" s="16" t="str">
        <f t="shared" si="1"/>
        <v>EL MILAGRO4 Secundaria</v>
      </c>
      <c r="N2971" s="23"/>
      <c r="O2971" s="17"/>
      <c r="P2971" s="17"/>
      <c r="Q2971" s="17"/>
      <c r="R2971" s="17"/>
      <c r="S2971" s="17"/>
      <c r="T2971" s="17"/>
    </row>
    <row r="2972">
      <c r="A2972" s="18">
        <v>2633.0</v>
      </c>
      <c r="B2972" s="12" t="s">
        <v>13</v>
      </c>
      <c r="C2972" s="12" t="s">
        <v>27</v>
      </c>
      <c r="D2972" s="20" t="s">
        <v>30</v>
      </c>
      <c r="E2972" s="12" t="str">
        <f>IFERROR(__xludf.DUMMYFUNCTION("FILTER(colegios!$B$2:$B5618,colegios!$A$2:$A5618=L2972)"),"EL MILAGRO")</f>
        <v>EL MILAGRO</v>
      </c>
      <c r="F2972" s="14" t="s">
        <v>16</v>
      </c>
      <c r="G2972" s="20" t="s">
        <v>21</v>
      </c>
      <c r="H2972" s="14" t="s">
        <v>18</v>
      </c>
      <c r="I2972" s="15">
        <v>2022.0</v>
      </c>
      <c r="J2972" s="16" t="str">
        <f>IFERROR(__xludf.DUMMYFUNCTION("FILTER('CLASFICACIÓN'!$F$3:$F5618,'CLASFICACIÓN'!$G$3:$G5618=M2972)"),"LOS 3 AÑOS")</f>
        <v>LOS 3 AÑOS</v>
      </c>
      <c r="K2972" s="16" t="str">
        <f t="array" ref="K2972">IFERROR(DGET('PADD-R'!$B$1:$K5618,'PADD-R'!$K$1,{'PADD-R'!$B$1;E2972}),"NO PARTICIPÓ")</f>
        <v>NO PARTICIPÓ</v>
      </c>
      <c r="L2972" s="14" t="s">
        <v>29</v>
      </c>
      <c r="M2972" s="16" t="str">
        <f t="shared" si="1"/>
        <v>EL MILAGRO4 Secundaria</v>
      </c>
      <c r="N2972" s="23"/>
      <c r="O2972" s="17"/>
      <c r="P2972" s="17"/>
      <c r="Q2972" s="17"/>
      <c r="R2972" s="17"/>
      <c r="S2972" s="17"/>
      <c r="T2972" s="17"/>
    </row>
    <row r="2973">
      <c r="A2973" s="18">
        <v>2634.0</v>
      </c>
      <c r="B2973" s="12" t="s">
        <v>13</v>
      </c>
      <c r="C2973" s="12" t="s">
        <v>27</v>
      </c>
      <c r="D2973" s="20" t="s">
        <v>30</v>
      </c>
      <c r="E2973" s="12" t="str">
        <f>IFERROR(__xludf.DUMMYFUNCTION("FILTER(colegios!$B$2:$B5618,colegios!$A$2:$A5618=L2973)"),"EL MILAGRO")</f>
        <v>EL MILAGRO</v>
      </c>
      <c r="F2973" s="14" t="s">
        <v>16</v>
      </c>
      <c r="G2973" s="20" t="s">
        <v>21</v>
      </c>
      <c r="H2973" s="14" t="s">
        <v>18</v>
      </c>
      <c r="I2973" s="15">
        <v>2022.0</v>
      </c>
      <c r="J2973" s="16" t="str">
        <f>IFERROR(__xludf.DUMMYFUNCTION("FILTER('CLASFICACIÓN'!$F$3:$F5618,'CLASFICACIÓN'!$G$3:$G5618=M2973)"),"LOS 3 AÑOS")</f>
        <v>LOS 3 AÑOS</v>
      </c>
      <c r="K2973" s="16" t="str">
        <f t="array" ref="K2973">IFERROR(DGET('PADD-R'!$B$1:$K5618,'PADD-R'!$K$1,{'PADD-R'!$B$1;E2973}),"NO PARTICIPÓ")</f>
        <v>NO PARTICIPÓ</v>
      </c>
      <c r="L2973" s="14" t="s">
        <v>29</v>
      </c>
      <c r="M2973" s="16" t="str">
        <f t="shared" si="1"/>
        <v>EL MILAGRO4 Secundaria</v>
      </c>
      <c r="N2973" s="23"/>
      <c r="O2973" s="17"/>
      <c r="P2973" s="17"/>
      <c r="Q2973" s="17"/>
      <c r="R2973" s="17"/>
      <c r="S2973" s="17"/>
      <c r="T2973" s="17"/>
    </row>
    <row r="2974">
      <c r="A2974" s="18">
        <v>2635.0</v>
      </c>
      <c r="B2974" s="12" t="s">
        <v>13</v>
      </c>
      <c r="C2974" s="12" t="s">
        <v>27</v>
      </c>
      <c r="D2974" s="20" t="s">
        <v>30</v>
      </c>
      <c r="E2974" s="12" t="str">
        <f>IFERROR(__xludf.DUMMYFUNCTION("FILTER(colegios!$B$2:$B5618,colegios!$A$2:$A5618=L2974)"),"EL MILAGRO")</f>
        <v>EL MILAGRO</v>
      </c>
      <c r="F2974" s="14" t="s">
        <v>16</v>
      </c>
      <c r="G2974" s="20" t="s">
        <v>17</v>
      </c>
      <c r="H2974" s="14" t="s">
        <v>18</v>
      </c>
      <c r="I2974" s="15">
        <v>2022.0</v>
      </c>
      <c r="J2974" s="16" t="str">
        <f>IFERROR(__xludf.DUMMYFUNCTION("FILTER('CLASFICACIÓN'!$F$3:$F5618,'CLASFICACIÓN'!$G$3:$G5618=M2974)"),"LOS 3 AÑOS")</f>
        <v>LOS 3 AÑOS</v>
      </c>
      <c r="K2974" s="16" t="str">
        <f t="array" ref="K2974">IFERROR(DGET('PADD-R'!$B$1:$K5618,'PADD-R'!$K$1,{'PADD-R'!$B$1;E2974}),"NO PARTICIPÓ")</f>
        <v>NO PARTICIPÓ</v>
      </c>
      <c r="L2974" s="14" t="s">
        <v>29</v>
      </c>
      <c r="M2974" s="16" t="str">
        <f t="shared" si="1"/>
        <v>EL MILAGRO4 Secundaria</v>
      </c>
      <c r="N2974" s="23"/>
      <c r="O2974" s="17"/>
      <c r="P2974" s="17"/>
      <c r="Q2974" s="17"/>
      <c r="R2974" s="17"/>
      <c r="S2974" s="17"/>
      <c r="T2974" s="17"/>
    </row>
    <row r="2975">
      <c r="A2975" s="18">
        <v>2648.0</v>
      </c>
      <c r="B2975" s="12" t="s">
        <v>48</v>
      </c>
      <c r="C2975" s="12" t="s">
        <v>14</v>
      </c>
      <c r="D2975" s="20" t="s">
        <v>15</v>
      </c>
      <c r="E2975" s="12" t="str">
        <f>IFERROR(__xludf.DUMMYFUNCTION("FILTER(colegios!$B$2:$B5618,colegios!$A$2:$A5618=L2975)"),"SAGRADO CORAZON DE JESUS")</f>
        <v>SAGRADO CORAZON DE JESUS</v>
      </c>
      <c r="F2975" s="14" t="s">
        <v>16</v>
      </c>
      <c r="G2975" s="20" t="s">
        <v>17</v>
      </c>
      <c r="H2975" s="14" t="s">
        <v>18</v>
      </c>
      <c r="I2975" s="15">
        <v>2022.0</v>
      </c>
      <c r="J2975" s="16" t="str">
        <f>IFERROR(__xludf.DUMMYFUNCTION("FILTER('CLASFICACIÓN'!$F$3:$F5618,'CLASFICACIÓN'!$G$3:$G5618=M2975)"),"LOS 3 AÑOS")</f>
        <v>LOS 3 AÑOS</v>
      </c>
      <c r="K2975" s="16" t="str">
        <f t="array" ref="K2975">IFERROR(DGET('PADD-R'!$B$1:$K5618,'PADD-R'!$K$1,{'PADD-R'!$B$1;E2975}),"NO PARTICIPÓ")</f>
        <v>NO PARTICIPÓ</v>
      </c>
      <c r="L2975" s="14" t="s">
        <v>150</v>
      </c>
      <c r="M2975" s="16" t="str">
        <f t="shared" si="1"/>
        <v>SAGRADO CORAZON DE JESUS2 Primaria</v>
      </c>
      <c r="N2975" s="23"/>
      <c r="O2975" s="17"/>
      <c r="P2975" s="17"/>
      <c r="Q2975" s="17"/>
      <c r="R2975" s="17"/>
      <c r="S2975" s="17"/>
      <c r="T2975" s="17"/>
    </row>
    <row r="2976">
      <c r="A2976" s="18">
        <v>2649.0</v>
      </c>
      <c r="B2976" s="12" t="s">
        <v>48</v>
      </c>
      <c r="C2976" s="12" t="s">
        <v>14</v>
      </c>
      <c r="D2976" s="20" t="s">
        <v>15</v>
      </c>
      <c r="E2976" s="12" t="str">
        <f>IFERROR(__xludf.DUMMYFUNCTION("FILTER(colegios!$B$2:$B5618,colegios!$A$2:$A5618=L2976)"),"SAGRADO CORAZON DE JESUS")</f>
        <v>SAGRADO CORAZON DE JESUS</v>
      </c>
      <c r="F2976" s="14" t="s">
        <v>16</v>
      </c>
      <c r="G2976" s="20" t="s">
        <v>21</v>
      </c>
      <c r="H2976" s="14" t="s">
        <v>24</v>
      </c>
      <c r="I2976" s="15">
        <v>2022.0</v>
      </c>
      <c r="J2976" s="16" t="str">
        <f>IFERROR(__xludf.DUMMYFUNCTION("FILTER('CLASFICACIÓN'!$F$3:$F5618,'CLASFICACIÓN'!$G$3:$G5618=M2976)"),"LOS 3 AÑOS")</f>
        <v>LOS 3 AÑOS</v>
      </c>
      <c r="K2976" s="16" t="str">
        <f t="array" ref="K2976">IFERROR(DGET('PADD-R'!$B$1:$K5618,'PADD-R'!$K$1,{'PADD-R'!$B$1;E2976}),"NO PARTICIPÓ")</f>
        <v>NO PARTICIPÓ</v>
      </c>
      <c r="L2976" s="14" t="s">
        <v>150</v>
      </c>
      <c r="M2976" s="16" t="str">
        <f t="shared" si="1"/>
        <v>SAGRADO CORAZON DE JESUS2 Primaria</v>
      </c>
      <c r="N2976" s="23"/>
      <c r="O2976" s="17"/>
      <c r="P2976" s="17"/>
      <c r="Q2976" s="17"/>
      <c r="R2976" s="17"/>
      <c r="S2976" s="17"/>
      <c r="T2976" s="17"/>
    </row>
    <row r="2977">
      <c r="A2977" s="18">
        <v>2650.0</v>
      </c>
      <c r="B2977" s="12" t="s">
        <v>48</v>
      </c>
      <c r="C2977" s="12" t="s">
        <v>14</v>
      </c>
      <c r="D2977" s="20" t="s">
        <v>15</v>
      </c>
      <c r="E2977" s="12" t="str">
        <f>IFERROR(__xludf.DUMMYFUNCTION("FILTER(colegios!$B$2:$B5618,colegios!$A$2:$A5618=L2977)"),"SAGRADO CORAZON DE JESUS")</f>
        <v>SAGRADO CORAZON DE JESUS</v>
      </c>
      <c r="F2977" s="14" t="s">
        <v>16</v>
      </c>
      <c r="G2977" s="20" t="s">
        <v>21</v>
      </c>
      <c r="H2977" s="14" t="s">
        <v>18</v>
      </c>
      <c r="I2977" s="15">
        <v>2022.0</v>
      </c>
      <c r="J2977" s="16" t="str">
        <f>IFERROR(__xludf.DUMMYFUNCTION("FILTER('CLASFICACIÓN'!$F$3:$F5618,'CLASFICACIÓN'!$G$3:$G5618=M2977)"),"LOS 3 AÑOS")</f>
        <v>LOS 3 AÑOS</v>
      </c>
      <c r="K2977" s="16" t="str">
        <f t="array" ref="K2977">IFERROR(DGET('PADD-R'!$B$1:$K5618,'PADD-R'!$K$1,{'PADD-R'!$B$1;E2977}),"NO PARTICIPÓ")</f>
        <v>NO PARTICIPÓ</v>
      </c>
      <c r="L2977" s="14" t="s">
        <v>150</v>
      </c>
      <c r="M2977" s="16" t="str">
        <f t="shared" si="1"/>
        <v>SAGRADO CORAZON DE JESUS2 Primaria</v>
      </c>
      <c r="N2977" s="23"/>
      <c r="O2977" s="17"/>
      <c r="P2977" s="17"/>
      <c r="Q2977" s="17"/>
      <c r="R2977" s="17"/>
      <c r="S2977" s="17"/>
      <c r="T2977" s="17"/>
    </row>
    <row r="2978">
      <c r="A2978" s="18">
        <v>2651.0</v>
      </c>
      <c r="B2978" s="12" t="s">
        <v>48</v>
      </c>
      <c r="C2978" s="12" t="s">
        <v>14</v>
      </c>
      <c r="D2978" s="20" t="s">
        <v>15</v>
      </c>
      <c r="E2978" s="12" t="str">
        <f>IFERROR(__xludf.DUMMYFUNCTION("FILTER(colegios!$B$2:$B5618,colegios!$A$2:$A5618=L2978)"),"SAGRADO CORAZON DE JESUS")</f>
        <v>SAGRADO CORAZON DE JESUS</v>
      </c>
      <c r="F2978" s="14" t="s">
        <v>16</v>
      </c>
      <c r="G2978" s="20" t="s">
        <v>17</v>
      </c>
      <c r="H2978" s="14" t="s">
        <v>18</v>
      </c>
      <c r="I2978" s="15">
        <v>2022.0</v>
      </c>
      <c r="J2978" s="16" t="str">
        <f>IFERROR(__xludf.DUMMYFUNCTION("FILTER('CLASFICACIÓN'!$F$3:$F5618,'CLASFICACIÓN'!$G$3:$G5618=M2978)"),"LOS 3 AÑOS")</f>
        <v>LOS 3 AÑOS</v>
      </c>
      <c r="K2978" s="16" t="str">
        <f t="array" ref="K2978">IFERROR(DGET('PADD-R'!$B$1:$K5618,'PADD-R'!$K$1,{'PADD-R'!$B$1;E2978}),"NO PARTICIPÓ")</f>
        <v>NO PARTICIPÓ</v>
      </c>
      <c r="L2978" s="14" t="s">
        <v>150</v>
      </c>
      <c r="M2978" s="16" t="str">
        <f t="shared" si="1"/>
        <v>SAGRADO CORAZON DE JESUS2 Primaria</v>
      </c>
      <c r="N2978" s="23"/>
      <c r="O2978" s="17"/>
      <c r="P2978" s="17"/>
      <c r="Q2978" s="17"/>
      <c r="R2978" s="17"/>
      <c r="S2978" s="17"/>
      <c r="T2978" s="17"/>
    </row>
    <row r="2979">
      <c r="A2979" s="18">
        <v>2652.0</v>
      </c>
      <c r="B2979" s="12" t="s">
        <v>48</v>
      </c>
      <c r="C2979" s="12" t="s">
        <v>14</v>
      </c>
      <c r="D2979" s="20" t="s">
        <v>15</v>
      </c>
      <c r="E2979" s="12" t="str">
        <f>IFERROR(__xludf.DUMMYFUNCTION("FILTER(colegios!$B$2:$B5618,colegios!$A$2:$A5618=L2979)"),"SAGRADO CORAZON DE JESUS")</f>
        <v>SAGRADO CORAZON DE JESUS</v>
      </c>
      <c r="F2979" s="14" t="s">
        <v>16</v>
      </c>
      <c r="G2979" s="20" t="s">
        <v>17</v>
      </c>
      <c r="H2979" s="14" t="s">
        <v>18</v>
      </c>
      <c r="I2979" s="15">
        <v>2022.0</v>
      </c>
      <c r="J2979" s="16" t="str">
        <f>IFERROR(__xludf.DUMMYFUNCTION("FILTER('CLASFICACIÓN'!$F$3:$F5618,'CLASFICACIÓN'!$G$3:$G5618=M2979)"),"LOS 3 AÑOS")</f>
        <v>LOS 3 AÑOS</v>
      </c>
      <c r="K2979" s="16" t="str">
        <f t="array" ref="K2979">IFERROR(DGET('PADD-R'!$B$1:$K5618,'PADD-R'!$K$1,{'PADD-R'!$B$1;E2979}),"NO PARTICIPÓ")</f>
        <v>NO PARTICIPÓ</v>
      </c>
      <c r="L2979" s="14" t="s">
        <v>150</v>
      </c>
      <c r="M2979" s="16" t="str">
        <f t="shared" si="1"/>
        <v>SAGRADO CORAZON DE JESUS2 Primaria</v>
      </c>
      <c r="N2979" s="23"/>
      <c r="O2979" s="17"/>
      <c r="P2979" s="17"/>
      <c r="Q2979" s="17"/>
      <c r="R2979" s="17"/>
      <c r="S2979" s="17"/>
      <c r="T2979" s="17"/>
    </row>
    <row r="2980">
      <c r="A2980" s="18">
        <v>2653.0</v>
      </c>
      <c r="B2980" s="12" t="s">
        <v>48</v>
      </c>
      <c r="C2980" s="12" t="s">
        <v>14</v>
      </c>
      <c r="D2980" s="20" t="s">
        <v>15</v>
      </c>
      <c r="E2980" s="12" t="str">
        <f>IFERROR(__xludf.DUMMYFUNCTION("FILTER(colegios!$B$2:$B5618,colegios!$A$2:$A5618=L2980)"),"SAGRADO CORAZON DE JESUS")</f>
        <v>SAGRADO CORAZON DE JESUS</v>
      </c>
      <c r="F2980" s="14" t="s">
        <v>16</v>
      </c>
      <c r="G2980" s="20" t="s">
        <v>17</v>
      </c>
      <c r="H2980" s="14" t="s">
        <v>24</v>
      </c>
      <c r="I2980" s="15">
        <v>2022.0</v>
      </c>
      <c r="J2980" s="16" t="str">
        <f>IFERROR(__xludf.DUMMYFUNCTION("FILTER('CLASFICACIÓN'!$F$3:$F5618,'CLASFICACIÓN'!$G$3:$G5618=M2980)"),"LOS 3 AÑOS")</f>
        <v>LOS 3 AÑOS</v>
      </c>
      <c r="K2980" s="16" t="str">
        <f t="array" ref="K2980">IFERROR(DGET('PADD-R'!$B$1:$K5618,'PADD-R'!$K$1,{'PADD-R'!$B$1;E2980}),"NO PARTICIPÓ")</f>
        <v>NO PARTICIPÓ</v>
      </c>
      <c r="L2980" s="14" t="s">
        <v>150</v>
      </c>
      <c r="M2980" s="16" t="str">
        <f t="shared" si="1"/>
        <v>SAGRADO CORAZON DE JESUS2 Primaria</v>
      </c>
      <c r="N2980" s="23"/>
      <c r="O2980" s="17"/>
      <c r="P2980" s="17"/>
      <c r="Q2980" s="17"/>
      <c r="R2980" s="17"/>
      <c r="S2980" s="17"/>
      <c r="T2980" s="17"/>
    </row>
    <row r="2981">
      <c r="A2981" s="18">
        <v>2654.0</v>
      </c>
      <c r="B2981" s="12" t="s">
        <v>48</v>
      </c>
      <c r="C2981" s="12" t="s">
        <v>14</v>
      </c>
      <c r="D2981" s="20" t="s">
        <v>15</v>
      </c>
      <c r="E2981" s="12" t="str">
        <f>IFERROR(__xludf.DUMMYFUNCTION("FILTER(colegios!$B$2:$B5618,colegios!$A$2:$A5618=L2981)"),"SAGRADO CORAZON DE JESUS")</f>
        <v>SAGRADO CORAZON DE JESUS</v>
      </c>
      <c r="F2981" s="14" t="s">
        <v>16</v>
      </c>
      <c r="G2981" s="20" t="s">
        <v>17</v>
      </c>
      <c r="H2981" s="14" t="s">
        <v>18</v>
      </c>
      <c r="I2981" s="15">
        <v>2022.0</v>
      </c>
      <c r="J2981" s="16" t="str">
        <f>IFERROR(__xludf.DUMMYFUNCTION("FILTER('CLASFICACIÓN'!$F$3:$F5618,'CLASFICACIÓN'!$G$3:$G5618=M2981)"),"LOS 3 AÑOS")</f>
        <v>LOS 3 AÑOS</v>
      </c>
      <c r="K2981" s="16" t="str">
        <f t="array" ref="K2981">IFERROR(DGET('PADD-R'!$B$1:$K5618,'PADD-R'!$K$1,{'PADD-R'!$B$1;E2981}),"NO PARTICIPÓ")</f>
        <v>NO PARTICIPÓ</v>
      </c>
      <c r="L2981" s="14" t="s">
        <v>150</v>
      </c>
      <c r="M2981" s="16" t="str">
        <f t="shared" si="1"/>
        <v>SAGRADO CORAZON DE JESUS2 Primaria</v>
      </c>
      <c r="N2981" s="23"/>
      <c r="O2981" s="17"/>
      <c r="P2981" s="17"/>
      <c r="Q2981" s="17"/>
      <c r="R2981" s="17"/>
      <c r="S2981" s="17"/>
      <c r="T2981" s="17"/>
    </row>
    <row r="2982">
      <c r="A2982" s="18">
        <v>2655.0</v>
      </c>
      <c r="B2982" s="12" t="s">
        <v>48</v>
      </c>
      <c r="C2982" s="12" t="s">
        <v>14</v>
      </c>
      <c r="D2982" s="20" t="s">
        <v>15</v>
      </c>
      <c r="E2982" s="12" t="str">
        <f>IFERROR(__xludf.DUMMYFUNCTION("FILTER(colegios!$B$2:$B5618,colegios!$A$2:$A5618=L2982)"),"SAGRADO CORAZON DE JESUS")</f>
        <v>SAGRADO CORAZON DE JESUS</v>
      </c>
      <c r="F2982" s="14" t="s">
        <v>16</v>
      </c>
      <c r="G2982" s="20" t="s">
        <v>21</v>
      </c>
      <c r="H2982" s="14" t="s">
        <v>18</v>
      </c>
      <c r="I2982" s="15">
        <v>2022.0</v>
      </c>
      <c r="J2982" s="16" t="str">
        <f>IFERROR(__xludf.DUMMYFUNCTION("FILTER('CLASFICACIÓN'!$F$3:$F5618,'CLASFICACIÓN'!$G$3:$G5618=M2982)"),"LOS 3 AÑOS")</f>
        <v>LOS 3 AÑOS</v>
      </c>
      <c r="K2982" s="16" t="str">
        <f t="array" ref="K2982">IFERROR(DGET('PADD-R'!$B$1:$K5618,'PADD-R'!$K$1,{'PADD-R'!$B$1;E2982}),"NO PARTICIPÓ")</f>
        <v>NO PARTICIPÓ</v>
      </c>
      <c r="L2982" s="14" t="s">
        <v>150</v>
      </c>
      <c r="M2982" s="16" t="str">
        <f t="shared" si="1"/>
        <v>SAGRADO CORAZON DE JESUS2 Primaria</v>
      </c>
      <c r="N2982" s="23"/>
      <c r="O2982" s="17"/>
      <c r="P2982" s="17"/>
      <c r="Q2982" s="17"/>
      <c r="R2982" s="17"/>
      <c r="S2982" s="17"/>
      <c r="T2982" s="17"/>
    </row>
    <row r="2983">
      <c r="A2983" s="18">
        <v>2656.0</v>
      </c>
      <c r="B2983" s="12" t="s">
        <v>48</v>
      </c>
      <c r="C2983" s="12" t="s">
        <v>14</v>
      </c>
      <c r="D2983" s="20" t="s">
        <v>15</v>
      </c>
      <c r="E2983" s="12" t="str">
        <f>IFERROR(__xludf.DUMMYFUNCTION("FILTER(colegios!$B$2:$B5618,colegios!$A$2:$A5618=L2983)"),"SAGRADO CORAZON DE JESUS")</f>
        <v>SAGRADO CORAZON DE JESUS</v>
      </c>
      <c r="F2983" s="14" t="s">
        <v>16</v>
      </c>
      <c r="G2983" s="20" t="s">
        <v>21</v>
      </c>
      <c r="H2983" s="14" t="s">
        <v>18</v>
      </c>
      <c r="I2983" s="15">
        <v>2022.0</v>
      </c>
      <c r="J2983" s="16" t="str">
        <f>IFERROR(__xludf.DUMMYFUNCTION("FILTER('CLASFICACIÓN'!$F$3:$F5618,'CLASFICACIÓN'!$G$3:$G5618=M2983)"),"LOS 3 AÑOS")</f>
        <v>LOS 3 AÑOS</v>
      </c>
      <c r="K2983" s="16" t="str">
        <f t="array" ref="K2983">IFERROR(DGET('PADD-R'!$B$1:$K5618,'PADD-R'!$K$1,{'PADD-R'!$B$1;E2983}),"NO PARTICIPÓ")</f>
        <v>NO PARTICIPÓ</v>
      </c>
      <c r="L2983" s="14" t="s">
        <v>150</v>
      </c>
      <c r="M2983" s="16" t="str">
        <f t="shared" si="1"/>
        <v>SAGRADO CORAZON DE JESUS2 Primaria</v>
      </c>
      <c r="N2983" s="23"/>
      <c r="O2983" s="17"/>
      <c r="P2983" s="17"/>
      <c r="Q2983" s="17"/>
      <c r="R2983" s="17"/>
      <c r="S2983" s="17"/>
      <c r="T2983" s="17"/>
    </row>
    <row r="2984">
      <c r="A2984" s="18">
        <v>2657.0</v>
      </c>
      <c r="B2984" s="12" t="s">
        <v>48</v>
      </c>
      <c r="C2984" s="12" t="s">
        <v>14</v>
      </c>
      <c r="D2984" s="20" t="s">
        <v>15</v>
      </c>
      <c r="E2984" s="12" t="str">
        <f>IFERROR(__xludf.DUMMYFUNCTION("FILTER(colegios!$B$2:$B5618,colegios!$A$2:$A5618=L2984)"),"SAGRADO CORAZON DE JESUS")</f>
        <v>SAGRADO CORAZON DE JESUS</v>
      </c>
      <c r="F2984" s="14" t="s">
        <v>16</v>
      </c>
      <c r="G2984" s="20" t="s">
        <v>21</v>
      </c>
      <c r="H2984" s="14" t="s">
        <v>18</v>
      </c>
      <c r="I2984" s="15">
        <v>2022.0</v>
      </c>
      <c r="J2984" s="16" t="str">
        <f>IFERROR(__xludf.DUMMYFUNCTION("FILTER('CLASFICACIÓN'!$F$3:$F5618,'CLASFICACIÓN'!$G$3:$G5618=M2984)"),"LOS 3 AÑOS")</f>
        <v>LOS 3 AÑOS</v>
      </c>
      <c r="K2984" s="16" t="str">
        <f t="array" ref="K2984">IFERROR(DGET('PADD-R'!$B$1:$K5618,'PADD-R'!$K$1,{'PADD-R'!$B$1;E2984}),"NO PARTICIPÓ")</f>
        <v>NO PARTICIPÓ</v>
      </c>
      <c r="L2984" s="14" t="s">
        <v>150</v>
      </c>
      <c r="M2984" s="16" t="str">
        <f t="shared" si="1"/>
        <v>SAGRADO CORAZON DE JESUS2 Primaria</v>
      </c>
      <c r="N2984" s="23"/>
      <c r="O2984" s="17"/>
      <c r="P2984" s="17"/>
      <c r="Q2984" s="17"/>
      <c r="R2984" s="17"/>
      <c r="S2984" s="17"/>
      <c r="T2984" s="17"/>
    </row>
    <row r="2985">
      <c r="A2985" s="18">
        <v>2658.0</v>
      </c>
      <c r="B2985" s="12" t="s">
        <v>48</v>
      </c>
      <c r="C2985" s="12" t="s">
        <v>14</v>
      </c>
      <c r="D2985" s="20" t="s">
        <v>15</v>
      </c>
      <c r="E2985" s="12" t="str">
        <f>IFERROR(__xludf.DUMMYFUNCTION("FILTER(colegios!$B$2:$B5618,colegios!$A$2:$A5618=L2985)"),"SAGRADO CORAZON DE JESUS")</f>
        <v>SAGRADO CORAZON DE JESUS</v>
      </c>
      <c r="F2985" s="14" t="s">
        <v>16</v>
      </c>
      <c r="G2985" s="20" t="s">
        <v>17</v>
      </c>
      <c r="H2985" s="14" t="s">
        <v>18</v>
      </c>
      <c r="I2985" s="15">
        <v>2022.0</v>
      </c>
      <c r="J2985" s="16" t="str">
        <f>IFERROR(__xludf.DUMMYFUNCTION("FILTER('CLASFICACIÓN'!$F$3:$F5618,'CLASFICACIÓN'!$G$3:$G5618=M2985)"),"LOS 3 AÑOS")</f>
        <v>LOS 3 AÑOS</v>
      </c>
      <c r="K2985" s="16" t="str">
        <f t="array" ref="K2985">IFERROR(DGET('PADD-R'!$B$1:$K5618,'PADD-R'!$K$1,{'PADD-R'!$B$1;E2985}),"NO PARTICIPÓ")</f>
        <v>NO PARTICIPÓ</v>
      </c>
      <c r="L2985" s="14" t="s">
        <v>150</v>
      </c>
      <c r="M2985" s="16" t="str">
        <f t="shared" si="1"/>
        <v>SAGRADO CORAZON DE JESUS2 Primaria</v>
      </c>
      <c r="N2985" s="23"/>
      <c r="O2985" s="17"/>
      <c r="P2985" s="17"/>
      <c r="Q2985" s="17"/>
      <c r="R2985" s="17"/>
      <c r="S2985" s="17"/>
      <c r="T2985" s="17"/>
    </row>
    <row r="2986">
      <c r="A2986" s="18">
        <v>2659.0</v>
      </c>
      <c r="B2986" s="12" t="s">
        <v>48</v>
      </c>
      <c r="C2986" s="12" t="s">
        <v>14</v>
      </c>
      <c r="D2986" s="20" t="s">
        <v>15</v>
      </c>
      <c r="E2986" s="12" t="str">
        <f>IFERROR(__xludf.DUMMYFUNCTION("FILTER(colegios!$B$2:$B5618,colegios!$A$2:$A5618=L2986)"),"SAGRADO CORAZON DE JESUS")</f>
        <v>SAGRADO CORAZON DE JESUS</v>
      </c>
      <c r="F2986" s="14" t="s">
        <v>16</v>
      </c>
      <c r="G2986" s="20" t="s">
        <v>17</v>
      </c>
      <c r="H2986" s="14" t="s">
        <v>18</v>
      </c>
      <c r="I2986" s="15">
        <v>2022.0</v>
      </c>
      <c r="J2986" s="16" t="str">
        <f>IFERROR(__xludf.DUMMYFUNCTION("FILTER('CLASFICACIÓN'!$F$3:$F5618,'CLASFICACIÓN'!$G$3:$G5618=M2986)"),"LOS 3 AÑOS")</f>
        <v>LOS 3 AÑOS</v>
      </c>
      <c r="K2986" s="16" t="str">
        <f t="array" ref="K2986">IFERROR(DGET('PADD-R'!$B$1:$K5618,'PADD-R'!$K$1,{'PADD-R'!$B$1;E2986}),"NO PARTICIPÓ")</f>
        <v>NO PARTICIPÓ</v>
      </c>
      <c r="L2986" s="14" t="s">
        <v>150</v>
      </c>
      <c r="M2986" s="16" t="str">
        <f t="shared" si="1"/>
        <v>SAGRADO CORAZON DE JESUS2 Primaria</v>
      </c>
      <c r="N2986" s="23"/>
      <c r="O2986" s="17"/>
      <c r="P2986" s="17"/>
      <c r="Q2986" s="17"/>
      <c r="R2986" s="17"/>
      <c r="S2986" s="17"/>
      <c r="T2986" s="17"/>
    </row>
    <row r="2987">
      <c r="A2987" s="18">
        <v>2660.0</v>
      </c>
      <c r="B2987" s="12" t="s">
        <v>48</v>
      </c>
      <c r="C2987" s="12" t="s">
        <v>14</v>
      </c>
      <c r="D2987" s="20" t="s">
        <v>15</v>
      </c>
      <c r="E2987" s="12" t="str">
        <f>IFERROR(__xludf.DUMMYFUNCTION("FILTER(colegios!$B$2:$B5618,colegios!$A$2:$A5618=L2987)"),"SAGRADO CORAZON DE JESUS")</f>
        <v>SAGRADO CORAZON DE JESUS</v>
      </c>
      <c r="F2987" s="14" t="s">
        <v>16</v>
      </c>
      <c r="G2987" s="20" t="s">
        <v>21</v>
      </c>
      <c r="H2987" s="14" t="s">
        <v>18</v>
      </c>
      <c r="I2987" s="15">
        <v>2022.0</v>
      </c>
      <c r="J2987" s="16" t="str">
        <f>IFERROR(__xludf.DUMMYFUNCTION("FILTER('CLASFICACIÓN'!$F$3:$F5618,'CLASFICACIÓN'!$G$3:$G5618=M2987)"),"LOS 3 AÑOS")</f>
        <v>LOS 3 AÑOS</v>
      </c>
      <c r="K2987" s="16" t="str">
        <f t="array" ref="K2987">IFERROR(DGET('PADD-R'!$B$1:$K5618,'PADD-R'!$K$1,{'PADD-R'!$B$1;E2987}),"NO PARTICIPÓ")</f>
        <v>NO PARTICIPÓ</v>
      </c>
      <c r="L2987" s="14" t="s">
        <v>150</v>
      </c>
      <c r="M2987" s="16" t="str">
        <f t="shared" si="1"/>
        <v>SAGRADO CORAZON DE JESUS2 Primaria</v>
      </c>
      <c r="N2987" s="23"/>
      <c r="O2987" s="17"/>
      <c r="P2987" s="17"/>
      <c r="Q2987" s="17"/>
      <c r="R2987" s="17"/>
      <c r="S2987" s="17"/>
      <c r="T2987" s="17"/>
    </row>
    <row r="2988">
      <c r="A2988" s="18">
        <v>2661.0</v>
      </c>
      <c r="B2988" s="12" t="s">
        <v>48</v>
      </c>
      <c r="C2988" s="12" t="s">
        <v>14</v>
      </c>
      <c r="D2988" s="20" t="s">
        <v>15</v>
      </c>
      <c r="E2988" s="12" t="str">
        <f>IFERROR(__xludf.DUMMYFUNCTION("FILTER(colegios!$B$2:$B5618,colegios!$A$2:$A5618=L2988)"),"SAGRADO CORAZON DE JESUS")</f>
        <v>SAGRADO CORAZON DE JESUS</v>
      </c>
      <c r="F2988" s="14" t="s">
        <v>16</v>
      </c>
      <c r="G2988" s="20" t="s">
        <v>21</v>
      </c>
      <c r="H2988" s="14" t="s">
        <v>24</v>
      </c>
      <c r="I2988" s="15">
        <v>2022.0</v>
      </c>
      <c r="J2988" s="16" t="str">
        <f>IFERROR(__xludf.DUMMYFUNCTION("FILTER('CLASFICACIÓN'!$F$3:$F5618,'CLASFICACIÓN'!$G$3:$G5618=M2988)"),"LOS 3 AÑOS")</f>
        <v>LOS 3 AÑOS</v>
      </c>
      <c r="K2988" s="16" t="str">
        <f t="array" ref="K2988">IFERROR(DGET('PADD-R'!$B$1:$K5618,'PADD-R'!$K$1,{'PADD-R'!$B$1;E2988}),"NO PARTICIPÓ")</f>
        <v>NO PARTICIPÓ</v>
      </c>
      <c r="L2988" s="14" t="s">
        <v>150</v>
      </c>
      <c r="M2988" s="16" t="str">
        <f t="shared" si="1"/>
        <v>SAGRADO CORAZON DE JESUS2 Primaria</v>
      </c>
      <c r="N2988" s="23"/>
      <c r="O2988" s="17"/>
      <c r="P2988" s="17"/>
      <c r="Q2988" s="17"/>
      <c r="R2988" s="17"/>
      <c r="S2988" s="17"/>
      <c r="T2988" s="17"/>
    </row>
    <row r="2989">
      <c r="A2989" s="18">
        <v>2662.0</v>
      </c>
      <c r="B2989" s="12" t="s">
        <v>48</v>
      </c>
      <c r="C2989" s="12" t="s">
        <v>14</v>
      </c>
      <c r="D2989" s="20" t="s">
        <v>20</v>
      </c>
      <c r="E2989" s="12" t="str">
        <f>IFERROR(__xludf.DUMMYFUNCTION("FILTER(colegios!$B$2:$B5618,colegios!$A$2:$A5618=L2989)"),"SAGRADO CORAZON DE JESUS")</f>
        <v>SAGRADO CORAZON DE JESUS</v>
      </c>
      <c r="F2989" s="14" t="s">
        <v>16</v>
      </c>
      <c r="G2989" s="20" t="s">
        <v>17</v>
      </c>
      <c r="H2989" s="14" t="s">
        <v>18</v>
      </c>
      <c r="I2989" s="15">
        <v>2022.0</v>
      </c>
      <c r="J2989" s="16" t="str">
        <f>IFERROR(__xludf.DUMMYFUNCTION("FILTER('CLASFICACIÓN'!$F$3:$F5618,'CLASFICACIÓN'!$G$3:$G5618=M2989)"),"LOS 3 AÑOS")</f>
        <v>LOS 3 AÑOS</v>
      </c>
      <c r="K2989" s="16" t="str">
        <f t="array" ref="K2989">IFERROR(DGET('PADD-R'!$B$1:$K5618,'PADD-R'!$K$1,{'PADD-R'!$B$1;E2989}),"NO PARTICIPÓ")</f>
        <v>NO PARTICIPÓ</v>
      </c>
      <c r="L2989" s="14" t="s">
        <v>150</v>
      </c>
      <c r="M2989" s="16" t="str">
        <f t="shared" si="1"/>
        <v>SAGRADO CORAZON DE JESUS4 Primaria</v>
      </c>
      <c r="N2989" s="23"/>
      <c r="O2989" s="17"/>
      <c r="P2989" s="17"/>
      <c r="Q2989" s="17"/>
      <c r="R2989" s="17"/>
      <c r="S2989" s="17"/>
      <c r="T2989" s="17"/>
    </row>
    <row r="2990">
      <c r="A2990" s="18">
        <v>2663.0</v>
      </c>
      <c r="B2990" s="12" t="s">
        <v>48</v>
      </c>
      <c r="C2990" s="12" t="s">
        <v>14</v>
      </c>
      <c r="D2990" s="20" t="s">
        <v>20</v>
      </c>
      <c r="E2990" s="12" t="str">
        <f>IFERROR(__xludf.DUMMYFUNCTION("FILTER(colegios!$B$2:$B5618,colegios!$A$2:$A5618=L2990)"),"SAGRADO CORAZON DE JESUS")</f>
        <v>SAGRADO CORAZON DE JESUS</v>
      </c>
      <c r="F2990" s="14" t="s">
        <v>16</v>
      </c>
      <c r="G2990" s="20" t="s">
        <v>17</v>
      </c>
      <c r="H2990" s="14" t="s">
        <v>18</v>
      </c>
      <c r="I2990" s="15">
        <v>2022.0</v>
      </c>
      <c r="J2990" s="16" t="str">
        <f>IFERROR(__xludf.DUMMYFUNCTION("FILTER('CLASFICACIÓN'!$F$3:$F5618,'CLASFICACIÓN'!$G$3:$G5618=M2990)"),"LOS 3 AÑOS")</f>
        <v>LOS 3 AÑOS</v>
      </c>
      <c r="K2990" s="16" t="str">
        <f t="array" ref="K2990">IFERROR(DGET('PADD-R'!$B$1:$K5618,'PADD-R'!$K$1,{'PADD-R'!$B$1;E2990}),"NO PARTICIPÓ")</f>
        <v>NO PARTICIPÓ</v>
      </c>
      <c r="L2990" s="14" t="s">
        <v>150</v>
      </c>
      <c r="M2990" s="16" t="str">
        <f t="shared" si="1"/>
        <v>SAGRADO CORAZON DE JESUS4 Primaria</v>
      </c>
      <c r="N2990" s="23"/>
      <c r="O2990" s="17"/>
      <c r="P2990" s="17"/>
      <c r="Q2990" s="17"/>
      <c r="R2990" s="17"/>
      <c r="S2990" s="17"/>
      <c r="T2990" s="17"/>
    </row>
    <row r="2991">
      <c r="A2991" s="18">
        <v>2664.0</v>
      </c>
      <c r="B2991" s="12" t="s">
        <v>48</v>
      </c>
      <c r="C2991" s="12" t="s">
        <v>14</v>
      </c>
      <c r="D2991" s="20" t="s">
        <v>20</v>
      </c>
      <c r="E2991" s="12" t="str">
        <f>IFERROR(__xludf.DUMMYFUNCTION("FILTER(colegios!$B$2:$B5618,colegios!$A$2:$A5618=L2991)"),"SAGRADO CORAZON DE JESUS")</f>
        <v>SAGRADO CORAZON DE JESUS</v>
      </c>
      <c r="F2991" s="14" t="s">
        <v>16</v>
      </c>
      <c r="G2991" s="20" t="s">
        <v>21</v>
      </c>
      <c r="H2991" s="14" t="s">
        <v>18</v>
      </c>
      <c r="I2991" s="15">
        <v>2022.0</v>
      </c>
      <c r="J2991" s="16" t="str">
        <f>IFERROR(__xludf.DUMMYFUNCTION("FILTER('CLASFICACIÓN'!$F$3:$F5618,'CLASFICACIÓN'!$G$3:$G5618=M2991)"),"LOS 3 AÑOS")</f>
        <v>LOS 3 AÑOS</v>
      </c>
      <c r="K2991" s="16" t="str">
        <f t="array" ref="K2991">IFERROR(DGET('PADD-R'!$B$1:$K5618,'PADD-R'!$K$1,{'PADD-R'!$B$1;E2991}),"NO PARTICIPÓ")</f>
        <v>NO PARTICIPÓ</v>
      </c>
      <c r="L2991" s="14" t="s">
        <v>150</v>
      </c>
      <c r="M2991" s="16" t="str">
        <f t="shared" si="1"/>
        <v>SAGRADO CORAZON DE JESUS4 Primaria</v>
      </c>
      <c r="N2991" s="23"/>
      <c r="O2991" s="17"/>
      <c r="P2991" s="17"/>
      <c r="Q2991" s="17"/>
      <c r="R2991" s="17"/>
      <c r="S2991" s="17"/>
      <c r="T2991" s="17"/>
    </row>
    <row r="2992">
      <c r="A2992" s="18">
        <v>2665.0</v>
      </c>
      <c r="B2992" s="12" t="s">
        <v>48</v>
      </c>
      <c r="C2992" s="12" t="s">
        <v>14</v>
      </c>
      <c r="D2992" s="20" t="s">
        <v>20</v>
      </c>
      <c r="E2992" s="12" t="str">
        <f>IFERROR(__xludf.DUMMYFUNCTION("FILTER(colegios!$B$2:$B5618,colegios!$A$2:$A5618=L2992)"),"SAGRADO CORAZON DE JESUS")</f>
        <v>SAGRADO CORAZON DE JESUS</v>
      </c>
      <c r="F2992" s="14" t="s">
        <v>16</v>
      </c>
      <c r="G2992" s="20" t="s">
        <v>17</v>
      </c>
      <c r="H2992" s="14" t="s">
        <v>18</v>
      </c>
      <c r="I2992" s="15">
        <v>2022.0</v>
      </c>
      <c r="J2992" s="16" t="str">
        <f>IFERROR(__xludf.DUMMYFUNCTION("FILTER('CLASFICACIÓN'!$F$3:$F5618,'CLASFICACIÓN'!$G$3:$G5618=M2992)"),"LOS 3 AÑOS")</f>
        <v>LOS 3 AÑOS</v>
      </c>
      <c r="K2992" s="16" t="str">
        <f t="array" ref="K2992">IFERROR(DGET('PADD-R'!$B$1:$K5618,'PADD-R'!$K$1,{'PADD-R'!$B$1;E2992}),"NO PARTICIPÓ")</f>
        <v>NO PARTICIPÓ</v>
      </c>
      <c r="L2992" s="14" t="s">
        <v>150</v>
      </c>
      <c r="M2992" s="16" t="str">
        <f t="shared" si="1"/>
        <v>SAGRADO CORAZON DE JESUS4 Primaria</v>
      </c>
      <c r="N2992" s="23"/>
      <c r="O2992" s="17"/>
      <c r="P2992" s="17"/>
      <c r="Q2992" s="17"/>
      <c r="R2992" s="17"/>
      <c r="S2992" s="17"/>
      <c r="T2992" s="17"/>
    </row>
    <row r="2993">
      <c r="A2993" s="18">
        <v>2666.0</v>
      </c>
      <c r="B2993" s="12" t="s">
        <v>48</v>
      </c>
      <c r="C2993" s="12" t="s">
        <v>14</v>
      </c>
      <c r="D2993" s="20" t="s">
        <v>20</v>
      </c>
      <c r="E2993" s="12" t="str">
        <f>IFERROR(__xludf.DUMMYFUNCTION("FILTER(colegios!$B$2:$B5618,colegios!$A$2:$A5618=L2993)"),"SAGRADO CORAZON DE JESUS")</f>
        <v>SAGRADO CORAZON DE JESUS</v>
      </c>
      <c r="F2993" s="14" t="s">
        <v>16</v>
      </c>
      <c r="G2993" s="20" t="s">
        <v>21</v>
      </c>
      <c r="H2993" s="14" t="s">
        <v>24</v>
      </c>
      <c r="I2993" s="15">
        <v>2022.0</v>
      </c>
      <c r="J2993" s="16" t="str">
        <f>IFERROR(__xludf.DUMMYFUNCTION("FILTER('CLASFICACIÓN'!$F$3:$F5618,'CLASFICACIÓN'!$G$3:$G5618=M2993)"),"LOS 3 AÑOS")</f>
        <v>LOS 3 AÑOS</v>
      </c>
      <c r="K2993" s="16" t="str">
        <f t="array" ref="K2993">IFERROR(DGET('PADD-R'!$B$1:$K5618,'PADD-R'!$K$1,{'PADD-R'!$B$1;E2993}),"NO PARTICIPÓ")</f>
        <v>NO PARTICIPÓ</v>
      </c>
      <c r="L2993" s="14" t="s">
        <v>150</v>
      </c>
      <c r="M2993" s="16" t="str">
        <f t="shared" si="1"/>
        <v>SAGRADO CORAZON DE JESUS4 Primaria</v>
      </c>
      <c r="N2993" s="23"/>
      <c r="O2993" s="17"/>
      <c r="P2993" s="17"/>
      <c r="Q2993" s="17"/>
      <c r="R2993" s="17"/>
      <c r="S2993" s="17"/>
      <c r="T2993" s="17"/>
    </row>
    <row r="2994">
      <c r="A2994" s="18">
        <v>2667.0</v>
      </c>
      <c r="B2994" s="12" t="s">
        <v>48</v>
      </c>
      <c r="C2994" s="12" t="s">
        <v>14</v>
      </c>
      <c r="D2994" s="20" t="s">
        <v>20</v>
      </c>
      <c r="E2994" s="12" t="str">
        <f>IFERROR(__xludf.DUMMYFUNCTION("FILTER(colegios!$B$2:$B5618,colegios!$A$2:$A5618=L2994)"),"SAGRADO CORAZON DE JESUS")</f>
        <v>SAGRADO CORAZON DE JESUS</v>
      </c>
      <c r="F2994" s="14" t="s">
        <v>16</v>
      </c>
      <c r="G2994" s="20" t="s">
        <v>21</v>
      </c>
      <c r="H2994" s="14" t="s">
        <v>18</v>
      </c>
      <c r="I2994" s="15">
        <v>2022.0</v>
      </c>
      <c r="J2994" s="16" t="str">
        <f>IFERROR(__xludf.DUMMYFUNCTION("FILTER('CLASFICACIÓN'!$F$3:$F5618,'CLASFICACIÓN'!$G$3:$G5618=M2994)"),"LOS 3 AÑOS")</f>
        <v>LOS 3 AÑOS</v>
      </c>
      <c r="K2994" s="16" t="str">
        <f t="array" ref="K2994">IFERROR(DGET('PADD-R'!$B$1:$K5618,'PADD-R'!$K$1,{'PADD-R'!$B$1;E2994}),"NO PARTICIPÓ")</f>
        <v>NO PARTICIPÓ</v>
      </c>
      <c r="L2994" s="14" t="s">
        <v>150</v>
      </c>
      <c r="M2994" s="16" t="str">
        <f t="shared" si="1"/>
        <v>SAGRADO CORAZON DE JESUS4 Primaria</v>
      </c>
      <c r="N2994" s="23"/>
      <c r="O2994" s="17"/>
      <c r="P2994" s="17"/>
      <c r="Q2994" s="17"/>
      <c r="R2994" s="17"/>
      <c r="S2994" s="17"/>
      <c r="T2994" s="17"/>
    </row>
    <row r="2995">
      <c r="A2995" s="18">
        <v>2668.0</v>
      </c>
      <c r="B2995" s="12" t="s">
        <v>48</v>
      </c>
      <c r="C2995" s="12" t="s">
        <v>14</v>
      </c>
      <c r="D2995" s="20" t="s">
        <v>20</v>
      </c>
      <c r="E2995" s="12" t="str">
        <f>IFERROR(__xludf.DUMMYFUNCTION("FILTER(colegios!$B$2:$B5618,colegios!$A$2:$A5618=L2995)"),"SAGRADO CORAZON DE JESUS")</f>
        <v>SAGRADO CORAZON DE JESUS</v>
      </c>
      <c r="F2995" s="14" t="s">
        <v>16</v>
      </c>
      <c r="G2995" s="20" t="s">
        <v>17</v>
      </c>
      <c r="H2995" s="14" t="s">
        <v>18</v>
      </c>
      <c r="I2995" s="15">
        <v>2022.0</v>
      </c>
      <c r="J2995" s="16" t="str">
        <f>IFERROR(__xludf.DUMMYFUNCTION("FILTER('CLASFICACIÓN'!$F$3:$F5618,'CLASFICACIÓN'!$G$3:$G5618=M2995)"),"LOS 3 AÑOS")</f>
        <v>LOS 3 AÑOS</v>
      </c>
      <c r="K2995" s="16" t="str">
        <f t="array" ref="K2995">IFERROR(DGET('PADD-R'!$B$1:$K5618,'PADD-R'!$K$1,{'PADD-R'!$B$1;E2995}),"NO PARTICIPÓ")</f>
        <v>NO PARTICIPÓ</v>
      </c>
      <c r="L2995" s="14" t="s">
        <v>150</v>
      </c>
      <c r="M2995" s="16" t="str">
        <f t="shared" si="1"/>
        <v>SAGRADO CORAZON DE JESUS4 Primaria</v>
      </c>
      <c r="N2995" s="23"/>
      <c r="O2995" s="17"/>
      <c r="P2995" s="17"/>
      <c r="Q2995" s="17"/>
      <c r="R2995" s="17"/>
      <c r="S2995" s="17"/>
      <c r="T2995" s="17"/>
    </row>
    <row r="2996">
      <c r="A2996" s="18">
        <v>2669.0</v>
      </c>
      <c r="B2996" s="12" t="s">
        <v>48</v>
      </c>
      <c r="C2996" s="12" t="s">
        <v>14</v>
      </c>
      <c r="D2996" s="20" t="s">
        <v>20</v>
      </c>
      <c r="E2996" s="12" t="str">
        <f>IFERROR(__xludf.DUMMYFUNCTION("FILTER(colegios!$B$2:$B5618,colegios!$A$2:$A5618=L2996)"),"SAGRADO CORAZON DE JESUS")</f>
        <v>SAGRADO CORAZON DE JESUS</v>
      </c>
      <c r="F2996" s="14" t="s">
        <v>16</v>
      </c>
      <c r="G2996" s="20" t="s">
        <v>21</v>
      </c>
      <c r="H2996" s="14" t="s">
        <v>18</v>
      </c>
      <c r="I2996" s="15">
        <v>2022.0</v>
      </c>
      <c r="J2996" s="16" t="str">
        <f>IFERROR(__xludf.DUMMYFUNCTION("FILTER('CLASFICACIÓN'!$F$3:$F5618,'CLASFICACIÓN'!$G$3:$G5618=M2996)"),"LOS 3 AÑOS")</f>
        <v>LOS 3 AÑOS</v>
      </c>
      <c r="K2996" s="16" t="str">
        <f t="array" ref="K2996">IFERROR(DGET('PADD-R'!$B$1:$K5618,'PADD-R'!$K$1,{'PADD-R'!$B$1;E2996}),"NO PARTICIPÓ")</f>
        <v>NO PARTICIPÓ</v>
      </c>
      <c r="L2996" s="14" t="s">
        <v>150</v>
      </c>
      <c r="M2996" s="16" t="str">
        <f t="shared" si="1"/>
        <v>SAGRADO CORAZON DE JESUS4 Primaria</v>
      </c>
      <c r="N2996" s="23"/>
      <c r="O2996" s="17"/>
      <c r="P2996" s="17"/>
      <c r="Q2996" s="17"/>
      <c r="R2996" s="17"/>
      <c r="S2996" s="17"/>
      <c r="T2996" s="17"/>
    </row>
    <row r="2997">
      <c r="A2997" s="18">
        <v>2670.0</v>
      </c>
      <c r="B2997" s="12" t="s">
        <v>48</v>
      </c>
      <c r="C2997" s="12" t="s">
        <v>14</v>
      </c>
      <c r="D2997" s="20" t="s">
        <v>20</v>
      </c>
      <c r="E2997" s="12" t="str">
        <f>IFERROR(__xludf.DUMMYFUNCTION("FILTER(colegios!$B$2:$B5618,colegios!$A$2:$A5618=L2997)"),"SAGRADO CORAZON DE JESUS")</f>
        <v>SAGRADO CORAZON DE JESUS</v>
      </c>
      <c r="F2997" s="14" t="s">
        <v>16</v>
      </c>
      <c r="G2997" s="20" t="s">
        <v>21</v>
      </c>
      <c r="H2997" s="14" t="s">
        <v>18</v>
      </c>
      <c r="I2997" s="15">
        <v>2022.0</v>
      </c>
      <c r="J2997" s="16" t="str">
        <f>IFERROR(__xludf.DUMMYFUNCTION("FILTER('CLASFICACIÓN'!$F$3:$F5618,'CLASFICACIÓN'!$G$3:$G5618=M2997)"),"LOS 3 AÑOS")</f>
        <v>LOS 3 AÑOS</v>
      </c>
      <c r="K2997" s="16" t="str">
        <f t="array" ref="K2997">IFERROR(DGET('PADD-R'!$B$1:$K5618,'PADD-R'!$K$1,{'PADD-R'!$B$1;E2997}),"NO PARTICIPÓ")</f>
        <v>NO PARTICIPÓ</v>
      </c>
      <c r="L2997" s="14" t="s">
        <v>150</v>
      </c>
      <c r="M2997" s="16" t="str">
        <f t="shared" si="1"/>
        <v>SAGRADO CORAZON DE JESUS4 Primaria</v>
      </c>
      <c r="N2997" s="23"/>
      <c r="O2997" s="17"/>
      <c r="P2997" s="17"/>
      <c r="Q2997" s="17"/>
      <c r="R2997" s="17"/>
      <c r="S2997" s="17"/>
      <c r="T2997" s="17"/>
    </row>
    <row r="2998">
      <c r="A2998" s="18">
        <v>2671.0</v>
      </c>
      <c r="B2998" s="12" t="s">
        <v>48</v>
      </c>
      <c r="C2998" s="12" t="s">
        <v>14</v>
      </c>
      <c r="D2998" s="20" t="s">
        <v>20</v>
      </c>
      <c r="E2998" s="12" t="str">
        <f>IFERROR(__xludf.DUMMYFUNCTION("FILTER(colegios!$B$2:$B5618,colegios!$A$2:$A5618=L2998)"),"SAGRADO CORAZON DE JESUS")</f>
        <v>SAGRADO CORAZON DE JESUS</v>
      </c>
      <c r="F2998" s="14" t="s">
        <v>16</v>
      </c>
      <c r="G2998" s="20" t="s">
        <v>17</v>
      </c>
      <c r="H2998" s="14" t="s">
        <v>18</v>
      </c>
      <c r="I2998" s="15">
        <v>2022.0</v>
      </c>
      <c r="J2998" s="16" t="str">
        <f>IFERROR(__xludf.DUMMYFUNCTION("FILTER('CLASFICACIÓN'!$F$3:$F5618,'CLASFICACIÓN'!$G$3:$G5618=M2998)"),"LOS 3 AÑOS")</f>
        <v>LOS 3 AÑOS</v>
      </c>
      <c r="K2998" s="16" t="str">
        <f t="array" ref="K2998">IFERROR(DGET('PADD-R'!$B$1:$K5618,'PADD-R'!$K$1,{'PADD-R'!$B$1;E2998}),"NO PARTICIPÓ")</f>
        <v>NO PARTICIPÓ</v>
      </c>
      <c r="L2998" s="14" t="s">
        <v>150</v>
      </c>
      <c r="M2998" s="16" t="str">
        <f t="shared" si="1"/>
        <v>SAGRADO CORAZON DE JESUS4 Primaria</v>
      </c>
      <c r="N2998" s="23"/>
      <c r="O2998" s="17"/>
      <c r="P2998" s="17"/>
      <c r="Q2998" s="17"/>
      <c r="R2998" s="17"/>
      <c r="S2998" s="17"/>
      <c r="T2998" s="17"/>
    </row>
    <row r="2999">
      <c r="A2999" s="18">
        <v>2672.0</v>
      </c>
      <c r="B2999" s="12" t="s">
        <v>48</v>
      </c>
      <c r="C2999" s="12" t="s">
        <v>14</v>
      </c>
      <c r="D2999" s="20" t="s">
        <v>20</v>
      </c>
      <c r="E2999" s="12" t="str">
        <f>IFERROR(__xludf.DUMMYFUNCTION("FILTER(colegios!$B$2:$B5618,colegios!$A$2:$A5618=L2999)"),"SAGRADO CORAZON DE JESUS")</f>
        <v>SAGRADO CORAZON DE JESUS</v>
      </c>
      <c r="F2999" s="14" t="s">
        <v>16</v>
      </c>
      <c r="G2999" s="20" t="s">
        <v>17</v>
      </c>
      <c r="H2999" s="14" t="s">
        <v>24</v>
      </c>
      <c r="I2999" s="15">
        <v>2022.0</v>
      </c>
      <c r="J2999" s="16" t="str">
        <f>IFERROR(__xludf.DUMMYFUNCTION("FILTER('CLASFICACIÓN'!$F$3:$F5618,'CLASFICACIÓN'!$G$3:$G5618=M2999)"),"LOS 3 AÑOS")</f>
        <v>LOS 3 AÑOS</v>
      </c>
      <c r="K2999" s="16" t="str">
        <f t="array" ref="K2999">IFERROR(DGET('PADD-R'!$B$1:$K5618,'PADD-R'!$K$1,{'PADD-R'!$B$1;E2999}),"NO PARTICIPÓ")</f>
        <v>NO PARTICIPÓ</v>
      </c>
      <c r="L2999" s="14" t="s">
        <v>150</v>
      </c>
      <c r="M2999" s="16" t="str">
        <f t="shared" si="1"/>
        <v>SAGRADO CORAZON DE JESUS4 Primaria</v>
      </c>
      <c r="N2999" s="23"/>
      <c r="O2999" s="17"/>
      <c r="P2999" s="17"/>
      <c r="Q2999" s="17"/>
      <c r="R2999" s="17"/>
      <c r="S2999" s="17"/>
      <c r="T2999" s="17"/>
    </row>
    <row r="3000">
      <c r="A3000" s="18">
        <v>2673.0</v>
      </c>
      <c r="B3000" s="12" t="s">
        <v>48</v>
      </c>
      <c r="C3000" s="12" t="s">
        <v>14</v>
      </c>
      <c r="D3000" s="20" t="s">
        <v>20</v>
      </c>
      <c r="E3000" s="12" t="str">
        <f>IFERROR(__xludf.DUMMYFUNCTION("FILTER(colegios!$B$2:$B5618,colegios!$A$2:$A5618=L3000)"),"SAGRADO CORAZON DE JESUS")</f>
        <v>SAGRADO CORAZON DE JESUS</v>
      </c>
      <c r="F3000" s="14" t="s">
        <v>16</v>
      </c>
      <c r="G3000" s="20" t="s">
        <v>21</v>
      </c>
      <c r="H3000" s="14" t="s">
        <v>18</v>
      </c>
      <c r="I3000" s="15">
        <v>2022.0</v>
      </c>
      <c r="J3000" s="16" t="str">
        <f>IFERROR(__xludf.DUMMYFUNCTION("FILTER('CLASFICACIÓN'!$F$3:$F5618,'CLASFICACIÓN'!$G$3:$G5618=M3000)"),"LOS 3 AÑOS")</f>
        <v>LOS 3 AÑOS</v>
      </c>
      <c r="K3000" s="16" t="str">
        <f t="array" ref="K3000">IFERROR(DGET('PADD-R'!$B$1:$K5618,'PADD-R'!$K$1,{'PADD-R'!$B$1;E3000}),"NO PARTICIPÓ")</f>
        <v>NO PARTICIPÓ</v>
      </c>
      <c r="L3000" s="14" t="s">
        <v>150</v>
      </c>
      <c r="M3000" s="16" t="str">
        <f t="shared" si="1"/>
        <v>SAGRADO CORAZON DE JESUS4 Primaria</v>
      </c>
      <c r="N3000" s="23"/>
      <c r="O3000" s="17"/>
      <c r="P3000" s="17"/>
      <c r="Q3000" s="17"/>
      <c r="R3000" s="17"/>
      <c r="S3000" s="17"/>
      <c r="T3000" s="17"/>
    </row>
    <row r="3001">
      <c r="A3001" s="18">
        <v>2674.0</v>
      </c>
      <c r="B3001" s="12" t="s">
        <v>48</v>
      </c>
      <c r="C3001" s="12" t="s">
        <v>14</v>
      </c>
      <c r="D3001" s="20" t="s">
        <v>20</v>
      </c>
      <c r="E3001" s="12" t="str">
        <f>IFERROR(__xludf.DUMMYFUNCTION("FILTER(colegios!$B$2:$B5618,colegios!$A$2:$A5618=L3001)"),"SAGRADO CORAZON DE JESUS")</f>
        <v>SAGRADO CORAZON DE JESUS</v>
      </c>
      <c r="F3001" s="14" t="s">
        <v>16</v>
      </c>
      <c r="G3001" s="20" t="s">
        <v>17</v>
      </c>
      <c r="H3001" s="14" t="s">
        <v>18</v>
      </c>
      <c r="I3001" s="15">
        <v>2022.0</v>
      </c>
      <c r="J3001" s="16" t="str">
        <f>IFERROR(__xludf.DUMMYFUNCTION("FILTER('CLASFICACIÓN'!$F$3:$F5618,'CLASFICACIÓN'!$G$3:$G5618=M3001)"),"LOS 3 AÑOS")</f>
        <v>LOS 3 AÑOS</v>
      </c>
      <c r="K3001" s="16" t="str">
        <f t="array" ref="K3001">IFERROR(DGET('PADD-R'!$B$1:$K5618,'PADD-R'!$K$1,{'PADD-R'!$B$1;E3001}),"NO PARTICIPÓ")</f>
        <v>NO PARTICIPÓ</v>
      </c>
      <c r="L3001" s="14" t="s">
        <v>150</v>
      </c>
      <c r="M3001" s="16" t="str">
        <f t="shared" si="1"/>
        <v>SAGRADO CORAZON DE JESUS4 Primaria</v>
      </c>
      <c r="N3001" s="23"/>
      <c r="O3001" s="17"/>
      <c r="P3001" s="17"/>
      <c r="Q3001" s="17"/>
      <c r="R3001" s="17"/>
      <c r="S3001" s="17"/>
      <c r="T3001" s="17"/>
    </row>
    <row r="3002">
      <c r="A3002" s="18">
        <v>2675.0</v>
      </c>
      <c r="B3002" s="12" t="s">
        <v>48</v>
      </c>
      <c r="C3002" s="12" t="s">
        <v>14</v>
      </c>
      <c r="D3002" s="20" t="s">
        <v>20</v>
      </c>
      <c r="E3002" s="12" t="str">
        <f>IFERROR(__xludf.DUMMYFUNCTION("FILTER(colegios!$B$2:$B5618,colegios!$A$2:$A5618=L3002)"),"SAGRADO CORAZON DE JESUS")</f>
        <v>SAGRADO CORAZON DE JESUS</v>
      </c>
      <c r="F3002" s="14" t="s">
        <v>16</v>
      </c>
      <c r="G3002" s="20" t="s">
        <v>17</v>
      </c>
      <c r="H3002" s="14" t="s">
        <v>24</v>
      </c>
      <c r="I3002" s="15">
        <v>2022.0</v>
      </c>
      <c r="J3002" s="16" t="str">
        <f>IFERROR(__xludf.DUMMYFUNCTION("FILTER('CLASFICACIÓN'!$F$3:$F5618,'CLASFICACIÓN'!$G$3:$G5618=M3002)"),"LOS 3 AÑOS")</f>
        <v>LOS 3 AÑOS</v>
      </c>
      <c r="K3002" s="16" t="str">
        <f t="array" ref="K3002">IFERROR(DGET('PADD-R'!$B$1:$K5618,'PADD-R'!$K$1,{'PADD-R'!$B$1;E3002}),"NO PARTICIPÓ")</f>
        <v>NO PARTICIPÓ</v>
      </c>
      <c r="L3002" s="14" t="s">
        <v>150</v>
      </c>
      <c r="M3002" s="16" t="str">
        <f t="shared" si="1"/>
        <v>SAGRADO CORAZON DE JESUS4 Primaria</v>
      </c>
      <c r="N3002" s="23"/>
      <c r="O3002" s="17"/>
      <c r="P3002" s="17"/>
      <c r="Q3002" s="17"/>
      <c r="R3002" s="17"/>
      <c r="S3002" s="17"/>
      <c r="T3002" s="17"/>
    </row>
    <row r="3003">
      <c r="A3003" s="18">
        <v>2676.0</v>
      </c>
      <c r="B3003" s="12" t="s">
        <v>48</v>
      </c>
      <c r="C3003" s="12" t="s">
        <v>14</v>
      </c>
      <c r="D3003" s="20" t="s">
        <v>20</v>
      </c>
      <c r="E3003" s="12" t="str">
        <f>IFERROR(__xludf.DUMMYFUNCTION("FILTER(colegios!$B$2:$B5618,colegios!$A$2:$A5618=L3003)"),"SAGRADO CORAZON DE JESUS")</f>
        <v>SAGRADO CORAZON DE JESUS</v>
      </c>
      <c r="F3003" s="14" t="s">
        <v>16</v>
      </c>
      <c r="G3003" s="20" t="s">
        <v>21</v>
      </c>
      <c r="H3003" s="14" t="s">
        <v>18</v>
      </c>
      <c r="I3003" s="15">
        <v>2022.0</v>
      </c>
      <c r="J3003" s="16" t="str">
        <f>IFERROR(__xludf.DUMMYFUNCTION("FILTER('CLASFICACIÓN'!$F$3:$F5618,'CLASFICACIÓN'!$G$3:$G5618=M3003)"),"LOS 3 AÑOS")</f>
        <v>LOS 3 AÑOS</v>
      </c>
      <c r="K3003" s="16" t="str">
        <f t="array" ref="K3003">IFERROR(DGET('PADD-R'!$B$1:$K5618,'PADD-R'!$K$1,{'PADD-R'!$B$1;E3003}),"NO PARTICIPÓ")</f>
        <v>NO PARTICIPÓ</v>
      </c>
      <c r="L3003" s="14" t="s">
        <v>150</v>
      </c>
      <c r="M3003" s="16" t="str">
        <f t="shared" si="1"/>
        <v>SAGRADO CORAZON DE JESUS4 Primaria</v>
      </c>
      <c r="N3003" s="23"/>
      <c r="O3003" s="17"/>
      <c r="P3003" s="17"/>
      <c r="Q3003" s="17"/>
      <c r="R3003" s="17"/>
      <c r="S3003" s="17"/>
      <c r="T3003" s="17"/>
    </row>
    <row r="3004">
      <c r="A3004" s="18">
        <v>2677.0</v>
      </c>
      <c r="B3004" s="12" t="s">
        <v>48</v>
      </c>
      <c r="C3004" s="12" t="s">
        <v>14</v>
      </c>
      <c r="D3004" s="20" t="s">
        <v>20</v>
      </c>
      <c r="E3004" s="12" t="str">
        <f>IFERROR(__xludf.DUMMYFUNCTION("FILTER(colegios!$B$2:$B5618,colegios!$A$2:$A5618=L3004)"),"SAGRADO CORAZON DE JESUS")</f>
        <v>SAGRADO CORAZON DE JESUS</v>
      </c>
      <c r="F3004" s="14" t="s">
        <v>16</v>
      </c>
      <c r="G3004" s="20" t="s">
        <v>21</v>
      </c>
      <c r="H3004" s="14" t="s">
        <v>24</v>
      </c>
      <c r="I3004" s="15">
        <v>2022.0</v>
      </c>
      <c r="J3004" s="16" t="str">
        <f>IFERROR(__xludf.DUMMYFUNCTION("FILTER('CLASFICACIÓN'!$F$3:$F5618,'CLASFICACIÓN'!$G$3:$G5618=M3004)"),"LOS 3 AÑOS")</f>
        <v>LOS 3 AÑOS</v>
      </c>
      <c r="K3004" s="16" t="str">
        <f t="array" ref="K3004">IFERROR(DGET('PADD-R'!$B$1:$K5618,'PADD-R'!$K$1,{'PADD-R'!$B$1;E3004}),"NO PARTICIPÓ")</f>
        <v>NO PARTICIPÓ</v>
      </c>
      <c r="L3004" s="14" t="s">
        <v>150</v>
      </c>
      <c r="M3004" s="16" t="str">
        <f t="shared" si="1"/>
        <v>SAGRADO CORAZON DE JESUS4 Primaria</v>
      </c>
      <c r="N3004" s="23"/>
      <c r="O3004" s="17"/>
      <c r="P3004" s="17"/>
      <c r="Q3004" s="17"/>
      <c r="R3004" s="17"/>
      <c r="S3004" s="17"/>
      <c r="T3004" s="17"/>
    </row>
    <row r="3005">
      <c r="A3005" s="18">
        <v>2678.0</v>
      </c>
      <c r="B3005" s="12" t="s">
        <v>48</v>
      </c>
      <c r="C3005" s="12" t="s">
        <v>14</v>
      </c>
      <c r="D3005" s="20" t="s">
        <v>20</v>
      </c>
      <c r="E3005" s="12" t="str">
        <f>IFERROR(__xludf.DUMMYFUNCTION("FILTER(colegios!$B$2:$B5618,colegios!$A$2:$A5618=L3005)"),"SAGRADO CORAZON DE JESUS")</f>
        <v>SAGRADO CORAZON DE JESUS</v>
      </c>
      <c r="F3005" s="14" t="s">
        <v>16</v>
      </c>
      <c r="G3005" s="20" t="s">
        <v>17</v>
      </c>
      <c r="H3005" s="14" t="s">
        <v>18</v>
      </c>
      <c r="I3005" s="15">
        <v>2022.0</v>
      </c>
      <c r="J3005" s="16" t="str">
        <f>IFERROR(__xludf.DUMMYFUNCTION("FILTER('CLASFICACIÓN'!$F$3:$F5618,'CLASFICACIÓN'!$G$3:$G5618=M3005)"),"LOS 3 AÑOS")</f>
        <v>LOS 3 AÑOS</v>
      </c>
      <c r="K3005" s="16" t="str">
        <f t="array" ref="K3005">IFERROR(DGET('PADD-R'!$B$1:$K5618,'PADD-R'!$K$1,{'PADD-R'!$B$1;E3005}),"NO PARTICIPÓ")</f>
        <v>NO PARTICIPÓ</v>
      </c>
      <c r="L3005" s="14" t="s">
        <v>150</v>
      </c>
      <c r="M3005" s="16" t="str">
        <f t="shared" si="1"/>
        <v>SAGRADO CORAZON DE JESUS4 Primaria</v>
      </c>
      <c r="N3005" s="23"/>
      <c r="O3005" s="17"/>
      <c r="P3005" s="17"/>
      <c r="Q3005" s="17"/>
      <c r="R3005" s="17"/>
      <c r="S3005" s="17"/>
      <c r="T3005" s="17"/>
    </row>
    <row r="3006">
      <c r="A3006" s="18">
        <v>2679.0</v>
      </c>
      <c r="B3006" s="12" t="s">
        <v>48</v>
      </c>
      <c r="C3006" s="12" t="s">
        <v>14</v>
      </c>
      <c r="D3006" s="20" t="s">
        <v>20</v>
      </c>
      <c r="E3006" s="12" t="str">
        <f>IFERROR(__xludf.DUMMYFUNCTION("FILTER(colegios!$B$2:$B5618,colegios!$A$2:$A5618=L3006)"),"SAGRADO CORAZON DE JESUS")</f>
        <v>SAGRADO CORAZON DE JESUS</v>
      </c>
      <c r="F3006" s="14" t="s">
        <v>16</v>
      </c>
      <c r="G3006" s="20" t="s">
        <v>17</v>
      </c>
      <c r="H3006" s="14" t="s">
        <v>18</v>
      </c>
      <c r="I3006" s="15">
        <v>2022.0</v>
      </c>
      <c r="J3006" s="16" t="str">
        <f>IFERROR(__xludf.DUMMYFUNCTION("FILTER('CLASFICACIÓN'!$F$3:$F5618,'CLASFICACIÓN'!$G$3:$G5618=M3006)"),"LOS 3 AÑOS")</f>
        <v>LOS 3 AÑOS</v>
      </c>
      <c r="K3006" s="16" t="str">
        <f t="array" ref="K3006">IFERROR(DGET('PADD-R'!$B$1:$K5618,'PADD-R'!$K$1,{'PADD-R'!$B$1;E3006}),"NO PARTICIPÓ")</f>
        <v>NO PARTICIPÓ</v>
      </c>
      <c r="L3006" s="14" t="s">
        <v>150</v>
      </c>
      <c r="M3006" s="16" t="str">
        <f t="shared" si="1"/>
        <v>SAGRADO CORAZON DE JESUS4 Primaria</v>
      </c>
      <c r="N3006" s="23"/>
      <c r="O3006" s="17"/>
      <c r="P3006" s="17"/>
      <c r="Q3006" s="17"/>
      <c r="R3006" s="17"/>
      <c r="S3006" s="17"/>
      <c r="T3006" s="17"/>
    </row>
    <row r="3007">
      <c r="A3007" s="18">
        <v>2680.0</v>
      </c>
      <c r="B3007" s="12" t="s">
        <v>48</v>
      </c>
      <c r="C3007" s="12" t="s">
        <v>14</v>
      </c>
      <c r="D3007" s="20" t="s">
        <v>20</v>
      </c>
      <c r="E3007" s="12" t="str">
        <f>IFERROR(__xludf.DUMMYFUNCTION("FILTER(colegios!$B$2:$B5618,colegios!$A$2:$A5618=L3007)"),"SAGRADO CORAZON DE JESUS")</f>
        <v>SAGRADO CORAZON DE JESUS</v>
      </c>
      <c r="F3007" s="14" t="s">
        <v>16</v>
      </c>
      <c r="G3007" s="20" t="s">
        <v>17</v>
      </c>
      <c r="H3007" s="14" t="s">
        <v>18</v>
      </c>
      <c r="I3007" s="15">
        <v>2022.0</v>
      </c>
      <c r="J3007" s="16" t="str">
        <f>IFERROR(__xludf.DUMMYFUNCTION("FILTER('CLASFICACIÓN'!$F$3:$F5618,'CLASFICACIÓN'!$G$3:$G5618=M3007)"),"LOS 3 AÑOS")</f>
        <v>LOS 3 AÑOS</v>
      </c>
      <c r="K3007" s="16" t="str">
        <f t="array" ref="K3007">IFERROR(DGET('PADD-R'!$B$1:$K5618,'PADD-R'!$K$1,{'PADD-R'!$B$1;E3007}),"NO PARTICIPÓ")</f>
        <v>NO PARTICIPÓ</v>
      </c>
      <c r="L3007" s="14" t="s">
        <v>150</v>
      </c>
      <c r="M3007" s="16" t="str">
        <f t="shared" si="1"/>
        <v>SAGRADO CORAZON DE JESUS4 Primaria</v>
      </c>
      <c r="N3007" s="23"/>
      <c r="O3007" s="17"/>
      <c r="P3007" s="17"/>
      <c r="Q3007" s="17"/>
      <c r="R3007" s="17"/>
      <c r="S3007" s="17"/>
      <c r="T3007" s="17"/>
    </row>
    <row r="3008">
      <c r="A3008" s="18">
        <v>2681.0</v>
      </c>
      <c r="B3008" s="12" t="s">
        <v>48</v>
      </c>
      <c r="C3008" s="12" t="s">
        <v>14</v>
      </c>
      <c r="D3008" s="20" t="s">
        <v>22</v>
      </c>
      <c r="E3008" s="12" t="str">
        <f>IFERROR(__xludf.DUMMYFUNCTION("FILTER(colegios!$B$2:$B5618,colegios!$A$2:$A5618=L3008)"),"SAGRADO CORAZON DE JESUS")</f>
        <v>SAGRADO CORAZON DE JESUS</v>
      </c>
      <c r="F3008" s="14" t="s">
        <v>16</v>
      </c>
      <c r="G3008" s="20" t="s">
        <v>21</v>
      </c>
      <c r="H3008" s="14" t="s">
        <v>18</v>
      </c>
      <c r="I3008" s="15">
        <v>2022.0</v>
      </c>
      <c r="J3008" s="16" t="str">
        <f>IFERROR(__xludf.DUMMYFUNCTION("FILTER('CLASFICACIÓN'!$F$3:$F5618,'CLASFICACIÓN'!$G$3:$G5618=M3008)"),"LOS 3 AÑOS")</f>
        <v>LOS 3 AÑOS</v>
      </c>
      <c r="K3008" s="16" t="str">
        <f t="array" ref="K3008">IFERROR(DGET('PADD-R'!$B$1:$K5618,'PADD-R'!$K$1,{'PADD-R'!$B$1;E3008}),"NO PARTICIPÓ")</f>
        <v>NO PARTICIPÓ</v>
      </c>
      <c r="L3008" s="14" t="s">
        <v>150</v>
      </c>
      <c r="M3008" s="16" t="str">
        <f t="shared" si="1"/>
        <v>SAGRADO CORAZON DE JESUS6 Primaria</v>
      </c>
      <c r="N3008" s="23"/>
      <c r="O3008" s="17"/>
      <c r="P3008" s="17"/>
      <c r="Q3008" s="17"/>
      <c r="R3008" s="17"/>
      <c r="S3008" s="17"/>
      <c r="T3008" s="17"/>
    </row>
    <row r="3009">
      <c r="A3009" s="18">
        <v>2682.0</v>
      </c>
      <c r="B3009" s="12" t="s">
        <v>48</v>
      </c>
      <c r="C3009" s="12" t="s">
        <v>14</v>
      </c>
      <c r="D3009" s="20" t="s">
        <v>22</v>
      </c>
      <c r="E3009" s="12" t="str">
        <f>IFERROR(__xludf.DUMMYFUNCTION("FILTER(colegios!$B$2:$B5618,colegios!$A$2:$A5618=L3009)"),"SAGRADO CORAZON DE JESUS")</f>
        <v>SAGRADO CORAZON DE JESUS</v>
      </c>
      <c r="F3009" s="14" t="s">
        <v>16</v>
      </c>
      <c r="G3009" s="20" t="s">
        <v>17</v>
      </c>
      <c r="H3009" s="14" t="s">
        <v>18</v>
      </c>
      <c r="I3009" s="15">
        <v>2022.0</v>
      </c>
      <c r="J3009" s="16" t="str">
        <f>IFERROR(__xludf.DUMMYFUNCTION("FILTER('CLASFICACIÓN'!$F$3:$F5618,'CLASFICACIÓN'!$G$3:$G5618=M3009)"),"LOS 3 AÑOS")</f>
        <v>LOS 3 AÑOS</v>
      </c>
      <c r="K3009" s="16" t="str">
        <f t="array" ref="K3009">IFERROR(DGET('PADD-R'!$B$1:$K5618,'PADD-R'!$K$1,{'PADD-R'!$B$1;E3009}),"NO PARTICIPÓ")</f>
        <v>NO PARTICIPÓ</v>
      </c>
      <c r="L3009" s="14" t="s">
        <v>150</v>
      </c>
      <c r="M3009" s="16" t="str">
        <f t="shared" si="1"/>
        <v>SAGRADO CORAZON DE JESUS6 Primaria</v>
      </c>
      <c r="N3009" s="23"/>
      <c r="O3009" s="17"/>
      <c r="P3009" s="17"/>
      <c r="Q3009" s="17"/>
      <c r="R3009" s="17"/>
      <c r="S3009" s="17"/>
      <c r="T3009" s="17"/>
    </row>
    <row r="3010">
      <c r="A3010" s="18">
        <v>2683.0</v>
      </c>
      <c r="B3010" s="12" t="s">
        <v>48</v>
      </c>
      <c r="C3010" s="12" t="s">
        <v>14</v>
      </c>
      <c r="D3010" s="20" t="s">
        <v>22</v>
      </c>
      <c r="E3010" s="12" t="str">
        <f>IFERROR(__xludf.DUMMYFUNCTION("FILTER(colegios!$B$2:$B5618,colegios!$A$2:$A5618=L3010)"),"SAGRADO CORAZON DE JESUS")</f>
        <v>SAGRADO CORAZON DE JESUS</v>
      </c>
      <c r="F3010" s="14" t="s">
        <v>16</v>
      </c>
      <c r="G3010" s="20" t="s">
        <v>21</v>
      </c>
      <c r="H3010" s="14" t="s">
        <v>18</v>
      </c>
      <c r="I3010" s="15">
        <v>2022.0</v>
      </c>
      <c r="J3010" s="16" t="str">
        <f>IFERROR(__xludf.DUMMYFUNCTION("FILTER('CLASFICACIÓN'!$F$3:$F5618,'CLASFICACIÓN'!$G$3:$G5618=M3010)"),"LOS 3 AÑOS")</f>
        <v>LOS 3 AÑOS</v>
      </c>
      <c r="K3010" s="16" t="str">
        <f t="array" ref="K3010">IFERROR(DGET('PADD-R'!$B$1:$K5618,'PADD-R'!$K$1,{'PADD-R'!$B$1;E3010}),"NO PARTICIPÓ")</f>
        <v>NO PARTICIPÓ</v>
      </c>
      <c r="L3010" s="14" t="s">
        <v>150</v>
      </c>
      <c r="M3010" s="16" t="str">
        <f t="shared" si="1"/>
        <v>SAGRADO CORAZON DE JESUS6 Primaria</v>
      </c>
      <c r="N3010" s="23"/>
      <c r="O3010" s="17"/>
      <c r="P3010" s="17"/>
      <c r="Q3010" s="17"/>
      <c r="R3010" s="17"/>
      <c r="S3010" s="17"/>
      <c r="T3010" s="17"/>
    </row>
    <row r="3011">
      <c r="A3011" s="18">
        <v>2684.0</v>
      </c>
      <c r="B3011" s="12" t="s">
        <v>48</v>
      </c>
      <c r="C3011" s="12" t="s">
        <v>14</v>
      </c>
      <c r="D3011" s="20" t="s">
        <v>22</v>
      </c>
      <c r="E3011" s="12" t="str">
        <f>IFERROR(__xludf.DUMMYFUNCTION("FILTER(colegios!$B$2:$B5618,colegios!$A$2:$A5618=L3011)"),"SAGRADO CORAZON DE JESUS")</f>
        <v>SAGRADO CORAZON DE JESUS</v>
      </c>
      <c r="F3011" s="14" t="s">
        <v>16</v>
      </c>
      <c r="G3011" s="20" t="s">
        <v>17</v>
      </c>
      <c r="H3011" s="14" t="s">
        <v>24</v>
      </c>
      <c r="I3011" s="15">
        <v>2022.0</v>
      </c>
      <c r="J3011" s="16" t="str">
        <f>IFERROR(__xludf.DUMMYFUNCTION("FILTER('CLASFICACIÓN'!$F$3:$F5618,'CLASFICACIÓN'!$G$3:$G5618=M3011)"),"LOS 3 AÑOS")</f>
        <v>LOS 3 AÑOS</v>
      </c>
      <c r="K3011" s="16" t="str">
        <f t="array" ref="K3011">IFERROR(DGET('PADD-R'!$B$1:$K5618,'PADD-R'!$K$1,{'PADD-R'!$B$1;E3011}),"NO PARTICIPÓ")</f>
        <v>NO PARTICIPÓ</v>
      </c>
      <c r="L3011" s="14" t="s">
        <v>150</v>
      </c>
      <c r="M3011" s="16" t="str">
        <f t="shared" si="1"/>
        <v>SAGRADO CORAZON DE JESUS6 Primaria</v>
      </c>
      <c r="N3011" s="23"/>
      <c r="O3011" s="17"/>
      <c r="P3011" s="17"/>
      <c r="Q3011" s="17"/>
      <c r="R3011" s="17"/>
      <c r="S3011" s="17"/>
      <c r="T3011" s="17"/>
    </row>
    <row r="3012">
      <c r="A3012" s="18">
        <v>2685.0</v>
      </c>
      <c r="B3012" s="12" t="s">
        <v>48</v>
      </c>
      <c r="C3012" s="12" t="s">
        <v>14</v>
      </c>
      <c r="D3012" s="20" t="s">
        <v>22</v>
      </c>
      <c r="E3012" s="12" t="str">
        <f>IFERROR(__xludf.DUMMYFUNCTION("FILTER(colegios!$B$2:$B5618,colegios!$A$2:$A5618=L3012)"),"SAGRADO CORAZON DE JESUS")</f>
        <v>SAGRADO CORAZON DE JESUS</v>
      </c>
      <c r="F3012" s="14" t="s">
        <v>16</v>
      </c>
      <c r="G3012" s="20" t="s">
        <v>17</v>
      </c>
      <c r="H3012" s="14" t="s">
        <v>18</v>
      </c>
      <c r="I3012" s="15">
        <v>2022.0</v>
      </c>
      <c r="J3012" s="16" t="str">
        <f>IFERROR(__xludf.DUMMYFUNCTION("FILTER('CLASFICACIÓN'!$F$3:$F5618,'CLASFICACIÓN'!$G$3:$G5618=M3012)"),"LOS 3 AÑOS")</f>
        <v>LOS 3 AÑOS</v>
      </c>
      <c r="K3012" s="16" t="str">
        <f t="array" ref="K3012">IFERROR(DGET('PADD-R'!$B$1:$K5618,'PADD-R'!$K$1,{'PADD-R'!$B$1;E3012}),"NO PARTICIPÓ")</f>
        <v>NO PARTICIPÓ</v>
      </c>
      <c r="L3012" s="14" t="s">
        <v>150</v>
      </c>
      <c r="M3012" s="16" t="str">
        <f t="shared" si="1"/>
        <v>SAGRADO CORAZON DE JESUS6 Primaria</v>
      </c>
      <c r="N3012" s="23"/>
      <c r="O3012" s="17"/>
      <c r="P3012" s="17"/>
      <c r="Q3012" s="17"/>
      <c r="R3012" s="17"/>
      <c r="S3012" s="17"/>
      <c r="T3012" s="17"/>
    </row>
    <row r="3013">
      <c r="A3013" s="18">
        <v>2686.0</v>
      </c>
      <c r="B3013" s="12" t="s">
        <v>48</v>
      </c>
      <c r="C3013" s="12" t="s">
        <v>14</v>
      </c>
      <c r="D3013" s="20" t="s">
        <v>22</v>
      </c>
      <c r="E3013" s="12" t="str">
        <f>IFERROR(__xludf.DUMMYFUNCTION("FILTER(colegios!$B$2:$B5618,colegios!$A$2:$A5618=L3013)"),"SAGRADO CORAZON DE JESUS")</f>
        <v>SAGRADO CORAZON DE JESUS</v>
      </c>
      <c r="F3013" s="14" t="s">
        <v>16</v>
      </c>
      <c r="G3013" s="20" t="s">
        <v>21</v>
      </c>
      <c r="H3013" s="14" t="s">
        <v>18</v>
      </c>
      <c r="I3013" s="15">
        <v>2022.0</v>
      </c>
      <c r="J3013" s="16" t="str">
        <f>IFERROR(__xludf.DUMMYFUNCTION("FILTER('CLASFICACIÓN'!$F$3:$F5618,'CLASFICACIÓN'!$G$3:$G5618=M3013)"),"LOS 3 AÑOS")</f>
        <v>LOS 3 AÑOS</v>
      </c>
      <c r="K3013" s="16" t="str">
        <f t="array" ref="K3013">IFERROR(DGET('PADD-R'!$B$1:$K5618,'PADD-R'!$K$1,{'PADD-R'!$B$1;E3013}),"NO PARTICIPÓ")</f>
        <v>NO PARTICIPÓ</v>
      </c>
      <c r="L3013" s="14" t="s">
        <v>150</v>
      </c>
      <c r="M3013" s="16" t="str">
        <f t="shared" si="1"/>
        <v>SAGRADO CORAZON DE JESUS6 Primaria</v>
      </c>
      <c r="N3013" s="23"/>
      <c r="O3013" s="17"/>
      <c r="P3013" s="17"/>
      <c r="Q3013" s="17"/>
      <c r="R3013" s="17"/>
      <c r="S3013" s="17"/>
      <c r="T3013" s="17"/>
    </row>
    <row r="3014">
      <c r="A3014" s="18">
        <v>2687.0</v>
      </c>
      <c r="B3014" s="12" t="s">
        <v>48</v>
      </c>
      <c r="C3014" s="12" t="s">
        <v>14</v>
      </c>
      <c r="D3014" s="20" t="s">
        <v>22</v>
      </c>
      <c r="E3014" s="12" t="str">
        <f>IFERROR(__xludf.DUMMYFUNCTION("FILTER(colegios!$B$2:$B5618,colegios!$A$2:$A5618=L3014)"),"SAGRADO CORAZON DE JESUS")</f>
        <v>SAGRADO CORAZON DE JESUS</v>
      </c>
      <c r="F3014" s="14" t="s">
        <v>16</v>
      </c>
      <c r="G3014" s="20" t="s">
        <v>17</v>
      </c>
      <c r="H3014" s="14" t="s">
        <v>18</v>
      </c>
      <c r="I3014" s="15">
        <v>2022.0</v>
      </c>
      <c r="J3014" s="16" t="str">
        <f>IFERROR(__xludf.DUMMYFUNCTION("FILTER('CLASFICACIÓN'!$F$3:$F5618,'CLASFICACIÓN'!$G$3:$G5618=M3014)"),"LOS 3 AÑOS")</f>
        <v>LOS 3 AÑOS</v>
      </c>
      <c r="K3014" s="16" t="str">
        <f t="array" ref="K3014">IFERROR(DGET('PADD-R'!$B$1:$K5618,'PADD-R'!$K$1,{'PADD-R'!$B$1;E3014}),"NO PARTICIPÓ")</f>
        <v>NO PARTICIPÓ</v>
      </c>
      <c r="L3014" s="14" t="s">
        <v>150</v>
      </c>
      <c r="M3014" s="16" t="str">
        <f t="shared" si="1"/>
        <v>SAGRADO CORAZON DE JESUS6 Primaria</v>
      </c>
      <c r="N3014" s="23"/>
      <c r="O3014" s="17"/>
      <c r="P3014" s="17"/>
      <c r="Q3014" s="17"/>
      <c r="R3014" s="17"/>
      <c r="S3014" s="17"/>
      <c r="T3014" s="17"/>
    </row>
    <row r="3015">
      <c r="A3015" s="18">
        <v>2688.0</v>
      </c>
      <c r="B3015" s="12" t="s">
        <v>48</v>
      </c>
      <c r="C3015" s="12" t="s">
        <v>14</v>
      </c>
      <c r="D3015" s="20" t="s">
        <v>22</v>
      </c>
      <c r="E3015" s="12" t="str">
        <f>IFERROR(__xludf.DUMMYFUNCTION("FILTER(colegios!$B$2:$B5618,colegios!$A$2:$A5618=L3015)"),"SAGRADO CORAZON DE JESUS")</f>
        <v>SAGRADO CORAZON DE JESUS</v>
      </c>
      <c r="F3015" s="14" t="s">
        <v>16</v>
      </c>
      <c r="G3015" s="20" t="s">
        <v>21</v>
      </c>
      <c r="H3015" s="14" t="s">
        <v>18</v>
      </c>
      <c r="I3015" s="15">
        <v>2022.0</v>
      </c>
      <c r="J3015" s="16" t="str">
        <f>IFERROR(__xludf.DUMMYFUNCTION("FILTER('CLASFICACIÓN'!$F$3:$F5618,'CLASFICACIÓN'!$G$3:$G5618=M3015)"),"LOS 3 AÑOS")</f>
        <v>LOS 3 AÑOS</v>
      </c>
      <c r="K3015" s="16" t="str">
        <f t="array" ref="K3015">IFERROR(DGET('PADD-R'!$B$1:$K5618,'PADD-R'!$K$1,{'PADD-R'!$B$1;E3015}),"NO PARTICIPÓ")</f>
        <v>NO PARTICIPÓ</v>
      </c>
      <c r="L3015" s="14" t="s">
        <v>150</v>
      </c>
      <c r="M3015" s="16" t="str">
        <f t="shared" si="1"/>
        <v>SAGRADO CORAZON DE JESUS6 Primaria</v>
      </c>
      <c r="N3015" s="23"/>
      <c r="O3015" s="17"/>
      <c r="P3015" s="17"/>
      <c r="Q3015" s="17"/>
      <c r="R3015" s="17"/>
      <c r="S3015" s="17"/>
      <c r="T3015" s="17"/>
    </row>
    <row r="3016">
      <c r="A3016" s="18">
        <v>2689.0</v>
      </c>
      <c r="B3016" s="12" t="s">
        <v>48</v>
      </c>
      <c r="C3016" s="12" t="s">
        <v>14</v>
      </c>
      <c r="D3016" s="20" t="s">
        <v>22</v>
      </c>
      <c r="E3016" s="12" t="str">
        <f>IFERROR(__xludf.DUMMYFUNCTION("FILTER(colegios!$B$2:$B5618,colegios!$A$2:$A5618=L3016)"),"SAGRADO CORAZON DE JESUS")</f>
        <v>SAGRADO CORAZON DE JESUS</v>
      </c>
      <c r="F3016" s="14" t="s">
        <v>16</v>
      </c>
      <c r="G3016" s="20" t="s">
        <v>17</v>
      </c>
      <c r="H3016" s="14" t="s">
        <v>18</v>
      </c>
      <c r="I3016" s="15">
        <v>2022.0</v>
      </c>
      <c r="J3016" s="16" t="str">
        <f>IFERROR(__xludf.DUMMYFUNCTION("FILTER('CLASFICACIÓN'!$F$3:$F5618,'CLASFICACIÓN'!$G$3:$G5618=M3016)"),"LOS 3 AÑOS")</f>
        <v>LOS 3 AÑOS</v>
      </c>
      <c r="K3016" s="16" t="str">
        <f t="array" ref="K3016">IFERROR(DGET('PADD-R'!$B$1:$K5618,'PADD-R'!$K$1,{'PADD-R'!$B$1;E3016}),"NO PARTICIPÓ")</f>
        <v>NO PARTICIPÓ</v>
      </c>
      <c r="L3016" s="14" t="s">
        <v>150</v>
      </c>
      <c r="M3016" s="16" t="str">
        <f t="shared" si="1"/>
        <v>SAGRADO CORAZON DE JESUS6 Primaria</v>
      </c>
      <c r="N3016" s="23"/>
      <c r="O3016" s="17"/>
      <c r="P3016" s="17"/>
      <c r="Q3016" s="17"/>
      <c r="R3016" s="17"/>
      <c r="S3016" s="17"/>
      <c r="T3016" s="17"/>
    </row>
    <row r="3017">
      <c r="A3017" s="18">
        <v>2690.0</v>
      </c>
      <c r="B3017" s="12" t="s">
        <v>48</v>
      </c>
      <c r="C3017" s="12" t="s">
        <v>14</v>
      </c>
      <c r="D3017" s="20" t="s">
        <v>22</v>
      </c>
      <c r="E3017" s="12" t="str">
        <f>IFERROR(__xludf.DUMMYFUNCTION("FILTER(colegios!$B$2:$B5618,colegios!$A$2:$A5618=L3017)"),"SAGRADO CORAZON DE JESUS")</f>
        <v>SAGRADO CORAZON DE JESUS</v>
      </c>
      <c r="F3017" s="14" t="s">
        <v>16</v>
      </c>
      <c r="G3017" s="20" t="s">
        <v>17</v>
      </c>
      <c r="H3017" s="14" t="s">
        <v>18</v>
      </c>
      <c r="I3017" s="15">
        <v>2022.0</v>
      </c>
      <c r="J3017" s="16" t="str">
        <f>IFERROR(__xludf.DUMMYFUNCTION("FILTER('CLASFICACIÓN'!$F$3:$F5618,'CLASFICACIÓN'!$G$3:$G5618=M3017)"),"LOS 3 AÑOS")</f>
        <v>LOS 3 AÑOS</v>
      </c>
      <c r="K3017" s="16" t="str">
        <f t="array" ref="K3017">IFERROR(DGET('PADD-R'!$B$1:$K5618,'PADD-R'!$K$1,{'PADD-R'!$B$1;E3017}),"NO PARTICIPÓ")</f>
        <v>NO PARTICIPÓ</v>
      </c>
      <c r="L3017" s="14" t="s">
        <v>150</v>
      </c>
      <c r="M3017" s="16" t="str">
        <f t="shared" si="1"/>
        <v>SAGRADO CORAZON DE JESUS6 Primaria</v>
      </c>
      <c r="N3017" s="23"/>
      <c r="O3017" s="17"/>
      <c r="P3017" s="17"/>
      <c r="Q3017" s="17"/>
      <c r="R3017" s="17"/>
      <c r="S3017" s="17"/>
      <c r="T3017" s="17"/>
    </row>
    <row r="3018">
      <c r="A3018" s="18">
        <v>2691.0</v>
      </c>
      <c r="B3018" s="12" t="s">
        <v>48</v>
      </c>
      <c r="C3018" s="12" t="s">
        <v>14</v>
      </c>
      <c r="D3018" s="20" t="s">
        <v>22</v>
      </c>
      <c r="E3018" s="12" t="str">
        <f>IFERROR(__xludf.DUMMYFUNCTION("FILTER(colegios!$B$2:$B5618,colegios!$A$2:$A5618=L3018)"),"SAGRADO CORAZON DE JESUS")</f>
        <v>SAGRADO CORAZON DE JESUS</v>
      </c>
      <c r="F3018" s="14" t="s">
        <v>16</v>
      </c>
      <c r="G3018" s="20" t="s">
        <v>21</v>
      </c>
      <c r="H3018" s="14" t="s">
        <v>18</v>
      </c>
      <c r="I3018" s="15">
        <v>2022.0</v>
      </c>
      <c r="J3018" s="16" t="str">
        <f>IFERROR(__xludf.DUMMYFUNCTION("FILTER('CLASFICACIÓN'!$F$3:$F5618,'CLASFICACIÓN'!$G$3:$G5618=M3018)"),"LOS 3 AÑOS")</f>
        <v>LOS 3 AÑOS</v>
      </c>
      <c r="K3018" s="16" t="str">
        <f t="array" ref="K3018">IFERROR(DGET('PADD-R'!$B$1:$K5618,'PADD-R'!$K$1,{'PADD-R'!$B$1;E3018}),"NO PARTICIPÓ")</f>
        <v>NO PARTICIPÓ</v>
      </c>
      <c r="L3018" s="14" t="s">
        <v>150</v>
      </c>
      <c r="M3018" s="16" t="str">
        <f t="shared" si="1"/>
        <v>SAGRADO CORAZON DE JESUS6 Primaria</v>
      </c>
      <c r="N3018" s="23"/>
      <c r="O3018" s="17"/>
      <c r="P3018" s="17"/>
      <c r="Q3018" s="17"/>
      <c r="R3018" s="17"/>
      <c r="S3018" s="17"/>
      <c r="T3018" s="17"/>
    </row>
    <row r="3019">
      <c r="A3019" s="18">
        <v>2692.0</v>
      </c>
      <c r="B3019" s="12" t="s">
        <v>48</v>
      </c>
      <c r="C3019" s="12" t="s">
        <v>14</v>
      </c>
      <c r="D3019" s="20" t="s">
        <v>22</v>
      </c>
      <c r="E3019" s="12" t="str">
        <f>IFERROR(__xludf.DUMMYFUNCTION("FILTER(colegios!$B$2:$B5618,colegios!$A$2:$A5618=L3019)"),"SAGRADO CORAZON DE JESUS")</f>
        <v>SAGRADO CORAZON DE JESUS</v>
      </c>
      <c r="F3019" s="14" t="s">
        <v>16</v>
      </c>
      <c r="G3019" s="20" t="s">
        <v>21</v>
      </c>
      <c r="H3019" s="14" t="s">
        <v>18</v>
      </c>
      <c r="I3019" s="15">
        <v>2022.0</v>
      </c>
      <c r="J3019" s="16" t="str">
        <f>IFERROR(__xludf.DUMMYFUNCTION("FILTER('CLASFICACIÓN'!$F$3:$F5618,'CLASFICACIÓN'!$G$3:$G5618=M3019)"),"LOS 3 AÑOS")</f>
        <v>LOS 3 AÑOS</v>
      </c>
      <c r="K3019" s="16" t="str">
        <f t="array" ref="K3019">IFERROR(DGET('PADD-R'!$B$1:$K5618,'PADD-R'!$K$1,{'PADD-R'!$B$1;E3019}),"NO PARTICIPÓ")</f>
        <v>NO PARTICIPÓ</v>
      </c>
      <c r="L3019" s="14" t="s">
        <v>150</v>
      </c>
      <c r="M3019" s="16" t="str">
        <f t="shared" si="1"/>
        <v>SAGRADO CORAZON DE JESUS6 Primaria</v>
      </c>
      <c r="N3019" s="23"/>
      <c r="O3019" s="17"/>
      <c r="P3019" s="17"/>
      <c r="Q3019" s="17"/>
      <c r="R3019" s="17"/>
      <c r="S3019" s="17"/>
      <c r="T3019" s="17"/>
    </row>
    <row r="3020">
      <c r="A3020" s="18">
        <v>2693.0</v>
      </c>
      <c r="B3020" s="12" t="s">
        <v>48</v>
      </c>
      <c r="C3020" s="12" t="s">
        <v>14</v>
      </c>
      <c r="D3020" s="20" t="s">
        <v>22</v>
      </c>
      <c r="E3020" s="12" t="str">
        <f>IFERROR(__xludf.DUMMYFUNCTION("FILTER(colegios!$B$2:$B5618,colegios!$A$2:$A5618=L3020)"),"SAGRADO CORAZON DE JESUS")</f>
        <v>SAGRADO CORAZON DE JESUS</v>
      </c>
      <c r="F3020" s="14" t="s">
        <v>16</v>
      </c>
      <c r="G3020" s="20" t="s">
        <v>21</v>
      </c>
      <c r="H3020" s="14" t="s">
        <v>18</v>
      </c>
      <c r="I3020" s="15">
        <v>2022.0</v>
      </c>
      <c r="J3020" s="16" t="str">
        <f>IFERROR(__xludf.DUMMYFUNCTION("FILTER('CLASFICACIÓN'!$F$3:$F5618,'CLASFICACIÓN'!$G$3:$G5618=M3020)"),"LOS 3 AÑOS")</f>
        <v>LOS 3 AÑOS</v>
      </c>
      <c r="K3020" s="16" t="str">
        <f t="array" ref="K3020">IFERROR(DGET('PADD-R'!$B$1:$K5618,'PADD-R'!$K$1,{'PADD-R'!$B$1;E3020}),"NO PARTICIPÓ")</f>
        <v>NO PARTICIPÓ</v>
      </c>
      <c r="L3020" s="14" t="s">
        <v>150</v>
      </c>
      <c r="M3020" s="16" t="str">
        <f t="shared" si="1"/>
        <v>SAGRADO CORAZON DE JESUS6 Primaria</v>
      </c>
      <c r="N3020" s="23"/>
      <c r="O3020" s="17"/>
      <c r="P3020" s="17"/>
      <c r="Q3020" s="17"/>
      <c r="R3020" s="17"/>
      <c r="S3020" s="17"/>
      <c r="T3020" s="17"/>
    </row>
    <row r="3021">
      <c r="A3021" s="18">
        <v>2694.0</v>
      </c>
      <c r="B3021" s="12" t="s">
        <v>48</v>
      </c>
      <c r="C3021" s="12" t="s">
        <v>14</v>
      </c>
      <c r="D3021" s="20" t="s">
        <v>22</v>
      </c>
      <c r="E3021" s="12" t="str">
        <f>IFERROR(__xludf.DUMMYFUNCTION("FILTER(colegios!$B$2:$B5618,colegios!$A$2:$A5618=L3021)"),"SAGRADO CORAZON DE JESUS")</f>
        <v>SAGRADO CORAZON DE JESUS</v>
      </c>
      <c r="F3021" s="14" t="s">
        <v>16</v>
      </c>
      <c r="G3021" s="20" t="s">
        <v>17</v>
      </c>
      <c r="H3021" s="14" t="s">
        <v>18</v>
      </c>
      <c r="I3021" s="15">
        <v>2022.0</v>
      </c>
      <c r="J3021" s="16" t="str">
        <f>IFERROR(__xludf.DUMMYFUNCTION("FILTER('CLASFICACIÓN'!$F$3:$F5618,'CLASFICACIÓN'!$G$3:$G5618=M3021)"),"LOS 3 AÑOS")</f>
        <v>LOS 3 AÑOS</v>
      </c>
      <c r="K3021" s="16" t="str">
        <f t="array" ref="K3021">IFERROR(DGET('PADD-R'!$B$1:$K5618,'PADD-R'!$K$1,{'PADD-R'!$B$1;E3021}),"NO PARTICIPÓ")</f>
        <v>NO PARTICIPÓ</v>
      </c>
      <c r="L3021" s="14" t="s">
        <v>150</v>
      </c>
      <c r="M3021" s="16" t="str">
        <f t="shared" si="1"/>
        <v>SAGRADO CORAZON DE JESUS6 Primaria</v>
      </c>
      <c r="N3021" s="23"/>
      <c r="O3021" s="17"/>
      <c r="P3021" s="17"/>
      <c r="Q3021" s="17"/>
      <c r="R3021" s="17"/>
      <c r="S3021" s="17"/>
      <c r="T3021" s="17"/>
    </row>
    <row r="3022">
      <c r="A3022" s="18">
        <v>2695.0</v>
      </c>
      <c r="B3022" s="12" t="s">
        <v>48</v>
      </c>
      <c r="C3022" s="12" t="s">
        <v>14</v>
      </c>
      <c r="D3022" s="20" t="s">
        <v>22</v>
      </c>
      <c r="E3022" s="12" t="str">
        <f>IFERROR(__xludf.DUMMYFUNCTION("FILTER(colegios!$B$2:$B5618,colegios!$A$2:$A5618=L3022)"),"SAGRADO CORAZON DE JESUS")</f>
        <v>SAGRADO CORAZON DE JESUS</v>
      </c>
      <c r="F3022" s="14" t="s">
        <v>16</v>
      </c>
      <c r="G3022" s="20" t="s">
        <v>21</v>
      </c>
      <c r="H3022" s="14" t="s">
        <v>18</v>
      </c>
      <c r="I3022" s="15">
        <v>2022.0</v>
      </c>
      <c r="J3022" s="16" t="str">
        <f>IFERROR(__xludf.DUMMYFUNCTION("FILTER('CLASFICACIÓN'!$F$3:$F5618,'CLASFICACIÓN'!$G$3:$G5618=M3022)"),"LOS 3 AÑOS")</f>
        <v>LOS 3 AÑOS</v>
      </c>
      <c r="K3022" s="16" t="str">
        <f t="array" ref="K3022">IFERROR(DGET('PADD-R'!$B$1:$K5618,'PADD-R'!$K$1,{'PADD-R'!$B$1;E3022}),"NO PARTICIPÓ")</f>
        <v>NO PARTICIPÓ</v>
      </c>
      <c r="L3022" s="14" t="s">
        <v>150</v>
      </c>
      <c r="M3022" s="16" t="str">
        <f t="shared" si="1"/>
        <v>SAGRADO CORAZON DE JESUS6 Primaria</v>
      </c>
      <c r="N3022" s="23"/>
      <c r="O3022" s="17"/>
      <c r="P3022" s="17"/>
      <c r="Q3022" s="17"/>
      <c r="R3022" s="17"/>
      <c r="S3022" s="17"/>
      <c r="T3022" s="17"/>
    </row>
    <row r="3023">
      <c r="A3023" s="18">
        <v>2696.0</v>
      </c>
      <c r="B3023" s="12" t="s">
        <v>48</v>
      </c>
      <c r="C3023" s="12" t="s">
        <v>14</v>
      </c>
      <c r="D3023" s="20" t="s">
        <v>22</v>
      </c>
      <c r="E3023" s="12" t="str">
        <f>IFERROR(__xludf.DUMMYFUNCTION("FILTER(colegios!$B$2:$B5618,colegios!$A$2:$A5618=L3023)"),"SAGRADO CORAZON DE JESUS")</f>
        <v>SAGRADO CORAZON DE JESUS</v>
      </c>
      <c r="F3023" s="14" t="s">
        <v>16</v>
      </c>
      <c r="G3023" s="20" t="s">
        <v>21</v>
      </c>
      <c r="H3023" s="14" t="s">
        <v>18</v>
      </c>
      <c r="I3023" s="15">
        <v>2022.0</v>
      </c>
      <c r="J3023" s="16" t="str">
        <f>IFERROR(__xludf.DUMMYFUNCTION("FILTER('CLASFICACIÓN'!$F$3:$F5618,'CLASFICACIÓN'!$G$3:$G5618=M3023)"),"LOS 3 AÑOS")</f>
        <v>LOS 3 AÑOS</v>
      </c>
      <c r="K3023" s="16" t="str">
        <f t="array" ref="K3023">IFERROR(DGET('PADD-R'!$B$1:$K5618,'PADD-R'!$K$1,{'PADD-R'!$B$1;E3023}),"NO PARTICIPÓ")</f>
        <v>NO PARTICIPÓ</v>
      </c>
      <c r="L3023" s="14" t="s">
        <v>150</v>
      </c>
      <c r="M3023" s="16" t="str">
        <f t="shared" si="1"/>
        <v>SAGRADO CORAZON DE JESUS6 Primaria</v>
      </c>
      <c r="N3023" s="23"/>
      <c r="O3023" s="17"/>
      <c r="P3023" s="17"/>
      <c r="Q3023" s="17"/>
      <c r="R3023" s="17"/>
      <c r="S3023" s="17"/>
      <c r="T3023" s="17"/>
    </row>
    <row r="3024">
      <c r="A3024" s="18">
        <v>2709.0</v>
      </c>
      <c r="B3024" s="12" t="s">
        <v>48</v>
      </c>
      <c r="C3024" s="12" t="s">
        <v>14</v>
      </c>
      <c r="D3024" s="20" t="s">
        <v>15</v>
      </c>
      <c r="E3024" s="12" t="str">
        <f>IFERROR(__xludf.DUMMYFUNCTION("FILTER(colegios!$B$2:$B5618,colegios!$A$2:$A5618=L3024)"),"14145 SANTA JULIA BILLIART")</f>
        <v>14145 SANTA JULIA BILLIART</v>
      </c>
      <c r="F3024" s="14" t="s">
        <v>16</v>
      </c>
      <c r="G3024" s="20" t="s">
        <v>17</v>
      </c>
      <c r="H3024" s="14" t="s">
        <v>18</v>
      </c>
      <c r="I3024" s="15">
        <v>2022.0</v>
      </c>
      <c r="J3024" s="16" t="str">
        <f>IFERROR(__xludf.DUMMYFUNCTION("FILTER('CLASFICACIÓN'!$F$3:$F5618,'CLASFICACIÓN'!$G$3:$G5618=M3024)"),"LOS 3 AÑOS")</f>
        <v>LOS 3 AÑOS</v>
      </c>
      <c r="K3024" s="16" t="str">
        <f t="array" ref="K3024">IFERROR(DGET('PADD-R'!$B$1:$K5618,'PADD-R'!$K$1,{'PADD-R'!$B$1;E3024}),"NO PARTICIPÓ")</f>
        <v>SOLO 2023</v>
      </c>
      <c r="L3024" s="14" t="s">
        <v>151</v>
      </c>
      <c r="M3024" s="16" t="str">
        <f t="shared" si="1"/>
        <v>14145 SANTA JULIA BILLIART2 Primaria</v>
      </c>
      <c r="N3024" s="23"/>
      <c r="O3024" s="17"/>
      <c r="P3024" s="17"/>
      <c r="Q3024" s="17"/>
      <c r="R3024" s="17"/>
      <c r="S3024" s="17"/>
      <c r="T3024" s="17"/>
    </row>
    <row r="3025">
      <c r="A3025" s="18">
        <v>2710.0</v>
      </c>
      <c r="B3025" s="12" t="s">
        <v>48</v>
      </c>
      <c r="C3025" s="12" t="s">
        <v>14</v>
      </c>
      <c r="D3025" s="20" t="s">
        <v>15</v>
      </c>
      <c r="E3025" s="12" t="str">
        <f>IFERROR(__xludf.DUMMYFUNCTION("FILTER(colegios!$B$2:$B5618,colegios!$A$2:$A5618=L3025)"),"14145 SANTA JULIA BILLIART")</f>
        <v>14145 SANTA JULIA BILLIART</v>
      </c>
      <c r="F3025" s="14" t="s">
        <v>16</v>
      </c>
      <c r="G3025" s="20" t="s">
        <v>17</v>
      </c>
      <c r="H3025" s="14" t="s">
        <v>18</v>
      </c>
      <c r="I3025" s="15">
        <v>2022.0</v>
      </c>
      <c r="J3025" s="16" t="str">
        <f>IFERROR(__xludf.DUMMYFUNCTION("FILTER('CLASFICACIÓN'!$F$3:$F5618,'CLASFICACIÓN'!$G$3:$G5618=M3025)"),"LOS 3 AÑOS")</f>
        <v>LOS 3 AÑOS</v>
      </c>
      <c r="K3025" s="16" t="str">
        <f t="array" ref="K3025">IFERROR(DGET('PADD-R'!$B$1:$K5618,'PADD-R'!$K$1,{'PADD-R'!$B$1;E3025}),"NO PARTICIPÓ")</f>
        <v>SOLO 2023</v>
      </c>
      <c r="L3025" s="14" t="s">
        <v>151</v>
      </c>
      <c r="M3025" s="16" t="str">
        <f t="shared" si="1"/>
        <v>14145 SANTA JULIA BILLIART2 Primaria</v>
      </c>
      <c r="N3025" s="23"/>
      <c r="O3025" s="17"/>
      <c r="P3025" s="17"/>
      <c r="Q3025" s="17"/>
      <c r="R3025" s="17"/>
      <c r="S3025" s="17"/>
      <c r="T3025" s="17"/>
    </row>
    <row r="3026">
      <c r="A3026" s="18">
        <v>2711.0</v>
      </c>
      <c r="B3026" s="12" t="s">
        <v>48</v>
      </c>
      <c r="C3026" s="12" t="s">
        <v>14</v>
      </c>
      <c r="D3026" s="20" t="s">
        <v>15</v>
      </c>
      <c r="E3026" s="12" t="str">
        <f>IFERROR(__xludf.DUMMYFUNCTION("FILTER(colegios!$B$2:$B5618,colegios!$A$2:$A5618=L3026)"),"14145 SANTA JULIA BILLIART")</f>
        <v>14145 SANTA JULIA BILLIART</v>
      </c>
      <c r="F3026" s="14" t="s">
        <v>16</v>
      </c>
      <c r="G3026" s="20" t="s">
        <v>17</v>
      </c>
      <c r="H3026" s="14" t="s">
        <v>18</v>
      </c>
      <c r="I3026" s="15">
        <v>2022.0</v>
      </c>
      <c r="J3026" s="16" t="str">
        <f>IFERROR(__xludf.DUMMYFUNCTION("FILTER('CLASFICACIÓN'!$F$3:$F5618,'CLASFICACIÓN'!$G$3:$G5618=M3026)"),"LOS 3 AÑOS")</f>
        <v>LOS 3 AÑOS</v>
      </c>
      <c r="K3026" s="16" t="str">
        <f t="array" ref="K3026">IFERROR(DGET('PADD-R'!$B$1:$K5618,'PADD-R'!$K$1,{'PADD-R'!$B$1;E3026}),"NO PARTICIPÓ")</f>
        <v>SOLO 2023</v>
      </c>
      <c r="L3026" s="14" t="s">
        <v>151</v>
      </c>
      <c r="M3026" s="16" t="str">
        <f t="shared" si="1"/>
        <v>14145 SANTA JULIA BILLIART2 Primaria</v>
      </c>
      <c r="N3026" s="23"/>
      <c r="O3026" s="17"/>
      <c r="P3026" s="17"/>
      <c r="Q3026" s="17"/>
      <c r="R3026" s="17"/>
      <c r="S3026" s="17"/>
      <c r="T3026" s="17"/>
    </row>
    <row r="3027">
      <c r="A3027" s="18">
        <v>2712.0</v>
      </c>
      <c r="B3027" s="12" t="s">
        <v>48</v>
      </c>
      <c r="C3027" s="12" t="s">
        <v>14</v>
      </c>
      <c r="D3027" s="20" t="s">
        <v>15</v>
      </c>
      <c r="E3027" s="12" t="str">
        <f>IFERROR(__xludf.DUMMYFUNCTION("FILTER(colegios!$B$2:$B5618,colegios!$A$2:$A5618=L3027)"),"14145 SANTA JULIA BILLIART")</f>
        <v>14145 SANTA JULIA BILLIART</v>
      </c>
      <c r="F3027" s="14" t="s">
        <v>16</v>
      </c>
      <c r="G3027" s="20" t="s">
        <v>17</v>
      </c>
      <c r="H3027" s="14" t="s">
        <v>18</v>
      </c>
      <c r="I3027" s="15">
        <v>2022.0</v>
      </c>
      <c r="J3027" s="16" t="str">
        <f>IFERROR(__xludf.DUMMYFUNCTION("FILTER('CLASFICACIÓN'!$F$3:$F5618,'CLASFICACIÓN'!$G$3:$G5618=M3027)"),"LOS 3 AÑOS")</f>
        <v>LOS 3 AÑOS</v>
      </c>
      <c r="K3027" s="16" t="str">
        <f t="array" ref="K3027">IFERROR(DGET('PADD-R'!$B$1:$K5618,'PADD-R'!$K$1,{'PADD-R'!$B$1;E3027}),"NO PARTICIPÓ")</f>
        <v>SOLO 2023</v>
      </c>
      <c r="L3027" s="14" t="s">
        <v>151</v>
      </c>
      <c r="M3027" s="16" t="str">
        <f t="shared" si="1"/>
        <v>14145 SANTA JULIA BILLIART2 Primaria</v>
      </c>
      <c r="N3027" s="23"/>
      <c r="O3027" s="17"/>
      <c r="P3027" s="17"/>
      <c r="Q3027" s="17"/>
      <c r="R3027" s="17"/>
      <c r="S3027" s="17"/>
      <c r="T3027" s="17"/>
    </row>
    <row r="3028">
      <c r="A3028" s="18">
        <v>2713.0</v>
      </c>
      <c r="B3028" s="12" t="s">
        <v>48</v>
      </c>
      <c r="C3028" s="12" t="s">
        <v>14</v>
      </c>
      <c r="D3028" s="20" t="s">
        <v>15</v>
      </c>
      <c r="E3028" s="12" t="str">
        <f>IFERROR(__xludf.DUMMYFUNCTION("FILTER(colegios!$B$2:$B5618,colegios!$A$2:$A5618=L3028)"),"14145 SANTA JULIA BILLIART")</f>
        <v>14145 SANTA JULIA BILLIART</v>
      </c>
      <c r="F3028" s="14" t="s">
        <v>16</v>
      </c>
      <c r="G3028" s="20" t="s">
        <v>17</v>
      </c>
      <c r="H3028" s="14" t="s">
        <v>18</v>
      </c>
      <c r="I3028" s="15">
        <v>2022.0</v>
      </c>
      <c r="J3028" s="16" t="str">
        <f>IFERROR(__xludf.DUMMYFUNCTION("FILTER('CLASFICACIÓN'!$F$3:$F5618,'CLASFICACIÓN'!$G$3:$G5618=M3028)"),"LOS 3 AÑOS")</f>
        <v>LOS 3 AÑOS</v>
      </c>
      <c r="K3028" s="16" t="str">
        <f t="array" ref="K3028">IFERROR(DGET('PADD-R'!$B$1:$K5618,'PADD-R'!$K$1,{'PADD-R'!$B$1;E3028}),"NO PARTICIPÓ")</f>
        <v>SOLO 2023</v>
      </c>
      <c r="L3028" s="14" t="s">
        <v>151</v>
      </c>
      <c r="M3028" s="16" t="str">
        <f t="shared" si="1"/>
        <v>14145 SANTA JULIA BILLIART2 Primaria</v>
      </c>
      <c r="N3028" s="23"/>
      <c r="O3028" s="17"/>
      <c r="P3028" s="17"/>
      <c r="Q3028" s="17"/>
      <c r="R3028" s="17"/>
      <c r="S3028" s="17"/>
      <c r="T3028" s="17"/>
    </row>
    <row r="3029">
      <c r="A3029" s="18">
        <v>2714.0</v>
      </c>
      <c r="B3029" s="12" t="s">
        <v>48</v>
      </c>
      <c r="C3029" s="12" t="s">
        <v>14</v>
      </c>
      <c r="D3029" s="20" t="s">
        <v>15</v>
      </c>
      <c r="E3029" s="12" t="str">
        <f>IFERROR(__xludf.DUMMYFUNCTION("FILTER(colegios!$B$2:$B5618,colegios!$A$2:$A5618=L3029)"),"14145 SANTA JULIA BILLIART")</f>
        <v>14145 SANTA JULIA BILLIART</v>
      </c>
      <c r="F3029" s="14" t="s">
        <v>16</v>
      </c>
      <c r="G3029" s="20" t="s">
        <v>17</v>
      </c>
      <c r="H3029" s="14" t="s">
        <v>18</v>
      </c>
      <c r="I3029" s="15">
        <v>2022.0</v>
      </c>
      <c r="J3029" s="16" t="str">
        <f>IFERROR(__xludf.DUMMYFUNCTION("FILTER('CLASFICACIÓN'!$F$3:$F5618,'CLASFICACIÓN'!$G$3:$G5618=M3029)"),"LOS 3 AÑOS")</f>
        <v>LOS 3 AÑOS</v>
      </c>
      <c r="K3029" s="16" t="str">
        <f t="array" ref="K3029">IFERROR(DGET('PADD-R'!$B$1:$K5618,'PADD-R'!$K$1,{'PADD-R'!$B$1;E3029}),"NO PARTICIPÓ")</f>
        <v>SOLO 2023</v>
      </c>
      <c r="L3029" s="14" t="s">
        <v>151</v>
      </c>
      <c r="M3029" s="16" t="str">
        <f t="shared" si="1"/>
        <v>14145 SANTA JULIA BILLIART2 Primaria</v>
      </c>
      <c r="N3029" s="23"/>
      <c r="O3029" s="17"/>
      <c r="P3029" s="17"/>
      <c r="Q3029" s="17"/>
      <c r="R3029" s="17"/>
      <c r="S3029" s="17"/>
      <c r="T3029" s="17"/>
    </row>
    <row r="3030">
      <c r="A3030" s="18">
        <v>2715.0</v>
      </c>
      <c r="B3030" s="12" t="s">
        <v>48</v>
      </c>
      <c r="C3030" s="12" t="s">
        <v>14</v>
      </c>
      <c r="D3030" s="20" t="s">
        <v>15</v>
      </c>
      <c r="E3030" s="12" t="str">
        <f>IFERROR(__xludf.DUMMYFUNCTION("FILTER(colegios!$B$2:$B5618,colegios!$A$2:$A5618=L3030)"),"14145 SANTA JULIA BILLIART")</f>
        <v>14145 SANTA JULIA BILLIART</v>
      </c>
      <c r="F3030" s="14" t="s">
        <v>16</v>
      </c>
      <c r="G3030" s="20" t="s">
        <v>17</v>
      </c>
      <c r="H3030" s="14" t="s">
        <v>18</v>
      </c>
      <c r="I3030" s="15">
        <v>2022.0</v>
      </c>
      <c r="J3030" s="16" t="str">
        <f>IFERROR(__xludf.DUMMYFUNCTION("FILTER('CLASFICACIÓN'!$F$3:$F5618,'CLASFICACIÓN'!$G$3:$G5618=M3030)"),"LOS 3 AÑOS")</f>
        <v>LOS 3 AÑOS</v>
      </c>
      <c r="K3030" s="16" t="str">
        <f t="array" ref="K3030">IFERROR(DGET('PADD-R'!$B$1:$K5618,'PADD-R'!$K$1,{'PADD-R'!$B$1;E3030}),"NO PARTICIPÓ")</f>
        <v>SOLO 2023</v>
      </c>
      <c r="L3030" s="14" t="s">
        <v>151</v>
      </c>
      <c r="M3030" s="16" t="str">
        <f t="shared" si="1"/>
        <v>14145 SANTA JULIA BILLIART2 Primaria</v>
      </c>
      <c r="N3030" s="23"/>
      <c r="O3030" s="17"/>
      <c r="P3030" s="17"/>
      <c r="Q3030" s="17"/>
      <c r="R3030" s="17"/>
      <c r="S3030" s="17"/>
      <c r="T3030" s="17"/>
    </row>
    <row r="3031">
      <c r="A3031" s="18">
        <v>2716.0</v>
      </c>
      <c r="B3031" s="12" t="s">
        <v>48</v>
      </c>
      <c r="C3031" s="12" t="s">
        <v>14</v>
      </c>
      <c r="D3031" s="20" t="s">
        <v>15</v>
      </c>
      <c r="E3031" s="12" t="str">
        <f>IFERROR(__xludf.DUMMYFUNCTION("FILTER(colegios!$B$2:$B5618,colegios!$A$2:$A5618=L3031)"),"14145 SANTA JULIA BILLIART")</f>
        <v>14145 SANTA JULIA BILLIART</v>
      </c>
      <c r="F3031" s="14" t="s">
        <v>16</v>
      </c>
      <c r="G3031" s="20" t="s">
        <v>17</v>
      </c>
      <c r="H3031" s="14" t="s">
        <v>18</v>
      </c>
      <c r="I3031" s="15">
        <v>2022.0</v>
      </c>
      <c r="J3031" s="16" t="str">
        <f>IFERROR(__xludf.DUMMYFUNCTION("FILTER('CLASFICACIÓN'!$F$3:$F5618,'CLASFICACIÓN'!$G$3:$G5618=M3031)"),"LOS 3 AÑOS")</f>
        <v>LOS 3 AÑOS</v>
      </c>
      <c r="K3031" s="16" t="str">
        <f t="array" ref="K3031">IFERROR(DGET('PADD-R'!$B$1:$K5618,'PADD-R'!$K$1,{'PADD-R'!$B$1;E3031}),"NO PARTICIPÓ")</f>
        <v>SOLO 2023</v>
      </c>
      <c r="L3031" s="14" t="s">
        <v>151</v>
      </c>
      <c r="M3031" s="16" t="str">
        <f t="shared" si="1"/>
        <v>14145 SANTA JULIA BILLIART2 Primaria</v>
      </c>
      <c r="N3031" s="23"/>
      <c r="O3031" s="17"/>
      <c r="P3031" s="17"/>
      <c r="Q3031" s="17"/>
      <c r="R3031" s="17"/>
      <c r="S3031" s="17"/>
      <c r="T3031" s="17"/>
    </row>
    <row r="3032">
      <c r="A3032" s="18">
        <v>2717.0</v>
      </c>
      <c r="B3032" s="12" t="s">
        <v>48</v>
      </c>
      <c r="C3032" s="12" t="s">
        <v>14</v>
      </c>
      <c r="D3032" s="20" t="s">
        <v>15</v>
      </c>
      <c r="E3032" s="12" t="str">
        <f>IFERROR(__xludf.DUMMYFUNCTION("FILTER(colegios!$B$2:$B5618,colegios!$A$2:$A5618=L3032)"),"14145 SANTA JULIA BILLIART")</f>
        <v>14145 SANTA JULIA BILLIART</v>
      </c>
      <c r="F3032" s="14" t="s">
        <v>16</v>
      </c>
      <c r="G3032" s="20" t="s">
        <v>17</v>
      </c>
      <c r="H3032" s="14" t="s">
        <v>24</v>
      </c>
      <c r="I3032" s="15">
        <v>2022.0</v>
      </c>
      <c r="J3032" s="16" t="str">
        <f>IFERROR(__xludf.DUMMYFUNCTION("FILTER('CLASFICACIÓN'!$F$3:$F5618,'CLASFICACIÓN'!$G$3:$G5618=M3032)"),"LOS 3 AÑOS")</f>
        <v>LOS 3 AÑOS</v>
      </c>
      <c r="K3032" s="16" t="str">
        <f t="array" ref="K3032">IFERROR(DGET('PADD-R'!$B$1:$K5618,'PADD-R'!$K$1,{'PADD-R'!$B$1;E3032}),"NO PARTICIPÓ")</f>
        <v>SOLO 2023</v>
      </c>
      <c r="L3032" s="14" t="s">
        <v>151</v>
      </c>
      <c r="M3032" s="16" t="str">
        <f t="shared" si="1"/>
        <v>14145 SANTA JULIA BILLIART2 Primaria</v>
      </c>
      <c r="N3032" s="23"/>
      <c r="O3032" s="17"/>
      <c r="P3032" s="17"/>
      <c r="Q3032" s="17"/>
      <c r="R3032" s="17"/>
      <c r="S3032" s="17"/>
      <c r="T3032" s="17"/>
    </row>
    <row r="3033">
      <c r="A3033" s="18">
        <v>2718.0</v>
      </c>
      <c r="B3033" s="12" t="s">
        <v>48</v>
      </c>
      <c r="C3033" s="12" t="s">
        <v>14</v>
      </c>
      <c r="D3033" s="20" t="s">
        <v>15</v>
      </c>
      <c r="E3033" s="12" t="str">
        <f>IFERROR(__xludf.DUMMYFUNCTION("FILTER(colegios!$B$2:$B5618,colegios!$A$2:$A5618=L3033)"),"14145 SANTA JULIA BILLIART")</f>
        <v>14145 SANTA JULIA BILLIART</v>
      </c>
      <c r="F3033" s="14" t="s">
        <v>16</v>
      </c>
      <c r="G3033" s="20" t="s">
        <v>17</v>
      </c>
      <c r="H3033" s="14" t="s">
        <v>24</v>
      </c>
      <c r="I3033" s="15">
        <v>2022.0</v>
      </c>
      <c r="J3033" s="16" t="str">
        <f>IFERROR(__xludf.DUMMYFUNCTION("FILTER('CLASFICACIÓN'!$F$3:$F5618,'CLASFICACIÓN'!$G$3:$G5618=M3033)"),"LOS 3 AÑOS")</f>
        <v>LOS 3 AÑOS</v>
      </c>
      <c r="K3033" s="16" t="str">
        <f t="array" ref="K3033">IFERROR(DGET('PADD-R'!$B$1:$K5618,'PADD-R'!$K$1,{'PADD-R'!$B$1;E3033}),"NO PARTICIPÓ")</f>
        <v>SOLO 2023</v>
      </c>
      <c r="L3033" s="14" t="s">
        <v>151</v>
      </c>
      <c r="M3033" s="16" t="str">
        <f t="shared" si="1"/>
        <v>14145 SANTA JULIA BILLIART2 Primaria</v>
      </c>
      <c r="N3033" s="23"/>
      <c r="O3033" s="17"/>
      <c r="P3033" s="17"/>
      <c r="Q3033" s="17"/>
      <c r="R3033" s="17"/>
      <c r="S3033" s="17"/>
      <c r="T3033" s="17"/>
    </row>
    <row r="3034">
      <c r="A3034" s="18">
        <v>2719.0</v>
      </c>
      <c r="B3034" s="12" t="s">
        <v>48</v>
      </c>
      <c r="C3034" s="12" t="s">
        <v>14</v>
      </c>
      <c r="D3034" s="20" t="s">
        <v>15</v>
      </c>
      <c r="E3034" s="12" t="str">
        <f>IFERROR(__xludf.DUMMYFUNCTION("FILTER(colegios!$B$2:$B5618,colegios!$A$2:$A5618=L3034)"),"14145 SANTA JULIA BILLIART")</f>
        <v>14145 SANTA JULIA BILLIART</v>
      </c>
      <c r="F3034" s="14" t="s">
        <v>16</v>
      </c>
      <c r="G3034" s="20" t="s">
        <v>17</v>
      </c>
      <c r="H3034" s="14" t="s">
        <v>18</v>
      </c>
      <c r="I3034" s="15">
        <v>2022.0</v>
      </c>
      <c r="J3034" s="16" t="str">
        <f>IFERROR(__xludf.DUMMYFUNCTION("FILTER('CLASFICACIÓN'!$F$3:$F5618,'CLASFICACIÓN'!$G$3:$G5618=M3034)"),"LOS 3 AÑOS")</f>
        <v>LOS 3 AÑOS</v>
      </c>
      <c r="K3034" s="16" t="str">
        <f t="array" ref="K3034">IFERROR(DGET('PADD-R'!$B$1:$K5618,'PADD-R'!$K$1,{'PADD-R'!$B$1;E3034}),"NO PARTICIPÓ")</f>
        <v>SOLO 2023</v>
      </c>
      <c r="L3034" s="14" t="s">
        <v>151</v>
      </c>
      <c r="M3034" s="16" t="str">
        <f t="shared" si="1"/>
        <v>14145 SANTA JULIA BILLIART2 Primaria</v>
      </c>
      <c r="N3034" s="23"/>
      <c r="O3034" s="17"/>
      <c r="P3034" s="17"/>
      <c r="Q3034" s="17"/>
      <c r="R3034" s="17"/>
      <c r="S3034" s="17"/>
      <c r="T3034" s="17"/>
    </row>
    <row r="3035">
      <c r="A3035" s="18">
        <v>2720.0</v>
      </c>
      <c r="B3035" s="12" t="s">
        <v>48</v>
      </c>
      <c r="C3035" s="12" t="s">
        <v>14</v>
      </c>
      <c r="D3035" s="20" t="s">
        <v>15</v>
      </c>
      <c r="E3035" s="12" t="str">
        <f>IFERROR(__xludf.DUMMYFUNCTION("FILTER(colegios!$B$2:$B5618,colegios!$A$2:$A5618=L3035)"),"14145 SANTA JULIA BILLIART")</f>
        <v>14145 SANTA JULIA BILLIART</v>
      </c>
      <c r="F3035" s="14" t="s">
        <v>16</v>
      </c>
      <c r="G3035" s="20" t="s">
        <v>17</v>
      </c>
      <c r="H3035" s="14" t="s">
        <v>24</v>
      </c>
      <c r="I3035" s="15">
        <v>2022.0</v>
      </c>
      <c r="J3035" s="16" t="str">
        <f>IFERROR(__xludf.DUMMYFUNCTION("FILTER('CLASFICACIÓN'!$F$3:$F5618,'CLASFICACIÓN'!$G$3:$G5618=M3035)"),"LOS 3 AÑOS")</f>
        <v>LOS 3 AÑOS</v>
      </c>
      <c r="K3035" s="16" t="str">
        <f t="array" ref="K3035">IFERROR(DGET('PADD-R'!$B$1:$K5618,'PADD-R'!$K$1,{'PADD-R'!$B$1;E3035}),"NO PARTICIPÓ")</f>
        <v>SOLO 2023</v>
      </c>
      <c r="L3035" s="14" t="s">
        <v>151</v>
      </c>
      <c r="M3035" s="16" t="str">
        <f t="shared" si="1"/>
        <v>14145 SANTA JULIA BILLIART2 Primaria</v>
      </c>
      <c r="N3035" s="23"/>
      <c r="O3035" s="17"/>
      <c r="P3035" s="17"/>
      <c r="Q3035" s="17"/>
      <c r="R3035" s="17"/>
      <c r="S3035" s="17"/>
      <c r="T3035" s="17"/>
    </row>
    <row r="3036">
      <c r="A3036" s="18">
        <v>2721.0</v>
      </c>
      <c r="B3036" s="12" t="s">
        <v>48</v>
      </c>
      <c r="C3036" s="12" t="s">
        <v>14</v>
      </c>
      <c r="D3036" s="20" t="s">
        <v>15</v>
      </c>
      <c r="E3036" s="12" t="str">
        <f>IFERROR(__xludf.DUMMYFUNCTION("FILTER(colegios!$B$2:$B5618,colegios!$A$2:$A5618=L3036)"),"14145 SANTA JULIA BILLIART")</f>
        <v>14145 SANTA JULIA BILLIART</v>
      </c>
      <c r="F3036" s="14" t="s">
        <v>16</v>
      </c>
      <c r="G3036" s="20" t="s">
        <v>17</v>
      </c>
      <c r="H3036" s="14" t="s">
        <v>18</v>
      </c>
      <c r="I3036" s="15">
        <v>2022.0</v>
      </c>
      <c r="J3036" s="16" t="str">
        <f>IFERROR(__xludf.DUMMYFUNCTION("FILTER('CLASFICACIÓN'!$F$3:$F5618,'CLASFICACIÓN'!$G$3:$G5618=M3036)"),"LOS 3 AÑOS")</f>
        <v>LOS 3 AÑOS</v>
      </c>
      <c r="K3036" s="16" t="str">
        <f t="array" ref="K3036">IFERROR(DGET('PADD-R'!$B$1:$K5618,'PADD-R'!$K$1,{'PADD-R'!$B$1;E3036}),"NO PARTICIPÓ")</f>
        <v>SOLO 2023</v>
      </c>
      <c r="L3036" s="14" t="s">
        <v>151</v>
      </c>
      <c r="M3036" s="16" t="str">
        <f t="shared" si="1"/>
        <v>14145 SANTA JULIA BILLIART2 Primaria</v>
      </c>
      <c r="N3036" s="23"/>
      <c r="O3036" s="17"/>
      <c r="P3036" s="17"/>
      <c r="Q3036" s="17"/>
      <c r="R3036" s="17"/>
      <c r="S3036" s="17"/>
      <c r="T3036" s="17"/>
    </row>
    <row r="3037">
      <c r="A3037" s="18">
        <v>2722.0</v>
      </c>
      <c r="B3037" s="12" t="s">
        <v>48</v>
      </c>
      <c r="C3037" s="12" t="s">
        <v>14</v>
      </c>
      <c r="D3037" s="20" t="s">
        <v>15</v>
      </c>
      <c r="E3037" s="12" t="str">
        <f>IFERROR(__xludf.DUMMYFUNCTION("FILTER(colegios!$B$2:$B5618,colegios!$A$2:$A5618=L3037)"),"14145 SANTA JULIA BILLIART")</f>
        <v>14145 SANTA JULIA BILLIART</v>
      </c>
      <c r="F3037" s="14" t="s">
        <v>16</v>
      </c>
      <c r="G3037" s="20" t="s">
        <v>21</v>
      </c>
      <c r="H3037" s="14" t="s">
        <v>24</v>
      </c>
      <c r="I3037" s="15">
        <v>2022.0</v>
      </c>
      <c r="J3037" s="16" t="str">
        <f>IFERROR(__xludf.DUMMYFUNCTION("FILTER('CLASFICACIÓN'!$F$3:$F5618,'CLASFICACIÓN'!$G$3:$G5618=M3037)"),"LOS 3 AÑOS")</f>
        <v>LOS 3 AÑOS</v>
      </c>
      <c r="K3037" s="16" t="str">
        <f t="array" ref="K3037">IFERROR(DGET('PADD-R'!$B$1:$K5618,'PADD-R'!$K$1,{'PADD-R'!$B$1;E3037}),"NO PARTICIPÓ")</f>
        <v>SOLO 2023</v>
      </c>
      <c r="L3037" s="14" t="s">
        <v>151</v>
      </c>
      <c r="M3037" s="16" t="str">
        <f t="shared" si="1"/>
        <v>14145 SANTA JULIA BILLIART2 Primaria</v>
      </c>
      <c r="N3037" s="23"/>
      <c r="O3037" s="17"/>
      <c r="P3037" s="17"/>
      <c r="Q3037" s="17"/>
      <c r="R3037" s="17"/>
      <c r="S3037" s="17"/>
      <c r="T3037" s="17"/>
    </row>
    <row r="3038">
      <c r="A3038" s="18">
        <v>2723.0</v>
      </c>
      <c r="B3038" s="12" t="s">
        <v>48</v>
      </c>
      <c r="C3038" s="12" t="s">
        <v>14</v>
      </c>
      <c r="D3038" s="20" t="s">
        <v>15</v>
      </c>
      <c r="E3038" s="12" t="str">
        <f>IFERROR(__xludf.DUMMYFUNCTION("FILTER(colegios!$B$2:$B5618,colegios!$A$2:$A5618=L3038)"),"14145 SANTA JULIA BILLIART")</f>
        <v>14145 SANTA JULIA BILLIART</v>
      </c>
      <c r="F3038" s="14" t="s">
        <v>16</v>
      </c>
      <c r="G3038" s="20" t="s">
        <v>21</v>
      </c>
      <c r="H3038" s="14" t="s">
        <v>18</v>
      </c>
      <c r="I3038" s="15">
        <v>2022.0</v>
      </c>
      <c r="J3038" s="16" t="str">
        <f>IFERROR(__xludf.DUMMYFUNCTION("FILTER('CLASFICACIÓN'!$F$3:$F5618,'CLASFICACIÓN'!$G$3:$G5618=M3038)"),"LOS 3 AÑOS")</f>
        <v>LOS 3 AÑOS</v>
      </c>
      <c r="K3038" s="16" t="str">
        <f t="array" ref="K3038">IFERROR(DGET('PADD-R'!$B$1:$K5618,'PADD-R'!$K$1,{'PADD-R'!$B$1;E3038}),"NO PARTICIPÓ")</f>
        <v>SOLO 2023</v>
      </c>
      <c r="L3038" s="14" t="s">
        <v>151</v>
      </c>
      <c r="M3038" s="16" t="str">
        <f t="shared" si="1"/>
        <v>14145 SANTA JULIA BILLIART2 Primaria</v>
      </c>
      <c r="N3038" s="23"/>
      <c r="O3038" s="17"/>
      <c r="P3038" s="17"/>
      <c r="Q3038" s="17"/>
      <c r="R3038" s="17"/>
      <c r="S3038" s="17"/>
      <c r="T3038" s="17"/>
    </row>
    <row r="3039">
      <c r="A3039" s="18">
        <v>2724.0</v>
      </c>
      <c r="B3039" s="12" t="s">
        <v>48</v>
      </c>
      <c r="C3039" s="12" t="s">
        <v>14</v>
      </c>
      <c r="D3039" s="20" t="s">
        <v>15</v>
      </c>
      <c r="E3039" s="12" t="str">
        <f>IFERROR(__xludf.DUMMYFUNCTION("FILTER(colegios!$B$2:$B5618,colegios!$A$2:$A5618=L3039)"),"14145 SANTA JULIA BILLIART")</f>
        <v>14145 SANTA JULIA BILLIART</v>
      </c>
      <c r="F3039" s="14" t="s">
        <v>16</v>
      </c>
      <c r="G3039" s="20" t="s">
        <v>21</v>
      </c>
      <c r="H3039" s="14" t="s">
        <v>18</v>
      </c>
      <c r="I3039" s="15">
        <v>2022.0</v>
      </c>
      <c r="J3039" s="16" t="str">
        <f>IFERROR(__xludf.DUMMYFUNCTION("FILTER('CLASFICACIÓN'!$F$3:$F5618,'CLASFICACIÓN'!$G$3:$G5618=M3039)"),"LOS 3 AÑOS")</f>
        <v>LOS 3 AÑOS</v>
      </c>
      <c r="K3039" s="16" t="str">
        <f t="array" ref="K3039">IFERROR(DGET('PADD-R'!$B$1:$K5618,'PADD-R'!$K$1,{'PADD-R'!$B$1;E3039}),"NO PARTICIPÓ")</f>
        <v>SOLO 2023</v>
      </c>
      <c r="L3039" s="14" t="s">
        <v>151</v>
      </c>
      <c r="M3039" s="16" t="str">
        <f t="shared" si="1"/>
        <v>14145 SANTA JULIA BILLIART2 Primaria</v>
      </c>
      <c r="N3039" s="23"/>
      <c r="O3039" s="17"/>
      <c r="P3039" s="17"/>
      <c r="Q3039" s="17"/>
      <c r="R3039" s="17"/>
      <c r="S3039" s="17"/>
      <c r="T3039" s="17"/>
    </row>
    <row r="3040">
      <c r="A3040" s="18">
        <v>2725.0</v>
      </c>
      <c r="B3040" s="12" t="s">
        <v>48</v>
      </c>
      <c r="C3040" s="12" t="s">
        <v>14</v>
      </c>
      <c r="D3040" s="20" t="s">
        <v>15</v>
      </c>
      <c r="E3040" s="12" t="str">
        <f>IFERROR(__xludf.DUMMYFUNCTION("FILTER(colegios!$B$2:$B5618,colegios!$A$2:$A5618=L3040)"),"14145 SANTA JULIA BILLIART")</f>
        <v>14145 SANTA JULIA BILLIART</v>
      </c>
      <c r="F3040" s="14" t="s">
        <v>16</v>
      </c>
      <c r="G3040" s="20" t="s">
        <v>21</v>
      </c>
      <c r="H3040" s="14" t="s">
        <v>18</v>
      </c>
      <c r="I3040" s="15">
        <v>2022.0</v>
      </c>
      <c r="J3040" s="16" t="str">
        <f>IFERROR(__xludf.DUMMYFUNCTION("FILTER('CLASFICACIÓN'!$F$3:$F5618,'CLASFICACIÓN'!$G$3:$G5618=M3040)"),"LOS 3 AÑOS")</f>
        <v>LOS 3 AÑOS</v>
      </c>
      <c r="K3040" s="16" t="str">
        <f t="array" ref="K3040">IFERROR(DGET('PADD-R'!$B$1:$K5618,'PADD-R'!$K$1,{'PADD-R'!$B$1;E3040}),"NO PARTICIPÓ")</f>
        <v>SOLO 2023</v>
      </c>
      <c r="L3040" s="14" t="s">
        <v>151</v>
      </c>
      <c r="M3040" s="16" t="str">
        <f t="shared" si="1"/>
        <v>14145 SANTA JULIA BILLIART2 Primaria</v>
      </c>
      <c r="N3040" s="23"/>
      <c r="O3040" s="17"/>
      <c r="P3040" s="17"/>
      <c r="Q3040" s="17"/>
      <c r="R3040" s="17"/>
      <c r="S3040" s="17"/>
      <c r="T3040" s="17"/>
    </row>
    <row r="3041">
      <c r="A3041" s="18">
        <v>2726.0</v>
      </c>
      <c r="B3041" s="12" t="s">
        <v>48</v>
      </c>
      <c r="C3041" s="12" t="s">
        <v>14</v>
      </c>
      <c r="D3041" s="20" t="s">
        <v>15</v>
      </c>
      <c r="E3041" s="12" t="str">
        <f>IFERROR(__xludf.DUMMYFUNCTION("FILTER(colegios!$B$2:$B5618,colegios!$A$2:$A5618=L3041)"),"14145 SANTA JULIA BILLIART")</f>
        <v>14145 SANTA JULIA BILLIART</v>
      </c>
      <c r="F3041" s="14" t="s">
        <v>16</v>
      </c>
      <c r="G3041" s="20" t="s">
        <v>21</v>
      </c>
      <c r="H3041" s="14" t="s">
        <v>18</v>
      </c>
      <c r="I3041" s="15">
        <v>2022.0</v>
      </c>
      <c r="J3041" s="16" t="str">
        <f>IFERROR(__xludf.DUMMYFUNCTION("FILTER('CLASFICACIÓN'!$F$3:$F5618,'CLASFICACIÓN'!$G$3:$G5618=M3041)"),"LOS 3 AÑOS")</f>
        <v>LOS 3 AÑOS</v>
      </c>
      <c r="K3041" s="16" t="str">
        <f t="array" ref="K3041">IFERROR(DGET('PADD-R'!$B$1:$K5618,'PADD-R'!$K$1,{'PADD-R'!$B$1;E3041}),"NO PARTICIPÓ")</f>
        <v>SOLO 2023</v>
      </c>
      <c r="L3041" s="14" t="s">
        <v>151</v>
      </c>
      <c r="M3041" s="16" t="str">
        <f t="shared" si="1"/>
        <v>14145 SANTA JULIA BILLIART2 Primaria</v>
      </c>
      <c r="N3041" s="23"/>
      <c r="O3041" s="17"/>
      <c r="P3041" s="17"/>
      <c r="Q3041" s="17"/>
      <c r="R3041" s="17"/>
      <c r="S3041" s="17"/>
      <c r="T3041" s="17"/>
    </row>
    <row r="3042">
      <c r="A3042" s="18">
        <v>2727.0</v>
      </c>
      <c r="B3042" s="12" t="s">
        <v>48</v>
      </c>
      <c r="C3042" s="12" t="s">
        <v>14</v>
      </c>
      <c r="D3042" s="20" t="s">
        <v>15</v>
      </c>
      <c r="E3042" s="12" t="str">
        <f>IFERROR(__xludf.DUMMYFUNCTION("FILTER(colegios!$B$2:$B5618,colegios!$A$2:$A5618=L3042)"),"14145 SANTA JULIA BILLIART")</f>
        <v>14145 SANTA JULIA BILLIART</v>
      </c>
      <c r="F3042" s="14" t="s">
        <v>16</v>
      </c>
      <c r="G3042" s="20" t="s">
        <v>21</v>
      </c>
      <c r="H3042" s="14" t="s">
        <v>18</v>
      </c>
      <c r="I3042" s="15">
        <v>2022.0</v>
      </c>
      <c r="J3042" s="16" t="str">
        <f>IFERROR(__xludf.DUMMYFUNCTION("FILTER('CLASFICACIÓN'!$F$3:$F5618,'CLASFICACIÓN'!$G$3:$G5618=M3042)"),"LOS 3 AÑOS")</f>
        <v>LOS 3 AÑOS</v>
      </c>
      <c r="K3042" s="16" t="str">
        <f t="array" ref="K3042">IFERROR(DGET('PADD-R'!$B$1:$K5618,'PADD-R'!$K$1,{'PADD-R'!$B$1;E3042}),"NO PARTICIPÓ")</f>
        <v>SOLO 2023</v>
      </c>
      <c r="L3042" s="14" t="s">
        <v>151</v>
      </c>
      <c r="M3042" s="16" t="str">
        <f t="shared" si="1"/>
        <v>14145 SANTA JULIA BILLIART2 Primaria</v>
      </c>
      <c r="N3042" s="23"/>
      <c r="O3042" s="17"/>
      <c r="P3042" s="17"/>
      <c r="Q3042" s="17"/>
      <c r="R3042" s="17"/>
      <c r="S3042" s="17"/>
      <c r="T3042" s="17"/>
    </row>
    <row r="3043">
      <c r="A3043" s="18">
        <v>2728.0</v>
      </c>
      <c r="B3043" s="12" t="s">
        <v>48</v>
      </c>
      <c r="C3043" s="12" t="s">
        <v>14</v>
      </c>
      <c r="D3043" s="20" t="s">
        <v>15</v>
      </c>
      <c r="E3043" s="12" t="str">
        <f>IFERROR(__xludf.DUMMYFUNCTION("FILTER(colegios!$B$2:$B5618,colegios!$A$2:$A5618=L3043)"),"14145 SANTA JULIA BILLIART")</f>
        <v>14145 SANTA JULIA BILLIART</v>
      </c>
      <c r="F3043" s="14" t="s">
        <v>16</v>
      </c>
      <c r="G3043" s="20" t="s">
        <v>21</v>
      </c>
      <c r="H3043" s="14" t="s">
        <v>24</v>
      </c>
      <c r="I3043" s="15">
        <v>2022.0</v>
      </c>
      <c r="J3043" s="16" t="str">
        <f>IFERROR(__xludf.DUMMYFUNCTION("FILTER('CLASFICACIÓN'!$F$3:$F5618,'CLASFICACIÓN'!$G$3:$G5618=M3043)"),"LOS 3 AÑOS")</f>
        <v>LOS 3 AÑOS</v>
      </c>
      <c r="K3043" s="16" t="str">
        <f t="array" ref="K3043">IFERROR(DGET('PADD-R'!$B$1:$K5618,'PADD-R'!$K$1,{'PADD-R'!$B$1;E3043}),"NO PARTICIPÓ")</f>
        <v>SOLO 2023</v>
      </c>
      <c r="L3043" s="14" t="s">
        <v>151</v>
      </c>
      <c r="M3043" s="16" t="str">
        <f t="shared" si="1"/>
        <v>14145 SANTA JULIA BILLIART2 Primaria</v>
      </c>
      <c r="N3043" s="23"/>
      <c r="O3043" s="17"/>
      <c r="P3043" s="17"/>
      <c r="Q3043" s="17"/>
      <c r="R3043" s="17"/>
      <c r="S3043" s="17"/>
      <c r="T3043" s="17"/>
    </row>
    <row r="3044">
      <c r="A3044" s="18">
        <v>2729.0</v>
      </c>
      <c r="B3044" s="12" t="s">
        <v>48</v>
      </c>
      <c r="C3044" s="12" t="s">
        <v>14</v>
      </c>
      <c r="D3044" s="20" t="s">
        <v>15</v>
      </c>
      <c r="E3044" s="12" t="str">
        <f>IFERROR(__xludf.DUMMYFUNCTION("FILTER(colegios!$B$2:$B5618,colegios!$A$2:$A5618=L3044)"),"14145 SANTA JULIA BILLIART")</f>
        <v>14145 SANTA JULIA BILLIART</v>
      </c>
      <c r="F3044" s="14" t="s">
        <v>16</v>
      </c>
      <c r="G3044" s="20" t="s">
        <v>21</v>
      </c>
      <c r="H3044" s="14" t="s">
        <v>24</v>
      </c>
      <c r="I3044" s="15">
        <v>2022.0</v>
      </c>
      <c r="J3044" s="16" t="str">
        <f>IFERROR(__xludf.DUMMYFUNCTION("FILTER('CLASFICACIÓN'!$F$3:$F5618,'CLASFICACIÓN'!$G$3:$G5618=M3044)"),"LOS 3 AÑOS")</f>
        <v>LOS 3 AÑOS</v>
      </c>
      <c r="K3044" s="16" t="str">
        <f t="array" ref="K3044">IFERROR(DGET('PADD-R'!$B$1:$K5618,'PADD-R'!$K$1,{'PADD-R'!$B$1;E3044}),"NO PARTICIPÓ")</f>
        <v>SOLO 2023</v>
      </c>
      <c r="L3044" s="14" t="s">
        <v>151</v>
      </c>
      <c r="M3044" s="16" t="str">
        <f t="shared" si="1"/>
        <v>14145 SANTA JULIA BILLIART2 Primaria</v>
      </c>
      <c r="N3044" s="23"/>
      <c r="O3044" s="17"/>
      <c r="P3044" s="17"/>
      <c r="Q3044" s="17"/>
      <c r="R3044" s="17"/>
      <c r="S3044" s="17"/>
      <c r="T3044" s="17"/>
    </row>
    <row r="3045">
      <c r="A3045" s="18">
        <v>2730.0</v>
      </c>
      <c r="B3045" s="12" t="s">
        <v>48</v>
      </c>
      <c r="C3045" s="12" t="s">
        <v>14</v>
      </c>
      <c r="D3045" s="20" t="s">
        <v>15</v>
      </c>
      <c r="E3045" s="12" t="str">
        <f>IFERROR(__xludf.DUMMYFUNCTION("FILTER(colegios!$B$2:$B5618,colegios!$A$2:$A5618=L3045)"),"14145 SANTA JULIA BILLIART")</f>
        <v>14145 SANTA JULIA BILLIART</v>
      </c>
      <c r="F3045" s="14" t="s">
        <v>16</v>
      </c>
      <c r="G3045" s="20" t="s">
        <v>21</v>
      </c>
      <c r="H3045" s="14" t="s">
        <v>18</v>
      </c>
      <c r="I3045" s="15">
        <v>2022.0</v>
      </c>
      <c r="J3045" s="16" t="str">
        <f>IFERROR(__xludf.DUMMYFUNCTION("FILTER('CLASFICACIÓN'!$F$3:$F5618,'CLASFICACIÓN'!$G$3:$G5618=M3045)"),"LOS 3 AÑOS")</f>
        <v>LOS 3 AÑOS</v>
      </c>
      <c r="K3045" s="16" t="str">
        <f t="array" ref="K3045">IFERROR(DGET('PADD-R'!$B$1:$K5618,'PADD-R'!$K$1,{'PADD-R'!$B$1;E3045}),"NO PARTICIPÓ")</f>
        <v>SOLO 2023</v>
      </c>
      <c r="L3045" s="14" t="s">
        <v>151</v>
      </c>
      <c r="M3045" s="16" t="str">
        <f t="shared" si="1"/>
        <v>14145 SANTA JULIA BILLIART2 Primaria</v>
      </c>
      <c r="N3045" s="23"/>
      <c r="O3045" s="17"/>
      <c r="P3045" s="17"/>
      <c r="Q3045" s="17"/>
      <c r="R3045" s="17"/>
      <c r="S3045" s="17"/>
      <c r="T3045" s="17"/>
    </row>
    <row r="3046">
      <c r="A3046" s="18">
        <v>2731.0</v>
      </c>
      <c r="B3046" s="12" t="s">
        <v>48</v>
      </c>
      <c r="C3046" s="12" t="s">
        <v>14</v>
      </c>
      <c r="D3046" s="20" t="s">
        <v>15</v>
      </c>
      <c r="E3046" s="12" t="str">
        <f>IFERROR(__xludf.DUMMYFUNCTION("FILTER(colegios!$B$2:$B5618,colegios!$A$2:$A5618=L3046)"),"14145 SANTA JULIA BILLIART")</f>
        <v>14145 SANTA JULIA BILLIART</v>
      </c>
      <c r="F3046" s="14" t="s">
        <v>16</v>
      </c>
      <c r="G3046" s="20" t="s">
        <v>21</v>
      </c>
      <c r="H3046" s="14" t="s">
        <v>18</v>
      </c>
      <c r="I3046" s="15">
        <v>2022.0</v>
      </c>
      <c r="J3046" s="16" t="str">
        <f>IFERROR(__xludf.DUMMYFUNCTION("FILTER('CLASFICACIÓN'!$F$3:$F5618,'CLASFICACIÓN'!$G$3:$G5618=M3046)"),"LOS 3 AÑOS")</f>
        <v>LOS 3 AÑOS</v>
      </c>
      <c r="K3046" s="16" t="str">
        <f t="array" ref="K3046">IFERROR(DGET('PADD-R'!$B$1:$K5618,'PADD-R'!$K$1,{'PADD-R'!$B$1;E3046}),"NO PARTICIPÓ")</f>
        <v>SOLO 2023</v>
      </c>
      <c r="L3046" s="14" t="s">
        <v>151</v>
      </c>
      <c r="M3046" s="16" t="str">
        <f t="shared" si="1"/>
        <v>14145 SANTA JULIA BILLIART2 Primaria</v>
      </c>
      <c r="N3046" s="23"/>
      <c r="O3046" s="17"/>
      <c r="P3046" s="17"/>
      <c r="Q3046" s="17"/>
      <c r="R3046" s="17"/>
      <c r="S3046" s="17"/>
      <c r="T3046" s="17"/>
    </row>
    <row r="3047">
      <c r="A3047" s="18">
        <v>2732.0</v>
      </c>
      <c r="B3047" s="12" t="s">
        <v>48</v>
      </c>
      <c r="C3047" s="12" t="s">
        <v>14</v>
      </c>
      <c r="D3047" s="20" t="s">
        <v>20</v>
      </c>
      <c r="E3047" s="12" t="str">
        <f>IFERROR(__xludf.DUMMYFUNCTION("FILTER(colegios!$B$2:$B5618,colegios!$A$2:$A5618=L3047)"),"14145 SANTA JULIA BILLIART")</f>
        <v>14145 SANTA JULIA BILLIART</v>
      </c>
      <c r="F3047" s="14" t="s">
        <v>16</v>
      </c>
      <c r="G3047" s="20" t="s">
        <v>21</v>
      </c>
      <c r="H3047" s="14" t="s">
        <v>18</v>
      </c>
      <c r="I3047" s="15">
        <v>2022.0</v>
      </c>
      <c r="J3047" s="16" t="str">
        <f>IFERROR(__xludf.DUMMYFUNCTION("FILTER('CLASFICACIÓN'!$F$3:$F5618,'CLASFICACIÓN'!$G$3:$G5618=M3047)"),"LOS 3 AÑOS")</f>
        <v>LOS 3 AÑOS</v>
      </c>
      <c r="K3047" s="16" t="str">
        <f t="array" ref="K3047">IFERROR(DGET('PADD-R'!$B$1:$K5618,'PADD-R'!$K$1,{'PADD-R'!$B$1;E3047}),"NO PARTICIPÓ")</f>
        <v>SOLO 2023</v>
      </c>
      <c r="L3047" s="14" t="s">
        <v>151</v>
      </c>
      <c r="M3047" s="16" t="str">
        <f t="shared" si="1"/>
        <v>14145 SANTA JULIA BILLIART4 Primaria</v>
      </c>
      <c r="N3047" s="23"/>
      <c r="O3047" s="17"/>
      <c r="P3047" s="17"/>
      <c r="Q3047" s="17"/>
      <c r="R3047" s="17"/>
      <c r="S3047" s="17"/>
      <c r="T3047" s="17"/>
    </row>
    <row r="3048">
      <c r="A3048" s="18">
        <v>2733.0</v>
      </c>
      <c r="B3048" s="12" t="s">
        <v>48</v>
      </c>
      <c r="C3048" s="12" t="s">
        <v>14</v>
      </c>
      <c r="D3048" s="20" t="s">
        <v>20</v>
      </c>
      <c r="E3048" s="12" t="str">
        <f>IFERROR(__xludf.DUMMYFUNCTION("FILTER(colegios!$B$2:$B5618,colegios!$A$2:$A5618=L3048)"),"14145 SANTA JULIA BILLIART")</f>
        <v>14145 SANTA JULIA BILLIART</v>
      </c>
      <c r="F3048" s="14" t="s">
        <v>16</v>
      </c>
      <c r="G3048" s="20" t="s">
        <v>21</v>
      </c>
      <c r="H3048" s="14" t="s">
        <v>24</v>
      </c>
      <c r="I3048" s="15">
        <v>2022.0</v>
      </c>
      <c r="J3048" s="16" t="str">
        <f>IFERROR(__xludf.DUMMYFUNCTION("FILTER('CLASFICACIÓN'!$F$3:$F5618,'CLASFICACIÓN'!$G$3:$G5618=M3048)"),"LOS 3 AÑOS")</f>
        <v>LOS 3 AÑOS</v>
      </c>
      <c r="K3048" s="16" t="str">
        <f t="array" ref="K3048">IFERROR(DGET('PADD-R'!$B$1:$K5618,'PADD-R'!$K$1,{'PADD-R'!$B$1;E3048}),"NO PARTICIPÓ")</f>
        <v>SOLO 2023</v>
      </c>
      <c r="L3048" s="14" t="s">
        <v>151</v>
      </c>
      <c r="M3048" s="16" t="str">
        <f t="shared" si="1"/>
        <v>14145 SANTA JULIA BILLIART4 Primaria</v>
      </c>
      <c r="N3048" s="23"/>
      <c r="O3048" s="17"/>
      <c r="P3048" s="17"/>
      <c r="Q3048" s="17"/>
      <c r="R3048" s="17"/>
      <c r="S3048" s="17"/>
      <c r="T3048" s="17"/>
    </row>
    <row r="3049">
      <c r="A3049" s="18">
        <v>2734.0</v>
      </c>
      <c r="B3049" s="12" t="s">
        <v>48</v>
      </c>
      <c r="C3049" s="12" t="s">
        <v>14</v>
      </c>
      <c r="D3049" s="20" t="s">
        <v>20</v>
      </c>
      <c r="E3049" s="12" t="str">
        <f>IFERROR(__xludf.DUMMYFUNCTION("FILTER(colegios!$B$2:$B5618,colegios!$A$2:$A5618=L3049)"),"14145 SANTA JULIA BILLIART")</f>
        <v>14145 SANTA JULIA BILLIART</v>
      </c>
      <c r="F3049" s="14" t="s">
        <v>16</v>
      </c>
      <c r="G3049" s="20" t="s">
        <v>21</v>
      </c>
      <c r="H3049" s="14" t="s">
        <v>18</v>
      </c>
      <c r="I3049" s="15">
        <v>2022.0</v>
      </c>
      <c r="J3049" s="16" t="str">
        <f>IFERROR(__xludf.DUMMYFUNCTION("FILTER('CLASFICACIÓN'!$F$3:$F5618,'CLASFICACIÓN'!$G$3:$G5618=M3049)"),"LOS 3 AÑOS")</f>
        <v>LOS 3 AÑOS</v>
      </c>
      <c r="K3049" s="16" t="str">
        <f t="array" ref="K3049">IFERROR(DGET('PADD-R'!$B$1:$K5618,'PADD-R'!$K$1,{'PADD-R'!$B$1;E3049}),"NO PARTICIPÓ")</f>
        <v>SOLO 2023</v>
      </c>
      <c r="L3049" s="14" t="s">
        <v>151</v>
      </c>
      <c r="M3049" s="16" t="str">
        <f t="shared" si="1"/>
        <v>14145 SANTA JULIA BILLIART4 Primaria</v>
      </c>
      <c r="N3049" s="23"/>
      <c r="O3049" s="17"/>
      <c r="P3049" s="17"/>
      <c r="Q3049" s="17"/>
      <c r="R3049" s="17"/>
      <c r="S3049" s="17"/>
      <c r="T3049" s="17"/>
    </row>
    <row r="3050">
      <c r="A3050" s="18">
        <v>2735.0</v>
      </c>
      <c r="B3050" s="12" t="s">
        <v>48</v>
      </c>
      <c r="C3050" s="12" t="s">
        <v>14</v>
      </c>
      <c r="D3050" s="20" t="s">
        <v>20</v>
      </c>
      <c r="E3050" s="12" t="str">
        <f>IFERROR(__xludf.DUMMYFUNCTION("FILTER(colegios!$B$2:$B5618,colegios!$A$2:$A5618=L3050)"),"14145 SANTA JULIA BILLIART")</f>
        <v>14145 SANTA JULIA BILLIART</v>
      </c>
      <c r="F3050" s="14" t="s">
        <v>16</v>
      </c>
      <c r="G3050" s="20" t="s">
        <v>21</v>
      </c>
      <c r="H3050" s="14" t="s">
        <v>24</v>
      </c>
      <c r="I3050" s="15">
        <v>2022.0</v>
      </c>
      <c r="J3050" s="16" t="str">
        <f>IFERROR(__xludf.DUMMYFUNCTION("FILTER('CLASFICACIÓN'!$F$3:$F5618,'CLASFICACIÓN'!$G$3:$G5618=M3050)"),"LOS 3 AÑOS")</f>
        <v>LOS 3 AÑOS</v>
      </c>
      <c r="K3050" s="16" t="str">
        <f t="array" ref="K3050">IFERROR(DGET('PADD-R'!$B$1:$K5618,'PADD-R'!$K$1,{'PADD-R'!$B$1;E3050}),"NO PARTICIPÓ")</f>
        <v>SOLO 2023</v>
      </c>
      <c r="L3050" s="14" t="s">
        <v>151</v>
      </c>
      <c r="M3050" s="16" t="str">
        <f t="shared" si="1"/>
        <v>14145 SANTA JULIA BILLIART4 Primaria</v>
      </c>
      <c r="N3050" s="23"/>
      <c r="O3050" s="17"/>
      <c r="P3050" s="17"/>
      <c r="Q3050" s="17"/>
      <c r="R3050" s="17"/>
      <c r="S3050" s="17"/>
      <c r="T3050" s="17"/>
    </row>
    <row r="3051">
      <c r="A3051" s="18">
        <v>2736.0</v>
      </c>
      <c r="B3051" s="12" t="s">
        <v>48</v>
      </c>
      <c r="C3051" s="12" t="s">
        <v>14</v>
      </c>
      <c r="D3051" s="20" t="s">
        <v>20</v>
      </c>
      <c r="E3051" s="12" t="str">
        <f>IFERROR(__xludf.DUMMYFUNCTION("FILTER(colegios!$B$2:$B5618,colegios!$A$2:$A5618=L3051)"),"14145 SANTA JULIA BILLIART")</f>
        <v>14145 SANTA JULIA BILLIART</v>
      </c>
      <c r="F3051" s="14" t="s">
        <v>16</v>
      </c>
      <c r="G3051" s="20" t="s">
        <v>17</v>
      </c>
      <c r="H3051" s="14" t="s">
        <v>18</v>
      </c>
      <c r="I3051" s="15">
        <v>2022.0</v>
      </c>
      <c r="J3051" s="16" t="str">
        <f>IFERROR(__xludf.DUMMYFUNCTION("FILTER('CLASFICACIÓN'!$F$3:$F5618,'CLASFICACIÓN'!$G$3:$G5618=M3051)"),"LOS 3 AÑOS")</f>
        <v>LOS 3 AÑOS</v>
      </c>
      <c r="K3051" s="16" t="str">
        <f t="array" ref="K3051">IFERROR(DGET('PADD-R'!$B$1:$K5618,'PADD-R'!$K$1,{'PADD-R'!$B$1;E3051}),"NO PARTICIPÓ")</f>
        <v>SOLO 2023</v>
      </c>
      <c r="L3051" s="14" t="s">
        <v>151</v>
      </c>
      <c r="M3051" s="16" t="str">
        <f t="shared" si="1"/>
        <v>14145 SANTA JULIA BILLIART4 Primaria</v>
      </c>
      <c r="N3051" s="23"/>
      <c r="O3051" s="17"/>
      <c r="P3051" s="17"/>
      <c r="Q3051" s="17"/>
      <c r="R3051" s="17"/>
      <c r="S3051" s="17"/>
      <c r="T3051" s="17"/>
    </row>
    <row r="3052">
      <c r="A3052" s="18">
        <v>2737.0</v>
      </c>
      <c r="B3052" s="12" t="s">
        <v>48</v>
      </c>
      <c r="C3052" s="12" t="s">
        <v>14</v>
      </c>
      <c r="D3052" s="20" t="s">
        <v>20</v>
      </c>
      <c r="E3052" s="12" t="str">
        <f>IFERROR(__xludf.DUMMYFUNCTION("FILTER(colegios!$B$2:$B5618,colegios!$A$2:$A5618=L3052)"),"14145 SANTA JULIA BILLIART")</f>
        <v>14145 SANTA JULIA BILLIART</v>
      </c>
      <c r="F3052" s="14" t="s">
        <v>16</v>
      </c>
      <c r="G3052" s="20" t="s">
        <v>21</v>
      </c>
      <c r="H3052" s="14" t="s">
        <v>18</v>
      </c>
      <c r="I3052" s="15">
        <v>2022.0</v>
      </c>
      <c r="J3052" s="16" t="str">
        <f>IFERROR(__xludf.DUMMYFUNCTION("FILTER('CLASFICACIÓN'!$F$3:$F5618,'CLASFICACIÓN'!$G$3:$G5618=M3052)"),"LOS 3 AÑOS")</f>
        <v>LOS 3 AÑOS</v>
      </c>
      <c r="K3052" s="16" t="str">
        <f t="array" ref="K3052">IFERROR(DGET('PADD-R'!$B$1:$K5618,'PADD-R'!$K$1,{'PADD-R'!$B$1;E3052}),"NO PARTICIPÓ")</f>
        <v>SOLO 2023</v>
      </c>
      <c r="L3052" s="14" t="s">
        <v>151</v>
      </c>
      <c r="M3052" s="16" t="str">
        <f t="shared" si="1"/>
        <v>14145 SANTA JULIA BILLIART4 Primaria</v>
      </c>
      <c r="N3052" s="23"/>
      <c r="O3052" s="17"/>
      <c r="P3052" s="17"/>
      <c r="Q3052" s="17"/>
      <c r="R3052" s="17"/>
      <c r="S3052" s="17"/>
      <c r="T3052" s="17"/>
    </row>
    <row r="3053">
      <c r="A3053" s="18">
        <v>2738.0</v>
      </c>
      <c r="B3053" s="12" t="s">
        <v>48</v>
      </c>
      <c r="C3053" s="12" t="s">
        <v>14</v>
      </c>
      <c r="D3053" s="20" t="s">
        <v>20</v>
      </c>
      <c r="E3053" s="12" t="str">
        <f>IFERROR(__xludf.DUMMYFUNCTION("FILTER(colegios!$B$2:$B5618,colegios!$A$2:$A5618=L3053)"),"14145 SANTA JULIA BILLIART")</f>
        <v>14145 SANTA JULIA BILLIART</v>
      </c>
      <c r="F3053" s="14" t="s">
        <v>16</v>
      </c>
      <c r="G3053" s="20" t="s">
        <v>17</v>
      </c>
      <c r="H3053" s="14" t="s">
        <v>24</v>
      </c>
      <c r="I3053" s="15">
        <v>2022.0</v>
      </c>
      <c r="J3053" s="16" t="str">
        <f>IFERROR(__xludf.DUMMYFUNCTION("FILTER('CLASFICACIÓN'!$F$3:$F5618,'CLASFICACIÓN'!$G$3:$G5618=M3053)"),"LOS 3 AÑOS")</f>
        <v>LOS 3 AÑOS</v>
      </c>
      <c r="K3053" s="16" t="str">
        <f t="array" ref="K3053">IFERROR(DGET('PADD-R'!$B$1:$K5618,'PADD-R'!$K$1,{'PADD-R'!$B$1;E3053}),"NO PARTICIPÓ")</f>
        <v>SOLO 2023</v>
      </c>
      <c r="L3053" s="14" t="s">
        <v>151</v>
      </c>
      <c r="M3053" s="16" t="str">
        <f t="shared" si="1"/>
        <v>14145 SANTA JULIA BILLIART4 Primaria</v>
      </c>
      <c r="N3053" s="23"/>
      <c r="O3053" s="17"/>
      <c r="P3053" s="17"/>
      <c r="Q3053" s="17"/>
      <c r="R3053" s="17"/>
      <c r="S3053" s="17"/>
      <c r="T3053" s="17"/>
    </row>
    <row r="3054">
      <c r="A3054" s="18">
        <v>2739.0</v>
      </c>
      <c r="B3054" s="12" t="s">
        <v>48</v>
      </c>
      <c r="C3054" s="12" t="s">
        <v>14</v>
      </c>
      <c r="D3054" s="20" t="s">
        <v>20</v>
      </c>
      <c r="E3054" s="12" t="str">
        <f>IFERROR(__xludf.DUMMYFUNCTION("FILTER(colegios!$B$2:$B5618,colegios!$A$2:$A5618=L3054)"),"14145 SANTA JULIA BILLIART")</f>
        <v>14145 SANTA JULIA BILLIART</v>
      </c>
      <c r="F3054" s="14" t="s">
        <v>16</v>
      </c>
      <c r="G3054" s="20" t="s">
        <v>21</v>
      </c>
      <c r="H3054" s="14" t="s">
        <v>18</v>
      </c>
      <c r="I3054" s="15">
        <v>2022.0</v>
      </c>
      <c r="J3054" s="16" t="str">
        <f>IFERROR(__xludf.DUMMYFUNCTION("FILTER('CLASFICACIÓN'!$F$3:$F5618,'CLASFICACIÓN'!$G$3:$G5618=M3054)"),"LOS 3 AÑOS")</f>
        <v>LOS 3 AÑOS</v>
      </c>
      <c r="K3054" s="16" t="str">
        <f t="array" ref="K3054">IFERROR(DGET('PADD-R'!$B$1:$K5618,'PADD-R'!$K$1,{'PADD-R'!$B$1;E3054}),"NO PARTICIPÓ")</f>
        <v>SOLO 2023</v>
      </c>
      <c r="L3054" s="14" t="s">
        <v>151</v>
      </c>
      <c r="M3054" s="16" t="str">
        <f t="shared" si="1"/>
        <v>14145 SANTA JULIA BILLIART4 Primaria</v>
      </c>
      <c r="N3054" s="23"/>
      <c r="O3054" s="17"/>
      <c r="P3054" s="17"/>
      <c r="Q3054" s="17"/>
      <c r="R3054" s="17"/>
      <c r="S3054" s="17"/>
      <c r="T3054" s="17"/>
    </row>
    <row r="3055">
      <c r="A3055" s="18">
        <v>2740.0</v>
      </c>
      <c r="B3055" s="12" t="s">
        <v>48</v>
      </c>
      <c r="C3055" s="12" t="s">
        <v>14</v>
      </c>
      <c r="D3055" s="20" t="s">
        <v>20</v>
      </c>
      <c r="E3055" s="12" t="str">
        <f>IFERROR(__xludf.DUMMYFUNCTION("FILTER(colegios!$B$2:$B5618,colegios!$A$2:$A5618=L3055)"),"14145 SANTA JULIA BILLIART")</f>
        <v>14145 SANTA JULIA BILLIART</v>
      </c>
      <c r="F3055" s="14" t="s">
        <v>16</v>
      </c>
      <c r="G3055" s="20" t="s">
        <v>21</v>
      </c>
      <c r="H3055" s="14" t="s">
        <v>18</v>
      </c>
      <c r="I3055" s="15">
        <v>2022.0</v>
      </c>
      <c r="J3055" s="16" t="str">
        <f>IFERROR(__xludf.DUMMYFUNCTION("FILTER('CLASFICACIÓN'!$F$3:$F5618,'CLASFICACIÓN'!$G$3:$G5618=M3055)"),"LOS 3 AÑOS")</f>
        <v>LOS 3 AÑOS</v>
      </c>
      <c r="K3055" s="16" t="str">
        <f t="array" ref="K3055">IFERROR(DGET('PADD-R'!$B$1:$K5618,'PADD-R'!$K$1,{'PADD-R'!$B$1;E3055}),"NO PARTICIPÓ")</f>
        <v>SOLO 2023</v>
      </c>
      <c r="L3055" s="14" t="s">
        <v>151</v>
      </c>
      <c r="M3055" s="16" t="str">
        <f t="shared" si="1"/>
        <v>14145 SANTA JULIA BILLIART4 Primaria</v>
      </c>
      <c r="N3055" s="23"/>
      <c r="O3055" s="17"/>
      <c r="P3055" s="17"/>
      <c r="Q3055" s="17"/>
      <c r="R3055" s="17"/>
      <c r="S3055" s="17"/>
      <c r="T3055" s="17"/>
    </row>
    <row r="3056">
      <c r="A3056" s="18">
        <v>2741.0</v>
      </c>
      <c r="B3056" s="12" t="s">
        <v>48</v>
      </c>
      <c r="C3056" s="12" t="s">
        <v>14</v>
      </c>
      <c r="D3056" s="20" t="s">
        <v>20</v>
      </c>
      <c r="E3056" s="12" t="str">
        <f>IFERROR(__xludf.DUMMYFUNCTION("FILTER(colegios!$B$2:$B5618,colegios!$A$2:$A5618=L3056)"),"14145 SANTA JULIA BILLIART")</f>
        <v>14145 SANTA JULIA BILLIART</v>
      </c>
      <c r="F3056" s="14" t="s">
        <v>16</v>
      </c>
      <c r="G3056" s="20" t="s">
        <v>17</v>
      </c>
      <c r="H3056" s="14" t="s">
        <v>18</v>
      </c>
      <c r="I3056" s="15">
        <v>2022.0</v>
      </c>
      <c r="J3056" s="16" t="str">
        <f>IFERROR(__xludf.DUMMYFUNCTION("FILTER('CLASFICACIÓN'!$F$3:$F5618,'CLASFICACIÓN'!$G$3:$G5618=M3056)"),"LOS 3 AÑOS")</f>
        <v>LOS 3 AÑOS</v>
      </c>
      <c r="K3056" s="16" t="str">
        <f t="array" ref="K3056">IFERROR(DGET('PADD-R'!$B$1:$K5618,'PADD-R'!$K$1,{'PADD-R'!$B$1;E3056}),"NO PARTICIPÓ")</f>
        <v>SOLO 2023</v>
      </c>
      <c r="L3056" s="14" t="s">
        <v>151</v>
      </c>
      <c r="M3056" s="16" t="str">
        <f t="shared" si="1"/>
        <v>14145 SANTA JULIA BILLIART4 Primaria</v>
      </c>
      <c r="N3056" s="23"/>
      <c r="O3056" s="17"/>
      <c r="P3056" s="17"/>
      <c r="Q3056" s="17"/>
      <c r="R3056" s="17"/>
      <c r="S3056" s="17"/>
      <c r="T3056" s="17"/>
    </row>
    <row r="3057">
      <c r="A3057" s="18">
        <v>2742.0</v>
      </c>
      <c r="B3057" s="12" t="s">
        <v>48</v>
      </c>
      <c r="C3057" s="12" t="s">
        <v>14</v>
      </c>
      <c r="D3057" s="20" t="s">
        <v>20</v>
      </c>
      <c r="E3057" s="12" t="str">
        <f>IFERROR(__xludf.DUMMYFUNCTION("FILTER(colegios!$B$2:$B5618,colegios!$A$2:$A5618=L3057)"),"14145 SANTA JULIA BILLIART")</f>
        <v>14145 SANTA JULIA BILLIART</v>
      </c>
      <c r="F3057" s="14" t="s">
        <v>16</v>
      </c>
      <c r="G3057" s="20" t="s">
        <v>17</v>
      </c>
      <c r="H3057" s="14" t="s">
        <v>18</v>
      </c>
      <c r="I3057" s="15">
        <v>2022.0</v>
      </c>
      <c r="J3057" s="16" t="str">
        <f>IFERROR(__xludf.DUMMYFUNCTION("FILTER('CLASFICACIÓN'!$F$3:$F5618,'CLASFICACIÓN'!$G$3:$G5618=M3057)"),"LOS 3 AÑOS")</f>
        <v>LOS 3 AÑOS</v>
      </c>
      <c r="K3057" s="16" t="str">
        <f t="array" ref="K3057">IFERROR(DGET('PADD-R'!$B$1:$K5618,'PADD-R'!$K$1,{'PADD-R'!$B$1;E3057}),"NO PARTICIPÓ")</f>
        <v>SOLO 2023</v>
      </c>
      <c r="L3057" s="14" t="s">
        <v>151</v>
      </c>
      <c r="M3057" s="16" t="str">
        <f t="shared" si="1"/>
        <v>14145 SANTA JULIA BILLIART4 Primaria</v>
      </c>
      <c r="N3057" s="23"/>
      <c r="O3057" s="17"/>
      <c r="P3057" s="17"/>
      <c r="Q3057" s="17"/>
      <c r="R3057" s="17"/>
      <c r="S3057" s="17"/>
      <c r="T3057" s="17"/>
    </row>
    <row r="3058">
      <c r="A3058" s="18">
        <v>2743.0</v>
      </c>
      <c r="B3058" s="12" t="s">
        <v>48</v>
      </c>
      <c r="C3058" s="12" t="s">
        <v>14</v>
      </c>
      <c r="D3058" s="20" t="s">
        <v>20</v>
      </c>
      <c r="E3058" s="12" t="str">
        <f>IFERROR(__xludf.DUMMYFUNCTION("FILTER(colegios!$B$2:$B5618,colegios!$A$2:$A5618=L3058)"),"14145 SANTA JULIA BILLIART")</f>
        <v>14145 SANTA JULIA BILLIART</v>
      </c>
      <c r="F3058" s="14" t="s">
        <v>16</v>
      </c>
      <c r="G3058" s="20" t="s">
        <v>17</v>
      </c>
      <c r="H3058" s="14" t="s">
        <v>18</v>
      </c>
      <c r="I3058" s="15">
        <v>2022.0</v>
      </c>
      <c r="J3058" s="16" t="str">
        <f>IFERROR(__xludf.DUMMYFUNCTION("FILTER('CLASFICACIÓN'!$F$3:$F5618,'CLASFICACIÓN'!$G$3:$G5618=M3058)"),"LOS 3 AÑOS")</f>
        <v>LOS 3 AÑOS</v>
      </c>
      <c r="K3058" s="16" t="str">
        <f t="array" ref="K3058">IFERROR(DGET('PADD-R'!$B$1:$K5618,'PADD-R'!$K$1,{'PADD-R'!$B$1;E3058}),"NO PARTICIPÓ")</f>
        <v>SOLO 2023</v>
      </c>
      <c r="L3058" s="14" t="s">
        <v>151</v>
      </c>
      <c r="M3058" s="16" t="str">
        <f t="shared" si="1"/>
        <v>14145 SANTA JULIA BILLIART4 Primaria</v>
      </c>
      <c r="N3058" s="23"/>
      <c r="O3058" s="17"/>
      <c r="P3058" s="17"/>
      <c r="Q3058" s="17"/>
      <c r="R3058" s="17"/>
      <c r="S3058" s="17"/>
      <c r="T3058" s="17"/>
    </row>
    <row r="3059">
      <c r="A3059" s="18">
        <v>2744.0</v>
      </c>
      <c r="B3059" s="12" t="s">
        <v>48</v>
      </c>
      <c r="C3059" s="12" t="s">
        <v>14</v>
      </c>
      <c r="D3059" s="20" t="s">
        <v>20</v>
      </c>
      <c r="E3059" s="12" t="str">
        <f>IFERROR(__xludf.DUMMYFUNCTION("FILTER(colegios!$B$2:$B5618,colegios!$A$2:$A5618=L3059)"),"14145 SANTA JULIA BILLIART")</f>
        <v>14145 SANTA JULIA BILLIART</v>
      </c>
      <c r="F3059" s="14" t="s">
        <v>16</v>
      </c>
      <c r="G3059" s="20" t="s">
        <v>17</v>
      </c>
      <c r="H3059" s="14" t="s">
        <v>24</v>
      </c>
      <c r="I3059" s="15">
        <v>2022.0</v>
      </c>
      <c r="J3059" s="16" t="str">
        <f>IFERROR(__xludf.DUMMYFUNCTION("FILTER('CLASFICACIÓN'!$F$3:$F5618,'CLASFICACIÓN'!$G$3:$G5618=M3059)"),"LOS 3 AÑOS")</f>
        <v>LOS 3 AÑOS</v>
      </c>
      <c r="K3059" s="16" t="str">
        <f t="array" ref="K3059">IFERROR(DGET('PADD-R'!$B$1:$K5618,'PADD-R'!$K$1,{'PADD-R'!$B$1;E3059}),"NO PARTICIPÓ")</f>
        <v>SOLO 2023</v>
      </c>
      <c r="L3059" s="14" t="s">
        <v>151</v>
      </c>
      <c r="M3059" s="16" t="str">
        <f t="shared" si="1"/>
        <v>14145 SANTA JULIA BILLIART4 Primaria</v>
      </c>
      <c r="N3059" s="23"/>
      <c r="O3059" s="17"/>
      <c r="P3059" s="17"/>
      <c r="Q3059" s="17"/>
      <c r="R3059" s="17"/>
      <c r="S3059" s="17"/>
      <c r="T3059" s="17"/>
    </row>
    <row r="3060">
      <c r="A3060" s="18">
        <v>2745.0</v>
      </c>
      <c r="B3060" s="12" t="s">
        <v>48</v>
      </c>
      <c r="C3060" s="12" t="s">
        <v>14</v>
      </c>
      <c r="D3060" s="20" t="s">
        <v>20</v>
      </c>
      <c r="E3060" s="12" t="str">
        <f>IFERROR(__xludf.DUMMYFUNCTION("FILTER(colegios!$B$2:$B5618,colegios!$A$2:$A5618=L3060)"),"14145 SANTA JULIA BILLIART")</f>
        <v>14145 SANTA JULIA BILLIART</v>
      </c>
      <c r="F3060" s="14" t="s">
        <v>16</v>
      </c>
      <c r="G3060" s="20" t="s">
        <v>17</v>
      </c>
      <c r="H3060" s="14" t="s">
        <v>18</v>
      </c>
      <c r="I3060" s="15">
        <v>2022.0</v>
      </c>
      <c r="J3060" s="16" t="str">
        <f>IFERROR(__xludf.DUMMYFUNCTION("FILTER('CLASFICACIÓN'!$F$3:$F5618,'CLASFICACIÓN'!$G$3:$G5618=M3060)"),"LOS 3 AÑOS")</f>
        <v>LOS 3 AÑOS</v>
      </c>
      <c r="K3060" s="16" t="str">
        <f t="array" ref="K3060">IFERROR(DGET('PADD-R'!$B$1:$K5618,'PADD-R'!$K$1,{'PADD-R'!$B$1;E3060}),"NO PARTICIPÓ")</f>
        <v>SOLO 2023</v>
      </c>
      <c r="L3060" s="14" t="s">
        <v>151</v>
      </c>
      <c r="M3060" s="16" t="str">
        <f t="shared" si="1"/>
        <v>14145 SANTA JULIA BILLIART4 Primaria</v>
      </c>
      <c r="N3060" s="23"/>
      <c r="O3060" s="17"/>
      <c r="P3060" s="17"/>
      <c r="Q3060" s="17"/>
      <c r="R3060" s="17"/>
      <c r="S3060" s="17"/>
      <c r="T3060" s="17"/>
    </row>
    <row r="3061">
      <c r="A3061" s="18">
        <v>2746.0</v>
      </c>
      <c r="B3061" s="12" t="s">
        <v>48</v>
      </c>
      <c r="C3061" s="12" t="s">
        <v>14</v>
      </c>
      <c r="D3061" s="20" t="s">
        <v>20</v>
      </c>
      <c r="E3061" s="12" t="str">
        <f>IFERROR(__xludf.DUMMYFUNCTION("FILTER(colegios!$B$2:$B5618,colegios!$A$2:$A5618=L3061)"),"14145 SANTA JULIA BILLIART")</f>
        <v>14145 SANTA JULIA BILLIART</v>
      </c>
      <c r="F3061" s="14" t="s">
        <v>16</v>
      </c>
      <c r="G3061" s="20" t="s">
        <v>21</v>
      </c>
      <c r="H3061" s="14" t="s">
        <v>24</v>
      </c>
      <c r="I3061" s="15">
        <v>2022.0</v>
      </c>
      <c r="J3061" s="16" t="str">
        <f>IFERROR(__xludf.DUMMYFUNCTION("FILTER('CLASFICACIÓN'!$F$3:$F5618,'CLASFICACIÓN'!$G$3:$G5618=M3061)"),"LOS 3 AÑOS")</f>
        <v>LOS 3 AÑOS</v>
      </c>
      <c r="K3061" s="16" t="str">
        <f t="array" ref="K3061">IFERROR(DGET('PADD-R'!$B$1:$K5618,'PADD-R'!$K$1,{'PADD-R'!$B$1;E3061}),"NO PARTICIPÓ")</f>
        <v>SOLO 2023</v>
      </c>
      <c r="L3061" s="14" t="s">
        <v>151</v>
      </c>
      <c r="M3061" s="16" t="str">
        <f t="shared" si="1"/>
        <v>14145 SANTA JULIA BILLIART4 Primaria</v>
      </c>
      <c r="N3061" s="23"/>
      <c r="O3061" s="17"/>
      <c r="P3061" s="17"/>
      <c r="Q3061" s="17"/>
      <c r="R3061" s="17"/>
      <c r="S3061" s="17"/>
      <c r="T3061" s="17"/>
    </row>
    <row r="3062">
      <c r="A3062" s="18">
        <v>2747.0</v>
      </c>
      <c r="B3062" s="12" t="s">
        <v>48</v>
      </c>
      <c r="C3062" s="12" t="s">
        <v>14</v>
      </c>
      <c r="D3062" s="20" t="s">
        <v>20</v>
      </c>
      <c r="E3062" s="12" t="str">
        <f>IFERROR(__xludf.DUMMYFUNCTION("FILTER(colegios!$B$2:$B5618,colegios!$A$2:$A5618=L3062)"),"14145 SANTA JULIA BILLIART")</f>
        <v>14145 SANTA JULIA BILLIART</v>
      </c>
      <c r="F3062" s="14" t="s">
        <v>16</v>
      </c>
      <c r="G3062" s="20" t="s">
        <v>17</v>
      </c>
      <c r="H3062" s="14" t="s">
        <v>18</v>
      </c>
      <c r="I3062" s="15">
        <v>2022.0</v>
      </c>
      <c r="J3062" s="16" t="str">
        <f>IFERROR(__xludf.DUMMYFUNCTION("FILTER('CLASFICACIÓN'!$F$3:$F5618,'CLASFICACIÓN'!$G$3:$G5618=M3062)"),"LOS 3 AÑOS")</f>
        <v>LOS 3 AÑOS</v>
      </c>
      <c r="K3062" s="16" t="str">
        <f t="array" ref="K3062">IFERROR(DGET('PADD-R'!$B$1:$K5618,'PADD-R'!$K$1,{'PADD-R'!$B$1;E3062}),"NO PARTICIPÓ")</f>
        <v>SOLO 2023</v>
      </c>
      <c r="L3062" s="14" t="s">
        <v>151</v>
      </c>
      <c r="M3062" s="16" t="str">
        <f t="shared" si="1"/>
        <v>14145 SANTA JULIA BILLIART4 Primaria</v>
      </c>
      <c r="N3062" s="23"/>
      <c r="O3062" s="17"/>
      <c r="P3062" s="17"/>
      <c r="Q3062" s="17"/>
      <c r="R3062" s="17"/>
      <c r="S3062" s="17"/>
      <c r="T3062" s="17"/>
    </row>
    <row r="3063">
      <c r="A3063" s="18">
        <v>2748.0</v>
      </c>
      <c r="B3063" s="12" t="s">
        <v>48</v>
      </c>
      <c r="C3063" s="12" t="s">
        <v>14</v>
      </c>
      <c r="D3063" s="20" t="s">
        <v>20</v>
      </c>
      <c r="E3063" s="12" t="str">
        <f>IFERROR(__xludf.DUMMYFUNCTION("FILTER(colegios!$B$2:$B5618,colegios!$A$2:$A5618=L3063)"),"14145 SANTA JULIA BILLIART")</f>
        <v>14145 SANTA JULIA BILLIART</v>
      </c>
      <c r="F3063" s="14" t="s">
        <v>16</v>
      </c>
      <c r="G3063" s="20" t="s">
        <v>17</v>
      </c>
      <c r="H3063" s="14" t="s">
        <v>18</v>
      </c>
      <c r="I3063" s="15">
        <v>2022.0</v>
      </c>
      <c r="J3063" s="16" t="str">
        <f>IFERROR(__xludf.DUMMYFUNCTION("FILTER('CLASFICACIÓN'!$F$3:$F5618,'CLASFICACIÓN'!$G$3:$G5618=M3063)"),"LOS 3 AÑOS")</f>
        <v>LOS 3 AÑOS</v>
      </c>
      <c r="K3063" s="16" t="str">
        <f t="array" ref="K3063">IFERROR(DGET('PADD-R'!$B$1:$K5618,'PADD-R'!$K$1,{'PADD-R'!$B$1;E3063}),"NO PARTICIPÓ")</f>
        <v>SOLO 2023</v>
      </c>
      <c r="L3063" s="14" t="s">
        <v>151</v>
      </c>
      <c r="M3063" s="16" t="str">
        <f t="shared" si="1"/>
        <v>14145 SANTA JULIA BILLIART4 Primaria</v>
      </c>
      <c r="N3063" s="23"/>
      <c r="O3063" s="17"/>
      <c r="P3063" s="17"/>
      <c r="Q3063" s="17"/>
      <c r="R3063" s="17"/>
      <c r="S3063" s="17"/>
      <c r="T3063" s="17"/>
    </row>
    <row r="3064">
      <c r="A3064" s="18">
        <v>2749.0</v>
      </c>
      <c r="B3064" s="12" t="s">
        <v>48</v>
      </c>
      <c r="C3064" s="12" t="s">
        <v>14</v>
      </c>
      <c r="D3064" s="20" t="s">
        <v>20</v>
      </c>
      <c r="E3064" s="12" t="str">
        <f>IFERROR(__xludf.DUMMYFUNCTION("FILTER(colegios!$B$2:$B5618,colegios!$A$2:$A5618=L3064)"),"14145 SANTA JULIA BILLIART")</f>
        <v>14145 SANTA JULIA BILLIART</v>
      </c>
      <c r="F3064" s="14" t="s">
        <v>16</v>
      </c>
      <c r="G3064" s="20" t="s">
        <v>17</v>
      </c>
      <c r="H3064" s="14" t="s">
        <v>24</v>
      </c>
      <c r="I3064" s="15">
        <v>2022.0</v>
      </c>
      <c r="J3064" s="16" t="str">
        <f>IFERROR(__xludf.DUMMYFUNCTION("FILTER('CLASFICACIÓN'!$F$3:$F5618,'CLASFICACIÓN'!$G$3:$G5618=M3064)"),"LOS 3 AÑOS")</f>
        <v>LOS 3 AÑOS</v>
      </c>
      <c r="K3064" s="16" t="str">
        <f t="array" ref="K3064">IFERROR(DGET('PADD-R'!$B$1:$K5618,'PADD-R'!$K$1,{'PADD-R'!$B$1;E3064}),"NO PARTICIPÓ")</f>
        <v>SOLO 2023</v>
      </c>
      <c r="L3064" s="14" t="s">
        <v>151</v>
      </c>
      <c r="M3064" s="16" t="str">
        <f t="shared" si="1"/>
        <v>14145 SANTA JULIA BILLIART4 Primaria</v>
      </c>
      <c r="N3064" s="23"/>
      <c r="O3064" s="17"/>
      <c r="P3064" s="17"/>
      <c r="Q3064" s="17"/>
      <c r="R3064" s="17"/>
      <c r="S3064" s="17"/>
      <c r="T3064" s="17"/>
    </row>
    <row r="3065">
      <c r="A3065" s="18">
        <v>2750.0</v>
      </c>
      <c r="B3065" s="12" t="s">
        <v>48</v>
      </c>
      <c r="C3065" s="12" t="s">
        <v>14</v>
      </c>
      <c r="D3065" s="20" t="s">
        <v>20</v>
      </c>
      <c r="E3065" s="12" t="str">
        <f>IFERROR(__xludf.DUMMYFUNCTION("FILTER(colegios!$B$2:$B5618,colegios!$A$2:$A5618=L3065)"),"14145 SANTA JULIA BILLIART")</f>
        <v>14145 SANTA JULIA BILLIART</v>
      </c>
      <c r="F3065" s="14" t="s">
        <v>16</v>
      </c>
      <c r="G3065" s="20" t="s">
        <v>17</v>
      </c>
      <c r="H3065" s="14" t="s">
        <v>18</v>
      </c>
      <c r="I3065" s="15">
        <v>2022.0</v>
      </c>
      <c r="J3065" s="16" t="str">
        <f>IFERROR(__xludf.DUMMYFUNCTION("FILTER('CLASFICACIÓN'!$F$3:$F5618,'CLASFICACIÓN'!$G$3:$G5618=M3065)"),"LOS 3 AÑOS")</f>
        <v>LOS 3 AÑOS</v>
      </c>
      <c r="K3065" s="16" t="str">
        <f t="array" ref="K3065">IFERROR(DGET('PADD-R'!$B$1:$K5618,'PADD-R'!$K$1,{'PADD-R'!$B$1;E3065}),"NO PARTICIPÓ")</f>
        <v>SOLO 2023</v>
      </c>
      <c r="L3065" s="14" t="s">
        <v>151</v>
      </c>
      <c r="M3065" s="16" t="str">
        <f t="shared" si="1"/>
        <v>14145 SANTA JULIA BILLIART4 Primaria</v>
      </c>
      <c r="N3065" s="23"/>
      <c r="O3065" s="17"/>
      <c r="P3065" s="17"/>
      <c r="Q3065" s="17"/>
      <c r="R3065" s="17"/>
      <c r="S3065" s="17"/>
      <c r="T3065" s="17"/>
    </row>
    <row r="3066">
      <c r="A3066" s="18">
        <v>2751.0</v>
      </c>
      <c r="B3066" s="12" t="s">
        <v>48</v>
      </c>
      <c r="C3066" s="12" t="s">
        <v>14</v>
      </c>
      <c r="D3066" s="20" t="s">
        <v>20</v>
      </c>
      <c r="E3066" s="12" t="str">
        <f>IFERROR(__xludf.DUMMYFUNCTION("FILTER(colegios!$B$2:$B5618,colegios!$A$2:$A5618=L3066)"),"14145 SANTA JULIA BILLIART")</f>
        <v>14145 SANTA JULIA BILLIART</v>
      </c>
      <c r="F3066" s="14" t="s">
        <v>16</v>
      </c>
      <c r="G3066" s="20" t="s">
        <v>21</v>
      </c>
      <c r="H3066" s="14" t="s">
        <v>24</v>
      </c>
      <c r="I3066" s="15">
        <v>2022.0</v>
      </c>
      <c r="J3066" s="16" t="str">
        <f>IFERROR(__xludf.DUMMYFUNCTION("FILTER('CLASFICACIÓN'!$F$3:$F5618,'CLASFICACIÓN'!$G$3:$G5618=M3066)"),"LOS 3 AÑOS")</f>
        <v>LOS 3 AÑOS</v>
      </c>
      <c r="K3066" s="16" t="str">
        <f t="array" ref="K3066">IFERROR(DGET('PADD-R'!$B$1:$K5618,'PADD-R'!$K$1,{'PADD-R'!$B$1;E3066}),"NO PARTICIPÓ")</f>
        <v>SOLO 2023</v>
      </c>
      <c r="L3066" s="14" t="s">
        <v>151</v>
      </c>
      <c r="M3066" s="16" t="str">
        <f t="shared" si="1"/>
        <v>14145 SANTA JULIA BILLIART4 Primaria</v>
      </c>
      <c r="N3066" s="23"/>
      <c r="O3066" s="17"/>
      <c r="P3066" s="17"/>
      <c r="Q3066" s="17"/>
      <c r="R3066" s="17"/>
      <c r="S3066" s="17"/>
      <c r="T3066" s="17"/>
    </row>
    <row r="3067">
      <c r="A3067" s="18">
        <v>2752.0</v>
      </c>
      <c r="B3067" s="12" t="s">
        <v>48</v>
      </c>
      <c r="C3067" s="12" t="s">
        <v>14</v>
      </c>
      <c r="D3067" s="20" t="s">
        <v>20</v>
      </c>
      <c r="E3067" s="12" t="str">
        <f>IFERROR(__xludf.DUMMYFUNCTION("FILTER(colegios!$B$2:$B5618,colegios!$A$2:$A5618=L3067)"),"14145 SANTA JULIA BILLIART")</f>
        <v>14145 SANTA JULIA BILLIART</v>
      </c>
      <c r="F3067" s="14" t="s">
        <v>16</v>
      </c>
      <c r="G3067" s="20" t="s">
        <v>21</v>
      </c>
      <c r="H3067" s="14" t="s">
        <v>18</v>
      </c>
      <c r="I3067" s="15">
        <v>2022.0</v>
      </c>
      <c r="J3067" s="16" t="str">
        <f>IFERROR(__xludf.DUMMYFUNCTION("FILTER('CLASFICACIÓN'!$F$3:$F5618,'CLASFICACIÓN'!$G$3:$G5618=M3067)"),"LOS 3 AÑOS")</f>
        <v>LOS 3 AÑOS</v>
      </c>
      <c r="K3067" s="16" t="str">
        <f t="array" ref="K3067">IFERROR(DGET('PADD-R'!$B$1:$K5618,'PADD-R'!$K$1,{'PADD-R'!$B$1;E3067}),"NO PARTICIPÓ")</f>
        <v>SOLO 2023</v>
      </c>
      <c r="L3067" s="14" t="s">
        <v>151</v>
      </c>
      <c r="M3067" s="16" t="str">
        <f t="shared" si="1"/>
        <v>14145 SANTA JULIA BILLIART4 Primaria</v>
      </c>
      <c r="N3067" s="23"/>
      <c r="O3067" s="17"/>
      <c r="P3067" s="17"/>
      <c r="Q3067" s="17"/>
      <c r="R3067" s="17"/>
      <c r="S3067" s="17"/>
      <c r="T3067" s="17"/>
    </row>
    <row r="3068">
      <c r="A3068" s="18">
        <v>2753.0</v>
      </c>
      <c r="B3068" s="12" t="s">
        <v>48</v>
      </c>
      <c r="C3068" s="12" t="s">
        <v>14</v>
      </c>
      <c r="D3068" s="20" t="s">
        <v>22</v>
      </c>
      <c r="E3068" s="12" t="str">
        <f>IFERROR(__xludf.DUMMYFUNCTION("FILTER(colegios!$B$2:$B5618,colegios!$A$2:$A5618=L3068)"),"14145 SANTA JULIA BILLIART")</f>
        <v>14145 SANTA JULIA BILLIART</v>
      </c>
      <c r="F3068" s="14" t="s">
        <v>16</v>
      </c>
      <c r="G3068" s="20" t="s">
        <v>21</v>
      </c>
      <c r="H3068" s="14" t="s">
        <v>18</v>
      </c>
      <c r="I3068" s="15">
        <v>2022.0</v>
      </c>
      <c r="J3068" s="16" t="str">
        <f>IFERROR(__xludf.DUMMYFUNCTION("FILTER('CLASFICACIÓN'!$F$3:$F5618,'CLASFICACIÓN'!$G$3:$G5618=M3068)"),"LOS 3 AÑOS")</f>
        <v>LOS 3 AÑOS</v>
      </c>
      <c r="K3068" s="16" t="str">
        <f t="array" ref="K3068">IFERROR(DGET('PADD-R'!$B$1:$K5618,'PADD-R'!$K$1,{'PADD-R'!$B$1;E3068}),"NO PARTICIPÓ")</f>
        <v>SOLO 2023</v>
      </c>
      <c r="L3068" s="14" t="s">
        <v>151</v>
      </c>
      <c r="M3068" s="16" t="str">
        <f t="shared" si="1"/>
        <v>14145 SANTA JULIA BILLIART6 Primaria</v>
      </c>
      <c r="N3068" s="23"/>
      <c r="O3068" s="17"/>
      <c r="P3068" s="17"/>
      <c r="Q3068" s="17"/>
      <c r="R3068" s="17"/>
      <c r="S3068" s="17"/>
      <c r="T3068" s="17"/>
    </row>
    <row r="3069">
      <c r="A3069" s="18">
        <v>2754.0</v>
      </c>
      <c r="B3069" s="12" t="s">
        <v>48</v>
      </c>
      <c r="C3069" s="12" t="s">
        <v>14</v>
      </c>
      <c r="D3069" s="20" t="s">
        <v>22</v>
      </c>
      <c r="E3069" s="12" t="str">
        <f>IFERROR(__xludf.DUMMYFUNCTION("FILTER(colegios!$B$2:$B5618,colegios!$A$2:$A5618=L3069)"),"14145 SANTA JULIA BILLIART")</f>
        <v>14145 SANTA JULIA BILLIART</v>
      </c>
      <c r="F3069" s="14" t="s">
        <v>16</v>
      </c>
      <c r="G3069" s="20" t="s">
        <v>21</v>
      </c>
      <c r="H3069" s="14" t="s">
        <v>18</v>
      </c>
      <c r="I3069" s="15">
        <v>2022.0</v>
      </c>
      <c r="J3069" s="16" t="str">
        <f>IFERROR(__xludf.DUMMYFUNCTION("FILTER('CLASFICACIÓN'!$F$3:$F5618,'CLASFICACIÓN'!$G$3:$G5618=M3069)"),"LOS 3 AÑOS")</f>
        <v>LOS 3 AÑOS</v>
      </c>
      <c r="K3069" s="16" t="str">
        <f t="array" ref="K3069">IFERROR(DGET('PADD-R'!$B$1:$K5618,'PADD-R'!$K$1,{'PADD-R'!$B$1;E3069}),"NO PARTICIPÓ")</f>
        <v>SOLO 2023</v>
      </c>
      <c r="L3069" s="14" t="s">
        <v>151</v>
      </c>
      <c r="M3069" s="16" t="str">
        <f t="shared" si="1"/>
        <v>14145 SANTA JULIA BILLIART6 Primaria</v>
      </c>
      <c r="N3069" s="23"/>
      <c r="O3069" s="17"/>
      <c r="P3069" s="17"/>
      <c r="Q3069" s="17"/>
      <c r="R3069" s="17"/>
      <c r="S3069" s="17"/>
      <c r="T3069" s="17"/>
    </row>
    <row r="3070">
      <c r="A3070" s="18">
        <v>2755.0</v>
      </c>
      <c r="B3070" s="12" t="s">
        <v>48</v>
      </c>
      <c r="C3070" s="12" t="s">
        <v>14</v>
      </c>
      <c r="D3070" s="20" t="s">
        <v>22</v>
      </c>
      <c r="E3070" s="12" t="str">
        <f>IFERROR(__xludf.DUMMYFUNCTION("FILTER(colegios!$B$2:$B5618,colegios!$A$2:$A5618=L3070)"),"14145 SANTA JULIA BILLIART")</f>
        <v>14145 SANTA JULIA BILLIART</v>
      </c>
      <c r="F3070" s="14" t="s">
        <v>16</v>
      </c>
      <c r="G3070" s="20" t="s">
        <v>21</v>
      </c>
      <c r="H3070" s="14" t="s">
        <v>18</v>
      </c>
      <c r="I3070" s="15">
        <v>2022.0</v>
      </c>
      <c r="J3070" s="16" t="str">
        <f>IFERROR(__xludf.DUMMYFUNCTION("FILTER('CLASFICACIÓN'!$F$3:$F5618,'CLASFICACIÓN'!$G$3:$G5618=M3070)"),"LOS 3 AÑOS")</f>
        <v>LOS 3 AÑOS</v>
      </c>
      <c r="K3070" s="16" t="str">
        <f t="array" ref="K3070">IFERROR(DGET('PADD-R'!$B$1:$K5618,'PADD-R'!$K$1,{'PADD-R'!$B$1;E3070}),"NO PARTICIPÓ")</f>
        <v>SOLO 2023</v>
      </c>
      <c r="L3070" s="14" t="s">
        <v>151</v>
      </c>
      <c r="M3070" s="16" t="str">
        <f t="shared" si="1"/>
        <v>14145 SANTA JULIA BILLIART6 Primaria</v>
      </c>
      <c r="N3070" s="23"/>
      <c r="O3070" s="17"/>
      <c r="P3070" s="17"/>
      <c r="Q3070" s="17"/>
      <c r="R3070" s="17"/>
      <c r="S3070" s="17"/>
      <c r="T3070" s="17"/>
    </row>
    <row r="3071">
      <c r="A3071" s="18">
        <v>2756.0</v>
      </c>
      <c r="B3071" s="12" t="s">
        <v>48</v>
      </c>
      <c r="C3071" s="12" t="s">
        <v>14</v>
      </c>
      <c r="D3071" s="20" t="s">
        <v>22</v>
      </c>
      <c r="E3071" s="12" t="str">
        <f>IFERROR(__xludf.DUMMYFUNCTION("FILTER(colegios!$B$2:$B5618,colegios!$A$2:$A5618=L3071)"),"14145 SANTA JULIA BILLIART")</f>
        <v>14145 SANTA JULIA BILLIART</v>
      </c>
      <c r="F3071" s="14" t="s">
        <v>16</v>
      </c>
      <c r="G3071" s="20" t="s">
        <v>21</v>
      </c>
      <c r="H3071" s="14" t="s">
        <v>18</v>
      </c>
      <c r="I3071" s="15">
        <v>2022.0</v>
      </c>
      <c r="J3071" s="16" t="str">
        <f>IFERROR(__xludf.DUMMYFUNCTION("FILTER('CLASFICACIÓN'!$F$3:$F5618,'CLASFICACIÓN'!$G$3:$G5618=M3071)"),"LOS 3 AÑOS")</f>
        <v>LOS 3 AÑOS</v>
      </c>
      <c r="K3071" s="16" t="str">
        <f t="array" ref="K3071">IFERROR(DGET('PADD-R'!$B$1:$K5618,'PADD-R'!$K$1,{'PADD-R'!$B$1;E3071}),"NO PARTICIPÓ")</f>
        <v>SOLO 2023</v>
      </c>
      <c r="L3071" s="14" t="s">
        <v>151</v>
      </c>
      <c r="M3071" s="16" t="str">
        <f t="shared" si="1"/>
        <v>14145 SANTA JULIA BILLIART6 Primaria</v>
      </c>
      <c r="N3071" s="23"/>
      <c r="O3071" s="17"/>
      <c r="P3071" s="17"/>
      <c r="Q3071" s="17"/>
      <c r="R3071" s="17"/>
      <c r="S3071" s="17"/>
      <c r="T3071" s="17"/>
    </row>
    <row r="3072">
      <c r="A3072" s="18">
        <v>2757.0</v>
      </c>
      <c r="B3072" s="12" t="s">
        <v>48</v>
      </c>
      <c r="C3072" s="12" t="s">
        <v>14</v>
      </c>
      <c r="D3072" s="20" t="s">
        <v>22</v>
      </c>
      <c r="E3072" s="12" t="str">
        <f>IFERROR(__xludf.DUMMYFUNCTION("FILTER(colegios!$B$2:$B5618,colegios!$A$2:$A5618=L3072)"),"14145 SANTA JULIA BILLIART")</f>
        <v>14145 SANTA JULIA BILLIART</v>
      </c>
      <c r="F3072" s="14" t="s">
        <v>16</v>
      </c>
      <c r="G3072" s="20" t="s">
        <v>17</v>
      </c>
      <c r="H3072" s="14" t="s">
        <v>18</v>
      </c>
      <c r="I3072" s="15">
        <v>2022.0</v>
      </c>
      <c r="J3072" s="16" t="str">
        <f>IFERROR(__xludf.DUMMYFUNCTION("FILTER('CLASFICACIÓN'!$F$3:$F5618,'CLASFICACIÓN'!$G$3:$G5618=M3072)"),"LOS 3 AÑOS")</f>
        <v>LOS 3 AÑOS</v>
      </c>
      <c r="K3072" s="16" t="str">
        <f t="array" ref="K3072">IFERROR(DGET('PADD-R'!$B$1:$K5618,'PADD-R'!$K$1,{'PADD-R'!$B$1;E3072}),"NO PARTICIPÓ")</f>
        <v>SOLO 2023</v>
      </c>
      <c r="L3072" s="14" t="s">
        <v>151</v>
      </c>
      <c r="M3072" s="16" t="str">
        <f t="shared" si="1"/>
        <v>14145 SANTA JULIA BILLIART6 Primaria</v>
      </c>
      <c r="N3072" s="23"/>
      <c r="O3072" s="17"/>
      <c r="P3072" s="17"/>
      <c r="Q3072" s="17"/>
      <c r="R3072" s="17"/>
      <c r="S3072" s="17"/>
      <c r="T3072" s="17"/>
    </row>
    <row r="3073">
      <c r="A3073" s="18">
        <v>2758.0</v>
      </c>
      <c r="B3073" s="12" t="s">
        <v>48</v>
      </c>
      <c r="C3073" s="12" t="s">
        <v>14</v>
      </c>
      <c r="D3073" s="20" t="s">
        <v>22</v>
      </c>
      <c r="E3073" s="12" t="str">
        <f>IFERROR(__xludf.DUMMYFUNCTION("FILTER(colegios!$B$2:$B5618,colegios!$A$2:$A5618=L3073)"),"14145 SANTA JULIA BILLIART")</f>
        <v>14145 SANTA JULIA BILLIART</v>
      </c>
      <c r="F3073" s="14" t="s">
        <v>16</v>
      </c>
      <c r="G3073" s="20" t="s">
        <v>17</v>
      </c>
      <c r="H3073" s="14" t="s">
        <v>18</v>
      </c>
      <c r="I3073" s="15">
        <v>2022.0</v>
      </c>
      <c r="J3073" s="16" t="str">
        <f>IFERROR(__xludf.DUMMYFUNCTION("FILTER('CLASFICACIÓN'!$F$3:$F5618,'CLASFICACIÓN'!$G$3:$G5618=M3073)"),"LOS 3 AÑOS")</f>
        <v>LOS 3 AÑOS</v>
      </c>
      <c r="K3073" s="16" t="str">
        <f t="array" ref="K3073">IFERROR(DGET('PADD-R'!$B$1:$K5618,'PADD-R'!$K$1,{'PADD-R'!$B$1;E3073}),"NO PARTICIPÓ")</f>
        <v>SOLO 2023</v>
      </c>
      <c r="L3073" s="14" t="s">
        <v>151</v>
      </c>
      <c r="M3073" s="16" t="str">
        <f t="shared" si="1"/>
        <v>14145 SANTA JULIA BILLIART6 Primaria</v>
      </c>
      <c r="N3073" s="23"/>
      <c r="O3073" s="17"/>
      <c r="P3073" s="17"/>
      <c r="Q3073" s="17"/>
      <c r="R3073" s="17"/>
      <c r="S3073" s="17"/>
      <c r="T3073" s="17"/>
    </row>
    <row r="3074">
      <c r="A3074" s="18">
        <v>2759.0</v>
      </c>
      <c r="B3074" s="12" t="s">
        <v>48</v>
      </c>
      <c r="C3074" s="12" t="s">
        <v>14</v>
      </c>
      <c r="D3074" s="20" t="s">
        <v>22</v>
      </c>
      <c r="E3074" s="12" t="str">
        <f>IFERROR(__xludf.DUMMYFUNCTION("FILTER(colegios!$B$2:$B5618,colegios!$A$2:$A5618=L3074)"),"14145 SANTA JULIA BILLIART")</f>
        <v>14145 SANTA JULIA BILLIART</v>
      </c>
      <c r="F3074" s="14" t="s">
        <v>16</v>
      </c>
      <c r="G3074" s="20" t="s">
        <v>17</v>
      </c>
      <c r="H3074" s="14" t="s">
        <v>18</v>
      </c>
      <c r="I3074" s="15">
        <v>2022.0</v>
      </c>
      <c r="J3074" s="16" t="str">
        <f>IFERROR(__xludf.DUMMYFUNCTION("FILTER('CLASFICACIÓN'!$F$3:$F5618,'CLASFICACIÓN'!$G$3:$G5618=M3074)"),"LOS 3 AÑOS")</f>
        <v>LOS 3 AÑOS</v>
      </c>
      <c r="K3074" s="16" t="str">
        <f t="array" ref="K3074">IFERROR(DGET('PADD-R'!$B$1:$K5618,'PADD-R'!$K$1,{'PADD-R'!$B$1;E3074}),"NO PARTICIPÓ")</f>
        <v>SOLO 2023</v>
      </c>
      <c r="L3074" s="14" t="s">
        <v>151</v>
      </c>
      <c r="M3074" s="16" t="str">
        <f t="shared" si="1"/>
        <v>14145 SANTA JULIA BILLIART6 Primaria</v>
      </c>
      <c r="N3074" s="23"/>
      <c r="O3074" s="17"/>
      <c r="P3074" s="17"/>
      <c r="Q3074" s="17"/>
      <c r="R3074" s="17"/>
      <c r="S3074" s="17"/>
      <c r="T3074" s="17"/>
    </row>
    <row r="3075">
      <c r="A3075" s="18">
        <v>2760.0</v>
      </c>
      <c r="B3075" s="12" t="s">
        <v>48</v>
      </c>
      <c r="C3075" s="12" t="s">
        <v>14</v>
      </c>
      <c r="D3075" s="20" t="s">
        <v>22</v>
      </c>
      <c r="E3075" s="12" t="str">
        <f>IFERROR(__xludf.DUMMYFUNCTION("FILTER(colegios!$B$2:$B5618,colegios!$A$2:$A5618=L3075)"),"14145 SANTA JULIA BILLIART")</f>
        <v>14145 SANTA JULIA BILLIART</v>
      </c>
      <c r="F3075" s="14" t="s">
        <v>16</v>
      </c>
      <c r="G3075" s="20" t="s">
        <v>21</v>
      </c>
      <c r="H3075" s="14" t="s">
        <v>18</v>
      </c>
      <c r="I3075" s="15">
        <v>2022.0</v>
      </c>
      <c r="J3075" s="16" t="str">
        <f>IFERROR(__xludf.DUMMYFUNCTION("FILTER('CLASFICACIÓN'!$F$3:$F5618,'CLASFICACIÓN'!$G$3:$G5618=M3075)"),"LOS 3 AÑOS")</f>
        <v>LOS 3 AÑOS</v>
      </c>
      <c r="K3075" s="16" t="str">
        <f t="array" ref="K3075">IFERROR(DGET('PADD-R'!$B$1:$K5618,'PADD-R'!$K$1,{'PADD-R'!$B$1;E3075}),"NO PARTICIPÓ")</f>
        <v>SOLO 2023</v>
      </c>
      <c r="L3075" s="14" t="s">
        <v>151</v>
      </c>
      <c r="M3075" s="16" t="str">
        <f t="shared" si="1"/>
        <v>14145 SANTA JULIA BILLIART6 Primaria</v>
      </c>
      <c r="N3075" s="23"/>
      <c r="O3075" s="17"/>
      <c r="P3075" s="17"/>
      <c r="Q3075" s="17"/>
      <c r="R3075" s="17"/>
      <c r="S3075" s="17"/>
      <c r="T3075" s="17"/>
    </row>
    <row r="3076">
      <c r="A3076" s="18">
        <v>2761.0</v>
      </c>
      <c r="B3076" s="12" t="s">
        <v>48</v>
      </c>
      <c r="C3076" s="12" t="s">
        <v>14</v>
      </c>
      <c r="D3076" s="20" t="s">
        <v>22</v>
      </c>
      <c r="E3076" s="12" t="str">
        <f>IFERROR(__xludf.DUMMYFUNCTION("FILTER(colegios!$B$2:$B5618,colegios!$A$2:$A5618=L3076)"),"14145 SANTA JULIA BILLIART")</f>
        <v>14145 SANTA JULIA BILLIART</v>
      </c>
      <c r="F3076" s="14" t="s">
        <v>16</v>
      </c>
      <c r="G3076" s="20" t="s">
        <v>21</v>
      </c>
      <c r="H3076" s="14" t="s">
        <v>18</v>
      </c>
      <c r="I3076" s="15">
        <v>2022.0</v>
      </c>
      <c r="J3076" s="16" t="str">
        <f>IFERROR(__xludf.DUMMYFUNCTION("FILTER('CLASFICACIÓN'!$F$3:$F5618,'CLASFICACIÓN'!$G$3:$G5618=M3076)"),"LOS 3 AÑOS")</f>
        <v>LOS 3 AÑOS</v>
      </c>
      <c r="K3076" s="16" t="str">
        <f t="array" ref="K3076">IFERROR(DGET('PADD-R'!$B$1:$K5618,'PADD-R'!$K$1,{'PADD-R'!$B$1;E3076}),"NO PARTICIPÓ")</f>
        <v>SOLO 2023</v>
      </c>
      <c r="L3076" s="14" t="s">
        <v>151</v>
      </c>
      <c r="M3076" s="16" t="str">
        <f t="shared" si="1"/>
        <v>14145 SANTA JULIA BILLIART6 Primaria</v>
      </c>
      <c r="N3076" s="23"/>
      <c r="O3076" s="17"/>
      <c r="P3076" s="17"/>
      <c r="Q3076" s="17"/>
      <c r="R3076" s="17"/>
      <c r="S3076" s="17"/>
      <c r="T3076" s="17"/>
    </row>
    <row r="3077">
      <c r="A3077" s="18">
        <v>2762.0</v>
      </c>
      <c r="B3077" s="12" t="s">
        <v>48</v>
      </c>
      <c r="C3077" s="12" t="s">
        <v>14</v>
      </c>
      <c r="D3077" s="20" t="s">
        <v>22</v>
      </c>
      <c r="E3077" s="12" t="str">
        <f>IFERROR(__xludf.DUMMYFUNCTION("FILTER(colegios!$B$2:$B5618,colegios!$A$2:$A5618=L3077)"),"14145 SANTA JULIA BILLIART")</f>
        <v>14145 SANTA JULIA BILLIART</v>
      </c>
      <c r="F3077" s="14" t="s">
        <v>16</v>
      </c>
      <c r="G3077" s="20" t="s">
        <v>17</v>
      </c>
      <c r="H3077" s="14" t="s">
        <v>18</v>
      </c>
      <c r="I3077" s="15">
        <v>2022.0</v>
      </c>
      <c r="J3077" s="16" t="str">
        <f>IFERROR(__xludf.DUMMYFUNCTION("FILTER('CLASFICACIÓN'!$F$3:$F5618,'CLASFICACIÓN'!$G$3:$G5618=M3077)"),"LOS 3 AÑOS")</f>
        <v>LOS 3 AÑOS</v>
      </c>
      <c r="K3077" s="16" t="str">
        <f t="array" ref="K3077">IFERROR(DGET('PADD-R'!$B$1:$K5618,'PADD-R'!$K$1,{'PADD-R'!$B$1;E3077}),"NO PARTICIPÓ")</f>
        <v>SOLO 2023</v>
      </c>
      <c r="L3077" s="14" t="s">
        <v>151</v>
      </c>
      <c r="M3077" s="16" t="str">
        <f t="shared" si="1"/>
        <v>14145 SANTA JULIA BILLIART6 Primaria</v>
      </c>
      <c r="N3077" s="23"/>
      <c r="O3077" s="17"/>
      <c r="P3077" s="17"/>
      <c r="Q3077" s="17"/>
      <c r="R3077" s="17"/>
      <c r="S3077" s="17"/>
      <c r="T3077" s="17"/>
    </row>
    <row r="3078">
      <c r="A3078" s="18">
        <v>2763.0</v>
      </c>
      <c r="B3078" s="12" t="s">
        <v>48</v>
      </c>
      <c r="C3078" s="12" t="s">
        <v>14</v>
      </c>
      <c r="D3078" s="20" t="s">
        <v>22</v>
      </c>
      <c r="E3078" s="12" t="str">
        <f>IFERROR(__xludf.DUMMYFUNCTION("FILTER(colegios!$B$2:$B5618,colegios!$A$2:$A5618=L3078)"),"14145 SANTA JULIA BILLIART")</f>
        <v>14145 SANTA JULIA BILLIART</v>
      </c>
      <c r="F3078" s="14" t="s">
        <v>16</v>
      </c>
      <c r="G3078" s="20" t="s">
        <v>17</v>
      </c>
      <c r="H3078" s="14" t="s">
        <v>18</v>
      </c>
      <c r="I3078" s="15">
        <v>2022.0</v>
      </c>
      <c r="J3078" s="16" t="str">
        <f>IFERROR(__xludf.DUMMYFUNCTION("FILTER('CLASFICACIÓN'!$F$3:$F5618,'CLASFICACIÓN'!$G$3:$G5618=M3078)"),"LOS 3 AÑOS")</f>
        <v>LOS 3 AÑOS</v>
      </c>
      <c r="K3078" s="16" t="str">
        <f t="array" ref="K3078">IFERROR(DGET('PADD-R'!$B$1:$K5618,'PADD-R'!$K$1,{'PADD-R'!$B$1;E3078}),"NO PARTICIPÓ")</f>
        <v>SOLO 2023</v>
      </c>
      <c r="L3078" s="14" t="s">
        <v>151</v>
      </c>
      <c r="M3078" s="16" t="str">
        <f t="shared" si="1"/>
        <v>14145 SANTA JULIA BILLIART6 Primaria</v>
      </c>
      <c r="N3078" s="23"/>
      <c r="O3078" s="17"/>
      <c r="P3078" s="17"/>
      <c r="Q3078" s="17"/>
      <c r="R3078" s="17"/>
      <c r="S3078" s="17"/>
      <c r="T3078" s="17"/>
    </row>
    <row r="3079">
      <c r="A3079" s="18">
        <v>2764.0</v>
      </c>
      <c r="B3079" s="12" t="s">
        <v>48</v>
      </c>
      <c r="C3079" s="12" t="s">
        <v>14</v>
      </c>
      <c r="D3079" s="20" t="s">
        <v>22</v>
      </c>
      <c r="E3079" s="12" t="str">
        <f>IFERROR(__xludf.DUMMYFUNCTION("FILTER(colegios!$B$2:$B5618,colegios!$A$2:$A5618=L3079)"),"14145 SANTA JULIA BILLIART")</f>
        <v>14145 SANTA JULIA BILLIART</v>
      </c>
      <c r="F3079" s="14" t="s">
        <v>16</v>
      </c>
      <c r="G3079" s="20" t="s">
        <v>21</v>
      </c>
      <c r="H3079" s="14" t="s">
        <v>18</v>
      </c>
      <c r="I3079" s="15">
        <v>2022.0</v>
      </c>
      <c r="J3079" s="16" t="str">
        <f>IFERROR(__xludf.DUMMYFUNCTION("FILTER('CLASFICACIÓN'!$F$3:$F5618,'CLASFICACIÓN'!$G$3:$G5618=M3079)"),"LOS 3 AÑOS")</f>
        <v>LOS 3 AÑOS</v>
      </c>
      <c r="K3079" s="16" t="str">
        <f t="array" ref="K3079">IFERROR(DGET('PADD-R'!$B$1:$K5618,'PADD-R'!$K$1,{'PADD-R'!$B$1;E3079}),"NO PARTICIPÓ")</f>
        <v>SOLO 2023</v>
      </c>
      <c r="L3079" s="14" t="s">
        <v>151</v>
      </c>
      <c r="M3079" s="16" t="str">
        <f t="shared" si="1"/>
        <v>14145 SANTA JULIA BILLIART6 Primaria</v>
      </c>
      <c r="N3079" s="23"/>
      <c r="O3079" s="17"/>
      <c r="P3079" s="17"/>
      <c r="Q3079" s="17"/>
      <c r="R3079" s="17"/>
      <c r="S3079" s="17"/>
      <c r="T3079" s="17"/>
    </row>
    <row r="3080">
      <c r="A3080" s="18">
        <v>2765.0</v>
      </c>
      <c r="B3080" s="12" t="s">
        <v>48</v>
      </c>
      <c r="C3080" s="12" t="s">
        <v>14</v>
      </c>
      <c r="D3080" s="20" t="s">
        <v>22</v>
      </c>
      <c r="E3080" s="12" t="str">
        <f>IFERROR(__xludf.DUMMYFUNCTION("FILTER(colegios!$B$2:$B5618,colegios!$A$2:$A5618=L3080)"),"14145 SANTA JULIA BILLIART")</f>
        <v>14145 SANTA JULIA BILLIART</v>
      </c>
      <c r="F3080" s="14" t="s">
        <v>16</v>
      </c>
      <c r="G3080" s="20" t="s">
        <v>21</v>
      </c>
      <c r="H3080" s="14" t="s">
        <v>18</v>
      </c>
      <c r="I3080" s="15">
        <v>2022.0</v>
      </c>
      <c r="J3080" s="16" t="str">
        <f>IFERROR(__xludf.DUMMYFUNCTION("FILTER('CLASFICACIÓN'!$F$3:$F5618,'CLASFICACIÓN'!$G$3:$G5618=M3080)"),"LOS 3 AÑOS")</f>
        <v>LOS 3 AÑOS</v>
      </c>
      <c r="K3080" s="16" t="str">
        <f t="array" ref="K3080">IFERROR(DGET('PADD-R'!$B$1:$K5618,'PADD-R'!$K$1,{'PADD-R'!$B$1;E3080}),"NO PARTICIPÓ")</f>
        <v>SOLO 2023</v>
      </c>
      <c r="L3080" s="14" t="s">
        <v>151</v>
      </c>
      <c r="M3080" s="16" t="str">
        <f t="shared" si="1"/>
        <v>14145 SANTA JULIA BILLIART6 Primaria</v>
      </c>
      <c r="N3080" s="23"/>
      <c r="O3080" s="17"/>
      <c r="P3080" s="17"/>
      <c r="Q3080" s="17"/>
      <c r="R3080" s="17"/>
      <c r="S3080" s="17"/>
      <c r="T3080" s="17"/>
    </row>
    <row r="3081">
      <c r="A3081" s="18">
        <v>2766.0</v>
      </c>
      <c r="B3081" s="12" t="s">
        <v>48</v>
      </c>
      <c r="C3081" s="12" t="s">
        <v>14</v>
      </c>
      <c r="D3081" s="20" t="s">
        <v>22</v>
      </c>
      <c r="E3081" s="12" t="str">
        <f>IFERROR(__xludf.DUMMYFUNCTION("FILTER(colegios!$B$2:$B5618,colegios!$A$2:$A5618=L3081)"),"14145 SANTA JULIA BILLIART")</f>
        <v>14145 SANTA JULIA BILLIART</v>
      </c>
      <c r="F3081" s="14" t="s">
        <v>16</v>
      </c>
      <c r="G3081" s="20" t="s">
        <v>17</v>
      </c>
      <c r="H3081" s="14" t="s">
        <v>18</v>
      </c>
      <c r="I3081" s="15">
        <v>2022.0</v>
      </c>
      <c r="J3081" s="16" t="str">
        <f>IFERROR(__xludf.DUMMYFUNCTION("FILTER('CLASFICACIÓN'!$F$3:$F5618,'CLASFICACIÓN'!$G$3:$G5618=M3081)"),"LOS 3 AÑOS")</f>
        <v>LOS 3 AÑOS</v>
      </c>
      <c r="K3081" s="16" t="str">
        <f t="array" ref="K3081">IFERROR(DGET('PADD-R'!$B$1:$K5618,'PADD-R'!$K$1,{'PADD-R'!$B$1;E3081}),"NO PARTICIPÓ")</f>
        <v>SOLO 2023</v>
      </c>
      <c r="L3081" s="14" t="s">
        <v>151</v>
      </c>
      <c r="M3081" s="16" t="str">
        <f t="shared" si="1"/>
        <v>14145 SANTA JULIA BILLIART6 Primaria</v>
      </c>
      <c r="N3081" s="23"/>
      <c r="O3081" s="17"/>
      <c r="P3081" s="17"/>
      <c r="Q3081" s="17"/>
      <c r="R3081" s="17"/>
      <c r="S3081" s="17"/>
      <c r="T3081" s="17"/>
    </row>
    <row r="3082">
      <c r="A3082" s="18">
        <v>2767.0</v>
      </c>
      <c r="B3082" s="12" t="s">
        <v>48</v>
      </c>
      <c r="C3082" s="12" t="s">
        <v>14</v>
      </c>
      <c r="D3082" s="20" t="s">
        <v>22</v>
      </c>
      <c r="E3082" s="12" t="str">
        <f>IFERROR(__xludf.DUMMYFUNCTION("FILTER(colegios!$B$2:$B5618,colegios!$A$2:$A5618=L3082)"),"14145 SANTA JULIA BILLIART")</f>
        <v>14145 SANTA JULIA BILLIART</v>
      </c>
      <c r="F3082" s="14" t="s">
        <v>16</v>
      </c>
      <c r="G3082" s="20" t="s">
        <v>17</v>
      </c>
      <c r="H3082" s="14" t="s">
        <v>18</v>
      </c>
      <c r="I3082" s="15">
        <v>2022.0</v>
      </c>
      <c r="J3082" s="16" t="str">
        <f>IFERROR(__xludf.DUMMYFUNCTION("FILTER('CLASFICACIÓN'!$F$3:$F5618,'CLASFICACIÓN'!$G$3:$G5618=M3082)"),"LOS 3 AÑOS")</f>
        <v>LOS 3 AÑOS</v>
      </c>
      <c r="K3082" s="16" t="str">
        <f t="array" ref="K3082">IFERROR(DGET('PADD-R'!$B$1:$K5618,'PADD-R'!$K$1,{'PADD-R'!$B$1;E3082}),"NO PARTICIPÓ")</f>
        <v>SOLO 2023</v>
      </c>
      <c r="L3082" s="14" t="s">
        <v>151</v>
      </c>
      <c r="M3082" s="16" t="str">
        <f t="shared" si="1"/>
        <v>14145 SANTA JULIA BILLIART6 Primaria</v>
      </c>
      <c r="N3082" s="23"/>
      <c r="O3082" s="17"/>
      <c r="P3082" s="17"/>
      <c r="Q3082" s="17"/>
      <c r="R3082" s="17"/>
      <c r="S3082" s="17"/>
      <c r="T3082" s="17"/>
    </row>
    <row r="3083">
      <c r="A3083" s="18">
        <v>2768.0</v>
      </c>
      <c r="B3083" s="12" t="s">
        <v>48</v>
      </c>
      <c r="C3083" s="12" t="s">
        <v>14</v>
      </c>
      <c r="D3083" s="20" t="s">
        <v>22</v>
      </c>
      <c r="E3083" s="12" t="str">
        <f>IFERROR(__xludf.DUMMYFUNCTION("FILTER(colegios!$B$2:$B5618,colegios!$A$2:$A5618=L3083)"),"14145 SANTA JULIA BILLIART")</f>
        <v>14145 SANTA JULIA BILLIART</v>
      </c>
      <c r="F3083" s="14" t="s">
        <v>16</v>
      </c>
      <c r="G3083" s="20" t="s">
        <v>21</v>
      </c>
      <c r="H3083" s="14" t="s">
        <v>18</v>
      </c>
      <c r="I3083" s="15">
        <v>2022.0</v>
      </c>
      <c r="J3083" s="16" t="str">
        <f>IFERROR(__xludf.DUMMYFUNCTION("FILTER('CLASFICACIÓN'!$F$3:$F5618,'CLASFICACIÓN'!$G$3:$G5618=M3083)"),"LOS 3 AÑOS")</f>
        <v>LOS 3 AÑOS</v>
      </c>
      <c r="K3083" s="16" t="str">
        <f t="array" ref="K3083">IFERROR(DGET('PADD-R'!$B$1:$K5618,'PADD-R'!$K$1,{'PADD-R'!$B$1;E3083}),"NO PARTICIPÓ")</f>
        <v>SOLO 2023</v>
      </c>
      <c r="L3083" s="14" t="s">
        <v>151</v>
      </c>
      <c r="M3083" s="16" t="str">
        <f t="shared" si="1"/>
        <v>14145 SANTA JULIA BILLIART6 Primaria</v>
      </c>
      <c r="N3083" s="23"/>
      <c r="O3083" s="17"/>
      <c r="P3083" s="17"/>
      <c r="Q3083" s="17"/>
      <c r="R3083" s="17"/>
      <c r="S3083" s="17"/>
      <c r="T3083" s="17"/>
    </row>
    <row r="3084">
      <c r="A3084" s="18">
        <v>2769.0</v>
      </c>
      <c r="B3084" s="12" t="s">
        <v>48</v>
      </c>
      <c r="C3084" s="12" t="s">
        <v>14</v>
      </c>
      <c r="D3084" s="20" t="s">
        <v>22</v>
      </c>
      <c r="E3084" s="12" t="str">
        <f>IFERROR(__xludf.DUMMYFUNCTION("FILTER(colegios!$B$2:$B5618,colegios!$A$2:$A5618=L3084)"),"14145 SANTA JULIA BILLIART")</f>
        <v>14145 SANTA JULIA BILLIART</v>
      </c>
      <c r="F3084" s="14" t="s">
        <v>16</v>
      </c>
      <c r="G3084" s="20" t="s">
        <v>21</v>
      </c>
      <c r="H3084" s="14" t="s">
        <v>18</v>
      </c>
      <c r="I3084" s="15">
        <v>2022.0</v>
      </c>
      <c r="J3084" s="16" t="str">
        <f>IFERROR(__xludf.DUMMYFUNCTION("FILTER('CLASFICACIÓN'!$F$3:$F5618,'CLASFICACIÓN'!$G$3:$G5618=M3084)"),"LOS 3 AÑOS")</f>
        <v>LOS 3 AÑOS</v>
      </c>
      <c r="K3084" s="16" t="str">
        <f t="array" ref="K3084">IFERROR(DGET('PADD-R'!$B$1:$K5618,'PADD-R'!$K$1,{'PADD-R'!$B$1;E3084}),"NO PARTICIPÓ")</f>
        <v>SOLO 2023</v>
      </c>
      <c r="L3084" s="14" t="s">
        <v>151</v>
      </c>
      <c r="M3084" s="16" t="str">
        <f t="shared" si="1"/>
        <v>14145 SANTA JULIA BILLIART6 Primaria</v>
      </c>
      <c r="N3084" s="23"/>
      <c r="O3084" s="17"/>
      <c r="P3084" s="17"/>
      <c r="Q3084" s="17"/>
      <c r="R3084" s="17"/>
      <c r="S3084" s="17"/>
      <c r="T3084" s="17"/>
    </row>
    <row r="3085">
      <c r="A3085" s="18">
        <v>2770.0</v>
      </c>
      <c r="B3085" s="12" t="s">
        <v>48</v>
      </c>
      <c r="C3085" s="12" t="s">
        <v>14</v>
      </c>
      <c r="D3085" s="20" t="s">
        <v>22</v>
      </c>
      <c r="E3085" s="12" t="str">
        <f>IFERROR(__xludf.DUMMYFUNCTION("FILTER(colegios!$B$2:$B5618,colegios!$A$2:$A5618=L3085)"),"14145 SANTA JULIA BILLIART")</f>
        <v>14145 SANTA JULIA BILLIART</v>
      </c>
      <c r="F3085" s="14" t="s">
        <v>16</v>
      </c>
      <c r="G3085" s="20" t="s">
        <v>21</v>
      </c>
      <c r="H3085" s="14" t="s">
        <v>18</v>
      </c>
      <c r="I3085" s="15">
        <v>2022.0</v>
      </c>
      <c r="J3085" s="16" t="str">
        <f>IFERROR(__xludf.DUMMYFUNCTION("FILTER('CLASFICACIÓN'!$F$3:$F5618,'CLASFICACIÓN'!$G$3:$G5618=M3085)"),"LOS 3 AÑOS")</f>
        <v>LOS 3 AÑOS</v>
      </c>
      <c r="K3085" s="16" t="str">
        <f t="array" ref="K3085">IFERROR(DGET('PADD-R'!$B$1:$K5618,'PADD-R'!$K$1,{'PADD-R'!$B$1;E3085}),"NO PARTICIPÓ")</f>
        <v>SOLO 2023</v>
      </c>
      <c r="L3085" s="14" t="s">
        <v>151</v>
      </c>
      <c r="M3085" s="16" t="str">
        <f t="shared" si="1"/>
        <v>14145 SANTA JULIA BILLIART6 Primaria</v>
      </c>
      <c r="N3085" s="23"/>
      <c r="O3085" s="17"/>
      <c r="P3085" s="17"/>
      <c r="Q3085" s="17"/>
      <c r="R3085" s="17"/>
      <c r="S3085" s="17"/>
      <c r="T3085" s="17"/>
    </row>
    <row r="3086">
      <c r="A3086" s="18">
        <v>2771.0</v>
      </c>
      <c r="B3086" s="12" t="s">
        <v>48</v>
      </c>
      <c r="C3086" s="12" t="s">
        <v>14</v>
      </c>
      <c r="D3086" s="20" t="s">
        <v>22</v>
      </c>
      <c r="E3086" s="12" t="str">
        <f>IFERROR(__xludf.DUMMYFUNCTION("FILTER(colegios!$B$2:$B5618,colegios!$A$2:$A5618=L3086)"),"14145 SANTA JULIA BILLIART")</f>
        <v>14145 SANTA JULIA BILLIART</v>
      </c>
      <c r="F3086" s="14" t="s">
        <v>16</v>
      </c>
      <c r="G3086" s="20" t="s">
        <v>17</v>
      </c>
      <c r="H3086" s="14" t="s">
        <v>18</v>
      </c>
      <c r="I3086" s="15">
        <v>2022.0</v>
      </c>
      <c r="J3086" s="16" t="str">
        <f>IFERROR(__xludf.DUMMYFUNCTION("FILTER('CLASFICACIÓN'!$F$3:$F5618,'CLASFICACIÓN'!$G$3:$G5618=M3086)"),"LOS 3 AÑOS")</f>
        <v>LOS 3 AÑOS</v>
      </c>
      <c r="K3086" s="16" t="str">
        <f t="array" ref="K3086">IFERROR(DGET('PADD-R'!$B$1:$K5618,'PADD-R'!$K$1,{'PADD-R'!$B$1;E3086}),"NO PARTICIPÓ")</f>
        <v>SOLO 2023</v>
      </c>
      <c r="L3086" s="14" t="s">
        <v>151</v>
      </c>
      <c r="M3086" s="16" t="str">
        <f t="shared" si="1"/>
        <v>14145 SANTA JULIA BILLIART6 Primaria</v>
      </c>
      <c r="N3086" s="23"/>
      <c r="O3086" s="17"/>
      <c r="P3086" s="17"/>
      <c r="Q3086" s="17"/>
      <c r="R3086" s="17"/>
      <c r="S3086" s="17"/>
      <c r="T3086" s="17"/>
    </row>
    <row r="3087">
      <c r="A3087" s="18">
        <v>2772.0</v>
      </c>
      <c r="B3087" s="12" t="s">
        <v>48</v>
      </c>
      <c r="C3087" s="12" t="s">
        <v>14</v>
      </c>
      <c r="D3087" s="20" t="s">
        <v>22</v>
      </c>
      <c r="E3087" s="12" t="str">
        <f>IFERROR(__xludf.DUMMYFUNCTION("FILTER(colegios!$B$2:$B5618,colegios!$A$2:$A5618=L3087)"),"14145 SANTA JULIA BILLIART")</f>
        <v>14145 SANTA JULIA BILLIART</v>
      </c>
      <c r="F3087" s="14" t="s">
        <v>16</v>
      </c>
      <c r="G3087" s="20" t="s">
        <v>21</v>
      </c>
      <c r="H3087" s="14" t="s">
        <v>18</v>
      </c>
      <c r="I3087" s="15">
        <v>2022.0</v>
      </c>
      <c r="J3087" s="16" t="str">
        <f>IFERROR(__xludf.DUMMYFUNCTION("FILTER('CLASFICACIÓN'!$F$3:$F5618,'CLASFICACIÓN'!$G$3:$G5618=M3087)"),"LOS 3 AÑOS")</f>
        <v>LOS 3 AÑOS</v>
      </c>
      <c r="K3087" s="16" t="str">
        <f t="array" ref="K3087">IFERROR(DGET('PADD-R'!$B$1:$K5618,'PADD-R'!$K$1,{'PADD-R'!$B$1;E3087}),"NO PARTICIPÓ")</f>
        <v>SOLO 2023</v>
      </c>
      <c r="L3087" s="14" t="s">
        <v>151</v>
      </c>
      <c r="M3087" s="16" t="str">
        <f t="shared" si="1"/>
        <v>14145 SANTA JULIA BILLIART6 Primaria</v>
      </c>
      <c r="N3087" s="23"/>
      <c r="O3087" s="17"/>
      <c r="P3087" s="17"/>
      <c r="Q3087" s="17"/>
      <c r="R3087" s="17"/>
      <c r="S3087" s="17"/>
      <c r="T3087" s="17"/>
    </row>
    <row r="3088">
      <c r="A3088" s="18">
        <v>2773.0</v>
      </c>
      <c r="B3088" s="12" t="s">
        <v>48</v>
      </c>
      <c r="C3088" s="12" t="s">
        <v>14</v>
      </c>
      <c r="D3088" s="20" t="s">
        <v>22</v>
      </c>
      <c r="E3088" s="12" t="str">
        <f>IFERROR(__xludf.DUMMYFUNCTION("FILTER(colegios!$B$2:$B5618,colegios!$A$2:$A5618=L3088)"),"14145 SANTA JULIA BILLIART")</f>
        <v>14145 SANTA JULIA BILLIART</v>
      </c>
      <c r="F3088" s="14" t="s">
        <v>16</v>
      </c>
      <c r="G3088" s="20" t="s">
        <v>17</v>
      </c>
      <c r="H3088" s="14" t="s">
        <v>18</v>
      </c>
      <c r="I3088" s="15">
        <v>2022.0</v>
      </c>
      <c r="J3088" s="16" t="str">
        <f>IFERROR(__xludf.DUMMYFUNCTION("FILTER('CLASFICACIÓN'!$F$3:$F5618,'CLASFICACIÓN'!$G$3:$G5618=M3088)"),"LOS 3 AÑOS")</f>
        <v>LOS 3 AÑOS</v>
      </c>
      <c r="K3088" s="16" t="str">
        <f t="array" ref="K3088">IFERROR(DGET('PADD-R'!$B$1:$K5618,'PADD-R'!$K$1,{'PADD-R'!$B$1;E3088}),"NO PARTICIPÓ")</f>
        <v>SOLO 2023</v>
      </c>
      <c r="L3088" s="14" t="s">
        <v>151</v>
      </c>
      <c r="M3088" s="16" t="str">
        <f t="shared" si="1"/>
        <v>14145 SANTA JULIA BILLIART6 Primaria</v>
      </c>
      <c r="N3088" s="23"/>
      <c r="O3088" s="17"/>
      <c r="P3088" s="17"/>
      <c r="Q3088" s="17"/>
      <c r="R3088" s="17"/>
      <c r="S3088" s="17"/>
      <c r="T3088" s="17"/>
    </row>
    <row r="3089">
      <c r="A3089" s="18">
        <v>2774.0</v>
      </c>
      <c r="B3089" s="12" t="s">
        <v>48</v>
      </c>
      <c r="C3089" s="12" t="s">
        <v>14</v>
      </c>
      <c r="D3089" s="20" t="s">
        <v>22</v>
      </c>
      <c r="E3089" s="12" t="str">
        <f>IFERROR(__xludf.DUMMYFUNCTION("FILTER(colegios!$B$2:$B5618,colegios!$A$2:$A5618=L3089)"),"14145 SANTA JULIA BILLIART")</f>
        <v>14145 SANTA JULIA BILLIART</v>
      </c>
      <c r="F3089" s="14" t="s">
        <v>16</v>
      </c>
      <c r="G3089" s="20" t="s">
        <v>17</v>
      </c>
      <c r="H3089" s="14" t="s">
        <v>18</v>
      </c>
      <c r="I3089" s="15">
        <v>2022.0</v>
      </c>
      <c r="J3089" s="16" t="str">
        <f>IFERROR(__xludf.DUMMYFUNCTION("FILTER('CLASFICACIÓN'!$F$3:$F5618,'CLASFICACIÓN'!$G$3:$G5618=M3089)"),"LOS 3 AÑOS")</f>
        <v>LOS 3 AÑOS</v>
      </c>
      <c r="K3089" s="16" t="str">
        <f t="array" ref="K3089">IFERROR(DGET('PADD-R'!$B$1:$K5618,'PADD-R'!$K$1,{'PADD-R'!$B$1;E3089}),"NO PARTICIPÓ")</f>
        <v>SOLO 2023</v>
      </c>
      <c r="L3089" s="14" t="s">
        <v>151</v>
      </c>
      <c r="M3089" s="16" t="str">
        <f t="shared" si="1"/>
        <v>14145 SANTA JULIA BILLIART6 Primaria</v>
      </c>
      <c r="N3089" s="23"/>
      <c r="O3089" s="17"/>
      <c r="P3089" s="17"/>
      <c r="Q3089" s="17"/>
      <c r="R3089" s="17"/>
      <c r="S3089" s="17"/>
      <c r="T3089" s="17"/>
    </row>
    <row r="3090">
      <c r="A3090" s="18">
        <v>2775.0</v>
      </c>
      <c r="B3090" s="12" t="s">
        <v>48</v>
      </c>
      <c r="C3090" s="12" t="s">
        <v>14</v>
      </c>
      <c r="D3090" s="20" t="s">
        <v>22</v>
      </c>
      <c r="E3090" s="12" t="str">
        <f>IFERROR(__xludf.DUMMYFUNCTION("FILTER(colegios!$B$2:$B5618,colegios!$A$2:$A5618=L3090)"),"14145 SANTA JULIA BILLIART")</f>
        <v>14145 SANTA JULIA BILLIART</v>
      </c>
      <c r="F3090" s="14" t="s">
        <v>16</v>
      </c>
      <c r="G3090" s="20" t="s">
        <v>21</v>
      </c>
      <c r="H3090" s="14" t="s">
        <v>18</v>
      </c>
      <c r="I3090" s="15">
        <v>2022.0</v>
      </c>
      <c r="J3090" s="16" t="str">
        <f>IFERROR(__xludf.DUMMYFUNCTION("FILTER('CLASFICACIÓN'!$F$3:$F5618,'CLASFICACIÓN'!$G$3:$G5618=M3090)"),"LOS 3 AÑOS")</f>
        <v>LOS 3 AÑOS</v>
      </c>
      <c r="K3090" s="16" t="str">
        <f t="array" ref="K3090">IFERROR(DGET('PADD-R'!$B$1:$K5618,'PADD-R'!$K$1,{'PADD-R'!$B$1;E3090}),"NO PARTICIPÓ")</f>
        <v>SOLO 2023</v>
      </c>
      <c r="L3090" s="14" t="s">
        <v>151</v>
      </c>
      <c r="M3090" s="16" t="str">
        <f t="shared" si="1"/>
        <v>14145 SANTA JULIA BILLIART6 Primaria</v>
      </c>
      <c r="N3090" s="23"/>
      <c r="O3090" s="17"/>
      <c r="P3090" s="17"/>
      <c r="Q3090" s="17"/>
      <c r="R3090" s="17"/>
      <c r="S3090" s="17"/>
      <c r="T3090" s="17"/>
    </row>
    <row r="3091">
      <c r="A3091" s="18">
        <v>2776.0</v>
      </c>
      <c r="B3091" s="12" t="s">
        <v>48</v>
      </c>
      <c r="C3091" s="12" t="s">
        <v>14</v>
      </c>
      <c r="D3091" s="20" t="s">
        <v>22</v>
      </c>
      <c r="E3091" s="12" t="str">
        <f>IFERROR(__xludf.DUMMYFUNCTION("FILTER(colegios!$B$2:$B5618,colegios!$A$2:$A5618=L3091)"),"14145 SANTA JULIA BILLIART")</f>
        <v>14145 SANTA JULIA BILLIART</v>
      </c>
      <c r="F3091" s="14" t="s">
        <v>16</v>
      </c>
      <c r="G3091" s="20" t="s">
        <v>17</v>
      </c>
      <c r="H3091" s="14" t="s">
        <v>18</v>
      </c>
      <c r="I3091" s="15">
        <v>2022.0</v>
      </c>
      <c r="J3091" s="16" t="str">
        <f>IFERROR(__xludf.DUMMYFUNCTION("FILTER('CLASFICACIÓN'!$F$3:$F5618,'CLASFICACIÓN'!$G$3:$G5618=M3091)"),"LOS 3 AÑOS")</f>
        <v>LOS 3 AÑOS</v>
      </c>
      <c r="K3091" s="16" t="str">
        <f t="array" ref="K3091">IFERROR(DGET('PADD-R'!$B$1:$K5618,'PADD-R'!$K$1,{'PADD-R'!$B$1;E3091}),"NO PARTICIPÓ")</f>
        <v>SOLO 2023</v>
      </c>
      <c r="L3091" s="14" t="s">
        <v>151</v>
      </c>
      <c r="M3091" s="16" t="str">
        <f t="shared" si="1"/>
        <v>14145 SANTA JULIA BILLIART6 Primaria</v>
      </c>
      <c r="N3091" s="23"/>
      <c r="O3091" s="17"/>
      <c r="P3091" s="17"/>
      <c r="Q3091" s="17"/>
      <c r="R3091" s="17"/>
      <c r="S3091" s="17"/>
      <c r="T3091" s="17"/>
    </row>
    <row r="3092">
      <c r="A3092" s="18">
        <v>2813.0</v>
      </c>
      <c r="B3092" s="12" t="s">
        <v>48</v>
      </c>
      <c r="C3092" s="12" t="s">
        <v>14</v>
      </c>
      <c r="D3092" s="20" t="s">
        <v>15</v>
      </c>
      <c r="E3092" s="12" t="str">
        <f>IFERROR(__xludf.DUMMYFUNCTION("FILTER(colegios!$B$2:$B5618,colegios!$A$2:$A5618=L3092)"),"14144 SANTA ROSA")</f>
        <v>14144 SANTA ROSA</v>
      </c>
      <c r="F3092" s="14" t="s">
        <v>16</v>
      </c>
      <c r="G3092" s="20" t="s">
        <v>21</v>
      </c>
      <c r="H3092" s="14" t="s">
        <v>18</v>
      </c>
      <c r="I3092" s="15">
        <v>2022.0</v>
      </c>
      <c r="J3092" s="16" t="str">
        <f>IFERROR(__xludf.DUMMYFUNCTION("FILTER('CLASFICACIÓN'!$F$3:$F5618,'CLASFICACIÓN'!$G$3:$G5618=M3092)"),"LOS 3 AÑOS")</f>
        <v>LOS 3 AÑOS</v>
      </c>
      <c r="K3092" s="16" t="str">
        <f t="array" ref="K3092">IFERROR(DGET('PADD-R'!$B$1:$K5618,'PADD-R'!$K$1,{'PADD-R'!$B$1;E3092}),"NO PARTICIPÓ")</f>
        <v>SOLO 2023</v>
      </c>
      <c r="L3092" s="14" t="s">
        <v>152</v>
      </c>
      <c r="M3092" s="16" t="str">
        <f t="shared" si="1"/>
        <v>14144 SANTA ROSA2 Primaria</v>
      </c>
      <c r="N3092" s="23"/>
      <c r="O3092" s="17"/>
      <c r="P3092" s="17"/>
      <c r="Q3092" s="17"/>
      <c r="R3092" s="17"/>
      <c r="S3092" s="17"/>
      <c r="T3092" s="17"/>
    </row>
    <row r="3093">
      <c r="A3093" s="18">
        <v>2814.0</v>
      </c>
      <c r="B3093" s="12" t="s">
        <v>48</v>
      </c>
      <c r="C3093" s="12" t="s">
        <v>14</v>
      </c>
      <c r="D3093" s="20" t="s">
        <v>15</v>
      </c>
      <c r="E3093" s="12" t="str">
        <f>IFERROR(__xludf.DUMMYFUNCTION("FILTER(colegios!$B$2:$B5618,colegios!$A$2:$A5618=L3093)"),"14144 SANTA ROSA")</f>
        <v>14144 SANTA ROSA</v>
      </c>
      <c r="F3093" s="14" t="s">
        <v>16</v>
      </c>
      <c r="G3093" s="20" t="s">
        <v>17</v>
      </c>
      <c r="H3093" s="14" t="s">
        <v>24</v>
      </c>
      <c r="I3093" s="15">
        <v>2022.0</v>
      </c>
      <c r="J3093" s="16" t="str">
        <f>IFERROR(__xludf.DUMMYFUNCTION("FILTER('CLASFICACIÓN'!$F$3:$F5618,'CLASFICACIÓN'!$G$3:$G5618=M3093)"),"LOS 3 AÑOS")</f>
        <v>LOS 3 AÑOS</v>
      </c>
      <c r="K3093" s="16" t="str">
        <f t="array" ref="K3093">IFERROR(DGET('PADD-R'!$B$1:$K5618,'PADD-R'!$K$1,{'PADD-R'!$B$1;E3093}),"NO PARTICIPÓ")</f>
        <v>SOLO 2023</v>
      </c>
      <c r="L3093" s="14" t="s">
        <v>152</v>
      </c>
      <c r="M3093" s="16" t="str">
        <f t="shared" si="1"/>
        <v>14144 SANTA ROSA2 Primaria</v>
      </c>
      <c r="N3093" s="23"/>
      <c r="O3093" s="17"/>
      <c r="P3093" s="17"/>
      <c r="Q3093" s="17"/>
      <c r="R3093" s="17"/>
      <c r="S3093" s="17"/>
      <c r="T3093" s="17"/>
    </row>
    <row r="3094">
      <c r="A3094" s="18">
        <v>2815.0</v>
      </c>
      <c r="B3094" s="12" t="s">
        <v>48</v>
      </c>
      <c r="C3094" s="12" t="s">
        <v>14</v>
      </c>
      <c r="D3094" s="20" t="s">
        <v>15</v>
      </c>
      <c r="E3094" s="12" t="str">
        <f>IFERROR(__xludf.DUMMYFUNCTION("FILTER(colegios!$B$2:$B5618,colegios!$A$2:$A5618=L3094)"),"14144 SANTA ROSA")</f>
        <v>14144 SANTA ROSA</v>
      </c>
      <c r="F3094" s="14" t="s">
        <v>16</v>
      </c>
      <c r="G3094" s="20" t="s">
        <v>21</v>
      </c>
      <c r="H3094" s="14" t="s">
        <v>18</v>
      </c>
      <c r="I3094" s="15">
        <v>2022.0</v>
      </c>
      <c r="J3094" s="16" t="str">
        <f>IFERROR(__xludf.DUMMYFUNCTION("FILTER('CLASFICACIÓN'!$F$3:$F5618,'CLASFICACIÓN'!$G$3:$G5618=M3094)"),"LOS 3 AÑOS")</f>
        <v>LOS 3 AÑOS</v>
      </c>
      <c r="K3094" s="16" t="str">
        <f t="array" ref="K3094">IFERROR(DGET('PADD-R'!$B$1:$K5618,'PADD-R'!$K$1,{'PADD-R'!$B$1;E3094}),"NO PARTICIPÓ")</f>
        <v>SOLO 2023</v>
      </c>
      <c r="L3094" s="14" t="s">
        <v>152</v>
      </c>
      <c r="M3094" s="16" t="str">
        <f t="shared" si="1"/>
        <v>14144 SANTA ROSA2 Primaria</v>
      </c>
      <c r="N3094" s="23"/>
      <c r="O3094" s="17"/>
      <c r="P3094" s="17"/>
      <c r="Q3094" s="17"/>
      <c r="R3094" s="17"/>
      <c r="S3094" s="17"/>
      <c r="T3094" s="17"/>
    </row>
    <row r="3095">
      <c r="A3095" s="18">
        <v>2816.0</v>
      </c>
      <c r="B3095" s="12" t="s">
        <v>48</v>
      </c>
      <c r="C3095" s="12" t="s">
        <v>14</v>
      </c>
      <c r="D3095" s="20" t="s">
        <v>15</v>
      </c>
      <c r="E3095" s="12" t="str">
        <f>IFERROR(__xludf.DUMMYFUNCTION("FILTER(colegios!$B$2:$B5618,colegios!$A$2:$A5618=L3095)"),"14144 SANTA ROSA")</f>
        <v>14144 SANTA ROSA</v>
      </c>
      <c r="F3095" s="14" t="s">
        <v>16</v>
      </c>
      <c r="G3095" s="20" t="s">
        <v>21</v>
      </c>
      <c r="H3095" s="14" t="s">
        <v>18</v>
      </c>
      <c r="I3095" s="15">
        <v>2022.0</v>
      </c>
      <c r="J3095" s="16" t="str">
        <f>IFERROR(__xludf.DUMMYFUNCTION("FILTER('CLASFICACIÓN'!$F$3:$F5618,'CLASFICACIÓN'!$G$3:$G5618=M3095)"),"LOS 3 AÑOS")</f>
        <v>LOS 3 AÑOS</v>
      </c>
      <c r="K3095" s="16" t="str">
        <f t="array" ref="K3095">IFERROR(DGET('PADD-R'!$B$1:$K5618,'PADD-R'!$K$1,{'PADD-R'!$B$1;E3095}),"NO PARTICIPÓ")</f>
        <v>SOLO 2023</v>
      </c>
      <c r="L3095" s="14" t="s">
        <v>152</v>
      </c>
      <c r="M3095" s="16" t="str">
        <f t="shared" si="1"/>
        <v>14144 SANTA ROSA2 Primaria</v>
      </c>
      <c r="N3095" s="23"/>
      <c r="O3095" s="17"/>
      <c r="P3095" s="17"/>
      <c r="Q3095" s="17"/>
      <c r="R3095" s="17"/>
      <c r="S3095" s="17"/>
      <c r="T3095" s="17"/>
    </row>
    <row r="3096">
      <c r="A3096" s="18">
        <v>2817.0</v>
      </c>
      <c r="B3096" s="12" t="s">
        <v>48</v>
      </c>
      <c r="C3096" s="12" t="s">
        <v>14</v>
      </c>
      <c r="D3096" s="20" t="s">
        <v>15</v>
      </c>
      <c r="E3096" s="12" t="str">
        <f>IFERROR(__xludf.DUMMYFUNCTION("FILTER(colegios!$B$2:$B5618,colegios!$A$2:$A5618=L3096)"),"14144 SANTA ROSA")</f>
        <v>14144 SANTA ROSA</v>
      </c>
      <c r="F3096" s="14" t="s">
        <v>16</v>
      </c>
      <c r="G3096" s="20" t="s">
        <v>21</v>
      </c>
      <c r="H3096" s="14" t="s">
        <v>18</v>
      </c>
      <c r="I3096" s="15">
        <v>2022.0</v>
      </c>
      <c r="J3096" s="16" t="str">
        <f>IFERROR(__xludf.DUMMYFUNCTION("FILTER('CLASFICACIÓN'!$F$3:$F5618,'CLASFICACIÓN'!$G$3:$G5618=M3096)"),"LOS 3 AÑOS")</f>
        <v>LOS 3 AÑOS</v>
      </c>
      <c r="K3096" s="16" t="str">
        <f t="array" ref="K3096">IFERROR(DGET('PADD-R'!$B$1:$K5618,'PADD-R'!$K$1,{'PADD-R'!$B$1;E3096}),"NO PARTICIPÓ")</f>
        <v>SOLO 2023</v>
      </c>
      <c r="L3096" s="14" t="s">
        <v>152</v>
      </c>
      <c r="M3096" s="16" t="str">
        <f t="shared" si="1"/>
        <v>14144 SANTA ROSA2 Primaria</v>
      </c>
      <c r="N3096" s="23"/>
      <c r="O3096" s="17"/>
      <c r="P3096" s="17"/>
      <c r="Q3096" s="17"/>
      <c r="R3096" s="17"/>
      <c r="S3096" s="17"/>
      <c r="T3096" s="17"/>
    </row>
    <row r="3097">
      <c r="A3097" s="18">
        <v>2818.0</v>
      </c>
      <c r="B3097" s="12" t="s">
        <v>48</v>
      </c>
      <c r="C3097" s="12" t="s">
        <v>14</v>
      </c>
      <c r="D3097" s="20" t="s">
        <v>15</v>
      </c>
      <c r="E3097" s="12" t="str">
        <f>IFERROR(__xludf.DUMMYFUNCTION("FILTER(colegios!$B$2:$B5618,colegios!$A$2:$A5618=L3097)"),"14144 SANTA ROSA")</f>
        <v>14144 SANTA ROSA</v>
      </c>
      <c r="F3097" s="14" t="s">
        <v>16</v>
      </c>
      <c r="G3097" s="20" t="s">
        <v>21</v>
      </c>
      <c r="H3097" s="14" t="s">
        <v>18</v>
      </c>
      <c r="I3097" s="15">
        <v>2022.0</v>
      </c>
      <c r="J3097" s="16" t="str">
        <f>IFERROR(__xludf.DUMMYFUNCTION("FILTER('CLASFICACIÓN'!$F$3:$F5618,'CLASFICACIÓN'!$G$3:$G5618=M3097)"),"LOS 3 AÑOS")</f>
        <v>LOS 3 AÑOS</v>
      </c>
      <c r="K3097" s="16" t="str">
        <f t="array" ref="K3097">IFERROR(DGET('PADD-R'!$B$1:$K5618,'PADD-R'!$K$1,{'PADD-R'!$B$1;E3097}),"NO PARTICIPÓ")</f>
        <v>SOLO 2023</v>
      </c>
      <c r="L3097" s="14" t="s">
        <v>152</v>
      </c>
      <c r="M3097" s="16" t="str">
        <f t="shared" si="1"/>
        <v>14144 SANTA ROSA2 Primaria</v>
      </c>
      <c r="N3097" s="23"/>
      <c r="O3097" s="17"/>
      <c r="P3097" s="17"/>
      <c r="Q3097" s="17"/>
      <c r="R3097" s="17"/>
      <c r="S3097" s="17"/>
      <c r="T3097" s="17"/>
    </row>
    <row r="3098">
      <c r="A3098" s="18">
        <v>2819.0</v>
      </c>
      <c r="B3098" s="12" t="s">
        <v>48</v>
      </c>
      <c r="C3098" s="12" t="s">
        <v>14</v>
      </c>
      <c r="D3098" s="20" t="s">
        <v>15</v>
      </c>
      <c r="E3098" s="12" t="str">
        <f>IFERROR(__xludf.DUMMYFUNCTION("FILTER(colegios!$B$2:$B5618,colegios!$A$2:$A5618=L3098)"),"14144 SANTA ROSA")</f>
        <v>14144 SANTA ROSA</v>
      </c>
      <c r="F3098" s="14" t="s">
        <v>16</v>
      </c>
      <c r="G3098" s="20" t="s">
        <v>21</v>
      </c>
      <c r="H3098" s="14" t="s">
        <v>18</v>
      </c>
      <c r="I3098" s="15">
        <v>2022.0</v>
      </c>
      <c r="J3098" s="16" t="str">
        <f>IFERROR(__xludf.DUMMYFUNCTION("FILTER('CLASFICACIÓN'!$F$3:$F5618,'CLASFICACIÓN'!$G$3:$G5618=M3098)"),"LOS 3 AÑOS")</f>
        <v>LOS 3 AÑOS</v>
      </c>
      <c r="K3098" s="16" t="str">
        <f t="array" ref="K3098">IFERROR(DGET('PADD-R'!$B$1:$K5618,'PADD-R'!$K$1,{'PADD-R'!$B$1;E3098}),"NO PARTICIPÓ")</f>
        <v>SOLO 2023</v>
      </c>
      <c r="L3098" s="14" t="s">
        <v>152</v>
      </c>
      <c r="M3098" s="16" t="str">
        <f t="shared" si="1"/>
        <v>14144 SANTA ROSA2 Primaria</v>
      </c>
      <c r="N3098" s="23"/>
      <c r="O3098" s="17"/>
      <c r="P3098" s="17"/>
      <c r="Q3098" s="17"/>
      <c r="R3098" s="17"/>
      <c r="S3098" s="17"/>
      <c r="T3098" s="17"/>
    </row>
    <row r="3099">
      <c r="A3099" s="18">
        <v>2820.0</v>
      </c>
      <c r="B3099" s="12" t="s">
        <v>48</v>
      </c>
      <c r="C3099" s="12" t="s">
        <v>14</v>
      </c>
      <c r="D3099" s="20" t="s">
        <v>15</v>
      </c>
      <c r="E3099" s="12" t="str">
        <f>IFERROR(__xludf.DUMMYFUNCTION("FILTER(colegios!$B$2:$B5618,colegios!$A$2:$A5618=L3099)"),"14144 SANTA ROSA")</f>
        <v>14144 SANTA ROSA</v>
      </c>
      <c r="F3099" s="14" t="s">
        <v>16</v>
      </c>
      <c r="G3099" s="20" t="s">
        <v>17</v>
      </c>
      <c r="H3099" s="14" t="s">
        <v>18</v>
      </c>
      <c r="I3099" s="15">
        <v>2022.0</v>
      </c>
      <c r="J3099" s="16" t="str">
        <f>IFERROR(__xludf.DUMMYFUNCTION("FILTER('CLASFICACIÓN'!$F$3:$F5618,'CLASFICACIÓN'!$G$3:$G5618=M3099)"),"LOS 3 AÑOS")</f>
        <v>LOS 3 AÑOS</v>
      </c>
      <c r="K3099" s="16" t="str">
        <f t="array" ref="K3099">IFERROR(DGET('PADD-R'!$B$1:$K5618,'PADD-R'!$K$1,{'PADD-R'!$B$1;E3099}),"NO PARTICIPÓ")</f>
        <v>SOLO 2023</v>
      </c>
      <c r="L3099" s="14" t="s">
        <v>152</v>
      </c>
      <c r="M3099" s="16" t="str">
        <f t="shared" si="1"/>
        <v>14144 SANTA ROSA2 Primaria</v>
      </c>
      <c r="N3099" s="23"/>
      <c r="O3099" s="17"/>
      <c r="P3099" s="17"/>
      <c r="Q3099" s="17"/>
      <c r="R3099" s="17"/>
      <c r="S3099" s="17"/>
      <c r="T3099" s="17"/>
    </row>
    <row r="3100">
      <c r="A3100" s="18">
        <v>2821.0</v>
      </c>
      <c r="B3100" s="12" t="s">
        <v>48</v>
      </c>
      <c r="C3100" s="12" t="s">
        <v>14</v>
      </c>
      <c r="D3100" s="20" t="s">
        <v>15</v>
      </c>
      <c r="E3100" s="12" t="str">
        <f>IFERROR(__xludf.DUMMYFUNCTION("FILTER(colegios!$B$2:$B5618,colegios!$A$2:$A5618=L3100)"),"14144 SANTA ROSA")</f>
        <v>14144 SANTA ROSA</v>
      </c>
      <c r="F3100" s="14" t="s">
        <v>16</v>
      </c>
      <c r="G3100" s="20" t="s">
        <v>21</v>
      </c>
      <c r="H3100" s="14" t="s">
        <v>18</v>
      </c>
      <c r="I3100" s="15">
        <v>2022.0</v>
      </c>
      <c r="J3100" s="16" t="str">
        <f>IFERROR(__xludf.DUMMYFUNCTION("FILTER('CLASFICACIÓN'!$F$3:$F5618,'CLASFICACIÓN'!$G$3:$G5618=M3100)"),"LOS 3 AÑOS")</f>
        <v>LOS 3 AÑOS</v>
      </c>
      <c r="K3100" s="16" t="str">
        <f t="array" ref="K3100">IFERROR(DGET('PADD-R'!$B$1:$K5618,'PADD-R'!$K$1,{'PADD-R'!$B$1;E3100}),"NO PARTICIPÓ")</f>
        <v>SOLO 2023</v>
      </c>
      <c r="L3100" s="14" t="s">
        <v>152</v>
      </c>
      <c r="M3100" s="16" t="str">
        <f t="shared" si="1"/>
        <v>14144 SANTA ROSA2 Primaria</v>
      </c>
      <c r="N3100" s="23"/>
      <c r="O3100" s="17"/>
      <c r="P3100" s="17"/>
      <c r="Q3100" s="17"/>
      <c r="R3100" s="17"/>
      <c r="S3100" s="17"/>
      <c r="T3100" s="17"/>
    </row>
    <row r="3101">
      <c r="A3101" s="18">
        <v>2822.0</v>
      </c>
      <c r="B3101" s="12" t="s">
        <v>48</v>
      </c>
      <c r="C3101" s="12" t="s">
        <v>14</v>
      </c>
      <c r="D3101" s="20" t="s">
        <v>15</v>
      </c>
      <c r="E3101" s="12" t="str">
        <f>IFERROR(__xludf.DUMMYFUNCTION("FILTER(colegios!$B$2:$B5618,colegios!$A$2:$A5618=L3101)"),"14144 SANTA ROSA")</f>
        <v>14144 SANTA ROSA</v>
      </c>
      <c r="F3101" s="14" t="s">
        <v>16</v>
      </c>
      <c r="G3101" s="20" t="s">
        <v>17</v>
      </c>
      <c r="H3101" s="14" t="s">
        <v>18</v>
      </c>
      <c r="I3101" s="15">
        <v>2022.0</v>
      </c>
      <c r="J3101" s="16" t="str">
        <f>IFERROR(__xludf.DUMMYFUNCTION("FILTER('CLASFICACIÓN'!$F$3:$F5618,'CLASFICACIÓN'!$G$3:$G5618=M3101)"),"LOS 3 AÑOS")</f>
        <v>LOS 3 AÑOS</v>
      </c>
      <c r="K3101" s="16" t="str">
        <f t="array" ref="K3101">IFERROR(DGET('PADD-R'!$B$1:$K5618,'PADD-R'!$K$1,{'PADD-R'!$B$1;E3101}),"NO PARTICIPÓ")</f>
        <v>SOLO 2023</v>
      </c>
      <c r="L3101" s="14" t="s">
        <v>152</v>
      </c>
      <c r="M3101" s="16" t="str">
        <f t="shared" si="1"/>
        <v>14144 SANTA ROSA2 Primaria</v>
      </c>
      <c r="N3101" s="23"/>
      <c r="O3101" s="17"/>
      <c r="P3101" s="17"/>
      <c r="Q3101" s="17"/>
      <c r="R3101" s="17"/>
      <c r="S3101" s="17"/>
      <c r="T3101" s="17"/>
    </row>
    <row r="3102">
      <c r="A3102" s="18">
        <v>2823.0</v>
      </c>
      <c r="B3102" s="12" t="s">
        <v>48</v>
      </c>
      <c r="C3102" s="12" t="s">
        <v>14</v>
      </c>
      <c r="D3102" s="20" t="s">
        <v>15</v>
      </c>
      <c r="E3102" s="12" t="str">
        <f>IFERROR(__xludf.DUMMYFUNCTION("FILTER(colegios!$B$2:$B5618,colegios!$A$2:$A5618=L3102)"),"14144 SANTA ROSA")</f>
        <v>14144 SANTA ROSA</v>
      </c>
      <c r="F3102" s="14" t="s">
        <v>16</v>
      </c>
      <c r="G3102" s="20" t="s">
        <v>17</v>
      </c>
      <c r="H3102" s="14" t="s">
        <v>18</v>
      </c>
      <c r="I3102" s="15">
        <v>2022.0</v>
      </c>
      <c r="J3102" s="16" t="str">
        <f>IFERROR(__xludf.DUMMYFUNCTION("FILTER('CLASFICACIÓN'!$F$3:$F5618,'CLASFICACIÓN'!$G$3:$G5618=M3102)"),"LOS 3 AÑOS")</f>
        <v>LOS 3 AÑOS</v>
      </c>
      <c r="K3102" s="16" t="str">
        <f t="array" ref="K3102">IFERROR(DGET('PADD-R'!$B$1:$K5618,'PADD-R'!$K$1,{'PADD-R'!$B$1;E3102}),"NO PARTICIPÓ")</f>
        <v>SOLO 2023</v>
      </c>
      <c r="L3102" s="14" t="s">
        <v>152</v>
      </c>
      <c r="M3102" s="16" t="str">
        <f t="shared" si="1"/>
        <v>14144 SANTA ROSA2 Primaria</v>
      </c>
      <c r="N3102" s="23"/>
      <c r="O3102" s="17"/>
      <c r="P3102" s="17"/>
      <c r="Q3102" s="17"/>
      <c r="R3102" s="17"/>
      <c r="S3102" s="17"/>
      <c r="T3102" s="17"/>
    </row>
    <row r="3103">
      <c r="A3103" s="18">
        <v>2824.0</v>
      </c>
      <c r="B3103" s="12" t="s">
        <v>48</v>
      </c>
      <c r="C3103" s="12" t="s">
        <v>14</v>
      </c>
      <c r="D3103" s="20" t="s">
        <v>15</v>
      </c>
      <c r="E3103" s="12" t="str">
        <f>IFERROR(__xludf.DUMMYFUNCTION("FILTER(colegios!$B$2:$B5618,colegios!$A$2:$A5618=L3103)"),"14144 SANTA ROSA")</f>
        <v>14144 SANTA ROSA</v>
      </c>
      <c r="F3103" s="14" t="s">
        <v>16</v>
      </c>
      <c r="G3103" s="20" t="s">
        <v>21</v>
      </c>
      <c r="H3103" s="14" t="s">
        <v>18</v>
      </c>
      <c r="I3103" s="15">
        <v>2022.0</v>
      </c>
      <c r="J3103" s="16" t="str">
        <f>IFERROR(__xludf.DUMMYFUNCTION("FILTER('CLASFICACIÓN'!$F$3:$F5618,'CLASFICACIÓN'!$G$3:$G5618=M3103)"),"LOS 3 AÑOS")</f>
        <v>LOS 3 AÑOS</v>
      </c>
      <c r="K3103" s="16" t="str">
        <f t="array" ref="K3103">IFERROR(DGET('PADD-R'!$B$1:$K5618,'PADD-R'!$K$1,{'PADD-R'!$B$1;E3103}),"NO PARTICIPÓ")</f>
        <v>SOLO 2023</v>
      </c>
      <c r="L3103" s="14" t="s">
        <v>152</v>
      </c>
      <c r="M3103" s="16" t="str">
        <f t="shared" si="1"/>
        <v>14144 SANTA ROSA2 Primaria</v>
      </c>
      <c r="N3103" s="23"/>
      <c r="O3103" s="17"/>
      <c r="P3103" s="17"/>
      <c r="Q3103" s="17"/>
      <c r="R3103" s="17"/>
      <c r="S3103" s="17"/>
      <c r="T3103" s="17"/>
    </row>
    <row r="3104">
      <c r="A3104" s="18">
        <v>2825.0</v>
      </c>
      <c r="B3104" s="12" t="s">
        <v>48</v>
      </c>
      <c r="C3104" s="12" t="s">
        <v>14</v>
      </c>
      <c r="D3104" s="20" t="s">
        <v>15</v>
      </c>
      <c r="E3104" s="12" t="str">
        <f>IFERROR(__xludf.DUMMYFUNCTION("FILTER(colegios!$B$2:$B5618,colegios!$A$2:$A5618=L3104)"),"14144 SANTA ROSA")</f>
        <v>14144 SANTA ROSA</v>
      </c>
      <c r="F3104" s="14" t="s">
        <v>16</v>
      </c>
      <c r="G3104" s="20" t="s">
        <v>17</v>
      </c>
      <c r="H3104" s="14" t="s">
        <v>18</v>
      </c>
      <c r="I3104" s="15">
        <v>2022.0</v>
      </c>
      <c r="J3104" s="16" t="str">
        <f>IFERROR(__xludf.DUMMYFUNCTION("FILTER('CLASFICACIÓN'!$F$3:$F5618,'CLASFICACIÓN'!$G$3:$G5618=M3104)"),"LOS 3 AÑOS")</f>
        <v>LOS 3 AÑOS</v>
      </c>
      <c r="K3104" s="16" t="str">
        <f t="array" ref="K3104">IFERROR(DGET('PADD-R'!$B$1:$K5618,'PADD-R'!$K$1,{'PADD-R'!$B$1;E3104}),"NO PARTICIPÓ")</f>
        <v>SOLO 2023</v>
      </c>
      <c r="L3104" s="14" t="s">
        <v>152</v>
      </c>
      <c r="M3104" s="16" t="str">
        <f t="shared" si="1"/>
        <v>14144 SANTA ROSA2 Primaria</v>
      </c>
      <c r="N3104" s="23"/>
      <c r="O3104" s="17"/>
      <c r="P3104" s="17"/>
      <c r="Q3104" s="17"/>
      <c r="R3104" s="17"/>
      <c r="S3104" s="17"/>
      <c r="T3104" s="17"/>
    </row>
    <row r="3105">
      <c r="A3105" s="18">
        <v>2826.0</v>
      </c>
      <c r="B3105" s="12" t="s">
        <v>48</v>
      </c>
      <c r="C3105" s="12" t="s">
        <v>14</v>
      </c>
      <c r="D3105" s="20" t="s">
        <v>15</v>
      </c>
      <c r="E3105" s="12" t="str">
        <f>IFERROR(__xludf.DUMMYFUNCTION("FILTER(colegios!$B$2:$B5618,colegios!$A$2:$A5618=L3105)"),"14144 SANTA ROSA")</f>
        <v>14144 SANTA ROSA</v>
      </c>
      <c r="F3105" s="14" t="s">
        <v>16</v>
      </c>
      <c r="G3105" s="20" t="s">
        <v>21</v>
      </c>
      <c r="H3105" s="14" t="s">
        <v>24</v>
      </c>
      <c r="I3105" s="15">
        <v>2022.0</v>
      </c>
      <c r="J3105" s="16" t="str">
        <f>IFERROR(__xludf.DUMMYFUNCTION("FILTER('CLASFICACIÓN'!$F$3:$F5618,'CLASFICACIÓN'!$G$3:$G5618=M3105)"),"LOS 3 AÑOS")</f>
        <v>LOS 3 AÑOS</v>
      </c>
      <c r="K3105" s="16" t="str">
        <f t="array" ref="K3105">IFERROR(DGET('PADD-R'!$B$1:$K5618,'PADD-R'!$K$1,{'PADD-R'!$B$1;E3105}),"NO PARTICIPÓ")</f>
        <v>SOLO 2023</v>
      </c>
      <c r="L3105" s="14" t="s">
        <v>152</v>
      </c>
      <c r="M3105" s="16" t="str">
        <f t="shared" si="1"/>
        <v>14144 SANTA ROSA2 Primaria</v>
      </c>
      <c r="N3105" s="23"/>
      <c r="O3105" s="17"/>
      <c r="P3105" s="17"/>
      <c r="Q3105" s="17"/>
      <c r="R3105" s="17"/>
      <c r="S3105" s="17"/>
      <c r="T3105" s="17"/>
    </row>
    <row r="3106">
      <c r="A3106" s="18">
        <v>2827.0</v>
      </c>
      <c r="B3106" s="12" t="s">
        <v>48</v>
      </c>
      <c r="C3106" s="12" t="s">
        <v>14</v>
      </c>
      <c r="D3106" s="20" t="s">
        <v>15</v>
      </c>
      <c r="E3106" s="12" t="str">
        <f>IFERROR(__xludf.DUMMYFUNCTION("FILTER(colegios!$B$2:$B5618,colegios!$A$2:$A5618=L3106)"),"14144 SANTA ROSA")</f>
        <v>14144 SANTA ROSA</v>
      </c>
      <c r="F3106" s="14" t="s">
        <v>16</v>
      </c>
      <c r="G3106" s="20" t="s">
        <v>17</v>
      </c>
      <c r="H3106" s="14" t="s">
        <v>18</v>
      </c>
      <c r="I3106" s="15">
        <v>2022.0</v>
      </c>
      <c r="J3106" s="16" t="str">
        <f>IFERROR(__xludf.DUMMYFUNCTION("FILTER('CLASFICACIÓN'!$F$3:$F5618,'CLASFICACIÓN'!$G$3:$G5618=M3106)"),"LOS 3 AÑOS")</f>
        <v>LOS 3 AÑOS</v>
      </c>
      <c r="K3106" s="16" t="str">
        <f t="array" ref="K3106">IFERROR(DGET('PADD-R'!$B$1:$K5618,'PADD-R'!$K$1,{'PADD-R'!$B$1;E3106}),"NO PARTICIPÓ")</f>
        <v>SOLO 2023</v>
      </c>
      <c r="L3106" s="14" t="s">
        <v>152</v>
      </c>
      <c r="M3106" s="16" t="str">
        <f t="shared" si="1"/>
        <v>14144 SANTA ROSA2 Primaria</v>
      </c>
      <c r="N3106" s="23"/>
      <c r="O3106" s="17"/>
      <c r="P3106" s="17"/>
      <c r="Q3106" s="17"/>
      <c r="R3106" s="17"/>
      <c r="S3106" s="17"/>
      <c r="T3106" s="17"/>
    </row>
    <row r="3107">
      <c r="A3107" s="18">
        <v>2828.0</v>
      </c>
      <c r="B3107" s="12" t="s">
        <v>48</v>
      </c>
      <c r="C3107" s="12" t="s">
        <v>14</v>
      </c>
      <c r="D3107" s="20" t="s">
        <v>15</v>
      </c>
      <c r="E3107" s="12" t="str">
        <f>IFERROR(__xludf.DUMMYFUNCTION("FILTER(colegios!$B$2:$B5618,colegios!$A$2:$A5618=L3107)"),"14144 SANTA ROSA")</f>
        <v>14144 SANTA ROSA</v>
      </c>
      <c r="F3107" s="14" t="s">
        <v>16</v>
      </c>
      <c r="G3107" s="20" t="s">
        <v>21</v>
      </c>
      <c r="H3107" s="14" t="s">
        <v>24</v>
      </c>
      <c r="I3107" s="15">
        <v>2022.0</v>
      </c>
      <c r="J3107" s="16" t="str">
        <f>IFERROR(__xludf.DUMMYFUNCTION("FILTER('CLASFICACIÓN'!$F$3:$F5618,'CLASFICACIÓN'!$G$3:$G5618=M3107)"),"LOS 3 AÑOS")</f>
        <v>LOS 3 AÑOS</v>
      </c>
      <c r="K3107" s="16" t="str">
        <f t="array" ref="K3107">IFERROR(DGET('PADD-R'!$B$1:$K5618,'PADD-R'!$K$1,{'PADD-R'!$B$1;E3107}),"NO PARTICIPÓ")</f>
        <v>SOLO 2023</v>
      </c>
      <c r="L3107" s="14" t="s">
        <v>152</v>
      </c>
      <c r="M3107" s="16" t="str">
        <f t="shared" si="1"/>
        <v>14144 SANTA ROSA2 Primaria</v>
      </c>
      <c r="N3107" s="23"/>
      <c r="O3107" s="17"/>
      <c r="P3107" s="17"/>
      <c r="Q3107" s="17"/>
      <c r="R3107" s="17"/>
      <c r="S3107" s="17"/>
      <c r="T3107" s="17"/>
    </row>
    <row r="3108">
      <c r="A3108" s="18">
        <v>2829.0</v>
      </c>
      <c r="B3108" s="12" t="s">
        <v>48</v>
      </c>
      <c r="C3108" s="12" t="s">
        <v>14</v>
      </c>
      <c r="D3108" s="20" t="s">
        <v>15</v>
      </c>
      <c r="E3108" s="12" t="str">
        <f>IFERROR(__xludf.DUMMYFUNCTION("FILTER(colegios!$B$2:$B5618,colegios!$A$2:$A5618=L3108)"),"14144 SANTA ROSA")</f>
        <v>14144 SANTA ROSA</v>
      </c>
      <c r="F3108" s="14" t="s">
        <v>16</v>
      </c>
      <c r="G3108" s="20" t="s">
        <v>17</v>
      </c>
      <c r="H3108" s="14" t="s">
        <v>18</v>
      </c>
      <c r="I3108" s="15">
        <v>2022.0</v>
      </c>
      <c r="J3108" s="16" t="str">
        <f>IFERROR(__xludf.DUMMYFUNCTION("FILTER('CLASFICACIÓN'!$F$3:$F5618,'CLASFICACIÓN'!$G$3:$G5618=M3108)"),"LOS 3 AÑOS")</f>
        <v>LOS 3 AÑOS</v>
      </c>
      <c r="K3108" s="16" t="str">
        <f t="array" ref="K3108">IFERROR(DGET('PADD-R'!$B$1:$K5618,'PADD-R'!$K$1,{'PADD-R'!$B$1;E3108}),"NO PARTICIPÓ")</f>
        <v>SOLO 2023</v>
      </c>
      <c r="L3108" s="14" t="s">
        <v>152</v>
      </c>
      <c r="M3108" s="16" t="str">
        <f t="shared" si="1"/>
        <v>14144 SANTA ROSA2 Primaria</v>
      </c>
      <c r="N3108" s="23"/>
      <c r="O3108" s="17"/>
      <c r="P3108" s="17"/>
      <c r="Q3108" s="17"/>
      <c r="R3108" s="17"/>
      <c r="S3108" s="17"/>
      <c r="T3108" s="17"/>
    </row>
    <row r="3109">
      <c r="A3109" s="18">
        <v>2830.0</v>
      </c>
      <c r="B3109" s="12" t="s">
        <v>48</v>
      </c>
      <c r="C3109" s="12" t="s">
        <v>14</v>
      </c>
      <c r="D3109" s="20" t="s">
        <v>15</v>
      </c>
      <c r="E3109" s="12" t="str">
        <f>IFERROR(__xludf.DUMMYFUNCTION("FILTER(colegios!$B$2:$B5618,colegios!$A$2:$A5618=L3109)"),"14144 SANTA ROSA")</f>
        <v>14144 SANTA ROSA</v>
      </c>
      <c r="F3109" s="14" t="s">
        <v>16</v>
      </c>
      <c r="G3109" s="20" t="s">
        <v>21</v>
      </c>
      <c r="H3109" s="14" t="s">
        <v>18</v>
      </c>
      <c r="I3109" s="15">
        <v>2022.0</v>
      </c>
      <c r="J3109" s="16" t="str">
        <f>IFERROR(__xludf.DUMMYFUNCTION("FILTER('CLASFICACIÓN'!$F$3:$F5618,'CLASFICACIÓN'!$G$3:$G5618=M3109)"),"LOS 3 AÑOS")</f>
        <v>LOS 3 AÑOS</v>
      </c>
      <c r="K3109" s="16" t="str">
        <f t="array" ref="K3109">IFERROR(DGET('PADD-R'!$B$1:$K5618,'PADD-R'!$K$1,{'PADD-R'!$B$1;E3109}),"NO PARTICIPÓ")</f>
        <v>SOLO 2023</v>
      </c>
      <c r="L3109" s="14" t="s">
        <v>152</v>
      </c>
      <c r="M3109" s="16" t="str">
        <f t="shared" si="1"/>
        <v>14144 SANTA ROSA2 Primaria</v>
      </c>
      <c r="N3109" s="23"/>
      <c r="O3109" s="17"/>
      <c r="P3109" s="17"/>
      <c r="Q3109" s="17"/>
      <c r="R3109" s="17"/>
      <c r="S3109" s="17"/>
      <c r="T3109" s="17"/>
    </row>
    <row r="3110">
      <c r="A3110" s="18">
        <v>2831.0</v>
      </c>
      <c r="B3110" s="12" t="s">
        <v>48</v>
      </c>
      <c r="C3110" s="12" t="s">
        <v>14</v>
      </c>
      <c r="D3110" s="20" t="s">
        <v>15</v>
      </c>
      <c r="E3110" s="12" t="str">
        <f>IFERROR(__xludf.DUMMYFUNCTION("FILTER(colegios!$B$2:$B5618,colegios!$A$2:$A5618=L3110)"),"14144 SANTA ROSA")</f>
        <v>14144 SANTA ROSA</v>
      </c>
      <c r="F3110" s="14" t="s">
        <v>16</v>
      </c>
      <c r="G3110" s="20" t="s">
        <v>17</v>
      </c>
      <c r="H3110" s="14" t="s">
        <v>24</v>
      </c>
      <c r="I3110" s="15">
        <v>2022.0</v>
      </c>
      <c r="J3110" s="16" t="str">
        <f>IFERROR(__xludf.DUMMYFUNCTION("FILTER('CLASFICACIÓN'!$F$3:$F5618,'CLASFICACIÓN'!$G$3:$G5618=M3110)"),"LOS 3 AÑOS")</f>
        <v>LOS 3 AÑOS</v>
      </c>
      <c r="K3110" s="16" t="str">
        <f t="array" ref="K3110">IFERROR(DGET('PADD-R'!$B$1:$K5618,'PADD-R'!$K$1,{'PADD-R'!$B$1;E3110}),"NO PARTICIPÓ")</f>
        <v>SOLO 2023</v>
      </c>
      <c r="L3110" s="14" t="s">
        <v>152</v>
      </c>
      <c r="M3110" s="16" t="str">
        <f t="shared" si="1"/>
        <v>14144 SANTA ROSA2 Primaria</v>
      </c>
      <c r="N3110" s="23"/>
      <c r="O3110" s="17"/>
      <c r="P3110" s="17"/>
      <c r="Q3110" s="17"/>
      <c r="R3110" s="17"/>
      <c r="S3110" s="17"/>
      <c r="T3110" s="17"/>
    </row>
    <row r="3111">
      <c r="A3111" s="18">
        <v>2832.0</v>
      </c>
      <c r="B3111" s="12" t="s">
        <v>48</v>
      </c>
      <c r="C3111" s="12" t="s">
        <v>14</v>
      </c>
      <c r="D3111" s="20" t="s">
        <v>15</v>
      </c>
      <c r="E3111" s="12" t="str">
        <f>IFERROR(__xludf.DUMMYFUNCTION("FILTER(colegios!$B$2:$B5618,colegios!$A$2:$A5618=L3111)"),"14144 SANTA ROSA")</f>
        <v>14144 SANTA ROSA</v>
      </c>
      <c r="F3111" s="14" t="s">
        <v>16</v>
      </c>
      <c r="G3111" s="20" t="s">
        <v>17</v>
      </c>
      <c r="H3111" s="14" t="s">
        <v>18</v>
      </c>
      <c r="I3111" s="15">
        <v>2022.0</v>
      </c>
      <c r="J3111" s="16" t="str">
        <f>IFERROR(__xludf.DUMMYFUNCTION("FILTER('CLASFICACIÓN'!$F$3:$F5618,'CLASFICACIÓN'!$G$3:$G5618=M3111)"),"LOS 3 AÑOS")</f>
        <v>LOS 3 AÑOS</v>
      </c>
      <c r="K3111" s="16" t="str">
        <f t="array" ref="K3111">IFERROR(DGET('PADD-R'!$B$1:$K5618,'PADD-R'!$K$1,{'PADD-R'!$B$1;E3111}),"NO PARTICIPÓ")</f>
        <v>SOLO 2023</v>
      </c>
      <c r="L3111" s="14" t="s">
        <v>152</v>
      </c>
      <c r="M3111" s="16" t="str">
        <f t="shared" si="1"/>
        <v>14144 SANTA ROSA2 Primaria</v>
      </c>
      <c r="N3111" s="23"/>
      <c r="O3111" s="17"/>
      <c r="P3111" s="17"/>
      <c r="Q3111" s="17"/>
      <c r="R3111" s="17"/>
      <c r="S3111" s="17"/>
      <c r="T3111" s="17"/>
    </row>
    <row r="3112">
      <c r="A3112" s="18">
        <v>2833.0</v>
      </c>
      <c r="B3112" s="12" t="s">
        <v>48</v>
      </c>
      <c r="C3112" s="12" t="s">
        <v>14</v>
      </c>
      <c r="D3112" s="20" t="s">
        <v>15</v>
      </c>
      <c r="E3112" s="12" t="str">
        <f>IFERROR(__xludf.DUMMYFUNCTION("FILTER(colegios!$B$2:$B5618,colegios!$A$2:$A5618=L3112)"),"14144 SANTA ROSA")</f>
        <v>14144 SANTA ROSA</v>
      </c>
      <c r="F3112" s="14" t="s">
        <v>16</v>
      </c>
      <c r="G3112" s="20" t="s">
        <v>21</v>
      </c>
      <c r="H3112" s="14" t="s">
        <v>18</v>
      </c>
      <c r="I3112" s="15">
        <v>2022.0</v>
      </c>
      <c r="J3112" s="16" t="str">
        <f>IFERROR(__xludf.DUMMYFUNCTION("FILTER('CLASFICACIÓN'!$F$3:$F5618,'CLASFICACIÓN'!$G$3:$G5618=M3112)"),"LOS 3 AÑOS")</f>
        <v>LOS 3 AÑOS</v>
      </c>
      <c r="K3112" s="16" t="str">
        <f t="array" ref="K3112">IFERROR(DGET('PADD-R'!$B$1:$K5618,'PADD-R'!$K$1,{'PADD-R'!$B$1;E3112}),"NO PARTICIPÓ")</f>
        <v>SOLO 2023</v>
      </c>
      <c r="L3112" s="14" t="s">
        <v>152</v>
      </c>
      <c r="M3112" s="16" t="str">
        <f t="shared" si="1"/>
        <v>14144 SANTA ROSA2 Primaria</v>
      </c>
      <c r="N3112" s="23"/>
      <c r="O3112" s="17"/>
      <c r="P3112" s="17"/>
      <c r="Q3112" s="17"/>
      <c r="R3112" s="17"/>
      <c r="S3112" s="17"/>
      <c r="T3112" s="17"/>
    </row>
    <row r="3113">
      <c r="A3113" s="18">
        <v>2834.0</v>
      </c>
      <c r="B3113" s="12" t="s">
        <v>48</v>
      </c>
      <c r="C3113" s="12" t="s">
        <v>14</v>
      </c>
      <c r="D3113" s="20" t="s">
        <v>15</v>
      </c>
      <c r="E3113" s="12" t="str">
        <f>IFERROR(__xludf.DUMMYFUNCTION("FILTER(colegios!$B$2:$B5618,colegios!$A$2:$A5618=L3113)"),"14144 SANTA ROSA")</f>
        <v>14144 SANTA ROSA</v>
      </c>
      <c r="F3113" s="14" t="s">
        <v>16</v>
      </c>
      <c r="G3113" s="20" t="s">
        <v>17</v>
      </c>
      <c r="H3113" s="14" t="s">
        <v>18</v>
      </c>
      <c r="I3113" s="15">
        <v>2022.0</v>
      </c>
      <c r="J3113" s="16" t="str">
        <f>IFERROR(__xludf.DUMMYFUNCTION("FILTER('CLASFICACIÓN'!$F$3:$F5618,'CLASFICACIÓN'!$G$3:$G5618=M3113)"),"LOS 3 AÑOS")</f>
        <v>LOS 3 AÑOS</v>
      </c>
      <c r="K3113" s="16" t="str">
        <f t="array" ref="K3113">IFERROR(DGET('PADD-R'!$B$1:$K5618,'PADD-R'!$K$1,{'PADD-R'!$B$1;E3113}),"NO PARTICIPÓ")</f>
        <v>SOLO 2023</v>
      </c>
      <c r="L3113" s="14" t="s">
        <v>152</v>
      </c>
      <c r="M3113" s="16" t="str">
        <f t="shared" si="1"/>
        <v>14144 SANTA ROSA2 Primaria</v>
      </c>
      <c r="N3113" s="23"/>
      <c r="O3113" s="17"/>
      <c r="P3113" s="17"/>
      <c r="Q3113" s="17"/>
      <c r="R3113" s="17"/>
      <c r="S3113" s="17"/>
      <c r="T3113" s="17"/>
    </row>
    <row r="3114">
      <c r="A3114" s="18">
        <v>2835.0</v>
      </c>
      <c r="B3114" s="12" t="s">
        <v>48</v>
      </c>
      <c r="C3114" s="12" t="s">
        <v>14</v>
      </c>
      <c r="D3114" s="20" t="s">
        <v>15</v>
      </c>
      <c r="E3114" s="12" t="str">
        <f>IFERROR(__xludf.DUMMYFUNCTION("FILTER(colegios!$B$2:$B5618,colegios!$A$2:$A5618=L3114)"),"14144 SANTA ROSA")</f>
        <v>14144 SANTA ROSA</v>
      </c>
      <c r="F3114" s="14" t="s">
        <v>16</v>
      </c>
      <c r="G3114" s="20" t="s">
        <v>17</v>
      </c>
      <c r="H3114" s="14" t="s">
        <v>18</v>
      </c>
      <c r="I3114" s="15">
        <v>2022.0</v>
      </c>
      <c r="J3114" s="16" t="str">
        <f>IFERROR(__xludf.DUMMYFUNCTION("FILTER('CLASFICACIÓN'!$F$3:$F5618,'CLASFICACIÓN'!$G$3:$G5618=M3114)"),"LOS 3 AÑOS")</f>
        <v>LOS 3 AÑOS</v>
      </c>
      <c r="K3114" s="16" t="str">
        <f t="array" ref="K3114">IFERROR(DGET('PADD-R'!$B$1:$K5618,'PADD-R'!$K$1,{'PADD-R'!$B$1;E3114}),"NO PARTICIPÓ")</f>
        <v>SOLO 2023</v>
      </c>
      <c r="L3114" s="14" t="s">
        <v>152</v>
      </c>
      <c r="M3114" s="16" t="str">
        <f t="shared" si="1"/>
        <v>14144 SANTA ROSA2 Primaria</v>
      </c>
      <c r="N3114" s="23"/>
      <c r="O3114" s="17"/>
      <c r="P3114" s="17"/>
      <c r="Q3114" s="17"/>
      <c r="R3114" s="17"/>
      <c r="S3114" s="17"/>
      <c r="T3114" s="17"/>
    </row>
    <row r="3115">
      <c r="A3115" s="18">
        <v>2836.0</v>
      </c>
      <c r="B3115" s="12" t="s">
        <v>48</v>
      </c>
      <c r="C3115" s="12" t="s">
        <v>14</v>
      </c>
      <c r="D3115" s="20" t="s">
        <v>15</v>
      </c>
      <c r="E3115" s="12" t="str">
        <f>IFERROR(__xludf.DUMMYFUNCTION("FILTER(colegios!$B$2:$B5618,colegios!$A$2:$A5618=L3115)"),"14144 SANTA ROSA")</f>
        <v>14144 SANTA ROSA</v>
      </c>
      <c r="F3115" s="14" t="s">
        <v>16</v>
      </c>
      <c r="G3115" s="20" t="s">
        <v>21</v>
      </c>
      <c r="H3115" s="14" t="s">
        <v>18</v>
      </c>
      <c r="I3115" s="15">
        <v>2022.0</v>
      </c>
      <c r="J3115" s="16" t="str">
        <f>IFERROR(__xludf.DUMMYFUNCTION("FILTER('CLASFICACIÓN'!$F$3:$F5618,'CLASFICACIÓN'!$G$3:$G5618=M3115)"),"LOS 3 AÑOS")</f>
        <v>LOS 3 AÑOS</v>
      </c>
      <c r="K3115" s="16" t="str">
        <f t="array" ref="K3115">IFERROR(DGET('PADD-R'!$B$1:$K5618,'PADD-R'!$K$1,{'PADD-R'!$B$1;E3115}),"NO PARTICIPÓ")</f>
        <v>SOLO 2023</v>
      </c>
      <c r="L3115" s="14" t="s">
        <v>152</v>
      </c>
      <c r="M3115" s="16" t="str">
        <f t="shared" si="1"/>
        <v>14144 SANTA ROSA2 Primaria</v>
      </c>
      <c r="N3115" s="23"/>
      <c r="O3115" s="17"/>
      <c r="P3115" s="17"/>
      <c r="Q3115" s="17"/>
      <c r="R3115" s="17"/>
      <c r="S3115" s="17"/>
      <c r="T3115" s="17"/>
    </row>
    <row r="3116">
      <c r="A3116" s="18">
        <v>2837.0</v>
      </c>
      <c r="B3116" s="12" t="s">
        <v>48</v>
      </c>
      <c r="C3116" s="12" t="s">
        <v>14</v>
      </c>
      <c r="D3116" s="20" t="s">
        <v>15</v>
      </c>
      <c r="E3116" s="12" t="str">
        <f>IFERROR(__xludf.DUMMYFUNCTION("FILTER(colegios!$B$2:$B5618,colegios!$A$2:$A5618=L3116)"),"14144 SANTA ROSA")</f>
        <v>14144 SANTA ROSA</v>
      </c>
      <c r="F3116" s="14" t="s">
        <v>16</v>
      </c>
      <c r="G3116" s="20" t="s">
        <v>21</v>
      </c>
      <c r="H3116" s="14" t="s">
        <v>18</v>
      </c>
      <c r="I3116" s="15">
        <v>2022.0</v>
      </c>
      <c r="J3116" s="16" t="str">
        <f>IFERROR(__xludf.DUMMYFUNCTION("FILTER('CLASFICACIÓN'!$F$3:$F5618,'CLASFICACIÓN'!$G$3:$G5618=M3116)"),"LOS 3 AÑOS")</f>
        <v>LOS 3 AÑOS</v>
      </c>
      <c r="K3116" s="16" t="str">
        <f t="array" ref="K3116">IFERROR(DGET('PADD-R'!$B$1:$K5618,'PADD-R'!$K$1,{'PADD-R'!$B$1;E3116}),"NO PARTICIPÓ")</f>
        <v>SOLO 2023</v>
      </c>
      <c r="L3116" s="14" t="s">
        <v>152</v>
      </c>
      <c r="M3116" s="16" t="str">
        <f t="shared" si="1"/>
        <v>14144 SANTA ROSA2 Primaria</v>
      </c>
      <c r="N3116" s="23"/>
      <c r="O3116" s="17"/>
      <c r="P3116" s="17"/>
      <c r="Q3116" s="17"/>
      <c r="R3116" s="17"/>
      <c r="S3116" s="17"/>
      <c r="T3116" s="17"/>
    </row>
    <row r="3117">
      <c r="A3117" s="18">
        <v>2838.0</v>
      </c>
      <c r="B3117" s="12" t="s">
        <v>48</v>
      </c>
      <c r="C3117" s="12" t="s">
        <v>14</v>
      </c>
      <c r="D3117" s="20" t="s">
        <v>15</v>
      </c>
      <c r="E3117" s="12" t="str">
        <f>IFERROR(__xludf.DUMMYFUNCTION("FILTER(colegios!$B$2:$B5618,colegios!$A$2:$A5618=L3117)"),"14144 SANTA ROSA")</f>
        <v>14144 SANTA ROSA</v>
      </c>
      <c r="F3117" s="14" t="s">
        <v>16</v>
      </c>
      <c r="G3117" s="20" t="s">
        <v>21</v>
      </c>
      <c r="H3117" s="14" t="s">
        <v>18</v>
      </c>
      <c r="I3117" s="15">
        <v>2022.0</v>
      </c>
      <c r="J3117" s="16" t="str">
        <f>IFERROR(__xludf.DUMMYFUNCTION("FILTER('CLASFICACIÓN'!$F$3:$F5618,'CLASFICACIÓN'!$G$3:$G5618=M3117)"),"LOS 3 AÑOS")</f>
        <v>LOS 3 AÑOS</v>
      </c>
      <c r="K3117" s="16" t="str">
        <f t="array" ref="K3117">IFERROR(DGET('PADD-R'!$B$1:$K5618,'PADD-R'!$K$1,{'PADD-R'!$B$1;E3117}),"NO PARTICIPÓ")</f>
        <v>SOLO 2023</v>
      </c>
      <c r="L3117" s="14" t="s">
        <v>152</v>
      </c>
      <c r="M3117" s="16" t="str">
        <f t="shared" si="1"/>
        <v>14144 SANTA ROSA2 Primaria</v>
      </c>
      <c r="N3117" s="23"/>
      <c r="O3117" s="17"/>
      <c r="P3117" s="17"/>
      <c r="Q3117" s="17"/>
      <c r="R3117" s="17"/>
      <c r="S3117" s="17"/>
      <c r="T3117" s="17"/>
    </row>
    <row r="3118">
      <c r="A3118" s="18">
        <v>2839.0</v>
      </c>
      <c r="B3118" s="12" t="s">
        <v>48</v>
      </c>
      <c r="C3118" s="12" t="s">
        <v>14</v>
      </c>
      <c r="D3118" s="20" t="s">
        <v>15</v>
      </c>
      <c r="E3118" s="12" t="str">
        <f>IFERROR(__xludf.DUMMYFUNCTION("FILTER(colegios!$B$2:$B5618,colegios!$A$2:$A5618=L3118)"),"14144 SANTA ROSA")</f>
        <v>14144 SANTA ROSA</v>
      </c>
      <c r="F3118" s="14" t="s">
        <v>16</v>
      </c>
      <c r="G3118" s="20" t="s">
        <v>21</v>
      </c>
      <c r="H3118" s="14" t="s">
        <v>24</v>
      </c>
      <c r="I3118" s="15">
        <v>2022.0</v>
      </c>
      <c r="J3118" s="16" t="str">
        <f>IFERROR(__xludf.DUMMYFUNCTION("FILTER('CLASFICACIÓN'!$F$3:$F5618,'CLASFICACIÓN'!$G$3:$G5618=M3118)"),"LOS 3 AÑOS")</f>
        <v>LOS 3 AÑOS</v>
      </c>
      <c r="K3118" s="16" t="str">
        <f t="array" ref="K3118">IFERROR(DGET('PADD-R'!$B$1:$K5618,'PADD-R'!$K$1,{'PADD-R'!$B$1;E3118}),"NO PARTICIPÓ")</f>
        <v>SOLO 2023</v>
      </c>
      <c r="L3118" s="14" t="s">
        <v>152</v>
      </c>
      <c r="M3118" s="16" t="str">
        <f t="shared" si="1"/>
        <v>14144 SANTA ROSA2 Primaria</v>
      </c>
      <c r="N3118" s="23"/>
      <c r="O3118" s="17"/>
      <c r="P3118" s="17"/>
      <c r="Q3118" s="17"/>
      <c r="R3118" s="17"/>
      <c r="S3118" s="17"/>
      <c r="T3118" s="17"/>
    </row>
    <row r="3119">
      <c r="A3119" s="18">
        <v>2840.0</v>
      </c>
      <c r="B3119" s="12" t="s">
        <v>48</v>
      </c>
      <c r="C3119" s="12" t="s">
        <v>14</v>
      </c>
      <c r="D3119" s="20" t="s">
        <v>15</v>
      </c>
      <c r="E3119" s="12" t="str">
        <f>IFERROR(__xludf.DUMMYFUNCTION("FILTER(colegios!$B$2:$B5618,colegios!$A$2:$A5618=L3119)"),"14144 SANTA ROSA")</f>
        <v>14144 SANTA ROSA</v>
      </c>
      <c r="F3119" s="14" t="s">
        <v>16</v>
      </c>
      <c r="G3119" s="20" t="s">
        <v>17</v>
      </c>
      <c r="H3119" s="14" t="s">
        <v>24</v>
      </c>
      <c r="I3119" s="15">
        <v>2022.0</v>
      </c>
      <c r="J3119" s="16" t="str">
        <f>IFERROR(__xludf.DUMMYFUNCTION("FILTER('CLASFICACIÓN'!$F$3:$F5618,'CLASFICACIÓN'!$G$3:$G5618=M3119)"),"LOS 3 AÑOS")</f>
        <v>LOS 3 AÑOS</v>
      </c>
      <c r="K3119" s="16" t="str">
        <f t="array" ref="K3119">IFERROR(DGET('PADD-R'!$B$1:$K5618,'PADD-R'!$K$1,{'PADD-R'!$B$1;E3119}),"NO PARTICIPÓ")</f>
        <v>SOLO 2023</v>
      </c>
      <c r="L3119" s="14" t="s">
        <v>152</v>
      </c>
      <c r="M3119" s="16" t="str">
        <f t="shared" si="1"/>
        <v>14144 SANTA ROSA2 Primaria</v>
      </c>
      <c r="N3119" s="23"/>
      <c r="O3119" s="17"/>
      <c r="P3119" s="17"/>
      <c r="Q3119" s="17"/>
      <c r="R3119" s="17"/>
      <c r="S3119" s="17"/>
      <c r="T3119" s="17"/>
    </row>
    <row r="3120">
      <c r="A3120" s="18">
        <v>2841.0</v>
      </c>
      <c r="B3120" s="12" t="s">
        <v>48</v>
      </c>
      <c r="C3120" s="12" t="s">
        <v>14</v>
      </c>
      <c r="D3120" s="20" t="s">
        <v>15</v>
      </c>
      <c r="E3120" s="12" t="str">
        <f>IFERROR(__xludf.DUMMYFUNCTION("FILTER(colegios!$B$2:$B5618,colegios!$A$2:$A5618=L3120)"),"14144 SANTA ROSA")</f>
        <v>14144 SANTA ROSA</v>
      </c>
      <c r="F3120" s="14" t="s">
        <v>16</v>
      </c>
      <c r="G3120" s="20" t="s">
        <v>21</v>
      </c>
      <c r="H3120" s="14" t="s">
        <v>18</v>
      </c>
      <c r="I3120" s="15">
        <v>2022.0</v>
      </c>
      <c r="J3120" s="16" t="str">
        <f>IFERROR(__xludf.DUMMYFUNCTION("FILTER('CLASFICACIÓN'!$F$3:$F5618,'CLASFICACIÓN'!$G$3:$G5618=M3120)"),"LOS 3 AÑOS")</f>
        <v>LOS 3 AÑOS</v>
      </c>
      <c r="K3120" s="16" t="str">
        <f t="array" ref="K3120">IFERROR(DGET('PADD-R'!$B$1:$K5618,'PADD-R'!$K$1,{'PADD-R'!$B$1;E3120}),"NO PARTICIPÓ")</f>
        <v>SOLO 2023</v>
      </c>
      <c r="L3120" s="14" t="s">
        <v>152</v>
      </c>
      <c r="M3120" s="16" t="str">
        <f t="shared" si="1"/>
        <v>14144 SANTA ROSA2 Primaria</v>
      </c>
      <c r="N3120" s="23"/>
      <c r="O3120" s="17"/>
      <c r="P3120" s="17"/>
      <c r="Q3120" s="17"/>
      <c r="R3120" s="17"/>
      <c r="S3120" s="17"/>
      <c r="T3120" s="17"/>
    </row>
    <row r="3121">
      <c r="A3121" s="18">
        <v>2842.0</v>
      </c>
      <c r="B3121" s="12" t="s">
        <v>48</v>
      </c>
      <c r="C3121" s="12" t="s">
        <v>14</v>
      </c>
      <c r="D3121" s="20" t="s">
        <v>15</v>
      </c>
      <c r="E3121" s="12" t="str">
        <f>IFERROR(__xludf.DUMMYFUNCTION("FILTER(colegios!$B$2:$B5618,colegios!$A$2:$A5618=L3121)"),"14144 SANTA ROSA")</f>
        <v>14144 SANTA ROSA</v>
      </c>
      <c r="F3121" s="14" t="s">
        <v>16</v>
      </c>
      <c r="G3121" s="20" t="s">
        <v>17</v>
      </c>
      <c r="H3121" s="14" t="s">
        <v>18</v>
      </c>
      <c r="I3121" s="15">
        <v>2022.0</v>
      </c>
      <c r="J3121" s="16" t="str">
        <f>IFERROR(__xludf.DUMMYFUNCTION("FILTER('CLASFICACIÓN'!$F$3:$F5618,'CLASFICACIÓN'!$G$3:$G5618=M3121)"),"LOS 3 AÑOS")</f>
        <v>LOS 3 AÑOS</v>
      </c>
      <c r="K3121" s="16" t="str">
        <f t="array" ref="K3121">IFERROR(DGET('PADD-R'!$B$1:$K5618,'PADD-R'!$K$1,{'PADD-R'!$B$1;E3121}),"NO PARTICIPÓ")</f>
        <v>SOLO 2023</v>
      </c>
      <c r="L3121" s="14" t="s">
        <v>152</v>
      </c>
      <c r="M3121" s="16" t="str">
        <f t="shared" si="1"/>
        <v>14144 SANTA ROSA2 Primaria</v>
      </c>
      <c r="N3121" s="23"/>
      <c r="O3121" s="17"/>
      <c r="P3121" s="17"/>
      <c r="Q3121" s="17"/>
      <c r="R3121" s="17"/>
      <c r="S3121" s="17"/>
      <c r="T3121" s="17"/>
    </row>
    <row r="3122">
      <c r="A3122" s="18">
        <v>2843.0</v>
      </c>
      <c r="B3122" s="12" t="s">
        <v>48</v>
      </c>
      <c r="C3122" s="12" t="s">
        <v>14</v>
      </c>
      <c r="D3122" s="20" t="s">
        <v>15</v>
      </c>
      <c r="E3122" s="12" t="str">
        <f>IFERROR(__xludf.DUMMYFUNCTION("FILTER(colegios!$B$2:$B5618,colegios!$A$2:$A5618=L3122)"),"14144 SANTA ROSA")</f>
        <v>14144 SANTA ROSA</v>
      </c>
      <c r="F3122" s="14" t="s">
        <v>16</v>
      </c>
      <c r="G3122" s="20" t="s">
        <v>21</v>
      </c>
      <c r="H3122" s="14" t="s">
        <v>18</v>
      </c>
      <c r="I3122" s="15">
        <v>2022.0</v>
      </c>
      <c r="J3122" s="16" t="str">
        <f>IFERROR(__xludf.DUMMYFUNCTION("FILTER('CLASFICACIÓN'!$F$3:$F5618,'CLASFICACIÓN'!$G$3:$G5618=M3122)"),"LOS 3 AÑOS")</f>
        <v>LOS 3 AÑOS</v>
      </c>
      <c r="K3122" s="16" t="str">
        <f t="array" ref="K3122">IFERROR(DGET('PADD-R'!$B$1:$K5618,'PADD-R'!$K$1,{'PADD-R'!$B$1;E3122}),"NO PARTICIPÓ")</f>
        <v>SOLO 2023</v>
      </c>
      <c r="L3122" s="14" t="s">
        <v>152</v>
      </c>
      <c r="M3122" s="16" t="str">
        <f t="shared" si="1"/>
        <v>14144 SANTA ROSA2 Primaria</v>
      </c>
      <c r="N3122" s="23"/>
      <c r="O3122" s="17"/>
      <c r="P3122" s="17"/>
      <c r="Q3122" s="17"/>
      <c r="R3122" s="17"/>
      <c r="S3122" s="17"/>
      <c r="T3122" s="17"/>
    </row>
    <row r="3123">
      <c r="A3123" s="18">
        <v>2844.0</v>
      </c>
      <c r="B3123" s="12" t="s">
        <v>48</v>
      </c>
      <c r="C3123" s="12" t="s">
        <v>14</v>
      </c>
      <c r="D3123" s="20" t="s">
        <v>15</v>
      </c>
      <c r="E3123" s="12" t="str">
        <f>IFERROR(__xludf.DUMMYFUNCTION("FILTER(colegios!$B$2:$B5618,colegios!$A$2:$A5618=L3123)"),"14144 SANTA ROSA")</f>
        <v>14144 SANTA ROSA</v>
      </c>
      <c r="F3123" s="14" t="s">
        <v>16</v>
      </c>
      <c r="G3123" s="20" t="s">
        <v>21</v>
      </c>
      <c r="H3123" s="14" t="s">
        <v>18</v>
      </c>
      <c r="I3123" s="15">
        <v>2022.0</v>
      </c>
      <c r="J3123" s="16" t="str">
        <f>IFERROR(__xludf.DUMMYFUNCTION("FILTER('CLASFICACIÓN'!$F$3:$F5618,'CLASFICACIÓN'!$G$3:$G5618=M3123)"),"LOS 3 AÑOS")</f>
        <v>LOS 3 AÑOS</v>
      </c>
      <c r="K3123" s="16" t="str">
        <f t="array" ref="K3123">IFERROR(DGET('PADD-R'!$B$1:$K5618,'PADD-R'!$K$1,{'PADD-R'!$B$1;E3123}),"NO PARTICIPÓ")</f>
        <v>SOLO 2023</v>
      </c>
      <c r="L3123" s="14" t="s">
        <v>152</v>
      </c>
      <c r="M3123" s="16" t="str">
        <f t="shared" si="1"/>
        <v>14144 SANTA ROSA2 Primaria</v>
      </c>
      <c r="N3123" s="23"/>
      <c r="O3123" s="17"/>
      <c r="P3123" s="17"/>
      <c r="Q3123" s="17"/>
      <c r="R3123" s="17"/>
      <c r="S3123" s="17"/>
      <c r="T3123" s="17"/>
    </row>
    <row r="3124">
      <c r="A3124" s="18">
        <v>2845.0</v>
      </c>
      <c r="B3124" s="12" t="s">
        <v>48</v>
      </c>
      <c r="C3124" s="12" t="s">
        <v>14</v>
      </c>
      <c r="D3124" s="20" t="s">
        <v>15</v>
      </c>
      <c r="E3124" s="12" t="str">
        <f>IFERROR(__xludf.DUMMYFUNCTION("FILTER(colegios!$B$2:$B5618,colegios!$A$2:$A5618=L3124)"),"14144 SANTA ROSA")</f>
        <v>14144 SANTA ROSA</v>
      </c>
      <c r="F3124" s="14" t="s">
        <v>16</v>
      </c>
      <c r="G3124" s="20" t="s">
        <v>21</v>
      </c>
      <c r="H3124" s="14" t="s">
        <v>18</v>
      </c>
      <c r="I3124" s="15">
        <v>2022.0</v>
      </c>
      <c r="J3124" s="16" t="str">
        <f>IFERROR(__xludf.DUMMYFUNCTION("FILTER('CLASFICACIÓN'!$F$3:$F5618,'CLASFICACIÓN'!$G$3:$G5618=M3124)"),"LOS 3 AÑOS")</f>
        <v>LOS 3 AÑOS</v>
      </c>
      <c r="K3124" s="16" t="str">
        <f t="array" ref="K3124">IFERROR(DGET('PADD-R'!$B$1:$K5618,'PADD-R'!$K$1,{'PADD-R'!$B$1;E3124}),"NO PARTICIPÓ")</f>
        <v>SOLO 2023</v>
      </c>
      <c r="L3124" s="14" t="s">
        <v>152</v>
      </c>
      <c r="M3124" s="16" t="str">
        <f t="shared" si="1"/>
        <v>14144 SANTA ROSA2 Primaria</v>
      </c>
      <c r="N3124" s="23"/>
      <c r="O3124" s="17"/>
      <c r="P3124" s="17"/>
      <c r="Q3124" s="17"/>
      <c r="R3124" s="17"/>
      <c r="S3124" s="17"/>
      <c r="T3124" s="17"/>
    </row>
    <row r="3125">
      <c r="A3125" s="18">
        <v>2846.0</v>
      </c>
      <c r="B3125" s="12" t="s">
        <v>48</v>
      </c>
      <c r="C3125" s="12" t="s">
        <v>14</v>
      </c>
      <c r="D3125" s="20" t="s">
        <v>15</v>
      </c>
      <c r="E3125" s="12" t="str">
        <f>IFERROR(__xludf.DUMMYFUNCTION("FILTER(colegios!$B$2:$B5618,colegios!$A$2:$A5618=L3125)"),"14144 SANTA ROSA")</f>
        <v>14144 SANTA ROSA</v>
      </c>
      <c r="F3125" s="14" t="s">
        <v>16</v>
      </c>
      <c r="G3125" s="20" t="s">
        <v>17</v>
      </c>
      <c r="H3125" s="14" t="s">
        <v>18</v>
      </c>
      <c r="I3125" s="15">
        <v>2022.0</v>
      </c>
      <c r="J3125" s="16" t="str">
        <f>IFERROR(__xludf.DUMMYFUNCTION("FILTER('CLASFICACIÓN'!$F$3:$F5618,'CLASFICACIÓN'!$G$3:$G5618=M3125)"),"LOS 3 AÑOS")</f>
        <v>LOS 3 AÑOS</v>
      </c>
      <c r="K3125" s="16" t="str">
        <f t="array" ref="K3125">IFERROR(DGET('PADD-R'!$B$1:$K5618,'PADD-R'!$K$1,{'PADD-R'!$B$1;E3125}),"NO PARTICIPÓ")</f>
        <v>SOLO 2023</v>
      </c>
      <c r="L3125" s="14" t="s">
        <v>152</v>
      </c>
      <c r="M3125" s="16" t="str">
        <f t="shared" si="1"/>
        <v>14144 SANTA ROSA2 Primaria</v>
      </c>
      <c r="N3125" s="23"/>
      <c r="O3125" s="17"/>
      <c r="P3125" s="17"/>
      <c r="Q3125" s="17"/>
      <c r="R3125" s="17"/>
      <c r="S3125" s="17"/>
      <c r="T3125" s="17"/>
    </row>
    <row r="3126">
      <c r="A3126" s="18">
        <v>2847.0</v>
      </c>
      <c r="B3126" s="12" t="s">
        <v>48</v>
      </c>
      <c r="C3126" s="12" t="s">
        <v>14</v>
      </c>
      <c r="D3126" s="20" t="s">
        <v>15</v>
      </c>
      <c r="E3126" s="12" t="str">
        <f>IFERROR(__xludf.DUMMYFUNCTION("FILTER(colegios!$B$2:$B5618,colegios!$A$2:$A5618=L3126)"),"14144 SANTA ROSA")</f>
        <v>14144 SANTA ROSA</v>
      </c>
      <c r="F3126" s="14" t="s">
        <v>16</v>
      </c>
      <c r="G3126" s="20" t="s">
        <v>21</v>
      </c>
      <c r="H3126" s="14" t="s">
        <v>18</v>
      </c>
      <c r="I3126" s="15">
        <v>2022.0</v>
      </c>
      <c r="J3126" s="16" t="str">
        <f>IFERROR(__xludf.DUMMYFUNCTION("FILTER('CLASFICACIÓN'!$F$3:$F5618,'CLASFICACIÓN'!$G$3:$G5618=M3126)"),"LOS 3 AÑOS")</f>
        <v>LOS 3 AÑOS</v>
      </c>
      <c r="K3126" s="16" t="str">
        <f t="array" ref="K3126">IFERROR(DGET('PADD-R'!$B$1:$K5618,'PADD-R'!$K$1,{'PADD-R'!$B$1;E3126}),"NO PARTICIPÓ")</f>
        <v>SOLO 2023</v>
      </c>
      <c r="L3126" s="14" t="s">
        <v>152</v>
      </c>
      <c r="M3126" s="16" t="str">
        <f t="shared" si="1"/>
        <v>14144 SANTA ROSA2 Primaria</v>
      </c>
      <c r="N3126" s="23"/>
      <c r="O3126" s="17"/>
      <c r="P3126" s="17"/>
      <c r="Q3126" s="17"/>
      <c r="R3126" s="17"/>
      <c r="S3126" s="17"/>
      <c r="T3126" s="17"/>
    </row>
    <row r="3127">
      <c r="A3127" s="18">
        <v>2848.0</v>
      </c>
      <c r="B3127" s="12" t="s">
        <v>48</v>
      </c>
      <c r="C3127" s="12" t="s">
        <v>14</v>
      </c>
      <c r="D3127" s="20" t="s">
        <v>15</v>
      </c>
      <c r="E3127" s="12" t="str">
        <f>IFERROR(__xludf.DUMMYFUNCTION("FILTER(colegios!$B$2:$B5618,colegios!$A$2:$A5618=L3127)"),"14144 SANTA ROSA")</f>
        <v>14144 SANTA ROSA</v>
      </c>
      <c r="F3127" s="14" t="s">
        <v>16</v>
      </c>
      <c r="G3127" s="20" t="s">
        <v>17</v>
      </c>
      <c r="H3127" s="14" t="s">
        <v>18</v>
      </c>
      <c r="I3127" s="15">
        <v>2022.0</v>
      </c>
      <c r="J3127" s="16" t="str">
        <f>IFERROR(__xludf.DUMMYFUNCTION("FILTER('CLASFICACIÓN'!$F$3:$F5618,'CLASFICACIÓN'!$G$3:$G5618=M3127)"),"LOS 3 AÑOS")</f>
        <v>LOS 3 AÑOS</v>
      </c>
      <c r="K3127" s="16" t="str">
        <f t="array" ref="K3127">IFERROR(DGET('PADD-R'!$B$1:$K5618,'PADD-R'!$K$1,{'PADD-R'!$B$1;E3127}),"NO PARTICIPÓ")</f>
        <v>SOLO 2023</v>
      </c>
      <c r="L3127" s="14" t="s">
        <v>152</v>
      </c>
      <c r="M3127" s="16" t="str">
        <f t="shared" si="1"/>
        <v>14144 SANTA ROSA2 Primaria</v>
      </c>
      <c r="N3127" s="23"/>
      <c r="O3127" s="17"/>
      <c r="P3127" s="17"/>
      <c r="Q3127" s="17"/>
      <c r="R3127" s="17"/>
      <c r="S3127" s="17"/>
      <c r="T3127" s="17"/>
    </row>
    <row r="3128">
      <c r="A3128" s="18">
        <v>2849.0</v>
      </c>
      <c r="B3128" s="12" t="s">
        <v>48</v>
      </c>
      <c r="C3128" s="12" t="s">
        <v>14</v>
      </c>
      <c r="D3128" s="20" t="s">
        <v>15</v>
      </c>
      <c r="E3128" s="12" t="str">
        <f>IFERROR(__xludf.DUMMYFUNCTION("FILTER(colegios!$B$2:$B5618,colegios!$A$2:$A5618=L3128)"),"14144 SANTA ROSA")</f>
        <v>14144 SANTA ROSA</v>
      </c>
      <c r="F3128" s="14" t="s">
        <v>16</v>
      </c>
      <c r="G3128" s="20" t="s">
        <v>17</v>
      </c>
      <c r="H3128" s="14" t="s">
        <v>18</v>
      </c>
      <c r="I3128" s="15">
        <v>2022.0</v>
      </c>
      <c r="J3128" s="16" t="str">
        <f>IFERROR(__xludf.DUMMYFUNCTION("FILTER('CLASFICACIÓN'!$F$3:$F5618,'CLASFICACIÓN'!$G$3:$G5618=M3128)"),"LOS 3 AÑOS")</f>
        <v>LOS 3 AÑOS</v>
      </c>
      <c r="K3128" s="16" t="str">
        <f t="array" ref="K3128">IFERROR(DGET('PADD-R'!$B$1:$K5618,'PADD-R'!$K$1,{'PADD-R'!$B$1;E3128}),"NO PARTICIPÓ")</f>
        <v>SOLO 2023</v>
      </c>
      <c r="L3128" s="14" t="s">
        <v>152</v>
      </c>
      <c r="M3128" s="16" t="str">
        <f t="shared" si="1"/>
        <v>14144 SANTA ROSA2 Primaria</v>
      </c>
      <c r="N3128" s="23"/>
      <c r="O3128" s="17"/>
      <c r="P3128" s="17"/>
      <c r="Q3128" s="17"/>
      <c r="R3128" s="17"/>
      <c r="S3128" s="17"/>
      <c r="T3128" s="17"/>
    </row>
    <row r="3129">
      <c r="A3129" s="18">
        <v>2850.0</v>
      </c>
      <c r="B3129" s="12" t="s">
        <v>48</v>
      </c>
      <c r="C3129" s="12" t="s">
        <v>27</v>
      </c>
      <c r="D3129" s="20" t="s">
        <v>28</v>
      </c>
      <c r="E3129" s="12" t="str">
        <f>IFERROR(__xludf.DUMMYFUNCTION("FILTER(colegios!$B$2:$B5618,colegios!$A$2:$A5618=L3129)"),"14144 SANTA ROSA")</f>
        <v>14144 SANTA ROSA</v>
      </c>
      <c r="F3129" s="14" t="s">
        <v>16</v>
      </c>
      <c r="G3129" s="20" t="s">
        <v>17</v>
      </c>
      <c r="H3129" s="14" t="s">
        <v>18</v>
      </c>
      <c r="I3129" s="15">
        <v>2022.0</v>
      </c>
      <c r="J3129" s="16" t="str">
        <f>IFERROR(__xludf.DUMMYFUNCTION("FILTER('CLASFICACIÓN'!$F$3:$F5618,'CLASFICACIÓN'!$G$3:$G5618=M3129)"),"SOLO LINEA BASE")</f>
        <v>SOLO LINEA BASE</v>
      </c>
      <c r="K3129" s="16" t="str">
        <f t="array" ref="K3129">IFERROR(DGET('PADD-R'!$B$1:$K5618,'PADD-R'!$K$1,{'PADD-R'!$B$1;E3129}),"NO PARTICIPÓ")</f>
        <v>SOLO 2023</v>
      </c>
      <c r="L3129" s="14" t="s">
        <v>152</v>
      </c>
      <c r="M3129" s="16" t="str">
        <f t="shared" si="1"/>
        <v>14144 SANTA ROSA2 Secundaria</v>
      </c>
      <c r="N3129" s="23"/>
      <c r="O3129" s="17"/>
      <c r="P3129" s="17"/>
      <c r="Q3129" s="17"/>
      <c r="R3129" s="17"/>
      <c r="S3129" s="17"/>
      <c r="T3129" s="17"/>
    </row>
    <row r="3130">
      <c r="A3130" s="18">
        <v>2851.0</v>
      </c>
      <c r="B3130" s="12" t="s">
        <v>48</v>
      </c>
      <c r="C3130" s="12" t="s">
        <v>27</v>
      </c>
      <c r="D3130" s="20" t="s">
        <v>28</v>
      </c>
      <c r="E3130" s="12" t="str">
        <f>IFERROR(__xludf.DUMMYFUNCTION("FILTER(colegios!$B$2:$B5618,colegios!$A$2:$A5618=L3130)"),"14144 SANTA ROSA")</f>
        <v>14144 SANTA ROSA</v>
      </c>
      <c r="F3130" s="14" t="s">
        <v>16</v>
      </c>
      <c r="G3130" s="20" t="s">
        <v>21</v>
      </c>
      <c r="H3130" s="14" t="s">
        <v>18</v>
      </c>
      <c r="I3130" s="15">
        <v>2022.0</v>
      </c>
      <c r="J3130" s="16" t="str">
        <f>IFERROR(__xludf.DUMMYFUNCTION("FILTER('CLASFICACIÓN'!$F$3:$F5618,'CLASFICACIÓN'!$G$3:$G5618=M3130)"),"SOLO LINEA BASE")</f>
        <v>SOLO LINEA BASE</v>
      </c>
      <c r="K3130" s="16" t="str">
        <f t="array" ref="K3130">IFERROR(DGET('PADD-R'!$B$1:$K5618,'PADD-R'!$K$1,{'PADD-R'!$B$1;E3130}),"NO PARTICIPÓ")</f>
        <v>SOLO 2023</v>
      </c>
      <c r="L3130" s="14" t="s">
        <v>152</v>
      </c>
      <c r="M3130" s="16" t="str">
        <f t="shared" si="1"/>
        <v>14144 SANTA ROSA2 Secundaria</v>
      </c>
      <c r="N3130" s="23"/>
      <c r="O3130" s="17"/>
      <c r="P3130" s="17"/>
      <c r="Q3130" s="17"/>
      <c r="R3130" s="17"/>
      <c r="S3130" s="17"/>
      <c r="T3130" s="17"/>
    </row>
    <row r="3131">
      <c r="A3131" s="18">
        <v>2852.0</v>
      </c>
      <c r="B3131" s="12" t="s">
        <v>48</v>
      </c>
      <c r="C3131" s="12" t="s">
        <v>27</v>
      </c>
      <c r="D3131" s="20" t="s">
        <v>28</v>
      </c>
      <c r="E3131" s="12" t="str">
        <f>IFERROR(__xludf.DUMMYFUNCTION("FILTER(colegios!$B$2:$B5618,colegios!$A$2:$A5618=L3131)"),"14144 SANTA ROSA")</f>
        <v>14144 SANTA ROSA</v>
      </c>
      <c r="F3131" s="14" t="s">
        <v>16</v>
      </c>
      <c r="G3131" s="20" t="s">
        <v>21</v>
      </c>
      <c r="H3131" s="14" t="s">
        <v>18</v>
      </c>
      <c r="I3131" s="15">
        <v>2022.0</v>
      </c>
      <c r="J3131" s="16" t="str">
        <f>IFERROR(__xludf.DUMMYFUNCTION("FILTER('CLASFICACIÓN'!$F$3:$F5618,'CLASFICACIÓN'!$G$3:$G5618=M3131)"),"SOLO LINEA BASE")</f>
        <v>SOLO LINEA BASE</v>
      </c>
      <c r="K3131" s="16" t="str">
        <f t="array" ref="K3131">IFERROR(DGET('PADD-R'!$B$1:$K5618,'PADD-R'!$K$1,{'PADD-R'!$B$1;E3131}),"NO PARTICIPÓ")</f>
        <v>SOLO 2023</v>
      </c>
      <c r="L3131" s="14" t="s">
        <v>152</v>
      </c>
      <c r="M3131" s="16" t="str">
        <f t="shared" si="1"/>
        <v>14144 SANTA ROSA2 Secundaria</v>
      </c>
      <c r="N3131" s="23"/>
      <c r="O3131" s="17"/>
      <c r="P3131" s="17"/>
      <c r="Q3131" s="17"/>
      <c r="R3131" s="17"/>
      <c r="S3131" s="17"/>
      <c r="T3131" s="17"/>
    </row>
    <row r="3132">
      <c r="A3132" s="18">
        <v>2853.0</v>
      </c>
      <c r="B3132" s="12" t="s">
        <v>48</v>
      </c>
      <c r="C3132" s="12" t="s">
        <v>27</v>
      </c>
      <c r="D3132" s="20" t="s">
        <v>28</v>
      </c>
      <c r="E3132" s="12" t="str">
        <f>IFERROR(__xludf.DUMMYFUNCTION("FILTER(colegios!$B$2:$B5618,colegios!$A$2:$A5618=L3132)"),"14144 SANTA ROSA")</f>
        <v>14144 SANTA ROSA</v>
      </c>
      <c r="F3132" s="14" t="s">
        <v>16</v>
      </c>
      <c r="G3132" s="20" t="s">
        <v>17</v>
      </c>
      <c r="H3132" s="14" t="s">
        <v>18</v>
      </c>
      <c r="I3132" s="15">
        <v>2022.0</v>
      </c>
      <c r="J3132" s="16" t="str">
        <f>IFERROR(__xludf.DUMMYFUNCTION("FILTER('CLASFICACIÓN'!$F$3:$F5618,'CLASFICACIÓN'!$G$3:$G5618=M3132)"),"SOLO LINEA BASE")</f>
        <v>SOLO LINEA BASE</v>
      </c>
      <c r="K3132" s="16" t="str">
        <f t="array" ref="K3132">IFERROR(DGET('PADD-R'!$B$1:$K5618,'PADD-R'!$K$1,{'PADD-R'!$B$1;E3132}),"NO PARTICIPÓ")</f>
        <v>SOLO 2023</v>
      </c>
      <c r="L3132" s="14" t="s">
        <v>152</v>
      </c>
      <c r="M3132" s="16" t="str">
        <f t="shared" si="1"/>
        <v>14144 SANTA ROSA2 Secundaria</v>
      </c>
      <c r="N3132" s="23"/>
      <c r="O3132" s="17"/>
      <c r="P3132" s="17"/>
      <c r="Q3132" s="17"/>
      <c r="R3132" s="17"/>
      <c r="S3132" s="17"/>
      <c r="T3132" s="17"/>
    </row>
    <row r="3133">
      <c r="A3133" s="18">
        <v>2854.0</v>
      </c>
      <c r="B3133" s="12" t="s">
        <v>48</v>
      </c>
      <c r="C3133" s="12" t="s">
        <v>27</v>
      </c>
      <c r="D3133" s="20" t="s">
        <v>28</v>
      </c>
      <c r="E3133" s="12" t="str">
        <f>IFERROR(__xludf.DUMMYFUNCTION("FILTER(colegios!$B$2:$B5618,colegios!$A$2:$A5618=L3133)"),"14144 SANTA ROSA")</f>
        <v>14144 SANTA ROSA</v>
      </c>
      <c r="F3133" s="14" t="s">
        <v>16</v>
      </c>
      <c r="G3133" s="20" t="s">
        <v>21</v>
      </c>
      <c r="H3133" s="14" t="s">
        <v>18</v>
      </c>
      <c r="I3133" s="15">
        <v>2022.0</v>
      </c>
      <c r="J3133" s="16" t="str">
        <f>IFERROR(__xludf.DUMMYFUNCTION("FILTER('CLASFICACIÓN'!$F$3:$F5618,'CLASFICACIÓN'!$G$3:$G5618=M3133)"),"SOLO LINEA BASE")</f>
        <v>SOLO LINEA BASE</v>
      </c>
      <c r="K3133" s="16" t="str">
        <f t="array" ref="K3133">IFERROR(DGET('PADD-R'!$B$1:$K5618,'PADD-R'!$K$1,{'PADD-R'!$B$1;E3133}),"NO PARTICIPÓ")</f>
        <v>SOLO 2023</v>
      </c>
      <c r="L3133" s="14" t="s">
        <v>152</v>
      </c>
      <c r="M3133" s="16" t="str">
        <f t="shared" si="1"/>
        <v>14144 SANTA ROSA2 Secundaria</v>
      </c>
      <c r="N3133" s="23"/>
      <c r="O3133" s="17"/>
      <c r="P3133" s="17"/>
      <c r="Q3133" s="17"/>
      <c r="R3133" s="17"/>
      <c r="S3133" s="17"/>
      <c r="T3133" s="17"/>
    </row>
    <row r="3134">
      <c r="A3134" s="18">
        <v>2855.0</v>
      </c>
      <c r="B3134" s="12" t="s">
        <v>48</v>
      </c>
      <c r="C3134" s="12" t="s">
        <v>27</v>
      </c>
      <c r="D3134" s="20" t="s">
        <v>28</v>
      </c>
      <c r="E3134" s="12" t="str">
        <f>IFERROR(__xludf.DUMMYFUNCTION("FILTER(colegios!$B$2:$B5618,colegios!$A$2:$A5618=L3134)"),"14144 SANTA ROSA")</f>
        <v>14144 SANTA ROSA</v>
      </c>
      <c r="F3134" s="14" t="s">
        <v>16</v>
      </c>
      <c r="G3134" s="20" t="s">
        <v>17</v>
      </c>
      <c r="H3134" s="14" t="s">
        <v>18</v>
      </c>
      <c r="I3134" s="15">
        <v>2022.0</v>
      </c>
      <c r="J3134" s="16" t="str">
        <f>IFERROR(__xludf.DUMMYFUNCTION("FILTER('CLASFICACIÓN'!$F$3:$F5618,'CLASFICACIÓN'!$G$3:$G5618=M3134)"),"SOLO LINEA BASE")</f>
        <v>SOLO LINEA BASE</v>
      </c>
      <c r="K3134" s="16" t="str">
        <f t="array" ref="K3134">IFERROR(DGET('PADD-R'!$B$1:$K5618,'PADD-R'!$K$1,{'PADD-R'!$B$1;E3134}),"NO PARTICIPÓ")</f>
        <v>SOLO 2023</v>
      </c>
      <c r="L3134" s="14" t="s">
        <v>152</v>
      </c>
      <c r="M3134" s="16" t="str">
        <f t="shared" si="1"/>
        <v>14144 SANTA ROSA2 Secundaria</v>
      </c>
      <c r="N3134" s="23"/>
      <c r="O3134" s="17"/>
      <c r="P3134" s="17"/>
      <c r="Q3134" s="17"/>
      <c r="R3134" s="17"/>
      <c r="S3134" s="17"/>
      <c r="T3134" s="17"/>
    </row>
    <row r="3135">
      <c r="A3135" s="18">
        <v>2856.0</v>
      </c>
      <c r="B3135" s="12" t="s">
        <v>48</v>
      </c>
      <c r="C3135" s="12" t="s">
        <v>27</v>
      </c>
      <c r="D3135" s="20" t="s">
        <v>28</v>
      </c>
      <c r="E3135" s="12" t="str">
        <f>IFERROR(__xludf.DUMMYFUNCTION("FILTER(colegios!$B$2:$B5618,colegios!$A$2:$A5618=L3135)"),"14144 SANTA ROSA")</f>
        <v>14144 SANTA ROSA</v>
      </c>
      <c r="F3135" s="14" t="s">
        <v>16</v>
      </c>
      <c r="G3135" s="20" t="s">
        <v>17</v>
      </c>
      <c r="H3135" s="14" t="s">
        <v>18</v>
      </c>
      <c r="I3135" s="15">
        <v>2022.0</v>
      </c>
      <c r="J3135" s="16" t="str">
        <f>IFERROR(__xludf.DUMMYFUNCTION("FILTER('CLASFICACIÓN'!$F$3:$F5618,'CLASFICACIÓN'!$G$3:$G5618=M3135)"),"SOLO LINEA BASE")</f>
        <v>SOLO LINEA BASE</v>
      </c>
      <c r="K3135" s="16" t="str">
        <f t="array" ref="K3135">IFERROR(DGET('PADD-R'!$B$1:$K5618,'PADD-R'!$K$1,{'PADD-R'!$B$1;E3135}),"NO PARTICIPÓ")</f>
        <v>SOLO 2023</v>
      </c>
      <c r="L3135" s="14" t="s">
        <v>152</v>
      </c>
      <c r="M3135" s="16" t="str">
        <f t="shared" si="1"/>
        <v>14144 SANTA ROSA2 Secundaria</v>
      </c>
      <c r="N3135" s="23"/>
      <c r="O3135" s="17"/>
      <c r="P3135" s="17"/>
      <c r="Q3135" s="17"/>
      <c r="R3135" s="17"/>
      <c r="S3135" s="17"/>
      <c r="T3135" s="17"/>
    </row>
    <row r="3136">
      <c r="A3136" s="18">
        <v>2857.0</v>
      </c>
      <c r="B3136" s="12" t="s">
        <v>48</v>
      </c>
      <c r="C3136" s="12" t="s">
        <v>27</v>
      </c>
      <c r="D3136" s="20" t="s">
        <v>28</v>
      </c>
      <c r="E3136" s="12" t="str">
        <f>IFERROR(__xludf.DUMMYFUNCTION("FILTER(colegios!$B$2:$B5618,colegios!$A$2:$A5618=L3136)"),"14144 SANTA ROSA")</f>
        <v>14144 SANTA ROSA</v>
      </c>
      <c r="F3136" s="14" t="s">
        <v>16</v>
      </c>
      <c r="G3136" s="20" t="s">
        <v>17</v>
      </c>
      <c r="H3136" s="14" t="s">
        <v>18</v>
      </c>
      <c r="I3136" s="15">
        <v>2022.0</v>
      </c>
      <c r="J3136" s="16" t="str">
        <f>IFERROR(__xludf.DUMMYFUNCTION("FILTER('CLASFICACIÓN'!$F$3:$F5618,'CLASFICACIÓN'!$G$3:$G5618=M3136)"),"SOLO LINEA BASE")</f>
        <v>SOLO LINEA BASE</v>
      </c>
      <c r="K3136" s="16" t="str">
        <f t="array" ref="K3136">IFERROR(DGET('PADD-R'!$B$1:$K5618,'PADD-R'!$K$1,{'PADD-R'!$B$1;E3136}),"NO PARTICIPÓ")</f>
        <v>SOLO 2023</v>
      </c>
      <c r="L3136" s="14" t="s">
        <v>152</v>
      </c>
      <c r="M3136" s="16" t="str">
        <f t="shared" si="1"/>
        <v>14144 SANTA ROSA2 Secundaria</v>
      </c>
      <c r="N3136" s="23"/>
      <c r="O3136" s="17"/>
      <c r="P3136" s="17"/>
      <c r="Q3136" s="17"/>
      <c r="R3136" s="17"/>
      <c r="S3136" s="17"/>
      <c r="T3136" s="17"/>
    </row>
    <row r="3137">
      <c r="A3137" s="18">
        <v>2858.0</v>
      </c>
      <c r="B3137" s="12" t="s">
        <v>48</v>
      </c>
      <c r="C3137" s="12" t="s">
        <v>27</v>
      </c>
      <c r="D3137" s="20" t="s">
        <v>28</v>
      </c>
      <c r="E3137" s="12" t="str">
        <f>IFERROR(__xludf.DUMMYFUNCTION("FILTER(colegios!$B$2:$B5618,colegios!$A$2:$A5618=L3137)"),"14144 SANTA ROSA")</f>
        <v>14144 SANTA ROSA</v>
      </c>
      <c r="F3137" s="14" t="s">
        <v>16</v>
      </c>
      <c r="G3137" s="20" t="s">
        <v>21</v>
      </c>
      <c r="H3137" s="14" t="s">
        <v>18</v>
      </c>
      <c r="I3137" s="15">
        <v>2022.0</v>
      </c>
      <c r="J3137" s="16" t="str">
        <f>IFERROR(__xludf.DUMMYFUNCTION("FILTER('CLASFICACIÓN'!$F$3:$F5618,'CLASFICACIÓN'!$G$3:$G5618=M3137)"),"SOLO LINEA BASE")</f>
        <v>SOLO LINEA BASE</v>
      </c>
      <c r="K3137" s="16" t="str">
        <f t="array" ref="K3137">IFERROR(DGET('PADD-R'!$B$1:$K5618,'PADD-R'!$K$1,{'PADD-R'!$B$1;E3137}),"NO PARTICIPÓ")</f>
        <v>SOLO 2023</v>
      </c>
      <c r="L3137" s="14" t="s">
        <v>152</v>
      </c>
      <c r="M3137" s="16" t="str">
        <f t="shared" si="1"/>
        <v>14144 SANTA ROSA2 Secundaria</v>
      </c>
      <c r="N3137" s="23"/>
      <c r="O3137" s="17"/>
      <c r="P3137" s="17"/>
      <c r="Q3137" s="17"/>
      <c r="R3137" s="17"/>
      <c r="S3137" s="17"/>
      <c r="T3137" s="17"/>
    </row>
    <row r="3138">
      <c r="A3138" s="18">
        <v>2859.0</v>
      </c>
      <c r="B3138" s="12" t="s">
        <v>48</v>
      </c>
      <c r="C3138" s="12" t="s">
        <v>27</v>
      </c>
      <c r="D3138" s="20" t="s">
        <v>28</v>
      </c>
      <c r="E3138" s="12" t="str">
        <f>IFERROR(__xludf.DUMMYFUNCTION("FILTER(colegios!$B$2:$B5618,colegios!$A$2:$A5618=L3138)"),"14144 SANTA ROSA")</f>
        <v>14144 SANTA ROSA</v>
      </c>
      <c r="F3138" s="14" t="s">
        <v>16</v>
      </c>
      <c r="G3138" s="20" t="s">
        <v>21</v>
      </c>
      <c r="H3138" s="14" t="s">
        <v>18</v>
      </c>
      <c r="I3138" s="15">
        <v>2022.0</v>
      </c>
      <c r="J3138" s="16" t="str">
        <f>IFERROR(__xludf.DUMMYFUNCTION("FILTER('CLASFICACIÓN'!$F$3:$F5618,'CLASFICACIÓN'!$G$3:$G5618=M3138)"),"SOLO LINEA BASE")</f>
        <v>SOLO LINEA BASE</v>
      </c>
      <c r="K3138" s="16" t="str">
        <f t="array" ref="K3138">IFERROR(DGET('PADD-R'!$B$1:$K5618,'PADD-R'!$K$1,{'PADD-R'!$B$1;E3138}),"NO PARTICIPÓ")</f>
        <v>SOLO 2023</v>
      </c>
      <c r="L3138" s="14" t="s">
        <v>152</v>
      </c>
      <c r="M3138" s="16" t="str">
        <f t="shared" si="1"/>
        <v>14144 SANTA ROSA2 Secundaria</v>
      </c>
      <c r="N3138" s="23"/>
      <c r="O3138" s="17"/>
      <c r="P3138" s="17"/>
      <c r="Q3138" s="17"/>
      <c r="R3138" s="17"/>
      <c r="S3138" s="17"/>
      <c r="T3138" s="17"/>
    </row>
    <row r="3139">
      <c r="A3139" s="18">
        <v>2860.0</v>
      </c>
      <c r="B3139" s="12" t="s">
        <v>48</v>
      </c>
      <c r="C3139" s="12" t="s">
        <v>27</v>
      </c>
      <c r="D3139" s="20" t="s">
        <v>28</v>
      </c>
      <c r="E3139" s="12" t="str">
        <f>IFERROR(__xludf.DUMMYFUNCTION("FILTER(colegios!$B$2:$B5618,colegios!$A$2:$A5618=L3139)"),"14144 SANTA ROSA")</f>
        <v>14144 SANTA ROSA</v>
      </c>
      <c r="F3139" s="14" t="s">
        <v>16</v>
      </c>
      <c r="G3139" s="20" t="s">
        <v>17</v>
      </c>
      <c r="H3139" s="14" t="s">
        <v>18</v>
      </c>
      <c r="I3139" s="15">
        <v>2022.0</v>
      </c>
      <c r="J3139" s="16" t="str">
        <f>IFERROR(__xludf.DUMMYFUNCTION("FILTER('CLASFICACIÓN'!$F$3:$F5618,'CLASFICACIÓN'!$G$3:$G5618=M3139)"),"SOLO LINEA BASE")</f>
        <v>SOLO LINEA BASE</v>
      </c>
      <c r="K3139" s="16" t="str">
        <f t="array" ref="K3139">IFERROR(DGET('PADD-R'!$B$1:$K5618,'PADD-R'!$K$1,{'PADD-R'!$B$1;E3139}),"NO PARTICIPÓ")</f>
        <v>SOLO 2023</v>
      </c>
      <c r="L3139" s="14" t="s">
        <v>152</v>
      </c>
      <c r="M3139" s="16" t="str">
        <f t="shared" si="1"/>
        <v>14144 SANTA ROSA2 Secundaria</v>
      </c>
      <c r="N3139" s="23"/>
      <c r="O3139" s="17"/>
      <c r="P3139" s="17"/>
      <c r="Q3139" s="17"/>
      <c r="R3139" s="17"/>
      <c r="S3139" s="17"/>
      <c r="T3139" s="17"/>
    </row>
    <row r="3140">
      <c r="A3140" s="18">
        <v>2861.0</v>
      </c>
      <c r="B3140" s="12" t="s">
        <v>48</v>
      </c>
      <c r="C3140" s="12" t="s">
        <v>27</v>
      </c>
      <c r="D3140" s="20" t="s">
        <v>28</v>
      </c>
      <c r="E3140" s="12" t="str">
        <f>IFERROR(__xludf.DUMMYFUNCTION("FILTER(colegios!$B$2:$B5618,colegios!$A$2:$A5618=L3140)"),"14144 SANTA ROSA")</f>
        <v>14144 SANTA ROSA</v>
      </c>
      <c r="F3140" s="14" t="s">
        <v>16</v>
      </c>
      <c r="G3140" s="20" t="s">
        <v>17</v>
      </c>
      <c r="H3140" s="14" t="s">
        <v>18</v>
      </c>
      <c r="I3140" s="15">
        <v>2022.0</v>
      </c>
      <c r="J3140" s="16" t="str">
        <f>IFERROR(__xludf.DUMMYFUNCTION("FILTER('CLASFICACIÓN'!$F$3:$F5618,'CLASFICACIÓN'!$G$3:$G5618=M3140)"),"SOLO LINEA BASE")</f>
        <v>SOLO LINEA BASE</v>
      </c>
      <c r="K3140" s="16" t="str">
        <f t="array" ref="K3140">IFERROR(DGET('PADD-R'!$B$1:$K5618,'PADD-R'!$K$1,{'PADD-R'!$B$1;E3140}),"NO PARTICIPÓ")</f>
        <v>SOLO 2023</v>
      </c>
      <c r="L3140" s="14" t="s">
        <v>152</v>
      </c>
      <c r="M3140" s="16" t="str">
        <f t="shared" si="1"/>
        <v>14144 SANTA ROSA2 Secundaria</v>
      </c>
      <c r="N3140" s="23"/>
      <c r="O3140" s="17"/>
      <c r="P3140" s="17"/>
      <c r="Q3140" s="17"/>
      <c r="R3140" s="17"/>
      <c r="S3140" s="17"/>
      <c r="T3140" s="17"/>
    </row>
    <row r="3141">
      <c r="A3141" s="18">
        <v>2862.0</v>
      </c>
      <c r="B3141" s="12" t="s">
        <v>48</v>
      </c>
      <c r="C3141" s="12" t="s">
        <v>27</v>
      </c>
      <c r="D3141" s="20" t="s">
        <v>28</v>
      </c>
      <c r="E3141" s="12" t="str">
        <f>IFERROR(__xludf.DUMMYFUNCTION("FILTER(colegios!$B$2:$B5618,colegios!$A$2:$A5618=L3141)"),"14144 SANTA ROSA")</f>
        <v>14144 SANTA ROSA</v>
      </c>
      <c r="F3141" s="14" t="s">
        <v>16</v>
      </c>
      <c r="G3141" s="20" t="s">
        <v>21</v>
      </c>
      <c r="H3141" s="14" t="s">
        <v>18</v>
      </c>
      <c r="I3141" s="15">
        <v>2022.0</v>
      </c>
      <c r="J3141" s="16" t="str">
        <f>IFERROR(__xludf.DUMMYFUNCTION("FILTER('CLASFICACIÓN'!$F$3:$F5618,'CLASFICACIÓN'!$G$3:$G5618=M3141)"),"SOLO LINEA BASE")</f>
        <v>SOLO LINEA BASE</v>
      </c>
      <c r="K3141" s="16" t="str">
        <f t="array" ref="K3141">IFERROR(DGET('PADD-R'!$B$1:$K5618,'PADD-R'!$K$1,{'PADD-R'!$B$1;E3141}),"NO PARTICIPÓ")</f>
        <v>SOLO 2023</v>
      </c>
      <c r="L3141" s="14" t="s">
        <v>152</v>
      </c>
      <c r="M3141" s="16" t="str">
        <f t="shared" si="1"/>
        <v>14144 SANTA ROSA2 Secundaria</v>
      </c>
      <c r="N3141" s="23"/>
      <c r="O3141" s="17"/>
      <c r="P3141" s="17"/>
      <c r="Q3141" s="17"/>
      <c r="R3141" s="17"/>
      <c r="S3141" s="17"/>
      <c r="T3141" s="17"/>
    </row>
    <row r="3142">
      <c r="A3142" s="18">
        <v>2863.0</v>
      </c>
      <c r="B3142" s="12" t="s">
        <v>48</v>
      </c>
      <c r="C3142" s="12" t="s">
        <v>27</v>
      </c>
      <c r="D3142" s="20" t="s">
        <v>28</v>
      </c>
      <c r="E3142" s="12" t="str">
        <f>IFERROR(__xludf.DUMMYFUNCTION("FILTER(colegios!$B$2:$B5618,colegios!$A$2:$A5618=L3142)"),"14144 SANTA ROSA")</f>
        <v>14144 SANTA ROSA</v>
      </c>
      <c r="F3142" s="14" t="s">
        <v>16</v>
      </c>
      <c r="G3142" s="20" t="s">
        <v>21</v>
      </c>
      <c r="H3142" s="14" t="s">
        <v>18</v>
      </c>
      <c r="I3142" s="15">
        <v>2022.0</v>
      </c>
      <c r="J3142" s="16" t="str">
        <f>IFERROR(__xludf.DUMMYFUNCTION("FILTER('CLASFICACIÓN'!$F$3:$F5618,'CLASFICACIÓN'!$G$3:$G5618=M3142)"),"SOLO LINEA BASE")</f>
        <v>SOLO LINEA BASE</v>
      </c>
      <c r="K3142" s="16" t="str">
        <f t="array" ref="K3142">IFERROR(DGET('PADD-R'!$B$1:$K5618,'PADD-R'!$K$1,{'PADD-R'!$B$1;E3142}),"NO PARTICIPÓ")</f>
        <v>SOLO 2023</v>
      </c>
      <c r="L3142" s="14" t="s">
        <v>152</v>
      </c>
      <c r="M3142" s="16" t="str">
        <f t="shared" si="1"/>
        <v>14144 SANTA ROSA2 Secundaria</v>
      </c>
      <c r="N3142" s="23"/>
      <c r="O3142" s="17"/>
      <c r="P3142" s="17"/>
      <c r="Q3142" s="17"/>
      <c r="R3142" s="17"/>
      <c r="S3142" s="17"/>
      <c r="T3142" s="17"/>
    </row>
    <row r="3143">
      <c r="A3143" s="18">
        <v>2864.0</v>
      </c>
      <c r="B3143" s="12" t="s">
        <v>48</v>
      </c>
      <c r="C3143" s="12" t="s">
        <v>27</v>
      </c>
      <c r="D3143" s="20" t="s">
        <v>28</v>
      </c>
      <c r="E3143" s="12" t="str">
        <f>IFERROR(__xludf.DUMMYFUNCTION("FILTER(colegios!$B$2:$B5618,colegios!$A$2:$A5618=L3143)"),"14144 SANTA ROSA")</f>
        <v>14144 SANTA ROSA</v>
      </c>
      <c r="F3143" s="14" t="s">
        <v>16</v>
      </c>
      <c r="G3143" s="20" t="s">
        <v>21</v>
      </c>
      <c r="H3143" s="14" t="s">
        <v>18</v>
      </c>
      <c r="I3143" s="15">
        <v>2022.0</v>
      </c>
      <c r="J3143" s="16" t="str">
        <f>IFERROR(__xludf.DUMMYFUNCTION("FILTER('CLASFICACIÓN'!$F$3:$F5618,'CLASFICACIÓN'!$G$3:$G5618=M3143)"),"SOLO LINEA BASE")</f>
        <v>SOLO LINEA BASE</v>
      </c>
      <c r="K3143" s="16" t="str">
        <f t="array" ref="K3143">IFERROR(DGET('PADD-R'!$B$1:$K5618,'PADD-R'!$K$1,{'PADD-R'!$B$1;E3143}),"NO PARTICIPÓ")</f>
        <v>SOLO 2023</v>
      </c>
      <c r="L3143" s="14" t="s">
        <v>152</v>
      </c>
      <c r="M3143" s="16" t="str">
        <f t="shared" si="1"/>
        <v>14144 SANTA ROSA2 Secundaria</v>
      </c>
      <c r="N3143" s="23"/>
      <c r="O3143" s="17"/>
      <c r="P3143" s="17"/>
      <c r="Q3143" s="17"/>
      <c r="R3143" s="17"/>
      <c r="S3143" s="17"/>
      <c r="T3143" s="17"/>
    </row>
    <row r="3144">
      <c r="A3144" s="18">
        <v>2865.0</v>
      </c>
      <c r="B3144" s="12" t="s">
        <v>48</v>
      </c>
      <c r="C3144" s="12" t="s">
        <v>27</v>
      </c>
      <c r="D3144" s="20" t="s">
        <v>28</v>
      </c>
      <c r="E3144" s="12" t="str">
        <f>IFERROR(__xludf.DUMMYFUNCTION("FILTER(colegios!$B$2:$B5618,colegios!$A$2:$A5618=L3144)"),"14144 SANTA ROSA")</f>
        <v>14144 SANTA ROSA</v>
      </c>
      <c r="F3144" s="14" t="s">
        <v>16</v>
      </c>
      <c r="G3144" s="20" t="s">
        <v>17</v>
      </c>
      <c r="H3144" s="14" t="s">
        <v>18</v>
      </c>
      <c r="I3144" s="15">
        <v>2022.0</v>
      </c>
      <c r="J3144" s="16" t="str">
        <f>IFERROR(__xludf.DUMMYFUNCTION("FILTER('CLASFICACIÓN'!$F$3:$F5618,'CLASFICACIÓN'!$G$3:$G5618=M3144)"),"SOLO LINEA BASE")</f>
        <v>SOLO LINEA BASE</v>
      </c>
      <c r="K3144" s="16" t="str">
        <f t="array" ref="K3144">IFERROR(DGET('PADD-R'!$B$1:$K5618,'PADD-R'!$K$1,{'PADD-R'!$B$1;E3144}),"NO PARTICIPÓ")</f>
        <v>SOLO 2023</v>
      </c>
      <c r="L3144" s="14" t="s">
        <v>152</v>
      </c>
      <c r="M3144" s="16" t="str">
        <f t="shared" si="1"/>
        <v>14144 SANTA ROSA2 Secundaria</v>
      </c>
      <c r="N3144" s="23"/>
      <c r="O3144" s="17"/>
      <c r="P3144" s="17"/>
      <c r="Q3144" s="17"/>
      <c r="R3144" s="17"/>
      <c r="S3144" s="17"/>
      <c r="T3144" s="17"/>
    </row>
    <row r="3145">
      <c r="A3145" s="18">
        <v>2866.0</v>
      </c>
      <c r="B3145" s="12" t="s">
        <v>48</v>
      </c>
      <c r="C3145" s="12" t="s">
        <v>27</v>
      </c>
      <c r="D3145" s="20" t="s">
        <v>28</v>
      </c>
      <c r="E3145" s="12" t="str">
        <f>IFERROR(__xludf.DUMMYFUNCTION("FILTER(colegios!$B$2:$B5618,colegios!$A$2:$A5618=L3145)"),"14144 SANTA ROSA")</f>
        <v>14144 SANTA ROSA</v>
      </c>
      <c r="F3145" s="14" t="s">
        <v>16</v>
      </c>
      <c r="G3145" s="20" t="s">
        <v>17</v>
      </c>
      <c r="H3145" s="14" t="s">
        <v>18</v>
      </c>
      <c r="I3145" s="15">
        <v>2022.0</v>
      </c>
      <c r="J3145" s="16" t="str">
        <f>IFERROR(__xludf.DUMMYFUNCTION("FILTER('CLASFICACIÓN'!$F$3:$F5618,'CLASFICACIÓN'!$G$3:$G5618=M3145)"),"SOLO LINEA BASE")</f>
        <v>SOLO LINEA BASE</v>
      </c>
      <c r="K3145" s="16" t="str">
        <f t="array" ref="K3145">IFERROR(DGET('PADD-R'!$B$1:$K5618,'PADD-R'!$K$1,{'PADD-R'!$B$1;E3145}),"NO PARTICIPÓ")</f>
        <v>SOLO 2023</v>
      </c>
      <c r="L3145" s="14" t="s">
        <v>152</v>
      </c>
      <c r="M3145" s="16" t="str">
        <f t="shared" si="1"/>
        <v>14144 SANTA ROSA2 Secundaria</v>
      </c>
      <c r="N3145" s="23"/>
      <c r="O3145" s="17"/>
      <c r="P3145" s="17"/>
      <c r="Q3145" s="17"/>
      <c r="R3145" s="17"/>
      <c r="S3145" s="17"/>
      <c r="T3145" s="17"/>
    </row>
    <row r="3146">
      <c r="A3146" s="18">
        <v>2867.0</v>
      </c>
      <c r="B3146" s="12" t="s">
        <v>48</v>
      </c>
      <c r="C3146" s="12" t="s">
        <v>27</v>
      </c>
      <c r="D3146" s="20" t="s">
        <v>28</v>
      </c>
      <c r="E3146" s="12" t="str">
        <f>IFERROR(__xludf.DUMMYFUNCTION("FILTER(colegios!$B$2:$B5618,colegios!$A$2:$A5618=L3146)"),"14144 SANTA ROSA")</f>
        <v>14144 SANTA ROSA</v>
      </c>
      <c r="F3146" s="14" t="s">
        <v>16</v>
      </c>
      <c r="G3146" s="20" t="s">
        <v>21</v>
      </c>
      <c r="H3146" s="14" t="s">
        <v>18</v>
      </c>
      <c r="I3146" s="15">
        <v>2022.0</v>
      </c>
      <c r="J3146" s="16" t="str">
        <f>IFERROR(__xludf.DUMMYFUNCTION("FILTER('CLASFICACIÓN'!$F$3:$F5618,'CLASFICACIÓN'!$G$3:$G5618=M3146)"),"SOLO LINEA BASE")</f>
        <v>SOLO LINEA BASE</v>
      </c>
      <c r="K3146" s="16" t="str">
        <f t="array" ref="K3146">IFERROR(DGET('PADD-R'!$B$1:$K5618,'PADD-R'!$K$1,{'PADD-R'!$B$1;E3146}),"NO PARTICIPÓ")</f>
        <v>SOLO 2023</v>
      </c>
      <c r="L3146" s="14" t="s">
        <v>152</v>
      </c>
      <c r="M3146" s="16" t="str">
        <f t="shared" si="1"/>
        <v>14144 SANTA ROSA2 Secundaria</v>
      </c>
      <c r="N3146" s="23"/>
      <c r="O3146" s="17"/>
      <c r="P3146" s="17"/>
      <c r="Q3146" s="17"/>
      <c r="R3146" s="17"/>
      <c r="S3146" s="17"/>
      <c r="T3146" s="17"/>
    </row>
    <row r="3147">
      <c r="A3147" s="18">
        <v>2868.0</v>
      </c>
      <c r="B3147" s="12" t="s">
        <v>48</v>
      </c>
      <c r="C3147" s="12" t="s">
        <v>27</v>
      </c>
      <c r="D3147" s="20" t="s">
        <v>28</v>
      </c>
      <c r="E3147" s="12" t="str">
        <f>IFERROR(__xludf.DUMMYFUNCTION("FILTER(colegios!$B$2:$B5618,colegios!$A$2:$A5618=L3147)"),"14144 SANTA ROSA")</f>
        <v>14144 SANTA ROSA</v>
      </c>
      <c r="F3147" s="14" t="s">
        <v>16</v>
      </c>
      <c r="G3147" s="20" t="s">
        <v>17</v>
      </c>
      <c r="H3147" s="14" t="s">
        <v>18</v>
      </c>
      <c r="I3147" s="15">
        <v>2022.0</v>
      </c>
      <c r="J3147" s="16" t="str">
        <f>IFERROR(__xludf.DUMMYFUNCTION("FILTER('CLASFICACIÓN'!$F$3:$F5618,'CLASFICACIÓN'!$G$3:$G5618=M3147)"),"SOLO LINEA BASE")</f>
        <v>SOLO LINEA BASE</v>
      </c>
      <c r="K3147" s="16" t="str">
        <f t="array" ref="K3147">IFERROR(DGET('PADD-R'!$B$1:$K5618,'PADD-R'!$K$1,{'PADD-R'!$B$1;E3147}),"NO PARTICIPÓ")</f>
        <v>SOLO 2023</v>
      </c>
      <c r="L3147" s="14" t="s">
        <v>152</v>
      </c>
      <c r="M3147" s="16" t="str">
        <f t="shared" si="1"/>
        <v>14144 SANTA ROSA2 Secundaria</v>
      </c>
      <c r="N3147" s="23"/>
      <c r="O3147" s="17"/>
      <c r="P3147" s="17"/>
      <c r="Q3147" s="17"/>
      <c r="R3147" s="17"/>
      <c r="S3147" s="17"/>
      <c r="T3147" s="17"/>
    </row>
    <row r="3148">
      <c r="A3148" s="18">
        <v>2869.0</v>
      </c>
      <c r="B3148" s="12" t="s">
        <v>48</v>
      </c>
      <c r="C3148" s="12" t="s">
        <v>27</v>
      </c>
      <c r="D3148" s="20" t="s">
        <v>28</v>
      </c>
      <c r="E3148" s="12" t="str">
        <f>IFERROR(__xludf.DUMMYFUNCTION("FILTER(colegios!$B$2:$B5618,colegios!$A$2:$A5618=L3148)"),"14144 SANTA ROSA")</f>
        <v>14144 SANTA ROSA</v>
      </c>
      <c r="F3148" s="14" t="s">
        <v>16</v>
      </c>
      <c r="G3148" s="20" t="s">
        <v>21</v>
      </c>
      <c r="H3148" s="14" t="s">
        <v>18</v>
      </c>
      <c r="I3148" s="15">
        <v>2022.0</v>
      </c>
      <c r="J3148" s="16" t="str">
        <f>IFERROR(__xludf.DUMMYFUNCTION("FILTER('CLASFICACIÓN'!$F$3:$F5618,'CLASFICACIÓN'!$G$3:$G5618=M3148)"),"SOLO LINEA BASE")</f>
        <v>SOLO LINEA BASE</v>
      </c>
      <c r="K3148" s="16" t="str">
        <f t="array" ref="K3148">IFERROR(DGET('PADD-R'!$B$1:$K5618,'PADD-R'!$K$1,{'PADD-R'!$B$1;E3148}),"NO PARTICIPÓ")</f>
        <v>SOLO 2023</v>
      </c>
      <c r="L3148" s="14" t="s">
        <v>152</v>
      </c>
      <c r="M3148" s="16" t="str">
        <f t="shared" si="1"/>
        <v>14144 SANTA ROSA2 Secundaria</v>
      </c>
      <c r="N3148" s="23"/>
      <c r="O3148" s="17"/>
      <c r="P3148" s="17"/>
      <c r="Q3148" s="17"/>
      <c r="R3148" s="17"/>
      <c r="S3148" s="17"/>
      <c r="T3148" s="17"/>
    </row>
    <row r="3149">
      <c r="A3149" s="18">
        <v>2870.0</v>
      </c>
      <c r="B3149" s="12" t="s">
        <v>48</v>
      </c>
      <c r="C3149" s="12" t="s">
        <v>27</v>
      </c>
      <c r="D3149" s="20" t="s">
        <v>28</v>
      </c>
      <c r="E3149" s="12" t="str">
        <f>IFERROR(__xludf.DUMMYFUNCTION("FILTER(colegios!$B$2:$B5618,colegios!$A$2:$A5618=L3149)"),"14144 SANTA ROSA")</f>
        <v>14144 SANTA ROSA</v>
      </c>
      <c r="F3149" s="14" t="s">
        <v>16</v>
      </c>
      <c r="G3149" s="20" t="s">
        <v>17</v>
      </c>
      <c r="H3149" s="14" t="s">
        <v>18</v>
      </c>
      <c r="I3149" s="15">
        <v>2022.0</v>
      </c>
      <c r="J3149" s="16" t="str">
        <f>IFERROR(__xludf.DUMMYFUNCTION("FILTER('CLASFICACIÓN'!$F$3:$F5618,'CLASFICACIÓN'!$G$3:$G5618=M3149)"),"SOLO LINEA BASE")</f>
        <v>SOLO LINEA BASE</v>
      </c>
      <c r="K3149" s="16" t="str">
        <f t="array" ref="K3149">IFERROR(DGET('PADD-R'!$B$1:$K5618,'PADD-R'!$K$1,{'PADD-R'!$B$1;E3149}),"NO PARTICIPÓ")</f>
        <v>SOLO 2023</v>
      </c>
      <c r="L3149" s="14" t="s">
        <v>152</v>
      </c>
      <c r="M3149" s="16" t="str">
        <f t="shared" si="1"/>
        <v>14144 SANTA ROSA2 Secundaria</v>
      </c>
      <c r="N3149" s="23"/>
      <c r="O3149" s="17"/>
      <c r="P3149" s="17"/>
      <c r="Q3149" s="17"/>
      <c r="R3149" s="17"/>
      <c r="S3149" s="17"/>
      <c r="T3149" s="17"/>
    </row>
    <row r="3150">
      <c r="A3150" s="18">
        <v>2871.0</v>
      </c>
      <c r="B3150" s="12" t="s">
        <v>48</v>
      </c>
      <c r="C3150" s="12" t="s">
        <v>27</v>
      </c>
      <c r="D3150" s="20" t="s">
        <v>28</v>
      </c>
      <c r="E3150" s="12" t="str">
        <f>IFERROR(__xludf.DUMMYFUNCTION("FILTER(colegios!$B$2:$B5618,colegios!$A$2:$A5618=L3150)"),"14144 SANTA ROSA")</f>
        <v>14144 SANTA ROSA</v>
      </c>
      <c r="F3150" s="14" t="s">
        <v>16</v>
      </c>
      <c r="G3150" s="20" t="s">
        <v>21</v>
      </c>
      <c r="H3150" s="14" t="s">
        <v>18</v>
      </c>
      <c r="I3150" s="15">
        <v>2022.0</v>
      </c>
      <c r="J3150" s="16" t="str">
        <f>IFERROR(__xludf.DUMMYFUNCTION("FILTER('CLASFICACIÓN'!$F$3:$F5618,'CLASFICACIÓN'!$G$3:$G5618=M3150)"),"SOLO LINEA BASE")</f>
        <v>SOLO LINEA BASE</v>
      </c>
      <c r="K3150" s="16" t="str">
        <f t="array" ref="K3150">IFERROR(DGET('PADD-R'!$B$1:$K5618,'PADD-R'!$K$1,{'PADD-R'!$B$1;E3150}),"NO PARTICIPÓ")</f>
        <v>SOLO 2023</v>
      </c>
      <c r="L3150" s="14" t="s">
        <v>152</v>
      </c>
      <c r="M3150" s="16" t="str">
        <f t="shared" si="1"/>
        <v>14144 SANTA ROSA2 Secundaria</v>
      </c>
      <c r="N3150" s="23"/>
      <c r="O3150" s="17"/>
      <c r="P3150" s="17"/>
      <c r="Q3150" s="17"/>
      <c r="R3150" s="17"/>
      <c r="S3150" s="17"/>
      <c r="T3150" s="17"/>
    </row>
    <row r="3151">
      <c r="A3151" s="18">
        <v>2872.0</v>
      </c>
      <c r="B3151" s="12" t="s">
        <v>48</v>
      </c>
      <c r="C3151" s="12" t="s">
        <v>27</v>
      </c>
      <c r="D3151" s="20" t="s">
        <v>28</v>
      </c>
      <c r="E3151" s="12" t="str">
        <f>IFERROR(__xludf.DUMMYFUNCTION("FILTER(colegios!$B$2:$B5618,colegios!$A$2:$A5618=L3151)"),"14144 SANTA ROSA")</f>
        <v>14144 SANTA ROSA</v>
      </c>
      <c r="F3151" s="14" t="s">
        <v>16</v>
      </c>
      <c r="G3151" s="20" t="s">
        <v>21</v>
      </c>
      <c r="H3151" s="14" t="s">
        <v>18</v>
      </c>
      <c r="I3151" s="15">
        <v>2022.0</v>
      </c>
      <c r="J3151" s="16" t="str">
        <f>IFERROR(__xludf.DUMMYFUNCTION("FILTER('CLASFICACIÓN'!$F$3:$F5618,'CLASFICACIÓN'!$G$3:$G5618=M3151)"),"SOLO LINEA BASE")</f>
        <v>SOLO LINEA BASE</v>
      </c>
      <c r="K3151" s="16" t="str">
        <f t="array" ref="K3151">IFERROR(DGET('PADD-R'!$B$1:$K5618,'PADD-R'!$K$1,{'PADD-R'!$B$1;E3151}),"NO PARTICIPÓ")</f>
        <v>SOLO 2023</v>
      </c>
      <c r="L3151" s="14" t="s">
        <v>152</v>
      </c>
      <c r="M3151" s="16" t="str">
        <f t="shared" si="1"/>
        <v>14144 SANTA ROSA2 Secundaria</v>
      </c>
      <c r="N3151" s="23"/>
      <c r="O3151" s="17"/>
      <c r="P3151" s="17"/>
      <c r="Q3151" s="17"/>
      <c r="R3151" s="17"/>
      <c r="S3151" s="17"/>
      <c r="T3151" s="17"/>
    </row>
    <row r="3152">
      <c r="A3152" s="18">
        <v>2873.0</v>
      </c>
      <c r="B3152" s="12" t="s">
        <v>48</v>
      </c>
      <c r="C3152" s="12" t="s">
        <v>27</v>
      </c>
      <c r="D3152" s="20" t="s">
        <v>28</v>
      </c>
      <c r="E3152" s="12" t="str">
        <f>IFERROR(__xludf.DUMMYFUNCTION("FILTER(colegios!$B$2:$B5618,colegios!$A$2:$A5618=L3152)"),"14144 SANTA ROSA")</f>
        <v>14144 SANTA ROSA</v>
      </c>
      <c r="F3152" s="14" t="s">
        <v>16</v>
      </c>
      <c r="G3152" s="20" t="s">
        <v>17</v>
      </c>
      <c r="H3152" s="14" t="s">
        <v>18</v>
      </c>
      <c r="I3152" s="15">
        <v>2022.0</v>
      </c>
      <c r="J3152" s="16" t="str">
        <f>IFERROR(__xludf.DUMMYFUNCTION("FILTER('CLASFICACIÓN'!$F$3:$F5618,'CLASFICACIÓN'!$G$3:$G5618=M3152)"),"SOLO LINEA BASE")</f>
        <v>SOLO LINEA BASE</v>
      </c>
      <c r="K3152" s="16" t="str">
        <f t="array" ref="K3152">IFERROR(DGET('PADD-R'!$B$1:$K5618,'PADD-R'!$K$1,{'PADD-R'!$B$1;E3152}),"NO PARTICIPÓ")</f>
        <v>SOLO 2023</v>
      </c>
      <c r="L3152" s="14" t="s">
        <v>152</v>
      </c>
      <c r="M3152" s="16" t="str">
        <f t="shared" si="1"/>
        <v>14144 SANTA ROSA2 Secundaria</v>
      </c>
      <c r="N3152" s="23"/>
      <c r="O3152" s="17"/>
      <c r="P3152" s="17"/>
      <c r="Q3152" s="17"/>
      <c r="R3152" s="17"/>
      <c r="S3152" s="17"/>
      <c r="T3152" s="17"/>
    </row>
    <row r="3153">
      <c r="A3153" s="18">
        <v>2874.0</v>
      </c>
      <c r="B3153" s="12" t="s">
        <v>48</v>
      </c>
      <c r="C3153" s="12" t="s">
        <v>27</v>
      </c>
      <c r="D3153" s="20" t="s">
        <v>28</v>
      </c>
      <c r="E3153" s="12" t="str">
        <f>IFERROR(__xludf.DUMMYFUNCTION("FILTER(colegios!$B$2:$B5618,colegios!$A$2:$A5618=L3153)"),"14144 SANTA ROSA")</f>
        <v>14144 SANTA ROSA</v>
      </c>
      <c r="F3153" s="14" t="s">
        <v>16</v>
      </c>
      <c r="G3153" s="20" t="s">
        <v>21</v>
      </c>
      <c r="H3153" s="14" t="s">
        <v>18</v>
      </c>
      <c r="I3153" s="15">
        <v>2022.0</v>
      </c>
      <c r="J3153" s="16" t="str">
        <f>IFERROR(__xludf.DUMMYFUNCTION("FILTER('CLASFICACIÓN'!$F$3:$F5618,'CLASFICACIÓN'!$G$3:$G5618=M3153)"),"SOLO LINEA BASE")</f>
        <v>SOLO LINEA BASE</v>
      </c>
      <c r="K3153" s="16" t="str">
        <f t="array" ref="K3153">IFERROR(DGET('PADD-R'!$B$1:$K5618,'PADD-R'!$K$1,{'PADD-R'!$B$1;E3153}),"NO PARTICIPÓ")</f>
        <v>SOLO 2023</v>
      </c>
      <c r="L3153" s="14" t="s">
        <v>152</v>
      </c>
      <c r="M3153" s="16" t="str">
        <f t="shared" si="1"/>
        <v>14144 SANTA ROSA2 Secundaria</v>
      </c>
      <c r="N3153" s="23"/>
      <c r="O3153" s="17"/>
      <c r="P3153" s="17"/>
      <c r="Q3153" s="17"/>
      <c r="R3153" s="17"/>
      <c r="S3153" s="17"/>
      <c r="T3153" s="17"/>
    </row>
    <row r="3154">
      <c r="A3154" s="18">
        <v>2875.0</v>
      </c>
      <c r="B3154" s="12" t="s">
        <v>48</v>
      </c>
      <c r="C3154" s="12" t="s">
        <v>27</v>
      </c>
      <c r="D3154" s="20" t="s">
        <v>28</v>
      </c>
      <c r="E3154" s="12" t="str">
        <f>IFERROR(__xludf.DUMMYFUNCTION("FILTER(colegios!$B$2:$B5618,colegios!$A$2:$A5618=L3154)"),"14144 SANTA ROSA")</f>
        <v>14144 SANTA ROSA</v>
      </c>
      <c r="F3154" s="14" t="s">
        <v>16</v>
      </c>
      <c r="G3154" s="20" t="s">
        <v>21</v>
      </c>
      <c r="H3154" s="14" t="s">
        <v>18</v>
      </c>
      <c r="I3154" s="15">
        <v>2022.0</v>
      </c>
      <c r="J3154" s="16" t="str">
        <f>IFERROR(__xludf.DUMMYFUNCTION("FILTER('CLASFICACIÓN'!$F$3:$F5618,'CLASFICACIÓN'!$G$3:$G5618=M3154)"),"SOLO LINEA BASE")</f>
        <v>SOLO LINEA BASE</v>
      </c>
      <c r="K3154" s="16" t="str">
        <f t="array" ref="K3154">IFERROR(DGET('PADD-R'!$B$1:$K5618,'PADD-R'!$K$1,{'PADD-R'!$B$1;E3154}),"NO PARTICIPÓ")</f>
        <v>SOLO 2023</v>
      </c>
      <c r="L3154" s="14" t="s">
        <v>152</v>
      </c>
      <c r="M3154" s="16" t="str">
        <f t="shared" si="1"/>
        <v>14144 SANTA ROSA2 Secundaria</v>
      </c>
      <c r="N3154" s="23"/>
      <c r="O3154" s="17"/>
      <c r="P3154" s="17"/>
      <c r="Q3154" s="17"/>
      <c r="R3154" s="17"/>
      <c r="S3154" s="17"/>
      <c r="T3154" s="17"/>
    </row>
    <row r="3155">
      <c r="A3155" s="18">
        <v>2876.0</v>
      </c>
      <c r="B3155" s="12" t="s">
        <v>48</v>
      </c>
      <c r="C3155" s="12" t="s">
        <v>27</v>
      </c>
      <c r="D3155" s="20" t="s">
        <v>28</v>
      </c>
      <c r="E3155" s="12" t="str">
        <f>IFERROR(__xludf.DUMMYFUNCTION("FILTER(colegios!$B$2:$B5618,colegios!$A$2:$A5618=L3155)"),"14144 SANTA ROSA")</f>
        <v>14144 SANTA ROSA</v>
      </c>
      <c r="F3155" s="14" t="s">
        <v>16</v>
      </c>
      <c r="G3155" s="20" t="s">
        <v>17</v>
      </c>
      <c r="H3155" s="14" t="s">
        <v>18</v>
      </c>
      <c r="I3155" s="15">
        <v>2022.0</v>
      </c>
      <c r="J3155" s="16" t="str">
        <f>IFERROR(__xludf.DUMMYFUNCTION("FILTER('CLASFICACIÓN'!$F$3:$F5618,'CLASFICACIÓN'!$G$3:$G5618=M3155)"),"SOLO LINEA BASE")</f>
        <v>SOLO LINEA BASE</v>
      </c>
      <c r="K3155" s="16" t="str">
        <f t="array" ref="K3155">IFERROR(DGET('PADD-R'!$B$1:$K5618,'PADD-R'!$K$1,{'PADD-R'!$B$1;E3155}),"NO PARTICIPÓ")</f>
        <v>SOLO 2023</v>
      </c>
      <c r="L3155" s="14" t="s">
        <v>152</v>
      </c>
      <c r="M3155" s="16" t="str">
        <f t="shared" si="1"/>
        <v>14144 SANTA ROSA2 Secundaria</v>
      </c>
      <c r="N3155" s="23"/>
      <c r="O3155" s="17"/>
      <c r="P3155" s="17"/>
      <c r="Q3155" s="17"/>
      <c r="R3155" s="17"/>
      <c r="S3155" s="17"/>
      <c r="T3155" s="17"/>
    </row>
    <row r="3156">
      <c r="A3156" s="18">
        <v>2877.0</v>
      </c>
      <c r="B3156" s="12" t="s">
        <v>48</v>
      </c>
      <c r="C3156" s="12" t="s">
        <v>27</v>
      </c>
      <c r="D3156" s="20" t="s">
        <v>28</v>
      </c>
      <c r="E3156" s="12" t="str">
        <f>IFERROR(__xludf.DUMMYFUNCTION("FILTER(colegios!$B$2:$B5618,colegios!$A$2:$A5618=L3156)"),"14144 SANTA ROSA")</f>
        <v>14144 SANTA ROSA</v>
      </c>
      <c r="F3156" s="14" t="s">
        <v>16</v>
      </c>
      <c r="G3156" s="20" t="s">
        <v>21</v>
      </c>
      <c r="H3156" s="14" t="s">
        <v>18</v>
      </c>
      <c r="I3156" s="15">
        <v>2022.0</v>
      </c>
      <c r="J3156" s="16" t="str">
        <f>IFERROR(__xludf.DUMMYFUNCTION("FILTER('CLASFICACIÓN'!$F$3:$F5618,'CLASFICACIÓN'!$G$3:$G5618=M3156)"),"SOLO LINEA BASE")</f>
        <v>SOLO LINEA BASE</v>
      </c>
      <c r="K3156" s="16" t="str">
        <f t="array" ref="K3156">IFERROR(DGET('PADD-R'!$B$1:$K5618,'PADD-R'!$K$1,{'PADD-R'!$B$1;E3156}),"NO PARTICIPÓ")</f>
        <v>SOLO 2023</v>
      </c>
      <c r="L3156" s="14" t="s">
        <v>152</v>
      </c>
      <c r="M3156" s="16" t="str">
        <f t="shared" si="1"/>
        <v>14144 SANTA ROSA2 Secundaria</v>
      </c>
      <c r="N3156" s="23"/>
      <c r="O3156" s="17"/>
      <c r="P3156" s="17"/>
      <c r="Q3156" s="17"/>
      <c r="R3156" s="17"/>
      <c r="S3156" s="17"/>
      <c r="T3156" s="17"/>
    </row>
    <row r="3157">
      <c r="A3157" s="18">
        <v>2878.0</v>
      </c>
      <c r="B3157" s="12" t="s">
        <v>48</v>
      </c>
      <c r="C3157" s="12" t="s">
        <v>27</v>
      </c>
      <c r="D3157" s="20" t="s">
        <v>28</v>
      </c>
      <c r="E3157" s="12" t="str">
        <f>IFERROR(__xludf.DUMMYFUNCTION("FILTER(colegios!$B$2:$B5618,colegios!$A$2:$A5618=L3157)"),"14144 SANTA ROSA")</f>
        <v>14144 SANTA ROSA</v>
      </c>
      <c r="F3157" s="14" t="s">
        <v>16</v>
      </c>
      <c r="G3157" s="20" t="s">
        <v>21</v>
      </c>
      <c r="H3157" s="14" t="s">
        <v>18</v>
      </c>
      <c r="I3157" s="15">
        <v>2022.0</v>
      </c>
      <c r="J3157" s="16" t="str">
        <f>IFERROR(__xludf.DUMMYFUNCTION("FILTER('CLASFICACIÓN'!$F$3:$F5618,'CLASFICACIÓN'!$G$3:$G5618=M3157)"),"SOLO LINEA BASE")</f>
        <v>SOLO LINEA BASE</v>
      </c>
      <c r="K3157" s="16" t="str">
        <f t="array" ref="K3157">IFERROR(DGET('PADD-R'!$B$1:$K5618,'PADD-R'!$K$1,{'PADD-R'!$B$1;E3157}),"NO PARTICIPÓ")</f>
        <v>SOLO 2023</v>
      </c>
      <c r="L3157" s="14" t="s">
        <v>152</v>
      </c>
      <c r="M3157" s="16" t="str">
        <f t="shared" si="1"/>
        <v>14144 SANTA ROSA2 Secundaria</v>
      </c>
      <c r="N3157" s="23"/>
      <c r="O3157" s="17"/>
      <c r="P3157" s="17"/>
      <c r="Q3157" s="17"/>
      <c r="R3157" s="17"/>
      <c r="S3157" s="17"/>
      <c r="T3157" s="17"/>
    </row>
    <row r="3158">
      <c r="A3158" s="18">
        <v>2879.0</v>
      </c>
      <c r="B3158" s="12" t="s">
        <v>48</v>
      </c>
      <c r="C3158" s="12" t="s">
        <v>27</v>
      </c>
      <c r="D3158" s="20" t="s">
        <v>28</v>
      </c>
      <c r="E3158" s="12" t="str">
        <f>IFERROR(__xludf.DUMMYFUNCTION("FILTER(colegios!$B$2:$B5618,colegios!$A$2:$A5618=L3158)"),"14144 SANTA ROSA")</f>
        <v>14144 SANTA ROSA</v>
      </c>
      <c r="F3158" s="14" t="s">
        <v>16</v>
      </c>
      <c r="G3158" s="20" t="s">
        <v>17</v>
      </c>
      <c r="H3158" s="14" t="s">
        <v>18</v>
      </c>
      <c r="I3158" s="15">
        <v>2022.0</v>
      </c>
      <c r="J3158" s="16" t="str">
        <f>IFERROR(__xludf.DUMMYFUNCTION("FILTER('CLASFICACIÓN'!$F$3:$F5618,'CLASFICACIÓN'!$G$3:$G5618=M3158)"),"SOLO LINEA BASE")</f>
        <v>SOLO LINEA BASE</v>
      </c>
      <c r="K3158" s="16" t="str">
        <f t="array" ref="K3158">IFERROR(DGET('PADD-R'!$B$1:$K5618,'PADD-R'!$K$1,{'PADD-R'!$B$1;E3158}),"NO PARTICIPÓ")</f>
        <v>SOLO 2023</v>
      </c>
      <c r="L3158" s="14" t="s">
        <v>152</v>
      </c>
      <c r="M3158" s="16" t="str">
        <f t="shared" si="1"/>
        <v>14144 SANTA ROSA2 Secundaria</v>
      </c>
      <c r="N3158" s="23"/>
      <c r="O3158" s="17"/>
      <c r="P3158" s="17"/>
      <c r="Q3158" s="17"/>
      <c r="R3158" s="17"/>
      <c r="S3158" s="17"/>
      <c r="T3158" s="17"/>
    </row>
    <row r="3159">
      <c r="A3159" s="18">
        <v>2880.0</v>
      </c>
      <c r="B3159" s="12" t="s">
        <v>48</v>
      </c>
      <c r="C3159" s="12" t="s">
        <v>27</v>
      </c>
      <c r="D3159" s="20" t="s">
        <v>28</v>
      </c>
      <c r="E3159" s="12" t="str">
        <f>IFERROR(__xludf.DUMMYFUNCTION("FILTER(colegios!$B$2:$B5618,colegios!$A$2:$A5618=L3159)"),"14144 SANTA ROSA")</f>
        <v>14144 SANTA ROSA</v>
      </c>
      <c r="F3159" s="14" t="s">
        <v>16</v>
      </c>
      <c r="G3159" s="20" t="s">
        <v>17</v>
      </c>
      <c r="H3159" s="14" t="s">
        <v>18</v>
      </c>
      <c r="I3159" s="15">
        <v>2022.0</v>
      </c>
      <c r="J3159" s="16" t="str">
        <f>IFERROR(__xludf.DUMMYFUNCTION("FILTER('CLASFICACIÓN'!$F$3:$F5618,'CLASFICACIÓN'!$G$3:$G5618=M3159)"),"SOLO LINEA BASE")</f>
        <v>SOLO LINEA BASE</v>
      </c>
      <c r="K3159" s="16" t="str">
        <f t="array" ref="K3159">IFERROR(DGET('PADD-R'!$B$1:$K5618,'PADD-R'!$K$1,{'PADD-R'!$B$1;E3159}),"NO PARTICIPÓ")</f>
        <v>SOLO 2023</v>
      </c>
      <c r="L3159" s="14" t="s">
        <v>152</v>
      </c>
      <c r="M3159" s="16" t="str">
        <f t="shared" si="1"/>
        <v>14144 SANTA ROSA2 Secundaria</v>
      </c>
      <c r="N3159" s="23"/>
      <c r="O3159" s="17"/>
      <c r="P3159" s="17"/>
      <c r="Q3159" s="17"/>
      <c r="R3159" s="17"/>
      <c r="S3159" s="17"/>
      <c r="T3159" s="17"/>
    </row>
    <row r="3160">
      <c r="A3160" s="18">
        <v>2881.0</v>
      </c>
      <c r="B3160" s="12" t="s">
        <v>48</v>
      </c>
      <c r="C3160" s="12" t="s">
        <v>27</v>
      </c>
      <c r="D3160" s="20" t="s">
        <v>28</v>
      </c>
      <c r="E3160" s="12" t="str">
        <f>IFERROR(__xludf.DUMMYFUNCTION("FILTER(colegios!$B$2:$B5618,colegios!$A$2:$A5618=L3160)"),"14144 SANTA ROSA")</f>
        <v>14144 SANTA ROSA</v>
      </c>
      <c r="F3160" s="14" t="s">
        <v>16</v>
      </c>
      <c r="G3160" s="20" t="s">
        <v>21</v>
      </c>
      <c r="H3160" s="14" t="s">
        <v>18</v>
      </c>
      <c r="I3160" s="15">
        <v>2022.0</v>
      </c>
      <c r="J3160" s="16" t="str">
        <f>IFERROR(__xludf.DUMMYFUNCTION("FILTER('CLASFICACIÓN'!$F$3:$F5618,'CLASFICACIÓN'!$G$3:$G5618=M3160)"),"SOLO LINEA BASE")</f>
        <v>SOLO LINEA BASE</v>
      </c>
      <c r="K3160" s="16" t="str">
        <f t="array" ref="K3160">IFERROR(DGET('PADD-R'!$B$1:$K5618,'PADD-R'!$K$1,{'PADD-R'!$B$1;E3160}),"NO PARTICIPÓ")</f>
        <v>SOLO 2023</v>
      </c>
      <c r="L3160" s="14" t="s">
        <v>152</v>
      </c>
      <c r="M3160" s="16" t="str">
        <f t="shared" si="1"/>
        <v>14144 SANTA ROSA2 Secundaria</v>
      </c>
      <c r="N3160" s="23"/>
      <c r="O3160" s="17"/>
      <c r="P3160" s="17"/>
      <c r="Q3160" s="17"/>
      <c r="R3160" s="17"/>
      <c r="S3160" s="17"/>
      <c r="T3160" s="17"/>
    </row>
    <row r="3161">
      <c r="A3161" s="18">
        <v>2882.0</v>
      </c>
      <c r="B3161" s="12" t="s">
        <v>48</v>
      </c>
      <c r="C3161" s="12" t="s">
        <v>27</v>
      </c>
      <c r="D3161" s="20" t="s">
        <v>28</v>
      </c>
      <c r="E3161" s="12" t="str">
        <f>IFERROR(__xludf.DUMMYFUNCTION("FILTER(colegios!$B$2:$B5618,colegios!$A$2:$A5618=L3161)"),"14144 SANTA ROSA")</f>
        <v>14144 SANTA ROSA</v>
      </c>
      <c r="F3161" s="14" t="s">
        <v>16</v>
      </c>
      <c r="G3161" s="20" t="s">
        <v>21</v>
      </c>
      <c r="H3161" s="14" t="s">
        <v>18</v>
      </c>
      <c r="I3161" s="15">
        <v>2022.0</v>
      </c>
      <c r="J3161" s="16" t="str">
        <f>IFERROR(__xludf.DUMMYFUNCTION("FILTER('CLASFICACIÓN'!$F$3:$F5618,'CLASFICACIÓN'!$G$3:$G5618=M3161)"),"SOLO LINEA BASE")</f>
        <v>SOLO LINEA BASE</v>
      </c>
      <c r="K3161" s="16" t="str">
        <f t="array" ref="K3161">IFERROR(DGET('PADD-R'!$B$1:$K5618,'PADD-R'!$K$1,{'PADD-R'!$B$1;E3161}),"NO PARTICIPÓ")</f>
        <v>SOLO 2023</v>
      </c>
      <c r="L3161" s="14" t="s">
        <v>152</v>
      </c>
      <c r="M3161" s="16" t="str">
        <f t="shared" si="1"/>
        <v>14144 SANTA ROSA2 Secundaria</v>
      </c>
      <c r="N3161" s="23"/>
      <c r="O3161" s="17"/>
      <c r="P3161" s="17"/>
      <c r="Q3161" s="17"/>
      <c r="R3161" s="17"/>
      <c r="S3161" s="17"/>
      <c r="T3161" s="17"/>
    </row>
    <row r="3162">
      <c r="A3162" s="18">
        <v>2883.0</v>
      </c>
      <c r="B3162" s="12" t="s">
        <v>48</v>
      </c>
      <c r="C3162" s="12" t="s">
        <v>27</v>
      </c>
      <c r="D3162" s="20" t="s">
        <v>28</v>
      </c>
      <c r="E3162" s="12" t="str">
        <f>IFERROR(__xludf.DUMMYFUNCTION("FILTER(colegios!$B$2:$B5618,colegios!$A$2:$A5618=L3162)"),"14144 SANTA ROSA")</f>
        <v>14144 SANTA ROSA</v>
      </c>
      <c r="F3162" s="14" t="s">
        <v>16</v>
      </c>
      <c r="G3162" s="20" t="s">
        <v>17</v>
      </c>
      <c r="H3162" s="14" t="s">
        <v>18</v>
      </c>
      <c r="I3162" s="15">
        <v>2022.0</v>
      </c>
      <c r="J3162" s="16" t="str">
        <f>IFERROR(__xludf.DUMMYFUNCTION("FILTER('CLASFICACIÓN'!$F$3:$F5618,'CLASFICACIÓN'!$G$3:$G5618=M3162)"),"SOLO LINEA BASE")</f>
        <v>SOLO LINEA BASE</v>
      </c>
      <c r="K3162" s="16" t="str">
        <f t="array" ref="K3162">IFERROR(DGET('PADD-R'!$B$1:$K5618,'PADD-R'!$K$1,{'PADD-R'!$B$1;E3162}),"NO PARTICIPÓ")</f>
        <v>SOLO 2023</v>
      </c>
      <c r="L3162" s="14" t="s">
        <v>152</v>
      </c>
      <c r="M3162" s="16" t="str">
        <f t="shared" si="1"/>
        <v>14144 SANTA ROSA2 Secundaria</v>
      </c>
      <c r="N3162" s="23"/>
      <c r="O3162" s="17"/>
      <c r="P3162" s="17"/>
      <c r="Q3162" s="17"/>
      <c r="R3162" s="17"/>
      <c r="S3162" s="17"/>
      <c r="T3162" s="17"/>
    </row>
    <row r="3163">
      <c r="A3163" s="18">
        <v>2884.0</v>
      </c>
      <c r="B3163" s="12" t="s">
        <v>48</v>
      </c>
      <c r="C3163" s="12" t="s">
        <v>27</v>
      </c>
      <c r="D3163" s="20" t="s">
        <v>28</v>
      </c>
      <c r="E3163" s="12" t="str">
        <f>IFERROR(__xludf.DUMMYFUNCTION("FILTER(colegios!$B$2:$B5618,colegios!$A$2:$A5618=L3163)"),"14144 SANTA ROSA")</f>
        <v>14144 SANTA ROSA</v>
      </c>
      <c r="F3163" s="14" t="s">
        <v>16</v>
      </c>
      <c r="G3163" s="20" t="s">
        <v>21</v>
      </c>
      <c r="H3163" s="14" t="s">
        <v>18</v>
      </c>
      <c r="I3163" s="15">
        <v>2022.0</v>
      </c>
      <c r="J3163" s="16" t="str">
        <f>IFERROR(__xludf.DUMMYFUNCTION("FILTER('CLASFICACIÓN'!$F$3:$F5618,'CLASFICACIÓN'!$G$3:$G5618=M3163)"),"SOLO LINEA BASE")</f>
        <v>SOLO LINEA BASE</v>
      </c>
      <c r="K3163" s="16" t="str">
        <f t="array" ref="K3163">IFERROR(DGET('PADD-R'!$B$1:$K5618,'PADD-R'!$K$1,{'PADD-R'!$B$1;E3163}),"NO PARTICIPÓ")</f>
        <v>SOLO 2023</v>
      </c>
      <c r="L3163" s="14" t="s">
        <v>152</v>
      </c>
      <c r="M3163" s="16" t="str">
        <f t="shared" si="1"/>
        <v>14144 SANTA ROSA2 Secundaria</v>
      </c>
      <c r="N3163" s="23"/>
      <c r="O3163" s="17"/>
      <c r="P3163" s="17"/>
      <c r="Q3163" s="17"/>
      <c r="R3163" s="17"/>
      <c r="S3163" s="17"/>
      <c r="T3163" s="17"/>
    </row>
    <row r="3164">
      <c r="A3164" s="18">
        <v>2885.0</v>
      </c>
      <c r="B3164" s="12" t="s">
        <v>48</v>
      </c>
      <c r="C3164" s="12" t="s">
        <v>27</v>
      </c>
      <c r="D3164" s="20" t="s">
        <v>28</v>
      </c>
      <c r="E3164" s="12" t="str">
        <f>IFERROR(__xludf.DUMMYFUNCTION("FILTER(colegios!$B$2:$B5618,colegios!$A$2:$A5618=L3164)"),"14144 SANTA ROSA")</f>
        <v>14144 SANTA ROSA</v>
      </c>
      <c r="F3164" s="14" t="s">
        <v>16</v>
      </c>
      <c r="G3164" s="20" t="s">
        <v>17</v>
      </c>
      <c r="H3164" s="14" t="s">
        <v>18</v>
      </c>
      <c r="I3164" s="15">
        <v>2022.0</v>
      </c>
      <c r="J3164" s="16" t="str">
        <f>IFERROR(__xludf.DUMMYFUNCTION("FILTER('CLASFICACIÓN'!$F$3:$F5618,'CLASFICACIÓN'!$G$3:$G5618=M3164)"),"SOLO LINEA BASE")</f>
        <v>SOLO LINEA BASE</v>
      </c>
      <c r="K3164" s="16" t="str">
        <f t="array" ref="K3164">IFERROR(DGET('PADD-R'!$B$1:$K5618,'PADD-R'!$K$1,{'PADD-R'!$B$1;E3164}),"NO PARTICIPÓ")</f>
        <v>SOLO 2023</v>
      </c>
      <c r="L3164" s="14" t="s">
        <v>152</v>
      </c>
      <c r="M3164" s="16" t="str">
        <f t="shared" si="1"/>
        <v>14144 SANTA ROSA2 Secundaria</v>
      </c>
      <c r="N3164" s="23"/>
      <c r="O3164" s="17"/>
      <c r="P3164" s="17"/>
      <c r="Q3164" s="17"/>
      <c r="R3164" s="17"/>
      <c r="S3164" s="17"/>
      <c r="T3164" s="17"/>
    </row>
    <row r="3165">
      <c r="A3165" s="18">
        <v>2886.0</v>
      </c>
      <c r="B3165" s="12" t="s">
        <v>48</v>
      </c>
      <c r="C3165" s="12" t="s">
        <v>27</v>
      </c>
      <c r="D3165" s="20" t="s">
        <v>28</v>
      </c>
      <c r="E3165" s="12" t="str">
        <f>IFERROR(__xludf.DUMMYFUNCTION("FILTER(colegios!$B$2:$B5618,colegios!$A$2:$A5618=L3165)"),"14144 SANTA ROSA")</f>
        <v>14144 SANTA ROSA</v>
      </c>
      <c r="F3165" s="14" t="s">
        <v>16</v>
      </c>
      <c r="G3165" s="20" t="s">
        <v>21</v>
      </c>
      <c r="H3165" s="14" t="s">
        <v>18</v>
      </c>
      <c r="I3165" s="15">
        <v>2022.0</v>
      </c>
      <c r="J3165" s="16" t="str">
        <f>IFERROR(__xludf.DUMMYFUNCTION("FILTER('CLASFICACIÓN'!$F$3:$F5618,'CLASFICACIÓN'!$G$3:$G5618=M3165)"),"SOLO LINEA BASE")</f>
        <v>SOLO LINEA BASE</v>
      </c>
      <c r="K3165" s="16" t="str">
        <f t="array" ref="K3165">IFERROR(DGET('PADD-R'!$B$1:$K5618,'PADD-R'!$K$1,{'PADD-R'!$B$1;E3165}),"NO PARTICIPÓ")</f>
        <v>SOLO 2023</v>
      </c>
      <c r="L3165" s="14" t="s">
        <v>152</v>
      </c>
      <c r="M3165" s="16" t="str">
        <f t="shared" si="1"/>
        <v>14144 SANTA ROSA2 Secundaria</v>
      </c>
      <c r="N3165" s="23"/>
      <c r="O3165" s="17"/>
      <c r="P3165" s="17"/>
      <c r="Q3165" s="17"/>
      <c r="R3165" s="17"/>
      <c r="S3165" s="17"/>
      <c r="T3165" s="17"/>
    </row>
    <row r="3166">
      <c r="A3166" s="18">
        <v>2887.0</v>
      </c>
      <c r="B3166" s="12" t="s">
        <v>48</v>
      </c>
      <c r="C3166" s="12" t="s">
        <v>27</v>
      </c>
      <c r="D3166" s="20" t="s">
        <v>28</v>
      </c>
      <c r="E3166" s="12" t="str">
        <f>IFERROR(__xludf.DUMMYFUNCTION("FILTER(colegios!$B$2:$B5618,colegios!$A$2:$A5618=L3166)"),"14144 SANTA ROSA")</f>
        <v>14144 SANTA ROSA</v>
      </c>
      <c r="F3166" s="14" t="s">
        <v>16</v>
      </c>
      <c r="G3166" s="20" t="s">
        <v>21</v>
      </c>
      <c r="H3166" s="14" t="s">
        <v>18</v>
      </c>
      <c r="I3166" s="15">
        <v>2022.0</v>
      </c>
      <c r="J3166" s="16" t="str">
        <f>IFERROR(__xludf.DUMMYFUNCTION("FILTER('CLASFICACIÓN'!$F$3:$F5618,'CLASFICACIÓN'!$G$3:$G5618=M3166)"),"SOLO LINEA BASE")</f>
        <v>SOLO LINEA BASE</v>
      </c>
      <c r="K3166" s="16" t="str">
        <f t="array" ref="K3166">IFERROR(DGET('PADD-R'!$B$1:$K5618,'PADD-R'!$K$1,{'PADD-R'!$B$1;E3166}),"NO PARTICIPÓ")</f>
        <v>SOLO 2023</v>
      </c>
      <c r="L3166" s="14" t="s">
        <v>152</v>
      </c>
      <c r="M3166" s="16" t="str">
        <f t="shared" si="1"/>
        <v>14144 SANTA ROSA2 Secundaria</v>
      </c>
      <c r="N3166" s="23"/>
      <c r="O3166" s="17"/>
      <c r="P3166" s="17"/>
      <c r="Q3166" s="17"/>
      <c r="R3166" s="17"/>
      <c r="S3166" s="17"/>
      <c r="T3166" s="17"/>
    </row>
    <row r="3167">
      <c r="A3167" s="18">
        <v>2888.0</v>
      </c>
      <c r="B3167" s="12" t="s">
        <v>48</v>
      </c>
      <c r="C3167" s="12" t="s">
        <v>27</v>
      </c>
      <c r="D3167" s="20" t="s">
        <v>28</v>
      </c>
      <c r="E3167" s="12" t="str">
        <f>IFERROR(__xludf.DUMMYFUNCTION("FILTER(colegios!$B$2:$B5618,colegios!$A$2:$A5618=L3167)"),"14144 SANTA ROSA")</f>
        <v>14144 SANTA ROSA</v>
      </c>
      <c r="F3167" s="14" t="s">
        <v>16</v>
      </c>
      <c r="G3167" s="20" t="s">
        <v>21</v>
      </c>
      <c r="H3167" s="14" t="s">
        <v>18</v>
      </c>
      <c r="I3167" s="15">
        <v>2022.0</v>
      </c>
      <c r="J3167" s="16" t="str">
        <f>IFERROR(__xludf.DUMMYFUNCTION("FILTER('CLASFICACIÓN'!$F$3:$F5618,'CLASFICACIÓN'!$G$3:$G5618=M3167)"),"SOLO LINEA BASE")</f>
        <v>SOLO LINEA BASE</v>
      </c>
      <c r="K3167" s="16" t="str">
        <f t="array" ref="K3167">IFERROR(DGET('PADD-R'!$B$1:$K5618,'PADD-R'!$K$1,{'PADD-R'!$B$1;E3167}),"NO PARTICIPÓ")</f>
        <v>SOLO 2023</v>
      </c>
      <c r="L3167" s="14" t="s">
        <v>152</v>
      </c>
      <c r="M3167" s="16" t="str">
        <f t="shared" si="1"/>
        <v>14144 SANTA ROSA2 Secundaria</v>
      </c>
      <c r="N3167" s="23"/>
      <c r="O3167" s="17"/>
      <c r="P3167" s="17"/>
      <c r="Q3167" s="17"/>
      <c r="R3167" s="17"/>
      <c r="S3167" s="17"/>
      <c r="T3167" s="17"/>
    </row>
    <row r="3168">
      <c r="A3168" s="18">
        <v>2889.0</v>
      </c>
      <c r="B3168" s="12" t="s">
        <v>48</v>
      </c>
      <c r="C3168" s="12" t="s">
        <v>27</v>
      </c>
      <c r="D3168" s="20" t="s">
        <v>28</v>
      </c>
      <c r="E3168" s="12" t="str">
        <f>IFERROR(__xludf.DUMMYFUNCTION("FILTER(colegios!$B$2:$B5618,colegios!$A$2:$A5618=L3168)"),"14144 SANTA ROSA")</f>
        <v>14144 SANTA ROSA</v>
      </c>
      <c r="F3168" s="14" t="s">
        <v>16</v>
      </c>
      <c r="G3168" s="20" t="s">
        <v>17</v>
      </c>
      <c r="H3168" s="14" t="s">
        <v>18</v>
      </c>
      <c r="I3168" s="15">
        <v>2022.0</v>
      </c>
      <c r="J3168" s="16" t="str">
        <f>IFERROR(__xludf.DUMMYFUNCTION("FILTER('CLASFICACIÓN'!$F$3:$F5618,'CLASFICACIÓN'!$G$3:$G5618=M3168)"),"SOLO LINEA BASE")</f>
        <v>SOLO LINEA BASE</v>
      </c>
      <c r="K3168" s="16" t="str">
        <f t="array" ref="K3168">IFERROR(DGET('PADD-R'!$B$1:$K5618,'PADD-R'!$K$1,{'PADD-R'!$B$1;E3168}),"NO PARTICIPÓ")</f>
        <v>SOLO 2023</v>
      </c>
      <c r="L3168" s="14" t="s">
        <v>152</v>
      </c>
      <c r="M3168" s="16" t="str">
        <f t="shared" si="1"/>
        <v>14144 SANTA ROSA2 Secundaria</v>
      </c>
      <c r="N3168" s="23"/>
      <c r="O3168" s="17"/>
      <c r="P3168" s="17"/>
      <c r="Q3168" s="17"/>
      <c r="R3168" s="17"/>
      <c r="S3168" s="17"/>
      <c r="T3168" s="17"/>
    </row>
    <row r="3169">
      <c r="A3169" s="18">
        <v>2890.0</v>
      </c>
      <c r="B3169" s="12" t="s">
        <v>48</v>
      </c>
      <c r="C3169" s="12" t="s">
        <v>27</v>
      </c>
      <c r="D3169" s="20" t="s">
        <v>28</v>
      </c>
      <c r="E3169" s="12" t="str">
        <f>IFERROR(__xludf.DUMMYFUNCTION("FILTER(colegios!$B$2:$B5618,colegios!$A$2:$A5618=L3169)"),"14144 SANTA ROSA")</f>
        <v>14144 SANTA ROSA</v>
      </c>
      <c r="F3169" s="14" t="s">
        <v>16</v>
      </c>
      <c r="G3169" s="20" t="s">
        <v>21</v>
      </c>
      <c r="H3169" s="14" t="s">
        <v>18</v>
      </c>
      <c r="I3169" s="15">
        <v>2022.0</v>
      </c>
      <c r="J3169" s="16" t="str">
        <f>IFERROR(__xludf.DUMMYFUNCTION("FILTER('CLASFICACIÓN'!$F$3:$F5618,'CLASFICACIÓN'!$G$3:$G5618=M3169)"),"SOLO LINEA BASE")</f>
        <v>SOLO LINEA BASE</v>
      </c>
      <c r="K3169" s="16" t="str">
        <f t="array" ref="K3169">IFERROR(DGET('PADD-R'!$B$1:$K5618,'PADD-R'!$K$1,{'PADD-R'!$B$1;E3169}),"NO PARTICIPÓ")</f>
        <v>SOLO 2023</v>
      </c>
      <c r="L3169" s="14" t="s">
        <v>152</v>
      </c>
      <c r="M3169" s="16" t="str">
        <f t="shared" si="1"/>
        <v>14144 SANTA ROSA2 Secundaria</v>
      </c>
      <c r="N3169" s="23"/>
      <c r="O3169" s="17"/>
      <c r="P3169" s="17"/>
      <c r="Q3169" s="17"/>
      <c r="R3169" s="17"/>
      <c r="S3169" s="17"/>
      <c r="T3169" s="17"/>
    </row>
    <row r="3170">
      <c r="A3170" s="18">
        <v>2891.0</v>
      </c>
      <c r="B3170" s="12" t="s">
        <v>48</v>
      </c>
      <c r="C3170" s="12" t="s">
        <v>27</v>
      </c>
      <c r="D3170" s="20" t="s">
        <v>28</v>
      </c>
      <c r="E3170" s="12" t="str">
        <f>IFERROR(__xludf.DUMMYFUNCTION("FILTER(colegios!$B$2:$B5618,colegios!$A$2:$A5618=L3170)"),"14144 SANTA ROSA")</f>
        <v>14144 SANTA ROSA</v>
      </c>
      <c r="F3170" s="14" t="s">
        <v>16</v>
      </c>
      <c r="G3170" s="20" t="s">
        <v>17</v>
      </c>
      <c r="H3170" s="14" t="s">
        <v>18</v>
      </c>
      <c r="I3170" s="15">
        <v>2022.0</v>
      </c>
      <c r="J3170" s="16" t="str">
        <f>IFERROR(__xludf.DUMMYFUNCTION("FILTER('CLASFICACIÓN'!$F$3:$F5618,'CLASFICACIÓN'!$G$3:$G5618=M3170)"),"SOLO LINEA BASE")</f>
        <v>SOLO LINEA BASE</v>
      </c>
      <c r="K3170" s="16" t="str">
        <f t="array" ref="K3170">IFERROR(DGET('PADD-R'!$B$1:$K5618,'PADD-R'!$K$1,{'PADD-R'!$B$1;E3170}),"NO PARTICIPÓ")</f>
        <v>SOLO 2023</v>
      </c>
      <c r="L3170" s="14" t="s">
        <v>152</v>
      </c>
      <c r="M3170" s="16" t="str">
        <f t="shared" si="1"/>
        <v>14144 SANTA ROSA2 Secundaria</v>
      </c>
      <c r="N3170" s="23"/>
      <c r="O3170" s="17"/>
      <c r="P3170" s="17"/>
      <c r="Q3170" s="17"/>
      <c r="R3170" s="17"/>
      <c r="S3170" s="17"/>
      <c r="T3170" s="17"/>
    </row>
    <row r="3171">
      <c r="A3171" s="18">
        <v>2892.0</v>
      </c>
      <c r="B3171" s="12" t="s">
        <v>48</v>
      </c>
      <c r="C3171" s="12" t="s">
        <v>14</v>
      </c>
      <c r="D3171" s="20" t="s">
        <v>20</v>
      </c>
      <c r="E3171" s="12" t="str">
        <f>IFERROR(__xludf.DUMMYFUNCTION("FILTER(colegios!$B$2:$B5618,colegios!$A$2:$A5618=L3171)"),"14144 SANTA ROSA")</f>
        <v>14144 SANTA ROSA</v>
      </c>
      <c r="F3171" s="14" t="s">
        <v>16</v>
      </c>
      <c r="G3171" s="20" t="s">
        <v>21</v>
      </c>
      <c r="H3171" s="14" t="s">
        <v>18</v>
      </c>
      <c r="I3171" s="15">
        <v>2022.0</v>
      </c>
      <c r="J3171" s="16" t="str">
        <f>IFERROR(__xludf.DUMMYFUNCTION("FILTER('CLASFICACIÓN'!$F$3:$F5618,'CLASFICACIÓN'!$G$3:$G5618=M3171)"),"LOS 3 AÑOS")</f>
        <v>LOS 3 AÑOS</v>
      </c>
      <c r="K3171" s="16" t="str">
        <f t="array" ref="K3171">IFERROR(DGET('PADD-R'!$B$1:$K5618,'PADD-R'!$K$1,{'PADD-R'!$B$1;E3171}),"NO PARTICIPÓ")</f>
        <v>SOLO 2023</v>
      </c>
      <c r="L3171" s="14" t="s">
        <v>152</v>
      </c>
      <c r="M3171" s="16" t="str">
        <f t="shared" si="1"/>
        <v>14144 SANTA ROSA4 Primaria</v>
      </c>
      <c r="N3171" s="23"/>
      <c r="O3171" s="17"/>
      <c r="P3171" s="17"/>
      <c r="Q3171" s="17"/>
      <c r="R3171" s="17"/>
      <c r="S3171" s="17"/>
      <c r="T3171" s="17"/>
    </row>
    <row r="3172">
      <c r="A3172" s="18">
        <v>2893.0</v>
      </c>
      <c r="B3172" s="12" t="s">
        <v>48</v>
      </c>
      <c r="C3172" s="12" t="s">
        <v>14</v>
      </c>
      <c r="D3172" s="20" t="s">
        <v>20</v>
      </c>
      <c r="E3172" s="12" t="str">
        <f>IFERROR(__xludf.DUMMYFUNCTION("FILTER(colegios!$B$2:$B5618,colegios!$A$2:$A5618=L3172)"),"14144 SANTA ROSA")</f>
        <v>14144 SANTA ROSA</v>
      </c>
      <c r="F3172" s="14" t="s">
        <v>16</v>
      </c>
      <c r="G3172" s="20" t="s">
        <v>17</v>
      </c>
      <c r="H3172" s="14" t="s">
        <v>18</v>
      </c>
      <c r="I3172" s="15">
        <v>2022.0</v>
      </c>
      <c r="J3172" s="16" t="str">
        <f>IFERROR(__xludf.DUMMYFUNCTION("FILTER('CLASFICACIÓN'!$F$3:$F5618,'CLASFICACIÓN'!$G$3:$G5618=M3172)"),"LOS 3 AÑOS")</f>
        <v>LOS 3 AÑOS</v>
      </c>
      <c r="K3172" s="16" t="str">
        <f t="array" ref="K3172">IFERROR(DGET('PADD-R'!$B$1:$K5618,'PADD-R'!$K$1,{'PADD-R'!$B$1;E3172}),"NO PARTICIPÓ")</f>
        <v>SOLO 2023</v>
      </c>
      <c r="L3172" s="14" t="s">
        <v>152</v>
      </c>
      <c r="M3172" s="16" t="str">
        <f t="shared" si="1"/>
        <v>14144 SANTA ROSA4 Primaria</v>
      </c>
      <c r="N3172" s="23"/>
      <c r="O3172" s="17"/>
      <c r="P3172" s="17"/>
      <c r="Q3172" s="17"/>
      <c r="R3172" s="17"/>
      <c r="S3172" s="17"/>
      <c r="T3172" s="17"/>
    </row>
    <row r="3173">
      <c r="A3173" s="18">
        <v>2894.0</v>
      </c>
      <c r="B3173" s="12" t="s">
        <v>48</v>
      </c>
      <c r="C3173" s="12" t="s">
        <v>14</v>
      </c>
      <c r="D3173" s="20" t="s">
        <v>20</v>
      </c>
      <c r="E3173" s="12" t="str">
        <f>IFERROR(__xludf.DUMMYFUNCTION("FILTER(colegios!$B$2:$B5618,colegios!$A$2:$A5618=L3173)"),"14144 SANTA ROSA")</f>
        <v>14144 SANTA ROSA</v>
      </c>
      <c r="F3173" s="14" t="s">
        <v>16</v>
      </c>
      <c r="G3173" s="20" t="s">
        <v>21</v>
      </c>
      <c r="H3173" s="14" t="s">
        <v>18</v>
      </c>
      <c r="I3173" s="15">
        <v>2022.0</v>
      </c>
      <c r="J3173" s="16" t="str">
        <f>IFERROR(__xludf.DUMMYFUNCTION("FILTER('CLASFICACIÓN'!$F$3:$F5618,'CLASFICACIÓN'!$G$3:$G5618=M3173)"),"LOS 3 AÑOS")</f>
        <v>LOS 3 AÑOS</v>
      </c>
      <c r="K3173" s="16" t="str">
        <f t="array" ref="K3173">IFERROR(DGET('PADD-R'!$B$1:$K5618,'PADD-R'!$K$1,{'PADD-R'!$B$1;E3173}),"NO PARTICIPÓ")</f>
        <v>SOLO 2023</v>
      </c>
      <c r="L3173" s="14" t="s">
        <v>152</v>
      </c>
      <c r="M3173" s="16" t="str">
        <f t="shared" si="1"/>
        <v>14144 SANTA ROSA4 Primaria</v>
      </c>
      <c r="N3173" s="23"/>
      <c r="O3173" s="17"/>
      <c r="P3173" s="17"/>
      <c r="Q3173" s="17"/>
      <c r="R3173" s="17"/>
      <c r="S3173" s="17"/>
      <c r="T3173" s="17"/>
    </row>
    <row r="3174">
      <c r="A3174" s="18">
        <v>2895.0</v>
      </c>
      <c r="B3174" s="12" t="s">
        <v>48</v>
      </c>
      <c r="C3174" s="12" t="s">
        <v>14</v>
      </c>
      <c r="D3174" s="20" t="s">
        <v>20</v>
      </c>
      <c r="E3174" s="12" t="str">
        <f>IFERROR(__xludf.DUMMYFUNCTION("FILTER(colegios!$B$2:$B5618,colegios!$A$2:$A5618=L3174)"),"14144 SANTA ROSA")</f>
        <v>14144 SANTA ROSA</v>
      </c>
      <c r="F3174" s="14" t="s">
        <v>16</v>
      </c>
      <c r="G3174" s="20" t="s">
        <v>17</v>
      </c>
      <c r="H3174" s="14" t="s">
        <v>18</v>
      </c>
      <c r="I3174" s="15">
        <v>2022.0</v>
      </c>
      <c r="J3174" s="16" t="str">
        <f>IFERROR(__xludf.DUMMYFUNCTION("FILTER('CLASFICACIÓN'!$F$3:$F5618,'CLASFICACIÓN'!$G$3:$G5618=M3174)"),"LOS 3 AÑOS")</f>
        <v>LOS 3 AÑOS</v>
      </c>
      <c r="K3174" s="16" t="str">
        <f t="array" ref="K3174">IFERROR(DGET('PADD-R'!$B$1:$K5618,'PADD-R'!$K$1,{'PADD-R'!$B$1;E3174}),"NO PARTICIPÓ")</f>
        <v>SOLO 2023</v>
      </c>
      <c r="L3174" s="14" t="s">
        <v>152</v>
      </c>
      <c r="M3174" s="16" t="str">
        <f t="shared" si="1"/>
        <v>14144 SANTA ROSA4 Primaria</v>
      </c>
      <c r="N3174" s="23"/>
      <c r="O3174" s="17"/>
      <c r="P3174" s="17"/>
      <c r="Q3174" s="17"/>
      <c r="R3174" s="17"/>
      <c r="S3174" s="17"/>
      <c r="T3174" s="17"/>
    </row>
    <row r="3175">
      <c r="A3175" s="18">
        <v>2896.0</v>
      </c>
      <c r="B3175" s="12" t="s">
        <v>48</v>
      </c>
      <c r="C3175" s="12" t="s">
        <v>14</v>
      </c>
      <c r="D3175" s="20" t="s">
        <v>20</v>
      </c>
      <c r="E3175" s="12" t="str">
        <f>IFERROR(__xludf.DUMMYFUNCTION("FILTER(colegios!$B$2:$B5618,colegios!$A$2:$A5618=L3175)"),"14144 SANTA ROSA")</f>
        <v>14144 SANTA ROSA</v>
      </c>
      <c r="F3175" s="14" t="s">
        <v>16</v>
      </c>
      <c r="G3175" s="20" t="s">
        <v>17</v>
      </c>
      <c r="H3175" s="14" t="s">
        <v>18</v>
      </c>
      <c r="I3175" s="15">
        <v>2022.0</v>
      </c>
      <c r="J3175" s="16" t="str">
        <f>IFERROR(__xludf.DUMMYFUNCTION("FILTER('CLASFICACIÓN'!$F$3:$F5618,'CLASFICACIÓN'!$G$3:$G5618=M3175)"),"LOS 3 AÑOS")</f>
        <v>LOS 3 AÑOS</v>
      </c>
      <c r="K3175" s="16" t="str">
        <f t="array" ref="K3175">IFERROR(DGET('PADD-R'!$B$1:$K5618,'PADD-R'!$K$1,{'PADD-R'!$B$1;E3175}),"NO PARTICIPÓ")</f>
        <v>SOLO 2023</v>
      </c>
      <c r="L3175" s="14" t="s">
        <v>152</v>
      </c>
      <c r="M3175" s="16" t="str">
        <f t="shared" si="1"/>
        <v>14144 SANTA ROSA4 Primaria</v>
      </c>
      <c r="N3175" s="23"/>
      <c r="O3175" s="17"/>
      <c r="P3175" s="17"/>
      <c r="Q3175" s="17"/>
      <c r="R3175" s="17"/>
      <c r="S3175" s="17"/>
      <c r="T3175" s="17"/>
    </row>
    <row r="3176">
      <c r="A3176" s="18">
        <v>2897.0</v>
      </c>
      <c r="B3176" s="12" t="s">
        <v>48</v>
      </c>
      <c r="C3176" s="12" t="s">
        <v>14</v>
      </c>
      <c r="D3176" s="20" t="s">
        <v>20</v>
      </c>
      <c r="E3176" s="12" t="str">
        <f>IFERROR(__xludf.DUMMYFUNCTION("FILTER(colegios!$B$2:$B5618,colegios!$A$2:$A5618=L3176)"),"14144 SANTA ROSA")</f>
        <v>14144 SANTA ROSA</v>
      </c>
      <c r="F3176" s="14" t="s">
        <v>16</v>
      </c>
      <c r="G3176" s="20" t="s">
        <v>21</v>
      </c>
      <c r="H3176" s="14" t="s">
        <v>18</v>
      </c>
      <c r="I3176" s="15">
        <v>2022.0</v>
      </c>
      <c r="J3176" s="16" t="str">
        <f>IFERROR(__xludf.DUMMYFUNCTION("FILTER('CLASFICACIÓN'!$F$3:$F5618,'CLASFICACIÓN'!$G$3:$G5618=M3176)"),"LOS 3 AÑOS")</f>
        <v>LOS 3 AÑOS</v>
      </c>
      <c r="K3176" s="16" t="str">
        <f t="array" ref="K3176">IFERROR(DGET('PADD-R'!$B$1:$K5618,'PADD-R'!$K$1,{'PADD-R'!$B$1;E3176}),"NO PARTICIPÓ")</f>
        <v>SOLO 2023</v>
      </c>
      <c r="L3176" s="14" t="s">
        <v>152</v>
      </c>
      <c r="M3176" s="16" t="str">
        <f t="shared" si="1"/>
        <v>14144 SANTA ROSA4 Primaria</v>
      </c>
      <c r="N3176" s="23"/>
      <c r="O3176" s="17"/>
      <c r="P3176" s="17"/>
      <c r="Q3176" s="17"/>
      <c r="R3176" s="17"/>
      <c r="S3176" s="17"/>
      <c r="T3176" s="17"/>
    </row>
    <row r="3177">
      <c r="A3177" s="18">
        <v>2898.0</v>
      </c>
      <c r="B3177" s="12" t="s">
        <v>48</v>
      </c>
      <c r="C3177" s="12" t="s">
        <v>14</v>
      </c>
      <c r="D3177" s="20" t="s">
        <v>20</v>
      </c>
      <c r="E3177" s="12" t="str">
        <f>IFERROR(__xludf.DUMMYFUNCTION("FILTER(colegios!$B$2:$B5618,colegios!$A$2:$A5618=L3177)"),"14144 SANTA ROSA")</f>
        <v>14144 SANTA ROSA</v>
      </c>
      <c r="F3177" s="14" t="s">
        <v>16</v>
      </c>
      <c r="G3177" s="20" t="s">
        <v>17</v>
      </c>
      <c r="H3177" s="14" t="s">
        <v>18</v>
      </c>
      <c r="I3177" s="15">
        <v>2022.0</v>
      </c>
      <c r="J3177" s="16" t="str">
        <f>IFERROR(__xludf.DUMMYFUNCTION("FILTER('CLASFICACIÓN'!$F$3:$F5618,'CLASFICACIÓN'!$G$3:$G5618=M3177)"),"LOS 3 AÑOS")</f>
        <v>LOS 3 AÑOS</v>
      </c>
      <c r="K3177" s="16" t="str">
        <f t="array" ref="K3177">IFERROR(DGET('PADD-R'!$B$1:$K5618,'PADD-R'!$K$1,{'PADD-R'!$B$1;E3177}),"NO PARTICIPÓ")</f>
        <v>SOLO 2023</v>
      </c>
      <c r="L3177" s="14" t="s">
        <v>152</v>
      </c>
      <c r="M3177" s="16" t="str">
        <f t="shared" si="1"/>
        <v>14144 SANTA ROSA4 Primaria</v>
      </c>
      <c r="N3177" s="23"/>
      <c r="O3177" s="17"/>
      <c r="P3177" s="17"/>
      <c r="Q3177" s="17"/>
      <c r="R3177" s="17"/>
      <c r="S3177" s="17"/>
      <c r="T3177" s="17"/>
    </row>
    <row r="3178">
      <c r="A3178" s="18">
        <v>2899.0</v>
      </c>
      <c r="B3178" s="12" t="s">
        <v>48</v>
      </c>
      <c r="C3178" s="12" t="s">
        <v>14</v>
      </c>
      <c r="D3178" s="20" t="s">
        <v>20</v>
      </c>
      <c r="E3178" s="12" t="str">
        <f>IFERROR(__xludf.DUMMYFUNCTION("FILTER(colegios!$B$2:$B5618,colegios!$A$2:$A5618=L3178)"),"14144 SANTA ROSA")</f>
        <v>14144 SANTA ROSA</v>
      </c>
      <c r="F3178" s="14" t="s">
        <v>16</v>
      </c>
      <c r="G3178" s="20" t="s">
        <v>21</v>
      </c>
      <c r="H3178" s="14" t="s">
        <v>18</v>
      </c>
      <c r="I3178" s="15">
        <v>2022.0</v>
      </c>
      <c r="J3178" s="16" t="str">
        <f>IFERROR(__xludf.DUMMYFUNCTION("FILTER('CLASFICACIÓN'!$F$3:$F5618,'CLASFICACIÓN'!$G$3:$G5618=M3178)"),"LOS 3 AÑOS")</f>
        <v>LOS 3 AÑOS</v>
      </c>
      <c r="K3178" s="16" t="str">
        <f t="array" ref="K3178">IFERROR(DGET('PADD-R'!$B$1:$K5618,'PADD-R'!$K$1,{'PADD-R'!$B$1;E3178}),"NO PARTICIPÓ")</f>
        <v>SOLO 2023</v>
      </c>
      <c r="L3178" s="14" t="s">
        <v>152</v>
      </c>
      <c r="M3178" s="16" t="str">
        <f t="shared" si="1"/>
        <v>14144 SANTA ROSA4 Primaria</v>
      </c>
      <c r="N3178" s="23"/>
      <c r="O3178" s="17"/>
      <c r="P3178" s="17"/>
      <c r="Q3178" s="17"/>
      <c r="R3178" s="17"/>
      <c r="S3178" s="17"/>
      <c r="T3178" s="17"/>
    </row>
    <row r="3179">
      <c r="A3179" s="18">
        <v>2900.0</v>
      </c>
      <c r="B3179" s="12" t="s">
        <v>48</v>
      </c>
      <c r="C3179" s="12" t="s">
        <v>14</v>
      </c>
      <c r="D3179" s="20" t="s">
        <v>20</v>
      </c>
      <c r="E3179" s="12" t="str">
        <f>IFERROR(__xludf.DUMMYFUNCTION("FILTER(colegios!$B$2:$B5618,colegios!$A$2:$A5618=L3179)"),"14144 SANTA ROSA")</f>
        <v>14144 SANTA ROSA</v>
      </c>
      <c r="F3179" s="14" t="s">
        <v>16</v>
      </c>
      <c r="G3179" s="20" t="s">
        <v>21</v>
      </c>
      <c r="H3179" s="14" t="s">
        <v>18</v>
      </c>
      <c r="I3179" s="15">
        <v>2022.0</v>
      </c>
      <c r="J3179" s="16" t="str">
        <f>IFERROR(__xludf.DUMMYFUNCTION("FILTER('CLASFICACIÓN'!$F$3:$F5618,'CLASFICACIÓN'!$G$3:$G5618=M3179)"),"LOS 3 AÑOS")</f>
        <v>LOS 3 AÑOS</v>
      </c>
      <c r="K3179" s="16" t="str">
        <f t="array" ref="K3179">IFERROR(DGET('PADD-R'!$B$1:$K5618,'PADD-R'!$K$1,{'PADD-R'!$B$1;E3179}),"NO PARTICIPÓ")</f>
        <v>SOLO 2023</v>
      </c>
      <c r="L3179" s="14" t="s">
        <v>152</v>
      </c>
      <c r="M3179" s="16" t="str">
        <f t="shared" si="1"/>
        <v>14144 SANTA ROSA4 Primaria</v>
      </c>
      <c r="N3179" s="23"/>
      <c r="O3179" s="17"/>
      <c r="P3179" s="17"/>
      <c r="Q3179" s="17"/>
      <c r="R3179" s="17"/>
      <c r="S3179" s="17"/>
      <c r="T3179" s="17"/>
    </row>
    <row r="3180">
      <c r="A3180" s="18">
        <v>2901.0</v>
      </c>
      <c r="B3180" s="12" t="s">
        <v>48</v>
      </c>
      <c r="C3180" s="12" t="s">
        <v>14</v>
      </c>
      <c r="D3180" s="20" t="s">
        <v>20</v>
      </c>
      <c r="E3180" s="12" t="str">
        <f>IFERROR(__xludf.DUMMYFUNCTION("FILTER(colegios!$B$2:$B5618,colegios!$A$2:$A5618=L3180)"),"14144 SANTA ROSA")</f>
        <v>14144 SANTA ROSA</v>
      </c>
      <c r="F3180" s="14" t="s">
        <v>16</v>
      </c>
      <c r="G3180" s="20" t="s">
        <v>21</v>
      </c>
      <c r="H3180" s="14" t="s">
        <v>18</v>
      </c>
      <c r="I3180" s="15">
        <v>2022.0</v>
      </c>
      <c r="J3180" s="16" t="str">
        <f>IFERROR(__xludf.DUMMYFUNCTION("FILTER('CLASFICACIÓN'!$F$3:$F5618,'CLASFICACIÓN'!$G$3:$G5618=M3180)"),"LOS 3 AÑOS")</f>
        <v>LOS 3 AÑOS</v>
      </c>
      <c r="K3180" s="16" t="str">
        <f t="array" ref="K3180">IFERROR(DGET('PADD-R'!$B$1:$K5618,'PADD-R'!$K$1,{'PADD-R'!$B$1;E3180}),"NO PARTICIPÓ")</f>
        <v>SOLO 2023</v>
      </c>
      <c r="L3180" s="14" t="s">
        <v>152</v>
      </c>
      <c r="M3180" s="16" t="str">
        <f t="shared" si="1"/>
        <v>14144 SANTA ROSA4 Primaria</v>
      </c>
      <c r="N3180" s="23"/>
      <c r="O3180" s="17"/>
      <c r="P3180" s="17"/>
      <c r="Q3180" s="17"/>
      <c r="R3180" s="17"/>
      <c r="S3180" s="17"/>
      <c r="T3180" s="17"/>
    </row>
    <row r="3181">
      <c r="A3181" s="18">
        <v>2902.0</v>
      </c>
      <c r="B3181" s="12" t="s">
        <v>48</v>
      </c>
      <c r="C3181" s="12" t="s">
        <v>14</v>
      </c>
      <c r="D3181" s="20" t="s">
        <v>20</v>
      </c>
      <c r="E3181" s="12" t="str">
        <f>IFERROR(__xludf.DUMMYFUNCTION("FILTER(colegios!$B$2:$B5618,colegios!$A$2:$A5618=L3181)"),"14144 SANTA ROSA")</f>
        <v>14144 SANTA ROSA</v>
      </c>
      <c r="F3181" s="14" t="s">
        <v>16</v>
      </c>
      <c r="G3181" s="20" t="s">
        <v>17</v>
      </c>
      <c r="H3181" s="14" t="s">
        <v>24</v>
      </c>
      <c r="I3181" s="15">
        <v>2022.0</v>
      </c>
      <c r="J3181" s="16" t="str">
        <f>IFERROR(__xludf.DUMMYFUNCTION("FILTER('CLASFICACIÓN'!$F$3:$F5618,'CLASFICACIÓN'!$G$3:$G5618=M3181)"),"LOS 3 AÑOS")</f>
        <v>LOS 3 AÑOS</v>
      </c>
      <c r="K3181" s="16" t="str">
        <f t="array" ref="K3181">IFERROR(DGET('PADD-R'!$B$1:$K5618,'PADD-R'!$K$1,{'PADD-R'!$B$1;E3181}),"NO PARTICIPÓ")</f>
        <v>SOLO 2023</v>
      </c>
      <c r="L3181" s="14" t="s">
        <v>152</v>
      </c>
      <c r="M3181" s="16" t="str">
        <f t="shared" si="1"/>
        <v>14144 SANTA ROSA4 Primaria</v>
      </c>
      <c r="N3181" s="23"/>
      <c r="O3181" s="17"/>
      <c r="P3181" s="17"/>
      <c r="Q3181" s="17"/>
      <c r="R3181" s="17"/>
      <c r="S3181" s="17"/>
      <c r="T3181" s="17"/>
    </row>
    <row r="3182">
      <c r="A3182" s="18">
        <v>2903.0</v>
      </c>
      <c r="B3182" s="12" t="s">
        <v>48</v>
      </c>
      <c r="C3182" s="12" t="s">
        <v>14</v>
      </c>
      <c r="D3182" s="20" t="s">
        <v>20</v>
      </c>
      <c r="E3182" s="12" t="str">
        <f>IFERROR(__xludf.DUMMYFUNCTION("FILTER(colegios!$B$2:$B5618,colegios!$A$2:$A5618=L3182)"),"14144 SANTA ROSA")</f>
        <v>14144 SANTA ROSA</v>
      </c>
      <c r="F3182" s="14" t="s">
        <v>16</v>
      </c>
      <c r="G3182" s="20" t="s">
        <v>21</v>
      </c>
      <c r="H3182" s="14" t="s">
        <v>18</v>
      </c>
      <c r="I3182" s="15">
        <v>2022.0</v>
      </c>
      <c r="J3182" s="16" t="str">
        <f>IFERROR(__xludf.DUMMYFUNCTION("FILTER('CLASFICACIÓN'!$F$3:$F5618,'CLASFICACIÓN'!$G$3:$G5618=M3182)"),"LOS 3 AÑOS")</f>
        <v>LOS 3 AÑOS</v>
      </c>
      <c r="K3182" s="16" t="str">
        <f t="array" ref="K3182">IFERROR(DGET('PADD-R'!$B$1:$K5618,'PADD-R'!$K$1,{'PADD-R'!$B$1;E3182}),"NO PARTICIPÓ")</f>
        <v>SOLO 2023</v>
      </c>
      <c r="L3182" s="14" t="s">
        <v>152</v>
      </c>
      <c r="M3182" s="16" t="str">
        <f t="shared" si="1"/>
        <v>14144 SANTA ROSA4 Primaria</v>
      </c>
      <c r="N3182" s="23"/>
      <c r="O3182" s="17"/>
      <c r="P3182" s="17"/>
      <c r="Q3182" s="17"/>
      <c r="R3182" s="17"/>
      <c r="S3182" s="17"/>
      <c r="T3182" s="17"/>
    </row>
    <row r="3183">
      <c r="A3183" s="18">
        <v>2904.0</v>
      </c>
      <c r="B3183" s="12" t="s">
        <v>48</v>
      </c>
      <c r="C3183" s="12" t="s">
        <v>14</v>
      </c>
      <c r="D3183" s="20" t="s">
        <v>20</v>
      </c>
      <c r="E3183" s="12" t="str">
        <f>IFERROR(__xludf.DUMMYFUNCTION("FILTER(colegios!$B$2:$B5618,colegios!$A$2:$A5618=L3183)"),"14144 SANTA ROSA")</f>
        <v>14144 SANTA ROSA</v>
      </c>
      <c r="F3183" s="14" t="s">
        <v>16</v>
      </c>
      <c r="G3183" s="20" t="s">
        <v>17</v>
      </c>
      <c r="H3183" s="14" t="s">
        <v>18</v>
      </c>
      <c r="I3183" s="15">
        <v>2022.0</v>
      </c>
      <c r="J3183" s="16" t="str">
        <f>IFERROR(__xludf.DUMMYFUNCTION("FILTER('CLASFICACIÓN'!$F$3:$F5618,'CLASFICACIÓN'!$G$3:$G5618=M3183)"),"LOS 3 AÑOS")</f>
        <v>LOS 3 AÑOS</v>
      </c>
      <c r="K3183" s="16" t="str">
        <f t="array" ref="K3183">IFERROR(DGET('PADD-R'!$B$1:$K5618,'PADD-R'!$K$1,{'PADD-R'!$B$1;E3183}),"NO PARTICIPÓ")</f>
        <v>SOLO 2023</v>
      </c>
      <c r="L3183" s="14" t="s">
        <v>152</v>
      </c>
      <c r="M3183" s="16" t="str">
        <f t="shared" si="1"/>
        <v>14144 SANTA ROSA4 Primaria</v>
      </c>
      <c r="N3183" s="23"/>
      <c r="O3183" s="17"/>
      <c r="P3183" s="17"/>
      <c r="Q3183" s="17"/>
      <c r="R3183" s="17"/>
      <c r="S3183" s="17"/>
      <c r="T3183" s="17"/>
    </row>
    <row r="3184">
      <c r="A3184" s="18">
        <v>2905.0</v>
      </c>
      <c r="B3184" s="12" t="s">
        <v>48</v>
      </c>
      <c r="C3184" s="12" t="s">
        <v>14</v>
      </c>
      <c r="D3184" s="20" t="s">
        <v>20</v>
      </c>
      <c r="E3184" s="12" t="str">
        <f>IFERROR(__xludf.DUMMYFUNCTION("FILTER(colegios!$B$2:$B5618,colegios!$A$2:$A5618=L3184)"),"14144 SANTA ROSA")</f>
        <v>14144 SANTA ROSA</v>
      </c>
      <c r="F3184" s="14" t="s">
        <v>16</v>
      </c>
      <c r="G3184" s="20" t="s">
        <v>21</v>
      </c>
      <c r="H3184" s="14" t="s">
        <v>18</v>
      </c>
      <c r="I3184" s="15">
        <v>2022.0</v>
      </c>
      <c r="J3184" s="16" t="str">
        <f>IFERROR(__xludf.DUMMYFUNCTION("FILTER('CLASFICACIÓN'!$F$3:$F5618,'CLASFICACIÓN'!$G$3:$G5618=M3184)"),"LOS 3 AÑOS")</f>
        <v>LOS 3 AÑOS</v>
      </c>
      <c r="K3184" s="16" t="str">
        <f t="array" ref="K3184">IFERROR(DGET('PADD-R'!$B$1:$K5618,'PADD-R'!$K$1,{'PADD-R'!$B$1;E3184}),"NO PARTICIPÓ")</f>
        <v>SOLO 2023</v>
      </c>
      <c r="L3184" s="14" t="s">
        <v>152</v>
      </c>
      <c r="M3184" s="16" t="str">
        <f t="shared" si="1"/>
        <v>14144 SANTA ROSA4 Primaria</v>
      </c>
      <c r="N3184" s="23"/>
      <c r="O3184" s="17"/>
      <c r="P3184" s="17"/>
      <c r="Q3184" s="17"/>
      <c r="R3184" s="17"/>
      <c r="S3184" s="17"/>
      <c r="T3184" s="17"/>
    </row>
    <row r="3185">
      <c r="A3185" s="18">
        <v>2906.0</v>
      </c>
      <c r="B3185" s="12" t="s">
        <v>48</v>
      </c>
      <c r="C3185" s="12" t="s">
        <v>14</v>
      </c>
      <c r="D3185" s="20" t="s">
        <v>20</v>
      </c>
      <c r="E3185" s="12" t="str">
        <f>IFERROR(__xludf.DUMMYFUNCTION("FILTER(colegios!$B$2:$B5618,colegios!$A$2:$A5618=L3185)"),"14144 SANTA ROSA")</f>
        <v>14144 SANTA ROSA</v>
      </c>
      <c r="F3185" s="14" t="s">
        <v>16</v>
      </c>
      <c r="G3185" s="20" t="s">
        <v>17</v>
      </c>
      <c r="H3185" s="14" t="s">
        <v>18</v>
      </c>
      <c r="I3185" s="15">
        <v>2022.0</v>
      </c>
      <c r="J3185" s="16" t="str">
        <f>IFERROR(__xludf.DUMMYFUNCTION("FILTER('CLASFICACIÓN'!$F$3:$F5618,'CLASFICACIÓN'!$G$3:$G5618=M3185)"),"LOS 3 AÑOS")</f>
        <v>LOS 3 AÑOS</v>
      </c>
      <c r="K3185" s="16" t="str">
        <f t="array" ref="K3185">IFERROR(DGET('PADD-R'!$B$1:$K5618,'PADD-R'!$K$1,{'PADD-R'!$B$1;E3185}),"NO PARTICIPÓ")</f>
        <v>SOLO 2023</v>
      </c>
      <c r="L3185" s="14" t="s">
        <v>152</v>
      </c>
      <c r="M3185" s="16" t="str">
        <f t="shared" si="1"/>
        <v>14144 SANTA ROSA4 Primaria</v>
      </c>
      <c r="N3185" s="23"/>
      <c r="O3185" s="17"/>
      <c r="P3185" s="17"/>
      <c r="Q3185" s="17"/>
      <c r="R3185" s="17"/>
      <c r="S3185" s="17"/>
      <c r="T3185" s="17"/>
    </row>
    <row r="3186">
      <c r="A3186" s="18">
        <v>2907.0</v>
      </c>
      <c r="B3186" s="12" t="s">
        <v>48</v>
      </c>
      <c r="C3186" s="12" t="s">
        <v>14</v>
      </c>
      <c r="D3186" s="20" t="s">
        <v>20</v>
      </c>
      <c r="E3186" s="12" t="str">
        <f>IFERROR(__xludf.DUMMYFUNCTION("FILTER(colegios!$B$2:$B5618,colegios!$A$2:$A5618=L3186)"),"14144 SANTA ROSA")</f>
        <v>14144 SANTA ROSA</v>
      </c>
      <c r="F3186" s="14" t="s">
        <v>16</v>
      </c>
      <c r="G3186" s="20" t="s">
        <v>21</v>
      </c>
      <c r="H3186" s="14" t="s">
        <v>18</v>
      </c>
      <c r="I3186" s="15">
        <v>2022.0</v>
      </c>
      <c r="J3186" s="16" t="str">
        <f>IFERROR(__xludf.DUMMYFUNCTION("FILTER('CLASFICACIÓN'!$F$3:$F5618,'CLASFICACIÓN'!$G$3:$G5618=M3186)"),"LOS 3 AÑOS")</f>
        <v>LOS 3 AÑOS</v>
      </c>
      <c r="K3186" s="16" t="str">
        <f t="array" ref="K3186">IFERROR(DGET('PADD-R'!$B$1:$K5618,'PADD-R'!$K$1,{'PADD-R'!$B$1;E3186}),"NO PARTICIPÓ")</f>
        <v>SOLO 2023</v>
      </c>
      <c r="L3186" s="14" t="s">
        <v>152</v>
      </c>
      <c r="M3186" s="16" t="str">
        <f t="shared" si="1"/>
        <v>14144 SANTA ROSA4 Primaria</v>
      </c>
      <c r="N3186" s="23"/>
      <c r="O3186" s="17"/>
      <c r="P3186" s="17"/>
      <c r="Q3186" s="17"/>
      <c r="R3186" s="17"/>
      <c r="S3186" s="17"/>
      <c r="T3186" s="17"/>
    </row>
    <row r="3187">
      <c r="A3187" s="18">
        <v>2908.0</v>
      </c>
      <c r="B3187" s="12" t="s">
        <v>48</v>
      </c>
      <c r="C3187" s="12" t="s">
        <v>14</v>
      </c>
      <c r="D3187" s="20" t="s">
        <v>20</v>
      </c>
      <c r="E3187" s="12" t="str">
        <f>IFERROR(__xludf.DUMMYFUNCTION("FILTER(colegios!$B$2:$B5618,colegios!$A$2:$A5618=L3187)"),"14144 SANTA ROSA")</f>
        <v>14144 SANTA ROSA</v>
      </c>
      <c r="F3187" s="14" t="s">
        <v>16</v>
      </c>
      <c r="G3187" s="20" t="s">
        <v>21</v>
      </c>
      <c r="H3187" s="14" t="s">
        <v>18</v>
      </c>
      <c r="I3187" s="15">
        <v>2022.0</v>
      </c>
      <c r="J3187" s="16" t="str">
        <f>IFERROR(__xludf.DUMMYFUNCTION("FILTER('CLASFICACIÓN'!$F$3:$F5618,'CLASFICACIÓN'!$G$3:$G5618=M3187)"),"LOS 3 AÑOS")</f>
        <v>LOS 3 AÑOS</v>
      </c>
      <c r="K3187" s="16" t="str">
        <f t="array" ref="K3187">IFERROR(DGET('PADD-R'!$B$1:$K5618,'PADD-R'!$K$1,{'PADD-R'!$B$1;E3187}),"NO PARTICIPÓ")</f>
        <v>SOLO 2023</v>
      </c>
      <c r="L3187" s="14" t="s">
        <v>152</v>
      </c>
      <c r="M3187" s="16" t="str">
        <f t="shared" si="1"/>
        <v>14144 SANTA ROSA4 Primaria</v>
      </c>
      <c r="N3187" s="23"/>
      <c r="O3187" s="17"/>
      <c r="P3187" s="17"/>
      <c r="Q3187" s="17"/>
      <c r="R3187" s="17"/>
      <c r="S3187" s="17"/>
      <c r="T3187" s="17"/>
    </row>
    <row r="3188">
      <c r="A3188" s="18">
        <v>2909.0</v>
      </c>
      <c r="B3188" s="12" t="s">
        <v>48</v>
      </c>
      <c r="C3188" s="12" t="s">
        <v>14</v>
      </c>
      <c r="D3188" s="20" t="s">
        <v>20</v>
      </c>
      <c r="E3188" s="12" t="str">
        <f>IFERROR(__xludf.DUMMYFUNCTION("FILTER(colegios!$B$2:$B5618,colegios!$A$2:$A5618=L3188)"),"14144 SANTA ROSA")</f>
        <v>14144 SANTA ROSA</v>
      </c>
      <c r="F3188" s="14" t="s">
        <v>16</v>
      </c>
      <c r="G3188" s="20" t="s">
        <v>17</v>
      </c>
      <c r="H3188" s="14" t="s">
        <v>18</v>
      </c>
      <c r="I3188" s="15">
        <v>2022.0</v>
      </c>
      <c r="J3188" s="16" t="str">
        <f>IFERROR(__xludf.DUMMYFUNCTION("FILTER('CLASFICACIÓN'!$F$3:$F5618,'CLASFICACIÓN'!$G$3:$G5618=M3188)"),"LOS 3 AÑOS")</f>
        <v>LOS 3 AÑOS</v>
      </c>
      <c r="K3188" s="16" t="str">
        <f t="array" ref="K3188">IFERROR(DGET('PADD-R'!$B$1:$K5618,'PADD-R'!$K$1,{'PADD-R'!$B$1;E3188}),"NO PARTICIPÓ")</f>
        <v>SOLO 2023</v>
      </c>
      <c r="L3188" s="14" t="s">
        <v>152</v>
      </c>
      <c r="M3188" s="16" t="str">
        <f t="shared" si="1"/>
        <v>14144 SANTA ROSA4 Primaria</v>
      </c>
      <c r="N3188" s="23"/>
      <c r="O3188" s="17"/>
      <c r="P3188" s="17"/>
      <c r="Q3188" s="17"/>
      <c r="R3188" s="17"/>
      <c r="S3188" s="17"/>
      <c r="T3188" s="17"/>
    </row>
    <row r="3189">
      <c r="A3189" s="18">
        <v>2910.0</v>
      </c>
      <c r="B3189" s="12" t="s">
        <v>48</v>
      </c>
      <c r="C3189" s="12" t="s">
        <v>14</v>
      </c>
      <c r="D3189" s="20" t="s">
        <v>20</v>
      </c>
      <c r="E3189" s="12" t="str">
        <f>IFERROR(__xludf.DUMMYFUNCTION("FILTER(colegios!$B$2:$B5618,colegios!$A$2:$A5618=L3189)"),"14144 SANTA ROSA")</f>
        <v>14144 SANTA ROSA</v>
      </c>
      <c r="F3189" s="14" t="s">
        <v>16</v>
      </c>
      <c r="G3189" s="20" t="s">
        <v>21</v>
      </c>
      <c r="H3189" s="14" t="s">
        <v>24</v>
      </c>
      <c r="I3189" s="15">
        <v>2022.0</v>
      </c>
      <c r="J3189" s="16" t="str">
        <f>IFERROR(__xludf.DUMMYFUNCTION("FILTER('CLASFICACIÓN'!$F$3:$F5618,'CLASFICACIÓN'!$G$3:$G5618=M3189)"),"LOS 3 AÑOS")</f>
        <v>LOS 3 AÑOS</v>
      </c>
      <c r="K3189" s="16" t="str">
        <f t="array" ref="K3189">IFERROR(DGET('PADD-R'!$B$1:$K5618,'PADD-R'!$K$1,{'PADD-R'!$B$1;E3189}),"NO PARTICIPÓ")</f>
        <v>SOLO 2023</v>
      </c>
      <c r="L3189" s="14" t="s">
        <v>152</v>
      </c>
      <c r="M3189" s="16" t="str">
        <f t="shared" si="1"/>
        <v>14144 SANTA ROSA4 Primaria</v>
      </c>
      <c r="N3189" s="23"/>
      <c r="O3189" s="17"/>
      <c r="P3189" s="17"/>
      <c r="Q3189" s="17"/>
      <c r="R3189" s="17"/>
      <c r="S3189" s="17"/>
      <c r="T3189" s="17"/>
    </row>
    <row r="3190">
      <c r="A3190" s="18">
        <v>2911.0</v>
      </c>
      <c r="B3190" s="12" t="s">
        <v>48</v>
      </c>
      <c r="C3190" s="12" t="s">
        <v>14</v>
      </c>
      <c r="D3190" s="20" t="s">
        <v>20</v>
      </c>
      <c r="E3190" s="12" t="str">
        <f>IFERROR(__xludf.DUMMYFUNCTION("FILTER(colegios!$B$2:$B5618,colegios!$A$2:$A5618=L3190)"),"14144 SANTA ROSA")</f>
        <v>14144 SANTA ROSA</v>
      </c>
      <c r="F3190" s="14" t="s">
        <v>16</v>
      </c>
      <c r="G3190" s="20" t="s">
        <v>21</v>
      </c>
      <c r="H3190" s="14" t="s">
        <v>24</v>
      </c>
      <c r="I3190" s="15">
        <v>2022.0</v>
      </c>
      <c r="J3190" s="16" t="str">
        <f>IFERROR(__xludf.DUMMYFUNCTION("FILTER('CLASFICACIÓN'!$F$3:$F5618,'CLASFICACIÓN'!$G$3:$G5618=M3190)"),"LOS 3 AÑOS")</f>
        <v>LOS 3 AÑOS</v>
      </c>
      <c r="K3190" s="16" t="str">
        <f t="array" ref="K3190">IFERROR(DGET('PADD-R'!$B$1:$K5618,'PADD-R'!$K$1,{'PADD-R'!$B$1;E3190}),"NO PARTICIPÓ")</f>
        <v>SOLO 2023</v>
      </c>
      <c r="L3190" s="14" t="s">
        <v>152</v>
      </c>
      <c r="M3190" s="16" t="str">
        <f t="shared" si="1"/>
        <v>14144 SANTA ROSA4 Primaria</v>
      </c>
      <c r="N3190" s="23"/>
      <c r="O3190" s="17"/>
      <c r="P3190" s="17"/>
      <c r="Q3190" s="17"/>
      <c r="R3190" s="17"/>
      <c r="S3190" s="17"/>
      <c r="T3190" s="17"/>
    </row>
    <row r="3191">
      <c r="A3191" s="18">
        <v>2912.0</v>
      </c>
      <c r="B3191" s="12" t="s">
        <v>48</v>
      </c>
      <c r="C3191" s="12" t="s">
        <v>14</v>
      </c>
      <c r="D3191" s="20" t="s">
        <v>20</v>
      </c>
      <c r="E3191" s="12" t="str">
        <f>IFERROR(__xludf.DUMMYFUNCTION("FILTER(colegios!$B$2:$B5618,colegios!$A$2:$A5618=L3191)"),"14144 SANTA ROSA")</f>
        <v>14144 SANTA ROSA</v>
      </c>
      <c r="F3191" s="14" t="s">
        <v>16</v>
      </c>
      <c r="G3191" s="20" t="s">
        <v>17</v>
      </c>
      <c r="H3191" s="14" t="s">
        <v>18</v>
      </c>
      <c r="I3191" s="15">
        <v>2022.0</v>
      </c>
      <c r="J3191" s="16" t="str">
        <f>IFERROR(__xludf.DUMMYFUNCTION("FILTER('CLASFICACIÓN'!$F$3:$F5618,'CLASFICACIÓN'!$G$3:$G5618=M3191)"),"LOS 3 AÑOS")</f>
        <v>LOS 3 AÑOS</v>
      </c>
      <c r="K3191" s="16" t="str">
        <f t="array" ref="K3191">IFERROR(DGET('PADD-R'!$B$1:$K5618,'PADD-R'!$K$1,{'PADD-R'!$B$1;E3191}),"NO PARTICIPÓ")</f>
        <v>SOLO 2023</v>
      </c>
      <c r="L3191" s="14" t="s">
        <v>152</v>
      </c>
      <c r="M3191" s="16" t="str">
        <f t="shared" si="1"/>
        <v>14144 SANTA ROSA4 Primaria</v>
      </c>
      <c r="N3191" s="23"/>
      <c r="O3191" s="17"/>
      <c r="P3191" s="17"/>
      <c r="Q3191" s="17"/>
      <c r="R3191" s="17"/>
      <c r="S3191" s="17"/>
      <c r="T3191" s="17"/>
    </row>
    <row r="3192">
      <c r="A3192" s="18">
        <v>2913.0</v>
      </c>
      <c r="B3192" s="12" t="s">
        <v>48</v>
      </c>
      <c r="C3192" s="12" t="s">
        <v>14</v>
      </c>
      <c r="D3192" s="20" t="s">
        <v>20</v>
      </c>
      <c r="E3192" s="12" t="str">
        <f>IFERROR(__xludf.DUMMYFUNCTION("FILTER(colegios!$B$2:$B5618,colegios!$A$2:$A5618=L3192)"),"14144 SANTA ROSA")</f>
        <v>14144 SANTA ROSA</v>
      </c>
      <c r="F3192" s="14" t="s">
        <v>16</v>
      </c>
      <c r="G3192" s="20" t="s">
        <v>21</v>
      </c>
      <c r="H3192" s="14" t="s">
        <v>18</v>
      </c>
      <c r="I3192" s="15">
        <v>2022.0</v>
      </c>
      <c r="J3192" s="16" t="str">
        <f>IFERROR(__xludf.DUMMYFUNCTION("FILTER('CLASFICACIÓN'!$F$3:$F5618,'CLASFICACIÓN'!$G$3:$G5618=M3192)"),"LOS 3 AÑOS")</f>
        <v>LOS 3 AÑOS</v>
      </c>
      <c r="K3192" s="16" t="str">
        <f t="array" ref="K3192">IFERROR(DGET('PADD-R'!$B$1:$K5618,'PADD-R'!$K$1,{'PADD-R'!$B$1;E3192}),"NO PARTICIPÓ")</f>
        <v>SOLO 2023</v>
      </c>
      <c r="L3192" s="14" t="s">
        <v>152</v>
      </c>
      <c r="M3192" s="16" t="str">
        <f t="shared" si="1"/>
        <v>14144 SANTA ROSA4 Primaria</v>
      </c>
      <c r="N3192" s="23"/>
      <c r="O3192" s="17"/>
      <c r="P3192" s="17"/>
      <c r="Q3192" s="17"/>
      <c r="R3192" s="17"/>
      <c r="S3192" s="17"/>
      <c r="T3192" s="17"/>
    </row>
    <row r="3193">
      <c r="A3193" s="18">
        <v>2914.0</v>
      </c>
      <c r="B3193" s="12" t="s">
        <v>48</v>
      </c>
      <c r="C3193" s="12" t="s">
        <v>14</v>
      </c>
      <c r="D3193" s="20" t="s">
        <v>20</v>
      </c>
      <c r="E3193" s="12" t="str">
        <f>IFERROR(__xludf.DUMMYFUNCTION("FILTER(colegios!$B$2:$B5618,colegios!$A$2:$A5618=L3193)"),"14144 SANTA ROSA")</f>
        <v>14144 SANTA ROSA</v>
      </c>
      <c r="F3193" s="14" t="s">
        <v>16</v>
      </c>
      <c r="G3193" s="20" t="s">
        <v>17</v>
      </c>
      <c r="H3193" s="14" t="s">
        <v>18</v>
      </c>
      <c r="I3193" s="15">
        <v>2022.0</v>
      </c>
      <c r="J3193" s="16" t="str">
        <f>IFERROR(__xludf.DUMMYFUNCTION("FILTER('CLASFICACIÓN'!$F$3:$F5618,'CLASFICACIÓN'!$G$3:$G5618=M3193)"),"LOS 3 AÑOS")</f>
        <v>LOS 3 AÑOS</v>
      </c>
      <c r="K3193" s="16" t="str">
        <f t="array" ref="K3193">IFERROR(DGET('PADD-R'!$B$1:$K5618,'PADD-R'!$K$1,{'PADD-R'!$B$1;E3193}),"NO PARTICIPÓ")</f>
        <v>SOLO 2023</v>
      </c>
      <c r="L3193" s="14" t="s">
        <v>152</v>
      </c>
      <c r="M3193" s="16" t="str">
        <f t="shared" si="1"/>
        <v>14144 SANTA ROSA4 Primaria</v>
      </c>
      <c r="N3193" s="23"/>
      <c r="O3193" s="17"/>
      <c r="P3193" s="17"/>
      <c r="Q3193" s="17"/>
      <c r="R3193" s="17"/>
      <c r="S3193" s="17"/>
      <c r="T3193" s="17"/>
    </row>
    <row r="3194">
      <c r="A3194" s="18">
        <v>2915.0</v>
      </c>
      <c r="B3194" s="12" t="s">
        <v>48</v>
      </c>
      <c r="C3194" s="12" t="s">
        <v>14</v>
      </c>
      <c r="D3194" s="20" t="s">
        <v>20</v>
      </c>
      <c r="E3194" s="12" t="str">
        <f>IFERROR(__xludf.DUMMYFUNCTION("FILTER(colegios!$B$2:$B5618,colegios!$A$2:$A5618=L3194)"),"14144 SANTA ROSA")</f>
        <v>14144 SANTA ROSA</v>
      </c>
      <c r="F3194" s="14" t="s">
        <v>16</v>
      </c>
      <c r="G3194" s="20" t="s">
        <v>17</v>
      </c>
      <c r="H3194" s="14" t="s">
        <v>18</v>
      </c>
      <c r="I3194" s="15">
        <v>2022.0</v>
      </c>
      <c r="J3194" s="16" t="str">
        <f>IFERROR(__xludf.DUMMYFUNCTION("FILTER('CLASFICACIÓN'!$F$3:$F5618,'CLASFICACIÓN'!$G$3:$G5618=M3194)"),"LOS 3 AÑOS")</f>
        <v>LOS 3 AÑOS</v>
      </c>
      <c r="K3194" s="16" t="str">
        <f t="array" ref="K3194">IFERROR(DGET('PADD-R'!$B$1:$K5618,'PADD-R'!$K$1,{'PADD-R'!$B$1;E3194}),"NO PARTICIPÓ")</f>
        <v>SOLO 2023</v>
      </c>
      <c r="L3194" s="14" t="s">
        <v>152</v>
      </c>
      <c r="M3194" s="16" t="str">
        <f t="shared" si="1"/>
        <v>14144 SANTA ROSA4 Primaria</v>
      </c>
      <c r="N3194" s="23"/>
      <c r="O3194" s="17"/>
      <c r="P3194" s="17"/>
      <c r="Q3194" s="17"/>
      <c r="R3194" s="17"/>
      <c r="S3194" s="17"/>
      <c r="T3194" s="17"/>
    </row>
    <row r="3195">
      <c r="A3195" s="18">
        <v>2916.0</v>
      </c>
      <c r="B3195" s="12" t="s">
        <v>48</v>
      </c>
      <c r="C3195" s="12" t="s">
        <v>14</v>
      </c>
      <c r="D3195" s="20" t="s">
        <v>20</v>
      </c>
      <c r="E3195" s="12" t="str">
        <f>IFERROR(__xludf.DUMMYFUNCTION("FILTER(colegios!$B$2:$B5618,colegios!$A$2:$A5618=L3195)"),"14144 SANTA ROSA")</f>
        <v>14144 SANTA ROSA</v>
      </c>
      <c r="F3195" s="14" t="s">
        <v>16</v>
      </c>
      <c r="G3195" s="20" t="s">
        <v>21</v>
      </c>
      <c r="H3195" s="14" t="s">
        <v>18</v>
      </c>
      <c r="I3195" s="15">
        <v>2022.0</v>
      </c>
      <c r="J3195" s="16" t="str">
        <f>IFERROR(__xludf.DUMMYFUNCTION("FILTER('CLASFICACIÓN'!$F$3:$F5618,'CLASFICACIÓN'!$G$3:$G5618=M3195)"),"LOS 3 AÑOS")</f>
        <v>LOS 3 AÑOS</v>
      </c>
      <c r="K3195" s="16" t="str">
        <f t="array" ref="K3195">IFERROR(DGET('PADD-R'!$B$1:$K5618,'PADD-R'!$K$1,{'PADD-R'!$B$1;E3195}),"NO PARTICIPÓ")</f>
        <v>SOLO 2023</v>
      </c>
      <c r="L3195" s="14" t="s">
        <v>152</v>
      </c>
      <c r="M3195" s="16" t="str">
        <f t="shared" si="1"/>
        <v>14144 SANTA ROSA4 Primaria</v>
      </c>
      <c r="N3195" s="23"/>
      <c r="O3195" s="17"/>
      <c r="P3195" s="17"/>
      <c r="Q3195" s="17"/>
      <c r="R3195" s="17"/>
      <c r="S3195" s="17"/>
      <c r="T3195" s="17"/>
    </row>
    <row r="3196">
      <c r="A3196" s="18">
        <v>2917.0</v>
      </c>
      <c r="B3196" s="12" t="s">
        <v>48</v>
      </c>
      <c r="C3196" s="12" t="s">
        <v>14</v>
      </c>
      <c r="D3196" s="20" t="s">
        <v>20</v>
      </c>
      <c r="E3196" s="12" t="str">
        <f>IFERROR(__xludf.DUMMYFUNCTION("FILTER(colegios!$B$2:$B5618,colegios!$A$2:$A5618=L3196)"),"14144 SANTA ROSA")</f>
        <v>14144 SANTA ROSA</v>
      </c>
      <c r="F3196" s="14" t="s">
        <v>16</v>
      </c>
      <c r="G3196" s="20" t="s">
        <v>21</v>
      </c>
      <c r="H3196" s="14" t="s">
        <v>18</v>
      </c>
      <c r="I3196" s="15">
        <v>2022.0</v>
      </c>
      <c r="J3196" s="16" t="str">
        <f>IFERROR(__xludf.DUMMYFUNCTION("FILTER('CLASFICACIÓN'!$F$3:$F5618,'CLASFICACIÓN'!$G$3:$G5618=M3196)"),"LOS 3 AÑOS")</f>
        <v>LOS 3 AÑOS</v>
      </c>
      <c r="K3196" s="16" t="str">
        <f t="array" ref="K3196">IFERROR(DGET('PADD-R'!$B$1:$K5618,'PADD-R'!$K$1,{'PADD-R'!$B$1;E3196}),"NO PARTICIPÓ")</f>
        <v>SOLO 2023</v>
      </c>
      <c r="L3196" s="14" t="s">
        <v>152</v>
      </c>
      <c r="M3196" s="16" t="str">
        <f t="shared" si="1"/>
        <v>14144 SANTA ROSA4 Primaria</v>
      </c>
      <c r="N3196" s="23"/>
      <c r="O3196" s="17"/>
      <c r="P3196" s="17"/>
      <c r="Q3196" s="17"/>
      <c r="R3196" s="17"/>
      <c r="S3196" s="17"/>
      <c r="T3196" s="17"/>
    </row>
    <row r="3197">
      <c r="A3197" s="18">
        <v>2918.0</v>
      </c>
      <c r="B3197" s="12" t="s">
        <v>48</v>
      </c>
      <c r="C3197" s="12" t="s">
        <v>14</v>
      </c>
      <c r="D3197" s="20" t="s">
        <v>20</v>
      </c>
      <c r="E3197" s="12" t="str">
        <f>IFERROR(__xludf.DUMMYFUNCTION("FILTER(colegios!$B$2:$B5618,colegios!$A$2:$A5618=L3197)"),"14144 SANTA ROSA")</f>
        <v>14144 SANTA ROSA</v>
      </c>
      <c r="F3197" s="14" t="s">
        <v>16</v>
      </c>
      <c r="G3197" s="20" t="s">
        <v>17</v>
      </c>
      <c r="H3197" s="14" t="s">
        <v>24</v>
      </c>
      <c r="I3197" s="15">
        <v>2022.0</v>
      </c>
      <c r="J3197" s="16" t="str">
        <f>IFERROR(__xludf.DUMMYFUNCTION("FILTER('CLASFICACIÓN'!$F$3:$F5618,'CLASFICACIÓN'!$G$3:$G5618=M3197)"),"LOS 3 AÑOS")</f>
        <v>LOS 3 AÑOS</v>
      </c>
      <c r="K3197" s="16" t="str">
        <f t="array" ref="K3197">IFERROR(DGET('PADD-R'!$B$1:$K5618,'PADD-R'!$K$1,{'PADD-R'!$B$1;E3197}),"NO PARTICIPÓ")</f>
        <v>SOLO 2023</v>
      </c>
      <c r="L3197" s="14" t="s">
        <v>152</v>
      </c>
      <c r="M3197" s="16" t="str">
        <f t="shared" si="1"/>
        <v>14144 SANTA ROSA4 Primaria</v>
      </c>
      <c r="N3197" s="23"/>
      <c r="O3197" s="17"/>
      <c r="P3197" s="17"/>
      <c r="Q3197" s="17"/>
      <c r="R3197" s="17"/>
      <c r="S3197" s="17"/>
      <c r="T3197" s="17"/>
    </row>
    <row r="3198">
      <c r="A3198" s="18">
        <v>2919.0</v>
      </c>
      <c r="B3198" s="12" t="s">
        <v>48</v>
      </c>
      <c r="C3198" s="12" t="s">
        <v>14</v>
      </c>
      <c r="D3198" s="20" t="s">
        <v>20</v>
      </c>
      <c r="E3198" s="12" t="str">
        <f>IFERROR(__xludf.DUMMYFUNCTION("FILTER(colegios!$B$2:$B5618,colegios!$A$2:$A5618=L3198)"),"14144 SANTA ROSA")</f>
        <v>14144 SANTA ROSA</v>
      </c>
      <c r="F3198" s="14" t="s">
        <v>16</v>
      </c>
      <c r="G3198" s="20" t="s">
        <v>17</v>
      </c>
      <c r="H3198" s="14" t="s">
        <v>18</v>
      </c>
      <c r="I3198" s="15">
        <v>2022.0</v>
      </c>
      <c r="J3198" s="16" t="str">
        <f>IFERROR(__xludf.DUMMYFUNCTION("FILTER('CLASFICACIÓN'!$F$3:$F5618,'CLASFICACIÓN'!$G$3:$G5618=M3198)"),"LOS 3 AÑOS")</f>
        <v>LOS 3 AÑOS</v>
      </c>
      <c r="K3198" s="16" t="str">
        <f t="array" ref="K3198">IFERROR(DGET('PADD-R'!$B$1:$K5618,'PADD-R'!$K$1,{'PADD-R'!$B$1;E3198}),"NO PARTICIPÓ")</f>
        <v>SOLO 2023</v>
      </c>
      <c r="L3198" s="14" t="s">
        <v>152</v>
      </c>
      <c r="M3198" s="16" t="str">
        <f t="shared" si="1"/>
        <v>14144 SANTA ROSA4 Primaria</v>
      </c>
      <c r="N3198" s="23"/>
      <c r="O3198" s="17"/>
      <c r="P3198" s="17"/>
      <c r="Q3198" s="17"/>
      <c r="R3198" s="17"/>
      <c r="S3198" s="17"/>
      <c r="T3198" s="17"/>
    </row>
    <row r="3199">
      <c r="A3199" s="18">
        <v>2920.0</v>
      </c>
      <c r="B3199" s="12" t="s">
        <v>48</v>
      </c>
      <c r="C3199" s="12" t="s">
        <v>14</v>
      </c>
      <c r="D3199" s="20" t="s">
        <v>20</v>
      </c>
      <c r="E3199" s="12" t="str">
        <f>IFERROR(__xludf.DUMMYFUNCTION("FILTER(colegios!$B$2:$B5618,colegios!$A$2:$A5618=L3199)"),"14144 SANTA ROSA")</f>
        <v>14144 SANTA ROSA</v>
      </c>
      <c r="F3199" s="14" t="s">
        <v>16</v>
      </c>
      <c r="G3199" s="20" t="s">
        <v>21</v>
      </c>
      <c r="H3199" s="14" t="s">
        <v>18</v>
      </c>
      <c r="I3199" s="15">
        <v>2022.0</v>
      </c>
      <c r="J3199" s="16" t="str">
        <f>IFERROR(__xludf.DUMMYFUNCTION("FILTER('CLASFICACIÓN'!$F$3:$F5618,'CLASFICACIÓN'!$G$3:$G5618=M3199)"),"LOS 3 AÑOS")</f>
        <v>LOS 3 AÑOS</v>
      </c>
      <c r="K3199" s="16" t="str">
        <f t="array" ref="K3199">IFERROR(DGET('PADD-R'!$B$1:$K5618,'PADD-R'!$K$1,{'PADD-R'!$B$1;E3199}),"NO PARTICIPÓ")</f>
        <v>SOLO 2023</v>
      </c>
      <c r="L3199" s="14" t="s">
        <v>152</v>
      </c>
      <c r="M3199" s="16" t="str">
        <f t="shared" si="1"/>
        <v>14144 SANTA ROSA4 Primaria</v>
      </c>
      <c r="N3199" s="23"/>
      <c r="O3199" s="17"/>
      <c r="P3199" s="17"/>
      <c r="Q3199" s="17"/>
      <c r="R3199" s="17"/>
      <c r="S3199" s="17"/>
      <c r="T3199" s="17"/>
    </row>
    <row r="3200">
      <c r="A3200" s="18">
        <v>2921.0</v>
      </c>
      <c r="B3200" s="12" t="s">
        <v>48</v>
      </c>
      <c r="C3200" s="12" t="s">
        <v>14</v>
      </c>
      <c r="D3200" s="20" t="s">
        <v>20</v>
      </c>
      <c r="E3200" s="12" t="str">
        <f>IFERROR(__xludf.DUMMYFUNCTION("FILTER(colegios!$B$2:$B5618,colegios!$A$2:$A5618=L3200)"),"14144 SANTA ROSA")</f>
        <v>14144 SANTA ROSA</v>
      </c>
      <c r="F3200" s="14" t="s">
        <v>16</v>
      </c>
      <c r="G3200" s="20" t="s">
        <v>21</v>
      </c>
      <c r="H3200" s="14" t="s">
        <v>18</v>
      </c>
      <c r="I3200" s="15">
        <v>2022.0</v>
      </c>
      <c r="J3200" s="16" t="str">
        <f>IFERROR(__xludf.DUMMYFUNCTION("FILTER('CLASFICACIÓN'!$F$3:$F5618,'CLASFICACIÓN'!$G$3:$G5618=M3200)"),"LOS 3 AÑOS")</f>
        <v>LOS 3 AÑOS</v>
      </c>
      <c r="K3200" s="16" t="str">
        <f t="array" ref="K3200">IFERROR(DGET('PADD-R'!$B$1:$K5618,'PADD-R'!$K$1,{'PADD-R'!$B$1;E3200}),"NO PARTICIPÓ")</f>
        <v>SOLO 2023</v>
      </c>
      <c r="L3200" s="14" t="s">
        <v>152</v>
      </c>
      <c r="M3200" s="16" t="str">
        <f t="shared" si="1"/>
        <v>14144 SANTA ROSA4 Primaria</v>
      </c>
      <c r="N3200" s="23"/>
      <c r="O3200" s="17"/>
      <c r="P3200" s="17"/>
      <c r="Q3200" s="17"/>
      <c r="R3200" s="17"/>
      <c r="S3200" s="17"/>
      <c r="T3200" s="17"/>
    </row>
    <row r="3201">
      <c r="A3201" s="18">
        <v>2922.0</v>
      </c>
      <c r="B3201" s="12" t="s">
        <v>48</v>
      </c>
      <c r="C3201" s="12" t="s">
        <v>14</v>
      </c>
      <c r="D3201" s="20" t="s">
        <v>20</v>
      </c>
      <c r="E3201" s="12" t="str">
        <f>IFERROR(__xludf.DUMMYFUNCTION("FILTER(colegios!$B$2:$B5618,colegios!$A$2:$A5618=L3201)"),"14144 SANTA ROSA")</f>
        <v>14144 SANTA ROSA</v>
      </c>
      <c r="F3201" s="14" t="s">
        <v>16</v>
      </c>
      <c r="G3201" s="20" t="s">
        <v>17</v>
      </c>
      <c r="H3201" s="14" t="s">
        <v>18</v>
      </c>
      <c r="I3201" s="15">
        <v>2022.0</v>
      </c>
      <c r="J3201" s="16" t="str">
        <f>IFERROR(__xludf.DUMMYFUNCTION("FILTER('CLASFICACIÓN'!$F$3:$F5618,'CLASFICACIÓN'!$G$3:$G5618=M3201)"),"LOS 3 AÑOS")</f>
        <v>LOS 3 AÑOS</v>
      </c>
      <c r="K3201" s="16" t="str">
        <f t="array" ref="K3201">IFERROR(DGET('PADD-R'!$B$1:$K5618,'PADD-R'!$K$1,{'PADD-R'!$B$1;E3201}),"NO PARTICIPÓ")</f>
        <v>SOLO 2023</v>
      </c>
      <c r="L3201" s="14" t="s">
        <v>152</v>
      </c>
      <c r="M3201" s="16" t="str">
        <f t="shared" si="1"/>
        <v>14144 SANTA ROSA4 Primaria</v>
      </c>
      <c r="N3201" s="23"/>
      <c r="O3201" s="17"/>
      <c r="P3201" s="17"/>
      <c r="Q3201" s="17"/>
      <c r="R3201" s="17"/>
      <c r="S3201" s="17"/>
      <c r="T3201" s="17"/>
    </row>
    <row r="3202">
      <c r="A3202" s="18">
        <v>2923.0</v>
      </c>
      <c r="B3202" s="12" t="s">
        <v>48</v>
      </c>
      <c r="C3202" s="12" t="s">
        <v>14</v>
      </c>
      <c r="D3202" s="20" t="s">
        <v>20</v>
      </c>
      <c r="E3202" s="12" t="str">
        <f>IFERROR(__xludf.DUMMYFUNCTION("FILTER(colegios!$B$2:$B5618,colegios!$A$2:$A5618=L3202)"),"14144 SANTA ROSA")</f>
        <v>14144 SANTA ROSA</v>
      </c>
      <c r="F3202" s="14" t="s">
        <v>16</v>
      </c>
      <c r="G3202" s="20" t="s">
        <v>21</v>
      </c>
      <c r="H3202" s="14" t="s">
        <v>18</v>
      </c>
      <c r="I3202" s="15">
        <v>2022.0</v>
      </c>
      <c r="J3202" s="16" t="str">
        <f>IFERROR(__xludf.DUMMYFUNCTION("FILTER('CLASFICACIÓN'!$F$3:$F5618,'CLASFICACIÓN'!$G$3:$G5618=M3202)"),"LOS 3 AÑOS")</f>
        <v>LOS 3 AÑOS</v>
      </c>
      <c r="K3202" s="16" t="str">
        <f t="array" ref="K3202">IFERROR(DGET('PADD-R'!$B$1:$K5618,'PADD-R'!$K$1,{'PADD-R'!$B$1;E3202}),"NO PARTICIPÓ")</f>
        <v>SOLO 2023</v>
      </c>
      <c r="L3202" s="14" t="s">
        <v>152</v>
      </c>
      <c r="M3202" s="16" t="str">
        <f t="shared" si="1"/>
        <v>14144 SANTA ROSA4 Primaria</v>
      </c>
      <c r="N3202" s="23"/>
      <c r="O3202" s="17"/>
      <c r="P3202" s="17"/>
      <c r="Q3202" s="17"/>
      <c r="R3202" s="17"/>
      <c r="S3202" s="17"/>
      <c r="T3202" s="17"/>
    </row>
    <row r="3203">
      <c r="A3203" s="18">
        <v>2924.0</v>
      </c>
      <c r="B3203" s="12" t="s">
        <v>48</v>
      </c>
      <c r="C3203" s="12" t="s">
        <v>14</v>
      </c>
      <c r="D3203" s="20" t="s">
        <v>20</v>
      </c>
      <c r="E3203" s="12" t="str">
        <f>IFERROR(__xludf.DUMMYFUNCTION("FILTER(colegios!$B$2:$B5618,colegios!$A$2:$A5618=L3203)"),"14144 SANTA ROSA")</f>
        <v>14144 SANTA ROSA</v>
      </c>
      <c r="F3203" s="14" t="s">
        <v>16</v>
      </c>
      <c r="G3203" s="20" t="s">
        <v>21</v>
      </c>
      <c r="H3203" s="14" t="s">
        <v>18</v>
      </c>
      <c r="I3203" s="15">
        <v>2022.0</v>
      </c>
      <c r="J3203" s="16" t="str">
        <f>IFERROR(__xludf.DUMMYFUNCTION("FILTER('CLASFICACIÓN'!$F$3:$F5618,'CLASFICACIÓN'!$G$3:$G5618=M3203)"),"LOS 3 AÑOS")</f>
        <v>LOS 3 AÑOS</v>
      </c>
      <c r="K3203" s="16" t="str">
        <f t="array" ref="K3203">IFERROR(DGET('PADD-R'!$B$1:$K5618,'PADD-R'!$K$1,{'PADD-R'!$B$1;E3203}),"NO PARTICIPÓ")</f>
        <v>SOLO 2023</v>
      </c>
      <c r="L3203" s="14" t="s">
        <v>152</v>
      </c>
      <c r="M3203" s="16" t="str">
        <f t="shared" si="1"/>
        <v>14144 SANTA ROSA4 Primaria</v>
      </c>
      <c r="N3203" s="23"/>
      <c r="O3203" s="17"/>
      <c r="P3203" s="17"/>
      <c r="Q3203" s="17"/>
      <c r="R3203" s="17"/>
      <c r="S3203" s="17"/>
      <c r="T3203" s="17"/>
    </row>
    <row r="3204">
      <c r="A3204" s="18">
        <v>2925.0</v>
      </c>
      <c r="B3204" s="12" t="s">
        <v>48</v>
      </c>
      <c r="C3204" s="12" t="s">
        <v>14</v>
      </c>
      <c r="D3204" s="20" t="s">
        <v>20</v>
      </c>
      <c r="E3204" s="12" t="str">
        <f>IFERROR(__xludf.DUMMYFUNCTION("FILTER(colegios!$B$2:$B5618,colegios!$A$2:$A5618=L3204)"),"14144 SANTA ROSA")</f>
        <v>14144 SANTA ROSA</v>
      </c>
      <c r="F3204" s="14" t="s">
        <v>16</v>
      </c>
      <c r="G3204" s="20" t="s">
        <v>21</v>
      </c>
      <c r="H3204" s="14" t="s">
        <v>18</v>
      </c>
      <c r="I3204" s="15">
        <v>2022.0</v>
      </c>
      <c r="J3204" s="16" t="str">
        <f>IFERROR(__xludf.DUMMYFUNCTION("FILTER('CLASFICACIÓN'!$F$3:$F5618,'CLASFICACIÓN'!$G$3:$G5618=M3204)"),"LOS 3 AÑOS")</f>
        <v>LOS 3 AÑOS</v>
      </c>
      <c r="K3204" s="16" t="str">
        <f t="array" ref="K3204">IFERROR(DGET('PADD-R'!$B$1:$K5618,'PADD-R'!$K$1,{'PADD-R'!$B$1;E3204}),"NO PARTICIPÓ")</f>
        <v>SOLO 2023</v>
      </c>
      <c r="L3204" s="14" t="s">
        <v>152</v>
      </c>
      <c r="M3204" s="16" t="str">
        <f t="shared" si="1"/>
        <v>14144 SANTA ROSA4 Primaria</v>
      </c>
      <c r="N3204" s="23"/>
      <c r="O3204" s="17"/>
      <c r="P3204" s="17"/>
      <c r="Q3204" s="17"/>
      <c r="R3204" s="17"/>
      <c r="S3204" s="17"/>
      <c r="T3204" s="17"/>
    </row>
    <row r="3205">
      <c r="A3205" s="18">
        <v>2926.0</v>
      </c>
      <c r="B3205" s="12" t="s">
        <v>48</v>
      </c>
      <c r="C3205" s="12" t="s">
        <v>14</v>
      </c>
      <c r="D3205" s="20" t="s">
        <v>20</v>
      </c>
      <c r="E3205" s="12" t="str">
        <f>IFERROR(__xludf.DUMMYFUNCTION("FILTER(colegios!$B$2:$B5618,colegios!$A$2:$A5618=L3205)"),"14144 SANTA ROSA")</f>
        <v>14144 SANTA ROSA</v>
      </c>
      <c r="F3205" s="14" t="s">
        <v>16</v>
      </c>
      <c r="G3205" s="20" t="s">
        <v>21</v>
      </c>
      <c r="H3205" s="14" t="s">
        <v>18</v>
      </c>
      <c r="I3205" s="15">
        <v>2022.0</v>
      </c>
      <c r="J3205" s="16" t="str">
        <f>IFERROR(__xludf.DUMMYFUNCTION("FILTER('CLASFICACIÓN'!$F$3:$F5618,'CLASFICACIÓN'!$G$3:$G5618=M3205)"),"LOS 3 AÑOS")</f>
        <v>LOS 3 AÑOS</v>
      </c>
      <c r="K3205" s="16" t="str">
        <f t="array" ref="K3205">IFERROR(DGET('PADD-R'!$B$1:$K5618,'PADD-R'!$K$1,{'PADD-R'!$B$1;E3205}),"NO PARTICIPÓ")</f>
        <v>SOLO 2023</v>
      </c>
      <c r="L3205" s="14" t="s">
        <v>152</v>
      </c>
      <c r="M3205" s="16" t="str">
        <f t="shared" si="1"/>
        <v>14144 SANTA ROSA4 Primaria</v>
      </c>
      <c r="N3205" s="23"/>
      <c r="O3205" s="17"/>
      <c r="P3205" s="17"/>
      <c r="Q3205" s="17"/>
      <c r="R3205" s="17"/>
      <c r="S3205" s="17"/>
      <c r="T3205" s="17"/>
    </row>
    <row r="3206">
      <c r="A3206" s="18">
        <v>2927.0</v>
      </c>
      <c r="B3206" s="12" t="s">
        <v>48</v>
      </c>
      <c r="C3206" s="12" t="s">
        <v>14</v>
      </c>
      <c r="D3206" s="20" t="s">
        <v>20</v>
      </c>
      <c r="E3206" s="12" t="str">
        <f>IFERROR(__xludf.DUMMYFUNCTION("FILTER(colegios!$B$2:$B5618,colegios!$A$2:$A5618=L3206)"),"14144 SANTA ROSA")</f>
        <v>14144 SANTA ROSA</v>
      </c>
      <c r="F3206" s="14" t="s">
        <v>16</v>
      </c>
      <c r="G3206" s="20" t="s">
        <v>21</v>
      </c>
      <c r="H3206" s="14" t="s">
        <v>18</v>
      </c>
      <c r="I3206" s="15">
        <v>2022.0</v>
      </c>
      <c r="J3206" s="16" t="str">
        <f>IFERROR(__xludf.DUMMYFUNCTION("FILTER('CLASFICACIÓN'!$F$3:$F5618,'CLASFICACIÓN'!$G$3:$G5618=M3206)"),"LOS 3 AÑOS")</f>
        <v>LOS 3 AÑOS</v>
      </c>
      <c r="K3206" s="16" t="str">
        <f t="array" ref="K3206">IFERROR(DGET('PADD-R'!$B$1:$K5618,'PADD-R'!$K$1,{'PADD-R'!$B$1;E3206}),"NO PARTICIPÓ")</f>
        <v>SOLO 2023</v>
      </c>
      <c r="L3206" s="14" t="s">
        <v>152</v>
      </c>
      <c r="M3206" s="16" t="str">
        <f t="shared" si="1"/>
        <v>14144 SANTA ROSA4 Primaria</v>
      </c>
      <c r="N3206" s="23"/>
      <c r="O3206" s="17"/>
      <c r="P3206" s="17"/>
      <c r="Q3206" s="17"/>
      <c r="R3206" s="17"/>
      <c r="S3206" s="17"/>
      <c r="T3206" s="17"/>
    </row>
    <row r="3207">
      <c r="A3207" s="18">
        <v>2928.0</v>
      </c>
      <c r="B3207" s="12" t="s">
        <v>48</v>
      </c>
      <c r="C3207" s="12" t="s">
        <v>14</v>
      </c>
      <c r="D3207" s="20" t="s">
        <v>20</v>
      </c>
      <c r="E3207" s="12" t="str">
        <f>IFERROR(__xludf.DUMMYFUNCTION("FILTER(colegios!$B$2:$B5618,colegios!$A$2:$A5618=L3207)"),"14144 SANTA ROSA")</f>
        <v>14144 SANTA ROSA</v>
      </c>
      <c r="F3207" s="14" t="s">
        <v>16</v>
      </c>
      <c r="G3207" s="20" t="s">
        <v>21</v>
      </c>
      <c r="H3207" s="14" t="s">
        <v>18</v>
      </c>
      <c r="I3207" s="15">
        <v>2022.0</v>
      </c>
      <c r="J3207" s="16" t="str">
        <f>IFERROR(__xludf.DUMMYFUNCTION("FILTER('CLASFICACIÓN'!$F$3:$F5618,'CLASFICACIÓN'!$G$3:$G5618=M3207)"),"LOS 3 AÑOS")</f>
        <v>LOS 3 AÑOS</v>
      </c>
      <c r="K3207" s="16" t="str">
        <f t="array" ref="K3207">IFERROR(DGET('PADD-R'!$B$1:$K5618,'PADD-R'!$K$1,{'PADD-R'!$B$1;E3207}),"NO PARTICIPÓ")</f>
        <v>SOLO 2023</v>
      </c>
      <c r="L3207" s="14" t="s">
        <v>152</v>
      </c>
      <c r="M3207" s="16" t="str">
        <f t="shared" si="1"/>
        <v>14144 SANTA ROSA4 Primaria</v>
      </c>
      <c r="N3207" s="23"/>
      <c r="O3207" s="17"/>
      <c r="P3207" s="17"/>
      <c r="Q3207" s="17"/>
      <c r="R3207" s="17"/>
      <c r="S3207" s="17"/>
      <c r="T3207" s="17"/>
    </row>
    <row r="3208">
      <c r="A3208" s="18">
        <v>2929.0</v>
      </c>
      <c r="B3208" s="12" t="s">
        <v>48</v>
      </c>
      <c r="C3208" s="12" t="s">
        <v>14</v>
      </c>
      <c r="D3208" s="20" t="s">
        <v>20</v>
      </c>
      <c r="E3208" s="12" t="str">
        <f>IFERROR(__xludf.DUMMYFUNCTION("FILTER(colegios!$B$2:$B5618,colegios!$A$2:$A5618=L3208)"),"14144 SANTA ROSA")</f>
        <v>14144 SANTA ROSA</v>
      </c>
      <c r="F3208" s="14" t="s">
        <v>16</v>
      </c>
      <c r="G3208" s="20" t="s">
        <v>17</v>
      </c>
      <c r="H3208" s="14" t="s">
        <v>18</v>
      </c>
      <c r="I3208" s="15">
        <v>2022.0</v>
      </c>
      <c r="J3208" s="16" t="str">
        <f>IFERROR(__xludf.DUMMYFUNCTION("FILTER('CLASFICACIÓN'!$F$3:$F5618,'CLASFICACIÓN'!$G$3:$G5618=M3208)"),"LOS 3 AÑOS")</f>
        <v>LOS 3 AÑOS</v>
      </c>
      <c r="K3208" s="16" t="str">
        <f t="array" ref="K3208">IFERROR(DGET('PADD-R'!$B$1:$K5618,'PADD-R'!$K$1,{'PADD-R'!$B$1;E3208}),"NO PARTICIPÓ")</f>
        <v>SOLO 2023</v>
      </c>
      <c r="L3208" s="14" t="s">
        <v>152</v>
      </c>
      <c r="M3208" s="16" t="str">
        <f t="shared" si="1"/>
        <v>14144 SANTA ROSA4 Primaria</v>
      </c>
      <c r="N3208" s="23"/>
      <c r="O3208" s="17"/>
      <c r="P3208" s="17"/>
      <c r="Q3208" s="17"/>
      <c r="R3208" s="17"/>
      <c r="S3208" s="17"/>
      <c r="T3208" s="17"/>
    </row>
    <row r="3209">
      <c r="A3209" s="18">
        <v>2930.0</v>
      </c>
      <c r="B3209" s="12" t="s">
        <v>48</v>
      </c>
      <c r="C3209" s="12" t="s">
        <v>14</v>
      </c>
      <c r="D3209" s="20" t="s">
        <v>20</v>
      </c>
      <c r="E3209" s="12" t="str">
        <f>IFERROR(__xludf.DUMMYFUNCTION("FILTER(colegios!$B$2:$B5618,colegios!$A$2:$A5618=L3209)"),"14144 SANTA ROSA")</f>
        <v>14144 SANTA ROSA</v>
      </c>
      <c r="F3209" s="14" t="s">
        <v>16</v>
      </c>
      <c r="G3209" s="20" t="s">
        <v>21</v>
      </c>
      <c r="H3209" s="14" t="s">
        <v>18</v>
      </c>
      <c r="I3209" s="15">
        <v>2022.0</v>
      </c>
      <c r="J3209" s="16" t="str">
        <f>IFERROR(__xludf.DUMMYFUNCTION("FILTER('CLASFICACIÓN'!$F$3:$F5618,'CLASFICACIÓN'!$G$3:$G5618=M3209)"),"LOS 3 AÑOS")</f>
        <v>LOS 3 AÑOS</v>
      </c>
      <c r="K3209" s="16" t="str">
        <f t="array" ref="K3209">IFERROR(DGET('PADD-R'!$B$1:$K5618,'PADD-R'!$K$1,{'PADD-R'!$B$1;E3209}),"NO PARTICIPÓ")</f>
        <v>SOLO 2023</v>
      </c>
      <c r="L3209" s="14" t="s">
        <v>152</v>
      </c>
      <c r="M3209" s="16" t="str">
        <f t="shared" si="1"/>
        <v>14144 SANTA ROSA4 Primaria</v>
      </c>
      <c r="N3209" s="23"/>
      <c r="O3209" s="17"/>
      <c r="P3209" s="17"/>
      <c r="Q3209" s="17"/>
      <c r="R3209" s="17"/>
      <c r="S3209" s="17"/>
      <c r="T3209" s="17"/>
    </row>
    <row r="3210">
      <c r="A3210" s="18">
        <v>2931.0</v>
      </c>
      <c r="B3210" s="12" t="s">
        <v>48</v>
      </c>
      <c r="C3210" s="12" t="s">
        <v>14</v>
      </c>
      <c r="D3210" s="20" t="s">
        <v>20</v>
      </c>
      <c r="E3210" s="12" t="str">
        <f>IFERROR(__xludf.DUMMYFUNCTION("FILTER(colegios!$B$2:$B5618,colegios!$A$2:$A5618=L3210)"),"14144 SANTA ROSA")</f>
        <v>14144 SANTA ROSA</v>
      </c>
      <c r="F3210" s="14" t="s">
        <v>16</v>
      </c>
      <c r="G3210" s="20" t="s">
        <v>21</v>
      </c>
      <c r="H3210" s="14" t="s">
        <v>24</v>
      </c>
      <c r="I3210" s="15">
        <v>2022.0</v>
      </c>
      <c r="J3210" s="16" t="str">
        <f>IFERROR(__xludf.DUMMYFUNCTION("FILTER('CLASFICACIÓN'!$F$3:$F5618,'CLASFICACIÓN'!$G$3:$G5618=M3210)"),"LOS 3 AÑOS")</f>
        <v>LOS 3 AÑOS</v>
      </c>
      <c r="K3210" s="16" t="str">
        <f t="array" ref="K3210">IFERROR(DGET('PADD-R'!$B$1:$K5618,'PADD-R'!$K$1,{'PADD-R'!$B$1;E3210}),"NO PARTICIPÓ")</f>
        <v>SOLO 2023</v>
      </c>
      <c r="L3210" s="14" t="s">
        <v>152</v>
      </c>
      <c r="M3210" s="16" t="str">
        <f t="shared" si="1"/>
        <v>14144 SANTA ROSA4 Primaria</v>
      </c>
      <c r="N3210" s="23"/>
      <c r="O3210" s="17"/>
      <c r="P3210" s="17"/>
      <c r="Q3210" s="17"/>
      <c r="R3210" s="17"/>
      <c r="S3210" s="17"/>
      <c r="T3210" s="17"/>
    </row>
    <row r="3211">
      <c r="A3211" s="18">
        <v>2932.0</v>
      </c>
      <c r="B3211" s="12" t="s">
        <v>48</v>
      </c>
      <c r="C3211" s="12" t="s">
        <v>14</v>
      </c>
      <c r="D3211" s="20" t="s">
        <v>20</v>
      </c>
      <c r="E3211" s="12" t="str">
        <f>IFERROR(__xludf.DUMMYFUNCTION("FILTER(colegios!$B$2:$B5618,colegios!$A$2:$A5618=L3211)"),"14144 SANTA ROSA")</f>
        <v>14144 SANTA ROSA</v>
      </c>
      <c r="F3211" s="14" t="s">
        <v>16</v>
      </c>
      <c r="G3211" s="20" t="s">
        <v>17</v>
      </c>
      <c r="H3211" s="14" t="s">
        <v>18</v>
      </c>
      <c r="I3211" s="15">
        <v>2022.0</v>
      </c>
      <c r="J3211" s="16" t="str">
        <f>IFERROR(__xludf.DUMMYFUNCTION("FILTER('CLASFICACIÓN'!$F$3:$F5618,'CLASFICACIÓN'!$G$3:$G5618=M3211)"),"LOS 3 AÑOS")</f>
        <v>LOS 3 AÑOS</v>
      </c>
      <c r="K3211" s="16" t="str">
        <f t="array" ref="K3211">IFERROR(DGET('PADD-R'!$B$1:$K5618,'PADD-R'!$K$1,{'PADD-R'!$B$1;E3211}),"NO PARTICIPÓ")</f>
        <v>SOLO 2023</v>
      </c>
      <c r="L3211" s="14" t="s">
        <v>152</v>
      </c>
      <c r="M3211" s="16" t="str">
        <f t="shared" si="1"/>
        <v>14144 SANTA ROSA4 Primaria</v>
      </c>
      <c r="N3211" s="23"/>
      <c r="O3211" s="17"/>
      <c r="P3211" s="17"/>
      <c r="Q3211" s="17"/>
      <c r="R3211" s="17"/>
      <c r="S3211" s="17"/>
      <c r="T3211" s="17"/>
    </row>
    <row r="3212">
      <c r="A3212" s="18">
        <v>2933.0</v>
      </c>
      <c r="B3212" s="12" t="s">
        <v>48</v>
      </c>
      <c r="C3212" s="12" t="s">
        <v>14</v>
      </c>
      <c r="D3212" s="20" t="s">
        <v>20</v>
      </c>
      <c r="E3212" s="12" t="str">
        <f>IFERROR(__xludf.DUMMYFUNCTION("FILTER(colegios!$B$2:$B5618,colegios!$A$2:$A5618=L3212)"),"14144 SANTA ROSA")</f>
        <v>14144 SANTA ROSA</v>
      </c>
      <c r="F3212" s="14" t="s">
        <v>16</v>
      </c>
      <c r="G3212" s="20" t="s">
        <v>17</v>
      </c>
      <c r="H3212" s="14" t="s">
        <v>24</v>
      </c>
      <c r="I3212" s="15">
        <v>2022.0</v>
      </c>
      <c r="J3212" s="16" t="str">
        <f>IFERROR(__xludf.DUMMYFUNCTION("FILTER('CLASFICACIÓN'!$F$3:$F5618,'CLASFICACIÓN'!$G$3:$G5618=M3212)"),"LOS 3 AÑOS")</f>
        <v>LOS 3 AÑOS</v>
      </c>
      <c r="K3212" s="16" t="str">
        <f t="array" ref="K3212">IFERROR(DGET('PADD-R'!$B$1:$K5618,'PADD-R'!$K$1,{'PADD-R'!$B$1;E3212}),"NO PARTICIPÓ")</f>
        <v>SOLO 2023</v>
      </c>
      <c r="L3212" s="14" t="s">
        <v>152</v>
      </c>
      <c r="M3212" s="16" t="str">
        <f t="shared" si="1"/>
        <v>14144 SANTA ROSA4 Primaria</v>
      </c>
      <c r="N3212" s="23"/>
      <c r="O3212" s="17"/>
      <c r="P3212" s="17"/>
      <c r="Q3212" s="17"/>
      <c r="R3212" s="17"/>
      <c r="S3212" s="17"/>
      <c r="T3212" s="17"/>
    </row>
    <row r="3213">
      <c r="A3213" s="18">
        <v>2934.0</v>
      </c>
      <c r="B3213" s="12" t="s">
        <v>48</v>
      </c>
      <c r="C3213" s="12" t="s">
        <v>14</v>
      </c>
      <c r="D3213" s="20" t="s">
        <v>20</v>
      </c>
      <c r="E3213" s="12" t="str">
        <f>IFERROR(__xludf.DUMMYFUNCTION("FILTER(colegios!$B$2:$B5618,colegios!$A$2:$A5618=L3213)"),"14144 SANTA ROSA")</f>
        <v>14144 SANTA ROSA</v>
      </c>
      <c r="F3213" s="14" t="s">
        <v>16</v>
      </c>
      <c r="G3213" s="20" t="s">
        <v>17</v>
      </c>
      <c r="H3213" s="14" t="s">
        <v>18</v>
      </c>
      <c r="I3213" s="15">
        <v>2022.0</v>
      </c>
      <c r="J3213" s="16" t="str">
        <f>IFERROR(__xludf.DUMMYFUNCTION("FILTER('CLASFICACIÓN'!$F$3:$F5618,'CLASFICACIÓN'!$G$3:$G5618=M3213)"),"LOS 3 AÑOS")</f>
        <v>LOS 3 AÑOS</v>
      </c>
      <c r="K3213" s="16" t="str">
        <f t="array" ref="K3213">IFERROR(DGET('PADD-R'!$B$1:$K5618,'PADD-R'!$K$1,{'PADD-R'!$B$1;E3213}),"NO PARTICIPÓ")</f>
        <v>SOLO 2023</v>
      </c>
      <c r="L3213" s="14" t="s">
        <v>152</v>
      </c>
      <c r="M3213" s="16" t="str">
        <f t="shared" si="1"/>
        <v>14144 SANTA ROSA4 Primaria</v>
      </c>
      <c r="N3213" s="23"/>
      <c r="O3213" s="17"/>
      <c r="P3213" s="17"/>
      <c r="Q3213" s="17"/>
      <c r="R3213" s="17"/>
      <c r="S3213" s="17"/>
      <c r="T3213" s="17"/>
    </row>
    <row r="3214">
      <c r="A3214" s="18">
        <v>2935.0</v>
      </c>
      <c r="B3214" s="12" t="s">
        <v>48</v>
      </c>
      <c r="C3214" s="12" t="s">
        <v>14</v>
      </c>
      <c r="D3214" s="20" t="s">
        <v>20</v>
      </c>
      <c r="E3214" s="12" t="str">
        <f>IFERROR(__xludf.DUMMYFUNCTION("FILTER(colegios!$B$2:$B5618,colegios!$A$2:$A5618=L3214)"),"14144 SANTA ROSA")</f>
        <v>14144 SANTA ROSA</v>
      </c>
      <c r="F3214" s="14" t="s">
        <v>16</v>
      </c>
      <c r="G3214" s="20" t="s">
        <v>21</v>
      </c>
      <c r="H3214" s="14" t="s">
        <v>18</v>
      </c>
      <c r="I3214" s="15">
        <v>2022.0</v>
      </c>
      <c r="J3214" s="16" t="str">
        <f>IFERROR(__xludf.DUMMYFUNCTION("FILTER('CLASFICACIÓN'!$F$3:$F5618,'CLASFICACIÓN'!$G$3:$G5618=M3214)"),"LOS 3 AÑOS")</f>
        <v>LOS 3 AÑOS</v>
      </c>
      <c r="K3214" s="16" t="str">
        <f t="array" ref="K3214">IFERROR(DGET('PADD-R'!$B$1:$K5618,'PADD-R'!$K$1,{'PADD-R'!$B$1;E3214}),"NO PARTICIPÓ")</f>
        <v>SOLO 2023</v>
      </c>
      <c r="L3214" s="14" t="s">
        <v>152</v>
      </c>
      <c r="M3214" s="16" t="str">
        <f t="shared" si="1"/>
        <v>14144 SANTA ROSA4 Primaria</v>
      </c>
      <c r="N3214" s="23"/>
      <c r="O3214" s="17"/>
      <c r="P3214" s="17"/>
      <c r="Q3214" s="17"/>
      <c r="R3214" s="17"/>
      <c r="S3214" s="17"/>
      <c r="T3214" s="17"/>
    </row>
    <row r="3215">
      <c r="A3215" s="18">
        <v>2936.0</v>
      </c>
      <c r="B3215" s="12" t="s">
        <v>48</v>
      </c>
      <c r="C3215" s="12" t="s">
        <v>14</v>
      </c>
      <c r="D3215" s="20" t="s">
        <v>20</v>
      </c>
      <c r="E3215" s="12" t="str">
        <f>IFERROR(__xludf.DUMMYFUNCTION("FILTER(colegios!$B$2:$B5618,colegios!$A$2:$A5618=L3215)"),"14144 SANTA ROSA")</f>
        <v>14144 SANTA ROSA</v>
      </c>
      <c r="F3215" s="14" t="s">
        <v>16</v>
      </c>
      <c r="G3215" s="20" t="s">
        <v>21</v>
      </c>
      <c r="H3215" s="14" t="s">
        <v>18</v>
      </c>
      <c r="I3215" s="15">
        <v>2022.0</v>
      </c>
      <c r="J3215" s="16" t="str">
        <f>IFERROR(__xludf.DUMMYFUNCTION("FILTER('CLASFICACIÓN'!$F$3:$F5618,'CLASFICACIÓN'!$G$3:$G5618=M3215)"),"LOS 3 AÑOS")</f>
        <v>LOS 3 AÑOS</v>
      </c>
      <c r="K3215" s="16" t="str">
        <f t="array" ref="K3215">IFERROR(DGET('PADD-R'!$B$1:$K5618,'PADD-R'!$K$1,{'PADD-R'!$B$1;E3215}),"NO PARTICIPÓ")</f>
        <v>SOLO 2023</v>
      </c>
      <c r="L3215" s="14" t="s">
        <v>152</v>
      </c>
      <c r="M3215" s="16" t="str">
        <f t="shared" si="1"/>
        <v>14144 SANTA ROSA4 Primaria</v>
      </c>
      <c r="N3215" s="23"/>
      <c r="O3215" s="17"/>
      <c r="P3215" s="17"/>
      <c r="Q3215" s="17"/>
      <c r="R3215" s="17"/>
      <c r="S3215" s="17"/>
      <c r="T3215" s="17"/>
    </row>
    <row r="3216">
      <c r="A3216" s="18">
        <v>2937.0</v>
      </c>
      <c r="B3216" s="12" t="s">
        <v>48</v>
      </c>
      <c r="C3216" s="12" t="s">
        <v>14</v>
      </c>
      <c r="D3216" s="20" t="s">
        <v>20</v>
      </c>
      <c r="E3216" s="12" t="str">
        <f>IFERROR(__xludf.DUMMYFUNCTION("FILTER(colegios!$B$2:$B5618,colegios!$A$2:$A5618=L3216)"),"14144 SANTA ROSA")</f>
        <v>14144 SANTA ROSA</v>
      </c>
      <c r="F3216" s="14" t="s">
        <v>16</v>
      </c>
      <c r="G3216" s="20" t="s">
        <v>21</v>
      </c>
      <c r="H3216" s="14" t="s">
        <v>18</v>
      </c>
      <c r="I3216" s="15">
        <v>2022.0</v>
      </c>
      <c r="J3216" s="16" t="str">
        <f>IFERROR(__xludf.DUMMYFUNCTION("FILTER('CLASFICACIÓN'!$F$3:$F5618,'CLASFICACIÓN'!$G$3:$G5618=M3216)"),"LOS 3 AÑOS")</f>
        <v>LOS 3 AÑOS</v>
      </c>
      <c r="K3216" s="16" t="str">
        <f t="array" ref="K3216">IFERROR(DGET('PADD-R'!$B$1:$K5618,'PADD-R'!$K$1,{'PADD-R'!$B$1;E3216}),"NO PARTICIPÓ")</f>
        <v>SOLO 2023</v>
      </c>
      <c r="L3216" s="14" t="s">
        <v>152</v>
      </c>
      <c r="M3216" s="16" t="str">
        <f t="shared" si="1"/>
        <v>14144 SANTA ROSA4 Primaria</v>
      </c>
      <c r="N3216" s="23"/>
      <c r="O3216" s="17"/>
      <c r="P3216" s="17"/>
      <c r="Q3216" s="17"/>
      <c r="R3216" s="17"/>
      <c r="S3216" s="17"/>
      <c r="T3216" s="17"/>
    </row>
    <row r="3217">
      <c r="A3217" s="18">
        <v>2938.0</v>
      </c>
      <c r="B3217" s="12" t="s">
        <v>48</v>
      </c>
      <c r="C3217" s="12" t="s">
        <v>14</v>
      </c>
      <c r="D3217" s="20" t="s">
        <v>20</v>
      </c>
      <c r="E3217" s="12" t="str">
        <f>IFERROR(__xludf.DUMMYFUNCTION("FILTER(colegios!$B$2:$B5618,colegios!$A$2:$A5618=L3217)"),"14144 SANTA ROSA")</f>
        <v>14144 SANTA ROSA</v>
      </c>
      <c r="F3217" s="14" t="s">
        <v>16</v>
      </c>
      <c r="G3217" s="20" t="s">
        <v>17</v>
      </c>
      <c r="H3217" s="14" t="s">
        <v>18</v>
      </c>
      <c r="I3217" s="15">
        <v>2022.0</v>
      </c>
      <c r="J3217" s="16" t="str">
        <f>IFERROR(__xludf.DUMMYFUNCTION("FILTER('CLASFICACIÓN'!$F$3:$F5618,'CLASFICACIÓN'!$G$3:$G5618=M3217)"),"LOS 3 AÑOS")</f>
        <v>LOS 3 AÑOS</v>
      </c>
      <c r="K3217" s="16" t="str">
        <f t="array" ref="K3217">IFERROR(DGET('PADD-R'!$B$1:$K5618,'PADD-R'!$K$1,{'PADD-R'!$B$1;E3217}),"NO PARTICIPÓ")</f>
        <v>SOLO 2023</v>
      </c>
      <c r="L3217" s="14" t="s">
        <v>152</v>
      </c>
      <c r="M3217" s="16" t="str">
        <f t="shared" si="1"/>
        <v>14144 SANTA ROSA4 Primaria</v>
      </c>
      <c r="N3217" s="23"/>
      <c r="O3217" s="17"/>
      <c r="P3217" s="17"/>
      <c r="Q3217" s="17"/>
      <c r="R3217" s="17"/>
      <c r="S3217" s="17"/>
      <c r="T3217" s="17"/>
    </row>
    <row r="3218">
      <c r="A3218" s="18">
        <v>2939.0</v>
      </c>
      <c r="B3218" s="12" t="s">
        <v>48</v>
      </c>
      <c r="C3218" s="12" t="s">
        <v>14</v>
      </c>
      <c r="D3218" s="20" t="s">
        <v>20</v>
      </c>
      <c r="E3218" s="12" t="str">
        <f>IFERROR(__xludf.DUMMYFUNCTION("FILTER(colegios!$B$2:$B5618,colegios!$A$2:$A5618=L3218)"),"14144 SANTA ROSA")</f>
        <v>14144 SANTA ROSA</v>
      </c>
      <c r="F3218" s="14" t="s">
        <v>16</v>
      </c>
      <c r="G3218" s="20" t="s">
        <v>17</v>
      </c>
      <c r="H3218" s="14" t="s">
        <v>18</v>
      </c>
      <c r="I3218" s="15">
        <v>2022.0</v>
      </c>
      <c r="J3218" s="16" t="str">
        <f>IFERROR(__xludf.DUMMYFUNCTION("FILTER('CLASFICACIÓN'!$F$3:$F5618,'CLASFICACIÓN'!$G$3:$G5618=M3218)"),"LOS 3 AÑOS")</f>
        <v>LOS 3 AÑOS</v>
      </c>
      <c r="K3218" s="16" t="str">
        <f t="array" ref="K3218">IFERROR(DGET('PADD-R'!$B$1:$K5618,'PADD-R'!$K$1,{'PADD-R'!$B$1;E3218}),"NO PARTICIPÓ")</f>
        <v>SOLO 2023</v>
      </c>
      <c r="L3218" s="14" t="s">
        <v>152</v>
      </c>
      <c r="M3218" s="16" t="str">
        <f t="shared" si="1"/>
        <v>14144 SANTA ROSA4 Primaria</v>
      </c>
      <c r="N3218" s="23"/>
      <c r="O3218" s="17"/>
      <c r="P3218" s="17"/>
      <c r="Q3218" s="17"/>
      <c r="R3218" s="17"/>
      <c r="S3218" s="17"/>
      <c r="T3218" s="17"/>
    </row>
    <row r="3219">
      <c r="A3219" s="18">
        <v>2940.0</v>
      </c>
      <c r="B3219" s="12" t="s">
        <v>48</v>
      </c>
      <c r="C3219" s="12" t="s">
        <v>14</v>
      </c>
      <c r="D3219" s="20" t="s">
        <v>20</v>
      </c>
      <c r="E3219" s="12" t="str">
        <f>IFERROR(__xludf.DUMMYFUNCTION("FILTER(colegios!$B$2:$B5618,colegios!$A$2:$A5618=L3219)"),"14144 SANTA ROSA")</f>
        <v>14144 SANTA ROSA</v>
      </c>
      <c r="F3219" s="14" t="s">
        <v>16</v>
      </c>
      <c r="G3219" s="20" t="s">
        <v>21</v>
      </c>
      <c r="H3219" s="14" t="s">
        <v>18</v>
      </c>
      <c r="I3219" s="15">
        <v>2022.0</v>
      </c>
      <c r="J3219" s="16" t="str">
        <f>IFERROR(__xludf.DUMMYFUNCTION("FILTER('CLASFICACIÓN'!$F$3:$F5618,'CLASFICACIÓN'!$G$3:$G5618=M3219)"),"LOS 3 AÑOS")</f>
        <v>LOS 3 AÑOS</v>
      </c>
      <c r="K3219" s="16" t="str">
        <f t="array" ref="K3219">IFERROR(DGET('PADD-R'!$B$1:$K5618,'PADD-R'!$K$1,{'PADD-R'!$B$1;E3219}),"NO PARTICIPÓ")</f>
        <v>SOLO 2023</v>
      </c>
      <c r="L3219" s="14" t="s">
        <v>152</v>
      </c>
      <c r="M3219" s="16" t="str">
        <f t="shared" si="1"/>
        <v>14144 SANTA ROSA4 Primaria</v>
      </c>
      <c r="N3219" s="23"/>
      <c r="O3219" s="17"/>
      <c r="P3219" s="17"/>
      <c r="Q3219" s="17"/>
      <c r="R3219" s="17"/>
      <c r="S3219" s="17"/>
      <c r="T3219" s="17"/>
    </row>
    <row r="3220">
      <c r="A3220" s="18">
        <v>2941.0</v>
      </c>
      <c r="B3220" s="12" t="s">
        <v>48</v>
      </c>
      <c r="C3220" s="12" t="s">
        <v>27</v>
      </c>
      <c r="D3220" s="20" t="s">
        <v>30</v>
      </c>
      <c r="E3220" s="12" t="str">
        <f>IFERROR(__xludf.DUMMYFUNCTION("FILTER(colegios!$B$2:$B5618,colegios!$A$2:$A5618=L3220)"),"14144 SANTA ROSA")</f>
        <v>14144 SANTA ROSA</v>
      </c>
      <c r="F3220" s="14" t="s">
        <v>16</v>
      </c>
      <c r="G3220" s="20" t="s">
        <v>17</v>
      </c>
      <c r="H3220" s="14" t="s">
        <v>18</v>
      </c>
      <c r="I3220" s="15">
        <v>2022.0</v>
      </c>
      <c r="J3220" s="16" t="str">
        <f>IFERROR(__xludf.DUMMYFUNCTION("FILTER('CLASFICACIÓN'!$F$3:$F5618,'CLASFICACIÓN'!$G$3:$G5618=M3220)"),"SOLO LINEA BASE")</f>
        <v>SOLO LINEA BASE</v>
      </c>
      <c r="K3220" s="16" t="str">
        <f t="array" ref="K3220">IFERROR(DGET('PADD-R'!$B$1:$K5618,'PADD-R'!$K$1,{'PADD-R'!$B$1;E3220}),"NO PARTICIPÓ")</f>
        <v>SOLO 2023</v>
      </c>
      <c r="L3220" s="14" t="s">
        <v>152</v>
      </c>
      <c r="M3220" s="16" t="str">
        <f t="shared" si="1"/>
        <v>14144 SANTA ROSA4 Secundaria</v>
      </c>
      <c r="N3220" s="23"/>
      <c r="O3220" s="17"/>
      <c r="P3220" s="17"/>
      <c r="Q3220" s="17"/>
      <c r="R3220" s="17"/>
      <c r="S3220" s="17"/>
      <c r="T3220" s="17"/>
    </row>
    <row r="3221">
      <c r="A3221" s="18">
        <v>2942.0</v>
      </c>
      <c r="B3221" s="12" t="s">
        <v>48</v>
      </c>
      <c r="C3221" s="12" t="s">
        <v>27</v>
      </c>
      <c r="D3221" s="20" t="s">
        <v>30</v>
      </c>
      <c r="E3221" s="12" t="str">
        <f>IFERROR(__xludf.DUMMYFUNCTION("FILTER(colegios!$B$2:$B5618,colegios!$A$2:$A5618=L3221)"),"14144 SANTA ROSA")</f>
        <v>14144 SANTA ROSA</v>
      </c>
      <c r="F3221" s="14" t="s">
        <v>16</v>
      </c>
      <c r="G3221" s="20" t="s">
        <v>17</v>
      </c>
      <c r="H3221" s="14" t="s">
        <v>18</v>
      </c>
      <c r="I3221" s="15">
        <v>2022.0</v>
      </c>
      <c r="J3221" s="16" t="str">
        <f>IFERROR(__xludf.DUMMYFUNCTION("FILTER('CLASFICACIÓN'!$F$3:$F5618,'CLASFICACIÓN'!$G$3:$G5618=M3221)"),"SOLO LINEA BASE")</f>
        <v>SOLO LINEA BASE</v>
      </c>
      <c r="K3221" s="16" t="str">
        <f t="array" ref="K3221">IFERROR(DGET('PADD-R'!$B$1:$K5618,'PADD-R'!$K$1,{'PADD-R'!$B$1;E3221}),"NO PARTICIPÓ")</f>
        <v>SOLO 2023</v>
      </c>
      <c r="L3221" s="14" t="s">
        <v>152</v>
      </c>
      <c r="M3221" s="16" t="str">
        <f t="shared" si="1"/>
        <v>14144 SANTA ROSA4 Secundaria</v>
      </c>
      <c r="N3221" s="23"/>
      <c r="O3221" s="17"/>
      <c r="P3221" s="17"/>
      <c r="Q3221" s="17"/>
      <c r="R3221" s="17"/>
      <c r="S3221" s="17"/>
      <c r="T3221" s="17"/>
    </row>
    <row r="3222">
      <c r="A3222" s="18">
        <v>2943.0</v>
      </c>
      <c r="B3222" s="12" t="s">
        <v>48</v>
      </c>
      <c r="C3222" s="12" t="s">
        <v>27</v>
      </c>
      <c r="D3222" s="20" t="s">
        <v>30</v>
      </c>
      <c r="E3222" s="12" t="str">
        <f>IFERROR(__xludf.DUMMYFUNCTION("FILTER(colegios!$B$2:$B5618,colegios!$A$2:$A5618=L3222)"),"14144 SANTA ROSA")</f>
        <v>14144 SANTA ROSA</v>
      </c>
      <c r="F3222" s="14" t="s">
        <v>16</v>
      </c>
      <c r="G3222" s="20" t="s">
        <v>21</v>
      </c>
      <c r="H3222" s="14" t="s">
        <v>18</v>
      </c>
      <c r="I3222" s="15">
        <v>2022.0</v>
      </c>
      <c r="J3222" s="16" t="str">
        <f>IFERROR(__xludf.DUMMYFUNCTION("FILTER('CLASFICACIÓN'!$F$3:$F5618,'CLASFICACIÓN'!$G$3:$G5618=M3222)"),"SOLO LINEA BASE")</f>
        <v>SOLO LINEA BASE</v>
      </c>
      <c r="K3222" s="16" t="str">
        <f t="array" ref="K3222">IFERROR(DGET('PADD-R'!$B$1:$K5618,'PADD-R'!$K$1,{'PADD-R'!$B$1;E3222}),"NO PARTICIPÓ")</f>
        <v>SOLO 2023</v>
      </c>
      <c r="L3222" s="14" t="s">
        <v>152</v>
      </c>
      <c r="M3222" s="16" t="str">
        <f t="shared" si="1"/>
        <v>14144 SANTA ROSA4 Secundaria</v>
      </c>
      <c r="N3222" s="23"/>
      <c r="O3222" s="17"/>
      <c r="P3222" s="17"/>
      <c r="Q3222" s="17"/>
      <c r="R3222" s="17"/>
      <c r="S3222" s="17"/>
      <c r="T3222" s="17"/>
    </row>
    <row r="3223">
      <c r="A3223" s="18">
        <v>2944.0</v>
      </c>
      <c r="B3223" s="12" t="s">
        <v>48</v>
      </c>
      <c r="C3223" s="12" t="s">
        <v>27</v>
      </c>
      <c r="D3223" s="20" t="s">
        <v>30</v>
      </c>
      <c r="E3223" s="12" t="str">
        <f>IFERROR(__xludf.DUMMYFUNCTION("FILTER(colegios!$B$2:$B5618,colegios!$A$2:$A5618=L3223)"),"14144 SANTA ROSA")</f>
        <v>14144 SANTA ROSA</v>
      </c>
      <c r="F3223" s="14" t="s">
        <v>16</v>
      </c>
      <c r="G3223" s="20" t="s">
        <v>21</v>
      </c>
      <c r="H3223" s="14" t="s">
        <v>18</v>
      </c>
      <c r="I3223" s="15">
        <v>2022.0</v>
      </c>
      <c r="J3223" s="16" t="str">
        <f>IFERROR(__xludf.DUMMYFUNCTION("FILTER('CLASFICACIÓN'!$F$3:$F5618,'CLASFICACIÓN'!$G$3:$G5618=M3223)"),"SOLO LINEA BASE")</f>
        <v>SOLO LINEA BASE</v>
      </c>
      <c r="K3223" s="16" t="str">
        <f t="array" ref="K3223">IFERROR(DGET('PADD-R'!$B$1:$K5618,'PADD-R'!$K$1,{'PADD-R'!$B$1;E3223}),"NO PARTICIPÓ")</f>
        <v>SOLO 2023</v>
      </c>
      <c r="L3223" s="14" t="s">
        <v>152</v>
      </c>
      <c r="M3223" s="16" t="str">
        <f t="shared" si="1"/>
        <v>14144 SANTA ROSA4 Secundaria</v>
      </c>
      <c r="N3223" s="23"/>
      <c r="O3223" s="17"/>
      <c r="P3223" s="17"/>
      <c r="Q3223" s="17"/>
      <c r="R3223" s="17"/>
      <c r="S3223" s="17"/>
      <c r="T3223" s="17"/>
    </row>
    <row r="3224">
      <c r="A3224" s="18">
        <v>2945.0</v>
      </c>
      <c r="B3224" s="12" t="s">
        <v>48</v>
      </c>
      <c r="C3224" s="12" t="s">
        <v>27</v>
      </c>
      <c r="D3224" s="20" t="s">
        <v>30</v>
      </c>
      <c r="E3224" s="12" t="str">
        <f>IFERROR(__xludf.DUMMYFUNCTION("FILTER(colegios!$B$2:$B5618,colegios!$A$2:$A5618=L3224)"),"14144 SANTA ROSA")</f>
        <v>14144 SANTA ROSA</v>
      </c>
      <c r="F3224" s="14" t="s">
        <v>16</v>
      </c>
      <c r="G3224" s="20" t="s">
        <v>17</v>
      </c>
      <c r="H3224" s="14" t="s">
        <v>18</v>
      </c>
      <c r="I3224" s="15">
        <v>2022.0</v>
      </c>
      <c r="J3224" s="16" t="str">
        <f>IFERROR(__xludf.DUMMYFUNCTION("FILTER('CLASFICACIÓN'!$F$3:$F5618,'CLASFICACIÓN'!$G$3:$G5618=M3224)"),"SOLO LINEA BASE")</f>
        <v>SOLO LINEA BASE</v>
      </c>
      <c r="K3224" s="16" t="str">
        <f t="array" ref="K3224">IFERROR(DGET('PADD-R'!$B$1:$K5618,'PADD-R'!$K$1,{'PADD-R'!$B$1;E3224}),"NO PARTICIPÓ")</f>
        <v>SOLO 2023</v>
      </c>
      <c r="L3224" s="14" t="s">
        <v>152</v>
      </c>
      <c r="M3224" s="16" t="str">
        <f t="shared" si="1"/>
        <v>14144 SANTA ROSA4 Secundaria</v>
      </c>
      <c r="N3224" s="23"/>
      <c r="O3224" s="17"/>
      <c r="P3224" s="17"/>
      <c r="Q3224" s="17"/>
      <c r="R3224" s="17"/>
      <c r="S3224" s="17"/>
      <c r="T3224" s="17"/>
    </row>
    <row r="3225">
      <c r="A3225" s="18">
        <v>2946.0</v>
      </c>
      <c r="B3225" s="12" t="s">
        <v>48</v>
      </c>
      <c r="C3225" s="12" t="s">
        <v>27</v>
      </c>
      <c r="D3225" s="20" t="s">
        <v>30</v>
      </c>
      <c r="E3225" s="12" t="str">
        <f>IFERROR(__xludf.DUMMYFUNCTION("FILTER(colegios!$B$2:$B5618,colegios!$A$2:$A5618=L3225)"),"14144 SANTA ROSA")</f>
        <v>14144 SANTA ROSA</v>
      </c>
      <c r="F3225" s="14" t="s">
        <v>16</v>
      </c>
      <c r="G3225" s="20" t="s">
        <v>17</v>
      </c>
      <c r="H3225" s="14" t="s">
        <v>18</v>
      </c>
      <c r="I3225" s="15">
        <v>2022.0</v>
      </c>
      <c r="J3225" s="16" t="str">
        <f>IFERROR(__xludf.DUMMYFUNCTION("FILTER('CLASFICACIÓN'!$F$3:$F5618,'CLASFICACIÓN'!$G$3:$G5618=M3225)"),"SOLO LINEA BASE")</f>
        <v>SOLO LINEA BASE</v>
      </c>
      <c r="K3225" s="16" t="str">
        <f t="array" ref="K3225">IFERROR(DGET('PADD-R'!$B$1:$K5618,'PADD-R'!$K$1,{'PADD-R'!$B$1;E3225}),"NO PARTICIPÓ")</f>
        <v>SOLO 2023</v>
      </c>
      <c r="L3225" s="14" t="s">
        <v>152</v>
      </c>
      <c r="M3225" s="16" t="str">
        <f t="shared" si="1"/>
        <v>14144 SANTA ROSA4 Secundaria</v>
      </c>
      <c r="N3225" s="23"/>
      <c r="O3225" s="17"/>
      <c r="P3225" s="17"/>
      <c r="Q3225" s="17"/>
      <c r="R3225" s="17"/>
      <c r="S3225" s="17"/>
      <c r="T3225" s="17"/>
    </row>
    <row r="3226">
      <c r="A3226" s="18">
        <v>2947.0</v>
      </c>
      <c r="B3226" s="12" t="s">
        <v>48</v>
      </c>
      <c r="C3226" s="12" t="s">
        <v>27</v>
      </c>
      <c r="D3226" s="20" t="s">
        <v>30</v>
      </c>
      <c r="E3226" s="12" t="str">
        <f>IFERROR(__xludf.DUMMYFUNCTION("FILTER(colegios!$B$2:$B5618,colegios!$A$2:$A5618=L3226)"),"14144 SANTA ROSA")</f>
        <v>14144 SANTA ROSA</v>
      </c>
      <c r="F3226" s="14" t="s">
        <v>16</v>
      </c>
      <c r="G3226" s="20" t="s">
        <v>21</v>
      </c>
      <c r="H3226" s="14" t="s">
        <v>18</v>
      </c>
      <c r="I3226" s="15">
        <v>2022.0</v>
      </c>
      <c r="J3226" s="16" t="str">
        <f>IFERROR(__xludf.DUMMYFUNCTION("FILTER('CLASFICACIÓN'!$F$3:$F5618,'CLASFICACIÓN'!$G$3:$G5618=M3226)"),"SOLO LINEA BASE")</f>
        <v>SOLO LINEA BASE</v>
      </c>
      <c r="K3226" s="16" t="str">
        <f t="array" ref="K3226">IFERROR(DGET('PADD-R'!$B$1:$K5618,'PADD-R'!$K$1,{'PADD-R'!$B$1;E3226}),"NO PARTICIPÓ")</f>
        <v>SOLO 2023</v>
      </c>
      <c r="L3226" s="14" t="s">
        <v>152</v>
      </c>
      <c r="M3226" s="16" t="str">
        <f t="shared" si="1"/>
        <v>14144 SANTA ROSA4 Secundaria</v>
      </c>
      <c r="N3226" s="23"/>
      <c r="O3226" s="17"/>
      <c r="P3226" s="17"/>
      <c r="Q3226" s="17"/>
      <c r="R3226" s="17"/>
      <c r="S3226" s="17"/>
      <c r="T3226" s="17"/>
    </row>
    <row r="3227">
      <c r="A3227" s="18">
        <v>2948.0</v>
      </c>
      <c r="B3227" s="12" t="s">
        <v>48</v>
      </c>
      <c r="C3227" s="12" t="s">
        <v>27</v>
      </c>
      <c r="D3227" s="20" t="s">
        <v>30</v>
      </c>
      <c r="E3227" s="12" t="str">
        <f>IFERROR(__xludf.DUMMYFUNCTION("FILTER(colegios!$B$2:$B5618,colegios!$A$2:$A5618=L3227)"),"14144 SANTA ROSA")</f>
        <v>14144 SANTA ROSA</v>
      </c>
      <c r="F3227" s="14" t="s">
        <v>16</v>
      </c>
      <c r="G3227" s="20" t="s">
        <v>17</v>
      </c>
      <c r="H3227" s="14" t="s">
        <v>18</v>
      </c>
      <c r="I3227" s="15">
        <v>2022.0</v>
      </c>
      <c r="J3227" s="16" t="str">
        <f>IFERROR(__xludf.DUMMYFUNCTION("FILTER('CLASFICACIÓN'!$F$3:$F5618,'CLASFICACIÓN'!$G$3:$G5618=M3227)"),"SOLO LINEA BASE")</f>
        <v>SOLO LINEA BASE</v>
      </c>
      <c r="K3227" s="16" t="str">
        <f t="array" ref="K3227">IFERROR(DGET('PADD-R'!$B$1:$K5618,'PADD-R'!$K$1,{'PADD-R'!$B$1;E3227}),"NO PARTICIPÓ")</f>
        <v>SOLO 2023</v>
      </c>
      <c r="L3227" s="14" t="s">
        <v>152</v>
      </c>
      <c r="M3227" s="16" t="str">
        <f t="shared" si="1"/>
        <v>14144 SANTA ROSA4 Secundaria</v>
      </c>
      <c r="N3227" s="23"/>
      <c r="O3227" s="17"/>
      <c r="P3227" s="17"/>
      <c r="Q3227" s="17"/>
      <c r="R3227" s="17"/>
      <c r="S3227" s="17"/>
      <c r="T3227" s="17"/>
    </row>
    <row r="3228">
      <c r="A3228" s="18">
        <v>2949.0</v>
      </c>
      <c r="B3228" s="12" t="s">
        <v>48</v>
      </c>
      <c r="C3228" s="12" t="s">
        <v>27</v>
      </c>
      <c r="D3228" s="20" t="s">
        <v>30</v>
      </c>
      <c r="E3228" s="12" t="str">
        <f>IFERROR(__xludf.DUMMYFUNCTION("FILTER(colegios!$B$2:$B5618,colegios!$A$2:$A5618=L3228)"),"14144 SANTA ROSA")</f>
        <v>14144 SANTA ROSA</v>
      </c>
      <c r="F3228" s="14" t="s">
        <v>16</v>
      </c>
      <c r="G3228" s="20" t="s">
        <v>17</v>
      </c>
      <c r="H3228" s="14" t="s">
        <v>18</v>
      </c>
      <c r="I3228" s="15">
        <v>2022.0</v>
      </c>
      <c r="J3228" s="16" t="str">
        <f>IFERROR(__xludf.DUMMYFUNCTION("FILTER('CLASFICACIÓN'!$F$3:$F5618,'CLASFICACIÓN'!$G$3:$G5618=M3228)"),"SOLO LINEA BASE")</f>
        <v>SOLO LINEA BASE</v>
      </c>
      <c r="K3228" s="16" t="str">
        <f t="array" ref="K3228">IFERROR(DGET('PADD-R'!$B$1:$K5618,'PADD-R'!$K$1,{'PADD-R'!$B$1;E3228}),"NO PARTICIPÓ")</f>
        <v>SOLO 2023</v>
      </c>
      <c r="L3228" s="14" t="s">
        <v>152</v>
      </c>
      <c r="M3228" s="16" t="str">
        <f t="shared" si="1"/>
        <v>14144 SANTA ROSA4 Secundaria</v>
      </c>
      <c r="N3228" s="23"/>
      <c r="O3228" s="17"/>
      <c r="P3228" s="17"/>
      <c r="Q3228" s="17"/>
      <c r="R3228" s="17"/>
      <c r="S3228" s="17"/>
      <c r="T3228" s="17"/>
    </row>
    <row r="3229">
      <c r="A3229" s="18">
        <v>2950.0</v>
      </c>
      <c r="B3229" s="12" t="s">
        <v>48</v>
      </c>
      <c r="C3229" s="12" t="s">
        <v>27</v>
      </c>
      <c r="D3229" s="20" t="s">
        <v>30</v>
      </c>
      <c r="E3229" s="12" t="str">
        <f>IFERROR(__xludf.DUMMYFUNCTION("FILTER(colegios!$B$2:$B5618,colegios!$A$2:$A5618=L3229)"),"14144 SANTA ROSA")</f>
        <v>14144 SANTA ROSA</v>
      </c>
      <c r="F3229" s="14" t="s">
        <v>16</v>
      </c>
      <c r="G3229" s="20" t="s">
        <v>21</v>
      </c>
      <c r="H3229" s="14" t="s">
        <v>18</v>
      </c>
      <c r="I3229" s="15">
        <v>2022.0</v>
      </c>
      <c r="J3229" s="16" t="str">
        <f>IFERROR(__xludf.DUMMYFUNCTION("FILTER('CLASFICACIÓN'!$F$3:$F5618,'CLASFICACIÓN'!$G$3:$G5618=M3229)"),"SOLO LINEA BASE")</f>
        <v>SOLO LINEA BASE</v>
      </c>
      <c r="K3229" s="16" t="str">
        <f t="array" ref="K3229">IFERROR(DGET('PADD-R'!$B$1:$K5618,'PADD-R'!$K$1,{'PADD-R'!$B$1;E3229}),"NO PARTICIPÓ")</f>
        <v>SOLO 2023</v>
      </c>
      <c r="L3229" s="14" t="s">
        <v>152</v>
      </c>
      <c r="M3229" s="16" t="str">
        <f t="shared" si="1"/>
        <v>14144 SANTA ROSA4 Secundaria</v>
      </c>
      <c r="N3229" s="23"/>
      <c r="O3229" s="17"/>
      <c r="P3229" s="17"/>
      <c r="Q3229" s="17"/>
      <c r="R3229" s="17"/>
      <c r="S3229" s="17"/>
      <c r="T3229" s="17"/>
    </row>
    <row r="3230">
      <c r="A3230" s="18">
        <v>2951.0</v>
      </c>
      <c r="B3230" s="12" t="s">
        <v>48</v>
      </c>
      <c r="C3230" s="12" t="s">
        <v>27</v>
      </c>
      <c r="D3230" s="20" t="s">
        <v>30</v>
      </c>
      <c r="E3230" s="12" t="str">
        <f>IFERROR(__xludf.DUMMYFUNCTION("FILTER(colegios!$B$2:$B5618,colegios!$A$2:$A5618=L3230)"),"14144 SANTA ROSA")</f>
        <v>14144 SANTA ROSA</v>
      </c>
      <c r="F3230" s="14" t="s">
        <v>16</v>
      </c>
      <c r="G3230" s="20" t="s">
        <v>17</v>
      </c>
      <c r="H3230" s="14" t="s">
        <v>18</v>
      </c>
      <c r="I3230" s="15">
        <v>2022.0</v>
      </c>
      <c r="J3230" s="16" t="str">
        <f>IFERROR(__xludf.DUMMYFUNCTION("FILTER('CLASFICACIÓN'!$F$3:$F5618,'CLASFICACIÓN'!$G$3:$G5618=M3230)"),"SOLO LINEA BASE")</f>
        <v>SOLO LINEA BASE</v>
      </c>
      <c r="K3230" s="16" t="str">
        <f t="array" ref="K3230">IFERROR(DGET('PADD-R'!$B$1:$K5618,'PADD-R'!$K$1,{'PADD-R'!$B$1;E3230}),"NO PARTICIPÓ")</f>
        <v>SOLO 2023</v>
      </c>
      <c r="L3230" s="14" t="s">
        <v>152</v>
      </c>
      <c r="M3230" s="16" t="str">
        <f t="shared" si="1"/>
        <v>14144 SANTA ROSA4 Secundaria</v>
      </c>
      <c r="N3230" s="23"/>
      <c r="O3230" s="17"/>
      <c r="P3230" s="17"/>
      <c r="Q3230" s="17"/>
      <c r="R3230" s="17"/>
      <c r="S3230" s="17"/>
      <c r="T3230" s="17"/>
    </row>
    <row r="3231">
      <c r="A3231" s="18">
        <v>2952.0</v>
      </c>
      <c r="B3231" s="12" t="s">
        <v>48</v>
      </c>
      <c r="C3231" s="12" t="s">
        <v>27</v>
      </c>
      <c r="D3231" s="20" t="s">
        <v>30</v>
      </c>
      <c r="E3231" s="12" t="str">
        <f>IFERROR(__xludf.DUMMYFUNCTION("FILTER(colegios!$B$2:$B5618,colegios!$A$2:$A5618=L3231)"),"14144 SANTA ROSA")</f>
        <v>14144 SANTA ROSA</v>
      </c>
      <c r="F3231" s="14" t="s">
        <v>16</v>
      </c>
      <c r="G3231" s="20" t="s">
        <v>17</v>
      </c>
      <c r="H3231" s="14" t="s">
        <v>18</v>
      </c>
      <c r="I3231" s="15">
        <v>2022.0</v>
      </c>
      <c r="J3231" s="16" t="str">
        <f>IFERROR(__xludf.DUMMYFUNCTION("FILTER('CLASFICACIÓN'!$F$3:$F5618,'CLASFICACIÓN'!$G$3:$G5618=M3231)"),"SOLO LINEA BASE")</f>
        <v>SOLO LINEA BASE</v>
      </c>
      <c r="K3231" s="16" t="str">
        <f t="array" ref="K3231">IFERROR(DGET('PADD-R'!$B$1:$K5618,'PADD-R'!$K$1,{'PADD-R'!$B$1;E3231}),"NO PARTICIPÓ")</f>
        <v>SOLO 2023</v>
      </c>
      <c r="L3231" s="14" t="s">
        <v>152</v>
      </c>
      <c r="M3231" s="16" t="str">
        <f t="shared" si="1"/>
        <v>14144 SANTA ROSA4 Secundaria</v>
      </c>
      <c r="N3231" s="23"/>
      <c r="O3231" s="17"/>
      <c r="P3231" s="17"/>
      <c r="Q3231" s="17"/>
      <c r="R3231" s="17"/>
      <c r="S3231" s="17"/>
      <c r="T3231" s="17"/>
    </row>
    <row r="3232">
      <c r="A3232" s="18">
        <v>2953.0</v>
      </c>
      <c r="B3232" s="12" t="s">
        <v>48</v>
      </c>
      <c r="C3232" s="12" t="s">
        <v>27</v>
      </c>
      <c r="D3232" s="20" t="s">
        <v>30</v>
      </c>
      <c r="E3232" s="12" t="str">
        <f>IFERROR(__xludf.DUMMYFUNCTION("FILTER(colegios!$B$2:$B5618,colegios!$A$2:$A5618=L3232)"),"14144 SANTA ROSA")</f>
        <v>14144 SANTA ROSA</v>
      </c>
      <c r="F3232" s="14" t="s">
        <v>16</v>
      </c>
      <c r="G3232" s="20" t="s">
        <v>17</v>
      </c>
      <c r="H3232" s="14" t="s">
        <v>18</v>
      </c>
      <c r="I3232" s="15">
        <v>2022.0</v>
      </c>
      <c r="J3232" s="16" t="str">
        <f>IFERROR(__xludf.DUMMYFUNCTION("FILTER('CLASFICACIÓN'!$F$3:$F5618,'CLASFICACIÓN'!$G$3:$G5618=M3232)"),"SOLO LINEA BASE")</f>
        <v>SOLO LINEA BASE</v>
      </c>
      <c r="K3232" s="16" t="str">
        <f t="array" ref="K3232">IFERROR(DGET('PADD-R'!$B$1:$K5618,'PADD-R'!$K$1,{'PADD-R'!$B$1;E3232}),"NO PARTICIPÓ")</f>
        <v>SOLO 2023</v>
      </c>
      <c r="L3232" s="14" t="s">
        <v>152</v>
      </c>
      <c r="M3232" s="16" t="str">
        <f t="shared" si="1"/>
        <v>14144 SANTA ROSA4 Secundaria</v>
      </c>
      <c r="N3232" s="23"/>
      <c r="O3232" s="17"/>
      <c r="P3232" s="17"/>
      <c r="Q3232" s="17"/>
      <c r="R3232" s="17"/>
      <c r="S3232" s="17"/>
      <c r="T3232" s="17"/>
    </row>
    <row r="3233">
      <c r="A3233" s="18">
        <v>2954.0</v>
      </c>
      <c r="B3233" s="12" t="s">
        <v>48</v>
      </c>
      <c r="C3233" s="12" t="s">
        <v>27</v>
      </c>
      <c r="D3233" s="20" t="s">
        <v>30</v>
      </c>
      <c r="E3233" s="12" t="str">
        <f>IFERROR(__xludf.DUMMYFUNCTION("FILTER(colegios!$B$2:$B5618,colegios!$A$2:$A5618=L3233)"),"14144 SANTA ROSA")</f>
        <v>14144 SANTA ROSA</v>
      </c>
      <c r="F3233" s="14" t="s">
        <v>16</v>
      </c>
      <c r="G3233" s="20" t="s">
        <v>21</v>
      </c>
      <c r="H3233" s="14" t="s">
        <v>18</v>
      </c>
      <c r="I3233" s="15">
        <v>2022.0</v>
      </c>
      <c r="J3233" s="16" t="str">
        <f>IFERROR(__xludf.DUMMYFUNCTION("FILTER('CLASFICACIÓN'!$F$3:$F5618,'CLASFICACIÓN'!$G$3:$G5618=M3233)"),"SOLO LINEA BASE")</f>
        <v>SOLO LINEA BASE</v>
      </c>
      <c r="K3233" s="16" t="str">
        <f t="array" ref="K3233">IFERROR(DGET('PADD-R'!$B$1:$K5618,'PADD-R'!$K$1,{'PADD-R'!$B$1;E3233}),"NO PARTICIPÓ")</f>
        <v>SOLO 2023</v>
      </c>
      <c r="L3233" s="14" t="s">
        <v>152</v>
      </c>
      <c r="M3233" s="16" t="str">
        <f t="shared" si="1"/>
        <v>14144 SANTA ROSA4 Secundaria</v>
      </c>
      <c r="N3233" s="23"/>
      <c r="O3233" s="17"/>
      <c r="P3233" s="17"/>
      <c r="Q3233" s="17"/>
      <c r="R3233" s="17"/>
      <c r="S3233" s="17"/>
      <c r="T3233" s="17"/>
    </row>
    <row r="3234">
      <c r="A3234" s="18">
        <v>2955.0</v>
      </c>
      <c r="B3234" s="12" t="s">
        <v>48</v>
      </c>
      <c r="C3234" s="12" t="s">
        <v>27</v>
      </c>
      <c r="D3234" s="20" t="s">
        <v>30</v>
      </c>
      <c r="E3234" s="12" t="str">
        <f>IFERROR(__xludf.DUMMYFUNCTION("FILTER(colegios!$B$2:$B5618,colegios!$A$2:$A5618=L3234)"),"14144 SANTA ROSA")</f>
        <v>14144 SANTA ROSA</v>
      </c>
      <c r="F3234" s="14" t="s">
        <v>16</v>
      </c>
      <c r="G3234" s="20" t="s">
        <v>17</v>
      </c>
      <c r="H3234" s="14" t="s">
        <v>18</v>
      </c>
      <c r="I3234" s="15">
        <v>2022.0</v>
      </c>
      <c r="J3234" s="16" t="str">
        <f>IFERROR(__xludf.DUMMYFUNCTION("FILTER('CLASFICACIÓN'!$F$3:$F5618,'CLASFICACIÓN'!$G$3:$G5618=M3234)"),"SOLO LINEA BASE")</f>
        <v>SOLO LINEA BASE</v>
      </c>
      <c r="K3234" s="16" t="str">
        <f t="array" ref="K3234">IFERROR(DGET('PADD-R'!$B$1:$K5618,'PADD-R'!$K$1,{'PADD-R'!$B$1;E3234}),"NO PARTICIPÓ")</f>
        <v>SOLO 2023</v>
      </c>
      <c r="L3234" s="14" t="s">
        <v>152</v>
      </c>
      <c r="M3234" s="16" t="str">
        <f t="shared" si="1"/>
        <v>14144 SANTA ROSA4 Secundaria</v>
      </c>
      <c r="N3234" s="23"/>
      <c r="O3234" s="17"/>
      <c r="P3234" s="17"/>
      <c r="Q3234" s="17"/>
      <c r="R3234" s="17"/>
      <c r="S3234" s="17"/>
      <c r="T3234" s="17"/>
    </row>
    <row r="3235">
      <c r="A3235" s="18">
        <v>2956.0</v>
      </c>
      <c r="B3235" s="12" t="s">
        <v>48</v>
      </c>
      <c r="C3235" s="12" t="s">
        <v>27</v>
      </c>
      <c r="D3235" s="20" t="s">
        <v>30</v>
      </c>
      <c r="E3235" s="12" t="str">
        <f>IFERROR(__xludf.DUMMYFUNCTION("FILTER(colegios!$B$2:$B5618,colegios!$A$2:$A5618=L3235)"),"14144 SANTA ROSA")</f>
        <v>14144 SANTA ROSA</v>
      </c>
      <c r="F3235" s="14" t="s">
        <v>16</v>
      </c>
      <c r="G3235" s="20" t="s">
        <v>17</v>
      </c>
      <c r="H3235" s="14" t="s">
        <v>18</v>
      </c>
      <c r="I3235" s="15">
        <v>2022.0</v>
      </c>
      <c r="J3235" s="16" t="str">
        <f>IFERROR(__xludf.DUMMYFUNCTION("FILTER('CLASFICACIÓN'!$F$3:$F5618,'CLASFICACIÓN'!$G$3:$G5618=M3235)"),"SOLO LINEA BASE")</f>
        <v>SOLO LINEA BASE</v>
      </c>
      <c r="K3235" s="16" t="str">
        <f t="array" ref="K3235">IFERROR(DGET('PADD-R'!$B$1:$K5618,'PADD-R'!$K$1,{'PADD-R'!$B$1;E3235}),"NO PARTICIPÓ")</f>
        <v>SOLO 2023</v>
      </c>
      <c r="L3235" s="14" t="s">
        <v>152</v>
      </c>
      <c r="M3235" s="16" t="str">
        <f t="shared" si="1"/>
        <v>14144 SANTA ROSA4 Secundaria</v>
      </c>
      <c r="N3235" s="23"/>
      <c r="O3235" s="17"/>
      <c r="P3235" s="17"/>
      <c r="Q3235" s="17"/>
      <c r="R3235" s="17"/>
      <c r="S3235" s="17"/>
      <c r="T3235" s="17"/>
    </row>
    <row r="3236">
      <c r="A3236" s="18">
        <v>2957.0</v>
      </c>
      <c r="B3236" s="12" t="s">
        <v>48</v>
      </c>
      <c r="C3236" s="12" t="s">
        <v>27</v>
      </c>
      <c r="D3236" s="20" t="s">
        <v>30</v>
      </c>
      <c r="E3236" s="12" t="str">
        <f>IFERROR(__xludf.DUMMYFUNCTION("FILTER(colegios!$B$2:$B5618,colegios!$A$2:$A5618=L3236)"),"14144 SANTA ROSA")</f>
        <v>14144 SANTA ROSA</v>
      </c>
      <c r="F3236" s="14" t="s">
        <v>16</v>
      </c>
      <c r="G3236" s="20" t="s">
        <v>21</v>
      </c>
      <c r="H3236" s="14" t="s">
        <v>18</v>
      </c>
      <c r="I3236" s="15">
        <v>2022.0</v>
      </c>
      <c r="J3236" s="16" t="str">
        <f>IFERROR(__xludf.DUMMYFUNCTION("FILTER('CLASFICACIÓN'!$F$3:$F5618,'CLASFICACIÓN'!$G$3:$G5618=M3236)"),"SOLO LINEA BASE")</f>
        <v>SOLO LINEA BASE</v>
      </c>
      <c r="K3236" s="16" t="str">
        <f t="array" ref="K3236">IFERROR(DGET('PADD-R'!$B$1:$K5618,'PADD-R'!$K$1,{'PADD-R'!$B$1;E3236}),"NO PARTICIPÓ")</f>
        <v>SOLO 2023</v>
      </c>
      <c r="L3236" s="14" t="s">
        <v>152</v>
      </c>
      <c r="M3236" s="16" t="str">
        <f t="shared" si="1"/>
        <v>14144 SANTA ROSA4 Secundaria</v>
      </c>
      <c r="N3236" s="23"/>
      <c r="O3236" s="17"/>
      <c r="P3236" s="17"/>
      <c r="Q3236" s="17"/>
      <c r="R3236" s="17"/>
      <c r="S3236" s="17"/>
      <c r="T3236" s="17"/>
    </row>
    <row r="3237">
      <c r="A3237" s="18">
        <v>2958.0</v>
      </c>
      <c r="B3237" s="12" t="s">
        <v>48</v>
      </c>
      <c r="C3237" s="12" t="s">
        <v>27</v>
      </c>
      <c r="D3237" s="20" t="s">
        <v>30</v>
      </c>
      <c r="E3237" s="12" t="str">
        <f>IFERROR(__xludf.DUMMYFUNCTION("FILTER(colegios!$B$2:$B5618,colegios!$A$2:$A5618=L3237)"),"14144 SANTA ROSA")</f>
        <v>14144 SANTA ROSA</v>
      </c>
      <c r="F3237" s="14" t="s">
        <v>16</v>
      </c>
      <c r="G3237" s="20" t="s">
        <v>21</v>
      </c>
      <c r="H3237" s="14" t="s">
        <v>18</v>
      </c>
      <c r="I3237" s="15">
        <v>2022.0</v>
      </c>
      <c r="J3237" s="16" t="str">
        <f>IFERROR(__xludf.DUMMYFUNCTION("FILTER('CLASFICACIÓN'!$F$3:$F5618,'CLASFICACIÓN'!$G$3:$G5618=M3237)"),"SOLO LINEA BASE")</f>
        <v>SOLO LINEA BASE</v>
      </c>
      <c r="K3237" s="16" t="str">
        <f t="array" ref="K3237">IFERROR(DGET('PADD-R'!$B$1:$K5618,'PADD-R'!$K$1,{'PADD-R'!$B$1;E3237}),"NO PARTICIPÓ")</f>
        <v>SOLO 2023</v>
      </c>
      <c r="L3237" s="14" t="s">
        <v>152</v>
      </c>
      <c r="M3237" s="16" t="str">
        <f t="shared" si="1"/>
        <v>14144 SANTA ROSA4 Secundaria</v>
      </c>
      <c r="N3237" s="23"/>
      <c r="O3237" s="17"/>
      <c r="P3237" s="17"/>
      <c r="Q3237" s="17"/>
      <c r="R3237" s="17"/>
      <c r="S3237" s="17"/>
      <c r="T3237" s="17"/>
    </row>
    <row r="3238">
      <c r="A3238" s="18">
        <v>2959.0</v>
      </c>
      <c r="B3238" s="12" t="s">
        <v>48</v>
      </c>
      <c r="C3238" s="12" t="s">
        <v>27</v>
      </c>
      <c r="D3238" s="20" t="s">
        <v>30</v>
      </c>
      <c r="E3238" s="12" t="str">
        <f>IFERROR(__xludf.DUMMYFUNCTION("FILTER(colegios!$B$2:$B5618,colegios!$A$2:$A5618=L3238)"),"14144 SANTA ROSA")</f>
        <v>14144 SANTA ROSA</v>
      </c>
      <c r="F3238" s="14" t="s">
        <v>16</v>
      </c>
      <c r="G3238" s="20" t="s">
        <v>21</v>
      </c>
      <c r="H3238" s="14" t="s">
        <v>18</v>
      </c>
      <c r="I3238" s="15">
        <v>2022.0</v>
      </c>
      <c r="J3238" s="16" t="str">
        <f>IFERROR(__xludf.DUMMYFUNCTION("FILTER('CLASFICACIÓN'!$F$3:$F5618,'CLASFICACIÓN'!$G$3:$G5618=M3238)"),"SOLO LINEA BASE")</f>
        <v>SOLO LINEA BASE</v>
      </c>
      <c r="K3238" s="16" t="str">
        <f t="array" ref="K3238">IFERROR(DGET('PADD-R'!$B$1:$K5618,'PADD-R'!$K$1,{'PADD-R'!$B$1;E3238}),"NO PARTICIPÓ")</f>
        <v>SOLO 2023</v>
      </c>
      <c r="L3238" s="14" t="s">
        <v>152</v>
      </c>
      <c r="M3238" s="16" t="str">
        <f t="shared" si="1"/>
        <v>14144 SANTA ROSA4 Secundaria</v>
      </c>
      <c r="N3238" s="23"/>
      <c r="O3238" s="17"/>
      <c r="P3238" s="17"/>
      <c r="Q3238" s="17"/>
      <c r="R3238" s="17"/>
      <c r="S3238" s="17"/>
      <c r="T3238" s="17"/>
    </row>
    <row r="3239">
      <c r="A3239" s="18">
        <v>2960.0</v>
      </c>
      <c r="B3239" s="12" t="s">
        <v>48</v>
      </c>
      <c r="C3239" s="12" t="s">
        <v>27</v>
      </c>
      <c r="D3239" s="20" t="s">
        <v>30</v>
      </c>
      <c r="E3239" s="12" t="str">
        <f>IFERROR(__xludf.DUMMYFUNCTION("FILTER(colegios!$B$2:$B5618,colegios!$A$2:$A5618=L3239)"),"14144 SANTA ROSA")</f>
        <v>14144 SANTA ROSA</v>
      </c>
      <c r="F3239" s="14" t="s">
        <v>16</v>
      </c>
      <c r="G3239" s="20" t="s">
        <v>21</v>
      </c>
      <c r="H3239" s="14" t="s">
        <v>18</v>
      </c>
      <c r="I3239" s="15">
        <v>2022.0</v>
      </c>
      <c r="J3239" s="16" t="str">
        <f>IFERROR(__xludf.DUMMYFUNCTION("FILTER('CLASFICACIÓN'!$F$3:$F5618,'CLASFICACIÓN'!$G$3:$G5618=M3239)"),"SOLO LINEA BASE")</f>
        <v>SOLO LINEA BASE</v>
      </c>
      <c r="K3239" s="16" t="str">
        <f t="array" ref="K3239">IFERROR(DGET('PADD-R'!$B$1:$K5618,'PADD-R'!$K$1,{'PADD-R'!$B$1;E3239}),"NO PARTICIPÓ")</f>
        <v>SOLO 2023</v>
      </c>
      <c r="L3239" s="14" t="s">
        <v>152</v>
      </c>
      <c r="M3239" s="16" t="str">
        <f t="shared" si="1"/>
        <v>14144 SANTA ROSA4 Secundaria</v>
      </c>
      <c r="N3239" s="23"/>
      <c r="O3239" s="17"/>
      <c r="P3239" s="17"/>
      <c r="Q3239" s="17"/>
      <c r="R3239" s="17"/>
      <c r="S3239" s="17"/>
      <c r="T3239" s="17"/>
    </row>
    <row r="3240">
      <c r="A3240" s="18">
        <v>2961.0</v>
      </c>
      <c r="B3240" s="12" t="s">
        <v>48</v>
      </c>
      <c r="C3240" s="12" t="s">
        <v>27</v>
      </c>
      <c r="D3240" s="20" t="s">
        <v>30</v>
      </c>
      <c r="E3240" s="12" t="str">
        <f>IFERROR(__xludf.DUMMYFUNCTION("FILTER(colegios!$B$2:$B5618,colegios!$A$2:$A5618=L3240)"),"14144 SANTA ROSA")</f>
        <v>14144 SANTA ROSA</v>
      </c>
      <c r="F3240" s="14" t="s">
        <v>16</v>
      </c>
      <c r="G3240" s="20" t="s">
        <v>17</v>
      </c>
      <c r="H3240" s="14" t="s">
        <v>18</v>
      </c>
      <c r="I3240" s="15">
        <v>2022.0</v>
      </c>
      <c r="J3240" s="16" t="str">
        <f>IFERROR(__xludf.DUMMYFUNCTION("FILTER('CLASFICACIÓN'!$F$3:$F5618,'CLASFICACIÓN'!$G$3:$G5618=M3240)"),"SOLO LINEA BASE")</f>
        <v>SOLO LINEA BASE</v>
      </c>
      <c r="K3240" s="16" t="str">
        <f t="array" ref="K3240">IFERROR(DGET('PADD-R'!$B$1:$K5618,'PADD-R'!$K$1,{'PADD-R'!$B$1;E3240}),"NO PARTICIPÓ")</f>
        <v>SOLO 2023</v>
      </c>
      <c r="L3240" s="14" t="s">
        <v>152</v>
      </c>
      <c r="M3240" s="16" t="str">
        <f t="shared" si="1"/>
        <v>14144 SANTA ROSA4 Secundaria</v>
      </c>
      <c r="N3240" s="23"/>
      <c r="O3240" s="17"/>
      <c r="P3240" s="17"/>
      <c r="Q3240" s="17"/>
      <c r="R3240" s="17"/>
      <c r="S3240" s="17"/>
      <c r="T3240" s="17"/>
    </row>
    <row r="3241">
      <c r="A3241" s="18">
        <v>2962.0</v>
      </c>
      <c r="B3241" s="12" t="s">
        <v>48</v>
      </c>
      <c r="C3241" s="12" t="s">
        <v>27</v>
      </c>
      <c r="D3241" s="20" t="s">
        <v>30</v>
      </c>
      <c r="E3241" s="12" t="str">
        <f>IFERROR(__xludf.DUMMYFUNCTION("FILTER(colegios!$B$2:$B5618,colegios!$A$2:$A5618=L3241)"),"14144 SANTA ROSA")</f>
        <v>14144 SANTA ROSA</v>
      </c>
      <c r="F3241" s="14" t="s">
        <v>16</v>
      </c>
      <c r="G3241" s="20" t="s">
        <v>21</v>
      </c>
      <c r="H3241" s="14" t="s">
        <v>18</v>
      </c>
      <c r="I3241" s="15">
        <v>2022.0</v>
      </c>
      <c r="J3241" s="16" t="str">
        <f>IFERROR(__xludf.DUMMYFUNCTION("FILTER('CLASFICACIÓN'!$F$3:$F5618,'CLASFICACIÓN'!$G$3:$G5618=M3241)"),"SOLO LINEA BASE")</f>
        <v>SOLO LINEA BASE</v>
      </c>
      <c r="K3241" s="16" t="str">
        <f t="array" ref="K3241">IFERROR(DGET('PADD-R'!$B$1:$K5618,'PADD-R'!$K$1,{'PADD-R'!$B$1;E3241}),"NO PARTICIPÓ")</f>
        <v>SOLO 2023</v>
      </c>
      <c r="L3241" s="14" t="s">
        <v>152</v>
      </c>
      <c r="M3241" s="16" t="str">
        <f t="shared" si="1"/>
        <v>14144 SANTA ROSA4 Secundaria</v>
      </c>
      <c r="N3241" s="23"/>
      <c r="O3241" s="17"/>
      <c r="P3241" s="17"/>
      <c r="Q3241" s="17"/>
      <c r="R3241" s="17"/>
      <c r="S3241" s="17"/>
      <c r="T3241" s="17"/>
    </row>
    <row r="3242">
      <c r="A3242" s="18">
        <v>2963.0</v>
      </c>
      <c r="B3242" s="12" t="s">
        <v>48</v>
      </c>
      <c r="C3242" s="12" t="s">
        <v>27</v>
      </c>
      <c r="D3242" s="20" t="s">
        <v>30</v>
      </c>
      <c r="E3242" s="12" t="str">
        <f>IFERROR(__xludf.DUMMYFUNCTION("FILTER(colegios!$B$2:$B5618,colegios!$A$2:$A5618=L3242)"),"14144 SANTA ROSA")</f>
        <v>14144 SANTA ROSA</v>
      </c>
      <c r="F3242" s="14" t="s">
        <v>16</v>
      </c>
      <c r="G3242" s="20" t="s">
        <v>17</v>
      </c>
      <c r="H3242" s="14" t="s">
        <v>18</v>
      </c>
      <c r="I3242" s="15">
        <v>2022.0</v>
      </c>
      <c r="J3242" s="16" t="str">
        <f>IFERROR(__xludf.DUMMYFUNCTION("FILTER('CLASFICACIÓN'!$F$3:$F5618,'CLASFICACIÓN'!$G$3:$G5618=M3242)"),"SOLO LINEA BASE")</f>
        <v>SOLO LINEA BASE</v>
      </c>
      <c r="K3242" s="16" t="str">
        <f t="array" ref="K3242">IFERROR(DGET('PADD-R'!$B$1:$K5618,'PADD-R'!$K$1,{'PADD-R'!$B$1;E3242}),"NO PARTICIPÓ")</f>
        <v>SOLO 2023</v>
      </c>
      <c r="L3242" s="14" t="s">
        <v>152</v>
      </c>
      <c r="M3242" s="16" t="str">
        <f t="shared" si="1"/>
        <v>14144 SANTA ROSA4 Secundaria</v>
      </c>
      <c r="N3242" s="23"/>
      <c r="O3242" s="17"/>
      <c r="P3242" s="17"/>
      <c r="Q3242" s="17"/>
      <c r="R3242" s="17"/>
      <c r="S3242" s="17"/>
      <c r="T3242" s="17"/>
    </row>
    <row r="3243">
      <c r="A3243" s="18">
        <v>2964.0</v>
      </c>
      <c r="B3243" s="12" t="s">
        <v>48</v>
      </c>
      <c r="C3243" s="12" t="s">
        <v>27</v>
      </c>
      <c r="D3243" s="20" t="s">
        <v>30</v>
      </c>
      <c r="E3243" s="12" t="str">
        <f>IFERROR(__xludf.DUMMYFUNCTION("FILTER(colegios!$B$2:$B5618,colegios!$A$2:$A5618=L3243)"),"14144 SANTA ROSA")</f>
        <v>14144 SANTA ROSA</v>
      </c>
      <c r="F3243" s="14" t="s">
        <v>16</v>
      </c>
      <c r="G3243" s="20" t="s">
        <v>17</v>
      </c>
      <c r="H3243" s="14" t="s">
        <v>18</v>
      </c>
      <c r="I3243" s="15">
        <v>2022.0</v>
      </c>
      <c r="J3243" s="16" t="str">
        <f>IFERROR(__xludf.DUMMYFUNCTION("FILTER('CLASFICACIÓN'!$F$3:$F5618,'CLASFICACIÓN'!$G$3:$G5618=M3243)"),"SOLO LINEA BASE")</f>
        <v>SOLO LINEA BASE</v>
      </c>
      <c r="K3243" s="16" t="str">
        <f t="array" ref="K3243">IFERROR(DGET('PADD-R'!$B$1:$K5618,'PADD-R'!$K$1,{'PADD-R'!$B$1;E3243}),"NO PARTICIPÓ")</f>
        <v>SOLO 2023</v>
      </c>
      <c r="L3243" s="14" t="s">
        <v>152</v>
      </c>
      <c r="M3243" s="16" t="str">
        <f t="shared" si="1"/>
        <v>14144 SANTA ROSA4 Secundaria</v>
      </c>
      <c r="N3243" s="23"/>
      <c r="O3243" s="17"/>
      <c r="P3243" s="17"/>
      <c r="Q3243" s="17"/>
      <c r="R3243" s="17"/>
      <c r="S3243" s="17"/>
      <c r="T3243" s="17"/>
    </row>
    <row r="3244">
      <c r="A3244" s="18">
        <v>2965.0</v>
      </c>
      <c r="B3244" s="12" t="s">
        <v>48</v>
      </c>
      <c r="C3244" s="12" t="s">
        <v>27</v>
      </c>
      <c r="D3244" s="20" t="s">
        <v>30</v>
      </c>
      <c r="E3244" s="12" t="str">
        <f>IFERROR(__xludf.DUMMYFUNCTION("FILTER(colegios!$B$2:$B5618,colegios!$A$2:$A5618=L3244)"),"14144 SANTA ROSA")</f>
        <v>14144 SANTA ROSA</v>
      </c>
      <c r="F3244" s="14" t="s">
        <v>16</v>
      </c>
      <c r="G3244" s="20" t="s">
        <v>17</v>
      </c>
      <c r="H3244" s="14" t="s">
        <v>18</v>
      </c>
      <c r="I3244" s="15">
        <v>2022.0</v>
      </c>
      <c r="J3244" s="16" t="str">
        <f>IFERROR(__xludf.DUMMYFUNCTION("FILTER('CLASFICACIÓN'!$F$3:$F5618,'CLASFICACIÓN'!$G$3:$G5618=M3244)"),"SOLO LINEA BASE")</f>
        <v>SOLO LINEA BASE</v>
      </c>
      <c r="K3244" s="16" t="str">
        <f t="array" ref="K3244">IFERROR(DGET('PADD-R'!$B$1:$K5618,'PADD-R'!$K$1,{'PADD-R'!$B$1;E3244}),"NO PARTICIPÓ")</f>
        <v>SOLO 2023</v>
      </c>
      <c r="L3244" s="14" t="s">
        <v>152</v>
      </c>
      <c r="M3244" s="16" t="str">
        <f t="shared" si="1"/>
        <v>14144 SANTA ROSA4 Secundaria</v>
      </c>
      <c r="N3244" s="23"/>
      <c r="O3244" s="17"/>
      <c r="P3244" s="17"/>
      <c r="Q3244" s="17"/>
      <c r="R3244" s="17"/>
      <c r="S3244" s="17"/>
      <c r="T3244" s="17"/>
    </row>
    <row r="3245">
      <c r="A3245" s="18">
        <v>2966.0</v>
      </c>
      <c r="B3245" s="12" t="s">
        <v>48</v>
      </c>
      <c r="C3245" s="12" t="s">
        <v>27</v>
      </c>
      <c r="D3245" s="20" t="s">
        <v>30</v>
      </c>
      <c r="E3245" s="12" t="str">
        <f>IFERROR(__xludf.DUMMYFUNCTION("FILTER(colegios!$B$2:$B5618,colegios!$A$2:$A5618=L3245)"),"14144 SANTA ROSA")</f>
        <v>14144 SANTA ROSA</v>
      </c>
      <c r="F3245" s="14" t="s">
        <v>16</v>
      </c>
      <c r="G3245" s="20" t="s">
        <v>17</v>
      </c>
      <c r="H3245" s="14" t="s">
        <v>18</v>
      </c>
      <c r="I3245" s="15">
        <v>2022.0</v>
      </c>
      <c r="J3245" s="16" t="str">
        <f>IFERROR(__xludf.DUMMYFUNCTION("FILTER('CLASFICACIÓN'!$F$3:$F5618,'CLASFICACIÓN'!$G$3:$G5618=M3245)"),"SOLO LINEA BASE")</f>
        <v>SOLO LINEA BASE</v>
      </c>
      <c r="K3245" s="16" t="str">
        <f t="array" ref="K3245">IFERROR(DGET('PADD-R'!$B$1:$K5618,'PADD-R'!$K$1,{'PADD-R'!$B$1;E3245}),"NO PARTICIPÓ")</f>
        <v>SOLO 2023</v>
      </c>
      <c r="L3245" s="14" t="s">
        <v>152</v>
      </c>
      <c r="M3245" s="16" t="str">
        <f t="shared" si="1"/>
        <v>14144 SANTA ROSA4 Secundaria</v>
      </c>
      <c r="N3245" s="23"/>
      <c r="O3245" s="17"/>
      <c r="P3245" s="17"/>
      <c r="Q3245" s="17"/>
      <c r="R3245" s="17"/>
      <c r="S3245" s="17"/>
      <c r="T3245" s="17"/>
    </row>
    <row r="3246">
      <c r="A3246" s="18">
        <v>2967.0</v>
      </c>
      <c r="B3246" s="12" t="s">
        <v>48</v>
      </c>
      <c r="C3246" s="12" t="s">
        <v>27</v>
      </c>
      <c r="D3246" s="20" t="s">
        <v>30</v>
      </c>
      <c r="E3246" s="12" t="str">
        <f>IFERROR(__xludf.DUMMYFUNCTION("FILTER(colegios!$B$2:$B5618,colegios!$A$2:$A5618=L3246)"),"14144 SANTA ROSA")</f>
        <v>14144 SANTA ROSA</v>
      </c>
      <c r="F3246" s="14" t="s">
        <v>16</v>
      </c>
      <c r="G3246" s="20" t="s">
        <v>17</v>
      </c>
      <c r="H3246" s="14" t="s">
        <v>18</v>
      </c>
      <c r="I3246" s="15">
        <v>2022.0</v>
      </c>
      <c r="J3246" s="16" t="str">
        <f>IFERROR(__xludf.DUMMYFUNCTION("FILTER('CLASFICACIÓN'!$F$3:$F5618,'CLASFICACIÓN'!$G$3:$G5618=M3246)"),"SOLO LINEA BASE")</f>
        <v>SOLO LINEA BASE</v>
      </c>
      <c r="K3246" s="16" t="str">
        <f t="array" ref="K3246">IFERROR(DGET('PADD-R'!$B$1:$K5618,'PADD-R'!$K$1,{'PADD-R'!$B$1;E3246}),"NO PARTICIPÓ")</f>
        <v>SOLO 2023</v>
      </c>
      <c r="L3246" s="14" t="s">
        <v>152</v>
      </c>
      <c r="M3246" s="16" t="str">
        <f t="shared" si="1"/>
        <v>14144 SANTA ROSA4 Secundaria</v>
      </c>
      <c r="N3246" s="23"/>
      <c r="O3246" s="17"/>
      <c r="P3246" s="17"/>
      <c r="Q3246" s="17"/>
      <c r="R3246" s="17"/>
      <c r="S3246" s="17"/>
      <c r="T3246" s="17"/>
    </row>
    <row r="3247">
      <c r="A3247" s="18">
        <v>2968.0</v>
      </c>
      <c r="B3247" s="12" t="s">
        <v>48</v>
      </c>
      <c r="C3247" s="12" t="s">
        <v>27</v>
      </c>
      <c r="D3247" s="20" t="s">
        <v>30</v>
      </c>
      <c r="E3247" s="12" t="str">
        <f>IFERROR(__xludf.DUMMYFUNCTION("FILTER(colegios!$B$2:$B5618,colegios!$A$2:$A5618=L3247)"),"14144 SANTA ROSA")</f>
        <v>14144 SANTA ROSA</v>
      </c>
      <c r="F3247" s="14" t="s">
        <v>16</v>
      </c>
      <c r="G3247" s="20" t="s">
        <v>21</v>
      </c>
      <c r="H3247" s="14" t="s">
        <v>18</v>
      </c>
      <c r="I3247" s="15">
        <v>2022.0</v>
      </c>
      <c r="J3247" s="16" t="str">
        <f>IFERROR(__xludf.DUMMYFUNCTION("FILTER('CLASFICACIÓN'!$F$3:$F5618,'CLASFICACIÓN'!$G$3:$G5618=M3247)"),"SOLO LINEA BASE")</f>
        <v>SOLO LINEA BASE</v>
      </c>
      <c r="K3247" s="16" t="str">
        <f t="array" ref="K3247">IFERROR(DGET('PADD-R'!$B$1:$K5618,'PADD-R'!$K$1,{'PADD-R'!$B$1;E3247}),"NO PARTICIPÓ")</f>
        <v>SOLO 2023</v>
      </c>
      <c r="L3247" s="14" t="s">
        <v>152</v>
      </c>
      <c r="M3247" s="16" t="str">
        <f t="shared" si="1"/>
        <v>14144 SANTA ROSA4 Secundaria</v>
      </c>
      <c r="N3247" s="23"/>
      <c r="O3247" s="17"/>
      <c r="P3247" s="17"/>
      <c r="Q3247" s="17"/>
      <c r="R3247" s="17"/>
      <c r="S3247" s="17"/>
      <c r="T3247" s="17"/>
    </row>
    <row r="3248">
      <c r="A3248" s="18">
        <v>2969.0</v>
      </c>
      <c r="B3248" s="12" t="s">
        <v>48</v>
      </c>
      <c r="C3248" s="12" t="s">
        <v>27</v>
      </c>
      <c r="D3248" s="20" t="s">
        <v>30</v>
      </c>
      <c r="E3248" s="12" t="str">
        <f>IFERROR(__xludf.DUMMYFUNCTION("FILTER(colegios!$B$2:$B5618,colegios!$A$2:$A5618=L3248)"),"14144 SANTA ROSA")</f>
        <v>14144 SANTA ROSA</v>
      </c>
      <c r="F3248" s="14" t="s">
        <v>16</v>
      </c>
      <c r="G3248" s="20" t="s">
        <v>17</v>
      </c>
      <c r="H3248" s="14" t="s">
        <v>18</v>
      </c>
      <c r="I3248" s="15">
        <v>2022.0</v>
      </c>
      <c r="J3248" s="16" t="str">
        <f>IFERROR(__xludf.DUMMYFUNCTION("FILTER('CLASFICACIÓN'!$F$3:$F5618,'CLASFICACIÓN'!$G$3:$G5618=M3248)"),"SOLO LINEA BASE")</f>
        <v>SOLO LINEA BASE</v>
      </c>
      <c r="K3248" s="16" t="str">
        <f t="array" ref="K3248">IFERROR(DGET('PADD-R'!$B$1:$K5618,'PADD-R'!$K$1,{'PADD-R'!$B$1;E3248}),"NO PARTICIPÓ")</f>
        <v>SOLO 2023</v>
      </c>
      <c r="L3248" s="14" t="s">
        <v>152</v>
      </c>
      <c r="M3248" s="16" t="str">
        <f t="shared" si="1"/>
        <v>14144 SANTA ROSA4 Secundaria</v>
      </c>
      <c r="N3248" s="23"/>
      <c r="O3248" s="17"/>
      <c r="P3248" s="17"/>
      <c r="Q3248" s="17"/>
      <c r="R3248" s="17"/>
      <c r="S3248" s="17"/>
      <c r="T3248" s="17"/>
    </row>
    <row r="3249">
      <c r="A3249" s="18">
        <v>2970.0</v>
      </c>
      <c r="B3249" s="12" t="s">
        <v>48</v>
      </c>
      <c r="C3249" s="12" t="s">
        <v>27</v>
      </c>
      <c r="D3249" s="20" t="s">
        <v>30</v>
      </c>
      <c r="E3249" s="12" t="str">
        <f>IFERROR(__xludf.DUMMYFUNCTION("FILTER(colegios!$B$2:$B5618,colegios!$A$2:$A5618=L3249)"),"14144 SANTA ROSA")</f>
        <v>14144 SANTA ROSA</v>
      </c>
      <c r="F3249" s="14" t="s">
        <v>16</v>
      </c>
      <c r="G3249" s="20" t="s">
        <v>21</v>
      </c>
      <c r="H3249" s="14" t="s">
        <v>18</v>
      </c>
      <c r="I3249" s="15">
        <v>2022.0</v>
      </c>
      <c r="J3249" s="16" t="str">
        <f>IFERROR(__xludf.DUMMYFUNCTION("FILTER('CLASFICACIÓN'!$F$3:$F5618,'CLASFICACIÓN'!$G$3:$G5618=M3249)"),"SOLO LINEA BASE")</f>
        <v>SOLO LINEA BASE</v>
      </c>
      <c r="K3249" s="16" t="str">
        <f t="array" ref="K3249">IFERROR(DGET('PADD-R'!$B$1:$K5618,'PADD-R'!$K$1,{'PADD-R'!$B$1;E3249}),"NO PARTICIPÓ")</f>
        <v>SOLO 2023</v>
      </c>
      <c r="L3249" s="14" t="s">
        <v>152</v>
      </c>
      <c r="M3249" s="16" t="str">
        <f t="shared" si="1"/>
        <v>14144 SANTA ROSA4 Secundaria</v>
      </c>
      <c r="N3249" s="23"/>
      <c r="O3249" s="17"/>
      <c r="P3249" s="17"/>
      <c r="Q3249" s="17"/>
      <c r="R3249" s="17"/>
      <c r="S3249" s="17"/>
      <c r="T3249" s="17"/>
    </row>
    <row r="3250">
      <c r="A3250" s="18">
        <v>2971.0</v>
      </c>
      <c r="B3250" s="12" t="s">
        <v>48</v>
      </c>
      <c r="C3250" s="12" t="s">
        <v>27</v>
      </c>
      <c r="D3250" s="20" t="s">
        <v>30</v>
      </c>
      <c r="E3250" s="12" t="str">
        <f>IFERROR(__xludf.DUMMYFUNCTION("FILTER(colegios!$B$2:$B5618,colegios!$A$2:$A5618=L3250)"),"14144 SANTA ROSA")</f>
        <v>14144 SANTA ROSA</v>
      </c>
      <c r="F3250" s="14" t="s">
        <v>16</v>
      </c>
      <c r="G3250" s="20" t="s">
        <v>17</v>
      </c>
      <c r="H3250" s="14" t="s">
        <v>18</v>
      </c>
      <c r="I3250" s="15">
        <v>2022.0</v>
      </c>
      <c r="J3250" s="16" t="str">
        <f>IFERROR(__xludf.DUMMYFUNCTION("FILTER('CLASFICACIÓN'!$F$3:$F5618,'CLASFICACIÓN'!$G$3:$G5618=M3250)"),"SOLO LINEA BASE")</f>
        <v>SOLO LINEA BASE</v>
      </c>
      <c r="K3250" s="16" t="str">
        <f t="array" ref="K3250">IFERROR(DGET('PADD-R'!$B$1:$K5618,'PADD-R'!$K$1,{'PADD-R'!$B$1;E3250}),"NO PARTICIPÓ")</f>
        <v>SOLO 2023</v>
      </c>
      <c r="L3250" s="14" t="s">
        <v>152</v>
      </c>
      <c r="M3250" s="16" t="str">
        <f t="shared" si="1"/>
        <v>14144 SANTA ROSA4 Secundaria</v>
      </c>
      <c r="N3250" s="23"/>
      <c r="O3250" s="17"/>
      <c r="P3250" s="17"/>
      <c r="Q3250" s="17"/>
      <c r="R3250" s="17"/>
      <c r="S3250" s="17"/>
      <c r="T3250" s="17"/>
    </row>
    <row r="3251">
      <c r="A3251" s="18">
        <v>2972.0</v>
      </c>
      <c r="B3251" s="12" t="s">
        <v>48</v>
      </c>
      <c r="C3251" s="12" t="s">
        <v>27</v>
      </c>
      <c r="D3251" s="20" t="s">
        <v>30</v>
      </c>
      <c r="E3251" s="12" t="str">
        <f>IFERROR(__xludf.DUMMYFUNCTION("FILTER(colegios!$B$2:$B5618,colegios!$A$2:$A5618=L3251)"),"14144 SANTA ROSA")</f>
        <v>14144 SANTA ROSA</v>
      </c>
      <c r="F3251" s="14" t="s">
        <v>16</v>
      </c>
      <c r="G3251" s="20" t="s">
        <v>17</v>
      </c>
      <c r="H3251" s="14" t="s">
        <v>18</v>
      </c>
      <c r="I3251" s="15">
        <v>2022.0</v>
      </c>
      <c r="J3251" s="16" t="str">
        <f>IFERROR(__xludf.DUMMYFUNCTION("FILTER('CLASFICACIÓN'!$F$3:$F5618,'CLASFICACIÓN'!$G$3:$G5618=M3251)"),"SOLO LINEA BASE")</f>
        <v>SOLO LINEA BASE</v>
      </c>
      <c r="K3251" s="16" t="str">
        <f t="array" ref="K3251">IFERROR(DGET('PADD-R'!$B$1:$K5618,'PADD-R'!$K$1,{'PADD-R'!$B$1;E3251}),"NO PARTICIPÓ")</f>
        <v>SOLO 2023</v>
      </c>
      <c r="L3251" s="14" t="s">
        <v>152</v>
      </c>
      <c r="M3251" s="16" t="str">
        <f t="shared" si="1"/>
        <v>14144 SANTA ROSA4 Secundaria</v>
      </c>
      <c r="N3251" s="23"/>
      <c r="O3251" s="17"/>
      <c r="P3251" s="17"/>
      <c r="Q3251" s="17"/>
      <c r="R3251" s="17"/>
      <c r="S3251" s="17"/>
      <c r="T3251" s="17"/>
    </row>
    <row r="3252">
      <c r="A3252" s="18">
        <v>2973.0</v>
      </c>
      <c r="B3252" s="12" t="s">
        <v>48</v>
      </c>
      <c r="C3252" s="12" t="s">
        <v>27</v>
      </c>
      <c r="D3252" s="20" t="s">
        <v>30</v>
      </c>
      <c r="E3252" s="12" t="str">
        <f>IFERROR(__xludf.DUMMYFUNCTION("FILTER(colegios!$B$2:$B5618,colegios!$A$2:$A5618=L3252)"),"14144 SANTA ROSA")</f>
        <v>14144 SANTA ROSA</v>
      </c>
      <c r="F3252" s="14" t="s">
        <v>16</v>
      </c>
      <c r="G3252" s="20" t="s">
        <v>21</v>
      </c>
      <c r="H3252" s="14" t="s">
        <v>18</v>
      </c>
      <c r="I3252" s="15">
        <v>2022.0</v>
      </c>
      <c r="J3252" s="16" t="str">
        <f>IFERROR(__xludf.DUMMYFUNCTION("FILTER('CLASFICACIÓN'!$F$3:$F5618,'CLASFICACIÓN'!$G$3:$G5618=M3252)"),"SOLO LINEA BASE")</f>
        <v>SOLO LINEA BASE</v>
      </c>
      <c r="K3252" s="16" t="str">
        <f t="array" ref="K3252">IFERROR(DGET('PADD-R'!$B$1:$K5618,'PADD-R'!$K$1,{'PADD-R'!$B$1;E3252}),"NO PARTICIPÓ")</f>
        <v>SOLO 2023</v>
      </c>
      <c r="L3252" s="14" t="s">
        <v>152</v>
      </c>
      <c r="M3252" s="16" t="str">
        <f t="shared" si="1"/>
        <v>14144 SANTA ROSA4 Secundaria</v>
      </c>
      <c r="N3252" s="23"/>
      <c r="O3252" s="17"/>
      <c r="P3252" s="17"/>
      <c r="Q3252" s="17"/>
      <c r="R3252" s="17"/>
      <c r="S3252" s="17"/>
      <c r="T3252" s="17"/>
    </row>
    <row r="3253">
      <c r="A3253" s="18">
        <v>2974.0</v>
      </c>
      <c r="B3253" s="12" t="s">
        <v>48</v>
      </c>
      <c r="C3253" s="12" t="s">
        <v>27</v>
      </c>
      <c r="D3253" s="20" t="s">
        <v>30</v>
      </c>
      <c r="E3253" s="12" t="str">
        <f>IFERROR(__xludf.DUMMYFUNCTION("FILTER(colegios!$B$2:$B5618,colegios!$A$2:$A5618=L3253)"),"14144 SANTA ROSA")</f>
        <v>14144 SANTA ROSA</v>
      </c>
      <c r="F3253" s="14" t="s">
        <v>16</v>
      </c>
      <c r="G3253" s="20" t="s">
        <v>21</v>
      </c>
      <c r="H3253" s="14" t="s">
        <v>18</v>
      </c>
      <c r="I3253" s="15">
        <v>2022.0</v>
      </c>
      <c r="J3253" s="16" t="str">
        <f>IFERROR(__xludf.DUMMYFUNCTION("FILTER('CLASFICACIÓN'!$F$3:$F5618,'CLASFICACIÓN'!$G$3:$G5618=M3253)"),"SOLO LINEA BASE")</f>
        <v>SOLO LINEA BASE</v>
      </c>
      <c r="K3253" s="16" t="str">
        <f t="array" ref="K3253">IFERROR(DGET('PADD-R'!$B$1:$K5618,'PADD-R'!$K$1,{'PADD-R'!$B$1;E3253}),"NO PARTICIPÓ")</f>
        <v>SOLO 2023</v>
      </c>
      <c r="L3253" s="14" t="s">
        <v>152</v>
      </c>
      <c r="M3253" s="16" t="str">
        <f t="shared" si="1"/>
        <v>14144 SANTA ROSA4 Secundaria</v>
      </c>
      <c r="N3253" s="23"/>
      <c r="O3253" s="17"/>
      <c r="P3253" s="17"/>
      <c r="Q3253" s="17"/>
      <c r="R3253" s="17"/>
      <c r="S3253" s="17"/>
      <c r="T3253" s="17"/>
    </row>
    <row r="3254">
      <c r="A3254" s="18">
        <v>2975.0</v>
      </c>
      <c r="B3254" s="12" t="s">
        <v>48</v>
      </c>
      <c r="C3254" s="12" t="s">
        <v>27</v>
      </c>
      <c r="D3254" s="20" t="s">
        <v>30</v>
      </c>
      <c r="E3254" s="12" t="str">
        <f>IFERROR(__xludf.DUMMYFUNCTION("FILTER(colegios!$B$2:$B5618,colegios!$A$2:$A5618=L3254)"),"14144 SANTA ROSA")</f>
        <v>14144 SANTA ROSA</v>
      </c>
      <c r="F3254" s="14" t="s">
        <v>16</v>
      </c>
      <c r="G3254" s="20" t="s">
        <v>21</v>
      </c>
      <c r="H3254" s="14" t="s">
        <v>18</v>
      </c>
      <c r="I3254" s="15">
        <v>2022.0</v>
      </c>
      <c r="J3254" s="16" t="str">
        <f>IFERROR(__xludf.DUMMYFUNCTION("FILTER('CLASFICACIÓN'!$F$3:$F5618,'CLASFICACIÓN'!$G$3:$G5618=M3254)"),"SOLO LINEA BASE")</f>
        <v>SOLO LINEA BASE</v>
      </c>
      <c r="K3254" s="16" t="str">
        <f t="array" ref="K3254">IFERROR(DGET('PADD-R'!$B$1:$K5618,'PADD-R'!$K$1,{'PADD-R'!$B$1;E3254}),"NO PARTICIPÓ")</f>
        <v>SOLO 2023</v>
      </c>
      <c r="L3254" s="14" t="s">
        <v>152</v>
      </c>
      <c r="M3254" s="16" t="str">
        <f t="shared" si="1"/>
        <v>14144 SANTA ROSA4 Secundaria</v>
      </c>
      <c r="N3254" s="23"/>
      <c r="O3254" s="17"/>
      <c r="P3254" s="17"/>
      <c r="Q3254" s="17"/>
      <c r="R3254" s="17"/>
      <c r="S3254" s="17"/>
      <c r="T3254" s="17"/>
    </row>
    <row r="3255">
      <c r="A3255" s="18">
        <v>2976.0</v>
      </c>
      <c r="B3255" s="12" t="s">
        <v>48</v>
      </c>
      <c r="C3255" s="12" t="s">
        <v>27</v>
      </c>
      <c r="D3255" s="20" t="s">
        <v>30</v>
      </c>
      <c r="E3255" s="12" t="str">
        <f>IFERROR(__xludf.DUMMYFUNCTION("FILTER(colegios!$B$2:$B5618,colegios!$A$2:$A5618=L3255)"),"14144 SANTA ROSA")</f>
        <v>14144 SANTA ROSA</v>
      </c>
      <c r="F3255" s="14" t="s">
        <v>16</v>
      </c>
      <c r="G3255" s="20" t="s">
        <v>21</v>
      </c>
      <c r="H3255" s="14" t="s">
        <v>18</v>
      </c>
      <c r="I3255" s="15">
        <v>2022.0</v>
      </c>
      <c r="J3255" s="16" t="str">
        <f>IFERROR(__xludf.DUMMYFUNCTION("FILTER('CLASFICACIÓN'!$F$3:$F5618,'CLASFICACIÓN'!$G$3:$G5618=M3255)"),"SOLO LINEA BASE")</f>
        <v>SOLO LINEA BASE</v>
      </c>
      <c r="K3255" s="16" t="str">
        <f t="array" ref="K3255">IFERROR(DGET('PADD-R'!$B$1:$K5618,'PADD-R'!$K$1,{'PADD-R'!$B$1;E3255}),"NO PARTICIPÓ")</f>
        <v>SOLO 2023</v>
      </c>
      <c r="L3255" s="14" t="s">
        <v>152</v>
      </c>
      <c r="M3255" s="16" t="str">
        <f t="shared" si="1"/>
        <v>14144 SANTA ROSA4 Secundaria</v>
      </c>
      <c r="N3255" s="23"/>
      <c r="O3255" s="17"/>
      <c r="P3255" s="17"/>
      <c r="Q3255" s="17"/>
      <c r="R3255" s="17"/>
      <c r="S3255" s="17"/>
      <c r="T3255" s="17"/>
    </row>
    <row r="3256">
      <c r="A3256" s="18">
        <v>2977.0</v>
      </c>
      <c r="B3256" s="12" t="s">
        <v>48</v>
      </c>
      <c r="C3256" s="12" t="s">
        <v>14</v>
      </c>
      <c r="D3256" s="20" t="s">
        <v>22</v>
      </c>
      <c r="E3256" s="12" t="str">
        <f>IFERROR(__xludf.DUMMYFUNCTION("FILTER(colegios!$B$2:$B5618,colegios!$A$2:$A5618=L3256)"),"14144 SANTA ROSA")</f>
        <v>14144 SANTA ROSA</v>
      </c>
      <c r="F3256" s="14" t="s">
        <v>16</v>
      </c>
      <c r="G3256" s="20" t="s">
        <v>17</v>
      </c>
      <c r="H3256" s="14" t="s">
        <v>18</v>
      </c>
      <c r="I3256" s="15">
        <v>2022.0</v>
      </c>
      <c r="J3256" s="16" t="str">
        <f>IFERROR(__xludf.DUMMYFUNCTION("FILTER('CLASFICACIÓN'!$F$3:$F5618,'CLASFICACIÓN'!$G$3:$G5618=M3256)"),"LOS 3 AÑOS")</f>
        <v>LOS 3 AÑOS</v>
      </c>
      <c r="K3256" s="16" t="str">
        <f t="array" ref="K3256">IFERROR(DGET('PADD-R'!$B$1:$K5618,'PADD-R'!$K$1,{'PADD-R'!$B$1;E3256}),"NO PARTICIPÓ")</f>
        <v>SOLO 2023</v>
      </c>
      <c r="L3256" s="14" t="s">
        <v>152</v>
      </c>
      <c r="M3256" s="16" t="str">
        <f t="shared" si="1"/>
        <v>14144 SANTA ROSA6 Primaria</v>
      </c>
      <c r="N3256" s="23"/>
      <c r="O3256" s="17"/>
      <c r="P3256" s="17"/>
      <c r="Q3256" s="17"/>
      <c r="R3256" s="17"/>
      <c r="S3256" s="17"/>
      <c r="T3256" s="17"/>
    </row>
    <row r="3257">
      <c r="A3257" s="18">
        <v>2978.0</v>
      </c>
      <c r="B3257" s="12" t="s">
        <v>48</v>
      </c>
      <c r="C3257" s="12" t="s">
        <v>14</v>
      </c>
      <c r="D3257" s="20" t="s">
        <v>22</v>
      </c>
      <c r="E3257" s="12" t="str">
        <f>IFERROR(__xludf.DUMMYFUNCTION("FILTER(colegios!$B$2:$B5618,colegios!$A$2:$A5618=L3257)"),"14144 SANTA ROSA")</f>
        <v>14144 SANTA ROSA</v>
      </c>
      <c r="F3257" s="14" t="s">
        <v>16</v>
      </c>
      <c r="G3257" s="20" t="s">
        <v>17</v>
      </c>
      <c r="H3257" s="14" t="s">
        <v>18</v>
      </c>
      <c r="I3257" s="15">
        <v>2022.0</v>
      </c>
      <c r="J3257" s="16" t="str">
        <f>IFERROR(__xludf.DUMMYFUNCTION("FILTER('CLASFICACIÓN'!$F$3:$F5618,'CLASFICACIÓN'!$G$3:$G5618=M3257)"),"LOS 3 AÑOS")</f>
        <v>LOS 3 AÑOS</v>
      </c>
      <c r="K3257" s="16" t="str">
        <f t="array" ref="K3257">IFERROR(DGET('PADD-R'!$B$1:$K5618,'PADD-R'!$K$1,{'PADD-R'!$B$1;E3257}),"NO PARTICIPÓ")</f>
        <v>SOLO 2023</v>
      </c>
      <c r="L3257" s="14" t="s">
        <v>152</v>
      </c>
      <c r="M3257" s="16" t="str">
        <f t="shared" si="1"/>
        <v>14144 SANTA ROSA6 Primaria</v>
      </c>
      <c r="N3257" s="23"/>
      <c r="O3257" s="17"/>
      <c r="P3257" s="17"/>
      <c r="Q3257" s="17"/>
      <c r="R3257" s="17"/>
      <c r="S3257" s="17"/>
      <c r="T3257" s="17"/>
    </row>
    <row r="3258">
      <c r="A3258" s="18">
        <v>2979.0</v>
      </c>
      <c r="B3258" s="12" t="s">
        <v>48</v>
      </c>
      <c r="C3258" s="12" t="s">
        <v>14</v>
      </c>
      <c r="D3258" s="20" t="s">
        <v>22</v>
      </c>
      <c r="E3258" s="12" t="str">
        <f>IFERROR(__xludf.DUMMYFUNCTION("FILTER(colegios!$B$2:$B5618,colegios!$A$2:$A5618=L3258)"),"14144 SANTA ROSA")</f>
        <v>14144 SANTA ROSA</v>
      </c>
      <c r="F3258" s="14" t="s">
        <v>16</v>
      </c>
      <c r="G3258" s="20" t="s">
        <v>21</v>
      </c>
      <c r="H3258" s="14" t="s">
        <v>18</v>
      </c>
      <c r="I3258" s="15">
        <v>2022.0</v>
      </c>
      <c r="J3258" s="16" t="str">
        <f>IFERROR(__xludf.DUMMYFUNCTION("FILTER('CLASFICACIÓN'!$F$3:$F5618,'CLASFICACIÓN'!$G$3:$G5618=M3258)"),"LOS 3 AÑOS")</f>
        <v>LOS 3 AÑOS</v>
      </c>
      <c r="K3258" s="16" t="str">
        <f t="array" ref="K3258">IFERROR(DGET('PADD-R'!$B$1:$K5618,'PADD-R'!$K$1,{'PADD-R'!$B$1;E3258}),"NO PARTICIPÓ")</f>
        <v>SOLO 2023</v>
      </c>
      <c r="L3258" s="14" t="s">
        <v>152</v>
      </c>
      <c r="M3258" s="16" t="str">
        <f t="shared" si="1"/>
        <v>14144 SANTA ROSA6 Primaria</v>
      </c>
      <c r="N3258" s="23"/>
      <c r="O3258" s="17"/>
      <c r="P3258" s="17"/>
      <c r="Q3258" s="17"/>
      <c r="R3258" s="17"/>
      <c r="S3258" s="17"/>
      <c r="T3258" s="17"/>
    </row>
    <row r="3259">
      <c r="A3259" s="18">
        <v>2980.0</v>
      </c>
      <c r="B3259" s="12" t="s">
        <v>48</v>
      </c>
      <c r="C3259" s="12" t="s">
        <v>14</v>
      </c>
      <c r="D3259" s="20" t="s">
        <v>22</v>
      </c>
      <c r="E3259" s="12" t="str">
        <f>IFERROR(__xludf.DUMMYFUNCTION("FILTER(colegios!$B$2:$B5618,colegios!$A$2:$A5618=L3259)"),"14144 SANTA ROSA")</f>
        <v>14144 SANTA ROSA</v>
      </c>
      <c r="F3259" s="14" t="s">
        <v>16</v>
      </c>
      <c r="G3259" s="20" t="s">
        <v>21</v>
      </c>
      <c r="H3259" s="14" t="s">
        <v>18</v>
      </c>
      <c r="I3259" s="15">
        <v>2022.0</v>
      </c>
      <c r="J3259" s="16" t="str">
        <f>IFERROR(__xludf.DUMMYFUNCTION("FILTER('CLASFICACIÓN'!$F$3:$F5618,'CLASFICACIÓN'!$G$3:$G5618=M3259)"),"LOS 3 AÑOS")</f>
        <v>LOS 3 AÑOS</v>
      </c>
      <c r="K3259" s="16" t="str">
        <f t="array" ref="K3259">IFERROR(DGET('PADD-R'!$B$1:$K5618,'PADD-R'!$K$1,{'PADD-R'!$B$1;E3259}),"NO PARTICIPÓ")</f>
        <v>SOLO 2023</v>
      </c>
      <c r="L3259" s="14" t="s">
        <v>152</v>
      </c>
      <c r="M3259" s="16" t="str">
        <f t="shared" si="1"/>
        <v>14144 SANTA ROSA6 Primaria</v>
      </c>
      <c r="N3259" s="23"/>
      <c r="O3259" s="17"/>
      <c r="P3259" s="17"/>
      <c r="Q3259" s="17"/>
      <c r="R3259" s="17"/>
      <c r="S3259" s="17"/>
      <c r="T3259" s="17"/>
    </row>
    <row r="3260">
      <c r="A3260" s="18">
        <v>2981.0</v>
      </c>
      <c r="B3260" s="12" t="s">
        <v>48</v>
      </c>
      <c r="C3260" s="12" t="s">
        <v>14</v>
      </c>
      <c r="D3260" s="20" t="s">
        <v>22</v>
      </c>
      <c r="E3260" s="12" t="str">
        <f>IFERROR(__xludf.DUMMYFUNCTION("FILTER(colegios!$B$2:$B5618,colegios!$A$2:$A5618=L3260)"),"14144 SANTA ROSA")</f>
        <v>14144 SANTA ROSA</v>
      </c>
      <c r="F3260" s="14" t="s">
        <v>16</v>
      </c>
      <c r="G3260" s="20" t="s">
        <v>17</v>
      </c>
      <c r="H3260" s="14" t="s">
        <v>18</v>
      </c>
      <c r="I3260" s="15">
        <v>2022.0</v>
      </c>
      <c r="J3260" s="16" t="str">
        <f>IFERROR(__xludf.DUMMYFUNCTION("FILTER('CLASFICACIÓN'!$F$3:$F5618,'CLASFICACIÓN'!$G$3:$G5618=M3260)"),"LOS 3 AÑOS")</f>
        <v>LOS 3 AÑOS</v>
      </c>
      <c r="K3260" s="16" t="str">
        <f t="array" ref="K3260">IFERROR(DGET('PADD-R'!$B$1:$K5618,'PADD-R'!$K$1,{'PADD-R'!$B$1;E3260}),"NO PARTICIPÓ")</f>
        <v>SOLO 2023</v>
      </c>
      <c r="L3260" s="14" t="s">
        <v>152</v>
      </c>
      <c r="M3260" s="16" t="str">
        <f t="shared" si="1"/>
        <v>14144 SANTA ROSA6 Primaria</v>
      </c>
      <c r="N3260" s="23"/>
      <c r="O3260" s="17"/>
      <c r="P3260" s="17"/>
      <c r="Q3260" s="17"/>
      <c r="R3260" s="17"/>
      <c r="S3260" s="17"/>
      <c r="T3260" s="17"/>
    </row>
    <row r="3261">
      <c r="A3261" s="18">
        <v>2982.0</v>
      </c>
      <c r="B3261" s="12" t="s">
        <v>48</v>
      </c>
      <c r="C3261" s="12" t="s">
        <v>14</v>
      </c>
      <c r="D3261" s="20" t="s">
        <v>22</v>
      </c>
      <c r="E3261" s="12" t="str">
        <f>IFERROR(__xludf.DUMMYFUNCTION("FILTER(colegios!$B$2:$B5618,colegios!$A$2:$A5618=L3261)"),"14144 SANTA ROSA")</f>
        <v>14144 SANTA ROSA</v>
      </c>
      <c r="F3261" s="14" t="s">
        <v>16</v>
      </c>
      <c r="G3261" s="20" t="s">
        <v>21</v>
      </c>
      <c r="H3261" s="14" t="s">
        <v>18</v>
      </c>
      <c r="I3261" s="15">
        <v>2022.0</v>
      </c>
      <c r="J3261" s="16" t="str">
        <f>IFERROR(__xludf.DUMMYFUNCTION("FILTER('CLASFICACIÓN'!$F$3:$F5618,'CLASFICACIÓN'!$G$3:$G5618=M3261)"),"LOS 3 AÑOS")</f>
        <v>LOS 3 AÑOS</v>
      </c>
      <c r="K3261" s="16" t="str">
        <f t="array" ref="K3261">IFERROR(DGET('PADD-R'!$B$1:$K5618,'PADD-R'!$K$1,{'PADD-R'!$B$1;E3261}),"NO PARTICIPÓ")</f>
        <v>SOLO 2023</v>
      </c>
      <c r="L3261" s="14" t="s">
        <v>152</v>
      </c>
      <c r="M3261" s="16" t="str">
        <f t="shared" si="1"/>
        <v>14144 SANTA ROSA6 Primaria</v>
      </c>
      <c r="N3261" s="23"/>
      <c r="O3261" s="17"/>
      <c r="P3261" s="17"/>
      <c r="Q3261" s="17"/>
      <c r="R3261" s="17"/>
      <c r="S3261" s="17"/>
      <c r="T3261" s="17"/>
    </row>
    <row r="3262">
      <c r="A3262" s="18">
        <v>2983.0</v>
      </c>
      <c r="B3262" s="12" t="s">
        <v>48</v>
      </c>
      <c r="C3262" s="12" t="s">
        <v>14</v>
      </c>
      <c r="D3262" s="20" t="s">
        <v>22</v>
      </c>
      <c r="E3262" s="12" t="str">
        <f>IFERROR(__xludf.DUMMYFUNCTION("FILTER(colegios!$B$2:$B5618,colegios!$A$2:$A5618=L3262)"),"14144 SANTA ROSA")</f>
        <v>14144 SANTA ROSA</v>
      </c>
      <c r="F3262" s="14" t="s">
        <v>16</v>
      </c>
      <c r="G3262" s="20" t="s">
        <v>17</v>
      </c>
      <c r="H3262" s="14" t="s">
        <v>18</v>
      </c>
      <c r="I3262" s="15">
        <v>2022.0</v>
      </c>
      <c r="J3262" s="16" t="str">
        <f>IFERROR(__xludf.DUMMYFUNCTION("FILTER('CLASFICACIÓN'!$F$3:$F5618,'CLASFICACIÓN'!$G$3:$G5618=M3262)"),"LOS 3 AÑOS")</f>
        <v>LOS 3 AÑOS</v>
      </c>
      <c r="K3262" s="16" t="str">
        <f t="array" ref="K3262">IFERROR(DGET('PADD-R'!$B$1:$K5618,'PADD-R'!$K$1,{'PADD-R'!$B$1;E3262}),"NO PARTICIPÓ")</f>
        <v>SOLO 2023</v>
      </c>
      <c r="L3262" s="14" t="s">
        <v>152</v>
      </c>
      <c r="M3262" s="16" t="str">
        <f t="shared" si="1"/>
        <v>14144 SANTA ROSA6 Primaria</v>
      </c>
      <c r="N3262" s="23"/>
      <c r="O3262" s="17"/>
      <c r="P3262" s="17"/>
      <c r="Q3262" s="17"/>
      <c r="R3262" s="17"/>
      <c r="S3262" s="17"/>
      <c r="T3262" s="17"/>
    </row>
    <row r="3263">
      <c r="A3263" s="18">
        <v>2984.0</v>
      </c>
      <c r="B3263" s="12" t="s">
        <v>48</v>
      </c>
      <c r="C3263" s="12" t="s">
        <v>14</v>
      </c>
      <c r="D3263" s="20" t="s">
        <v>22</v>
      </c>
      <c r="E3263" s="12" t="str">
        <f>IFERROR(__xludf.DUMMYFUNCTION("FILTER(colegios!$B$2:$B5618,colegios!$A$2:$A5618=L3263)"),"14144 SANTA ROSA")</f>
        <v>14144 SANTA ROSA</v>
      </c>
      <c r="F3263" s="14" t="s">
        <v>16</v>
      </c>
      <c r="G3263" s="20" t="s">
        <v>21</v>
      </c>
      <c r="H3263" s="14" t="s">
        <v>18</v>
      </c>
      <c r="I3263" s="15">
        <v>2022.0</v>
      </c>
      <c r="J3263" s="16" t="str">
        <f>IFERROR(__xludf.DUMMYFUNCTION("FILTER('CLASFICACIÓN'!$F$3:$F5618,'CLASFICACIÓN'!$G$3:$G5618=M3263)"),"LOS 3 AÑOS")</f>
        <v>LOS 3 AÑOS</v>
      </c>
      <c r="K3263" s="16" t="str">
        <f t="array" ref="K3263">IFERROR(DGET('PADD-R'!$B$1:$K5618,'PADD-R'!$K$1,{'PADD-R'!$B$1;E3263}),"NO PARTICIPÓ")</f>
        <v>SOLO 2023</v>
      </c>
      <c r="L3263" s="14" t="s">
        <v>152</v>
      </c>
      <c r="M3263" s="16" t="str">
        <f t="shared" si="1"/>
        <v>14144 SANTA ROSA6 Primaria</v>
      </c>
      <c r="N3263" s="23"/>
      <c r="O3263" s="17"/>
      <c r="P3263" s="17"/>
      <c r="Q3263" s="17"/>
      <c r="R3263" s="17"/>
      <c r="S3263" s="17"/>
      <c r="T3263" s="17"/>
    </row>
    <row r="3264">
      <c r="A3264" s="18">
        <v>2985.0</v>
      </c>
      <c r="B3264" s="12" t="s">
        <v>48</v>
      </c>
      <c r="C3264" s="12" t="s">
        <v>14</v>
      </c>
      <c r="D3264" s="20" t="s">
        <v>22</v>
      </c>
      <c r="E3264" s="12" t="str">
        <f>IFERROR(__xludf.DUMMYFUNCTION("FILTER(colegios!$B$2:$B5618,colegios!$A$2:$A5618=L3264)"),"14144 SANTA ROSA")</f>
        <v>14144 SANTA ROSA</v>
      </c>
      <c r="F3264" s="14" t="s">
        <v>16</v>
      </c>
      <c r="G3264" s="20" t="s">
        <v>17</v>
      </c>
      <c r="H3264" s="14" t="s">
        <v>18</v>
      </c>
      <c r="I3264" s="15">
        <v>2022.0</v>
      </c>
      <c r="J3264" s="16" t="str">
        <f>IFERROR(__xludf.DUMMYFUNCTION("FILTER('CLASFICACIÓN'!$F$3:$F5618,'CLASFICACIÓN'!$G$3:$G5618=M3264)"),"LOS 3 AÑOS")</f>
        <v>LOS 3 AÑOS</v>
      </c>
      <c r="K3264" s="16" t="str">
        <f t="array" ref="K3264">IFERROR(DGET('PADD-R'!$B$1:$K5618,'PADD-R'!$K$1,{'PADD-R'!$B$1;E3264}),"NO PARTICIPÓ")</f>
        <v>SOLO 2023</v>
      </c>
      <c r="L3264" s="14" t="s">
        <v>152</v>
      </c>
      <c r="M3264" s="16" t="str">
        <f t="shared" si="1"/>
        <v>14144 SANTA ROSA6 Primaria</v>
      </c>
      <c r="N3264" s="23"/>
      <c r="O3264" s="17"/>
      <c r="P3264" s="17"/>
      <c r="Q3264" s="17"/>
      <c r="R3264" s="17"/>
      <c r="S3264" s="17"/>
      <c r="T3264" s="17"/>
    </row>
    <row r="3265">
      <c r="A3265" s="18">
        <v>2986.0</v>
      </c>
      <c r="B3265" s="12" t="s">
        <v>48</v>
      </c>
      <c r="C3265" s="12" t="s">
        <v>14</v>
      </c>
      <c r="D3265" s="20" t="s">
        <v>22</v>
      </c>
      <c r="E3265" s="12" t="str">
        <f>IFERROR(__xludf.DUMMYFUNCTION("FILTER(colegios!$B$2:$B5618,colegios!$A$2:$A5618=L3265)"),"14144 SANTA ROSA")</f>
        <v>14144 SANTA ROSA</v>
      </c>
      <c r="F3265" s="14" t="s">
        <v>16</v>
      </c>
      <c r="G3265" s="20" t="s">
        <v>17</v>
      </c>
      <c r="H3265" s="14" t="s">
        <v>18</v>
      </c>
      <c r="I3265" s="15">
        <v>2022.0</v>
      </c>
      <c r="J3265" s="16" t="str">
        <f>IFERROR(__xludf.DUMMYFUNCTION("FILTER('CLASFICACIÓN'!$F$3:$F5618,'CLASFICACIÓN'!$G$3:$G5618=M3265)"),"LOS 3 AÑOS")</f>
        <v>LOS 3 AÑOS</v>
      </c>
      <c r="K3265" s="16" t="str">
        <f t="array" ref="K3265">IFERROR(DGET('PADD-R'!$B$1:$K5618,'PADD-R'!$K$1,{'PADD-R'!$B$1;E3265}),"NO PARTICIPÓ")</f>
        <v>SOLO 2023</v>
      </c>
      <c r="L3265" s="14" t="s">
        <v>152</v>
      </c>
      <c r="M3265" s="16" t="str">
        <f t="shared" si="1"/>
        <v>14144 SANTA ROSA6 Primaria</v>
      </c>
      <c r="N3265" s="23"/>
      <c r="O3265" s="17"/>
      <c r="P3265" s="17"/>
      <c r="Q3265" s="17"/>
      <c r="R3265" s="17"/>
      <c r="S3265" s="17"/>
      <c r="T3265" s="17"/>
    </row>
    <row r="3266">
      <c r="A3266" s="18">
        <v>2987.0</v>
      </c>
      <c r="B3266" s="12" t="s">
        <v>48</v>
      </c>
      <c r="C3266" s="12" t="s">
        <v>14</v>
      </c>
      <c r="D3266" s="20" t="s">
        <v>22</v>
      </c>
      <c r="E3266" s="12" t="str">
        <f>IFERROR(__xludf.DUMMYFUNCTION("FILTER(colegios!$B$2:$B5618,colegios!$A$2:$A5618=L3266)"),"14144 SANTA ROSA")</f>
        <v>14144 SANTA ROSA</v>
      </c>
      <c r="F3266" s="14" t="s">
        <v>16</v>
      </c>
      <c r="G3266" s="20" t="s">
        <v>17</v>
      </c>
      <c r="H3266" s="14" t="s">
        <v>18</v>
      </c>
      <c r="I3266" s="15">
        <v>2022.0</v>
      </c>
      <c r="J3266" s="16" t="str">
        <f>IFERROR(__xludf.DUMMYFUNCTION("FILTER('CLASFICACIÓN'!$F$3:$F5618,'CLASFICACIÓN'!$G$3:$G5618=M3266)"),"LOS 3 AÑOS")</f>
        <v>LOS 3 AÑOS</v>
      </c>
      <c r="K3266" s="16" t="str">
        <f t="array" ref="K3266">IFERROR(DGET('PADD-R'!$B$1:$K5618,'PADD-R'!$K$1,{'PADD-R'!$B$1;E3266}),"NO PARTICIPÓ")</f>
        <v>SOLO 2023</v>
      </c>
      <c r="L3266" s="14" t="s">
        <v>152</v>
      </c>
      <c r="M3266" s="16" t="str">
        <f t="shared" si="1"/>
        <v>14144 SANTA ROSA6 Primaria</v>
      </c>
      <c r="N3266" s="23"/>
      <c r="O3266" s="17"/>
      <c r="P3266" s="17"/>
      <c r="Q3266" s="17"/>
      <c r="R3266" s="17"/>
      <c r="S3266" s="17"/>
      <c r="T3266" s="17"/>
    </row>
    <row r="3267">
      <c r="A3267" s="18">
        <v>2988.0</v>
      </c>
      <c r="B3267" s="12" t="s">
        <v>48</v>
      </c>
      <c r="C3267" s="12" t="s">
        <v>14</v>
      </c>
      <c r="D3267" s="20" t="s">
        <v>22</v>
      </c>
      <c r="E3267" s="12" t="str">
        <f>IFERROR(__xludf.DUMMYFUNCTION("FILTER(colegios!$B$2:$B5618,colegios!$A$2:$A5618=L3267)"),"14144 SANTA ROSA")</f>
        <v>14144 SANTA ROSA</v>
      </c>
      <c r="F3267" s="14" t="s">
        <v>16</v>
      </c>
      <c r="G3267" s="20" t="s">
        <v>21</v>
      </c>
      <c r="H3267" s="14" t="s">
        <v>18</v>
      </c>
      <c r="I3267" s="15">
        <v>2022.0</v>
      </c>
      <c r="J3267" s="16" t="str">
        <f>IFERROR(__xludf.DUMMYFUNCTION("FILTER('CLASFICACIÓN'!$F$3:$F5618,'CLASFICACIÓN'!$G$3:$G5618=M3267)"),"LOS 3 AÑOS")</f>
        <v>LOS 3 AÑOS</v>
      </c>
      <c r="K3267" s="16" t="str">
        <f t="array" ref="K3267">IFERROR(DGET('PADD-R'!$B$1:$K5618,'PADD-R'!$K$1,{'PADD-R'!$B$1;E3267}),"NO PARTICIPÓ")</f>
        <v>SOLO 2023</v>
      </c>
      <c r="L3267" s="14" t="s">
        <v>152</v>
      </c>
      <c r="M3267" s="16" t="str">
        <f t="shared" si="1"/>
        <v>14144 SANTA ROSA6 Primaria</v>
      </c>
      <c r="N3267" s="23"/>
      <c r="O3267" s="17"/>
      <c r="P3267" s="17"/>
      <c r="Q3267" s="17"/>
      <c r="R3267" s="17"/>
      <c r="S3267" s="17"/>
      <c r="T3267" s="17"/>
    </row>
    <row r="3268">
      <c r="A3268" s="18">
        <v>2989.0</v>
      </c>
      <c r="B3268" s="12" t="s">
        <v>48</v>
      </c>
      <c r="C3268" s="12" t="s">
        <v>14</v>
      </c>
      <c r="D3268" s="20" t="s">
        <v>22</v>
      </c>
      <c r="E3268" s="12" t="str">
        <f>IFERROR(__xludf.DUMMYFUNCTION("FILTER(colegios!$B$2:$B5618,colegios!$A$2:$A5618=L3268)"),"14144 SANTA ROSA")</f>
        <v>14144 SANTA ROSA</v>
      </c>
      <c r="F3268" s="14" t="s">
        <v>16</v>
      </c>
      <c r="G3268" s="20" t="s">
        <v>17</v>
      </c>
      <c r="H3268" s="14" t="s">
        <v>18</v>
      </c>
      <c r="I3268" s="15">
        <v>2022.0</v>
      </c>
      <c r="J3268" s="16" t="str">
        <f>IFERROR(__xludf.DUMMYFUNCTION("FILTER('CLASFICACIÓN'!$F$3:$F5618,'CLASFICACIÓN'!$G$3:$G5618=M3268)"),"LOS 3 AÑOS")</f>
        <v>LOS 3 AÑOS</v>
      </c>
      <c r="K3268" s="16" t="str">
        <f t="array" ref="K3268">IFERROR(DGET('PADD-R'!$B$1:$K5618,'PADD-R'!$K$1,{'PADD-R'!$B$1;E3268}),"NO PARTICIPÓ")</f>
        <v>SOLO 2023</v>
      </c>
      <c r="L3268" s="14" t="s">
        <v>152</v>
      </c>
      <c r="M3268" s="16" t="str">
        <f t="shared" si="1"/>
        <v>14144 SANTA ROSA6 Primaria</v>
      </c>
      <c r="N3268" s="23"/>
      <c r="O3268" s="17"/>
      <c r="P3268" s="17"/>
      <c r="Q3268" s="17"/>
      <c r="R3268" s="17"/>
      <c r="S3268" s="17"/>
      <c r="T3268" s="17"/>
    </row>
    <row r="3269">
      <c r="A3269" s="18">
        <v>2990.0</v>
      </c>
      <c r="B3269" s="12" t="s">
        <v>48</v>
      </c>
      <c r="C3269" s="12" t="s">
        <v>14</v>
      </c>
      <c r="D3269" s="20" t="s">
        <v>22</v>
      </c>
      <c r="E3269" s="12" t="str">
        <f>IFERROR(__xludf.DUMMYFUNCTION("FILTER(colegios!$B$2:$B5618,colegios!$A$2:$A5618=L3269)"),"14144 SANTA ROSA")</f>
        <v>14144 SANTA ROSA</v>
      </c>
      <c r="F3269" s="14" t="s">
        <v>16</v>
      </c>
      <c r="G3269" s="20" t="s">
        <v>21</v>
      </c>
      <c r="H3269" s="14" t="s">
        <v>18</v>
      </c>
      <c r="I3269" s="15">
        <v>2022.0</v>
      </c>
      <c r="J3269" s="16" t="str">
        <f>IFERROR(__xludf.DUMMYFUNCTION("FILTER('CLASFICACIÓN'!$F$3:$F5618,'CLASFICACIÓN'!$G$3:$G5618=M3269)"),"LOS 3 AÑOS")</f>
        <v>LOS 3 AÑOS</v>
      </c>
      <c r="K3269" s="16" t="str">
        <f t="array" ref="K3269">IFERROR(DGET('PADD-R'!$B$1:$K5618,'PADD-R'!$K$1,{'PADD-R'!$B$1;E3269}),"NO PARTICIPÓ")</f>
        <v>SOLO 2023</v>
      </c>
      <c r="L3269" s="14" t="s">
        <v>152</v>
      </c>
      <c r="M3269" s="16" t="str">
        <f t="shared" si="1"/>
        <v>14144 SANTA ROSA6 Primaria</v>
      </c>
      <c r="N3269" s="23"/>
      <c r="O3269" s="17"/>
      <c r="P3269" s="17"/>
      <c r="Q3269" s="17"/>
      <c r="R3269" s="17"/>
      <c r="S3269" s="17"/>
      <c r="T3269" s="17"/>
    </row>
    <row r="3270">
      <c r="A3270" s="18">
        <v>2991.0</v>
      </c>
      <c r="B3270" s="12" t="s">
        <v>48</v>
      </c>
      <c r="C3270" s="12" t="s">
        <v>14</v>
      </c>
      <c r="D3270" s="20" t="s">
        <v>22</v>
      </c>
      <c r="E3270" s="12" t="str">
        <f>IFERROR(__xludf.DUMMYFUNCTION("FILTER(colegios!$B$2:$B5618,colegios!$A$2:$A5618=L3270)"),"14144 SANTA ROSA")</f>
        <v>14144 SANTA ROSA</v>
      </c>
      <c r="F3270" s="14" t="s">
        <v>16</v>
      </c>
      <c r="G3270" s="20" t="s">
        <v>21</v>
      </c>
      <c r="H3270" s="14" t="s">
        <v>18</v>
      </c>
      <c r="I3270" s="15">
        <v>2022.0</v>
      </c>
      <c r="J3270" s="16" t="str">
        <f>IFERROR(__xludf.DUMMYFUNCTION("FILTER('CLASFICACIÓN'!$F$3:$F5618,'CLASFICACIÓN'!$G$3:$G5618=M3270)"),"LOS 3 AÑOS")</f>
        <v>LOS 3 AÑOS</v>
      </c>
      <c r="K3270" s="16" t="str">
        <f t="array" ref="K3270">IFERROR(DGET('PADD-R'!$B$1:$K5618,'PADD-R'!$K$1,{'PADD-R'!$B$1;E3270}),"NO PARTICIPÓ")</f>
        <v>SOLO 2023</v>
      </c>
      <c r="L3270" s="14" t="s">
        <v>152</v>
      </c>
      <c r="M3270" s="16" t="str">
        <f t="shared" si="1"/>
        <v>14144 SANTA ROSA6 Primaria</v>
      </c>
      <c r="N3270" s="23"/>
      <c r="O3270" s="17"/>
      <c r="P3270" s="17"/>
      <c r="Q3270" s="17"/>
      <c r="R3270" s="17"/>
      <c r="S3270" s="17"/>
      <c r="T3270" s="17"/>
    </row>
    <row r="3271">
      <c r="A3271" s="18">
        <v>2992.0</v>
      </c>
      <c r="B3271" s="12" t="s">
        <v>48</v>
      </c>
      <c r="C3271" s="12" t="s">
        <v>14</v>
      </c>
      <c r="D3271" s="20" t="s">
        <v>22</v>
      </c>
      <c r="E3271" s="12" t="str">
        <f>IFERROR(__xludf.DUMMYFUNCTION("FILTER(colegios!$B$2:$B5618,colegios!$A$2:$A5618=L3271)"),"14144 SANTA ROSA")</f>
        <v>14144 SANTA ROSA</v>
      </c>
      <c r="F3271" s="14" t="s">
        <v>16</v>
      </c>
      <c r="G3271" s="20" t="s">
        <v>17</v>
      </c>
      <c r="H3271" s="14" t="s">
        <v>18</v>
      </c>
      <c r="I3271" s="15">
        <v>2022.0</v>
      </c>
      <c r="J3271" s="16" t="str">
        <f>IFERROR(__xludf.DUMMYFUNCTION("FILTER('CLASFICACIÓN'!$F$3:$F5618,'CLASFICACIÓN'!$G$3:$G5618=M3271)"),"LOS 3 AÑOS")</f>
        <v>LOS 3 AÑOS</v>
      </c>
      <c r="K3271" s="16" t="str">
        <f t="array" ref="K3271">IFERROR(DGET('PADD-R'!$B$1:$K5618,'PADD-R'!$K$1,{'PADD-R'!$B$1;E3271}),"NO PARTICIPÓ")</f>
        <v>SOLO 2023</v>
      </c>
      <c r="L3271" s="14" t="s">
        <v>152</v>
      </c>
      <c r="M3271" s="16" t="str">
        <f t="shared" si="1"/>
        <v>14144 SANTA ROSA6 Primaria</v>
      </c>
      <c r="N3271" s="23"/>
      <c r="O3271" s="17"/>
      <c r="P3271" s="17"/>
      <c r="Q3271" s="17"/>
      <c r="R3271" s="17"/>
      <c r="S3271" s="17"/>
      <c r="T3271" s="17"/>
    </row>
    <row r="3272">
      <c r="A3272" s="18">
        <v>2993.0</v>
      </c>
      <c r="B3272" s="12" t="s">
        <v>48</v>
      </c>
      <c r="C3272" s="12" t="s">
        <v>14</v>
      </c>
      <c r="D3272" s="20" t="s">
        <v>22</v>
      </c>
      <c r="E3272" s="12" t="str">
        <f>IFERROR(__xludf.DUMMYFUNCTION("FILTER(colegios!$B$2:$B5618,colegios!$A$2:$A5618=L3272)"),"14144 SANTA ROSA")</f>
        <v>14144 SANTA ROSA</v>
      </c>
      <c r="F3272" s="14" t="s">
        <v>16</v>
      </c>
      <c r="G3272" s="20" t="s">
        <v>17</v>
      </c>
      <c r="H3272" s="14" t="s">
        <v>18</v>
      </c>
      <c r="I3272" s="15">
        <v>2022.0</v>
      </c>
      <c r="J3272" s="16" t="str">
        <f>IFERROR(__xludf.DUMMYFUNCTION("FILTER('CLASFICACIÓN'!$F$3:$F5618,'CLASFICACIÓN'!$G$3:$G5618=M3272)"),"LOS 3 AÑOS")</f>
        <v>LOS 3 AÑOS</v>
      </c>
      <c r="K3272" s="16" t="str">
        <f t="array" ref="K3272">IFERROR(DGET('PADD-R'!$B$1:$K5618,'PADD-R'!$K$1,{'PADD-R'!$B$1;E3272}),"NO PARTICIPÓ")</f>
        <v>SOLO 2023</v>
      </c>
      <c r="L3272" s="14" t="s">
        <v>152</v>
      </c>
      <c r="M3272" s="16" t="str">
        <f t="shared" si="1"/>
        <v>14144 SANTA ROSA6 Primaria</v>
      </c>
      <c r="N3272" s="23"/>
      <c r="O3272" s="17"/>
      <c r="P3272" s="17"/>
      <c r="Q3272" s="17"/>
      <c r="R3272" s="17"/>
      <c r="S3272" s="17"/>
      <c r="T3272" s="17"/>
    </row>
    <row r="3273">
      <c r="A3273" s="18">
        <v>2994.0</v>
      </c>
      <c r="B3273" s="12" t="s">
        <v>48</v>
      </c>
      <c r="C3273" s="12" t="s">
        <v>14</v>
      </c>
      <c r="D3273" s="20" t="s">
        <v>22</v>
      </c>
      <c r="E3273" s="12" t="str">
        <f>IFERROR(__xludf.DUMMYFUNCTION("FILTER(colegios!$B$2:$B5618,colegios!$A$2:$A5618=L3273)"),"14144 SANTA ROSA")</f>
        <v>14144 SANTA ROSA</v>
      </c>
      <c r="F3273" s="14" t="s">
        <v>16</v>
      </c>
      <c r="G3273" s="20" t="s">
        <v>17</v>
      </c>
      <c r="H3273" s="14" t="s">
        <v>18</v>
      </c>
      <c r="I3273" s="15">
        <v>2022.0</v>
      </c>
      <c r="J3273" s="16" t="str">
        <f>IFERROR(__xludf.DUMMYFUNCTION("FILTER('CLASFICACIÓN'!$F$3:$F5618,'CLASFICACIÓN'!$G$3:$G5618=M3273)"),"LOS 3 AÑOS")</f>
        <v>LOS 3 AÑOS</v>
      </c>
      <c r="K3273" s="16" t="str">
        <f t="array" ref="K3273">IFERROR(DGET('PADD-R'!$B$1:$K5618,'PADD-R'!$K$1,{'PADD-R'!$B$1;E3273}),"NO PARTICIPÓ")</f>
        <v>SOLO 2023</v>
      </c>
      <c r="L3273" s="14" t="s">
        <v>152</v>
      </c>
      <c r="M3273" s="16" t="str">
        <f t="shared" si="1"/>
        <v>14144 SANTA ROSA6 Primaria</v>
      </c>
      <c r="N3273" s="23"/>
      <c r="O3273" s="17"/>
      <c r="P3273" s="17"/>
      <c r="Q3273" s="17"/>
      <c r="R3273" s="17"/>
      <c r="S3273" s="17"/>
      <c r="T3273" s="17"/>
    </row>
    <row r="3274">
      <c r="A3274" s="18">
        <v>2995.0</v>
      </c>
      <c r="B3274" s="12" t="s">
        <v>48</v>
      </c>
      <c r="C3274" s="12" t="s">
        <v>14</v>
      </c>
      <c r="D3274" s="20" t="s">
        <v>22</v>
      </c>
      <c r="E3274" s="12" t="str">
        <f>IFERROR(__xludf.DUMMYFUNCTION("FILTER(colegios!$B$2:$B5618,colegios!$A$2:$A5618=L3274)"),"14144 SANTA ROSA")</f>
        <v>14144 SANTA ROSA</v>
      </c>
      <c r="F3274" s="14" t="s">
        <v>16</v>
      </c>
      <c r="G3274" s="20" t="s">
        <v>17</v>
      </c>
      <c r="H3274" s="14" t="s">
        <v>18</v>
      </c>
      <c r="I3274" s="15">
        <v>2022.0</v>
      </c>
      <c r="J3274" s="16" t="str">
        <f>IFERROR(__xludf.DUMMYFUNCTION("FILTER('CLASFICACIÓN'!$F$3:$F5618,'CLASFICACIÓN'!$G$3:$G5618=M3274)"),"LOS 3 AÑOS")</f>
        <v>LOS 3 AÑOS</v>
      </c>
      <c r="K3274" s="16" t="str">
        <f t="array" ref="K3274">IFERROR(DGET('PADD-R'!$B$1:$K5618,'PADD-R'!$K$1,{'PADD-R'!$B$1;E3274}),"NO PARTICIPÓ")</f>
        <v>SOLO 2023</v>
      </c>
      <c r="L3274" s="14" t="s">
        <v>152</v>
      </c>
      <c r="M3274" s="16" t="str">
        <f t="shared" si="1"/>
        <v>14144 SANTA ROSA6 Primaria</v>
      </c>
      <c r="N3274" s="23"/>
      <c r="O3274" s="17"/>
      <c r="P3274" s="17"/>
      <c r="Q3274" s="17"/>
      <c r="R3274" s="17"/>
      <c r="S3274" s="17"/>
      <c r="T3274" s="17"/>
    </row>
    <row r="3275">
      <c r="A3275" s="18">
        <v>2996.0</v>
      </c>
      <c r="B3275" s="12" t="s">
        <v>48</v>
      </c>
      <c r="C3275" s="12" t="s">
        <v>14</v>
      </c>
      <c r="D3275" s="20" t="s">
        <v>22</v>
      </c>
      <c r="E3275" s="12" t="str">
        <f>IFERROR(__xludf.DUMMYFUNCTION("FILTER(colegios!$B$2:$B5618,colegios!$A$2:$A5618=L3275)"),"14144 SANTA ROSA")</f>
        <v>14144 SANTA ROSA</v>
      </c>
      <c r="F3275" s="14" t="s">
        <v>16</v>
      </c>
      <c r="G3275" s="20" t="s">
        <v>17</v>
      </c>
      <c r="H3275" s="14" t="s">
        <v>18</v>
      </c>
      <c r="I3275" s="15">
        <v>2022.0</v>
      </c>
      <c r="J3275" s="16" t="str">
        <f>IFERROR(__xludf.DUMMYFUNCTION("FILTER('CLASFICACIÓN'!$F$3:$F5618,'CLASFICACIÓN'!$G$3:$G5618=M3275)"),"LOS 3 AÑOS")</f>
        <v>LOS 3 AÑOS</v>
      </c>
      <c r="K3275" s="16" t="str">
        <f t="array" ref="K3275">IFERROR(DGET('PADD-R'!$B$1:$K5618,'PADD-R'!$K$1,{'PADD-R'!$B$1;E3275}),"NO PARTICIPÓ")</f>
        <v>SOLO 2023</v>
      </c>
      <c r="L3275" s="14" t="s">
        <v>152</v>
      </c>
      <c r="M3275" s="16" t="str">
        <f t="shared" si="1"/>
        <v>14144 SANTA ROSA6 Primaria</v>
      </c>
      <c r="N3275" s="23"/>
      <c r="O3275" s="17"/>
      <c r="P3275" s="17"/>
      <c r="Q3275" s="17"/>
      <c r="R3275" s="17"/>
      <c r="S3275" s="17"/>
      <c r="T3275" s="17"/>
    </row>
    <row r="3276">
      <c r="A3276" s="18">
        <v>2997.0</v>
      </c>
      <c r="B3276" s="12" t="s">
        <v>48</v>
      </c>
      <c r="C3276" s="12" t="s">
        <v>14</v>
      </c>
      <c r="D3276" s="20" t="s">
        <v>22</v>
      </c>
      <c r="E3276" s="12" t="str">
        <f>IFERROR(__xludf.DUMMYFUNCTION("FILTER(colegios!$B$2:$B5618,colegios!$A$2:$A5618=L3276)"),"14144 SANTA ROSA")</f>
        <v>14144 SANTA ROSA</v>
      </c>
      <c r="F3276" s="14" t="s">
        <v>16</v>
      </c>
      <c r="G3276" s="20" t="s">
        <v>17</v>
      </c>
      <c r="H3276" s="14" t="s">
        <v>18</v>
      </c>
      <c r="I3276" s="15">
        <v>2022.0</v>
      </c>
      <c r="J3276" s="16" t="str">
        <f>IFERROR(__xludf.DUMMYFUNCTION("FILTER('CLASFICACIÓN'!$F$3:$F5618,'CLASFICACIÓN'!$G$3:$G5618=M3276)"),"LOS 3 AÑOS")</f>
        <v>LOS 3 AÑOS</v>
      </c>
      <c r="K3276" s="16" t="str">
        <f t="array" ref="K3276">IFERROR(DGET('PADD-R'!$B$1:$K5618,'PADD-R'!$K$1,{'PADD-R'!$B$1;E3276}),"NO PARTICIPÓ")</f>
        <v>SOLO 2023</v>
      </c>
      <c r="L3276" s="14" t="s">
        <v>152</v>
      </c>
      <c r="M3276" s="16" t="str">
        <f t="shared" si="1"/>
        <v>14144 SANTA ROSA6 Primaria</v>
      </c>
      <c r="N3276" s="23"/>
      <c r="O3276" s="17"/>
      <c r="P3276" s="17"/>
      <c r="Q3276" s="17"/>
      <c r="R3276" s="17"/>
      <c r="S3276" s="17"/>
      <c r="T3276" s="17"/>
    </row>
    <row r="3277">
      <c r="A3277" s="18">
        <v>2998.0</v>
      </c>
      <c r="B3277" s="12" t="s">
        <v>48</v>
      </c>
      <c r="C3277" s="12" t="s">
        <v>14</v>
      </c>
      <c r="D3277" s="20" t="s">
        <v>22</v>
      </c>
      <c r="E3277" s="12" t="str">
        <f>IFERROR(__xludf.DUMMYFUNCTION("FILTER(colegios!$B$2:$B5618,colegios!$A$2:$A5618=L3277)"),"14144 SANTA ROSA")</f>
        <v>14144 SANTA ROSA</v>
      </c>
      <c r="F3277" s="14" t="s">
        <v>16</v>
      </c>
      <c r="G3277" s="20" t="s">
        <v>21</v>
      </c>
      <c r="H3277" s="14" t="s">
        <v>18</v>
      </c>
      <c r="I3277" s="15">
        <v>2022.0</v>
      </c>
      <c r="J3277" s="16" t="str">
        <f>IFERROR(__xludf.DUMMYFUNCTION("FILTER('CLASFICACIÓN'!$F$3:$F5618,'CLASFICACIÓN'!$G$3:$G5618=M3277)"),"LOS 3 AÑOS")</f>
        <v>LOS 3 AÑOS</v>
      </c>
      <c r="K3277" s="16" t="str">
        <f t="array" ref="K3277">IFERROR(DGET('PADD-R'!$B$1:$K5618,'PADD-R'!$K$1,{'PADD-R'!$B$1;E3277}),"NO PARTICIPÓ")</f>
        <v>SOLO 2023</v>
      </c>
      <c r="L3277" s="14" t="s">
        <v>152</v>
      </c>
      <c r="M3277" s="16" t="str">
        <f t="shared" si="1"/>
        <v>14144 SANTA ROSA6 Primaria</v>
      </c>
      <c r="N3277" s="23"/>
      <c r="O3277" s="17"/>
      <c r="P3277" s="17"/>
      <c r="Q3277" s="17"/>
      <c r="R3277" s="17"/>
      <c r="S3277" s="17"/>
      <c r="T3277" s="17"/>
    </row>
    <row r="3278">
      <c r="A3278" s="18">
        <v>2999.0</v>
      </c>
      <c r="B3278" s="12" t="s">
        <v>48</v>
      </c>
      <c r="C3278" s="12" t="s">
        <v>14</v>
      </c>
      <c r="D3278" s="20" t="s">
        <v>22</v>
      </c>
      <c r="E3278" s="12" t="str">
        <f>IFERROR(__xludf.DUMMYFUNCTION("FILTER(colegios!$B$2:$B5618,colegios!$A$2:$A5618=L3278)"),"14144 SANTA ROSA")</f>
        <v>14144 SANTA ROSA</v>
      </c>
      <c r="F3278" s="14" t="s">
        <v>16</v>
      </c>
      <c r="G3278" s="20" t="s">
        <v>17</v>
      </c>
      <c r="H3278" s="14" t="s">
        <v>18</v>
      </c>
      <c r="I3278" s="15">
        <v>2022.0</v>
      </c>
      <c r="J3278" s="16" t="str">
        <f>IFERROR(__xludf.DUMMYFUNCTION("FILTER('CLASFICACIÓN'!$F$3:$F5618,'CLASFICACIÓN'!$G$3:$G5618=M3278)"),"LOS 3 AÑOS")</f>
        <v>LOS 3 AÑOS</v>
      </c>
      <c r="K3278" s="16" t="str">
        <f t="array" ref="K3278">IFERROR(DGET('PADD-R'!$B$1:$K5618,'PADD-R'!$K$1,{'PADD-R'!$B$1;E3278}),"NO PARTICIPÓ")</f>
        <v>SOLO 2023</v>
      </c>
      <c r="L3278" s="14" t="s">
        <v>152</v>
      </c>
      <c r="M3278" s="16" t="str">
        <f t="shared" si="1"/>
        <v>14144 SANTA ROSA6 Primaria</v>
      </c>
      <c r="N3278" s="23"/>
      <c r="O3278" s="17"/>
      <c r="P3278" s="17"/>
      <c r="Q3278" s="17"/>
      <c r="R3278" s="17"/>
      <c r="S3278" s="17"/>
      <c r="T3278" s="17"/>
    </row>
    <row r="3279">
      <c r="A3279" s="18">
        <v>3000.0</v>
      </c>
      <c r="B3279" s="12" t="s">
        <v>48</v>
      </c>
      <c r="C3279" s="12" t="s">
        <v>14</v>
      </c>
      <c r="D3279" s="20" t="s">
        <v>22</v>
      </c>
      <c r="E3279" s="12" t="str">
        <f>IFERROR(__xludf.DUMMYFUNCTION("FILTER(colegios!$B$2:$B5618,colegios!$A$2:$A5618=L3279)"),"14144 SANTA ROSA")</f>
        <v>14144 SANTA ROSA</v>
      </c>
      <c r="F3279" s="14" t="s">
        <v>16</v>
      </c>
      <c r="G3279" s="20" t="s">
        <v>21</v>
      </c>
      <c r="H3279" s="14" t="s">
        <v>18</v>
      </c>
      <c r="I3279" s="15">
        <v>2022.0</v>
      </c>
      <c r="J3279" s="16" t="str">
        <f>IFERROR(__xludf.DUMMYFUNCTION("FILTER('CLASFICACIÓN'!$F$3:$F5618,'CLASFICACIÓN'!$G$3:$G5618=M3279)"),"LOS 3 AÑOS")</f>
        <v>LOS 3 AÑOS</v>
      </c>
      <c r="K3279" s="16" t="str">
        <f t="array" ref="K3279">IFERROR(DGET('PADD-R'!$B$1:$K5618,'PADD-R'!$K$1,{'PADD-R'!$B$1;E3279}),"NO PARTICIPÓ")</f>
        <v>SOLO 2023</v>
      </c>
      <c r="L3279" s="14" t="s">
        <v>152</v>
      </c>
      <c r="M3279" s="16" t="str">
        <f t="shared" si="1"/>
        <v>14144 SANTA ROSA6 Primaria</v>
      </c>
      <c r="N3279" s="23"/>
      <c r="O3279" s="17"/>
      <c r="P3279" s="17"/>
      <c r="Q3279" s="17"/>
      <c r="R3279" s="17"/>
      <c r="S3279" s="17"/>
      <c r="T3279" s="17"/>
    </row>
    <row r="3280">
      <c r="A3280" s="18">
        <v>3001.0</v>
      </c>
      <c r="B3280" s="12" t="s">
        <v>48</v>
      </c>
      <c r="C3280" s="12" t="s">
        <v>14</v>
      </c>
      <c r="D3280" s="20" t="s">
        <v>22</v>
      </c>
      <c r="E3280" s="12" t="str">
        <f>IFERROR(__xludf.DUMMYFUNCTION("FILTER(colegios!$B$2:$B5618,colegios!$A$2:$A5618=L3280)"),"14144 SANTA ROSA")</f>
        <v>14144 SANTA ROSA</v>
      </c>
      <c r="F3280" s="14" t="s">
        <v>16</v>
      </c>
      <c r="G3280" s="20" t="s">
        <v>21</v>
      </c>
      <c r="H3280" s="14" t="s">
        <v>18</v>
      </c>
      <c r="I3280" s="15">
        <v>2022.0</v>
      </c>
      <c r="J3280" s="16" t="str">
        <f>IFERROR(__xludf.DUMMYFUNCTION("FILTER('CLASFICACIÓN'!$F$3:$F5618,'CLASFICACIÓN'!$G$3:$G5618=M3280)"),"LOS 3 AÑOS")</f>
        <v>LOS 3 AÑOS</v>
      </c>
      <c r="K3280" s="16" t="str">
        <f t="array" ref="K3280">IFERROR(DGET('PADD-R'!$B$1:$K5618,'PADD-R'!$K$1,{'PADD-R'!$B$1;E3280}),"NO PARTICIPÓ")</f>
        <v>SOLO 2023</v>
      </c>
      <c r="L3280" s="14" t="s">
        <v>152</v>
      </c>
      <c r="M3280" s="16" t="str">
        <f t="shared" si="1"/>
        <v>14144 SANTA ROSA6 Primaria</v>
      </c>
      <c r="N3280" s="23"/>
      <c r="O3280" s="17"/>
      <c r="P3280" s="17"/>
      <c r="Q3280" s="17"/>
      <c r="R3280" s="17"/>
      <c r="S3280" s="17"/>
      <c r="T3280" s="17"/>
    </row>
    <row r="3281">
      <c r="A3281" s="18">
        <v>3002.0</v>
      </c>
      <c r="B3281" s="12" t="s">
        <v>48</v>
      </c>
      <c r="C3281" s="12" t="s">
        <v>14</v>
      </c>
      <c r="D3281" s="20" t="s">
        <v>22</v>
      </c>
      <c r="E3281" s="12" t="str">
        <f>IFERROR(__xludf.DUMMYFUNCTION("FILTER(colegios!$B$2:$B5618,colegios!$A$2:$A5618=L3281)"),"14144 SANTA ROSA")</f>
        <v>14144 SANTA ROSA</v>
      </c>
      <c r="F3281" s="14" t="s">
        <v>16</v>
      </c>
      <c r="G3281" s="20" t="s">
        <v>21</v>
      </c>
      <c r="H3281" s="14" t="s">
        <v>18</v>
      </c>
      <c r="I3281" s="15">
        <v>2022.0</v>
      </c>
      <c r="J3281" s="16" t="str">
        <f>IFERROR(__xludf.DUMMYFUNCTION("FILTER('CLASFICACIÓN'!$F$3:$F5618,'CLASFICACIÓN'!$G$3:$G5618=M3281)"),"LOS 3 AÑOS")</f>
        <v>LOS 3 AÑOS</v>
      </c>
      <c r="K3281" s="16" t="str">
        <f t="array" ref="K3281">IFERROR(DGET('PADD-R'!$B$1:$K5618,'PADD-R'!$K$1,{'PADD-R'!$B$1;E3281}),"NO PARTICIPÓ")</f>
        <v>SOLO 2023</v>
      </c>
      <c r="L3281" s="14" t="s">
        <v>152</v>
      </c>
      <c r="M3281" s="16" t="str">
        <f t="shared" si="1"/>
        <v>14144 SANTA ROSA6 Primaria</v>
      </c>
      <c r="N3281" s="23"/>
      <c r="O3281" s="17"/>
      <c r="P3281" s="17"/>
      <c r="Q3281" s="17"/>
      <c r="R3281" s="17"/>
      <c r="S3281" s="17"/>
      <c r="T3281" s="17"/>
    </row>
    <row r="3282">
      <c r="A3282" s="18">
        <v>3003.0</v>
      </c>
      <c r="B3282" s="12" t="s">
        <v>48</v>
      </c>
      <c r="C3282" s="12" t="s">
        <v>14</v>
      </c>
      <c r="D3282" s="20" t="s">
        <v>22</v>
      </c>
      <c r="E3282" s="12" t="str">
        <f>IFERROR(__xludf.DUMMYFUNCTION("FILTER(colegios!$B$2:$B5618,colegios!$A$2:$A5618=L3282)"),"14144 SANTA ROSA")</f>
        <v>14144 SANTA ROSA</v>
      </c>
      <c r="F3282" s="14" t="s">
        <v>16</v>
      </c>
      <c r="G3282" s="20" t="s">
        <v>21</v>
      </c>
      <c r="H3282" s="14" t="s">
        <v>18</v>
      </c>
      <c r="I3282" s="15">
        <v>2022.0</v>
      </c>
      <c r="J3282" s="16" t="str">
        <f>IFERROR(__xludf.DUMMYFUNCTION("FILTER('CLASFICACIÓN'!$F$3:$F5618,'CLASFICACIÓN'!$G$3:$G5618=M3282)"),"LOS 3 AÑOS")</f>
        <v>LOS 3 AÑOS</v>
      </c>
      <c r="K3282" s="16" t="str">
        <f t="array" ref="K3282">IFERROR(DGET('PADD-R'!$B$1:$K5618,'PADD-R'!$K$1,{'PADD-R'!$B$1;E3282}),"NO PARTICIPÓ")</f>
        <v>SOLO 2023</v>
      </c>
      <c r="L3282" s="14" t="s">
        <v>152</v>
      </c>
      <c r="M3282" s="16" t="str">
        <f t="shared" si="1"/>
        <v>14144 SANTA ROSA6 Primaria</v>
      </c>
      <c r="N3282" s="23"/>
      <c r="O3282" s="17"/>
      <c r="P3282" s="17"/>
      <c r="Q3282" s="17"/>
      <c r="R3282" s="17"/>
      <c r="S3282" s="17"/>
      <c r="T3282" s="17"/>
    </row>
    <row r="3283">
      <c r="A3283" s="18">
        <v>3004.0</v>
      </c>
      <c r="B3283" s="12" t="s">
        <v>48</v>
      </c>
      <c r="C3283" s="12" t="s">
        <v>14</v>
      </c>
      <c r="D3283" s="20" t="s">
        <v>22</v>
      </c>
      <c r="E3283" s="12" t="str">
        <f>IFERROR(__xludf.DUMMYFUNCTION("FILTER(colegios!$B$2:$B5618,colegios!$A$2:$A5618=L3283)"),"14144 SANTA ROSA")</f>
        <v>14144 SANTA ROSA</v>
      </c>
      <c r="F3283" s="14" t="s">
        <v>16</v>
      </c>
      <c r="G3283" s="20" t="s">
        <v>17</v>
      </c>
      <c r="H3283" s="14" t="s">
        <v>18</v>
      </c>
      <c r="I3283" s="15">
        <v>2022.0</v>
      </c>
      <c r="J3283" s="16" t="str">
        <f>IFERROR(__xludf.DUMMYFUNCTION("FILTER('CLASFICACIÓN'!$F$3:$F5618,'CLASFICACIÓN'!$G$3:$G5618=M3283)"),"LOS 3 AÑOS")</f>
        <v>LOS 3 AÑOS</v>
      </c>
      <c r="K3283" s="16" t="str">
        <f t="array" ref="K3283">IFERROR(DGET('PADD-R'!$B$1:$K5618,'PADD-R'!$K$1,{'PADD-R'!$B$1;E3283}),"NO PARTICIPÓ")</f>
        <v>SOLO 2023</v>
      </c>
      <c r="L3283" s="14" t="s">
        <v>152</v>
      </c>
      <c r="M3283" s="16" t="str">
        <f t="shared" si="1"/>
        <v>14144 SANTA ROSA6 Primaria</v>
      </c>
      <c r="N3283" s="23"/>
      <c r="O3283" s="17"/>
      <c r="P3283" s="17"/>
      <c r="Q3283" s="17"/>
      <c r="R3283" s="17"/>
      <c r="S3283" s="17"/>
      <c r="T3283" s="17"/>
    </row>
    <row r="3284">
      <c r="A3284" s="18">
        <v>3005.0</v>
      </c>
      <c r="B3284" s="12" t="s">
        <v>48</v>
      </c>
      <c r="C3284" s="12" t="s">
        <v>14</v>
      </c>
      <c r="D3284" s="20" t="s">
        <v>22</v>
      </c>
      <c r="E3284" s="12" t="str">
        <f>IFERROR(__xludf.DUMMYFUNCTION("FILTER(colegios!$B$2:$B5618,colegios!$A$2:$A5618=L3284)"),"14144 SANTA ROSA")</f>
        <v>14144 SANTA ROSA</v>
      </c>
      <c r="F3284" s="14" t="s">
        <v>16</v>
      </c>
      <c r="G3284" s="20" t="s">
        <v>17</v>
      </c>
      <c r="H3284" s="14" t="s">
        <v>18</v>
      </c>
      <c r="I3284" s="15">
        <v>2022.0</v>
      </c>
      <c r="J3284" s="16" t="str">
        <f>IFERROR(__xludf.DUMMYFUNCTION("FILTER('CLASFICACIÓN'!$F$3:$F5618,'CLASFICACIÓN'!$G$3:$G5618=M3284)"),"LOS 3 AÑOS")</f>
        <v>LOS 3 AÑOS</v>
      </c>
      <c r="K3284" s="16" t="str">
        <f t="array" ref="K3284">IFERROR(DGET('PADD-R'!$B$1:$K5618,'PADD-R'!$K$1,{'PADD-R'!$B$1;E3284}),"NO PARTICIPÓ")</f>
        <v>SOLO 2023</v>
      </c>
      <c r="L3284" s="14" t="s">
        <v>152</v>
      </c>
      <c r="M3284" s="16" t="str">
        <f t="shared" si="1"/>
        <v>14144 SANTA ROSA6 Primaria</v>
      </c>
      <c r="N3284" s="23"/>
      <c r="O3284" s="17"/>
      <c r="P3284" s="17"/>
      <c r="Q3284" s="17"/>
      <c r="R3284" s="17"/>
      <c r="S3284" s="17"/>
      <c r="T3284" s="17"/>
    </row>
    <row r="3285">
      <c r="A3285" s="18">
        <v>3006.0</v>
      </c>
      <c r="B3285" s="12" t="s">
        <v>48</v>
      </c>
      <c r="C3285" s="12" t="s">
        <v>14</v>
      </c>
      <c r="D3285" s="20" t="s">
        <v>22</v>
      </c>
      <c r="E3285" s="12" t="str">
        <f>IFERROR(__xludf.DUMMYFUNCTION("FILTER(colegios!$B$2:$B5618,colegios!$A$2:$A5618=L3285)"),"14144 SANTA ROSA")</f>
        <v>14144 SANTA ROSA</v>
      </c>
      <c r="F3285" s="14" t="s">
        <v>16</v>
      </c>
      <c r="G3285" s="20" t="s">
        <v>21</v>
      </c>
      <c r="H3285" s="14" t="s">
        <v>18</v>
      </c>
      <c r="I3285" s="15">
        <v>2022.0</v>
      </c>
      <c r="J3285" s="16" t="str">
        <f>IFERROR(__xludf.DUMMYFUNCTION("FILTER('CLASFICACIÓN'!$F$3:$F5618,'CLASFICACIÓN'!$G$3:$G5618=M3285)"),"LOS 3 AÑOS")</f>
        <v>LOS 3 AÑOS</v>
      </c>
      <c r="K3285" s="16" t="str">
        <f t="array" ref="K3285">IFERROR(DGET('PADD-R'!$B$1:$K5618,'PADD-R'!$K$1,{'PADD-R'!$B$1;E3285}),"NO PARTICIPÓ")</f>
        <v>SOLO 2023</v>
      </c>
      <c r="L3285" s="14" t="s">
        <v>152</v>
      </c>
      <c r="M3285" s="16" t="str">
        <f t="shared" si="1"/>
        <v>14144 SANTA ROSA6 Primaria</v>
      </c>
      <c r="N3285" s="23"/>
      <c r="O3285" s="17"/>
      <c r="P3285" s="17"/>
      <c r="Q3285" s="17"/>
      <c r="R3285" s="17"/>
      <c r="S3285" s="17"/>
      <c r="T3285" s="17"/>
    </row>
    <row r="3286">
      <c r="A3286" s="18">
        <v>3007.0</v>
      </c>
      <c r="B3286" s="12" t="s">
        <v>48</v>
      </c>
      <c r="C3286" s="12" t="s">
        <v>14</v>
      </c>
      <c r="D3286" s="20" t="s">
        <v>22</v>
      </c>
      <c r="E3286" s="12" t="str">
        <f>IFERROR(__xludf.DUMMYFUNCTION("FILTER(colegios!$B$2:$B5618,colegios!$A$2:$A5618=L3286)"),"14144 SANTA ROSA")</f>
        <v>14144 SANTA ROSA</v>
      </c>
      <c r="F3286" s="14" t="s">
        <v>16</v>
      </c>
      <c r="G3286" s="20" t="s">
        <v>21</v>
      </c>
      <c r="H3286" s="14" t="s">
        <v>18</v>
      </c>
      <c r="I3286" s="15">
        <v>2022.0</v>
      </c>
      <c r="J3286" s="16" t="str">
        <f>IFERROR(__xludf.DUMMYFUNCTION("FILTER('CLASFICACIÓN'!$F$3:$F5618,'CLASFICACIÓN'!$G$3:$G5618=M3286)"),"LOS 3 AÑOS")</f>
        <v>LOS 3 AÑOS</v>
      </c>
      <c r="K3286" s="16" t="str">
        <f t="array" ref="K3286">IFERROR(DGET('PADD-R'!$B$1:$K5618,'PADD-R'!$K$1,{'PADD-R'!$B$1;E3286}),"NO PARTICIPÓ")</f>
        <v>SOLO 2023</v>
      </c>
      <c r="L3286" s="14" t="s">
        <v>152</v>
      </c>
      <c r="M3286" s="16" t="str">
        <f t="shared" si="1"/>
        <v>14144 SANTA ROSA6 Primaria</v>
      </c>
      <c r="N3286" s="23"/>
      <c r="O3286" s="17"/>
      <c r="P3286" s="17"/>
      <c r="Q3286" s="17"/>
      <c r="R3286" s="17"/>
      <c r="S3286" s="17"/>
      <c r="T3286" s="17"/>
    </row>
    <row r="3287">
      <c r="A3287" s="18">
        <v>3008.0</v>
      </c>
      <c r="B3287" s="12" t="s">
        <v>48</v>
      </c>
      <c r="C3287" s="12" t="s">
        <v>14</v>
      </c>
      <c r="D3287" s="20" t="s">
        <v>22</v>
      </c>
      <c r="E3287" s="12" t="str">
        <f>IFERROR(__xludf.DUMMYFUNCTION("FILTER(colegios!$B$2:$B5618,colegios!$A$2:$A5618=L3287)"),"14144 SANTA ROSA")</f>
        <v>14144 SANTA ROSA</v>
      </c>
      <c r="F3287" s="14" t="s">
        <v>16</v>
      </c>
      <c r="G3287" s="20" t="s">
        <v>17</v>
      </c>
      <c r="H3287" s="14" t="s">
        <v>18</v>
      </c>
      <c r="I3287" s="15">
        <v>2022.0</v>
      </c>
      <c r="J3287" s="16" t="str">
        <f>IFERROR(__xludf.DUMMYFUNCTION("FILTER('CLASFICACIÓN'!$F$3:$F5618,'CLASFICACIÓN'!$G$3:$G5618=M3287)"),"LOS 3 AÑOS")</f>
        <v>LOS 3 AÑOS</v>
      </c>
      <c r="K3287" s="16" t="str">
        <f t="array" ref="K3287">IFERROR(DGET('PADD-R'!$B$1:$K5618,'PADD-R'!$K$1,{'PADD-R'!$B$1;E3287}),"NO PARTICIPÓ")</f>
        <v>SOLO 2023</v>
      </c>
      <c r="L3287" s="14" t="s">
        <v>152</v>
      </c>
      <c r="M3287" s="16" t="str">
        <f t="shared" si="1"/>
        <v>14144 SANTA ROSA6 Primaria</v>
      </c>
      <c r="N3287" s="23"/>
      <c r="O3287" s="17"/>
      <c r="P3287" s="17"/>
      <c r="Q3287" s="17"/>
      <c r="R3287" s="17"/>
      <c r="S3287" s="17"/>
      <c r="T3287" s="17"/>
    </row>
    <row r="3288">
      <c r="A3288" s="18">
        <v>3009.0</v>
      </c>
      <c r="B3288" s="12" t="s">
        <v>48</v>
      </c>
      <c r="C3288" s="12" t="s">
        <v>14</v>
      </c>
      <c r="D3288" s="20" t="s">
        <v>22</v>
      </c>
      <c r="E3288" s="12" t="str">
        <f>IFERROR(__xludf.DUMMYFUNCTION("FILTER(colegios!$B$2:$B5618,colegios!$A$2:$A5618=L3288)"),"14144 SANTA ROSA")</f>
        <v>14144 SANTA ROSA</v>
      </c>
      <c r="F3288" s="14" t="s">
        <v>16</v>
      </c>
      <c r="G3288" s="20" t="s">
        <v>17</v>
      </c>
      <c r="H3288" s="14" t="s">
        <v>18</v>
      </c>
      <c r="I3288" s="15">
        <v>2022.0</v>
      </c>
      <c r="J3288" s="16" t="str">
        <f>IFERROR(__xludf.DUMMYFUNCTION("FILTER('CLASFICACIÓN'!$F$3:$F5618,'CLASFICACIÓN'!$G$3:$G5618=M3288)"),"LOS 3 AÑOS")</f>
        <v>LOS 3 AÑOS</v>
      </c>
      <c r="K3288" s="16" t="str">
        <f t="array" ref="K3288">IFERROR(DGET('PADD-R'!$B$1:$K5618,'PADD-R'!$K$1,{'PADD-R'!$B$1;E3288}),"NO PARTICIPÓ")</f>
        <v>SOLO 2023</v>
      </c>
      <c r="L3288" s="14" t="s">
        <v>152</v>
      </c>
      <c r="M3288" s="16" t="str">
        <f t="shared" si="1"/>
        <v>14144 SANTA ROSA6 Primaria</v>
      </c>
      <c r="N3288" s="23"/>
      <c r="O3288" s="17"/>
      <c r="P3288" s="17"/>
      <c r="Q3288" s="17"/>
      <c r="R3288" s="17"/>
      <c r="S3288" s="17"/>
      <c r="T3288" s="17"/>
    </row>
    <row r="3289">
      <c r="A3289" s="18">
        <v>3010.0</v>
      </c>
      <c r="B3289" s="12" t="s">
        <v>48</v>
      </c>
      <c r="C3289" s="12" t="s">
        <v>14</v>
      </c>
      <c r="D3289" s="20" t="s">
        <v>22</v>
      </c>
      <c r="E3289" s="12" t="str">
        <f>IFERROR(__xludf.DUMMYFUNCTION("FILTER(colegios!$B$2:$B5618,colegios!$A$2:$A5618=L3289)"),"14144 SANTA ROSA")</f>
        <v>14144 SANTA ROSA</v>
      </c>
      <c r="F3289" s="14" t="s">
        <v>16</v>
      </c>
      <c r="G3289" s="20" t="s">
        <v>21</v>
      </c>
      <c r="H3289" s="14" t="s">
        <v>18</v>
      </c>
      <c r="I3289" s="15">
        <v>2022.0</v>
      </c>
      <c r="J3289" s="16" t="str">
        <f>IFERROR(__xludf.DUMMYFUNCTION("FILTER('CLASFICACIÓN'!$F$3:$F5618,'CLASFICACIÓN'!$G$3:$G5618=M3289)"),"LOS 3 AÑOS")</f>
        <v>LOS 3 AÑOS</v>
      </c>
      <c r="K3289" s="16" t="str">
        <f t="array" ref="K3289">IFERROR(DGET('PADD-R'!$B$1:$K5618,'PADD-R'!$K$1,{'PADD-R'!$B$1;E3289}),"NO PARTICIPÓ")</f>
        <v>SOLO 2023</v>
      </c>
      <c r="L3289" s="14" t="s">
        <v>152</v>
      </c>
      <c r="M3289" s="16" t="str">
        <f t="shared" si="1"/>
        <v>14144 SANTA ROSA6 Primaria</v>
      </c>
      <c r="N3289" s="23"/>
      <c r="O3289" s="17"/>
      <c r="P3289" s="17"/>
      <c r="Q3289" s="17"/>
      <c r="R3289" s="17"/>
      <c r="S3289" s="17"/>
      <c r="T3289" s="17"/>
    </row>
    <row r="3290">
      <c r="A3290" s="18">
        <v>3011.0</v>
      </c>
      <c r="B3290" s="12" t="s">
        <v>48</v>
      </c>
      <c r="C3290" s="12" t="s">
        <v>14</v>
      </c>
      <c r="D3290" s="20" t="s">
        <v>22</v>
      </c>
      <c r="E3290" s="12" t="str">
        <f>IFERROR(__xludf.DUMMYFUNCTION("FILTER(colegios!$B$2:$B5618,colegios!$A$2:$A5618=L3290)"),"14144 SANTA ROSA")</f>
        <v>14144 SANTA ROSA</v>
      </c>
      <c r="F3290" s="14" t="s">
        <v>16</v>
      </c>
      <c r="G3290" s="20" t="s">
        <v>17</v>
      </c>
      <c r="H3290" s="14" t="s">
        <v>18</v>
      </c>
      <c r="I3290" s="15">
        <v>2022.0</v>
      </c>
      <c r="J3290" s="16" t="str">
        <f>IFERROR(__xludf.DUMMYFUNCTION("FILTER('CLASFICACIÓN'!$F$3:$F5618,'CLASFICACIÓN'!$G$3:$G5618=M3290)"),"LOS 3 AÑOS")</f>
        <v>LOS 3 AÑOS</v>
      </c>
      <c r="K3290" s="16" t="str">
        <f t="array" ref="K3290">IFERROR(DGET('PADD-R'!$B$1:$K5618,'PADD-R'!$K$1,{'PADD-R'!$B$1;E3290}),"NO PARTICIPÓ")</f>
        <v>SOLO 2023</v>
      </c>
      <c r="L3290" s="14" t="s">
        <v>152</v>
      </c>
      <c r="M3290" s="16" t="str">
        <f t="shared" si="1"/>
        <v>14144 SANTA ROSA6 Primaria</v>
      </c>
      <c r="N3290" s="23"/>
      <c r="O3290" s="17"/>
      <c r="P3290" s="17"/>
      <c r="Q3290" s="17"/>
      <c r="R3290" s="17"/>
      <c r="S3290" s="17"/>
      <c r="T3290" s="17"/>
    </row>
    <row r="3291">
      <c r="A3291" s="18">
        <v>3012.0</v>
      </c>
      <c r="B3291" s="12" t="s">
        <v>48</v>
      </c>
      <c r="C3291" s="12" t="s">
        <v>14</v>
      </c>
      <c r="D3291" s="20" t="s">
        <v>22</v>
      </c>
      <c r="E3291" s="12" t="str">
        <f>IFERROR(__xludf.DUMMYFUNCTION("FILTER(colegios!$B$2:$B5618,colegios!$A$2:$A5618=L3291)"),"14144 SANTA ROSA")</f>
        <v>14144 SANTA ROSA</v>
      </c>
      <c r="F3291" s="14" t="s">
        <v>16</v>
      </c>
      <c r="G3291" s="20" t="s">
        <v>21</v>
      </c>
      <c r="H3291" s="14" t="s">
        <v>18</v>
      </c>
      <c r="I3291" s="15">
        <v>2022.0</v>
      </c>
      <c r="J3291" s="16" t="str">
        <f>IFERROR(__xludf.DUMMYFUNCTION("FILTER('CLASFICACIÓN'!$F$3:$F5618,'CLASFICACIÓN'!$G$3:$G5618=M3291)"),"LOS 3 AÑOS")</f>
        <v>LOS 3 AÑOS</v>
      </c>
      <c r="K3291" s="16" t="str">
        <f t="array" ref="K3291">IFERROR(DGET('PADD-R'!$B$1:$K5618,'PADD-R'!$K$1,{'PADD-R'!$B$1;E3291}),"NO PARTICIPÓ")</f>
        <v>SOLO 2023</v>
      </c>
      <c r="L3291" s="14" t="s">
        <v>152</v>
      </c>
      <c r="M3291" s="16" t="str">
        <f t="shared" si="1"/>
        <v>14144 SANTA ROSA6 Primaria</v>
      </c>
      <c r="N3291" s="23"/>
      <c r="O3291" s="17"/>
      <c r="P3291" s="17"/>
      <c r="Q3291" s="17"/>
      <c r="R3291" s="17"/>
      <c r="S3291" s="17"/>
      <c r="T3291" s="17"/>
    </row>
    <row r="3292">
      <c r="A3292" s="18">
        <v>3013.0</v>
      </c>
      <c r="B3292" s="12" t="s">
        <v>48</v>
      </c>
      <c r="C3292" s="12" t="s">
        <v>14</v>
      </c>
      <c r="D3292" s="20" t="s">
        <v>22</v>
      </c>
      <c r="E3292" s="12" t="str">
        <f>IFERROR(__xludf.DUMMYFUNCTION("FILTER(colegios!$B$2:$B5618,colegios!$A$2:$A5618=L3292)"),"14144 SANTA ROSA")</f>
        <v>14144 SANTA ROSA</v>
      </c>
      <c r="F3292" s="14" t="s">
        <v>16</v>
      </c>
      <c r="G3292" s="20" t="s">
        <v>17</v>
      </c>
      <c r="H3292" s="14" t="s">
        <v>18</v>
      </c>
      <c r="I3292" s="15">
        <v>2022.0</v>
      </c>
      <c r="J3292" s="16" t="str">
        <f>IFERROR(__xludf.DUMMYFUNCTION("FILTER('CLASFICACIÓN'!$F$3:$F5618,'CLASFICACIÓN'!$G$3:$G5618=M3292)"),"LOS 3 AÑOS")</f>
        <v>LOS 3 AÑOS</v>
      </c>
      <c r="K3292" s="16" t="str">
        <f t="array" ref="K3292">IFERROR(DGET('PADD-R'!$B$1:$K5618,'PADD-R'!$K$1,{'PADD-R'!$B$1;E3292}),"NO PARTICIPÓ")</f>
        <v>SOLO 2023</v>
      </c>
      <c r="L3292" s="14" t="s">
        <v>152</v>
      </c>
      <c r="M3292" s="16" t="str">
        <f t="shared" si="1"/>
        <v>14144 SANTA ROSA6 Primaria</v>
      </c>
      <c r="N3292" s="23"/>
      <c r="O3292" s="17"/>
      <c r="P3292" s="17"/>
      <c r="Q3292" s="17"/>
      <c r="R3292" s="17"/>
      <c r="S3292" s="17"/>
      <c r="T3292" s="17"/>
    </row>
    <row r="3293">
      <c r="A3293" s="18">
        <v>3014.0</v>
      </c>
      <c r="B3293" s="12" t="s">
        <v>48</v>
      </c>
      <c r="C3293" s="12" t="s">
        <v>14</v>
      </c>
      <c r="D3293" s="20" t="s">
        <v>22</v>
      </c>
      <c r="E3293" s="12" t="str">
        <f>IFERROR(__xludf.DUMMYFUNCTION("FILTER(colegios!$B$2:$B5618,colegios!$A$2:$A5618=L3293)"),"14144 SANTA ROSA")</f>
        <v>14144 SANTA ROSA</v>
      </c>
      <c r="F3293" s="14" t="s">
        <v>16</v>
      </c>
      <c r="G3293" s="20" t="s">
        <v>21</v>
      </c>
      <c r="H3293" s="14" t="s">
        <v>18</v>
      </c>
      <c r="I3293" s="15">
        <v>2022.0</v>
      </c>
      <c r="J3293" s="16" t="str">
        <f>IFERROR(__xludf.DUMMYFUNCTION("FILTER('CLASFICACIÓN'!$F$3:$F5618,'CLASFICACIÓN'!$G$3:$G5618=M3293)"),"LOS 3 AÑOS")</f>
        <v>LOS 3 AÑOS</v>
      </c>
      <c r="K3293" s="16" t="str">
        <f t="array" ref="K3293">IFERROR(DGET('PADD-R'!$B$1:$K5618,'PADD-R'!$K$1,{'PADD-R'!$B$1;E3293}),"NO PARTICIPÓ")</f>
        <v>SOLO 2023</v>
      </c>
      <c r="L3293" s="14" t="s">
        <v>152</v>
      </c>
      <c r="M3293" s="16" t="str">
        <f t="shared" si="1"/>
        <v>14144 SANTA ROSA6 Primaria</v>
      </c>
      <c r="N3293" s="23"/>
      <c r="O3293" s="17"/>
      <c r="P3293" s="17"/>
      <c r="Q3293" s="17"/>
      <c r="R3293" s="17"/>
      <c r="S3293" s="17"/>
      <c r="T3293" s="17"/>
    </row>
    <row r="3294">
      <c r="A3294" s="18">
        <v>3015.0</v>
      </c>
      <c r="B3294" s="12" t="s">
        <v>48</v>
      </c>
      <c r="C3294" s="12" t="s">
        <v>14</v>
      </c>
      <c r="D3294" s="20" t="s">
        <v>22</v>
      </c>
      <c r="E3294" s="12" t="str">
        <f>IFERROR(__xludf.DUMMYFUNCTION("FILTER(colegios!$B$2:$B5618,colegios!$A$2:$A5618=L3294)"),"14144 SANTA ROSA")</f>
        <v>14144 SANTA ROSA</v>
      </c>
      <c r="F3294" s="14" t="s">
        <v>16</v>
      </c>
      <c r="G3294" s="20" t="s">
        <v>21</v>
      </c>
      <c r="H3294" s="14" t="s">
        <v>18</v>
      </c>
      <c r="I3294" s="15">
        <v>2022.0</v>
      </c>
      <c r="J3294" s="16" t="str">
        <f>IFERROR(__xludf.DUMMYFUNCTION("FILTER('CLASFICACIÓN'!$F$3:$F5618,'CLASFICACIÓN'!$G$3:$G5618=M3294)"),"LOS 3 AÑOS")</f>
        <v>LOS 3 AÑOS</v>
      </c>
      <c r="K3294" s="16" t="str">
        <f t="array" ref="K3294">IFERROR(DGET('PADD-R'!$B$1:$K5618,'PADD-R'!$K$1,{'PADD-R'!$B$1;E3294}),"NO PARTICIPÓ")</f>
        <v>SOLO 2023</v>
      </c>
      <c r="L3294" s="14" t="s">
        <v>152</v>
      </c>
      <c r="M3294" s="16" t="str">
        <f t="shared" si="1"/>
        <v>14144 SANTA ROSA6 Primaria</v>
      </c>
      <c r="N3294" s="23"/>
      <c r="O3294" s="17"/>
      <c r="P3294" s="17"/>
      <c r="Q3294" s="17"/>
      <c r="R3294" s="17"/>
      <c r="S3294" s="17"/>
      <c r="T3294" s="17"/>
    </row>
    <row r="3295">
      <c r="A3295" s="18">
        <v>3016.0</v>
      </c>
      <c r="B3295" s="12" t="s">
        <v>48</v>
      </c>
      <c r="C3295" s="12" t="s">
        <v>14</v>
      </c>
      <c r="D3295" s="20" t="s">
        <v>22</v>
      </c>
      <c r="E3295" s="12" t="str">
        <f>IFERROR(__xludf.DUMMYFUNCTION("FILTER(colegios!$B$2:$B5618,colegios!$A$2:$A5618=L3295)"),"14144 SANTA ROSA")</f>
        <v>14144 SANTA ROSA</v>
      </c>
      <c r="F3295" s="14" t="s">
        <v>16</v>
      </c>
      <c r="G3295" s="20" t="s">
        <v>17</v>
      </c>
      <c r="H3295" s="14" t="s">
        <v>18</v>
      </c>
      <c r="I3295" s="15">
        <v>2022.0</v>
      </c>
      <c r="J3295" s="16" t="str">
        <f>IFERROR(__xludf.DUMMYFUNCTION("FILTER('CLASFICACIÓN'!$F$3:$F5618,'CLASFICACIÓN'!$G$3:$G5618=M3295)"),"LOS 3 AÑOS")</f>
        <v>LOS 3 AÑOS</v>
      </c>
      <c r="K3295" s="16" t="str">
        <f t="array" ref="K3295">IFERROR(DGET('PADD-R'!$B$1:$K5618,'PADD-R'!$K$1,{'PADD-R'!$B$1;E3295}),"NO PARTICIPÓ")</f>
        <v>SOLO 2023</v>
      </c>
      <c r="L3295" s="14" t="s">
        <v>152</v>
      </c>
      <c r="M3295" s="16" t="str">
        <f t="shared" si="1"/>
        <v>14144 SANTA ROSA6 Primaria</v>
      </c>
      <c r="N3295" s="23"/>
      <c r="O3295" s="17"/>
      <c r="P3295" s="17"/>
      <c r="Q3295" s="17"/>
      <c r="R3295" s="17"/>
      <c r="S3295" s="17"/>
      <c r="T3295" s="17"/>
    </row>
    <row r="3296">
      <c r="A3296" s="18">
        <v>3017.0</v>
      </c>
      <c r="B3296" s="12" t="s">
        <v>48</v>
      </c>
      <c r="C3296" s="12" t="s">
        <v>14</v>
      </c>
      <c r="D3296" s="20" t="s">
        <v>22</v>
      </c>
      <c r="E3296" s="12" t="str">
        <f>IFERROR(__xludf.DUMMYFUNCTION("FILTER(colegios!$B$2:$B5618,colegios!$A$2:$A5618=L3296)"),"14144 SANTA ROSA")</f>
        <v>14144 SANTA ROSA</v>
      </c>
      <c r="F3296" s="14" t="s">
        <v>16</v>
      </c>
      <c r="G3296" s="20" t="s">
        <v>21</v>
      </c>
      <c r="H3296" s="14" t="s">
        <v>18</v>
      </c>
      <c r="I3296" s="15">
        <v>2022.0</v>
      </c>
      <c r="J3296" s="16" t="str">
        <f>IFERROR(__xludf.DUMMYFUNCTION("FILTER('CLASFICACIÓN'!$F$3:$F5618,'CLASFICACIÓN'!$G$3:$G5618=M3296)"),"LOS 3 AÑOS")</f>
        <v>LOS 3 AÑOS</v>
      </c>
      <c r="K3296" s="16" t="str">
        <f t="array" ref="K3296">IFERROR(DGET('PADD-R'!$B$1:$K5618,'PADD-R'!$K$1,{'PADD-R'!$B$1;E3296}),"NO PARTICIPÓ")</f>
        <v>SOLO 2023</v>
      </c>
      <c r="L3296" s="14" t="s">
        <v>152</v>
      </c>
      <c r="M3296" s="16" t="str">
        <f t="shared" si="1"/>
        <v>14144 SANTA ROSA6 Primaria</v>
      </c>
      <c r="N3296" s="23"/>
      <c r="O3296" s="17"/>
      <c r="P3296" s="17"/>
      <c r="Q3296" s="17"/>
      <c r="R3296" s="17"/>
      <c r="S3296" s="17"/>
      <c r="T3296" s="17"/>
    </row>
    <row r="3297">
      <c r="A3297" s="18">
        <v>3018.0</v>
      </c>
      <c r="B3297" s="12" t="s">
        <v>48</v>
      </c>
      <c r="C3297" s="12" t="s">
        <v>14</v>
      </c>
      <c r="D3297" s="20" t="s">
        <v>22</v>
      </c>
      <c r="E3297" s="12" t="str">
        <f>IFERROR(__xludf.DUMMYFUNCTION("FILTER(colegios!$B$2:$B5618,colegios!$A$2:$A5618=L3297)"),"14144 SANTA ROSA")</f>
        <v>14144 SANTA ROSA</v>
      </c>
      <c r="F3297" s="14" t="s">
        <v>16</v>
      </c>
      <c r="G3297" s="20" t="s">
        <v>17</v>
      </c>
      <c r="H3297" s="14" t="s">
        <v>18</v>
      </c>
      <c r="I3297" s="15">
        <v>2022.0</v>
      </c>
      <c r="J3297" s="16" t="str">
        <f>IFERROR(__xludf.DUMMYFUNCTION("FILTER('CLASFICACIÓN'!$F$3:$F5618,'CLASFICACIÓN'!$G$3:$G5618=M3297)"),"LOS 3 AÑOS")</f>
        <v>LOS 3 AÑOS</v>
      </c>
      <c r="K3297" s="16" t="str">
        <f t="array" ref="K3297">IFERROR(DGET('PADD-R'!$B$1:$K5618,'PADD-R'!$K$1,{'PADD-R'!$B$1;E3297}),"NO PARTICIPÓ")</f>
        <v>SOLO 2023</v>
      </c>
      <c r="L3297" s="14" t="s">
        <v>152</v>
      </c>
      <c r="M3297" s="16" t="str">
        <f t="shared" si="1"/>
        <v>14144 SANTA ROSA6 Primaria</v>
      </c>
      <c r="N3297" s="23"/>
      <c r="O3297" s="17"/>
      <c r="P3297" s="17"/>
      <c r="Q3297" s="17"/>
      <c r="R3297" s="17"/>
      <c r="S3297" s="17"/>
      <c r="T3297" s="17"/>
    </row>
    <row r="3298">
      <c r="A3298" s="18">
        <v>3019.0</v>
      </c>
      <c r="B3298" s="12" t="s">
        <v>48</v>
      </c>
      <c r="C3298" s="12" t="s">
        <v>14</v>
      </c>
      <c r="D3298" s="20" t="s">
        <v>22</v>
      </c>
      <c r="E3298" s="12" t="str">
        <f>IFERROR(__xludf.DUMMYFUNCTION("FILTER(colegios!$B$2:$B5618,colegios!$A$2:$A5618=L3298)"),"14144 SANTA ROSA")</f>
        <v>14144 SANTA ROSA</v>
      </c>
      <c r="F3298" s="14" t="s">
        <v>16</v>
      </c>
      <c r="G3298" s="20" t="s">
        <v>21</v>
      </c>
      <c r="H3298" s="14" t="s">
        <v>18</v>
      </c>
      <c r="I3298" s="15">
        <v>2022.0</v>
      </c>
      <c r="J3298" s="16" t="str">
        <f>IFERROR(__xludf.DUMMYFUNCTION("FILTER('CLASFICACIÓN'!$F$3:$F5618,'CLASFICACIÓN'!$G$3:$G5618=M3298)"),"LOS 3 AÑOS")</f>
        <v>LOS 3 AÑOS</v>
      </c>
      <c r="K3298" s="16" t="str">
        <f t="array" ref="K3298">IFERROR(DGET('PADD-R'!$B$1:$K5618,'PADD-R'!$K$1,{'PADD-R'!$B$1;E3298}),"NO PARTICIPÓ")</f>
        <v>SOLO 2023</v>
      </c>
      <c r="L3298" s="14" t="s">
        <v>152</v>
      </c>
      <c r="M3298" s="16" t="str">
        <f t="shared" si="1"/>
        <v>14144 SANTA ROSA6 Primaria</v>
      </c>
      <c r="N3298" s="23"/>
      <c r="O3298" s="17"/>
      <c r="P3298" s="17"/>
      <c r="Q3298" s="17"/>
      <c r="R3298" s="17"/>
      <c r="S3298" s="17"/>
      <c r="T3298" s="17"/>
    </row>
    <row r="3299">
      <c r="A3299" s="18">
        <v>3020.0</v>
      </c>
      <c r="B3299" s="12" t="s">
        <v>48</v>
      </c>
      <c r="C3299" s="12" t="s">
        <v>14</v>
      </c>
      <c r="D3299" s="20" t="s">
        <v>22</v>
      </c>
      <c r="E3299" s="12" t="str">
        <f>IFERROR(__xludf.DUMMYFUNCTION("FILTER(colegios!$B$2:$B5618,colegios!$A$2:$A5618=L3299)"),"14144 SANTA ROSA")</f>
        <v>14144 SANTA ROSA</v>
      </c>
      <c r="F3299" s="14" t="s">
        <v>16</v>
      </c>
      <c r="G3299" s="20" t="s">
        <v>21</v>
      </c>
      <c r="H3299" s="14" t="s">
        <v>18</v>
      </c>
      <c r="I3299" s="15">
        <v>2022.0</v>
      </c>
      <c r="J3299" s="16" t="str">
        <f>IFERROR(__xludf.DUMMYFUNCTION("FILTER('CLASFICACIÓN'!$F$3:$F5618,'CLASFICACIÓN'!$G$3:$G5618=M3299)"),"LOS 3 AÑOS")</f>
        <v>LOS 3 AÑOS</v>
      </c>
      <c r="K3299" s="16" t="str">
        <f t="array" ref="K3299">IFERROR(DGET('PADD-R'!$B$1:$K5618,'PADD-R'!$K$1,{'PADD-R'!$B$1;E3299}),"NO PARTICIPÓ")</f>
        <v>SOLO 2023</v>
      </c>
      <c r="L3299" s="14" t="s">
        <v>152</v>
      </c>
      <c r="M3299" s="16" t="str">
        <f t="shared" si="1"/>
        <v>14144 SANTA ROSA6 Primaria</v>
      </c>
      <c r="N3299" s="23"/>
      <c r="O3299" s="17"/>
      <c r="P3299" s="17"/>
      <c r="Q3299" s="17"/>
      <c r="R3299" s="17"/>
      <c r="S3299" s="17"/>
      <c r="T3299" s="17"/>
    </row>
    <row r="3300">
      <c r="A3300" s="18">
        <v>3021.0</v>
      </c>
      <c r="B3300" s="12" t="s">
        <v>48</v>
      </c>
      <c r="C3300" s="12" t="s">
        <v>14</v>
      </c>
      <c r="D3300" s="20" t="s">
        <v>22</v>
      </c>
      <c r="E3300" s="12" t="str">
        <f>IFERROR(__xludf.DUMMYFUNCTION("FILTER(colegios!$B$2:$B5618,colegios!$A$2:$A5618=L3300)"),"14144 SANTA ROSA")</f>
        <v>14144 SANTA ROSA</v>
      </c>
      <c r="F3300" s="14" t="s">
        <v>16</v>
      </c>
      <c r="G3300" s="20" t="s">
        <v>21</v>
      </c>
      <c r="H3300" s="14" t="s">
        <v>18</v>
      </c>
      <c r="I3300" s="15">
        <v>2022.0</v>
      </c>
      <c r="J3300" s="16" t="str">
        <f>IFERROR(__xludf.DUMMYFUNCTION("FILTER('CLASFICACIÓN'!$F$3:$F5618,'CLASFICACIÓN'!$G$3:$G5618=M3300)"),"LOS 3 AÑOS")</f>
        <v>LOS 3 AÑOS</v>
      </c>
      <c r="K3300" s="16" t="str">
        <f t="array" ref="K3300">IFERROR(DGET('PADD-R'!$B$1:$K5618,'PADD-R'!$K$1,{'PADD-R'!$B$1;E3300}),"NO PARTICIPÓ")</f>
        <v>SOLO 2023</v>
      </c>
      <c r="L3300" s="14" t="s">
        <v>152</v>
      </c>
      <c r="M3300" s="16" t="str">
        <f t="shared" si="1"/>
        <v>14144 SANTA ROSA6 Primaria</v>
      </c>
      <c r="N3300" s="23"/>
      <c r="O3300" s="17"/>
      <c r="P3300" s="17"/>
      <c r="Q3300" s="17"/>
      <c r="R3300" s="17"/>
      <c r="S3300" s="17"/>
      <c r="T3300" s="17"/>
    </row>
    <row r="3301">
      <c r="A3301" s="18">
        <v>3023.0</v>
      </c>
      <c r="B3301" s="12" t="s">
        <v>48</v>
      </c>
      <c r="C3301" s="12" t="s">
        <v>14</v>
      </c>
      <c r="D3301" s="20" t="s">
        <v>15</v>
      </c>
      <c r="E3301" s="12" t="str">
        <f>IFERROR(__xludf.DUMMYFUNCTION("FILTER(colegios!$B$2:$B5618,colegios!$A$2:$A5618=L3301)"),"14894")</f>
        <v>14894</v>
      </c>
      <c r="F3301" s="14" t="s">
        <v>16</v>
      </c>
      <c r="G3301" s="20" t="s">
        <v>17</v>
      </c>
      <c r="H3301" s="14" t="s">
        <v>18</v>
      </c>
      <c r="I3301" s="15">
        <v>2022.0</v>
      </c>
      <c r="J3301" s="16" t="str">
        <f>IFERROR(__xludf.DUMMYFUNCTION("FILTER('CLASFICACIÓN'!$F$3:$F5618,'CLASFICACIÓN'!$G$3:$G5618=M3301)"),"SOLO 2022 Y 2024")</f>
        <v>SOLO 2022 Y 2024</v>
      </c>
      <c r="K3301" s="16" t="str">
        <f t="array" ref="K3301">IFERROR(DGET('PADD-R'!$B$1:$K5618,'PADD-R'!$K$1,{'PADD-R'!$B$1;E3301}),"NO PARTICIPÓ")</f>
        <v>SOLO 2024</v>
      </c>
      <c r="L3301" s="14" t="s">
        <v>153</v>
      </c>
      <c r="M3301" s="16" t="str">
        <f t="shared" si="1"/>
        <v>148942 Primaria</v>
      </c>
      <c r="N3301" s="23"/>
      <c r="O3301" s="17"/>
      <c r="P3301" s="17"/>
      <c r="Q3301" s="17"/>
      <c r="R3301" s="17"/>
      <c r="S3301" s="17"/>
      <c r="T3301" s="17"/>
    </row>
    <row r="3302">
      <c r="A3302" s="18">
        <v>3024.0</v>
      </c>
      <c r="B3302" s="12" t="s">
        <v>48</v>
      </c>
      <c r="C3302" s="12" t="s">
        <v>14</v>
      </c>
      <c r="D3302" s="20" t="s">
        <v>15</v>
      </c>
      <c r="E3302" s="12" t="str">
        <f>IFERROR(__xludf.DUMMYFUNCTION("FILTER(colegios!$B$2:$B5618,colegios!$A$2:$A5618=L3302)"),"14894")</f>
        <v>14894</v>
      </c>
      <c r="F3302" s="14" t="s">
        <v>16</v>
      </c>
      <c r="G3302" s="20" t="s">
        <v>17</v>
      </c>
      <c r="H3302" s="14" t="s">
        <v>18</v>
      </c>
      <c r="I3302" s="15">
        <v>2022.0</v>
      </c>
      <c r="J3302" s="16" t="str">
        <f>IFERROR(__xludf.DUMMYFUNCTION("FILTER('CLASFICACIÓN'!$F$3:$F5618,'CLASFICACIÓN'!$G$3:$G5618=M3302)"),"SOLO 2022 Y 2024")</f>
        <v>SOLO 2022 Y 2024</v>
      </c>
      <c r="K3302" s="16" t="str">
        <f t="array" ref="K3302">IFERROR(DGET('PADD-R'!$B$1:$K5618,'PADD-R'!$K$1,{'PADD-R'!$B$1;E3302}),"NO PARTICIPÓ")</f>
        <v>SOLO 2024</v>
      </c>
      <c r="L3302" s="14" t="s">
        <v>153</v>
      </c>
      <c r="M3302" s="16" t="str">
        <f t="shared" si="1"/>
        <v>148942 Primaria</v>
      </c>
      <c r="N3302" s="23"/>
      <c r="O3302" s="17"/>
      <c r="P3302" s="17"/>
      <c r="Q3302" s="17"/>
      <c r="R3302" s="17"/>
      <c r="S3302" s="17"/>
      <c r="T3302" s="17"/>
    </row>
    <row r="3303">
      <c r="A3303" s="18">
        <v>3025.0</v>
      </c>
      <c r="B3303" s="12" t="s">
        <v>48</v>
      </c>
      <c r="C3303" s="12" t="s">
        <v>14</v>
      </c>
      <c r="D3303" s="20" t="s">
        <v>15</v>
      </c>
      <c r="E3303" s="12" t="str">
        <f>IFERROR(__xludf.DUMMYFUNCTION("FILTER(colegios!$B$2:$B5618,colegios!$A$2:$A5618=L3303)"),"14894")</f>
        <v>14894</v>
      </c>
      <c r="F3303" s="14" t="s">
        <v>16</v>
      </c>
      <c r="G3303" s="20" t="s">
        <v>17</v>
      </c>
      <c r="H3303" s="14" t="s">
        <v>18</v>
      </c>
      <c r="I3303" s="15">
        <v>2022.0</v>
      </c>
      <c r="J3303" s="16" t="str">
        <f>IFERROR(__xludf.DUMMYFUNCTION("FILTER('CLASFICACIÓN'!$F$3:$F5618,'CLASFICACIÓN'!$G$3:$G5618=M3303)"),"SOLO 2022 Y 2024")</f>
        <v>SOLO 2022 Y 2024</v>
      </c>
      <c r="K3303" s="16" t="str">
        <f t="array" ref="K3303">IFERROR(DGET('PADD-R'!$B$1:$K5618,'PADD-R'!$K$1,{'PADD-R'!$B$1;E3303}),"NO PARTICIPÓ")</f>
        <v>SOLO 2024</v>
      </c>
      <c r="L3303" s="14" t="s">
        <v>153</v>
      </c>
      <c r="M3303" s="16" t="str">
        <f t="shared" si="1"/>
        <v>148942 Primaria</v>
      </c>
      <c r="N3303" s="23"/>
      <c r="O3303" s="17"/>
      <c r="P3303" s="17"/>
      <c r="Q3303" s="17"/>
      <c r="R3303" s="17"/>
      <c r="S3303" s="17"/>
      <c r="T3303" s="17"/>
    </row>
    <row r="3304">
      <c r="A3304" s="18">
        <v>3026.0</v>
      </c>
      <c r="B3304" s="12" t="s">
        <v>48</v>
      </c>
      <c r="C3304" s="12" t="s">
        <v>14</v>
      </c>
      <c r="D3304" s="20" t="s">
        <v>20</v>
      </c>
      <c r="E3304" s="12" t="str">
        <f>IFERROR(__xludf.DUMMYFUNCTION("FILTER(colegios!$B$2:$B5618,colegios!$A$2:$A5618=L3304)"),"14894")</f>
        <v>14894</v>
      </c>
      <c r="F3304" s="14" t="s">
        <v>16</v>
      </c>
      <c r="G3304" s="20" t="s">
        <v>21</v>
      </c>
      <c r="H3304" s="14" t="s">
        <v>18</v>
      </c>
      <c r="I3304" s="15">
        <v>2022.0</v>
      </c>
      <c r="J3304" s="16" t="str">
        <f>IFERROR(__xludf.DUMMYFUNCTION("FILTER('CLASFICACIÓN'!$F$3:$F5618,'CLASFICACIÓN'!$G$3:$G5618=M3304)"),"SOLO 2022 Y 2024")</f>
        <v>SOLO 2022 Y 2024</v>
      </c>
      <c r="K3304" s="16" t="str">
        <f t="array" ref="K3304">IFERROR(DGET('PADD-R'!$B$1:$K5618,'PADD-R'!$K$1,{'PADD-R'!$B$1;E3304}),"NO PARTICIPÓ")</f>
        <v>SOLO 2024</v>
      </c>
      <c r="L3304" s="14" t="s">
        <v>153</v>
      </c>
      <c r="M3304" s="16" t="str">
        <f t="shared" si="1"/>
        <v>148944 Primaria</v>
      </c>
      <c r="N3304" s="23"/>
      <c r="O3304" s="17"/>
      <c r="P3304" s="17"/>
      <c r="Q3304" s="17"/>
      <c r="R3304" s="17"/>
      <c r="S3304" s="17"/>
      <c r="T3304" s="17"/>
    </row>
    <row r="3305">
      <c r="A3305" s="18">
        <v>3027.0</v>
      </c>
      <c r="B3305" s="12" t="s">
        <v>48</v>
      </c>
      <c r="C3305" s="12" t="s">
        <v>14</v>
      </c>
      <c r="D3305" s="20" t="s">
        <v>22</v>
      </c>
      <c r="E3305" s="12" t="str">
        <f>IFERROR(__xludf.DUMMYFUNCTION("FILTER(colegios!$B$2:$B5618,colegios!$A$2:$A5618=L3305)"),"14894")</f>
        <v>14894</v>
      </c>
      <c r="F3305" s="14" t="s">
        <v>16</v>
      </c>
      <c r="G3305" s="20" t="s">
        <v>21</v>
      </c>
      <c r="H3305" s="14" t="s">
        <v>18</v>
      </c>
      <c r="I3305" s="15">
        <v>2022.0</v>
      </c>
      <c r="J3305" s="16" t="str">
        <f>IFERROR(__xludf.DUMMYFUNCTION("FILTER('CLASFICACIÓN'!$F$3:$F5618,'CLASFICACIÓN'!$G$3:$G5618=M3305)"),"SOLO LINEA BASE")</f>
        <v>SOLO LINEA BASE</v>
      </c>
      <c r="K3305" s="16" t="str">
        <f t="array" ref="K3305">IFERROR(DGET('PADD-R'!$B$1:$K5618,'PADD-R'!$K$1,{'PADD-R'!$B$1;E3305}),"NO PARTICIPÓ")</f>
        <v>SOLO 2024</v>
      </c>
      <c r="L3305" s="14" t="s">
        <v>153</v>
      </c>
      <c r="M3305" s="16" t="str">
        <f t="shared" si="1"/>
        <v>148946 Primaria</v>
      </c>
      <c r="N3305" s="23"/>
      <c r="O3305" s="17"/>
      <c r="P3305" s="17"/>
      <c r="Q3305" s="17"/>
      <c r="R3305" s="17"/>
      <c r="S3305" s="17"/>
      <c r="T3305" s="17"/>
    </row>
    <row r="3306">
      <c r="A3306" s="18">
        <v>3028.0</v>
      </c>
      <c r="B3306" s="12" t="s">
        <v>48</v>
      </c>
      <c r="C3306" s="12" t="s">
        <v>14</v>
      </c>
      <c r="D3306" s="20" t="s">
        <v>22</v>
      </c>
      <c r="E3306" s="12" t="str">
        <f>IFERROR(__xludf.DUMMYFUNCTION("FILTER(colegios!$B$2:$B5618,colegios!$A$2:$A5618=L3306)"),"14894")</f>
        <v>14894</v>
      </c>
      <c r="F3306" s="14" t="s">
        <v>16</v>
      </c>
      <c r="G3306" s="20" t="s">
        <v>21</v>
      </c>
      <c r="H3306" s="14" t="s">
        <v>18</v>
      </c>
      <c r="I3306" s="15">
        <v>2022.0</v>
      </c>
      <c r="J3306" s="16" t="str">
        <f>IFERROR(__xludf.DUMMYFUNCTION("FILTER('CLASFICACIÓN'!$F$3:$F5618,'CLASFICACIÓN'!$G$3:$G5618=M3306)"),"SOLO LINEA BASE")</f>
        <v>SOLO LINEA BASE</v>
      </c>
      <c r="K3306" s="16" t="str">
        <f t="array" ref="K3306">IFERROR(DGET('PADD-R'!$B$1:$K5618,'PADD-R'!$K$1,{'PADD-R'!$B$1;E3306}),"NO PARTICIPÓ")</f>
        <v>SOLO 2024</v>
      </c>
      <c r="L3306" s="14" t="s">
        <v>153</v>
      </c>
      <c r="M3306" s="16" t="str">
        <f t="shared" si="1"/>
        <v>148946 Primaria</v>
      </c>
      <c r="N3306" s="23"/>
      <c r="O3306" s="17"/>
      <c r="P3306" s="17"/>
      <c r="Q3306" s="17"/>
      <c r="R3306" s="17"/>
      <c r="S3306" s="17"/>
      <c r="T3306" s="17"/>
    </row>
    <row r="3307">
      <c r="A3307" s="18">
        <v>3029.0</v>
      </c>
      <c r="B3307" s="12" t="s">
        <v>48</v>
      </c>
      <c r="C3307" s="12" t="s">
        <v>14</v>
      </c>
      <c r="D3307" s="20" t="s">
        <v>22</v>
      </c>
      <c r="E3307" s="12" t="str">
        <f>IFERROR(__xludf.DUMMYFUNCTION("FILTER(colegios!$B$2:$B5618,colegios!$A$2:$A5618=L3307)"),"14894")</f>
        <v>14894</v>
      </c>
      <c r="F3307" s="14" t="s">
        <v>16</v>
      </c>
      <c r="G3307" s="20" t="s">
        <v>21</v>
      </c>
      <c r="H3307" s="14" t="s">
        <v>18</v>
      </c>
      <c r="I3307" s="15">
        <v>2022.0</v>
      </c>
      <c r="J3307" s="16" t="str">
        <f>IFERROR(__xludf.DUMMYFUNCTION("FILTER('CLASFICACIÓN'!$F$3:$F5618,'CLASFICACIÓN'!$G$3:$G5618=M3307)"),"SOLO LINEA BASE")</f>
        <v>SOLO LINEA BASE</v>
      </c>
      <c r="K3307" s="16" t="str">
        <f t="array" ref="K3307">IFERROR(DGET('PADD-R'!$B$1:$K5618,'PADD-R'!$K$1,{'PADD-R'!$B$1;E3307}),"NO PARTICIPÓ")</f>
        <v>SOLO 2024</v>
      </c>
      <c r="L3307" s="14" t="s">
        <v>153</v>
      </c>
      <c r="M3307" s="16" t="str">
        <f t="shared" si="1"/>
        <v>148946 Primaria</v>
      </c>
      <c r="N3307" s="23"/>
      <c r="O3307" s="17"/>
      <c r="P3307" s="17"/>
      <c r="Q3307" s="17"/>
      <c r="R3307" s="17"/>
      <c r="S3307" s="17"/>
      <c r="T3307" s="17"/>
    </row>
    <row r="3308">
      <c r="A3308" s="18">
        <v>3030.0</v>
      </c>
      <c r="B3308" s="12" t="s">
        <v>48</v>
      </c>
      <c r="C3308" s="12" t="s">
        <v>14</v>
      </c>
      <c r="D3308" s="20" t="s">
        <v>22</v>
      </c>
      <c r="E3308" s="12" t="str">
        <f>IFERROR(__xludf.DUMMYFUNCTION("FILTER(colegios!$B$2:$B5618,colegios!$A$2:$A5618=L3308)"),"14894")</f>
        <v>14894</v>
      </c>
      <c r="F3308" s="14" t="s">
        <v>16</v>
      </c>
      <c r="G3308" s="20" t="s">
        <v>21</v>
      </c>
      <c r="H3308" s="14" t="s">
        <v>18</v>
      </c>
      <c r="I3308" s="15">
        <v>2022.0</v>
      </c>
      <c r="J3308" s="16" t="str">
        <f>IFERROR(__xludf.DUMMYFUNCTION("FILTER('CLASFICACIÓN'!$F$3:$F5618,'CLASFICACIÓN'!$G$3:$G5618=M3308)"),"SOLO LINEA BASE")</f>
        <v>SOLO LINEA BASE</v>
      </c>
      <c r="K3308" s="16" t="str">
        <f t="array" ref="K3308">IFERROR(DGET('PADD-R'!$B$1:$K5618,'PADD-R'!$K$1,{'PADD-R'!$B$1;E3308}),"NO PARTICIPÓ")</f>
        <v>SOLO 2024</v>
      </c>
      <c r="L3308" s="14" t="s">
        <v>153</v>
      </c>
      <c r="M3308" s="16" t="str">
        <f t="shared" si="1"/>
        <v>148946 Primaria</v>
      </c>
      <c r="N3308" s="23"/>
      <c r="O3308" s="17"/>
      <c r="P3308" s="17"/>
      <c r="Q3308" s="17"/>
      <c r="R3308" s="17"/>
      <c r="S3308" s="17"/>
      <c r="T3308" s="17"/>
    </row>
    <row r="3309">
      <c r="A3309" s="18">
        <v>3644.0</v>
      </c>
      <c r="B3309" s="12" t="s">
        <v>64</v>
      </c>
      <c r="C3309" s="12" t="s">
        <v>14</v>
      </c>
      <c r="D3309" s="20" t="s">
        <v>15</v>
      </c>
      <c r="E3309" s="12" t="str">
        <f>IFERROR(__xludf.DUMMYFUNCTION("FILTER(colegios!$B$2:$B5618,colegios!$A$2:$A5618=L3309)"),"88225 CAPTUY")</f>
        <v>88225 CAPTUY</v>
      </c>
      <c r="F3309" s="14" t="s">
        <v>16</v>
      </c>
      <c r="G3309" s="20" t="s">
        <v>17</v>
      </c>
      <c r="H3309" s="14" t="s">
        <v>18</v>
      </c>
      <c r="I3309" s="15">
        <v>2022.0</v>
      </c>
      <c r="J3309" s="16" t="str">
        <f>IFERROR(__xludf.DUMMYFUNCTION("FILTER('CLASFICACIÓN'!$F$3:$F5618,'CLASFICACIÓN'!$G$3:$G5618=M3309)"),"SOLO LINEA BASE")</f>
        <v>SOLO LINEA BASE</v>
      </c>
      <c r="K3309" s="16" t="str">
        <f t="array" ref="K3309">IFERROR(DGET('PADD-R'!$B$1:$K5618,'PADD-R'!$K$1,{'PADD-R'!$B$1;E3309}),"NO PARTICIPÓ")</f>
        <v>NO PARTICIPÓ</v>
      </c>
      <c r="L3309" s="14" t="s">
        <v>154</v>
      </c>
      <c r="M3309" s="16" t="str">
        <f t="shared" si="1"/>
        <v>88225 CAPTUY2 Primaria</v>
      </c>
      <c r="N3309" s="23"/>
      <c r="O3309" s="17"/>
      <c r="P3309" s="17"/>
      <c r="Q3309" s="17"/>
      <c r="R3309" s="17"/>
      <c r="S3309" s="17"/>
      <c r="T3309" s="17"/>
    </row>
    <row r="3310">
      <c r="A3310" s="18">
        <v>3645.0</v>
      </c>
      <c r="B3310" s="12" t="s">
        <v>64</v>
      </c>
      <c r="C3310" s="12" t="s">
        <v>14</v>
      </c>
      <c r="D3310" s="20" t="s">
        <v>15</v>
      </c>
      <c r="E3310" s="12" t="str">
        <f>IFERROR(__xludf.DUMMYFUNCTION("FILTER(colegios!$B$2:$B5618,colegios!$A$2:$A5618=L3310)"),"88225 CAPTUY")</f>
        <v>88225 CAPTUY</v>
      </c>
      <c r="F3310" s="14" t="s">
        <v>16</v>
      </c>
      <c r="G3310" s="20" t="s">
        <v>17</v>
      </c>
      <c r="H3310" s="14" t="s">
        <v>18</v>
      </c>
      <c r="I3310" s="15">
        <v>2022.0</v>
      </c>
      <c r="J3310" s="16" t="str">
        <f>IFERROR(__xludf.DUMMYFUNCTION("FILTER('CLASFICACIÓN'!$F$3:$F5618,'CLASFICACIÓN'!$G$3:$G5618=M3310)"),"SOLO LINEA BASE")</f>
        <v>SOLO LINEA BASE</v>
      </c>
      <c r="K3310" s="16" t="str">
        <f t="array" ref="K3310">IFERROR(DGET('PADD-R'!$B$1:$K5618,'PADD-R'!$K$1,{'PADD-R'!$B$1;E3310}),"NO PARTICIPÓ")</f>
        <v>NO PARTICIPÓ</v>
      </c>
      <c r="L3310" s="14" t="s">
        <v>154</v>
      </c>
      <c r="M3310" s="16" t="str">
        <f t="shared" si="1"/>
        <v>88225 CAPTUY2 Primaria</v>
      </c>
      <c r="N3310" s="23"/>
      <c r="O3310" s="17"/>
      <c r="P3310" s="17"/>
      <c r="Q3310" s="17"/>
      <c r="R3310" s="17"/>
      <c r="S3310" s="17"/>
      <c r="T3310" s="17"/>
    </row>
    <row r="3311">
      <c r="A3311" s="18">
        <v>3646.0</v>
      </c>
      <c r="B3311" s="12" t="s">
        <v>64</v>
      </c>
      <c r="C3311" s="12" t="s">
        <v>14</v>
      </c>
      <c r="D3311" s="20" t="s">
        <v>15</v>
      </c>
      <c r="E3311" s="12" t="str">
        <f>IFERROR(__xludf.DUMMYFUNCTION("FILTER(colegios!$B$2:$B5618,colegios!$A$2:$A5618=L3311)"),"88225 CAPTUY")</f>
        <v>88225 CAPTUY</v>
      </c>
      <c r="F3311" s="14" t="s">
        <v>16</v>
      </c>
      <c r="G3311" s="20" t="s">
        <v>17</v>
      </c>
      <c r="H3311" s="14" t="s">
        <v>18</v>
      </c>
      <c r="I3311" s="15">
        <v>2022.0</v>
      </c>
      <c r="J3311" s="16" t="str">
        <f>IFERROR(__xludf.DUMMYFUNCTION("FILTER('CLASFICACIÓN'!$F$3:$F5618,'CLASFICACIÓN'!$G$3:$G5618=M3311)"),"SOLO LINEA BASE")</f>
        <v>SOLO LINEA BASE</v>
      </c>
      <c r="K3311" s="16" t="str">
        <f t="array" ref="K3311">IFERROR(DGET('PADD-R'!$B$1:$K5618,'PADD-R'!$K$1,{'PADD-R'!$B$1;E3311}),"NO PARTICIPÓ")</f>
        <v>NO PARTICIPÓ</v>
      </c>
      <c r="L3311" s="14" t="s">
        <v>154</v>
      </c>
      <c r="M3311" s="16" t="str">
        <f t="shared" si="1"/>
        <v>88225 CAPTUY2 Primaria</v>
      </c>
      <c r="N3311" s="23"/>
      <c r="O3311" s="17"/>
      <c r="P3311" s="17"/>
      <c r="Q3311" s="17"/>
      <c r="R3311" s="17"/>
      <c r="S3311" s="17"/>
      <c r="T3311" s="17"/>
    </row>
    <row r="3312">
      <c r="A3312" s="18">
        <v>3647.0</v>
      </c>
      <c r="B3312" s="12" t="s">
        <v>64</v>
      </c>
      <c r="C3312" s="12" t="s">
        <v>14</v>
      </c>
      <c r="D3312" s="20" t="s">
        <v>15</v>
      </c>
      <c r="E3312" s="12" t="str">
        <f>IFERROR(__xludf.DUMMYFUNCTION("FILTER(colegios!$B$2:$B5618,colegios!$A$2:$A5618=L3312)"),"88225 CAPTUY")</f>
        <v>88225 CAPTUY</v>
      </c>
      <c r="F3312" s="14" t="s">
        <v>16</v>
      </c>
      <c r="G3312" s="20" t="s">
        <v>17</v>
      </c>
      <c r="H3312" s="14" t="s">
        <v>18</v>
      </c>
      <c r="I3312" s="15">
        <v>2022.0</v>
      </c>
      <c r="J3312" s="16" t="str">
        <f>IFERROR(__xludf.DUMMYFUNCTION("FILTER('CLASFICACIÓN'!$F$3:$F5618,'CLASFICACIÓN'!$G$3:$G5618=M3312)"),"SOLO LINEA BASE")</f>
        <v>SOLO LINEA BASE</v>
      </c>
      <c r="K3312" s="16" t="str">
        <f t="array" ref="K3312">IFERROR(DGET('PADD-R'!$B$1:$K5618,'PADD-R'!$K$1,{'PADD-R'!$B$1;E3312}),"NO PARTICIPÓ")</f>
        <v>NO PARTICIPÓ</v>
      </c>
      <c r="L3312" s="14" t="s">
        <v>154</v>
      </c>
      <c r="M3312" s="16" t="str">
        <f t="shared" si="1"/>
        <v>88225 CAPTUY2 Primaria</v>
      </c>
      <c r="N3312" s="23"/>
      <c r="O3312" s="17"/>
      <c r="P3312" s="17"/>
      <c r="Q3312" s="17"/>
      <c r="R3312" s="17"/>
      <c r="S3312" s="17"/>
      <c r="T3312" s="17"/>
    </row>
    <row r="3313">
      <c r="A3313" s="18">
        <v>3648.0</v>
      </c>
      <c r="B3313" s="12" t="s">
        <v>64</v>
      </c>
      <c r="C3313" s="12" t="s">
        <v>14</v>
      </c>
      <c r="D3313" s="20" t="s">
        <v>15</v>
      </c>
      <c r="E3313" s="12" t="str">
        <f>IFERROR(__xludf.DUMMYFUNCTION("FILTER(colegios!$B$2:$B5618,colegios!$A$2:$A5618=L3313)"),"88225 CAPTUY")</f>
        <v>88225 CAPTUY</v>
      </c>
      <c r="F3313" s="14" t="s">
        <v>16</v>
      </c>
      <c r="G3313" s="20" t="s">
        <v>21</v>
      </c>
      <c r="H3313" s="14" t="s">
        <v>18</v>
      </c>
      <c r="I3313" s="15">
        <v>2022.0</v>
      </c>
      <c r="J3313" s="16" t="str">
        <f>IFERROR(__xludf.DUMMYFUNCTION("FILTER('CLASFICACIÓN'!$F$3:$F5618,'CLASFICACIÓN'!$G$3:$G5618=M3313)"),"SOLO LINEA BASE")</f>
        <v>SOLO LINEA BASE</v>
      </c>
      <c r="K3313" s="16" t="str">
        <f t="array" ref="K3313">IFERROR(DGET('PADD-R'!$B$1:$K5618,'PADD-R'!$K$1,{'PADD-R'!$B$1;E3313}),"NO PARTICIPÓ")</f>
        <v>NO PARTICIPÓ</v>
      </c>
      <c r="L3313" s="14" t="s">
        <v>154</v>
      </c>
      <c r="M3313" s="16" t="str">
        <f t="shared" si="1"/>
        <v>88225 CAPTUY2 Primaria</v>
      </c>
      <c r="N3313" s="23"/>
      <c r="O3313" s="17"/>
      <c r="P3313" s="17"/>
      <c r="Q3313" s="17"/>
      <c r="R3313" s="17"/>
      <c r="S3313" s="17"/>
      <c r="T3313" s="17"/>
    </row>
    <row r="3314">
      <c r="A3314" s="18">
        <v>3649.0</v>
      </c>
      <c r="B3314" s="12" t="s">
        <v>64</v>
      </c>
      <c r="C3314" s="12" t="s">
        <v>14</v>
      </c>
      <c r="D3314" s="20" t="s">
        <v>15</v>
      </c>
      <c r="E3314" s="12" t="str">
        <f>IFERROR(__xludf.DUMMYFUNCTION("FILTER(colegios!$B$2:$B5618,colegios!$A$2:$A5618=L3314)"),"88225 CAPTUY")</f>
        <v>88225 CAPTUY</v>
      </c>
      <c r="F3314" s="14" t="s">
        <v>16</v>
      </c>
      <c r="G3314" s="20" t="s">
        <v>21</v>
      </c>
      <c r="H3314" s="14" t="s">
        <v>18</v>
      </c>
      <c r="I3314" s="15">
        <v>2022.0</v>
      </c>
      <c r="J3314" s="16" t="str">
        <f>IFERROR(__xludf.DUMMYFUNCTION("FILTER('CLASFICACIÓN'!$F$3:$F5618,'CLASFICACIÓN'!$G$3:$G5618=M3314)"),"SOLO LINEA BASE")</f>
        <v>SOLO LINEA BASE</v>
      </c>
      <c r="K3314" s="16" t="str">
        <f t="array" ref="K3314">IFERROR(DGET('PADD-R'!$B$1:$K5618,'PADD-R'!$K$1,{'PADD-R'!$B$1;E3314}),"NO PARTICIPÓ")</f>
        <v>NO PARTICIPÓ</v>
      </c>
      <c r="L3314" s="14" t="s">
        <v>154</v>
      </c>
      <c r="M3314" s="16" t="str">
        <f t="shared" si="1"/>
        <v>88225 CAPTUY2 Primaria</v>
      </c>
      <c r="N3314" s="23"/>
      <c r="O3314" s="17"/>
      <c r="P3314" s="17"/>
      <c r="Q3314" s="17"/>
      <c r="R3314" s="17"/>
      <c r="S3314" s="17"/>
      <c r="T3314" s="17"/>
    </row>
    <row r="3315">
      <c r="A3315" s="18">
        <v>3650.0</v>
      </c>
      <c r="B3315" s="12" t="s">
        <v>64</v>
      </c>
      <c r="C3315" s="12" t="s">
        <v>14</v>
      </c>
      <c r="D3315" s="20" t="s">
        <v>20</v>
      </c>
      <c r="E3315" s="12" t="str">
        <f>IFERROR(__xludf.DUMMYFUNCTION("FILTER(colegios!$B$2:$B5618,colegios!$A$2:$A5618=L3315)"),"88225 CAPTUY")</f>
        <v>88225 CAPTUY</v>
      </c>
      <c r="F3315" s="14" t="s">
        <v>16</v>
      </c>
      <c r="G3315" s="20" t="s">
        <v>21</v>
      </c>
      <c r="H3315" s="14" t="s">
        <v>24</v>
      </c>
      <c r="I3315" s="15">
        <v>2022.0</v>
      </c>
      <c r="J3315" s="16" t="str">
        <f>IFERROR(__xludf.DUMMYFUNCTION("FILTER('CLASFICACIÓN'!$F$3:$F5618,'CLASFICACIÓN'!$G$3:$G5618=M3315)"),"SOLO LINEA BASE")</f>
        <v>SOLO LINEA BASE</v>
      </c>
      <c r="K3315" s="16" t="str">
        <f t="array" ref="K3315">IFERROR(DGET('PADD-R'!$B$1:$K5618,'PADD-R'!$K$1,{'PADD-R'!$B$1;E3315}),"NO PARTICIPÓ")</f>
        <v>NO PARTICIPÓ</v>
      </c>
      <c r="L3315" s="14" t="s">
        <v>154</v>
      </c>
      <c r="M3315" s="16" t="str">
        <f t="shared" si="1"/>
        <v>88225 CAPTUY4 Primaria</v>
      </c>
      <c r="N3315" s="23"/>
      <c r="O3315" s="17"/>
      <c r="P3315" s="17"/>
      <c r="Q3315" s="17"/>
      <c r="R3315" s="17"/>
      <c r="S3315" s="17"/>
      <c r="T3315" s="17"/>
    </row>
    <row r="3316">
      <c r="A3316" s="18">
        <v>3651.0</v>
      </c>
      <c r="B3316" s="12" t="s">
        <v>64</v>
      </c>
      <c r="C3316" s="12" t="s">
        <v>14</v>
      </c>
      <c r="D3316" s="20" t="s">
        <v>20</v>
      </c>
      <c r="E3316" s="12" t="str">
        <f>IFERROR(__xludf.DUMMYFUNCTION("FILTER(colegios!$B$2:$B5618,colegios!$A$2:$A5618=L3316)"),"88225 CAPTUY")</f>
        <v>88225 CAPTUY</v>
      </c>
      <c r="F3316" s="14" t="s">
        <v>16</v>
      </c>
      <c r="G3316" s="20" t="s">
        <v>17</v>
      </c>
      <c r="H3316" s="14" t="s">
        <v>18</v>
      </c>
      <c r="I3316" s="15">
        <v>2022.0</v>
      </c>
      <c r="J3316" s="16" t="str">
        <f>IFERROR(__xludf.DUMMYFUNCTION("FILTER('CLASFICACIÓN'!$F$3:$F5618,'CLASFICACIÓN'!$G$3:$G5618=M3316)"),"SOLO LINEA BASE")</f>
        <v>SOLO LINEA BASE</v>
      </c>
      <c r="K3316" s="16" t="str">
        <f t="array" ref="K3316">IFERROR(DGET('PADD-R'!$B$1:$K5618,'PADD-R'!$K$1,{'PADD-R'!$B$1;E3316}),"NO PARTICIPÓ")</f>
        <v>NO PARTICIPÓ</v>
      </c>
      <c r="L3316" s="14" t="s">
        <v>154</v>
      </c>
      <c r="M3316" s="16" t="str">
        <f t="shared" si="1"/>
        <v>88225 CAPTUY4 Primaria</v>
      </c>
      <c r="N3316" s="23"/>
      <c r="O3316" s="17"/>
      <c r="P3316" s="17"/>
      <c r="Q3316" s="17"/>
      <c r="R3316" s="17"/>
      <c r="S3316" s="17"/>
      <c r="T3316" s="17"/>
    </row>
    <row r="3317">
      <c r="A3317" s="18">
        <v>3652.0</v>
      </c>
      <c r="B3317" s="12" t="s">
        <v>64</v>
      </c>
      <c r="C3317" s="12" t="s">
        <v>14</v>
      </c>
      <c r="D3317" s="20" t="s">
        <v>20</v>
      </c>
      <c r="E3317" s="12" t="str">
        <f>IFERROR(__xludf.DUMMYFUNCTION("FILTER(colegios!$B$2:$B5618,colegios!$A$2:$A5618=L3317)"),"88225 CAPTUY")</f>
        <v>88225 CAPTUY</v>
      </c>
      <c r="F3317" s="14" t="s">
        <v>16</v>
      </c>
      <c r="G3317" s="20" t="s">
        <v>21</v>
      </c>
      <c r="H3317" s="14" t="s">
        <v>24</v>
      </c>
      <c r="I3317" s="15">
        <v>2022.0</v>
      </c>
      <c r="J3317" s="16" t="str">
        <f>IFERROR(__xludf.DUMMYFUNCTION("FILTER('CLASFICACIÓN'!$F$3:$F5618,'CLASFICACIÓN'!$G$3:$G5618=M3317)"),"SOLO LINEA BASE")</f>
        <v>SOLO LINEA BASE</v>
      </c>
      <c r="K3317" s="16" t="str">
        <f t="array" ref="K3317">IFERROR(DGET('PADD-R'!$B$1:$K5618,'PADD-R'!$K$1,{'PADD-R'!$B$1;E3317}),"NO PARTICIPÓ")</f>
        <v>NO PARTICIPÓ</v>
      </c>
      <c r="L3317" s="14" t="s">
        <v>154</v>
      </c>
      <c r="M3317" s="16" t="str">
        <f t="shared" si="1"/>
        <v>88225 CAPTUY4 Primaria</v>
      </c>
      <c r="N3317" s="23"/>
      <c r="O3317" s="17"/>
      <c r="P3317" s="17"/>
      <c r="Q3317" s="17"/>
      <c r="R3317" s="17"/>
      <c r="S3317" s="17"/>
      <c r="T3317" s="17"/>
    </row>
    <row r="3318">
      <c r="A3318" s="18">
        <v>3653.0</v>
      </c>
      <c r="B3318" s="12" t="s">
        <v>64</v>
      </c>
      <c r="C3318" s="12" t="s">
        <v>14</v>
      </c>
      <c r="D3318" s="20" t="s">
        <v>22</v>
      </c>
      <c r="E3318" s="12" t="str">
        <f>IFERROR(__xludf.DUMMYFUNCTION("FILTER(colegios!$B$2:$B5618,colegios!$A$2:$A5618=L3318)"),"88225 CAPTUY")</f>
        <v>88225 CAPTUY</v>
      </c>
      <c r="F3318" s="14" t="s">
        <v>16</v>
      </c>
      <c r="G3318" s="20" t="s">
        <v>17</v>
      </c>
      <c r="H3318" s="14" t="s">
        <v>18</v>
      </c>
      <c r="I3318" s="15">
        <v>2022.0</v>
      </c>
      <c r="J3318" s="16" t="str">
        <f>IFERROR(__xludf.DUMMYFUNCTION("FILTER('CLASFICACIÓN'!$F$3:$F5618,'CLASFICACIÓN'!$G$3:$G5618=M3318)"),"SOLO LINEA BASE")</f>
        <v>SOLO LINEA BASE</v>
      </c>
      <c r="K3318" s="16" t="str">
        <f t="array" ref="K3318">IFERROR(DGET('PADD-R'!$B$1:$K5618,'PADD-R'!$K$1,{'PADD-R'!$B$1;E3318}),"NO PARTICIPÓ")</f>
        <v>NO PARTICIPÓ</v>
      </c>
      <c r="L3318" s="14" t="s">
        <v>154</v>
      </c>
      <c r="M3318" s="16" t="str">
        <f t="shared" si="1"/>
        <v>88225 CAPTUY6 Primaria</v>
      </c>
      <c r="N3318" s="23"/>
      <c r="O3318" s="17"/>
      <c r="P3318" s="17"/>
      <c r="Q3318" s="17"/>
      <c r="R3318" s="17"/>
      <c r="S3318" s="17"/>
      <c r="T3318" s="17"/>
    </row>
    <row r="3319">
      <c r="A3319" s="18">
        <v>3654.0</v>
      </c>
      <c r="B3319" s="12" t="s">
        <v>64</v>
      </c>
      <c r="C3319" s="12" t="s">
        <v>14</v>
      </c>
      <c r="D3319" s="20" t="s">
        <v>22</v>
      </c>
      <c r="E3319" s="12" t="str">
        <f>IFERROR(__xludf.DUMMYFUNCTION("FILTER(colegios!$B$2:$B5618,colegios!$A$2:$A5618=L3319)"),"88225 CAPTUY")</f>
        <v>88225 CAPTUY</v>
      </c>
      <c r="F3319" s="14" t="s">
        <v>16</v>
      </c>
      <c r="G3319" s="20" t="s">
        <v>17</v>
      </c>
      <c r="H3319" s="14" t="s">
        <v>18</v>
      </c>
      <c r="I3319" s="15">
        <v>2022.0</v>
      </c>
      <c r="J3319" s="16" t="str">
        <f>IFERROR(__xludf.DUMMYFUNCTION("FILTER('CLASFICACIÓN'!$F$3:$F5618,'CLASFICACIÓN'!$G$3:$G5618=M3319)"),"SOLO LINEA BASE")</f>
        <v>SOLO LINEA BASE</v>
      </c>
      <c r="K3319" s="16" t="str">
        <f t="array" ref="K3319">IFERROR(DGET('PADD-R'!$B$1:$K5618,'PADD-R'!$K$1,{'PADD-R'!$B$1;E3319}),"NO PARTICIPÓ")</f>
        <v>NO PARTICIPÓ</v>
      </c>
      <c r="L3319" s="14" t="s">
        <v>154</v>
      </c>
      <c r="M3319" s="16" t="str">
        <f t="shared" si="1"/>
        <v>88225 CAPTUY6 Primaria</v>
      </c>
      <c r="N3319" s="23"/>
      <c r="O3319" s="17"/>
      <c r="P3319" s="17"/>
      <c r="Q3319" s="17"/>
      <c r="R3319" s="17"/>
      <c r="S3319" s="17"/>
      <c r="T3319" s="17"/>
    </row>
    <row r="3320">
      <c r="A3320" s="18">
        <v>3655.0</v>
      </c>
      <c r="B3320" s="12" t="s">
        <v>64</v>
      </c>
      <c r="C3320" s="12" t="s">
        <v>14</v>
      </c>
      <c r="D3320" s="20" t="s">
        <v>22</v>
      </c>
      <c r="E3320" s="12" t="str">
        <f>IFERROR(__xludf.DUMMYFUNCTION("FILTER(colegios!$B$2:$B5618,colegios!$A$2:$A5618=L3320)"),"88225 CAPTUY")</f>
        <v>88225 CAPTUY</v>
      </c>
      <c r="F3320" s="14" t="s">
        <v>16</v>
      </c>
      <c r="G3320" s="20" t="s">
        <v>17</v>
      </c>
      <c r="H3320" s="14" t="s">
        <v>18</v>
      </c>
      <c r="I3320" s="15">
        <v>2022.0</v>
      </c>
      <c r="J3320" s="16" t="str">
        <f>IFERROR(__xludf.DUMMYFUNCTION("FILTER('CLASFICACIÓN'!$F$3:$F5618,'CLASFICACIÓN'!$G$3:$G5618=M3320)"),"SOLO LINEA BASE")</f>
        <v>SOLO LINEA BASE</v>
      </c>
      <c r="K3320" s="16" t="str">
        <f t="array" ref="K3320">IFERROR(DGET('PADD-R'!$B$1:$K5618,'PADD-R'!$K$1,{'PADD-R'!$B$1;E3320}),"NO PARTICIPÓ")</f>
        <v>NO PARTICIPÓ</v>
      </c>
      <c r="L3320" s="14" t="s">
        <v>154</v>
      </c>
      <c r="M3320" s="16" t="str">
        <f t="shared" si="1"/>
        <v>88225 CAPTUY6 Primaria</v>
      </c>
      <c r="N3320" s="23"/>
      <c r="O3320" s="17"/>
      <c r="P3320" s="17"/>
      <c r="Q3320" s="17"/>
      <c r="R3320" s="17"/>
      <c r="S3320" s="17"/>
      <c r="T3320" s="17"/>
    </row>
    <row r="3321">
      <c r="A3321" s="18">
        <v>3656.0</v>
      </c>
      <c r="B3321" s="12" t="s">
        <v>64</v>
      </c>
      <c r="C3321" s="12" t="s">
        <v>14</v>
      </c>
      <c r="D3321" s="20" t="s">
        <v>22</v>
      </c>
      <c r="E3321" s="12" t="str">
        <f>IFERROR(__xludf.DUMMYFUNCTION("FILTER(colegios!$B$2:$B5618,colegios!$A$2:$A5618=L3321)"),"88225 CAPTUY")</f>
        <v>88225 CAPTUY</v>
      </c>
      <c r="F3321" s="14" t="s">
        <v>16</v>
      </c>
      <c r="G3321" s="20" t="s">
        <v>21</v>
      </c>
      <c r="H3321" s="14" t="s">
        <v>18</v>
      </c>
      <c r="I3321" s="15">
        <v>2022.0</v>
      </c>
      <c r="J3321" s="16" t="str">
        <f>IFERROR(__xludf.DUMMYFUNCTION("FILTER('CLASFICACIÓN'!$F$3:$F5618,'CLASFICACIÓN'!$G$3:$G5618=M3321)"),"SOLO LINEA BASE")</f>
        <v>SOLO LINEA BASE</v>
      </c>
      <c r="K3321" s="16" t="str">
        <f t="array" ref="K3321">IFERROR(DGET('PADD-R'!$B$1:$K5618,'PADD-R'!$K$1,{'PADD-R'!$B$1;E3321}),"NO PARTICIPÓ")</f>
        <v>NO PARTICIPÓ</v>
      </c>
      <c r="L3321" s="14" t="s">
        <v>154</v>
      </c>
      <c r="M3321" s="16" t="str">
        <f t="shared" si="1"/>
        <v>88225 CAPTUY6 Primaria</v>
      </c>
      <c r="N3321" s="23"/>
      <c r="O3321" s="17"/>
      <c r="P3321" s="17"/>
      <c r="Q3321" s="17"/>
      <c r="R3321" s="17"/>
      <c r="S3321" s="17"/>
      <c r="T3321" s="17"/>
    </row>
    <row r="3322">
      <c r="A3322" s="18">
        <v>3657.0</v>
      </c>
      <c r="B3322" s="12" t="s">
        <v>64</v>
      </c>
      <c r="C3322" s="12" t="s">
        <v>14</v>
      </c>
      <c r="D3322" s="20" t="s">
        <v>22</v>
      </c>
      <c r="E3322" s="12" t="str">
        <f>IFERROR(__xludf.DUMMYFUNCTION("FILTER(colegios!$B$2:$B5618,colegios!$A$2:$A5618=L3322)"),"88225 CAPTUY")</f>
        <v>88225 CAPTUY</v>
      </c>
      <c r="F3322" s="14" t="s">
        <v>16</v>
      </c>
      <c r="G3322" s="20" t="s">
        <v>21</v>
      </c>
      <c r="H3322" s="14" t="s">
        <v>18</v>
      </c>
      <c r="I3322" s="15">
        <v>2022.0</v>
      </c>
      <c r="J3322" s="16" t="str">
        <f>IFERROR(__xludf.DUMMYFUNCTION("FILTER('CLASFICACIÓN'!$F$3:$F5618,'CLASFICACIÓN'!$G$3:$G5618=M3322)"),"SOLO LINEA BASE")</f>
        <v>SOLO LINEA BASE</v>
      </c>
      <c r="K3322" s="16" t="str">
        <f t="array" ref="K3322">IFERROR(DGET('PADD-R'!$B$1:$K5618,'PADD-R'!$K$1,{'PADD-R'!$B$1;E3322}),"NO PARTICIPÓ")</f>
        <v>NO PARTICIPÓ</v>
      </c>
      <c r="L3322" s="14" t="s">
        <v>154</v>
      </c>
      <c r="M3322" s="16" t="str">
        <f t="shared" si="1"/>
        <v>88225 CAPTUY6 Primaria</v>
      </c>
      <c r="N3322" s="23"/>
      <c r="O3322" s="17"/>
      <c r="P3322" s="17"/>
      <c r="Q3322" s="17"/>
      <c r="R3322" s="17"/>
      <c r="S3322" s="17"/>
      <c r="T3322" s="17"/>
    </row>
    <row r="3323">
      <c r="A3323" s="18">
        <v>3658.0</v>
      </c>
      <c r="B3323" s="12" t="s">
        <v>64</v>
      </c>
      <c r="C3323" s="12" t="s">
        <v>14</v>
      </c>
      <c r="D3323" s="20" t="s">
        <v>22</v>
      </c>
      <c r="E3323" s="12" t="str">
        <f>IFERROR(__xludf.DUMMYFUNCTION("FILTER(colegios!$B$2:$B5618,colegios!$A$2:$A5618=L3323)"),"88225 CAPTUY")</f>
        <v>88225 CAPTUY</v>
      </c>
      <c r="F3323" s="14" t="s">
        <v>16</v>
      </c>
      <c r="G3323" s="20" t="s">
        <v>21</v>
      </c>
      <c r="H3323" s="14" t="s">
        <v>18</v>
      </c>
      <c r="I3323" s="15">
        <v>2022.0</v>
      </c>
      <c r="J3323" s="16" t="str">
        <f>IFERROR(__xludf.DUMMYFUNCTION("FILTER('CLASFICACIÓN'!$F$3:$F5618,'CLASFICACIÓN'!$G$3:$G5618=M3323)"),"SOLO LINEA BASE")</f>
        <v>SOLO LINEA BASE</v>
      </c>
      <c r="K3323" s="16" t="str">
        <f t="array" ref="K3323">IFERROR(DGET('PADD-R'!$B$1:$K5618,'PADD-R'!$K$1,{'PADD-R'!$B$1;E3323}),"NO PARTICIPÓ")</f>
        <v>NO PARTICIPÓ</v>
      </c>
      <c r="L3323" s="14" t="s">
        <v>154</v>
      </c>
      <c r="M3323" s="16" t="str">
        <f t="shared" si="1"/>
        <v>88225 CAPTUY6 Primaria</v>
      </c>
      <c r="N3323" s="23"/>
      <c r="O3323" s="17"/>
      <c r="P3323" s="17"/>
      <c r="Q3323" s="17"/>
      <c r="R3323" s="17"/>
      <c r="S3323" s="17"/>
      <c r="T3323" s="17"/>
    </row>
    <row r="3324">
      <c r="A3324" s="18">
        <v>3659.0</v>
      </c>
      <c r="B3324" s="12" t="s">
        <v>64</v>
      </c>
      <c r="C3324" s="12" t="s">
        <v>14</v>
      </c>
      <c r="D3324" s="20" t="s">
        <v>22</v>
      </c>
      <c r="E3324" s="12" t="str">
        <f>IFERROR(__xludf.DUMMYFUNCTION("FILTER(colegios!$B$2:$B5618,colegios!$A$2:$A5618=L3324)"),"88225 CAPTUY")</f>
        <v>88225 CAPTUY</v>
      </c>
      <c r="F3324" s="14" t="s">
        <v>16</v>
      </c>
      <c r="G3324" s="20" t="s">
        <v>21</v>
      </c>
      <c r="H3324" s="14" t="s">
        <v>18</v>
      </c>
      <c r="I3324" s="15">
        <v>2022.0</v>
      </c>
      <c r="J3324" s="16" t="str">
        <f>IFERROR(__xludf.DUMMYFUNCTION("FILTER('CLASFICACIÓN'!$F$3:$F5618,'CLASFICACIÓN'!$G$3:$G5618=M3324)"),"SOLO LINEA BASE")</f>
        <v>SOLO LINEA BASE</v>
      </c>
      <c r="K3324" s="16" t="str">
        <f t="array" ref="K3324">IFERROR(DGET('PADD-R'!$B$1:$K5618,'PADD-R'!$K$1,{'PADD-R'!$B$1;E3324}),"NO PARTICIPÓ")</f>
        <v>NO PARTICIPÓ</v>
      </c>
      <c r="L3324" s="14" t="s">
        <v>154</v>
      </c>
      <c r="M3324" s="16" t="str">
        <f t="shared" si="1"/>
        <v>88225 CAPTUY6 Primaria</v>
      </c>
      <c r="N3324" s="23"/>
      <c r="O3324" s="17"/>
      <c r="P3324" s="17"/>
      <c r="Q3324" s="17"/>
      <c r="R3324" s="17"/>
      <c r="S3324" s="17"/>
      <c r="T3324" s="17"/>
    </row>
    <row r="3325">
      <c r="A3325" s="18">
        <v>3660.0</v>
      </c>
      <c r="B3325" s="12" t="s">
        <v>64</v>
      </c>
      <c r="C3325" s="12" t="s">
        <v>14</v>
      </c>
      <c r="D3325" s="20" t="s">
        <v>22</v>
      </c>
      <c r="E3325" s="12" t="str">
        <f>IFERROR(__xludf.DUMMYFUNCTION("FILTER(colegios!$B$2:$B5618,colegios!$A$2:$A5618=L3325)"),"88225 CAPTUY")</f>
        <v>88225 CAPTUY</v>
      </c>
      <c r="F3325" s="14" t="s">
        <v>16</v>
      </c>
      <c r="G3325" s="20" t="s">
        <v>21</v>
      </c>
      <c r="H3325" s="14" t="s">
        <v>18</v>
      </c>
      <c r="I3325" s="15">
        <v>2022.0</v>
      </c>
      <c r="J3325" s="16" t="str">
        <f>IFERROR(__xludf.DUMMYFUNCTION("FILTER('CLASFICACIÓN'!$F$3:$F5618,'CLASFICACIÓN'!$G$3:$G5618=M3325)"),"SOLO LINEA BASE")</f>
        <v>SOLO LINEA BASE</v>
      </c>
      <c r="K3325" s="16" t="str">
        <f t="array" ref="K3325">IFERROR(DGET('PADD-R'!$B$1:$K5618,'PADD-R'!$K$1,{'PADD-R'!$B$1;E3325}),"NO PARTICIPÓ")</f>
        <v>NO PARTICIPÓ</v>
      </c>
      <c r="L3325" s="14" t="s">
        <v>154</v>
      </c>
      <c r="M3325" s="16" t="str">
        <f t="shared" si="1"/>
        <v>88225 CAPTUY6 Primaria</v>
      </c>
      <c r="N3325" s="23"/>
      <c r="O3325" s="17"/>
      <c r="P3325" s="17"/>
      <c r="Q3325" s="17"/>
      <c r="R3325" s="17"/>
      <c r="S3325" s="17"/>
      <c r="T3325" s="17"/>
    </row>
    <row r="3326">
      <c r="A3326" s="18">
        <v>3661.0</v>
      </c>
      <c r="B3326" s="12" t="s">
        <v>64</v>
      </c>
      <c r="C3326" s="12" t="s">
        <v>14</v>
      </c>
      <c r="D3326" s="20" t="s">
        <v>22</v>
      </c>
      <c r="E3326" s="12" t="str">
        <f>IFERROR(__xludf.DUMMYFUNCTION("FILTER(colegios!$B$2:$B5618,colegios!$A$2:$A5618=L3326)"),"88225 CAPTUY")</f>
        <v>88225 CAPTUY</v>
      </c>
      <c r="F3326" s="14" t="s">
        <v>16</v>
      </c>
      <c r="G3326" s="20" t="s">
        <v>17</v>
      </c>
      <c r="H3326" s="14" t="s">
        <v>18</v>
      </c>
      <c r="I3326" s="15">
        <v>2022.0</v>
      </c>
      <c r="J3326" s="16" t="str">
        <f>IFERROR(__xludf.DUMMYFUNCTION("FILTER('CLASFICACIÓN'!$F$3:$F5618,'CLASFICACIÓN'!$G$3:$G5618=M3326)"),"SOLO LINEA BASE")</f>
        <v>SOLO LINEA BASE</v>
      </c>
      <c r="K3326" s="16" t="str">
        <f t="array" ref="K3326">IFERROR(DGET('PADD-R'!$B$1:$K5618,'PADD-R'!$K$1,{'PADD-R'!$B$1;E3326}),"NO PARTICIPÓ")</f>
        <v>NO PARTICIPÓ</v>
      </c>
      <c r="L3326" s="14" t="s">
        <v>154</v>
      </c>
      <c r="M3326" s="16" t="str">
        <f t="shared" si="1"/>
        <v>88225 CAPTUY6 Primaria</v>
      </c>
      <c r="N3326" s="23"/>
      <c r="O3326" s="17"/>
      <c r="P3326" s="17"/>
      <c r="Q3326" s="17"/>
      <c r="R3326" s="17"/>
      <c r="S3326" s="17"/>
      <c r="T3326" s="17"/>
    </row>
    <row r="3327">
      <c r="A3327" s="18">
        <v>3662.0</v>
      </c>
      <c r="B3327" s="12" t="s">
        <v>64</v>
      </c>
      <c r="C3327" s="12" t="s">
        <v>14</v>
      </c>
      <c r="D3327" s="20" t="s">
        <v>22</v>
      </c>
      <c r="E3327" s="12" t="str">
        <f>IFERROR(__xludf.DUMMYFUNCTION("FILTER(colegios!$B$2:$B5618,colegios!$A$2:$A5618=L3327)"),"88225 CAPTUY")</f>
        <v>88225 CAPTUY</v>
      </c>
      <c r="F3327" s="14" t="s">
        <v>16</v>
      </c>
      <c r="G3327" s="20" t="s">
        <v>21</v>
      </c>
      <c r="H3327" s="14" t="s">
        <v>18</v>
      </c>
      <c r="I3327" s="15">
        <v>2022.0</v>
      </c>
      <c r="J3327" s="16" t="str">
        <f>IFERROR(__xludf.DUMMYFUNCTION("FILTER('CLASFICACIÓN'!$F$3:$F5618,'CLASFICACIÓN'!$G$3:$G5618=M3327)"),"SOLO LINEA BASE")</f>
        <v>SOLO LINEA BASE</v>
      </c>
      <c r="K3327" s="16" t="str">
        <f t="array" ref="K3327">IFERROR(DGET('PADD-R'!$B$1:$K5618,'PADD-R'!$K$1,{'PADD-R'!$B$1;E3327}),"NO PARTICIPÓ")</f>
        <v>NO PARTICIPÓ</v>
      </c>
      <c r="L3327" s="14" t="s">
        <v>154</v>
      </c>
      <c r="M3327" s="16" t="str">
        <f t="shared" si="1"/>
        <v>88225 CAPTUY6 Primaria</v>
      </c>
      <c r="N3327" s="23"/>
      <c r="O3327" s="17"/>
      <c r="P3327" s="17"/>
      <c r="Q3327" s="17"/>
      <c r="R3327" s="17"/>
      <c r="S3327" s="17"/>
      <c r="T3327" s="17"/>
    </row>
    <row r="3328">
      <c r="A3328" s="18">
        <v>3669.0</v>
      </c>
      <c r="B3328" s="12" t="s">
        <v>64</v>
      </c>
      <c r="C3328" s="12" t="s">
        <v>14</v>
      </c>
      <c r="D3328" s="20" t="s">
        <v>15</v>
      </c>
      <c r="E3328" s="12" t="str">
        <f>IFERROR(__xludf.DUMMYFUNCTION("FILTER(colegios!$B$2:$B5618,colegios!$A$2:$A5618=L3328)"),"88327")</f>
        <v>88327</v>
      </c>
      <c r="F3328" s="14" t="s">
        <v>16</v>
      </c>
      <c r="G3328" s="20" t="s">
        <v>21</v>
      </c>
      <c r="H3328" s="14" t="s">
        <v>18</v>
      </c>
      <c r="I3328" s="15">
        <v>2022.0</v>
      </c>
      <c r="J3328" s="16" t="str">
        <f>IFERROR(__xludf.DUMMYFUNCTION("FILTER('CLASFICACIÓN'!$F$3:$F5618,'CLASFICACIÓN'!$G$3:$G5618=M3328)"),"SOLO 2022 Y 2024")</f>
        <v>SOLO 2022 Y 2024</v>
      </c>
      <c r="K3328" s="16" t="str">
        <f t="array" ref="K3328">IFERROR(DGET('PADD-R'!$B$1:$K5618,'PADD-R'!$K$1,{'PADD-R'!$B$1;E3328}),"NO PARTICIPÓ")</f>
        <v>PADD 2023 Y 2024</v>
      </c>
      <c r="L3328" s="14" t="s">
        <v>67</v>
      </c>
      <c r="M3328" s="16" t="str">
        <f t="shared" si="1"/>
        <v>883272 Primaria</v>
      </c>
      <c r="N3328" s="23"/>
      <c r="O3328" s="17"/>
      <c r="P3328" s="17"/>
      <c r="Q3328" s="17"/>
      <c r="R3328" s="17"/>
      <c r="S3328" s="17"/>
      <c r="T3328" s="17"/>
    </row>
    <row r="3329">
      <c r="A3329" s="18">
        <v>3670.0</v>
      </c>
      <c r="B3329" s="12" t="s">
        <v>64</v>
      </c>
      <c r="C3329" s="12" t="s">
        <v>14</v>
      </c>
      <c r="D3329" s="20" t="s">
        <v>15</v>
      </c>
      <c r="E3329" s="12" t="str">
        <f>IFERROR(__xludf.DUMMYFUNCTION("FILTER(colegios!$B$2:$B5618,colegios!$A$2:$A5618=L3329)"),"88327")</f>
        <v>88327</v>
      </c>
      <c r="F3329" s="14" t="s">
        <v>16</v>
      </c>
      <c r="G3329" s="20" t="s">
        <v>21</v>
      </c>
      <c r="H3329" s="14" t="s">
        <v>18</v>
      </c>
      <c r="I3329" s="15">
        <v>2022.0</v>
      </c>
      <c r="J3329" s="16" t="str">
        <f>IFERROR(__xludf.DUMMYFUNCTION("FILTER('CLASFICACIÓN'!$F$3:$F5618,'CLASFICACIÓN'!$G$3:$G5618=M3329)"),"SOLO 2022 Y 2024")</f>
        <v>SOLO 2022 Y 2024</v>
      </c>
      <c r="K3329" s="16" t="str">
        <f t="array" ref="K3329">IFERROR(DGET('PADD-R'!$B$1:$K5618,'PADD-R'!$K$1,{'PADD-R'!$B$1;E3329}),"NO PARTICIPÓ")</f>
        <v>PADD 2023 Y 2024</v>
      </c>
      <c r="L3329" s="14" t="s">
        <v>67</v>
      </c>
      <c r="M3329" s="16" t="str">
        <f t="shared" si="1"/>
        <v>883272 Primaria</v>
      </c>
      <c r="N3329" s="23"/>
      <c r="O3329" s="17"/>
      <c r="P3329" s="17"/>
      <c r="Q3329" s="17"/>
      <c r="R3329" s="17"/>
      <c r="S3329" s="17"/>
      <c r="T3329" s="17"/>
    </row>
    <row r="3330">
      <c r="A3330" s="18">
        <v>3671.0</v>
      </c>
      <c r="B3330" s="12" t="s">
        <v>64</v>
      </c>
      <c r="C3330" s="12" t="s">
        <v>14</v>
      </c>
      <c r="D3330" s="20" t="s">
        <v>15</v>
      </c>
      <c r="E3330" s="12" t="str">
        <f>IFERROR(__xludf.DUMMYFUNCTION("FILTER(colegios!$B$2:$B5618,colegios!$A$2:$A5618=L3330)"),"88327")</f>
        <v>88327</v>
      </c>
      <c r="F3330" s="14" t="s">
        <v>16</v>
      </c>
      <c r="G3330" s="20" t="s">
        <v>17</v>
      </c>
      <c r="H3330" s="14" t="s">
        <v>18</v>
      </c>
      <c r="I3330" s="15">
        <v>2022.0</v>
      </c>
      <c r="J3330" s="16" t="str">
        <f>IFERROR(__xludf.DUMMYFUNCTION("FILTER('CLASFICACIÓN'!$F$3:$F5618,'CLASFICACIÓN'!$G$3:$G5618=M3330)"),"SOLO 2022 Y 2024")</f>
        <v>SOLO 2022 Y 2024</v>
      </c>
      <c r="K3330" s="16" t="str">
        <f t="array" ref="K3330">IFERROR(DGET('PADD-R'!$B$1:$K5618,'PADD-R'!$K$1,{'PADD-R'!$B$1;E3330}),"NO PARTICIPÓ")</f>
        <v>PADD 2023 Y 2024</v>
      </c>
      <c r="L3330" s="14" t="s">
        <v>67</v>
      </c>
      <c r="M3330" s="16" t="str">
        <f t="shared" si="1"/>
        <v>883272 Primaria</v>
      </c>
      <c r="N3330" s="23"/>
      <c r="O3330" s="17"/>
      <c r="P3330" s="17"/>
      <c r="Q3330" s="17"/>
      <c r="R3330" s="17"/>
      <c r="S3330" s="17"/>
      <c r="T3330" s="17"/>
    </row>
    <row r="3331">
      <c r="A3331" s="18">
        <v>3672.0</v>
      </c>
      <c r="B3331" s="12" t="s">
        <v>64</v>
      </c>
      <c r="C3331" s="12" t="s">
        <v>14</v>
      </c>
      <c r="D3331" s="20" t="s">
        <v>15</v>
      </c>
      <c r="E3331" s="12" t="str">
        <f>IFERROR(__xludf.DUMMYFUNCTION("FILTER(colegios!$B$2:$B5618,colegios!$A$2:$A5618=L3331)"),"88327")</f>
        <v>88327</v>
      </c>
      <c r="F3331" s="14" t="s">
        <v>16</v>
      </c>
      <c r="G3331" s="20" t="s">
        <v>21</v>
      </c>
      <c r="H3331" s="14" t="s">
        <v>18</v>
      </c>
      <c r="I3331" s="15">
        <v>2022.0</v>
      </c>
      <c r="J3331" s="16" t="str">
        <f>IFERROR(__xludf.DUMMYFUNCTION("FILTER('CLASFICACIÓN'!$F$3:$F5618,'CLASFICACIÓN'!$G$3:$G5618=M3331)"),"SOLO 2022 Y 2024")</f>
        <v>SOLO 2022 Y 2024</v>
      </c>
      <c r="K3331" s="16" t="str">
        <f t="array" ref="K3331">IFERROR(DGET('PADD-R'!$B$1:$K5618,'PADD-R'!$K$1,{'PADD-R'!$B$1;E3331}),"NO PARTICIPÓ")</f>
        <v>PADD 2023 Y 2024</v>
      </c>
      <c r="L3331" s="14" t="s">
        <v>67</v>
      </c>
      <c r="M3331" s="16" t="str">
        <f t="shared" si="1"/>
        <v>883272 Primaria</v>
      </c>
      <c r="N3331" s="23"/>
      <c r="O3331" s="17"/>
      <c r="P3331" s="17"/>
      <c r="Q3331" s="17"/>
      <c r="R3331" s="17"/>
      <c r="S3331" s="17"/>
      <c r="T3331" s="17"/>
    </row>
    <row r="3332">
      <c r="A3332" s="18">
        <v>3673.0</v>
      </c>
      <c r="B3332" s="12" t="s">
        <v>64</v>
      </c>
      <c r="C3332" s="12" t="s">
        <v>14</v>
      </c>
      <c r="D3332" s="20" t="s">
        <v>15</v>
      </c>
      <c r="E3332" s="12" t="str">
        <f>IFERROR(__xludf.DUMMYFUNCTION("FILTER(colegios!$B$2:$B5618,colegios!$A$2:$A5618=L3332)"),"88327")</f>
        <v>88327</v>
      </c>
      <c r="F3332" s="14" t="s">
        <v>16</v>
      </c>
      <c r="G3332" s="20" t="s">
        <v>21</v>
      </c>
      <c r="H3332" s="14" t="s">
        <v>18</v>
      </c>
      <c r="I3332" s="15">
        <v>2022.0</v>
      </c>
      <c r="J3332" s="16" t="str">
        <f>IFERROR(__xludf.DUMMYFUNCTION("FILTER('CLASFICACIÓN'!$F$3:$F5618,'CLASFICACIÓN'!$G$3:$G5618=M3332)"),"SOLO 2022 Y 2024")</f>
        <v>SOLO 2022 Y 2024</v>
      </c>
      <c r="K3332" s="16" t="str">
        <f t="array" ref="K3332">IFERROR(DGET('PADD-R'!$B$1:$K5618,'PADD-R'!$K$1,{'PADD-R'!$B$1;E3332}),"NO PARTICIPÓ")</f>
        <v>PADD 2023 Y 2024</v>
      </c>
      <c r="L3332" s="14" t="s">
        <v>67</v>
      </c>
      <c r="M3332" s="16" t="str">
        <f t="shared" si="1"/>
        <v>883272 Primaria</v>
      </c>
      <c r="N3332" s="23"/>
      <c r="O3332" s="17"/>
      <c r="P3332" s="17"/>
      <c r="Q3332" s="17"/>
      <c r="R3332" s="17"/>
      <c r="S3332" s="17"/>
      <c r="T3332" s="17"/>
    </row>
    <row r="3333">
      <c r="A3333" s="18">
        <v>3674.0</v>
      </c>
      <c r="B3333" s="12" t="s">
        <v>64</v>
      </c>
      <c r="C3333" s="12" t="s">
        <v>14</v>
      </c>
      <c r="D3333" s="20" t="s">
        <v>15</v>
      </c>
      <c r="E3333" s="12" t="str">
        <f>IFERROR(__xludf.DUMMYFUNCTION("FILTER(colegios!$B$2:$B5618,colegios!$A$2:$A5618=L3333)"),"88327")</f>
        <v>88327</v>
      </c>
      <c r="F3333" s="14" t="s">
        <v>16</v>
      </c>
      <c r="G3333" s="20" t="s">
        <v>21</v>
      </c>
      <c r="H3333" s="14" t="s">
        <v>18</v>
      </c>
      <c r="I3333" s="15">
        <v>2022.0</v>
      </c>
      <c r="J3333" s="16" t="str">
        <f>IFERROR(__xludf.DUMMYFUNCTION("FILTER('CLASFICACIÓN'!$F$3:$F5618,'CLASFICACIÓN'!$G$3:$G5618=M3333)"),"SOLO 2022 Y 2024")</f>
        <v>SOLO 2022 Y 2024</v>
      </c>
      <c r="K3333" s="16" t="str">
        <f t="array" ref="K3333">IFERROR(DGET('PADD-R'!$B$1:$K5618,'PADD-R'!$K$1,{'PADD-R'!$B$1;E3333}),"NO PARTICIPÓ")</f>
        <v>PADD 2023 Y 2024</v>
      </c>
      <c r="L3333" s="14" t="s">
        <v>67</v>
      </c>
      <c r="M3333" s="16" t="str">
        <f t="shared" si="1"/>
        <v>883272 Primaria</v>
      </c>
      <c r="N3333" s="23"/>
      <c r="O3333" s="17"/>
      <c r="P3333" s="17"/>
      <c r="Q3333" s="17"/>
      <c r="R3333" s="17"/>
      <c r="S3333" s="17"/>
      <c r="T3333" s="17"/>
    </row>
    <row r="3334">
      <c r="A3334" s="18">
        <v>3675.0</v>
      </c>
      <c r="B3334" s="12" t="s">
        <v>64</v>
      </c>
      <c r="C3334" s="12" t="s">
        <v>14</v>
      </c>
      <c r="D3334" s="20" t="s">
        <v>15</v>
      </c>
      <c r="E3334" s="12" t="str">
        <f>IFERROR(__xludf.DUMMYFUNCTION("FILTER(colegios!$B$2:$B5618,colegios!$A$2:$A5618=L3334)"),"88327")</f>
        <v>88327</v>
      </c>
      <c r="F3334" s="14" t="s">
        <v>16</v>
      </c>
      <c r="G3334" s="20" t="s">
        <v>17</v>
      </c>
      <c r="H3334" s="14" t="s">
        <v>18</v>
      </c>
      <c r="I3334" s="15">
        <v>2022.0</v>
      </c>
      <c r="J3334" s="16" t="str">
        <f>IFERROR(__xludf.DUMMYFUNCTION("FILTER('CLASFICACIÓN'!$F$3:$F5618,'CLASFICACIÓN'!$G$3:$G5618=M3334)"),"SOLO 2022 Y 2024")</f>
        <v>SOLO 2022 Y 2024</v>
      </c>
      <c r="K3334" s="16" t="str">
        <f t="array" ref="K3334">IFERROR(DGET('PADD-R'!$B$1:$K5618,'PADD-R'!$K$1,{'PADD-R'!$B$1;E3334}),"NO PARTICIPÓ")</f>
        <v>PADD 2023 Y 2024</v>
      </c>
      <c r="L3334" s="14" t="s">
        <v>67</v>
      </c>
      <c r="M3334" s="16" t="str">
        <f t="shared" si="1"/>
        <v>883272 Primaria</v>
      </c>
      <c r="N3334" s="23"/>
      <c r="O3334" s="17"/>
      <c r="P3334" s="17"/>
      <c r="Q3334" s="17"/>
      <c r="R3334" s="17"/>
      <c r="S3334" s="17"/>
      <c r="T3334" s="17"/>
    </row>
    <row r="3335">
      <c r="A3335" s="18">
        <v>3676.0</v>
      </c>
      <c r="B3335" s="12" t="s">
        <v>64</v>
      </c>
      <c r="C3335" s="12" t="s">
        <v>14</v>
      </c>
      <c r="D3335" s="20" t="s">
        <v>20</v>
      </c>
      <c r="E3335" s="12" t="str">
        <f>IFERROR(__xludf.DUMMYFUNCTION("FILTER(colegios!$B$2:$B5618,colegios!$A$2:$A5618=L3335)"),"88327")</f>
        <v>88327</v>
      </c>
      <c r="F3335" s="14" t="s">
        <v>16</v>
      </c>
      <c r="G3335" s="20" t="s">
        <v>17</v>
      </c>
      <c r="H3335" s="14" t="s">
        <v>18</v>
      </c>
      <c r="I3335" s="15">
        <v>2022.0</v>
      </c>
      <c r="J3335" s="16" t="str">
        <f>IFERROR(__xludf.DUMMYFUNCTION("FILTER('CLASFICACIÓN'!$F$3:$F5618,'CLASFICACIÓN'!$G$3:$G5618=M3335)"),"SOLO 2022 Y 2024")</f>
        <v>SOLO 2022 Y 2024</v>
      </c>
      <c r="K3335" s="16" t="str">
        <f t="array" ref="K3335">IFERROR(DGET('PADD-R'!$B$1:$K5618,'PADD-R'!$K$1,{'PADD-R'!$B$1;E3335}),"NO PARTICIPÓ")</f>
        <v>PADD 2023 Y 2024</v>
      </c>
      <c r="L3335" s="14" t="s">
        <v>67</v>
      </c>
      <c r="M3335" s="16" t="str">
        <f t="shared" si="1"/>
        <v>883274 Primaria</v>
      </c>
      <c r="N3335" s="23"/>
      <c r="O3335" s="17"/>
      <c r="P3335" s="17"/>
      <c r="Q3335" s="17"/>
      <c r="R3335" s="17"/>
      <c r="S3335" s="17"/>
      <c r="T3335" s="17"/>
    </row>
    <row r="3336">
      <c r="A3336" s="18">
        <v>3677.0</v>
      </c>
      <c r="B3336" s="12" t="s">
        <v>64</v>
      </c>
      <c r="C3336" s="12" t="s">
        <v>14</v>
      </c>
      <c r="D3336" s="20" t="s">
        <v>20</v>
      </c>
      <c r="E3336" s="12" t="str">
        <f>IFERROR(__xludf.DUMMYFUNCTION("FILTER(colegios!$B$2:$B5618,colegios!$A$2:$A5618=L3336)"),"88327")</f>
        <v>88327</v>
      </c>
      <c r="F3336" s="14" t="s">
        <v>16</v>
      </c>
      <c r="G3336" s="20" t="s">
        <v>21</v>
      </c>
      <c r="H3336" s="14" t="s">
        <v>18</v>
      </c>
      <c r="I3336" s="15">
        <v>2022.0</v>
      </c>
      <c r="J3336" s="16" t="str">
        <f>IFERROR(__xludf.DUMMYFUNCTION("FILTER('CLASFICACIÓN'!$F$3:$F5618,'CLASFICACIÓN'!$G$3:$G5618=M3336)"),"SOLO 2022 Y 2024")</f>
        <v>SOLO 2022 Y 2024</v>
      </c>
      <c r="K3336" s="16" t="str">
        <f t="array" ref="K3336">IFERROR(DGET('PADD-R'!$B$1:$K5618,'PADD-R'!$K$1,{'PADD-R'!$B$1;E3336}),"NO PARTICIPÓ")</f>
        <v>PADD 2023 Y 2024</v>
      </c>
      <c r="L3336" s="14" t="s">
        <v>67</v>
      </c>
      <c r="M3336" s="16" t="str">
        <f t="shared" si="1"/>
        <v>883274 Primaria</v>
      </c>
      <c r="N3336" s="23"/>
      <c r="O3336" s="17"/>
      <c r="P3336" s="17"/>
      <c r="Q3336" s="17"/>
      <c r="R3336" s="17"/>
      <c r="S3336" s="17"/>
      <c r="T3336" s="17"/>
    </row>
    <row r="3337">
      <c r="A3337" s="18">
        <v>3678.0</v>
      </c>
      <c r="B3337" s="12" t="s">
        <v>64</v>
      </c>
      <c r="C3337" s="12" t="s">
        <v>14</v>
      </c>
      <c r="D3337" s="20" t="s">
        <v>20</v>
      </c>
      <c r="E3337" s="12" t="str">
        <f>IFERROR(__xludf.DUMMYFUNCTION("FILTER(colegios!$B$2:$B5618,colegios!$A$2:$A5618=L3337)"),"88327")</f>
        <v>88327</v>
      </c>
      <c r="F3337" s="14" t="s">
        <v>16</v>
      </c>
      <c r="G3337" s="20" t="s">
        <v>17</v>
      </c>
      <c r="H3337" s="14" t="s">
        <v>18</v>
      </c>
      <c r="I3337" s="15">
        <v>2022.0</v>
      </c>
      <c r="J3337" s="16" t="str">
        <f>IFERROR(__xludf.DUMMYFUNCTION("FILTER('CLASFICACIÓN'!$F$3:$F5618,'CLASFICACIÓN'!$G$3:$G5618=M3337)"),"SOLO 2022 Y 2024")</f>
        <v>SOLO 2022 Y 2024</v>
      </c>
      <c r="K3337" s="16" t="str">
        <f t="array" ref="K3337">IFERROR(DGET('PADD-R'!$B$1:$K5618,'PADD-R'!$K$1,{'PADD-R'!$B$1;E3337}),"NO PARTICIPÓ")</f>
        <v>PADD 2023 Y 2024</v>
      </c>
      <c r="L3337" s="14" t="s">
        <v>67</v>
      </c>
      <c r="M3337" s="16" t="str">
        <f t="shared" si="1"/>
        <v>883274 Primaria</v>
      </c>
      <c r="N3337" s="23"/>
      <c r="O3337" s="17"/>
      <c r="P3337" s="17"/>
      <c r="Q3337" s="17"/>
      <c r="R3337" s="17"/>
      <c r="S3337" s="17"/>
      <c r="T3337" s="17"/>
    </row>
    <row r="3338">
      <c r="A3338" s="18">
        <v>3679.0</v>
      </c>
      <c r="B3338" s="12" t="s">
        <v>64</v>
      </c>
      <c r="C3338" s="12" t="s">
        <v>14</v>
      </c>
      <c r="D3338" s="20" t="s">
        <v>22</v>
      </c>
      <c r="E3338" s="12" t="str">
        <f>IFERROR(__xludf.DUMMYFUNCTION("FILTER(colegios!$B$2:$B5618,colegios!$A$2:$A5618=L3338)"),"88327")</f>
        <v>88327</v>
      </c>
      <c r="F3338" s="14" t="s">
        <v>16</v>
      </c>
      <c r="G3338" s="20" t="s">
        <v>21</v>
      </c>
      <c r="H3338" s="14" t="s">
        <v>18</v>
      </c>
      <c r="I3338" s="15">
        <v>2022.0</v>
      </c>
      <c r="J3338" s="16" t="str">
        <f>IFERROR(__xludf.DUMMYFUNCTION("FILTER('CLASFICACIÓN'!$F$3:$F5618,'CLASFICACIÓN'!$G$3:$G5618=M3338)"),"SOLO 2022 Y 2024")</f>
        <v>SOLO 2022 Y 2024</v>
      </c>
      <c r="K3338" s="16" t="str">
        <f t="array" ref="K3338">IFERROR(DGET('PADD-R'!$B$1:$K5618,'PADD-R'!$K$1,{'PADD-R'!$B$1;E3338}),"NO PARTICIPÓ")</f>
        <v>PADD 2023 Y 2024</v>
      </c>
      <c r="L3338" s="14" t="s">
        <v>67</v>
      </c>
      <c r="M3338" s="16" t="str">
        <f t="shared" si="1"/>
        <v>883276 Primaria</v>
      </c>
      <c r="N3338" s="23"/>
      <c r="O3338" s="17"/>
      <c r="P3338" s="17"/>
      <c r="Q3338" s="17"/>
      <c r="R3338" s="17"/>
      <c r="S3338" s="17"/>
      <c r="T3338" s="17"/>
    </row>
    <row r="3339">
      <c r="A3339" s="18">
        <v>3680.0</v>
      </c>
      <c r="B3339" s="12" t="s">
        <v>64</v>
      </c>
      <c r="C3339" s="12" t="s">
        <v>14</v>
      </c>
      <c r="D3339" s="20" t="s">
        <v>22</v>
      </c>
      <c r="E3339" s="12" t="str">
        <f>IFERROR(__xludf.DUMMYFUNCTION("FILTER(colegios!$B$2:$B5618,colegios!$A$2:$A5618=L3339)"),"88327")</f>
        <v>88327</v>
      </c>
      <c r="F3339" s="14" t="s">
        <v>16</v>
      </c>
      <c r="G3339" s="20" t="s">
        <v>21</v>
      </c>
      <c r="H3339" s="14" t="s">
        <v>18</v>
      </c>
      <c r="I3339" s="15">
        <v>2022.0</v>
      </c>
      <c r="J3339" s="16" t="str">
        <f>IFERROR(__xludf.DUMMYFUNCTION("FILTER('CLASFICACIÓN'!$F$3:$F5618,'CLASFICACIÓN'!$G$3:$G5618=M3339)"),"SOLO 2022 Y 2024")</f>
        <v>SOLO 2022 Y 2024</v>
      </c>
      <c r="K3339" s="16" t="str">
        <f t="array" ref="K3339">IFERROR(DGET('PADD-R'!$B$1:$K5618,'PADD-R'!$K$1,{'PADD-R'!$B$1;E3339}),"NO PARTICIPÓ")</f>
        <v>PADD 2023 Y 2024</v>
      </c>
      <c r="L3339" s="14" t="s">
        <v>67</v>
      </c>
      <c r="M3339" s="16" t="str">
        <f t="shared" si="1"/>
        <v>883276 Primaria</v>
      </c>
      <c r="N3339" s="23"/>
      <c r="O3339" s="17"/>
      <c r="P3339" s="17"/>
      <c r="Q3339" s="17"/>
      <c r="R3339" s="17"/>
      <c r="S3339" s="17"/>
      <c r="T3339" s="17"/>
    </row>
    <row r="3340">
      <c r="A3340" s="18">
        <v>3681.0</v>
      </c>
      <c r="B3340" s="12" t="s">
        <v>64</v>
      </c>
      <c r="C3340" s="12" t="s">
        <v>14</v>
      </c>
      <c r="D3340" s="20" t="s">
        <v>22</v>
      </c>
      <c r="E3340" s="12" t="str">
        <f>IFERROR(__xludf.DUMMYFUNCTION("FILTER(colegios!$B$2:$B5618,colegios!$A$2:$A5618=L3340)"),"88327")</f>
        <v>88327</v>
      </c>
      <c r="F3340" s="14" t="s">
        <v>16</v>
      </c>
      <c r="G3340" s="20" t="s">
        <v>21</v>
      </c>
      <c r="H3340" s="14" t="s">
        <v>18</v>
      </c>
      <c r="I3340" s="15">
        <v>2022.0</v>
      </c>
      <c r="J3340" s="16" t="str">
        <f>IFERROR(__xludf.DUMMYFUNCTION("FILTER('CLASFICACIÓN'!$F$3:$F5618,'CLASFICACIÓN'!$G$3:$G5618=M3340)"),"SOLO 2022 Y 2024")</f>
        <v>SOLO 2022 Y 2024</v>
      </c>
      <c r="K3340" s="16" t="str">
        <f t="array" ref="K3340">IFERROR(DGET('PADD-R'!$B$1:$K5618,'PADD-R'!$K$1,{'PADD-R'!$B$1;E3340}),"NO PARTICIPÓ")</f>
        <v>PADD 2023 Y 2024</v>
      </c>
      <c r="L3340" s="14" t="s">
        <v>67</v>
      </c>
      <c r="M3340" s="16" t="str">
        <f t="shared" si="1"/>
        <v>883276 Primaria</v>
      </c>
      <c r="N3340" s="23"/>
      <c r="O3340" s="17"/>
      <c r="P3340" s="17"/>
      <c r="Q3340" s="17"/>
      <c r="R3340" s="17"/>
      <c r="S3340" s="17"/>
      <c r="T3340" s="17"/>
    </row>
    <row r="3341">
      <c r="A3341" s="18">
        <v>3682.0</v>
      </c>
      <c r="B3341" s="12" t="s">
        <v>64</v>
      </c>
      <c r="C3341" s="12" t="s">
        <v>14</v>
      </c>
      <c r="D3341" s="20" t="s">
        <v>22</v>
      </c>
      <c r="E3341" s="12" t="str">
        <f>IFERROR(__xludf.DUMMYFUNCTION("FILTER(colegios!$B$2:$B5618,colegios!$A$2:$A5618=L3341)"),"88327")</f>
        <v>88327</v>
      </c>
      <c r="F3341" s="14" t="s">
        <v>16</v>
      </c>
      <c r="G3341" s="20" t="s">
        <v>21</v>
      </c>
      <c r="H3341" s="14" t="s">
        <v>18</v>
      </c>
      <c r="I3341" s="15">
        <v>2022.0</v>
      </c>
      <c r="J3341" s="16" t="str">
        <f>IFERROR(__xludf.DUMMYFUNCTION("FILTER('CLASFICACIÓN'!$F$3:$F5618,'CLASFICACIÓN'!$G$3:$G5618=M3341)"),"SOLO 2022 Y 2024")</f>
        <v>SOLO 2022 Y 2024</v>
      </c>
      <c r="K3341" s="16" t="str">
        <f t="array" ref="K3341">IFERROR(DGET('PADD-R'!$B$1:$K5618,'PADD-R'!$K$1,{'PADD-R'!$B$1;E3341}),"NO PARTICIPÓ")</f>
        <v>PADD 2023 Y 2024</v>
      </c>
      <c r="L3341" s="14" t="s">
        <v>67</v>
      </c>
      <c r="M3341" s="16" t="str">
        <f t="shared" si="1"/>
        <v>883276 Primaria</v>
      </c>
      <c r="N3341" s="23"/>
      <c r="O3341" s="17"/>
      <c r="P3341" s="17"/>
      <c r="Q3341" s="17"/>
      <c r="R3341" s="17"/>
      <c r="S3341" s="17"/>
      <c r="T3341" s="17"/>
    </row>
    <row r="3342">
      <c r="A3342" s="18">
        <v>3683.0</v>
      </c>
      <c r="B3342" s="12" t="s">
        <v>64</v>
      </c>
      <c r="C3342" s="12" t="s">
        <v>14</v>
      </c>
      <c r="D3342" s="20" t="s">
        <v>22</v>
      </c>
      <c r="E3342" s="12" t="str">
        <f>IFERROR(__xludf.DUMMYFUNCTION("FILTER(colegios!$B$2:$B5618,colegios!$A$2:$A5618=L3342)"),"88327")</f>
        <v>88327</v>
      </c>
      <c r="F3342" s="14" t="s">
        <v>16</v>
      </c>
      <c r="G3342" s="20" t="s">
        <v>21</v>
      </c>
      <c r="H3342" s="14" t="s">
        <v>18</v>
      </c>
      <c r="I3342" s="15">
        <v>2022.0</v>
      </c>
      <c r="J3342" s="16" t="str">
        <f>IFERROR(__xludf.DUMMYFUNCTION("FILTER('CLASFICACIÓN'!$F$3:$F5618,'CLASFICACIÓN'!$G$3:$G5618=M3342)"),"SOLO 2022 Y 2024")</f>
        <v>SOLO 2022 Y 2024</v>
      </c>
      <c r="K3342" s="16" t="str">
        <f t="array" ref="K3342">IFERROR(DGET('PADD-R'!$B$1:$K5618,'PADD-R'!$K$1,{'PADD-R'!$B$1;E3342}),"NO PARTICIPÓ")</f>
        <v>PADD 2023 Y 2024</v>
      </c>
      <c r="L3342" s="14" t="s">
        <v>67</v>
      </c>
      <c r="M3342" s="16" t="str">
        <f t="shared" si="1"/>
        <v>883276 Primaria</v>
      </c>
      <c r="N3342" s="23"/>
      <c r="O3342" s="17"/>
      <c r="P3342" s="17"/>
      <c r="Q3342" s="17"/>
      <c r="R3342" s="17"/>
      <c r="S3342" s="17"/>
      <c r="T3342" s="17"/>
    </row>
    <row r="3343">
      <c r="A3343" s="18">
        <v>3684.0</v>
      </c>
      <c r="B3343" s="12" t="s">
        <v>64</v>
      </c>
      <c r="C3343" s="12" t="s">
        <v>14</v>
      </c>
      <c r="D3343" s="20" t="s">
        <v>22</v>
      </c>
      <c r="E3343" s="12" t="str">
        <f>IFERROR(__xludf.DUMMYFUNCTION("FILTER(colegios!$B$2:$B5618,colegios!$A$2:$A5618=L3343)"),"88327")</f>
        <v>88327</v>
      </c>
      <c r="F3343" s="14" t="s">
        <v>16</v>
      </c>
      <c r="G3343" s="20" t="s">
        <v>17</v>
      </c>
      <c r="H3343" s="14" t="s">
        <v>18</v>
      </c>
      <c r="I3343" s="15">
        <v>2022.0</v>
      </c>
      <c r="J3343" s="16" t="str">
        <f>IFERROR(__xludf.DUMMYFUNCTION("FILTER('CLASFICACIÓN'!$F$3:$F5618,'CLASFICACIÓN'!$G$3:$G5618=M3343)"),"SOLO 2022 Y 2024")</f>
        <v>SOLO 2022 Y 2024</v>
      </c>
      <c r="K3343" s="16" t="str">
        <f t="array" ref="K3343">IFERROR(DGET('PADD-R'!$B$1:$K5618,'PADD-R'!$K$1,{'PADD-R'!$B$1;E3343}),"NO PARTICIPÓ")</f>
        <v>PADD 2023 Y 2024</v>
      </c>
      <c r="L3343" s="14" t="s">
        <v>67</v>
      </c>
      <c r="M3343" s="16" t="str">
        <f t="shared" si="1"/>
        <v>883276 Primaria</v>
      </c>
      <c r="N3343" s="23"/>
      <c r="O3343" s="17"/>
      <c r="P3343" s="17"/>
      <c r="Q3343" s="17"/>
      <c r="R3343" s="17"/>
      <c r="S3343" s="17"/>
      <c r="T3343" s="17"/>
    </row>
    <row r="3344">
      <c r="A3344" s="18">
        <v>3685.0</v>
      </c>
      <c r="B3344" s="12" t="s">
        <v>64</v>
      </c>
      <c r="C3344" s="12" t="s">
        <v>14</v>
      </c>
      <c r="D3344" s="20" t="s">
        <v>22</v>
      </c>
      <c r="E3344" s="12" t="str">
        <f>IFERROR(__xludf.DUMMYFUNCTION("FILTER(colegios!$B$2:$B5618,colegios!$A$2:$A5618=L3344)"),"88327")</f>
        <v>88327</v>
      </c>
      <c r="F3344" s="14" t="s">
        <v>16</v>
      </c>
      <c r="G3344" s="20" t="s">
        <v>21</v>
      </c>
      <c r="H3344" s="14" t="s">
        <v>18</v>
      </c>
      <c r="I3344" s="15">
        <v>2022.0</v>
      </c>
      <c r="J3344" s="16" t="str">
        <f>IFERROR(__xludf.DUMMYFUNCTION("FILTER('CLASFICACIÓN'!$F$3:$F5618,'CLASFICACIÓN'!$G$3:$G5618=M3344)"),"SOLO 2022 Y 2024")</f>
        <v>SOLO 2022 Y 2024</v>
      </c>
      <c r="K3344" s="16" t="str">
        <f t="array" ref="K3344">IFERROR(DGET('PADD-R'!$B$1:$K5618,'PADD-R'!$K$1,{'PADD-R'!$B$1;E3344}),"NO PARTICIPÓ")</f>
        <v>PADD 2023 Y 2024</v>
      </c>
      <c r="L3344" s="14" t="s">
        <v>67</v>
      </c>
      <c r="M3344" s="16" t="str">
        <f t="shared" si="1"/>
        <v>883276 Primaria</v>
      </c>
      <c r="N3344" s="23"/>
      <c r="O3344" s="17"/>
      <c r="P3344" s="17"/>
      <c r="Q3344" s="17"/>
      <c r="R3344" s="17"/>
      <c r="S3344" s="17"/>
      <c r="T3344" s="17"/>
    </row>
    <row r="3345">
      <c r="A3345" s="18">
        <v>3689.0</v>
      </c>
      <c r="B3345" s="12" t="s">
        <v>64</v>
      </c>
      <c r="C3345" s="12" t="s">
        <v>14</v>
      </c>
      <c r="D3345" s="20" t="s">
        <v>15</v>
      </c>
      <c r="E3345" s="12" t="str">
        <f>IFERROR(__xludf.DUMMYFUNCTION("FILTER(colegios!$B$2:$B5618,colegios!$A$2:$A5618=L3345)"),"86809")</f>
        <v>86809</v>
      </c>
      <c r="F3345" s="14" t="s">
        <v>16</v>
      </c>
      <c r="G3345" s="20" t="s">
        <v>21</v>
      </c>
      <c r="H3345" s="14" t="s">
        <v>18</v>
      </c>
      <c r="I3345" s="15">
        <v>2022.0</v>
      </c>
      <c r="J3345" s="16" t="str">
        <f>IFERROR(__xludf.DUMMYFUNCTION("FILTER('CLASFICACIÓN'!$F$3:$F5618,'CLASFICACIÓN'!$G$3:$G5618=M3345)"),"LOS 3 AÑOS")</f>
        <v>LOS 3 AÑOS</v>
      </c>
      <c r="K3345" s="16" t="str">
        <f t="array" ref="K3345">IFERROR(DGET('PADD-R'!$B$1:$K5618,'PADD-R'!$K$1,{'PADD-R'!$B$1;E3345}),"NO PARTICIPÓ")</f>
        <v>SOLO 2023</v>
      </c>
      <c r="L3345" s="14" t="s">
        <v>155</v>
      </c>
      <c r="M3345" s="16" t="str">
        <f t="shared" si="1"/>
        <v>868092 Primaria</v>
      </c>
      <c r="N3345" s="23"/>
      <c r="O3345" s="17"/>
      <c r="P3345" s="17"/>
      <c r="Q3345" s="17"/>
      <c r="R3345" s="17"/>
      <c r="S3345" s="17"/>
      <c r="T3345" s="17"/>
    </row>
    <row r="3346">
      <c r="A3346" s="18">
        <v>3690.0</v>
      </c>
      <c r="B3346" s="12" t="s">
        <v>64</v>
      </c>
      <c r="C3346" s="12" t="s">
        <v>14</v>
      </c>
      <c r="D3346" s="20" t="s">
        <v>15</v>
      </c>
      <c r="E3346" s="12" t="str">
        <f>IFERROR(__xludf.DUMMYFUNCTION("FILTER(colegios!$B$2:$B5618,colegios!$A$2:$A5618=L3346)"),"86809")</f>
        <v>86809</v>
      </c>
      <c r="F3346" s="14" t="s">
        <v>16</v>
      </c>
      <c r="G3346" s="20" t="s">
        <v>21</v>
      </c>
      <c r="H3346" s="14" t="s">
        <v>18</v>
      </c>
      <c r="I3346" s="15">
        <v>2022.0</v>
      </c>
      <c r="J3346" s="16" t="str">
        <f>IFERROR(__xludf.DUMMYFUNCTION("FILTER('CLASFICACIÓN'!$F$3:$F5618,'CLASFICACIÓN'!$G$3:$G5618=M3346)"),"LOS 3 AÑOS")</f>
        <v>LOS 3 AÑOS</v>
      </c>
      <c r="K3346" s="16" t="str">
        <f t="array" ref="K3346">IFERROR(DGET('PADD-R'!$B$1:$K5618,'PADD-R'!$K$1,{'PADD-R'!$B$1;E3346}),"NO PARTICIPÓ")</f>
        <v>SOLO 2023</v>
      </c>
      <c r="L3346" s="14" t="s">
        <v>155</v>
      </c>
      <c r="M3346" s="16" t="str">
        <f t="shared" si="1"/>
        <v>868092 Primaria</v>
      </c>
      <c r="N3346" s="23"/>
      <c r="O3346" s="17"/>
      <c r="P3346" s="17"/>
      <c r="Q3346" s="17"/>
      <c r="R3346" s="17"/>
      <c r="S3346" s="17"/>
      <c r="T3346" s="17"/>
    </row>
    <row r="3347">
      <c r="A3347" s="18">
        <v>3691.0</v>
      </c>
      <c r="B3347" s="12" t="s">
        <v>64</v>
      </c>
      <c r="C3347" s="12" t="s">
        <v>14</v>
      </c>
      <c r="D3347" s="20" t="s">
        <v>15</v>
      </c>
      <c r="E3347" s="12" t="str">
        <f>IFERROR(__xludf.DUMMYFUNCTION("FILTER(colegios!$B$2:$B5618,colegios!$A$2:$A5618=L3347)"),"86809")</f>
        <v>86809</v>
      </c>
      <c r="F3347" s="14" t="s">
        <v>16</v>
      </c>
      <c r="G3347" s="20" t="s">
        <v>17</v>
      </c>
      <c r="H3347" s="14" t="s">
        <v>18</v>
      </c>
      <c r="I3347" s="15">
        <v>2022.0</v>
      </c>
      <c r="J3347" s="16" t="str">
        <f>IFERROR(__xludf.DUMMYFUNCTION("FILTER('CLASFICACIÓN'!$F$3:$F5618,'CLASFICACIÓN'!$G$3:$G5618=M3347)"),"LOS 3 AÑOS")</f>
        <v>LOS 3 AÑOS</v>
      </c>
      <c r="K3347" s="16" t="str">
        <f t="array" ref="K3347">IFERROR(DGET('PADD-R'!$B$1:$K5618,'PADD-R'!$K$1,{'PADD-R'!$B$1;E3347}),"NO PARTICIPÓ")</f>
        <v>SOLO 2023</v>
      </c>
      <c r="L3347" s="14" t="s">
        <v>155</v>
      </c>
      <c r="M3347" s="16" t="str">
        <f t="shared" si="1"/>
        <v>868092 Primaria</v>
      </c>
      <c r="N3347" s="23"/>
      <c r="O3347" s="17"/>
      <c r="P3347" s="17"/>
      <c r="Q3347" s="17"/>
      <c r="R3347" s="17"/>
      <c r="S3347" s="17"/>
      <c r="T3347" s="17"/>
    </row>
    <row r="3348">
      <c r="A3348" s="18">
        <v>3692.0</v>
      </c>
      <c r="B3348" s="12" t="s">
        <v>64</v>
      </c>
      <c r="C3348" s="12" t="s">
        <v>14</v>
      </c>
      <c r="D3348" s="20" t="s">
        <v>15</v>
      </c>
      <c r="E3348" s="12" t="str">
        <f>IFERROR(__xludf.DUMMYFUNCTION("FILTER(colegios!$B$2:$B5618,colegios!$A$2:$A5618=L3348)"),"86809")</f>
        <v>86809</v>
      </c>
      <c r="F3348" s="14" t="s">
        <v>16</v>
      </c>
      <c r="G3348" s="20" t="s">
        <v>17</v>
      </c>
      <c r="H3348" s="14" t="s">
        <v>18</v>
      </c>
      <c r="I3348" s="15">
        <v>2022.0</v>
      </c>
      <c r="J3348" s="16" t="str">
        <f>IFERROR(__xludf.DUMMYFUNCTION("FILTER('CLASFICACIÓN'!$F$3:$F5618,'CLASFICACIÓN'!$G$3:$G5618=M3348)"),"LOS 3 AÑOS")</f>
        <v>LOS 3 AÑOS</v>
      </c>
      <c r="K3348" s="16" t="str">
        <f t="array" ref="K3348">IFERROR(DGET('PADD-R'!$B$1:$K5618,'PADD-R'!$K$1,{'PADD-R'!$B$1;E3348}),"NO PARTICIPÓ")</f>
        <v>SOLO 2023</v>
      </c>
      <c r="L3348" s="14" t="s">
        <v>155</v>
      </c>
      <c r="M3348" s="16" t="str">
        <f t="shared" si="1"/>
        <v>868092 Primaria</v>
      </c>
      <c r="N3348" s="23"/>
      <c r="O3348" s="17"/>
      <c r="P3348" s="17"/>
      <c r="Q3348" s="17"/>
      <c r="R3348" s="17"/>
      <c r="S3348" s="17"/>
      <c r="T3348" s="17"/>
    </row>
    <row r="3349">
      <c r="A3349" s="18">
        <v>3693.0</v>
      </c>
      <c r="B3349" s="12" t="s">
        <v>64</v>
      </c>
      <c r="C3349" s="12" t="s">
        <v>14</v>
      </c>
      <c r="D3349" s="20" t="s">
        <v>20</v>
      </c>
      <c r="E3349" s="12" t="str">
        <f>IFERROR(__xludf.DUMMYFUNCTION("FILTER(colegios!$B$2:$B5618,colegios!$A$2:$A5618=L3349)"),"86809")</f>
        <v>86809</v>
      </c>
      <c r="F3349" s="14" t="s">
        <v>16</v>
      </c>
      <c r="G3349" s="20" t="s">
        <v>21</v>
      </c>
      <c r="H3349" s="14" t="s">
        <v>24</v>
      </c>
      <c r="I3349" s="15">
        <v>2022.0</v>
      </c>
      <c r="J3349" s="16" t="str">
        <f>IFERROR(__xludf.DUMMYFUNCTION("FILTER('CLASFICACIÓN'!$F$3:$F5618,'CLASFICACIÓN'!$G$3:$G5618=M3349)"),"LOS 3 AÑOS")</f>
        <v>LOS 3 AÑOS</v>
      </c>
      <c r="K3349" s="16" t="str">
        <f t="array" ref="K3349">IFERROR(DGET('PADD-R'!$B$1:$K5618,'PADD-R'!$K$1,{'PADD-R'!$B$1;E3349}),"NO PARTICIPÓ")</f>
        <v>SOLO 2023</v>
      </c>
      <c r="L3349" s="14" t="s">
        <v>155</v>
      </c>
      <c r="M3349" s="16" t="str">
        <f t="shared" si="1"/>
        <v>868094 Primaria</v>
      </c>
      <c r="N3349" s="23"/>
      <c r="O3349" s="17"/>
      <c r="P3349" s="17"/>
      <c r="Q3349" s="17"/>
      <c r="R3349" s="17"/>
      <c r="S3349" s="17"/>
      <c r="T3349" s="17"/>
    </row>
    <row r="3350">
      <c r="A3350" s="18">
        <v>3694.0</v>
      </c>
      <c r="B3350" s="12" t="s">
        <v>64</v>
      </c>
      <c r="C3350" s="12" t="s">
        <v>14</v>
      </c>
      <c r="D3350" s="20" t="s">
        <v>20</v>
      </c>
      <c r="E3350" s="12" t="str">
        <f>IFERROR(__xludf.DUMMYFUNCTION("FILTER(colegios!$B$2:$B5618,colegios!$A$2:$A5618=L3350)"),"86809")</f>
        <v>86809</v>
      </c>
      <c r="F3350" s="14" t="s">
        <v>16</v>
      </c>
      <c r="G3350" s="20" t="s">
        <v>17</v>
      </c>
      <c r="H3350" s="14" t="s">
        <v>18</v>
      </c>
      <c r="I3350" s="15">
        <v>2022.0</v>
      </c>
      <c r="J3350" s="16" t="str">
        <f>IFERROR(__xludf.DUMMYFUNCTION("FILTER('CLASFICACIÓN'!$F$3:$F5618,'CLASFICACIÓN'!$G$3:$G5618=M3350)"),"LOS 3 AÑOS")</f>
        <v>LOS 3 AÑOS</v>
      </c>
      <c r="K3350" s="16" t="str">
        <f t="array" ref="K3350">IFERROR(DGET('PADD-R'!$B$1:$K5618,'PADD-R'!$K$1,{'PADD-R'!$B$1;E3350}),"NO PARTICIPÓ")</f>
        <v>SOLO 2023</v>
      </c>
      <c r="L3350" s="14" t="s">
        <v>155</v>
      </c>
      <c r="M3350" s="16" t="str">
        <f t="shared" si="1"/>
        <v>868094 Primaria</v>
      </c>
      <c r="N3350" s="23"/>
      <c r="O3350" s="17"/>
      <c r="P3350" s="17"/>
      <c r="Q3350" s="17"/>
      <c r="R3350" s="17"/>
      <c r="S3350" s="17"/>
      <c r="T3350" s="17"/>
    </row>
    <row r="3351">
      <c r="A3351" s="18">
        <v>3695.0</v>
      </c>
      <c r="B3351" s="12" t="s">
        <v>64</v>
      </c>
      <c r="C3351" s="12" t="s">
        <v>14</v>
      </c>
      <c r="D3351" s="20" t="s">
        <v>22</v>
      </c>
      <c r="E3351" s="12" t="str">
        <f>IFERROR(__xludf.DUMMYFUNCTION("FILTER(colegios!$B$2:$B5618,colegios!$A$2:$A5618=L3351)"),"86809")</f>
        <v>86809</v>
      </c>
      <c r="F3351" s="14" t="s">
        <v>16</v>
      </c>
      <c r="G3351" s="20" t="s">
        <v>21</v>
      </c>
      <c r="H3351" s="14" t="s">
        <v>18</v>
      </c>
      <c r="I3351" s="15">
        <v>2022.0</v>
      </c>
      <c r="J3351" s="16" t="str">
        <f>IFERROR(__xludf.DUMMYFUNCTION("FILTER('CLASFICACIÓN'!$F$3:$F5618,'CLASFICACIÓN'!$G$3:$G5618=M3351)"),"LOS 3 AÑOS")</f>
        <v>LOS 3 AÑOS</v>
      </c>
      <c r="K3351" s="16" t="str">
        <f t="array" ref="K3351">IFERROR(DGET('PADD-R'!$B$1:$K5618,'PADD-R'!$K$1,{'PADD-R'!$B$1;E3351}),"NO PARTICIPÓ")</f>
        <v>SOLO 2023</v>
      </c>
      <c r="L3351" s="14" t="s">
        <v>155</v>
      </c>
      <c r="M3351" s="16" t="str">
        <f t="shared" si="1"/>
        <v>868096 Primaria</v>
      </c>
      <c r="N3351" s="23"/>
      <c r="O3351" s="17"/>
      <c r="P3351" s="17"/>
      <c r="Q3351" s="17"/>
      <c r="R3351" s="17"/>
      <c r="S3351" s="17"/>
      <c r="T3351" s="17"/>
    </row>
    <row r="3352">
      <c r="A3352" s="18">
        <v>3696.0</v>
      </c>
      <c r="B3352" s="12" t="s">
        <v>64</v>
      </c>
      <c r="C3352" s="12" t="s">
        <v>14</v>
      </c>
      <c r="D3352" s="20" t="s">
        <v>22</v>
      </c>
      <c r="E3352" s="12" t="str">
        <f>IFERROR(__xludf.DUMMYFUNCTION("FILTER(colegios!$B$2:$B5618,colegios!$A$2:$A5618=L3352)"),"86809")</f>
        <v>86809</v>
      </c>
      <c r="F3352" s="14" t="s">
        <v>16</v>
      </c>
      <c r="G3352" s="20" t="s">
        <v>17</v>
      </c>
      <c r="H3352" s="14" t="s">
        <v>18</v>
      </c>
      <c r="I3352" s="15">
        <v>2022.0</v>
      </c>
      <c r="J3352" s="16" t="str">
        <f>IFERROR(__xludf.DUMMYFUNCTION("FILTER('CLASFICACIÓN'!$F$3:$F5618,'CLASFICACIÓN'!$G$3:$G5618=M3352)"),"LOS 3 AÑOS")</f>
        <v>LOS 3 AÑOS</v>
      </c>
      <c r="K3352" s="16" t="str">
        <f t="array" ref="K3352">IFERROR(DGET('PADD-R'!$B$1:$K5618,'PADD-R'!$K$1,{'PADD-R'!$B$1;E3352}),"NO PARTICIPÓ")</f>
        <v>SOLO 2023</v>
      </c>
      <c r="L3352" s="14" t="s">
        <v>155</v>
      </c>
      <c r="M3352" s="16" t="str">
        <f t="shared" si="1"/>
        <v>868096 Primaria</v>
      </c>
      <c r="N3352" s="23"/>
      <c r="O3352" s="17"/>
      <c r="P3352" s="17"/>
      <c r="Q3352" s="17"/>
      <c r="R3352" s="17"/>
      <c r="S3352" s="17"/>
      <c r="T3352" s="17"/>
    </row>
    <row r="3353">
      <c r="A3353" s="18">
        <v>3697.0</v>
      </c>
      <c r="B3353" s="12" t="s">
        <v>64</v>
      </c>
      <c r="C3353" s="12" t="s">
        <v>14</v>
      </c>
      <c r="D3353" s="20" t="s">
        <v>22</v>
      </c>
      <c r="E3353" s="12" t="str">
        <f>IFERROR(__xludf.DUMMYFUNCTION("FILTER(colegios!$B$2:$B5618,colegios!$A$2:$A5618=L3353)"),"86809")</f>
        <v>86809</v>
      </c>
      <c r="F3353" s="14" t="s">
        <v>16</v>
      </c>
      <c r="G3353" s="20" t="s">
        <v>21</v>
      </c>
      <c r="H3353" s="14" t="s">
        <v>18</v>
      </c>
      <c r="I3353" s="15">
        <v>2022.0</v>
      </c>
      <c r="J3353" s="16" t="str">
        <f>IFERROR(__xludf.DUMMYFUNCTION("FILTER('CLASFICACIÓN'!$F$3:$F5618,'CLASFICACIÓN'!$G$3:$G5618=M3353)"),"LOS 3 AÑOS")</f>
        <v>LOS 3 AÑOS</v>
      </c>
      <c r="K3353" s="16" t="str">
        <f t="array" ref="K3353">IFERROR(DGET('PADD-R'!$B$1:$K5618,'PADD-R'!$K$1,{'PADD-R'!$B$1;E3353}),"NO PARTICIPÓ")</f>
        <v>SOLO 2023</v>
      </c>
      <c r="L3353" s="14" t="s">
        <v>155</v>
      </c>
      <c r="M3353" s="16" t="str">
        <f t="shared" si="1"/>
        <v>868096 Primaria</v>
      </c>
      <c r="N3353" s="23"/>
      <c r="O3353" s="17"/>
      <c r="P3353" s="17"/>
      <c r="Q3353" s="17"/>
      <c r="R3353" s="17"/>
      <c r="S3353" s="17"/>
      <c r="T3353" s="17"/>
    </row>
    <row r="3354">
      <c r="A3354" s="18">
        <v>3698.0</v>
      </c>
      <c r="B3354" s="12" t="s">
        <v>64</v>
      </c>
      <c r="C3354" s="12" t="s">
        <v>14</v>
      </c>
      <c r="D3354" s="20" t="s">
        <v>22</v>
      </c>
      <c r="E3354" s="12" t="str">
        <f>IFERROR(__xludf.DUMMYFUNCTION("FILTER(colegios!$B$2:$B5618,colegios!$A$2:$A5618=L3354)"),"86809")</f>
        <v>86809</v>
      </c>
      <c r="F3354" s="14" t="s">
        <v>16</v>
      </c>
      <c r="G3354" s="20" t="s">
        <v>21</v>
      </c>
      <c r="H3354" s="14" t="s">
        <v>18</v>
      </c>
      <c r="I3354" s="15">
        <v>2022.0</v>
      </c>
      <c r="J3354" s="16" t="str">
        <f>IFERROR(__xludf.DUMMYFUNCTION("FILTER('CLASFICACIÓN'!$F$3:$F5618,'CLASFICACIÓN'!$G$3:$G5618=M3354)"),"LOS 3 AÑOS")</f>
        <v>LOS 3 AÑOS</v>
      </c>
      <c r="K3354" s="16" t="str">
        <f t="array" ref="K3354">IFERROR(DGET('PADD-R'!$B$1:$K5618,'PADD-R'!$K$1,{'PADD-R'!$B$1;E3354}),"NO PARTICIPÓ")</f>
        <v>SOLO 2023</v>
      </c>
      <c r="L3354" s="14" t="s">
        <v>155</v>
      </c>
      <c r="M3354" s="16" t="str">
        <f t="shared" si="1"/>
        <v>868096 Primaria</v>
      </c>
      <c r="N3354" s="23"/>
      <c r="O3354" s="17"/>
      <c r="P3354" s="17"/>
      <c r="Q3354" s="17"/>
      <c r="R3354" s="17"/>
      <c r="S3354" s="17"/>
      <c r="T3354" s="17"/>
    </row>
    <row r="3355">
      <c r="A3355" s="18">
        <v>3701.0</v>
      </c>
      <c r="B3355" s="12" t="s">
        <v>64</v>
      </c>
      <c r="C3355" s="12" t="s">
        <v>14</v>
      </c>
      <c r="D3355" s="20" t="s">
        <v>15</v>
      </c>
      <c r="E3355" s="12" t="str">
        <f>IFERROR(__xludf.DUMMYFUNCTION("FILTER(colegios!$B$2:$B5618,colegios!$A$2:$A5618=L3355)"),"86769 ABRAHAM VALDELOMAR")</f>
        <v>86769 ABRAHAM VALDELOMAR</v>
      </c>
      <c r="F3355" s="14" t="s">
        <v>16</v>
      </c>
      <c r="G3355" s="20" t="s">
        <v>17</v>
      </c>
      <c r="H3355" s="14" t="s">
        <v>18</v>
      </c>
      <c r="I3355" s="15">
        <v>2022.0</v>
      </c>
      <c r="J3355" s="16" t="str">
        <f>IFERROR(__xludf.DUMMYFUNCTION("FILTER('CLASFICACIÓN'!$F$3:$F5618,'CLASFICACIÓN'!$G$3:$G5618=M3355)"),"SOLO 2022 Y 2024")</f>
        <v>SOLO 2022 Y 2024</v>
      </c>
      <c r="K3355" s="16" t="str">
        <f t="array" ref="K3355">IFERROR(DGET('PADD-R'!$B$1:$K5618,'PADD-R'!$K$1,{'PADD-R'!$B$1;E3355}),"NO PARTICIPÓ")</f>
        <v>SOLO 2024</v>
      </c>
      <c r="L3355" s="14" t="s">
        <v>156</v>
      </c>
      <c r="M3355" s="16" t="str">
        <f t="shared" si="1"/>
        <v>86769 ABRAHAM VALDELOMAR2 Primaria</v>
      </c>
      <c r="N3355" s="23"/>
      <c r="O3355" s="17"/>
      <c r="P3355" s="17"/>
      <c r="Q3355" s="17"/>
      <c r="R3355" s="17"/>
      <c r="S3355" s="17"/>
      <c r="T3355" s="17"/>
    </row>
    <row r="3356">
      <c r="A3356" s="18">
        <v>3702.0</v>
      </c>
      <c r="B3356" s="12" t="s">
        <v>64</v>
      </c>
      <c r="C3356" s="12" t="s">
        <v>14</v>
      </c>
      <c r="D3356" s="20" t="s">
        <v>15</v>
      </c>
      <c r="E3356" s="12" t="str">
        <f>IFERROR(__xludf.DUMMYFUNCTION("FILTER(colegios!$B$2:$B5618,colegios!$A$2:$A5618=L3356)"),"86769 ABRAHAM VALDELOMAR")</f>
        <v>86769 ABRAHAM VALDELOMAR</v>
      </c>
      <c r="F3356" s="14" t="s">
        <v>16</v>
      </c>
      <c r="G3356" s="20" t="s">
        <v>21</v>
      </c>
      <c r="H3356" s="14" t="s">
        <v>18</v>
      </c>
      <c r="I3356" s="15">
        <v>2022.0</v>
      </c>
      <c r="J3356" s="16" t="str">
        <f>IFERROR(__xludf.DUMMYFUNCTION("FILTER('CLASFICACIÓN'!$F$3:$F5618,'CLASFICACIÓN'!$G$3:$G5618=M3356)"),"SOLO 2022 Y 2024")</f>
        <v>SOLO 2022 Y 2024</v>
      </c>
      <c r="K3356" s="16" t="str">
        <f t="array" ref="K3356">IFERROR(DGET('PADD-R'!$B$1:$K5618,'PADD-R'!$K$1,{'PADD-R'!$B$1;E3356}),"NO PARTICIPÓ")</f>
        <v>SOLO 2024</v>
      </c>
      <c r="L3356" s="14" t="s">
        <v>156</v>
      </c>
      <c r="M3356" s="16" t="str">
        <f t="shared" si="1"/>
        <v>86769 ABRAHAM VALDELOMAR2 Primaria</v>
      </c>
      <c r="N3356" s="23"/>
      <c r="O3356" s="17"/>
      <c r="P3356" s="17"/>
      <c r="Q3356" s="17"/>
      <c r="R3356" s="17"/>
      <c r="S3356" s="17"/>
      <c r="T3356" s="17"/>
    </row>
    <row r="3357">
      <c r="A3357" s="18">
        <v>3703.0</v>
      </c>
      <c r="B3357" s="12" t="s">
        <v>64</v>
      </c>
      <c r="C3357" s="12" t="s">
        <v>14</v>
      </c>
      <c r="D3357" s="20" t="s">
        <v>15</v>
      </c>
      <c r="E3357" s="12" t="str">
        <f>IFERROR(__xludf.DUMMYFUNCTION("FILTER(colegios!$B$2:$B5618,colegios!$A$2:$A5618=L3357)"),"86769 ABRAHAM VALDELOMAR")</f>
        <v>86769 ABRAHAM VALDELOMAR</v>
      </c>
      <c r="F3357" s="14" t="s">
        <v>16</v>
      </c>
      <c r="G3357" s="20" t="s">
        <v>21</v>
      </c>
      <c r="H3357" s="14" t="s">
        <v>18</v>
      </c>
      <c r="I3357" s="15">
        <v>2022.0</v>
      </c>
      <c r="J3357" s="16" t="str">
        <f>IFERROR(__xludf.DUMMYFUNCTION("FILTER('CLASFICACIÓN'!$F$3:$F5618,'CLASFICACIÓN'!$G$3:$G5618=M3357)"),"SOLO 2022 Y 2024")</f>
        <v>SOLO 2022 Y 2024</v>
      </c>
      <c r="K3357" s="16" t="str">
        <f t="array" ref="K3357">IFERROR(DGET('PADD-R'!$B$1:$K5618,'PADD-R'!$K$1,{'PADD-R'!$B$1;E3357}),"NO PARTICIPÓ")</f>
        <v>SOLO 2024</v>
      </c>
      <c r="L3357" s="14" t="s">
        <v>156</v>
      </c>
      <c r="M3357" s="16" t="str">
        <f t="shared" si="1"/>
        <v>86769 ABRAHAM VALDELOMAR2 Primaria</v>
      </c>
      <c r="N3357" s="23"/>
      <c r="O3357" s="17"/>
      <c r="P3357" s="17"/>
      <c r="Q3357" s="17"/>
      <c r="R3357" s="17"/>
      <c r="S3357" s="17"/>
      <c r="T3357" s="17"/>
    </row>
    <row r="3358">
      <c r="A3358" s="18">
        <v>3704.0</v>
      </c>
      <c r="B3358" s="12" t="s">
        <v>64</v>
      </c>
      <c r="C3358" s="12" t="s">
        <v>14</v>
      </c>
      <c r="D3358" s="20" t="s">
        <v>15</v>
      </c>
      <c r="E3358" s="12" t="str">
        <f>IFERROR(__xludf.DUMMYFUNCTION("FILTER(colegios!$B$2:$B5618,colegios!$A$2:$A5618=L3358)"),"86769 ABRAHAM VALDELOMAR")</f>
        <v>86769 ABRAHAM VALDELOMAR</v>
      </c>
      <c r="F3358" s="14" t="s">
        <v>16</v>
      </c>
      <c r="G3358" s="20" t="s">
        <v>21</v>
      </c>
      <c r="H3358" s="14" t="s">
        <v>18</v>
      </c>
      <c r="I3358" s="15">
        <v>2022.0</v>
      </c>
      <c r="J3358" s="16" t="str">
        <f>IFERROR(__xludf.DUMMYFUNCTION("FILTER('CLASFICACIÓN'!$F$3:$F5618,'CLASFICACIÓN'!$G$3:$G5618=M3358)"),"SOLO 2022 Y 2024")</f>
        <v>SOLO 2022 Y 2024</v>
      </c>
      <c r="K3358" s="16" t="str">
        <f t="array" ref="K3358">IFERROR(DGET('PADD-R'!$B$1:$K5618,'PADD-R'!$K$1,{'PADD-R'!$B$1;E3358}),"NO PARTICIPÓ")</f>
        <v>SOLO 2024</v>
      </c>
      <c r="L3358" s="14" t="s">
        <v>156</v>
      </c>
      <c r="M3358" s="16" t="str">
        <f t="shared" si="1"/>
        <v>86769 ABRAHAM VALDELOMAR2 Primaria</v>
      </c>
      <c r="N3358" s="23"/>
      <c r="O3358" s="17"/>
      <c r="P3358" s="17"/>
      <c r="Q3358" s="17"/>
      <c r="R3358" s="17"/>
      <c r="S3358" s="17"/>
      <c r="T3358" s="17"/>
    </row>
    <row r="3359">
      <c r="A3359" s="18">
        <v>3705.0</v>
      </c>
      <c r="B3359" s="12" t="s">
        <v>64</v>
      </c>
      <c r="C3359" s="12" t="s">
        <v>14</v>
      </c>
      <c r="D3359" s="20" t="s">
        <v>15</v>
      </c>
      <c r="E3359" s="12" t="str">
        <f>IFERROR(__xludf.DUMMYFUNCTION("FILTER(colegios!$B$2:$B5618,colegios!$A$2:$A5618=L3359)"),"86769 ABRAHAM VALDELOMAR")</f>
        <v>86769 ABRAHAM VALDELOMAR</v>
      </c>
      <c r="F3359" s="14" t="s">
        <v>16</v>
      </c>
      <c r="G3359" s="20" t="s">
        <v>17</v>
      </c>
      <c r="H3359" s="14" t="s">
        <v>18</v>
      </c>
      <c r="I3359" s="15">
        <v>2022.0</v>
      </c>
      <c r="J3359" s="16" t="str">
        <f>IFERROR(__xludf.DUMMYFUNCTION("FILTER('CLASFICACIÓN'!$F$3:$F5618,'CLASFICACIÓN'!$G$3:$G5618=M3359)"),"SOLO 2022 Y 2024")</f>
        <v>SOLO 2022 Y 2024</v>
      </c>
      <c r="K3359" s="16" t="str">
        <f t="array" ref="K3359">IFERROR(DGET('PADD-R'!$B$1:$K5618,'PADD-R'!$K$1,{'PADD-R'!$B$1;E3359}),"NO PARTICIPÓ")</f>
        <v>SOLO 2024</v>
      </c>
      <c r="L3359" s="14" t="s">
        <v>156</v>
      </c>
      <c r="M3359" s="16" t="str">
        <f t="shared" si="1"/>
        <v>86769 ABRAHAM VALDELOMAR2 Primaria</v>
      </c>
      <c r="N3359" s="23"/>
      <c r="O3359" s="17"/>
      <c r="P3359" s="17"/>
      <c r="Q3359" s="17"/>
      <c r="R3359" s="17"/>
      <c r="S3359" s="17"/>
      <c r="T3359" s="17"/>
    </row>
    <row r="3360">
      <c r="A3360" s="18">
        <v>3706.0</v>
      </c>
      <c r="B3360" s="12" t="s">
        <v>64</v>
      </c>
      <c r="C3360" s="12" t="s">
        <v>27</v>
      </c>
      <c r="D3360" s="20" t="s">
        <v>28</v>
      </c>
      <c r="E3360" s="12" t="str">
        <f>IFERROR(__xludf.DUMMYFUNCTION("FILTER(colegios!$B$2:$B5618,colegios!$A$2:$A5618=L3360)"),"86769 ABRAHAM VALDELOMAR")</f>
        <v>86769 ABRAHAM VALDELOMAR</v>
      </c>
      <c r="F3360" s="14" t="s">
        <v>16</v>
      </c>
      <c r="G3360" s="20" t="s">
        <v>17</v>
      </c>
      <c r="H3360" s="14" t="s">
        <v>18</v>
      </c>
      <c r="I3360" s="15">
        <v>2022.0</v>
      </c>
      <c r="J3360" s="16" t="str">
        <f>IFERROR(__xludf.DUMMYFUNCTION("FILTER('CLASFICACIÓN'!$F$3:$F5618,'CLASFICACIÓN'!$G$3:$G5618=M3360)"),"SOLO 2022 Y 2024")</f>
        <v>SOLO 2022 Y 2024</v>
      </c>
      <c r="K3360" s="16" t="str">
        <f t="array" ref="K3360">IFERROR(DGET('PADD-R'!$B$1:$K5618,'PADD-R'!$K$1,{'PADD-R'!$B$1;E3360}),"NO PARTICIPÓ")</f>
        <v>SOLO 2024</v>
      </c>
      <c r="L3360" s="14" t="s">
        <v>156</v>
      </c>
      <c r="M3360" s="16" t="str">
        <f t="shared" si="1"/>
        <v>86769 ABRAHAM VALDELOMAR2 Secundaria</v>
      </c>
      <c r="N3360" s="23"/>
      <c r="O3360" s="17"/>
      <c r="P3360" s="17"/>
      <c r="Q3360" s="17"/>
      <c r="R3360" s="17"/>
      <c r="S3360" s="17"/>
      <c r="T3360" s="17"/>
    </row>
    <row r="3361">
      <c r="A3361" s="18">
        <v>3707.0</v>
      </c>
      <c r="B3361" s="12" t="s">
        <v>64</v>
      </c>
      <c r="C3361" s="12" t="s">
        <v>27</v>
      </c>
      <c r="D3361" s="20" t="s">
        <v>28</v>
      </c>
      <c r="E3361" s="12" t="str">
        <f>IFERROR(__xludf.DUMMYFUNCTION("FILTER(colegios!$B$2:$B5618,colegios!$A$2:$A5618=L3361)"),"86769 ABRAHAM VALDELOMAR")</f>
        <v>86769 ABRAHAM VALDELOMAR</v>
      </c>
      <c r="F3361" s="14" t="s">
        <v>16</v>
      </c>
      <c r="G3361" s="20" t="s">
        <v>17</v>
      </c>
      <c r="H3361" s="14" t="s">
        <v>18</v>
      </c>
      <c r="I3361" s="15">
        <v>2022.0</v>
      </c>
      <c r="J3361" s="16" t="str">
        <f>IFERROR(__xludf.DUMMYFUNCTION("FILTER('CLASFICACIÓN'!$F$3:$F5618,'CLASFICACIÓN'!$G$3:$G5618=M3361)"),"SOLO 2022 Y 2024")</f>
        <v>SOLO 2022 Y 2024</v>
      </c>
      <c r="K3361" s="16" t="str">
        <f t="array" ref="K3361">IFERROR(DGET('PADD-R'!$B$1:$K5618,'PADD-R'!$K$1,{'PADD-R'!$B$1;E3361}),"NO PARTICIPÓ")</f>
        <v>SOLO 2024</v>
      </c>
      <c r="L3361" s="14" t="s">
        <v>156</v>
      </c>
      <c r="M3361" s="16" t="str">
        <f t="shared" si="1"/>
        <v>86769 ABRAHAM VALDELOMAR2 Secundaria</v>
      </c>
      <c r="N3361" s="23"/>
      <c r="O3361" s="17"/>
      <c r="P3361" s="17"/>
      <c r="Q3361" s="17"/>
      <c r="R3361" s="17"/>
      <c r="S3361" s="17"/>
      <c r="T3361" s="17"/>
    </row>
    <row r="3362">
      <c r="A3362" s="18">
        <v>3708.0</v>
      </c>
      <c r="B3362" s="12" t="s">
        <v>64</v>
      </c>
      <c r="C3362" s="12" t="s">
        <v>27</v>
      </c>
      <c r="D3362" s="20" t="s">
        <v>28</v>
      </c>
      <c r="E3362" s="12" t="str">
        <f>IFERROR(__xludf.DUMMYFUNCTION("FILTER(colegios!$B$2:$B5618,colegios!$A$2:$A5618=L3362)"),"86769 ABRAHAM VALDELOMAR")</f>
        <v>86769 ABRAHAM VALDELOMAR</v>
      </c>
      <c r="F3362" s="14" t="s">
        <v>16</v>
      </c>
      <c r="G3362" s="20" t="s">
        <v>21</v>
      </c>
      <c r="H3362" s="14" t="s">
        <v>18</v>
      </c>
      <c r="I3362" s="15">
        <v>2022.0</v>
      </c>
      <c r="J3362" s="16" t="str">
        <f>IFERROR(__xludf.DUMMYFUNCTION("FILTER('CLASFICACIÓN'!$F$3:$F5618,'CLASFICACIÓN'!$G$3:$G5618=M3362)"),"SOLO 2022 Y 2024")</f>
        <v>SOLO 2022 Y 2024</v>
      </c>
      <c r="K3362" s="16" t="str">
        <f t="array" ref="K3362">IFERROR(DGET('PADD-R'!$B$1:$K5618,'PADD-R'!$K$1,{'PADD-R'!$B$1;E3362}),"NO PARTICIPÓ")</f>
        <v>SOLO 2024</v>
      </c>
      <c r="L3362" s="14" t="s">
        <v>156</v>
      </c>
      <c r="M3362" s="16" t="str">
        <f t="shared" si="1"/>
        <v>86769 ABRAHAM VALDELOMAR2 Secundaria</v>
      </c>
      <c r="N3362" s="23"/>
      <c r="O3362" s="17"/>
      <c r="P3362" s="17"/>
      <c r="Q3362" s="17"/>
      <c r="R3362" s="17"/>
      <c r="S3362" s="17"/>
      <c r="T3362" s="17"/>
    </row>
    <row r="3363">
      <c r="A3363" s="18">
        <v>3709.0</v>
      </c>
      <c r="B3363" s="12" t="s">
        <v>64</v>
      </c>
      <c r="C3363" s="12" t="s">
        <v>27</v>
      </c>
      <c r="D3363" s="20" t="s">
        <v>28</v>
      </c>
      <c r="E3363" s="12" t="str">
        <f>IFERROR(__xludf.DUMMYFUNCTION("FILTER(colegios!$B$2:$B5618,colegios!$A$2:$A5618=L3363)"),"86769 ABRAHAM VALDELOMAR")</f>
        <v>86769 ABRAHAM VALDELOMAR</v>
      </c>
      <c r="F3363" s="14" t="s">
        <v>16</v>
      </c>
      <c r="G3363" s="20" t="s">
        <v>21</v>
      </c>
      <c r="H3363" s="14" t="s">
        <v>18</v>
      </c>
      <c r="I3363" s="15">
        <v>2022.0</v>
      </c>
      <c r="J3363" s="16" t="str">
        <f>IFERROR(__xludf.DUMMYFUNCTION("FILTER('CLASFICACIÓN'!$F$3:$F5618,'CLASFICACIÓN'!$G$3:$G5618=M3363)"),"SOLO 2022 Y 2024")</f>
        <v>SOLO 2022 Y 2024</v>
      </c>
      <c r="K3363" s="16" t="str">
        <f t="array" ref="K3363">IFERROR(DGET('PADD-R'!$B$1:$K5618,'PADD-R'!$K$1,{'PADD-R'!$B$1;E3363}),"NO PARTICIPÓ")</f>
        <v>SOLO 2024</v>
      </c>
      <c r="L3363" s="14" t="s">
        <v>156</v>
      </c>
      <c r="M3363" s="16" t="str">
        <f t="shared" si="1"/>
        <v>86769 ABRAHAM VALDELOMAR2 Secundaria</v>
      </c>
      <c r="N3363" s="23"/>
      <c r="O3363" s="17"/>
      <c r="P3363" s="17"/>
      <c r="Q3363" s="17"/>
      <c r="R3363" s="17"/>
      <c r="S3363" s="17"/>
      <c r="T3363" s="17"/>
    </row>
    <row r="3364">
      <c r="A3364" s="18">
        <v>3710.0</v>
      </c>
      <c r="B3364" s="12" t="s">
        <v>64</v>
      </c>
      <c r="C3364" s="12" t="s">
        <v>27</v>
      </c>
      <c r="D3364" s="20" t="s">
        <v>28</v>
      </c>
      <c r="E3364" s="12" t="str">
        <f>IFERROR(__xludf.DUMMYFUNCTION("FILTER(colegios!$B$2:$B5618,colegios!$A$2:$A5618=L3364)"),"86769 ABRAHAM VALDELOMAR")</f>
        <v>86769 ABRAHAM VALDELOMAR</v>
      </c>
      <c r="F3364" s="14" t="s">
        <v>16</v>
      </c>
      <c r="G3364" s="20" t="s">
        <v>17</v>
      </c>
      <c r="H3364" s="14" t="s">
        <v>18</v>
      </c>
      <c r="I3364" s="15">
        <v>2022.0</v>
      </c>
      <c r="J3364" s="16" t="str">
        <f>IFERROR(__xludf.DUMMYFUNCTION("FILTER('CLASFICACIÓN'!$F$3:$F5618,'CLASFICACIÓN'!$G$3:$G5618=M3364)"),"SOLO 2022 Y 2024")</f>
        <v>SOLO 2022 Y 2024</v>
      </c>
      <c r="K3364" s="16" t="str">
        <f t="array" ref="K3364">IFERROR(DGET('PADD-R'!$B$1:$K5618,'PADD-R'!$K$1,{'PADD-R'!$B$1;E3364}),"NO PARTICIPÓ")</f>
        <v>SOLO 2024</v>
      </c>
      <c r="L3364" s="14" t="s">
        <v>156</v>
      </c>
      <c r="M3364" s="16" t="str">
        <f t="shared" si="1"/>
        <v>86769 ABRAHAM VALDELOMAR2 Secundaria</v>
      </c>
      <c r="N3364" s="23"/>
      <c r="O3364" s="17"/>
      <c r="P3364" s="17"/>
      <c r="Q3364" s="17"/>
      <c r="R3364" s="17"/>
      <c r="S3364" s="17"/>
      <c r="T3364" s="17"/>
    </row>
    <row r="3365">
      <c r="A3365" s="18">
        <v>3711.0</v>
      </c>
      <c r="B3365" s="12" t="s">
        <v>64</v>
      </c>
      <c r="C3365" s="12" t="s">
        <v>27</v>
      </c>
      <c r="D3365" s="20" t="s">
        <v>28</v>
      </c>
      <c r="E3365" s="12" t="str">
        <f>IFERROR(__xludf.DUMMYFUNCTION("FILTER(colegios!$B$2:$B5618,colegios!$A$2:$A5618=L3365)"),"86769 ABRAHAM VALDELOMAR")</f>
        <v>86769 ABRAHAM VALDELOMAR</v>
      </c>
      <c r="F3365" s="14" t="s">
        <v>16</v>
      </c>
      <c r="G3365" s="20" t="s">
        <v>17</v>
      </c>
      <c r="H3365" s="14" t="s">
        <v>18</v>
      </c>
      <c r="I3365" s="15">
        <v>2022.0</v>
      </c>
      <c r="J3365" s="16" t="str">
        <f>IFERROR(__xludf.DUMMYFUNCTION("FILTER('CLASFICACIÓN'!$F$3:$F5618,'CLASFICACIÓN'!$G$3:$G5618=M3365)"),"SOLO 2022 Y 2024")</f>
        <v>SOLO 2022 Y 2024</v>
      </c>
      <c r="K3365" s="16" t="str">
        <f t="array" ref="K3365">IFERROR(DGET('PADD-R'!$B$1:$K5618,'PADD-R'!$K$1,{'PADD-R'!$B$1;E3365}),"NO PARTICIPÓ")</f>
        <v>SOLO 2024</v>
      </c>
      <c r="L3365" s="14" t="s">
        <v>156</v>
      </c>
      <c r="M3365" s="16" t="str">
        <f t="shared" si="1"/>
        <v>86769 ABRAHAM VALDELOMAR2 Secundaria</v>
      </c>
      <c r="N3365" s="23"/>
      <c r="O3365" s="17"/>
      <c r="P3365" s="17"/>
      <c r="Q3365" s="17"/>
      <c r="R3365" s="17"/>
      <c r="S3365" s="17"/>
      <c r="T3365" s="17"/>
    </row>
    <row r="3366">
      <c r="A3366" s="18">
        <v>3712.0</v>
      </c>
      <c r="B3366" s="12" t="s">
        <v>64</v>
      </c>
      <c r="C3366" s="12" t="s">
        <v>27</v>
      </c>
      <c r="D3366" s="20" t="s">
        <v>28</v>
      </c>
      <c r="E3366" s="12" t="str">
        <f>IFERROR(__xludf.DUMMYFUNCTION("FILTER(colegios!$B$2:$B5618,colegios!$A$2:$A5618=L3366)"),"86769 ABRAHAM VALDELOMAR")</f>
        <v>86769 ABRAHAM VALDELOMAR</v>
      </c>
      <c r="F3366" s="14" t="s">
        <v>16</v>
      </c>
      <c r="G3366" s="20" t="s">
        <v>21</v>
      </c>
      <c r="H3366" s="14" t="s">
        <v>18</v>
      </c>
      <c r="I3366" s="15">
        <v>2022.0</v>
      </c>
      <c r="J3366" s="16" t="str">
        <f>IFERROR(__xludf.DUMMYFUNCTION("FILTER('CLASFICACIÓN'!$F$3:$F5618,'CLASFICACIÓN'!$G$3:$G5618=M3366)"),"SOLO 2022 Y 2024")</f>
        <v>SOLO 2022 Y 2024</v>
      </c>
      <c r="K3366" s="16" t="str">
        <f t="array" ref="K3366">IFERROR(DGET('PADD-R'!$B$1:$K5618,'PADD-R'!$K$1,{'PADD-R'!$B$1;E3366}),"NO PARTICIPÓ")</f>
        <v>SOLO 2024</v>
      </c>
      <c r="L3366" s="14" t="s">
        <v>156</v>
      </c>
      <c r="M3366" s="16" t="str">
        <f t="shared" si="1"/>
        <v>86769 ABRAHAM VALDELOMAR2 Secundaria</v>
      </c>
      <c r="N3366" s="23"/>
      <c r="O3366" s="17"/>
      <c r="P3366" s="17"/>
      <c r="Q3366" s="17"/>
      <c r="R3366" s="17"/>
      <c r="S3366" s="17"/>
      <c r="T3366" s="17"/>
    </row>
    <row r="3367">
      <c r="A3367" s="18">
        <v>3713.0</v>
      </c>
      <c r="B3367" s="12" t="s">
        <v>64</v>
      </c>
      <c r="C3367" s="12" t="s">
        <v>14</v>
      </c>
      <c r="D3367" s="20" t="s">
        <v>20</v>
      </c>
      <c r="E3367" s="12" t="str">
        <f>IFERROR(__xludf.DUMMYFUNCTION("FILTER(colegios!$B$2:$B5618,colegios!$A$2:$A5618=L3367)"),"86769 ABRAHAM VALDELOMAR")</f>
        <v>86769 ABRAHAM VALDELOMAR</v>
      </c>
      <c r="F3367" s="14" t="s">
        <v>16</v>
      </c>
      <c r="G3367" s="20" t="s">
        <v>21</v>
      </c>
      <c r="H3367" s="14" t="s">
        <v>24</v>
      </c>
      <c r="I3367" s="15">
        <v>2022.0</v>
      </c>
      <c r="J3367" s="16" t="str">
        <f>IFERROR(__xludf.DUMMYFUNCTION("FILTER('CLASFICACIÓN'!$F$3:$F5618,'CLASFICACIÓN'!$G$3:$G5618=M3367)"),"SOLO 2022 Y 2024")</f>
        <v>SOLO 2022 Y 2024</v>
      </c>
      <c r="K3367" s="16" t="str">
        <f t="array" ref="K3367">IFERROR(DGET('PADD-R'!$B$1:$K5618,'PADD-R'!$K$1,{'PADD-R'!$B$1;E3367}),"NO PARTICIPÓ")</f>
        <v>SOLO 2024</v>
      </c>
      <c r="L3367" s="14" t="s">
        <v>156</v>
      </c>
      <c r="M3367" s="16" t="str">
        <f t="shared" si="1"/>
        <v>86769 ABRAHAM VALDELOMAR4 Primaria</v>
      </c>
      <c r="N3367" s="23"/>
      <c r="O3367" s="17"/>
      <c r="P3367" s="17"/>
      <c r="Q3367" s="17"/>
      <c r="R3367" s="17"/>
      <c r="S3367" s="17"/>
      <c r="T3367" s="17"/>
    </row>
    <row r="3368">
      <c r="A3368" s="18">
        <v>3714.0</v>
      </c>
      <c r="B3368" s="12" t="s">
        <v>64</v>
      </c>
      <c r="C3368" s="12" t="s">
        <v>14</v>
      </c>
      <c r="D3368" s="20" t="s">
        <v>20</v>
      </c>
      <c r="E3368" s="12" t="str">
        <f>IFERROR(__xludf.DUMMYFUNCTION("FILTER(colegios!$B$2:$B5618,colegios!$A$2:$A5618=L3368)"),"86769 ABRAHAM VALDELOMAR")</f>
        <v>86769 ABRAHAM VALDELOMAR</v>
      </c>
      <c r="F3368" s="14" t="s">
        <v>16</v>
      </c>
      <c r="G3368" s="20" t="s">
        <v>21</v>
      </c>
      <c r="H3368" s="14" t="s">
        <v>18</v>
      </c>
      <c r="I3368" s="15">
        <v>2022.0</v>
      </c>
      <c r="J3368" s="16" t="str">
        <f>IFERROR(__xludf.DUMMYFUNCTION("FILTER('CLASFICACIÓN'!$F$3:$F5618,'CLASFICACIÓN'!$G$3:$G5618=M3368)"),"SOLO 2022 Y 2024")</f>
        <v>SOLO 2022 Y 2024</v>
      </c>
      <c r="K3368" s="16" t="str">
        <f t="array" ref="K3368">IFERROR(DGET('PADD-R'!$B$1:$K5618,'PADD-R'!$K$1,{'PADD-R'!$B$1;E3368}),"NO PARTICIPÓ")</f>
        <v>SOLO 2024</v>
      </c>
      <c r="L3368" s="14" t="s">
        <v>156</v>
      </c>
      <c r="M3368" s="16" t="str">
        <f t="shared" si="1"/>
        <v>86769 ABRAHAM VALDELOMAR4 Primaria</v>
      </c>
      <c r="N3368" s="23"/>
      <c r="O3368" s="17"/>
      <c r="P3368" s="17"/>
      <c r="Q3368" s="17"/>
      <c r="R3368" s="17"/>
      <c r="S3368" s="17"/>
      <c r="T3368" s="17"/>
    </row>
    <row r="3369">
      <c r="A3369" s="18">
        <v>3715.0</v>
      </c>
      <c r="B3369" s="12" t="s">
        <v>64</v>
      </c>
      <c r="C3369" s="12" t="s">
        <v>14</v>
      </c>
      <c r="D3369" s="20" t="s">
        <v>20</v>
      </c>
      <c r="E3369" s="12" t="str">
        <f>IFERROR(__xludf.DUMMYFUNCTION("FILTER(colegios!$B$2:$B5618,colegios!$A$2:$A5618=L3369)"),"86769 ABRAHAM VALDELOMAR")</f>
        <v>86769 ABRAHAM VALDELOMAR</v>
      </c>
      <c r="F3369" s="14" t="s">
        <v>16</v>
      </c>
      <c r="G3369" s="20" t="s">
        <v>21</v>
      </c>
      <c r="H3369" s="14" t="s">
        <v>24</v>
      </c>
      <c r="I3369" s="15">
        <v>2022.0</v>
      </c>
      <c r="J3369" s="16" t="str">
        <f>IFERROR(__xludf.DUMMYFUNCTION("FILTER('CLASFICACIÓN'!$F$3:$F5618,'CLASFICACIÓN'!$G$3:$G5618=M3369)"),"SOLO 2022 Y 2024")</f>
        <v>SOLO 2022 Y 2024</v>
      </c>
      <c r="K3369" s="16" t="str">
        <f t="array" ref="K3369">IFERROR(DGET('PADD-R'!$B$1:$K5618,'PADD-R'!$K$1,{'PADD-R'!$B$1;E3369}),"NO PARTICIPÓ")</f>
        <v>SOLO 2024</v>
      </c>
      <c r="L3369" s="14" t="s">
        <v>156</v>
      </c>
      <c r="M3369" s="16" t="str">
        <f t="shared" si="1"/>
        <v>86769 ABRAHAM VALDELOMAR4 Primaria</v>
      </c>
      <c r="N3369" s="23"/>
      <c r="O3369" s="17"/>
      <c r="P3369" s="17"/>
      <c r="Q3369" s="17"/>
      <c r="R3369" s="17"/>
      <c r="S3369" s="17"/>
      <c r="T3369" s="17"/>
    </row>
    <row r="3370">
      <c r="A3370" s="18">
        <v>3716.0</v>
      </c>
      <c r="B3370" s="12" t="s">
        <v>64</v>
      </c>
      <c r="C3370" s="12" t="s">
        <v>14</v>
      </c>
      <c r="D3370" s="20" t="s">
        <v>20</v>
      </c>
      <c r="E3370" s="12" t="str">
        <f>IFERROR(__xludf.DUMMYFUNCTION("FILTER(colegios!$B$2:$B5618,colegios!$A$2:$A5618=L3370)"),"86769 ABRAHAM VALDELOMAR")</f>
        <v>86769 ABRAHAM VALDELOMAR</v>
      </c>
      <c r="F3370" s="14" t="s">
        <v>16</v>
      </c>
      <c r="G3370" s="20" t="s">
        <v>21</v>
      </c>
      <c r="H3370" s="14" t="s">
        <v>18</v>
      </c>
      <c r="I3370" s="15">
        <v>2022.0</v>
      </c>
      <c r="J3370" s="16" t="str">
        <f>IFERROR(__xludf.DUMMYFUNCTION("FILTER('CLASFICACIÓN'!$F$3:$F5618,'CLASFICACIÓN'!$G$3:$G5618=M3370)"),"SOLO 2022 Y 2024")</f>
        <v>SOLO 2022 Y 2024</v>
      </c>
      <c r="K3370" s="16" t="str">
        <f t="array" ref="K3370">IFERROR(DGET('PADD-R'!$B$1:$K5618,'PADD-R'!$K$1,{'PADD-R'!$B$1;E3370}),"NO PARTICIPÓ")</f>
        <v>SOLO 2024</v>
      </c>
      <c r="L3370" s="14" t="s">
        <v>156</v>
      </c>
      <c r="M3370" s="16" t="str">
        <f t="shared" si="1"/>
        <v>86769 ABRAHAM VALDELOMAR4 Primaria</v>
      </c>
      <c r="N3370" s="23"/>
      <c r="O3370" s="17"/>
      <c r="P3370" s="17"/>
      <c r="Q3370" s="17"/>
      <c r="R3370" s="17"/>
      <c r="S3370" s="17"/>
      <c r="T3370" s="17"/>
    </row>
    <row r="3371">
      <c r="A3371" s="18">
        <v>3717.0</v>
      </c>
      <c r="B3371" s="12" t="s">
        <v>64</v>
      </c>
      <c r="C3371" s="12" t="s">
        <v>14</v>
      </c>
      <c r="D3371" s="20" t="s">
        <v>20</v>
      </c>
      <c r="E3371" s="12" t="str">
        <f>IFERROR(__xludf.DUMMYFUNCTION("FILTER(colegios!$B$2:$B5618,colegios!$A$2:$A5618=L3371)"),"86769 ABRAHAM VALDELOMAR")</f>
        <v>86769 ABRAHAM VALDELOMAR</v>
      </c>
      <c r="F3371" s="14" t="s">
        <v>16</v>
      </c>
      <c r="G3371" s="20" t="s">
        <v>21</v>
      </c>
      <c r="H3371" s="14" t="s">
        <v>24</v>
      </c>
      <c r="I3371" s="15">
        <v>2022.0</v>
      </c>
      <c r="J3371" s="16" t="str">
        <f>IFERROR(__xludf.DUMMYFUNCTION("FILTER('CLASFICACIÓN'!$F$3:$F5618,'CLASFICACIÓN'!$G$3:$G5618=M3371)"),"SOLO 2022 Y 2024")</f>
        <v>SOLO 2022 Y 2024</v>
      </c>
      <c r="K3371" s="16" t="str">
        <f t="array" ref="K3371">IFERROR(DGET('PADD-R'!$B$1:$K5618,'PADD-R'!$K$1,{'PADD-R'!$B$1;E3371}),"NO PARTICIPÓ")</f>
        <v>SOLO 2024</v>
      </c>
      <c r="L3371" s="14" t="s">
        <v>156</v>
      </c>
      <c r="M3371" s="16" t="str">
        <f t="shared" si="1"/>
        <v>86769 ABRAHAM VALDELOMAR4 Primaria</v>
      </c>
      <c r="N3371" s="23"/>
      <c r="O3371" s="17"/>
      <c r="P3371" s="17"/>
      <c r="Q3371" s="17"/>
      <c r="R3371" s="17"/>
      <c r="S3371" s="17"/>
      <c r="T3371" s="17"/>
    </row>
    <row r="3372">
      <c r="A3372" s="18">
        <v>3718.0</v>
      </c>
      <c r="B3372" s="12" t="s">
        <v>64</v>
      </c>
      <c r="C3372" s="12" t="s">
        <v>27</v>
      </c>
      <c r="D3372" s="20" t="s">
        <v>30</v>
      </c>
      <c r="E3372" s="12" t="str">
        <f>IFERROR(__xludf.DUMMYFUNCTION("FILTER(colegios!$B$2:$B5618,colegios!$A$2:$A5618=L3372)"),"86769 ABRAHAM VALDELOMAR")</f>
        <v>86769 ABRAHAM VALDELOMAR</v>
      </c>
      <c r="F3372" s="14" t="s">
        <v>16</v>
      </c>
      <c r="G3372" s="20" t="s">
        <v>21</v>
      </c>
      <c r="H3372" s="14" t="s">
        <v>18</v>
      </c>
      <c r="I3372" s="15">
        <v>2022.0</v>
      </c>
      <c r="J3372" s="16" t="str">
        <f>IFERROR(__xludf.DUMMYFUNCTION("FILTER('CLASFICACIÓN'!$F$3:$F5618,'CLASFICACIÓN'!$G$3:$G5618=M3372)"),"SOLO 2022 Y 2024")</f>
        <v>SOLO 2022 Y 2024</v>
      </c>
      <c r="K3372" s="16" t="str">
        <f t="array" ref="K3372">IFERROR(DGET('PADD-R'!$B$1:$K5618,'PADD-R'!$K$1,{'PADD-R'!$B$1;E3372}),"NO PARTICIPÓ")</f>
        <v>SOLO 2024</v>
      </c>
      <c r="L3372" s="14" t="s">
        <v>156</v>
      </c>
      <c r="M3372" s="16" t="str">
        <f t="shared" si="1"/>
        <v>86769 ABRAHAM VALDELOMAR4 Secundaria</v>
      </c>
      <c r="N3372" s="23"/>
      <c r="O3372" s="17"/>
      <c r="P3372" s="17"/>
      <c r="Q3372" s="17"/>
      <c r="R3372" s="17"/>
      <c r="S3372" s="17"/>
      <c r="T3372" s="17"/>
    </row>
    <row r="3373">
      <c r="A3373" s="18">
        <v>3719.0</v>
      </c>
      <c r="B3373" s="12" t="s">
        <v>64</v>
      </c>
      <c r="C3373" s="12" t="s">
        <v>27</v>
      </c>
      <c r="D3373" s="20" t="s">
        <v>30</v>
      </c>
      <c r="E3373" s="12" t="str">
        <f>IFERROR(__xludf.DUMMYFUNCTION("FILTER(colegios!$B$2:$B5618,colegios!$A$2:$A5618=L3373)"),"86769 ABRAHAM VALDELOMAR")</f>
        <v>86769 ABRAHAM VALDELOMAR</v>
      </c>
      <c r="F3373" s="14" t="s">
        <v>16</v>
      </c>
      <c r="G3373" s="20" t="s">
        <v>17</v>
      </c>
      <c r="H3373" s="14" t="s">
        <v>18</v>
      </c>
      <c r="I3373" s="15">
        <v>2022.0</v>
      </c>
      <c r="J3373" s="16" t="str">
        <f>IFERROR(__xludf.DUMMYFUNCTION("FILTER('CLASFICACIÓN'!$F$3:$F5618,'CLASFICACIÓN'!$G$3:$G5618=M3373)"),"SOLO 2022 Y 2024")</f>
        <v>SOLO 2022 Y 2024</v>
      </c>
      <c r="K3373" s="16" t="str">
        <f t="array" ref="K3373">IFERROR(DGET('PADD-R'!$B$1:$K5618,'PADD-R'!$K$1,{'PADD-R'!$B$1;E3373}),"NO PARTICIPÓ")</f>
        <v>SOLO 2024</v>
      </c>
      <c r="L3373" s="14" t="s">
        <v>156</v>
      </c>
      <c r="M3373" s="16" t="str">
        <f t="shared" si="1"/>
        <v>86769 ABRAHAM VALDELOMAR4 Secundaria</v>
      </c>
      <c r="N3373" s="23"/>
      <c r="O3373" s="17"/>
      <c r="P3373" s="17"/>
      <c r="Q3373" s="17"/>
      <c r="R3373" s="17"/>
      <c r="S3373" s="17"/>
      <c r="T3373" s="17"/>
    </row>
    <row r="3374">
      <c r="A3374" s="18">
        <v>3720.0</v>
      </c>
      <c r="B3374" s="12" t="s">
        <v>64</v>
      </c>
      <c r="C3374" s="12" t="s">
        <v>27</v>
      </c>
      <c r="D3374" s="20" t="s">
        <v>30</v>
      </c>
      <c r="E3374" s="12" t="str">
        <f>IFERROR(__xludf.DUMMYFUNCTION("FILTER(colegios!$B$2:$B5618,colegios!$A$2:$A5618=L3374)"),"86769 ABRAHAM VALDELOMAR")</f>
        <v>86769 ABRAHAM VALDELOMAR</v>
      </c>
      <c r="F3374" s="14" t="s">
        <v>16</v>
      </c>
      <c r="G3374" s="20" t="s">
        <v>21</v>
      </c>
      <c r="H3374" s="14" t="s">
        <v>18</v>
      </c>
      <c r="I3374" s="15">
        <v>2022.0</v>
      </c>
      <c r="J3374" s="16" t="str">
        <f>IFERROR(__xludf.DUMMYFUNCTION("FILTER('CLASFICACIÓN'!$F$3:$F5618,'CLASFICACIÓN'!$G$3:$G5618=M3374)"),"SOLO 2022 Y 2024")</f>
        <v>SOLO 2022 Y 2024</v>
      </c>
      <c r="K3374" s="16" t="str">
        <f t="array" ref="K3374">IFERROR(DGET('PADD-R'!$B$1:$K5618,'PADD-R'!$K$1,{'PADD-R'!$B$1;E3374}),"NO PARTICIPÓ")</f>
        <v>SOLO 2024</v>
      </c>
      <c r="L3374" s="14" t="s">
        <v>156</v>
      </c>
      <c r="M3374" s="16" t="str">
        <f t="shared" si="1"/>
        <v>86769 ABRAHAM VALDELOMAR4 Secundaria</v>
      </c>
      <c r="N3374" s="23"/>
      <c r="O3374" s="17"/>
      <c r="P3374" s="17"/>
      <c r="Q3374" s="17"/>
      <c r="R3374" s="17"/>
      <c r="S3374" s="17"/>
      <c r="T3374" s="17"/>
    </row>
    <row r="3375">
      <c r="A3375" s="18">
        <v>3721.0</v>
      </c>
      <c r="B3375" s="12" t="s">
        <v>64</v>
      </c>
      <c r="C3375" s="12" t="s">
        <v>27</v>
      </c>
      <c r="D3375" s="20" t="s">
        <v>30</v>
      </c>
      <c r="E3375" s="12" t="str">
        <f>IFERROR(__xludf.DUMMYFUNCTION("FILTER(colegios!$B$2:$B5618,colegios!$A$2:$A5618=L3375)"),"86769 ABRAHAM VALDELOMAR")</f>
        <v>86769 ABRAHAM VALDELOMAR</v>
      </c>
      <c r="F3375" s="14" t="s">
        <v>16</v>
      </c>
      <c r="G3375" s="20" t="s">
        <v>21</v>
      </c>
      <c r="H3375" s="14" t="s">
        <v>18</v>
      </c>
      <c r="I3375" s="15">
        <v>2022.0</v>
      </c>
      <c r="J3375" s="16" t="str">
        <f>IFERROR(__xludf.DUMMYFUNCTION("FILTER('CLASFICACIÓN'!$F$3:$F5618,'CLASFICACIÓN'!$G$3:$G5618=M3375)"),"SOLO 2022 Y 2024")</f>
        <v>SOLO 2022 Y 2024</v>
      </c>
      <c r="K3375" s="16" t="str">
        <f t="array" ref="K3375">IFERROR(DGET('PADD-R'!$B$1:$K5618,'PADD-R'!$K$1,{'PADD-R'!$B$1;E3375}),"NO PARTICIPÓ")</f>
        <v>SOLO 2024</v>
      </c>
      <c r="L3375" s="14" t="s">
        <v>156</v>
      </c>
      <c r="M3375" s="16" t="str">
        <f t="shared" si="1"/>
        <v>86769 ABRAHAM VALDELOMAR4 Secundaria</v>
      </c>
      <c r="N3375" s="23"/>
      <c r="O3375" s="17"/>
      <c r="P3375" s="17"/>
      <c r="Q3375" s="17"/>
      <c r="R3375" s="17"/>
      <c r="S3375" s="17"/>
      <c r="T3375" s="17"/>
    </row>
    <row r="3376">
      <c r="A3376" s="18">
        <v>3722.0</v>
      </c>
      <c r="B3376" s="12" t="s">
        <v>64</v>
      </c>
      <c r="C3376" s="12" t="s">
        <v>27</v>
      </c>
      <c r="D3376" s="20" t="s">
        <v>30</v>
      </c>
      <c r="E3376" s="12" t="str">
        <f>IFERROR(__xludf.DUMMYFUNCTION("FILTER(colegios!$B$2:$B5618,colegios!$A$2:$A5618=L3376)"),"86769 ABRAHAM VALDELOMAR")</f>
        <v>86769 ABRAHAM VALDELOMAR</v>
      </c>
      <c r="F3376" s="14" t="s">
        <v>16</v>
      </c>
      <c r="G3376" s="20" t="s">
        <v>21</v>
      </c>
      <c r="H3376" s="14" t="s">
        <v>18</v>
      </c>
      <c r="I3376" s="15">
        <v>2022.0</v>
      </c>
      <c r="J3376" s="16" t="str">
        <f>IFERROR(__xludf.DUMMYFUNCTION("FILTER('CLASFICACIÓN'!$F$3:$F5618,'CLASFICACIÓN'!$G$3:$G5618=M3376)"),"SOLO 2022 Y 2024")</f>
        <v>SOLO 2022 Y 2024</v>
      </c>
      <c r="K3376" s="16" t="str">
        <f t="array" ref="K3376">IFERROR(DGET('PADD-R'!$B$1:$K5618,'PADD-R'!$K$1,{'PADD-R'!$B$1;E3376}),"NO PARTICIPÓ")</f>
        <v>SOLO 2024</v>
      </c>
      <c r="L3376" s="14" t="s">
        <v>156</v>
      </c>
      <c r="M3376" s="16" t="str">
        <f t="shared" si="1"/>
        <v>86769 ABRAHAM VALDELOMAR4 Secundaria</v>
      </c>
      <c r="N3376" s="23"/>
      <c r="O3376" s="17"/>
      <c r="P3376" s="17"/>
      <c r="Q3376" s="17"/>
      <c r="R3376" s="17"/>
      <c r="S3376" s="17"/>
      <c r="T3376" s="17"/>
    </row>
    <row r="3377">
      <c r="A3377" s="18">
        <v>3723.0</v>
      </c>
      <c r="B3377" s="12" t="s">
        <v>64</v>
      </c>
      <c r="C3377" s="12" t="s">
        <v>27</v>
      </c>
      <c r="D3377" s="20" t="s">
        <v>30</v>
      </c>
      <c r="E3377" s="12" t="str">
        <f>IFERROR(__xludf.DUMMYFUNCTION("FILTER(colegios!$B$2:$B5618,colegios!$A$2:$A5618=L3377)"),"86769 ABRAHAM VALDELOMAR")</f>
        <v>86769 ABRAHAM VALDELOMAR</v>
      </c>
      <c r="F3377" s="14" t="s">
        <v>16</v>
      </c>
      <c r="G3377" s="20" t="s">
        <v>21</v>
      </c>
      <c r="H3377" s="14" t="s">
        <v>18</v>
      </c>
      <c r="I3377" s="15">
        <v>2022.0</v>
      </c>
      <c r="J3377" s="16" t="str">
        <f>IFERROR(__xludf.DUMMYFUNCTION("FILTER('CLASFICACIÓN'!$F$3:$F5618,'CLASFICACIÓN'!$G$3:$G5618=M3377)"),"SOLO 2022 Y 2024")</f>
        <v>SOLO 2022 Y 2024</v>
      </c>
      <c r="K3377" s="16" t="str">
        <f t="array" ref="K3377">IFERROR(DGET('PADD-R'!$B$1:$K5618,'PADD-R'!$K$1,{'PADD-R'!$B$1;E3377}),"NO PARTICIPÓ")</f>
        <v>SOLO 2024</v>
      </c>
      <c r="L3377" s="14" t="s">
        <v>156</v>
      </c>
      <c r="M3377" s="16" t="str">
        <f t="shared" si="1"/>
        <v>86769 ABRAHAM VALDELOMAR4 Secundaria</v>
      </c>
      <c r="N3377" s="23"/>
      <c r="O3377" s="17"/>
      <c r="P3377" s="17"/>
      <c r="Q3377" s="17"/>
      <c r="R3377" s="17"/>
      <c r="S3377" s="17"/>
      <c r="T3377" s="17"/>
    </row>
    <row r="3378">
      <c r="A3378" s="18">
        <v>3724.0</v>
      </c>
      <c r="B3378" s="12" t="s">
        <v>64</v>
      </c>
      <c r="C3378" s="12" t="s">
        <v>27</v>
      </c>
      <c r="D3378" s="20" t="s">
        <v>30</v>
      </c>
      <c r="E3378" s="12" t="str">
        <f>IFERROR(__xludf.DUMMYFUNCTION("FILTER(colegios!$B$2:$B5618,colegios!$A$2:$A5618=L3378)"),"86769 ABRAHAM VALDELOMAR")</f>
        <v>86769 ABRAHAM VALDELOMAR</v>
      </c>
      <c r="F3378" s="14" t="s">
        <v>16</v>
      </c>
      <c r="G3378" s="20" t="s">
        <v>17</v>
      </c>
      <c r="H3378" s="14" t="s">
        <v>18</v>
      </c>
      <c r="I3378" s="15">
        <v>2022.0</v>
      </c>
      <c r="J3378" s="16" t="str">
        <f>IFERROR(__xludf.DUMMYFUNCTION("FILTER('CLASFICACIÓN'!$F$3:$F5618,'CLASFICACIÓN'!$G$3:$G5618=M3378)"),"SOLO 2022 Y 2024")</f>
        <v>SOLO 2022 Y 2024</v>
      </c>
      <c r="K3378" s="16" t="str">
        <f t="array" ref="K3378">IFERROR(DGET('PADD-R'!$B$1:$K5618,'PADD-R'!$K$1,{'PADD-R'!$B$1;E3378}),"NO PARTICIPÓ")</f>
        <v>SOLO 2024</v>
      </c>
      <c r="L3378" s="14" t="s">
        <v>156</v>
      </c>
      <c r="M3378" s="16" t="str">
        <f t="shared" si="1"/>
        <v>86769 ABRAHAM VALDELOMAR4 Secundaria</v>
      </c>
      <c r="N3378" s="23"/>
      <c r="O3378" s="17"/>
      <c r="P3378" s="17"/>
      <c r="Q3378" s="17"/>
      <c r="R3378" s="17"/>
      <c r="S3378" s="17"/>
      <c r="T3378" s="17"/>
    </row>
    <row r="3379">
      <c r="A3379" s="18">
        <v>3725.0</v>
      </c>
      <c r="B3379" s="12" t="s">
        <v>64</v>
      </c>
      <c r="C3379" s="12" t="s">
        <v>27</v>
      </c>
      <c r="D3379" s="20" t="s">
        <v>30</v>
      </c>
      <c r="E3379" s="12" t="str">
        <f>IFERROR(__xludf.DUMMYFUNCTION("FILTER(colegios!$B$2:$B5618,colegios!$A$2:$A5618=L3379)"),"86769 ABRAHAM VALDELOMAR")</f>
        <v>86769 ABRAHAM VALDELOMAR</v>
      </c>
      <c r="F3379" s="14" t="s">
        <v>16</v>
      </c>
      <c r="G3379" s="20" t="s">
        <v>21</v>
      </c>
      <c r="H3379" s="14" t="s">
        <v>18</v>
      </c>
      <c r="I3379" s="15">
        <v>2022.0</v>
      </c>
      <c r="J3379" s="16" t="str">
        <f>IFERROR(__xludf.DUMMYFUNCTION("FILTER('CLASFICACIÓN'!$F$3:$F5618,'CLASFICACIÓN'!$G$3:$G5618=M3379)"),"SOLO 2022 Y 2024")</f>
        <v>SOLO 2022 Y 2024</v>
      </c>
      <c r="K3379" s="16" t="str">
        <f t="array" ref="K3379">IFERROR(DGET('PADD-R'!$B$1:$K5618,'PADD-R'!$K$1,{'PADD-R'!$B$1;E3379}),"NO PARTICIPÓ")</f>
        <v>SOLO 2024</v>
      </c>
      <c r="L3379" s="14" t="s">
        <v>156</v>
      </c>
      <c r="M3379" s="16" t="str">
        <f t="shared" si="1"/>
        <v>86769 ABRAHAM VALDELOMAR4 Secundaria</v>
      </c>
      <c r="N3379" s="23"/>
      <c r="O3379" s="17"/>
      <c r="P3379" s="17"/>
      <c r="Q3379" s="17"/>
      <c r="R3379" s="17"/>
      <c r="S3379" s="17"/>
      <c r="T3379" s="17"/>
    </row>
    <row r="3380">
      <c r="A3380" s="18">
        <v>3726.0</v>
      </c>
      <c r="B3380" s="12" t="s">
        <v>64</v>
      </c>
      <c r="C3380" s="12" t="s">
        <v>27</v>
      </c>
      <c r="D3380" s="20" t="s">
        <v>30</v>
      </c>
      <c r="E3380" s="12" t="str">
        <f>IFERROR(__xludf.DUMMYFUNCTION("FILTER(colegios!$B$2:$B5618,colegios!$A$2:$A5618=L3380)"),"86769 ABRAHAM VALDELOMAR")</f>
        <v>86769 ABRAHAM VALDELOMAR</v>
      </c>
      <c r="F3380" s="14" t="s">
        <v>16</v>
      </c>
      <c r="G3380" s="20" t="s">
        <v>21</v>
      </c>
      <c r="H3380" s="14" t="s">
        <v>18</v>
      </c>
      <c r="I3380" s="15">
        <v>2022.0</v>
      </c>
      <c r="J3380" s="16" t="str">
        <f>IFERROR(__xludf.DUMMYFUNCTION("FILTER('CLASFICACIÓN'!$F$3:$F5618,'CLASFICACIÓN'!$G$3:$G5618=M3380)"),"SOLO 2022 Y 2024")</f>
        <v>SOLO 2022 Y 2024</v>
      </c>
      <c r="K3380" s="16" t="str">
        <f t="array" ref="K3380">IFERROR(DGET('PADD-R'!$B$1:$K5618,'PADD-R'!$K$1,{'PADD-R'!$B$1;E3380}),"NO PARTICIPÓ")</f>
        <v>SOLO 2024</v>
      </c>
      <c r="L3380" s="14" t="s">
        <v>156</v>
      </c>
      <c r="M3380" s="16" t="str">
        <f t="shared" si="1"/>
        <v>86769 ABRAHAM VALDELOMAR4 Secundaria</v>
      </c>
      <c r="N3380" s="23"/>
      <c r="O3380" s="17"/>
      <c r="P3380" s="17"/>
      <c r="Q3380" s="17"/>
      <c r="R3380" s="17"/>
      <c r="S3380" s="17"/>
      <c r="T3380" s="17"/>
    </row>
    <row r="3381">
      <c r="A3381" s="18">
        <v>3727.0</v>
      </c>
      <c r="B3381" s="12" t="s">
        <v>64</v>
      </c>
      <c r="C3381" s="12" t="s">
        <v>27</v>
      </c>
      <c r="D3381" s="20" t="s">
        <v>30</v>
      </c>
      <c r="E3381" s="12" t="str">
        <f>IFERROR(__xludf.DUMMYFUNCTION("FILTER(colegios!$B$2:$B5618,colegios!$A$2:$A5618=L3381)"),"86769 ABRAHAM VALDELOMAR")</f>
        <v>86769 ABRAHAM VALDELOMAR</v>
      </c>
      <c r="F3381" s="14" t="s">
        <v>16</v>
      </c>
      <c r="G3381" s="20" t="s">
        <v>21</v>
      </c>
      <c r="H3381" s="14" t="s">
        <v>18</v>
      </c>
      <c r="I3381" s="15">
        <v>2022.0</v>
      </c>
      <c r="J3381" s="16" t="str">
        <f>IFERROR(__xludf.DUMMYFUNCTION("FILTER('CLASFICACIÓN'!$F$3:$F5618,'CLASFICACIÓN'!$G$3:$G5618=M3381)"),"SOLO 2022 Y 2024")</f>
        <v>SOLO 2022 Y 2024</v>
      </c>
      <c r="K3381" s="16" t="str">
        <f t="array" ref="K3381">IFERROR(DGET('PADD-R'!$B$1:$K5618,'PADD-R'!$K$1,{'PADD-R'!$B$1;E3381}),"NO PARTICIPÓ")</f>
        <v>SOLO 2024</v>
      </c>
      <c r="L3381" s="14" t="s">
        <v>156</v>
      </c>
      <c r="M3381" s="16" t="str">
        <f t="shared" si="1"/>
        <v>86769 ABRAHAM VALDELOMAR4 Secundaria</v>
      </c>
      <c r="N3381" s="23"/>
      <c r="O3381" s="17"/>
      <c r="P3381" s="17"/>
      <c r="Q3381" s="17"/>
      <c r="R3381" s="17"/>
      <c r="S3381" s="17"/>
      <c r="T3381" s="17"/>
    </row>
    <row r="3382">
      <c r="A3382" s="18">
        <v>3728.0</v>
      </c>
      <c r="B3382" s="12" t="s">
        <v>64</v>
      </c>
      <c r="C3382" s="12" t="s">
        <v>27</v>
      </c>
      <c r="D3382" s="20" t="s">
        <v>30</v>
      </c>
      <c r="E3382" s="12" t="str">
        <f>IFERROR(__xludf.DUMMYFUNCTION("FILTER(colegios!$B$2:$B5618,colegios!$A$2:$A5618=L3382)"),"86769 ABRAHAM VALDELOMAR")</f>
        <v>86769 ABRAHAM VALDELOMAR</v>
      </c>
      <c r="F3382" s="14" t="s">
        <v>16</v>
      </c>
      <c r="G3382" s="20" t="s">
        <v>17</v>
      </c>
      <c r="H3382" s="14" t="s">
        <v>18</v>
      </c>
      <c r="I3382" s="15">
        <v>2022.0</v>
      </c>
      <c r="J3382" s="16" t="str">
        <f>IFERROR(__xludf.DUMMYFUNCTION("FILTER('CLASFICACIÓN'!$F$3:$F5618,'CLASFICACIÓN'!$G$3:$G5618=M3382)"),"SOLO 2022 Y 2024")</f>
        <v>SOLO 2022 Y 2024</v>
      </c>
      <c r="K3382" s="16" t="str">
        <f t="array" ref="K3382">IFERROR(DGET('PADD-R'!$B$1:$K5618,'PADD-R'!$K$1,{'PADD-R'!$B$1;E3382}),"NO PARTICIPÓ")</f>
        <v>SOLO 2024</v>
      </c>
      <c r="L3382" s="14" t="s">
        <v>156</v>
      </c>
      <c r="M3382" s="16" t="str">
        <f t="shared" si="1"/>
        <v>86769 ABRAHAM VALDELOMAR4 Secundaria</v>
      </c>
      <c r="N3382" s="23"/>
      <c r="O3382" s="17"/>
      <c r="P3382" s="17"/>
      <c r="Q3382" s="17"/>
      <c r="R3382" s="17"/>
      <c r="S3382" s="17"/>
      <c r="T3382" s="17"/>
    </row>
    <row r="3383">
      <c r="A3383" s="18">
        <v>3729.0</v>
      </c>
      <c r="B3383" s="12" t="s">
        <v>64</v>
      </c>
      <c r="C3383" s="12" t="s">
        <v>14</v>
      </c>
      <c r="D3383" s="20" t="s">
        <v>22</v>
      </c>
      <c r="E3383" s="12" t="str">
        <f>IFERROR(__xludf.DUMMYFUNCTION("FILTER(colegios!$B$2:$B5618,colegios!$A$2:$A5618=L3383)"),"86769 ABRAHAM VALDELOMAR")</f>
        <v>86769 ABRAHAM VALDELOMAR</v>
      </c>
      <c r="F3383" s="14" t="s">
        <v>16</v>
      </c>
      <c r="G3383" s="20" t="s">
        <v>17</v>
      </c>
      <c r="H3383" s="14" t="s">
        <v>18</v>
      </c>
      <c r="I3383" s="15">
        <v>2022.0</v>
      </c>
      <c r="J3383" s="16" t="str">
        <f>IFERROR(__xludf.DUMMYFUNCTION("FILTER('CLASFICACIÓN'!$F$3:$F5618,'CLASFICACIÓN'!$G$3:$G5618=M3383)"),"SOLO 2022 Y 2024")</f>
        <v>SOLO 2022 Y 2024</v>
      </c>
      <c r="K3383" s="16" t="str">
        <f t="array" ref="K3383">IFERROR(DGET('PADD-R'!$B$1:$K5618,'PADD-R'!$K$1,{'PADD-R'!$B$1;E3383}),"NO PARTICIPÓ")</f>
        <v>SOLO 2024</v>
      </c>
      <c r="L3383" s="14" t="s">
        <v>156</v>
      </c>
      <c r="M3383" s="16" t="str">
        <f t="shared" si="1"/>
        <v>86769 ABRAHAM VALDELOMAR6 Primaria</v>
      </c>
      <c r="N3383" s="23"/>
      <c r="O3383" s="17"/>
      <c r="P3383" s="17"/>
      <c r="Q3383" s="17"/>
      <c r="R3383" s="17"/>
      <c r="S3383" s="17"/>
      <c r="T3383" s="17"/>
    </row>
    <row r="3384">
      <c r="A3384" s="18">
        <v>3730.0</v>
      </c>
      <c r="B3384" s="12" t="s">
        <v>64</v>
      </c>
      <c r="C3384" s="12" t="s">
        <v>14</v>
      </c>
      <c r="D3384" s="20" t="s">
        <v>22</v>
      </c>
      <c r="E3384" s="12" t="str">
        <f>IFERROR(__xludf.DUMMYFUNCTION("FILTER(colegios!$B$2:$B5618,colegios!$A$2:$A5618=L3384)"),"86769 ABRAHAM VALDELOMAR")</f>
        <v>86769 ABRAHAM VALDELOMAR</v>
      </c>
      <c r="F3384" s="14" t="s">
        <v>16</v>
      </c>
      <c r="G3384" s="20" t="s">
        <v>21</v>
      </c>
      <c r="H3384" s="14" t="s">
        <v>18</v>
      </c>
      <c r="I3384" s="15">
        <v>2022.0</v>
      </c>
      <c r="J3384" s="16" t="str">
        <f>IFERROR(__xludf.DUMMYFUNCTION("FILTER('CLASFICACIÓN'!$F$3:$F5618,'CLASFICACIÓN'!$G$3:$G5618=M3384)"),"SOLO 2022 Y 2024")</f>
        <v>SOLO 2022 Y 2024</v>
      </c>
      <c r="K3384" s="16" t="str">
        <f t="array" ref="K3384">IFERROR(DGET('PADD-R'!$B$1:$K5618,'PADD-R'!$K$1,{'PADD-R'!$B$1;E3384}),"NO PARTICIPÓ")</f>
        <v>SOLO 2024</v>
      </c>
      <c r="L3384" s="14" t="s">
        <v>156</v>
      </c>
      <c r="M3384" s="16" t="str">
        <f t="shared" si="1"/>
        <v>86769 ABRAHAM VALDELOMAR6 Primaria</v>
      </c>
      <c r="N3384" s="23"/>
      <c r="O3384" s="17"/>
      <c r="P3384" s="17"/>
      <c r="Q3384" s="17"/>
      <c r="R3384" s="17"/>
      <c r="S3384" s="17"/>
      <c r="T3384" s="17"/>
    </row>
    <row r="3385">
      <c r="A3385" s="18">
        <v>3731.0</v>
      </c>
      <c r="B3385" s="12" t="s">
        <v>64</v>
      </c>
      <c r="C3385" s="12" t="s">
        <v>14</v>
      </c>
      <c r="D3385" s="20" t="s">
        <v>22</v>
      </c>
      <c r="E3385" s="12" t="str">
        <f>IFERROR(__xludf.DUMMYFUNCTION("FILTER(colegios!$B$2:$B5618,colegios!$A$2:$A5618=L3385)"),"86769 ABRAHAM VALDELOMAR")</f>
        <v>86769 ABRAHAM VALDELOMAR</v>
      </c>
      <c r="F3385" s="14" t="s">
        <v>16</v>
      </c>
      <c r="G3385" s="20" t="s">
        <v>21</v>
      </c>
      <c r="H3385" s="14" t="s">
        <v>18</v>
      </c>
      <c r="I3385" s="15">
        <v>2022.0</v>
      </c>
      <c r="J3385" s="16" t="str">
        <f>IFERROR(__xludf.DUMMYFUNCTION("FILTER('CLASFICACIÓN'!$F$3:$F5618,'CLASFICACIÓN'!$G$3:$G5618=M3385)"),"SOLO 2022 Y 2024")</f>
        <v>SOLO 2022 Y 2024</v>
      </c>
      <c r="K3385" s="16" t="str">
        <f t="array" ref="K3385">IFERROR(DGET('PADD-R'!$B$1:$K5618,'PADD-R'!$K$1,{'PADD-R'!$B$1;E3385}),"NO PARTICIPÓ")</f>
        <v>SOLO 2024</v>
      </c>
      <c r="L3385" s="14" t="s">
        <v>156</v>
      </c>
      <c r="M3385" s="16" t="str">
        <f t="shared" si="1"/>
        <v>86769 ABRAHAM VALDELOMAR6 Primaria</v>
      </c>
      <c r="N3385" s="23"/>
      <c r="O3385" s="17"/>
      <c r="P3385" s="17"/>
      <c r="Q3385" s="17"/>
      <c r="R3385" s="17"/>
      <c r="S3385" s="17"/>
      <c r="T3385" s="17"/>
    </row>
    <row r="3386">
      <c r="A3386" s="18">
        <v>3732.0</v>
      </c>
      <c r="B3386" s="12" t="s">
        <v>64</v>
      </c>
      <c r="C3386" s="12" t="s">
        <v>14</v>
      </c>
      <c r="D3386" s="20" t="s">
        <v>22</v>
      </c>
      <c r="E3386" s="12" t="str">
        <f>IFERROR(__xludf.DUMMYFUNCTION("FILTER(colegios!$B$2:$B5618,colegios!$A$2:$A5618=L3386)"),"86769 ABRAHAM VALDELOMAR")</f>
        <v>86769 ABRAHAM VALDELOMAR</v>
      </c>
      <c r="F3386" s="14" t="s">
        <v>16</v>
      </c>
      <c r="G3386" s="20" t="s">
        <v>21</v>
      </c>
      <c r="H3386" s="14" t="s">
        <v>18</v>
      </c>
      <c r="I3386" s="15">
        <v>2022.0</v>
      </c>
      <c r="J3386" s="16" t="str">
        <f>IFERROR(__xludf.DUMMYFUNCTION("FILTER('CLASFICACIÓN'!$F$3:$F5618,'CLASFICACIÓN'!$G$3:$G5618=M3386)"),"SOLO 2022 Y 2024")</f>
        <v>SOLO 2022 Y 2024</v>
      </c>
      <c r="K3386" s="16" t="str">
        <f t="array" ref="K3386">IFERROR(DGET('PADD-R'!$B$1:$K5618,'PADD-R'!$K$1,{'PADD-R'!$B$1;E3386}),"NO PARTICIPÓ")</f>
        <v>SOLO 2024</v>
      </c>
      <c r="L3386" s="14" t="s">
        <v>156</v>
      </c>
      <c r="M3386" s="16" t="str">
        <f t="shared" si="1"/>
        <v>86769 ABRAHAM VALDELOMAR6 Primaria</v>
      </c>
      <c r="N3386" s="23"/>
      <c r="O3386" s="17"/>
      <c r="P3386" s="17"/>
      <c r="Q3386" s="17"/>
      <c r="R3386" s="17"/>
      <c r="S3386" s="17"/>
      <c r="T3386" s="17"/>
    </row>
    <row r="3387">
      <c r="A3387" s="18">
        <v>3743.0</v>
      </c>
      <c r="B3387" s="12" t="s">
        <v>64</v>
      </c>
      <c r="C3387" s="12" t="s">
        <v>14</v>
      </c>
      <c r="D3387" s="20" t="s">
        <v>15</v>
      </c>
      <c r="E3387" s="12" t="str">
        <f>IFERROR(__xludf.DUMMYFUNCTION("FILTER(colegios!$B$2:$B5618,colegios!$A$2:$A5618=L3387)"),"86548 JOSE MARIA VELAZ")</f>
        <v>86548 JOSE MARIA VELAZ</v>
      </c>
      <c r="F3387" s="14" t="s">
        <v>16</v>
      </c>
      <c r="G3387" s="20" t="s">
        <v>21</v>
      </c>
      <c r="H3387" s="14" t="s">
        <v>18</v>
      </c>
      <c r="I3387" s="15">
        <v>2022.0</v>
      </c>
      <c r="J3387" s="16" t="str">
        <f>IFERROR(__xludf.DUMMYFUNCTION("FILTER('CLASFICACIÓN'!$F$3:$F5618,'CLASFICACIÓN'!$G$3:$G5618=M3387)"),"SOLO 2022 Y 2024")</f>
        <v>SOLO 2022 Y 2024</v>
      </c>
      <c r="K3387" s="16" t="str">
        <f t="array" ref="K3387">IFERROR(DGET('PADD-R'!$B$1:$K5618,'PADD-R'!$K$1,{'PADD-R'!$B$1;E3387}),"NO PARTICIPÓ")</f>
        <v>PADD 2023 Y 2024</v>
      </c>
      <c r="L3387" s="14" t="s">
        <v>66</v>
      </c>
      <c r="M3387" s="16" t="str">
        <f t="shared" si="1"/>
        <v>86548 JOSE MARIA VELAZ2 Primaria</v>
      </c>
      <c r="N3387" s="23"/>
      <c r="O3387" s="17"/>
      <c r="P3387" s="17"/>
      <c r="Q3387" s="17"/>
      <c r="R3387" s="17"/>
      <c r="S3387" s="17"/>
      <c r="T3387" s="17"/>
    </row>
    <row r="3388">
      <c r="A3388" s="18">
        <v>3744.0</v>
      </c>
      <c r="B3388" s="12" t="s">
        <v>64</v>
      </c>
      <c r="C3388" s="12" t="s">
        <v>14</v>
      </c>
      <c r="D3388" s="20" t="s">
        <v>15</v>
      </c>
      <c r="E3388" s="12" t="str">
        <f>IFERROR(__xludf.DUMMYFUNCTION("FILTER(colegios!$B$2:$B5618,colegios!$A$2:$A5618=L3388)"),"86548 JOSE MARIA VELAZ")</f>
        <v>86548 JOSE MARIA VELAZ</v>
      </c>
      <c r="F3388" s="14" t="s">
        <v>16</v>
      </c>
      <c r="G3388" s="20" t="s">
        <v>17</v>
      </c>
      <c r="H3388" s="14" t="s">
        <v>18</v>
      </c>
      <c r="I3388" s="15">
        <v>2022.0</v>
      </c>
      <c r="J3388" s="16" t="str">
        <f>IFERROR(__xludf.DUMMYFUNCTION("FILTER('CLASFICACIÓN'!$F$3:$F5618,'CLASFICACIÓN'!$G$3:$G5618=M3388)"),"SOLO 2022 Y 2024")</f>
        <v>SOLO 2022 Y 2024</v>
      </c>
      <c r="K3388" s="16" t="str">
        <f t="array" ref="K3388">IFERROR(DGET('PADD-R'!$B$1:$K5618,'PADD-R'!$K$1,{'PADD-R'!$B$1;E3388}),"NO PARTICIPÓ")</f>
        <v>PADD 2023 Y 2024</v>
      </c>
      <c r="L3388" s="14" t="s">
        <v>66</v>
      </c>
      <c r="M3388" s="16" t="str">
        <f t="shared" si="1"/>
        <v>86548 JOSE MARIA VELAZ2 Primaria</v>
      </c>
      <c r="N3388" s="23"/>
      <c r="O3388" s="17"/>
      <c r="P3388" s="17"/>
      <c r="Q3388" s="17"/>
      <c r="R3388" s="17"/>
      <c r="S3388" s="17"/>
      <c r="T3388" s="17"/>
    </row>
    <row r="3389">
      <c r="A3389" s="18">
        <v>3745.0</v>
      </c>
      <c r="B3389" s="12" t="s">
        <v>64</v>
      </c>
      <c r="C3389" s="12" t="s">
        <v>14</v>
      </c>
      <c r="D3389" s="20" t="s">
        <v>15</v>
      </c>
      <c r="E3389" s="12" t="str">
        <f>IFERROR(__xludf.DUMMYFUNCTION("FILTER(colegios!$B$2:$B5618,colegios!$A$2:$A5618=L3389)"),"86548 JOSE MARIA VELAZ")</f>
        <v>86548 JOSE MARIA VELAZ</v>
      </c>
      <c r="F3389" s="14" t="s">
        <v>16</v>
      </c>
      <c r="G3389" s="20" t="s">
        <v>17</v>
      </c>
      <c r="H3389" s="14" t="s">
        <v>18</v>
      </c>
      <c r="I3389" s="15">
        <v>2022.0</v>
      </c>
      <c r="J3389" s="16" t="str">
        <f>IFERROR(__xludf.DUMMYFUNCTION("FILTER('CLASFICACIÓN'!$F$3:$F5618,'CLASFICACIÓN'!$G$3:$G5618=M3389)"),"SOLO 2022 Y 2024")</f>
        <v>SOLO 2022 Y 2024</v>
      </c>
      <c r="K3389" s="16" t="str">
        <f t="array" ref="K3389">IFERROR(DGET('PADD-R'!$B$1:$K5618,'PADD-R'!$K$1,{'PADD-R'!$B$1;E3389}),"NO PARTICIPÓ")</f>
        <v>PADD 2023 Y 2024</v>
      </c>
      <c r="L3389" s="14" t="s">
        <v>66</v>
      </c>
      <c r="M3389" s="16" t="str">
        <f t="shared" si="1"/>
        <v>86548 JOSE MARIA VELAZ2 Primaria</v>
      </c>
      <c r="N3389" s="23"/>
      <c r="O3389" s="17"/>
      <c r="P3389" s="17"/>
      <c r="Q3389" s="17"/>
      <c r="R3389" s="17"/>
      <c r="S3389" s="17"/>
      <c r="T3389" s="17"/>
    </row>
    <row r="3390">
      <c r="A3390" s="18">
        <v>3746.0</v>
      </c>
      <c r="B3390" s="12" t="s">
        <v>64</v>
      </c>
      <c r="C3390" s="12" t="s">
        <v>14</v>
      </c>
      <c r="D3390" s="20" t="s">
        <v>15</v>
      </c>
      <c r="E3390" s="12" t="str">
        <f>IFERROR(__xludf.DUMMYFUNCTION("FILTER(colegios!$B$2:$B5618,colegios!$A$2:$A5618=L3390)"),"86548 JOSE MARIA VELAZ")</f>
        <v>86548 JOSE MARIA VELAZ</v>
      </c>
      <c r="F3390" s="14" t="s">
        <v>16</v>
      </c>
      <c r="G3390" s="20" t="s">
        <v>21</v>
      </c>
      <c r="H3390" s="14" t="s">
        <v>18</v>
      </c>
      <c r="I3390" s="15">
        <v>2022.0</v>
      </c>
      <c r="J3390" s="16" t="str">
        <f>IFERROR(__xludf.DUMMYFUNCTION("FILTER('CLASFICACIÓN'!$F$3:$F5618,'CLASFICACIÓN'!$G$3:$G5618=M3390)"),"SOLO 2022 Y 2024")</f>
        <v>SOLO 2022 Y 2024</v>
      </c>
      <c r="K3390" s="16" t="str">
        <f t="array" ref="K3390">IFERROR(DGET('PADD-R'!$B$1:$K5618,'PADD-R'!$K$1,{'PADD-R'!$B$1;E3390}),"NO PARTICIPÓ")</f>
        <v>PADD 2023 Y 2024</v>
      </c>
      <c r="L3390" s="14" t="s">
        <v>66</v>
      </c>
      <c r="M3390" s="16" t="str">
        <f t="shared" si="1"/>
        <v>86548 JOSE MARIA VELAZ2 Primaria</v>
      </c>
      <c r="N3390" s="23"/>
      <c r="O3390" s="17"/>
      <c r="P3390" s="17"/>
      <c r="Q3390" s="17"/>
      <c r="R3390" s="17"/>
      <c r="S3390" s="17"/>
      <c r="T3390" s="17"/>
    </row>
    <row r="3391">
      <c r="A3391" s="18">
        <v>3747.0</v>
      </c>
      <c r="B3391" s="12" t="s">
        <v>64</v>
      </c>
      <c r="C3391" s="12" t="s">
        <v>14</v>
      </c>
      <c r="D3391" s="20" t="s">
        <v>15</v>
      </c>
      <c r="E3391" s="12" t="str">
        <f>IFERROR(__xludf.DUMMYFUNCTION("FILTER(colegios!$B$2:$B5618,colegios!$A$2:$A5618=L3391)"),"86548 JOSE MARIA VELAZ")</f>
        <v>86548 JOSE MARIA VELAZ</v>
      </c>
      <c r="F3391" s="14" t="s">
        <v>16</v>
      </c>
      <c r="G3391" s="20" t="s">
        <v>21</v>
      </c>
      <c r="H3391" s="14" t="s">
        <v>18</v>
      </c>
      <c r="I3391" s="15">
        <v>2022.0</v>
      </c>
      <c r="J3391" s="16" t="str">
        <f>IFERROR(__xludf.DUMMYFUNCTION("FILTER('CLASFICACIÓN'!$F$3:$F5618,'CLASFICACIÓN'!$G$3:$G5618=M3391)"),"SOLO 2022 Y 2024")</f>
        <v>SOLO 2022 Y 2024</v>
      </c>
      <c r="K3391" s="16" t="str">
        <f t="array" ref="K3391">IFERROR(DGET('PADD-R'!$B$1:$K5618,'PADD-R'!$K$1,{'PADD-R'!$B$1;E3391}),"NO PARTICIPÓ")</f>
        <v>PADD 2023 Y 2024</v>
      </c>
      <c r="L3391" s="14" t="s">
        <v>66</v>
      </c>
      <c r="M3391" s="16" t="str">
        <f t="shared" si="1"/>
        <v>86548 JOSE MARIA VELAZ2 Primaria</v>
      </c>
      <c r="N3391" s="23"/>
      <c r="O3391" s="17"/>
      <c r="P3391" s="17"/>
      <c r="Q3391" s="17"/>
      <c r="R3391" s="17"/>
      <c r="S3391" s="17"/>
      <c r="T3391" s="17"/>
    </row>
    <row r="3392">
      <c r="A3392" s="18">
        <v>3748.0</v>
      </c>
      <c r="B3392" s="12" t="s">
        <v>64</v>
      </c>
      <c r="C3392" s="12" t="s">
        <v>14</v>
      </c>
      <c r="D3392" s="20" t="s">
        <v>15</v>
      </c>
      <c r="E3392" s="12" t="str">
        <f>IFERROR(__xludf.DUMMYFUNCTION("FILTER(colegios!$B$2:$B5618,colegios!$A$2:$A5618=L3392)"),"86548 JOSE MARIA VELAZ")</f>
        <v>86548 JOSE MARIA VELAZ</v>
      </c>
      <c r="F3392" s="14" t="s">
        <v>16</v>
      </c>
      <c r="G3392" s="20" t="s">
        <v>17</v>
      </c>
      <c r="H3392" s="14" t="s">
        <v>18</v>
      </c>
      <c r="I3392" s="15">
        <v>2022.0</v>
      </c>
      <c r="J3392" s="16" t="str">
        <f>IFERROR(__xludf.DUMMYFUNCTION("FILTER('CLASFICACIÓN'!$F$3:$F5618,'CLASFICACIÓN'!$G$3:$G5618=M3392)"),"SOLO 2022 Y 2024")</f>
        <v>SOLO 2022 Y 2024</v>
      </c>
      <c r="K3392" s="16" t="str">
        <f t="array" ref="K3392">IFERROR(DGET('PADD-R'!$B$1:$K5618,'PADD-R'!$K$1,{'PADD-R'!$B$1;E3392}),"NO PARTICIPÓ")</f>
        <v>PADD 2023 Y 2024</v>
      </c>
      <c r="L3392" s="14" t="s">
        <v>66</v>
      </c>
      <c r="M3392" s="16" t="str">
        <f t="shared" si="1"/>
        <v>86548 JOSE MARIA VELAZ2 Primaria</v>
      </c>
      <c r="N3392" s="23"/>
      <c r="O3392" s="17"/>
      <c r="P3392" s="17"/>
      <c r="Q3392" s="17"/>
      <c r="R3392" s="17"/>
      <c r="S3392" s="17"/>
      <c r="T3392" s="17"/>
    </row>
    <row r="3393">
      <c r="A3393" s="18">
        <v>3749.0</v>
      </c>
      <c r="B3393" s="12" t="s">
        <v>64</v>
      </c>
      <c r="C3393" s="12" t="s">
        <v>27</v>
      </c>
      <c r="D3393" s="20" t="s">
        <v>28</v>
      </c>
      <c r="E3393" s="12" t="str">
        <f>IFERROR(__xludf.DUMMYFUNCTION("FILTER(colegios!$B$2:$B5618,colegios!$A$2:$A5618=L3393)"),"86548 JOSE MARIA VELAZ")</f>
        <v>86548 JOSE MARIA VELAZ</v>
      </c>
      <c r="F3393" s="14" t="s">
        <v>16</v>
      </c>
      <c r="G3393" s="20" t="s">
        <v>17</v>
      </c>
      <c r="H3393" s="14" t="s">
        <v>18</v>
      </c>
      <c r="I3393" s="15">
        <v>2022.0</v>
      </c>
      <c r="J3393" s="16" t="str">
        <f>IFERROR(__xludf.DUMMYFUNCTION("FILTER('CLASFICACIÓN'!$F$3:$F5618,'CLASFICACIÓN'!$G$3:$G5618=M3393)"),"SOLO 2022 Y 2024")</f>
        <v>SOLO 2022 Y 2024</v>
      </c>
      <c r="K3393" s="16" t="str">
        <f t="array" ref="K3393">IFERROR(DGET('PADD-R'!$B$1:$K5618,'PADD-R'!$K$1,{'PADD-R'!$B$1;E3393}),"NO PARTICIPÓ")</f>
        <v>PADD 2023 Y 2024</v>
      </c>
      <c r="L3393" s="14" t="s">
        <v>66</v>
      </c>
      <c r="M3393" s="16" t="str">
        <f t="shared" si="1"/>
        <v>86548 JOSE MARIA VELAZ2 Secundaria</v>
      </c>
      <c r="N3393" s="23"/>
      <c r="O3393" s="17"/>
      <c r="P3393" s="17"/>
      <c r="Q3393" s="17"/>
      <c r="R3393" s="17"/>
      <c r="S3393" s="17"/>
      <c r="T3393" s="17"/>
    </row>
    <row r="3394">
      <c r="A3394" s="18">
        <v>3750.0</v>
      </c>
      <c r="B3394" s="12" t="s">
        <v>64</v>
      </c>
      <c r="C3394" s="12" t="s">
        <v>27</v>
      </c>
      <c r="D3394" s="20" t="s">
        <v>28</v>
      </c>
      <c r="E3394" s="12" t="str">
        <f>IFERROR(__xludf.DUMMYFUNCTION("FILTER(colegios!$B$2:$B5618,colegios!$A$2:$A5618=L3394)"),"86548 JOSE MARIA VELAZ")</f>
        <v>86548 JOSE MARIA VELAZ</v>
      </c>
      <c r="F3394" s="14" t="s">
        <v>16</v>
      </c>
      <c r="G3394" s="20" t="s">
        <v>17</v>
      </c>
      <c r="H3394" s="14" t="s">
        <v>18</v>
      </c>
      <c r="I3394" s="15">
        <v>2022.0</v>
      </c>
      <c r="J3394" s="16" t="str">
        <f>IFERROR(__xludf.DUMMYFUNCTION("FILTER('CLASFICACIÓN'!$F$3:$F5618,'CLASFICACIÓN'!$G$3:$G5618=M3394)"),"SOLO 2022 Y 2024")</f>
        <v>SOLO 2022 Y 2024</v>
      </c>
      <c r="K3394" s="16" t="str">
        <f t="array" ref="K3394">IFERROR(DGET('PADD-R'!$B$1:$K5618,'PADD-R'!$K$1,{'PADD-R'!$B$1;E3394}),"NO PARTICIPÓ")</f>
        <v>PADD 2023 Y 2024</v>
      </c>
      <c r="L3394" s="14" t="s">
        <v>66</v>
      </c>
      <c r="M3394" s="16" t="str">
        <f t="shared" si="1"/>
        <v>86548 JOSE MARIA VELAZ2 Secundaria</v>
      </c>
      <c r="N3394" s="23"/>
      <c r="O3394" s="17"/>
      <c r="P3394" s="17"/>
      <c r="Q3394" s="17"/>
      <c r="R3394" s="17"/>
      <c r="S3394" s="17"/>
      <c r="T3394" s="17"/>
    </row>
    <row r="3395">
      <c r="A3395" s="18">
        <v>3751.0</v>
      </c>
      <c r="B3395" s="12" t="s">
        <v>64</v>
      </c>
      <c r="C3395" s="12" t="s">
        <v>27</v>
      </c>
      <c r="D3395" s="20" t="s">
        <v>28</v>
      </c>
      <c r="E3395" s="12" t="str">
        <f>IFERROR(__xludf.DUMMYFUNCTION("FILTER(colegios!$B$2:$B5618,colegios!$A$2:$A5618=L3395)"),"86548 JOSE MARIA VELAZ")</f>
        <v>86548 JOSE MARIA VELAZ</v>
      </c>
      <c r="F3395" s="14" t="s">
        <v>16</v>
      </c>
      <c r="G3395" s="20" t="s">
        <v>21</v>
      </c>
      <c r="H3395" s="14" t="s">
        <v>18</v>
      </c>
      <c r="I3395" s="15">
        <v>2022.0</v>
      </c>
      <c r="J3395" s="16" t="str">
        <f>IFERROR(__xludf.DUMMYFUNCTION("FILTER('CLASFICACIÓN'!$F$3:$F5618,'CLASFICACIÓN'!$G$3:$G5618=M3395)"),"SOLO 2022 Y 2024")</f>
        <v>SOLO 2022 Y 2024</v>
      </c>
      <c r="K3395" s="16" t="str">
        <f t="array" ref="K3395">IFERROR(DGET('PADD-R'!$B$1:$K5618,'PADD-R'!$K$1,{'PADD-R'!$B$1;E3395}),"NO PARTICIPÓ")</f>
        <v>PADD 2023 Y 2024</v>
      </c>
      <c r="L3395" s="14" t="s">
        <v>66</v>
      </c>
      <c r="M3395" s="16" t="str">
        <f t="shared" si="1"/>
        <v>86548 JOSE MARIA VELAZ2 Secundaria</v>
      </c>
      <c r="N3395" s="23"/>
      <c r="O3395" s="17"/>
      <c r="P3395" s="17"/>
      <c r="Q3395" s="17"/>
      <c r="R3395" s="17"/>
      <c r="S3395" s="17"/>
      <c r="T3395" s="17"/>
    </row>
    <row r="3396">
      <c r="A3396" s="18">
        <v>3752.0</v>
      </c>
      <c r="B3396" s="12" t="s">
        <v>64</v>
      </c>
      <c r="C3396" s="12" t="s">
        <v>27</v>
      </c>
      <c r="D3396" s="20" t="s">
        <v>28</v>
      </c>
      <c r="E3396" s="12" t="str">
        <f>IFERROR(__xludf.DUMMYFUNCTION("FILTER(colegios!$B$2:$B5618,colegios!$A$2:$A5618=L3396)"),"86548 JOSE MARIA VELAZ")</f>
        <v>86548 JOSE MARIA VELAZ</v>
      </c>
      <c r="F3396" s="14" t="s">
        <v>16</v>
      </c>
      <c r="G3396" s="20" t="s">
        <v>17</v>
      </c>
      <c r="H3396" s="14" t="s">
        <v>18</v>
      </c>
      <c r="I3396" s="15">
        <v>2022.0</v>
      </c>
      <c r="J3396" s="16" t="str">
        <f>IFERROR(__xludf.DUMMYFUNCTION("FILTER('CLASFICACIÓN'!$F$3:$F5618,'CLASFICACIÓN'!$G$3:$G5618=M3396)"),"SOLO 2022 Y 2024")</f>
        <v>SOLO 2022 Y 2024</v>
      </c>
      <c r="K3396" s="16" t="str">
        <f t="array" ref="K3396">IFERROR(DGET('PADD-R'!$B$1:$K5618,'PADD-R'!$K$1,{'PADD-R'!$B$1;E3396}),"NO PARTICIPÓ")</f>
        <v>PADD 2023 Y 2024</v>
      </c>
      <c r="L3396" s="14" t="s">
        <v>66</v>
      </c>
      <c r="M3396" s="16" t="str">
        <f t="shared" si="1"/>
        <v>86548 JOSE MARIA VELAZ2 Secundaria</v>
      </c>
      <c r="N3396" s="23"/>
      <c r="O3396" s="17"/>
      <c r="P3396" s="17"/>
      <c r="Q3396" s="17"/>
      <c r="R3396" s="17"/>
      <c r="S3396" s="17"/>
      <c r="T3396" s="17"/>
    </row>
    <row r="3397">
      <c r="A3397" s="18">
        <v>3753.0</v>
      </c>
      <c r="B3397" s="12" t="s">
        <v>64</v>
      </c>
      <c r="C3397" s="12" t="s">
        <v>27</v>
      </c>
      <c r="D3397" s="20" t="s">
        <v>28</v>
      </c>
      <c r="E3397" s="12" t="str">
        <f>IFERROR(__xludf.DUMMYFUNCTION("FILTER(colegios!$B$2:$B5618,colegios!$A$2:$A5618=L3397)"),"86548 JOSE MARIA VELAZ")</f>
        <v>86548 JOSE MARIA VELAZ</v>
      </c>
      <c r="F3397" s="14" t="s">
        <v>16</v>
      </c>
      <c r="G3397" s="20" t="s">
        <v>17</v>
      </c>
      <c r="H3397" s="14" t="s">
        <v>18</v>
      </c>
      <c r="I3397" s="15">
        <v>2022.0</v>
      </c>
      <c r="J3397" s="16" t="str">
        <f>IFERROR(__xludf.DUMMYFUNCTION("FILTER('CLASFICACIÓN'!$F$3:$F5618,'CLASFICACIÓN'!$G$3:$G5618=M3397)"),"SOLO 2022 Y 2024")</f>
        <v>SOLO 2022 Y 2024</v>
      </c>
      <c r="K3397" s="16" t="str">
        <f t="array" ref="K3397">IFERROR(DGET('PADD-R'!$B$1:$K5618,'PADD-R'!$K$1,{'PADD-R'!$B$1;E3397}),"NO PARTICIPÓ")</f>
        <v>PADD 2023 Y 2024</v>
      </c>
      <c r="L3397" s="14" t="s">
        <v>66</v>
      </c>
      <c r="M3397" s="16" t="str">
        <f t="shared" si="1"/>
        <v>86548 JOSE MARIA VELAZ2 Secundaria</v>
      </c>
      <c r="N3397" s="23"/>
      <c r="O3397" s="17"/>
      <c r="P3397" s="17"/>
      <c r="Q3397" s="17"/>
      <c r="R3397" s="17"/>
      <c r="S3397" s="17"/>
      <c r="T3397" s="17"/>
    </row>
    <row r="3398">
      <c r="A3398" s="18">
        <v>3754.0</v>
      </c>
      <c r="B3398" s="12" t="s">
        <v>64</v>
      </c>
      <c r="C3398" s="12" t="s">
        <v>27</v>
      </c>
      <c r="D3398" s="20" t="s">
        <v>28</v>
      </c>
      <c r="E3398" s="12" t="str">
        <f>IFERROR(__xludf.DUMMYFUNCTION("FILTER(colegios!$B$2:$B5618,colegios!$A$2:$A5618=L3398)"),"86548 JOSE MARIA VELAZ")</f>
        <v>86548 JOSE MARIA VELAZ</v>
      </c>
      <c r="F3398" s="14" t="s">
        <v>16</v>
      </c>
      <c r="G3398" s="20" t="s">
        <v>21</v>
      </c>
      <c r="H3398" s="14" t="s">
        <v>18</v>
      </c>
      <c r="I3398" s="15">
        <v>2022.0</v>
      </c>
      <c r="J3398" s="16" t="str">
        <f>IFERROR(__xludf.DUMMYFUNCTION("FILTER('CLASFICACIÓN'!$F$3:$F5618,'CLASFICACIÓN'!$G$3:$G5618=M3398)"),"SOLO 2022 Y 2024")</f>
        <v>SOLO 2022 Y 2024</v>
      </c>
      <c r="K3398" s="16" t="str">
        <f t="array" ref="K3398">IFERROR(DGET('PADD-R'!$B$1:$K5618,'PADD-R'!$K$1,{'PADD-R'!$B$1;E3398}),"NO PARTICIPÓ")</f>
        <v>PADD 2023 Y 2024</v>
      </c>
      <c r="L3398" s="14" t="s">
        <v>66</v>
      </c>
      <c r="M3398" s="16" t="str">
        <f t="shared" si="1"/>
        <v>86548 JOSE MARIA VELAZ2 Secundaria</v>
      </c>
      <c r="N3398" s="23"/>
      <c r="O3398" s="17"/>
      <c r="P3398" s="17"/>
      <c r="Q3398" s="17"/>
      <c r="R3398" s="17"/>
      <c r="S3398" s="17"/>
      <c r="T3398" s="17"/>
    </row>
    <row r="3399">
      <c r="A3399" s="18">
        <v>3755.0</v>
      </c>
      <c r="B3399" s="12" t="s">
        <v>64</v>
      </c>
      <c r="C3399" s="12" t="s">
        <v>27</v>
      </c>
      <c r="D3399" s="20" t="s">
        <v>28</v>
      </c>
      <c r="E3399" s="12" t="str">
        <f>IFERROR(__xludf.DUMMYFUNCTION("FILTER(colegios!$B$2:$B5618,colegios!$A$2:$A5618=L3399)"),"86548 JOSE MARIA VELAZ")</f>
        <v>86548 JOSE MARIA VELAZ</v>
      </c>
      <c r="F3399" s="14" t="s">
        <v>16</v>
      </c>
      <c r="G3399" s="20" t="s">
        <v>21</v>
      </c>
      <c r="H3399" s="14" t="s">
        <v>18</v>
      </c>
      <c r="I3399" s="15">
        <v>2022.0</v>
      </c>
      <c r="J3399" s="16" t="str">
        <f>IFERROR(__xludf.DUMMYFUNCTION("FILTER('CLASFICACIÓN'!$F$3:$F5618,'CLASFICACIÓN'!$G$3:$G5618=M3399)"),"SOLO 2022 Y 2024")</f>
        <v>SOLO 2022 Y 2024</v>
      </c>
      <c r="K3399" s="16" t="str">
        <f t="array" ref="K3399">IFERROR(DGET('PADD-R'!$B$1:$K5618,'PADD-R'!$K$1,{'PADD-R'!$B$1;E3399}),"NO PARTICIPÓ")</f>
        <v>PADD 2023 Y 2024</v>
      </c>
      <c r="L3399" s="14" t="s">
        <v>66</v>
      </c>
      <c r="M3399" s="16" t="str">
        <f t="shared" si="1"/>
        <v>86548 JOSE MARIA VELAZ2 Secundaria</v>
      </c>
      <c r="N3399" s="23"/>
      <c r="O3399" s="17"/>
      <c r="P3399" s="17"/>
      <c r="Q3399" s="17"/>
      <c r="R3399" s="17"/>
      <c r="S3399" s="17"/>
      <c r="T3399" s="17"/>
    </row>
    <row r="3400">
      <c r="A3400" s="18">
        <v>3756.0</v>
      </c>
      <c r="B3400" s="12" t="s">
        <v>64</v>
      </c>
      <c r="C3400" s="12" t="s">
        <v>27</v>
      </c>
      <c r="D3400" s="20" t="s">
        <v>28</v>
      </c>
      <c r="E3400" s="12" t="str">
        <f>IFERROR(__xludf.DUMMYFUNCTION("FILTER(colegios!$B$2:$B5618,colegios!$A$2:$A5618=L3400)"),"86548 JOSE MARIA VELAZ")</f>
        <v>86548 JOSE MARIA VELAZ</v>
      </c>
      <c r="F3400" s="14" t="s">
        <v>16</v>
      </c>
      <c r="G3400" s="20" t="s">
        <v>17</v>
      </c>
      <c r="H3400" s="14" t="s">
        <v>18</v>
      </c>
      <c r="I3400" s="15">
        <v>2022.0</v>
      </c>
      <c r="J3400" s="16" t="str">
        <f>IFERROR(__xludf.DUMMYFUNCTION("FILTER('CLASFICACIÓN'!$F$3:$F5618,'CLASFICACIÓN'!$G$3:$G5618=M3400)"),"SOLO 2022 Y 2024")</f>
        <v>SOLO 2022 Y 2024</v>
      </c>
      <c r="K3400" s="16" t="str">
        <f t="array" ref="K3400">IFERROR(DGET('PADD-R'!$B$1:$K5618,'PADD-R'!$K$1,{'PADD-R'!$B$1;E3400}),"NO PARTICIPÓ")</f>
        <v>PADD 2023 Y 2024</v>
      </c>
      <c r="L3400" s="14" t="s">
        <v>66</v>
      </c>
      <c r="M3400" s="16" t="str">
        <f t="shared" si="1"/>
        <v>86548 JOSE MARIA VELAZ2 Secundaria</v>
      </c>
      <c r="N3400" s="23"/>
      <c r="O3400" s="17"/>
      <c r="P3400" s="17"/>
      <c r="Q3400" s="17"/>
      <c r="R3400" s="17"/>
      <c r="S3400" s="17"/>
      <c r="T3400" s="17"/>
    </row>
    <row r="3401">
      <c r="A3401" s="18">
        <v>3757.0</v>
      </c>
      <c r="B3401" s="12" t="s">
        <v>64</v>
      </c>
      <c r="C3401" s="12" t="s">
        <v>27</v>
      </c>
      <c r="D3401" s="20" t="s">
        <v>28</v>
      </c>
      <c r="E3401" s="12" t="str">
        <f>IFERROR(__xludf.DUMMYFUNCTION("FILTER(colegios!$B$2:$B5618,colegios!$A$2:$A5618=L3401)"),"86548 JOSE MARIA VELAZ")</f>
        <v>86548 JOSE MARIA VELAZ</v>
      </c>
      <c r="F3401" s="14" t="s">
        <v>16</v>
      </c>
      <c r="G3401" s="20" t="s">
        <v>17</v>
      </c>
      <c r="H3401" s="14" t="s">
        <v>18</v>
      </c>
      <c r="I3401" s="15">
        <v>2022.0</v>
      </c>
      <c r="J3401" s="16" t="str">
        <f>IFERROR(__xludf.DUMMYFUNCTION("FILTER('CLASFICACIÓN'!$F$3:$F5618,'CLASFICACIÓN'!$G$3:$G5618=M3401)"),"SOLO 2022 Y 2024")</f>
        <v>SOLO 2022 Y 2024</v>
      </c>
      <c r="K3401" s="16" t="str">
        <f t="array" ref="K3401">IFERROR(DGET('PADD-R'!$B$1:$K5618,'PADD-R'!$K$1,{'PADD-R'!$B$1;E3401}),"NO PARTICIPÓ")</f>
        <v>PADD 2023 Y 2024</v>
      </c>
      <c r="L3401" s="14" t="s">
        <v>66</v>
      </c>
      <c r="M3401" s="16" t="str">
        <f t="shared" si="1"/>
        <v>86548 JOSE MARIA VELAZ2 Secundaria</v>
      </c>
      <c r="N3401" s="23"/>
      <c r="O3401" s="17"/>
      <c r="P3401" s="17"/>
      <c r="Q3401" s="17"/>
      <c r="R3401" s="17"/>
      <c r="S3401" s="17"/>
      <c r="T3401" s="17"/>
    </row>
    <row r="3402">
      <c r="A3402" s="18">
        <v>3758.0</v>
      </c>
      <c r="B3402" s="12" t="s">
        <v>64</v>
      </c>
      <c r="C3402" s="12" t="s">
        <v>27</v>
      </c>
      <c r="D3402" s="20" t="s">
        <v>28</v>
      </c>
      <c r="E3402" s="12" t="str">
        <f>IFERROR(__xludf.DUMMYFUNCTION("FILTER(colegios!$B$2:$B5618,colegios!$A$2:$A5618=L3402)"),"86548 JOSE MARIA VELAZ")</f>
        <v>86548 JOSE MARIA VELAZ</v>
      </c>
      <c r="F3402" s="14" t="s">
        <v>16</v>
      </c>
      <c r="G3402" s="20" t="s">
        <v>17</v>
      </c>
      <c r="H3402" s="14" t="s">
        <v>18</v>
      </c>
      <c r="I3402" s="15">
        <v>2022.0</v>
      </c>
      <c r="J3402" s="16" t="str">
        <f>IFERROR(__xludf.DUMMYFUNCTION("FILTER('CLASFICACIÓN'!$F$3:$F5618,'CLASFICACIÓN'!$G$3:$G5618=M3402)"),"SOLO 2022 Y 2024")</f>
        <v>SOLO 2022 Y 2024</v>
      </c>
      <c r="K3402" s="16" t="str">
        <f t="array" ref="K3402">IFERROR(DGET('PADD-R'!$B$1:$K5618,'PADD-R'!$K$1,{'PADD-R'!$B$1;E3402}),"NO PARTICIPÓ")</f>
        <v>PADD 2023 Y 2024</v>
      </c>
      <c r="L3402" s="14" t="s">
        <v>66</v>
      </c>
      <c r="M3402" s="16" t="str">
        <f t="shared" si="1"/>
        <v>86548 JOSE MARIA VELAZ2 Secundaria</v>
      </c>
      <c r="N3402" s="23"/>
      <c r="O3402" s="17"/>
      <c r="P3402" s="17"/>
      <c r="Q3402" s="17"/>
      <c r="R3402" s="17"/>
      <c r="S3402" s="17"/>
      <c r="T3402" s="17"/>
    </row>
    <row r="3403">
      <c r="A3403" s="18">
        <v>3759.0</v>
      </c>
      <c r="B3403" s="12" t="s">
        <v>64</v>
      </c>
      <c r="C3403" s="12" t="s">
        <v>27</v>
      </c>
      <c r="D3403" s="20" t="s">
        <v>28</v>
      </c>
      <c r="E3403" s="12" t="str">
        <f>IFERROR(__xludf.DUMMYFUNCTION("FILTER(colegios!$B$2:$B5618,colegios!$A$2:$A5618=L3403)"),"86548 JOSE MARIA VELAZ")</f>
        <v>86548 JOSE MARIA VELAZ</v>
      </c>
      <c r="F3403" s="14" t="s">
        <v>16</v>
      </c>
      <c r="G3403" s="20" t="s">
        <v>21</v>
      </c>
      <c r="H3403" s="14" t="s">
        <v>18</v>
      </c>
      <c r="I3403" s="15">
        <v>2022.0</v>
      </c>
      <c r="J3403" s="16" t="str">
        <f>IFERROR(__xludf.DUMMYFUNCTION("FILTER('CLASFICACIÓN'!$F$3:$F5618,'CLASFICACIÓN'!$G$3:$G5618=M3403)"),"SOLO 2022 Y 2024")</f>
        <v>SOLO 2022 Y 2024</v>
      </c>
      <c r="K3403" s="16" t="str">
        <f t="array" ref="K3403">IFERROR(DGET('PADD-R'!$B$1:$K5618,'PADD-R'!$K$1,{'PADD-R'!$B$1;E3403}),"NO PARTICIPÓ")</f>
        <v>PADD 2023 Y 2024</v>
      </c>
      <c r="L3403" s="14" t="s">
        <v>66</v>
      </c>
      <c r="M3403" s="16" t="str">
        <f t="shared" si="1"/>
        <v>86548 JOSE MARIA VELAZ2 Secundaria</v>
      </c>
      <c r="N3403" s="23"/>
      <c r="O3403" s="17"/>
      <c r="P3403" s="17"/>
      <c r="Q3403" s="17"/>
      <c r="R3403" s="17"/>
      <c r="S3403" s="17"/>
      <c r="T3403" s="17"/>
    </row>
    <row r="3404">
      <c r="A3404" s="18">
        <v>3760.0</v>
      </c>
      <c r="B3404" s="12" t="s">
        <v>64</v>
      </c>
      <c r="C3404" s="12" t="s">
        <v>27</v>
      </c>
      <c r="D3404" s="20" t="s">
        <v>28</v>
      </c>
      <c r="E3404" s="12" t="str">
        <f>IFERROR(__xludf.DUMMYFUNCTION("FILTER(colegios!$B$2:$B5618,colegios!$A$2:$A5618=L3404)"),"86548 JOSE MARIA VELAZ")</f>
        <v>86548 JOSE MARIA VELAZ</v>
      </c>
      <c r="F3404" s="14" t="s">
        <v>16</v>
      </c>
      <c r="G3404" s="20" t="s">
        <v>21</v>
      </c>
      <c r="H3404" s="14" t="s">
        <v>18</v>
      </c>
      <c r="I3404" s="15">
        <v>2022.0</v>
      </c>
      <c r="J3404" s="16" t="str">
        <f>IFERROR(__xludf.DUMMYFUNCTION("FILTER('CLASFICACIÓN'!$F$3:$F5618,'CLASFICACIÓN'!$G$3:$G5618=M3404)"),"SOLO 2022 Y 2024")</f>
        <v>SOLO 2022 Y 2024</v>
      </c>
      <c r="K3404" s="16" t="str">
        <f t="array" ref="K3404">IFERROR(DGET('PADD-R'!$B$1:$K5618,'PADD-R'!$K$1,{'PADD-R'!$B$1;E3404}),"NO PARTICIPÓ")</f>
        <v>PADD 2023 Y 2024</v>
      </c>
      <c r="L3404" s="14" t="s">
        <v>66</v>
      </c>
      <c r="M3404" s="16" t="str">
        <f t="shared" si="1"/>
        <v>86548 JOSE MARIA VELAZ2 Secundaria</v>
      </c>
      <c r="N3404" s="23"/>
      <c r="O3404" s="17"/>
      <c r="P3404" s="17"/>
      <c r="Q3404" s="17"/>
      <c r="R3404" s="17"/>
      <c r="S3404" s="17"/>
      <c r="T3404" s="17"/>
    </row>
    <row r="3405">
      <c r="A3405" s="18">
        <v>3761.0</v>
      </c>
      <c r="B3405" s="12" t="s">
        <v>64</v>
      </c>
      <c r="C3405" s="12" t="s">
        <v>27</v>
      </c>
      <c r="D3405" s="20" t="s">
        <v>28</v>
      </c>
      <c r="E3405" s="12" t="str">
        <f>IFERROR(__xludf.DUMMYFUNCTION("FILTER(colegios!$B$2:$B5618,colegios!$A$2:$A5618=L3405)"),"86548 JOSE MARIA VELAZ")</f>
        <v>86548 JOSE MARIA VELAZ</v>
      </c>
      <c r="F3405" s="14" t="s">
        <v>16</v>
      </c>
      <c r="G3405" s="20" t="s">
        <v>17</v>
      </c>
      <c r="H3405" s="14" t="s">
        <v>18</v>
      </c>
      <c r="I3405" s="15">
        <v>2022.0</v>
      </c>
      <c r="J3405" s="16" t="str">
        <f>IFERROR(__xludf.DUMMYFUNCTION("FILTER('CLASFICACIÓN'!$F$3:$F5618,'CLASFICACIÓN'!$G$3:$G5618=M3405)"),"SOLO 2022 Y 2024")</f>
        <v>SOLO 2022 Y 2024</v>
      </c>
      <c r="K3405" s="16" t="str">
        <f t="array" ref="K3405">IFERROR(DGET('PADD-R'!$B$1:$K5618,'PADD-R'!$K$1,{'PADD-R'!$B$1;E3405}),"NO PARTICIPÓ")</f>
        <v>PADD 2023 Y 2024</v>
      </c>
      <c r="L3405" s="14" t="s">
        <v>66</v>
      </c>
      <c r="M3405" s="16" t="str">
        <f t="shared" si="1"/>
        <v>86548 JOSE MARIA VELAZ2 Secundaria</v>
      </c>
      <c r="N3405" s="23"/>
      <c r="O3405" s="17"/>
      <c r="P3405" s="17"/>
      <c r="Q3405" s="17"/>
      <c r="R3405" s="17"/>
      <c r="S3405" s="17"/>
      <c r="T3405" s="17"/>
    </row>
    <row r="3406">
      <c r="A3406" s="18">
        <v>3762.0</v>
      </c>
      <c r="B3406" s="12" t="s">
        <v>64</v>
      </c>
      <c r="C3406" s="12" t="s">
        <v>27</v>
      </c>
      <c r="D3406" s="20" t="s">
        <v>28</v>
      </c>
      <c r="E3406" s="12" t="str">
        <f>IFERROR(__xludf.DUMMYFUNCTION("FILTER(colegios!$B$2:$B5618,colegios!$A$2:$A5618=L3406)"),"86548 JOSE MARIA VELAZ")</f>
        <v>86548 JOSE MARIA VELAZ</v>
      </c>
      <c r="F3406" s="14" t="s">
        <v>16</v>
      </c>
      <c r="G3406" s="20" t="s">
        <v>17</v>
      </c>
      <c r="H3406" s="14" t="s">
        <v>18</v>
      </c>
      <c r="I3406" s="15">
        <v>2022.0</v>
      </c>
      <c r="J3406" s="16" t="str">
        <f>IFERROR(__xludf.DUMMYFUNCTION("FILTER('CLASFICACIÓN'!$F$3:$F5618,'CLASFICACIÓN'!$G$3:$G5618=M3406)"),"SOLO 2022 Y 2024")</f>
        <v>SOLO 2022 Y 2024</v>
      </c>
      <c r="K3406" s="16" t="str">
        <f t="array" ref="K3406">IFERROR(DGET('PADD-R'!$B$1:$K5618,'PADD-R'!$K$1,{'PADD-R'!$B$1;E3406}),"NO PARTICIPÓ")</f>
        <v>PADD 2023 Y 2024</v>
      </c>
      <c r="L3406" s="14" t="s">
        <v>66</v>
      </c>
      <c r="M3406" s="16" t="str">
        <f t="shared" si="1"/>
        <v>86548 JOSE MARIA VELAZ2 Secundaria</v>
      </c>
      <c r="N3406" s="23"/>
      <c r="O3406" s="17"/>
      <c r="P3406" s="17"/>
      <c r="Q3406" s="17"/>
      <c r="R3406" s="17"/>
      <c r="S3406" s="17"/>
      <c r="T3406" s="17"/>
    </row>
    <row r="3407">
      <c r="A3407" s="18">
        <v>3763.0</v>
      </c>
      <c r="B3407" s="12" t="s">
        <v>64</v>
      </c>
      <c r="C3407" s="12" t="s">
        <v>27</v>
      </c>
      <c r="D3407" s="20" t="s">
        <v>28</v>
      </c>
      <c r="E3407" s="12" t="str">
        <f>IFERROR(__xludf.DUMMYFUNCTION("FILTER(colegios!$B$2:$B5618,colegios!$A$2:$A5618=L3407)"),"86548 JOSE MARIA VELAZ")</f>
        <v>86548 JOSE MARIA VELAZ</v>
      </c>
      <c r="F3407" s="14" t="s">
        <v>16</v>
      </c>
      <c r="G3407" s="20" t="s">
        <v>21</v>
      </c>
      <c r="H3407" s="14" t="s">
        <v>18</v>
      </c>
      <c r="I3407" s="15">
        <v>2022.0</v>
      </c>
      <c r="J3407" s="16" t="str">
        <f>IFERROR(__xludf.DUMMYFUNCTION("FILTER('CLASFICACIÓN'!$F$3:$F5618,'CLASFICACIÓN'!$G$3:$G5618=M3407)"),"SOLO 2022 Y 2024")</f>
        <v>SOLO 2022 Y 2024</v>
      </c>
      <c r="K3407" s="16" t="str">
        <f t="array" ref="K3407">IFERROR(DGET('PADD-R'!$B$1:$K5618,'PADD-R'!$K$1,{'PADD-R'!$B$1;E3407}),"NO PARTICIPÓ")</f>
        <v>PADD 2023 Y 2024</v>
      </c>
      <c r="L3407" s="14" t="s">
        <v>66</v>
      </c>
      <c r="M3407" s="16" t="str">
        <f t="shared" si="1"/>
        <v>86548 JOSE MARIA VELAZ2 Secundaria</v>
      </c>
      <c r="N3407" s="23"/>
      <c r="O3407" s="17"/>
      <c r="P3407" s="17"/>
      <c r="Q3407" s="17"/>
      <c r="R3407" s="17"/>
      <c r="S3407" s="17"/>
      <c r="T3407" s="17"/>
    </row>
    <row r="3408">
      <c r="A3408" s="18">
        <v>3764.0</v>
      </c>
      <c r="B3408" s="12" t="s">
        <v>64</v>
      </c>
      <c r="C3408" s="12" t="s">
        <v>27</v>
      </c>
      <c r="D3408" s="20" t="s">
        <v>28</v>
      </c>
      <c r="E3408" s="12" t="str">
        <f>IFERROR(__xludf.DUMMYFUNCTION("FILTER(colegios!$B$2:$B5618,colegios!$A$2:$A5618=L3408)"),"86548 JOSE MARIA VELAZ")</f>
        <v>86548 JOSE MARIA VELAZ</v>
      </c>
      <c r="F3408" s="14" t="s">
        <v>16</v>
      </c>
      <c r="G3408" s="20" t="s">
        <v>21</v>
      </c>
      <c r="H3408" s="14" t="s">
        <v>18</v>
      </c>
      <c r="I3408" s="15">
        <v>2022.0</v>
      </c>
      <c r="J3408" s="16" t="str">
        <f>IFERROR(__xludf.DUMMYFUNCTION("FILTER('CLASFICACIÓN'!$F$3:$F5618,'CLASFICACIÓN'!$G$3:$G5618=M3408)"),"SOLO 2022 Y 2024")</f>
        <v>SOLO 2022 Y 2024</v>
      </c>
      <c r="K3408" s="16" t="str">
        <f t="array" ref="K3408">IFERROR(DGET('PADD-R'!$B$1:$K5618,'PADD-R'!$K$1,{'PADD-R'!$B$1;E3408}),"NO PARTICIPÓ")</f>
        <v>PADD 2023 Y 2024</v>
      </c>
      <c r="L3408" s="14" t="s">
        <v>66</v>
      </c>
      <c r="M3408" s="16" t="str">
        <f t="shared" si="1"/>
        <v>86548 JOSE MARIA VELAZ2 Secundaria</v>
      </c>
      <c r="N3408" s="23"/>
      <c r="O3408" s="17"/>
      <c r="P3408" s="17"/>
      <c r="Q3408" s="17"/>
      <c r="R3408" s="17"/>
      <c r="S3408" s="17"/>
      <c r="T3408" s="17"/>
    </row>
    <row r="3409">
      <c r="A3409" s="18">
        <v>3765.0</v>
      </c>
      <c r="B3409" s="12" t="s">
        <v>64</v>
      </c>
      <c r="C3409" s="12" t="s">
        <v>27</v>
      </c>
      <c r="D3409" s="20" t="s">
        <v>28</v>
      </c>
      <c r="E3409" s="12" t="str">
        <f>IFERROR(__xludf.DUMMYFUNCTION("FILTER(colegios!$B$2:$B5618,colegios!$A$2:$A5618=L3409)"),"86548 JOSE MARIA VELAZ")</f>
        <v>86548 JOSE MARIA VELAZ</v>
      </c>
      <c r="F3409" s="14" t="s">
        <v>16</v>
      </c>
      <c r="G3409" s="20" t="s">
        <v>17</v>
      </c>
      <c r="H3409" s="14" t="s">
        <v>18</v>
      </c>
      <c r="I3409" s="15">
        <v>2022.0</v>
      </c>
      <c r="J3409" s="16" t="str">
        <f>IFERROR(__xludf.DUMMYFUNCTION("FILTER('CLASFICACIÓN'!$F$3:$F5618,'CLASFICACIÓN'!$G$3:$G5618=M3409)"),"SOLO 2022 Y 2024")</f>
        <v>SOLO 2022 Y 2024</v>
      </c>
      <c r="K3409" s="16" t="str">
        <f t="array" ref="K3409">IFERROR(DGET('PADD-R'!$B$1:$K5618,'PADD-R'!$K$1,{'PADD-R'!$B$1;E3409}),"NO PARTICIPÓ")</f>
        <v>PADD 2023 Y 2024</v>
      </c>
      <c r="L3409" s="14" t="s">
        <v>66</v>
      </c>
      <c r="M3409" s="16" t="str">
        <f t="shared" si="1"/>
        <v>86548 JOSE MARIA VELAZ2 Secundaria</v>
      </c>
      <c r="N3409" s="23"/>
      <c r="O3409" s="17"/>
      <c r="P3409" s="17"/>
      <c r="Q3409" s="17"/>
      <c r="R3409" s="17"/>
      <c r="S3409" s="17"/>
      <c r="T3409" s="17"/>
    </row>
    <row r="3410">
      <c r="A3410" s="18">
        <v>3766.0</v>
      </c>
      <c r="B3410" s="12" t="s">
        <v>64</v>
      </c>
      <c r="C3410" s="12" t="s">
        <v>27</v>
      </c>
      <c r="D3410" s="20" t="s">
        <v>28</v>
      </c>
      <c r="E3410" s="12" t="str">
        <f>IFERROR(__xludf.DUMMYFUNCTION("FILTER(colegios!$B$2:$B5618,colegios!$A$2:$A5618=L3410)"),"86548 JOSE MARIA VELAZ")</f>
        <v>86548 JOSE MARIA VELAZ</v>
      </c>
      <c r="F3410" s="14" t="s">
        <v>16</v>
      </c>
      <c r="G3410" s="20" t="s">
        <v>17</v>
      </c>
      <c r="H3410" s="14" t="s">
        <v>18</v>
      </c>
      <c r="I3410" s="15">
        <v>2022.0</v>
      </c>
      <c r="J3410" s="16" t="str">
        <f>IFERROR(__xludf.DUMMYFUNCTION("FILTER('CLASFICACIÓN'!$F$3:$F5618,'CLASFICACIÓN'!$G$3:$G5618=M3410)"),"SOLO 2022 Y 2024")</f>
        <v>SOLO 2022 Y 2024</v>
      </c>
      <c r="K3410" s="16" t="str">
        <f t="array" ref="K3410">IFERROR(DGET('PADD-R'!$B$1:$K5618,'PADD-R'!$K$1,{'PADD-R'!$B$1;E3410}),"NO PARTICIPÓ")</f>
        <v>PADD 2023 Y 2024</v>
      </c>
      <c r="L3410" s="14" t="s">
        <v>66</v>
      </c>
      <c r="M3410" s="16" t="str">
        <f t="shared" si="1"/>
        <v>86548 JOSE MARIA VELAZ2 Secundaria</v>
      </c>
      <c r="N3410" s="23"/>
      <c r="O3410" s="17"/>
      <c r="P3410" s="17"/>
      <c r="Q3410" s="17"/>
      <c r="R3410" s="17"/>
      <c r="S3410" s="17"/>
      <c r="T3410" s="17"/>
    </row>
    <row r="3411">
      <c r="A3411" s="18">
        <v>3767.0</v>
      </c>
      <c r="B3411" s="12" t="s">
        <v>64</v>
      </c>
      <c r="C3411" s="12" t="s">
        <v>27</v>
      </c>
      <c r="D3411" s="20" t="s">
        <v>28</v>
      </c>
      <c r="E3411" s="12" t="str">
        <f>IFERROR(__xludf.DUMMYFUNCTION("FILTER(colegios!$B$2:$B5618,colegios!$A$2:$A5618=L3411)"),"86548 JOSE MARIA VELAZ")</f>
        <v>86548 JOSE MARIA VELAZ</v>
      </c>
      <c r="F3411" s="14" t="s">
        <v>16</v>
      </c>
      <c r="G3411" s="20" t="s">
        <v>21</v>
      </c>
      <c r="H3411" s="14" t="s">
        <v>18</v>
      </c>
      <c r="I3411" s="15">
        <v>2022.0</v>
      </c>
      <c r="J3411" s="16" t="str">
        <f>IFERROR(__xludf.DUMMYFUNCTION("FILTER('CLASFICACIÓN'!$F$3:$F5618,'CLASFICACIÓN'!$G$3:$G5618=M3411)"),"SOLO 2022 Y 2024")</f>
        <v>SOLO 2022 Y 2024</v>
      </c>
      <c r="K3411" s="16" t="str">
        <f t="array" ref="K3411">IFERROR(DGET('PADD-R'!$B$1:$K5618,'PADD-R'!$K$1,{'PADD-R'!$B$1;E3411}),"NO PARTICIPÓ")</f>
        <v>PADD 2023 Y 2024</v>
      </c>
      <c r="L3411" s="14" t="s">
        <v>66</v>
      </c>
      <c r="M3411" s="16" t="str">
        <f t="shared" si="1"/>
        <v>86548 JOSE MARIA VELAZ2 Secundaria</v>
      </c>
      <c r="N3411" s="23"/>
      <c r="O3411" s="17"/>
      <c r="P3411" s="17"/>
      <c r="Q3411" s="17"/>
      <c r="R3411" s="17"/>
      <c r="S3411" s="17"/>
      <c r="T3411" s="17"/>
    </row>
    <row r="3412">
      <c r="A3412" s="18">
        <v>3768.0</v>
      </c>
      <c r="B3412" s="12" t="s">
        <v>64</v>
      </c>
      <c r="C3412" s="12" t="s">
        <v>27</v>
      </c>
      <c r="D3412" s="20" t="s">
        <v>28</v>
      </c>
      <c r="E3412" s="12" t="str">
        <f>IFERROR(__xludf.DUMMYFUNCTION("FILTER(colegios!$B$2:$B5618,colegios!$A$2:$A5618=L3412)"),"86548 JOSE MARIA VELAZ")</f>
        <v>86548 JOSE MARIA VELAZ</v>
      </c>
      <c r="F3412" s="14" t="s">
        <v>16</v>
      </c>
      <c r="G3412" s="20" t="s">
        <v>17</v>
      </c>
      <c r="H3412" s="14" t="s">
        <v>18</v>
      </c>
      <c r="I3412" s="15">
        <v>2022.0</v>
      </c>
      <c r="J3412" s="16" t="str">
        <f>IFERROR(__xludf.DUMMYFUNCTION("FILTER('CLASFICACIÓN'!$F$3:$F5618,'CLASFICACIÓN'!$G$3:$G5618=M3412)"),"SOLO 2022 Y 2024")</f>
        <v>SOLO 2022 Y 2024</v>
      </c>
      <c r="K3412" s="16" t="str">
        <f t="array" ref="K3412">IFERROR(DGET('PADD-R'!$B$1:$K5618,'PADD-R'!$K$1,{'PADD-R'!$B$1;E3412}),"NO PARTICIPÓ")</f>
        <v>PADD 2023 Y 2024</v>
      </c>
      <c r="L3412" s="14" t="s">
        <v>66</v>
      </c>
      <c r="M3412" s="16" t="str">
        <f t="shared" si="1"/>
        <v>86548 JOSE MARIA VELAZ2 Secundaria</v>
      </c>
      <c r="N3412" s="23"/>
      <c r="O3412" s="17"/>
      <c r="P3412" s="17"/>
      <c r="Q3412" s="17"/>
      <c r="R3412" s="17"/>
      <c r="S3412" s="17"/>
      <c r="T3412" s="17"/>
    </row>
    <row r="3413">
      <c r="A3413" s="18">
        <v>3769.0</v>
      </c>
      <c r="B3413" s="12" t="s">
        <v>64</v>
      </c>
      <c r="C3413" s="12" t="s">
        <v>27</v>
      </c>
      <c r="D3413" s="20" t="s">
        <v>28</v>
      </c>
      <c r="E3413" s="12" t="str">
        <f>IFERROR(__xludf.DUMMYFUNCTION("FILTER(colegios!$B$2:$B5618,colegios!$A$2:$A5618=L3413)"),"86548 JOSE MARIA VELAZ")</f>
        <v>86548 JOSE MARIA VELAZ</v>
      </c>
      <c r="F3413" s="14" t="s">
        <v>16</v>
      </c>
      <c r="G3413" s="20" t="s">
        <v>17</v>
      </c>
      <c r="H3413" s="14" t="s">
        <v>18</v>
      </c>
      <c r="I3413" s="15">
        <v>2022.0</v>
      </c>
      <c r="J3413" s="16" t="str">
        <f>IFERROR(__xludf.DUMMYFUNCTION("FILTER('CLASFICACIÓN'!$F$3:$F5618,'CLASFICACIÓN'!$G$3:$G5618=M3413)"),"SOLO 2022 Y 2024")</f>
        <v>SOLO 2022 Y 2024</v>
      </c>
      <c r="K3413" s="16" t="str">
        <f t="array" ref="K3413">IFERROR(DGET('PADD-R'!$B$1:$K5618,'PADD-R'!$K$1,{'PADD-R'!$B$1;E3413}),"NO PARTICIPÓ")</f>
        <v>PADD 2023 Y 2024</v>
      </c>
      <c r="L3413" s="14" t="s">
        <v>66</v>
      </c>
      <c r="M3413" s="16" t="str">
        <f t="shared" si="1"/>
        <v>86548 JOSE MARIA VELAZ2 Secundaria</v>
      </c>
      <c r="N3413" s="23"/>
      <c r="O3413" s="17"/>
      <c r="P3413" s="17"/>
      <c r="Q3413" s="17"/>
      <c r="R3413" s="17"/>
      <c r="S3413" s="17"/>
      <c r="T3413" s="17"/>
    </row>
    <row r="3414">
      <c r="A3414" s="18">
        <v>3770.0</v>
      </c>
      <c r="B3414" s="12" t="s">
        <v>64</v>
      </c>
      <c r="C3414" s="12" t="s">
        <v>27</v>
      </c>
      <c r="D3414" s="20" t="s">
        <v>28</v>
      </c>
      <c r="E3414" s="12" t="str">
        <f>IFERROR(__xludf.DUMMYFUNCTION("FILTER(colegios!$B$2:$B5618,colegios!$A$2:$A5618=L3414)"),"86548 JOSE MARIA VELAZ")</f>
        <v>86548 JOSE MARIA VELAZ</v>
      </c>
      <c r="F3414" s="14" t="s">
        <v>16</v>
      </c>
      <c r="G3414" s="20" t="s">
        <v>21</v>
      </c>
      <c r="H3414" s="14" t="s">
        <v>18</v>
      </c>
      <c r="I3414" s="15">
        <v>2022.0</v>
      </c>
      <c r="J3414" s="16" t="str">
        <f>IFERROR(__xludf.DUMMYFUNCTION("FILTER('CLASFICACIÓN'!$F$3:$F5618,'CLASFICACIÓN'!$G$3:$G5618=M3414)"),"SOLO 2022 Y 2024")</f>
        <v>SOLO 2022 Y 2024</v>
      </c>
      <c r="K3414" s="16" t="str">
        <f t="array" ref="K3414">IFERROR(DGET('PADD-R'!$B$1:$K5618,'PADD-R'!$K$1,{'PADD-R'!$B$1;E3414}),"NO PARTICIPÓ")</f>
        <v>PADD 2023 Y 2024</v>
      </c>
      <c r="L3414" s="14" t="s">
        <v>66</v>
      </c>
      <c r="M3414" s="16" t="str">
        <f t="shared" si="1"/>
        <v>86548 JOSE MARIA VELAZ2 Secundaria</v>
      </c>
      <c r="N3414" s="23"/>
      <c r="O3414" s="17"/>
      <c r="P3414" s="17"/>
      <c r="Q3414" s="17"/>
      <c r="R3414" s="17"/>
      <c r="S3414" s="17"/>
      <c r="T3414" s="17"/>
    </row>
    <row r="3415">
      <c r="A3415" s="18">
        <v>3771.0</v>
      </c>
      <c r="B3415" s="12" t="s">
        <v>64</v>
      </c>
      <c r="C3415" s="12" t="s">
        <v>27</v>
      </c>
      <c r="D3415" s="20" t="s">
        <v>28</v>
      </c>
      <c r="E3415" s="12" t="str">
        <f>IFERROR(__xludf.DUMMYFUNCTION("FILTER(colegios!$B$2:$B5618,colegios!$A$2:$A5618=L3415)"),"86548 JOSE MARIA VELAZ")</f>
        <v>86548 JOSE MARIA VELAZ</v>
      </c>
      <c r="F3415" s="14" t="s">
        <v>16</v>
      </c>
      <c r="G3415" s="20" t="s">
        <v>21</v>
      </c>
      <c r="H3415" s="14" t="s">
        <v>18</v>
      </c>
      <c r="I3415" s="15">
        <v>2022.0</v>
      </c>
      <c r="J3415" s="16" t="str">
        <f>IFERROR(__xludf.DUMMYFUNCTION("FILTER('CLASFICACIÓN'!$F$3:$F5618,'CLASFICACIÓN'!$G$3:$G5618=M3415)"),"SOLO 2022 Y 2024")</f>
        <v>SOLO 2022 Y 2024</v>
      </c>
      <c r="K3415" s="16" t="str">
        <f t="array" ref="K3415">IFERROR(DGET('PADD-R'!$B$1:$K5618,'PADD-R'!$K$1,{'PADD-R'!$B$1;E3415}),"NO PARTICIPÓ")</f>
        <v>PADD 2023 Y 2024</v>
      </c>
      <c r="L3415" s="14" t="s">
        <v>66</v>
      </c>
      <c r="M3415" s="16" t="str">
        <f t="shared" si="1"/>
        <v>86548 JOSE MARIA VELAZ2 Secundaria</v>
      </c>
      <c r="N3415" s="23"/>
      <c r="O3415" s="17"/>
      <c r="P3415" s="17"/>
      <c r="Q3415" s="17"/>
      <c r="R3415" s="17"/>
      <c r="S3415" s="17"/>
      <c r="T3415" s="17"/>
    </row>
    <row r="3416">
      <c r="A3416" s="18">
        <v>3772.0</v>
      </c>
      <c r="B3416" s="12" t="s">
        <v>64</v>
      </c>
      <c r="C3416" s="12" t="s">
        <v>27</v>
      </c>
      <c r="D3416" s="20" t="s">
        <v>28</v>
      </c>
      <c r="E3416" s="12" t="str">
        <f>IFERROR(__xludf.DUMMYFUNCTION("FILTER(colegios!$B$2:$B5618,colegios!$A$2:$A5618=L3416)"),"86548 JOSE MARIA VELAZ")</f>
        <v>86548 JOSE MARIA VELAZ</v>
      </c>
      <c r="F3416" s="14" t="s">
        <v>16</v>
      </c>
      <c r="G3416" s="20" t="s">
        <v>17</v>
      </c>
      <c r="H3416" s="14" t="s">
        <v>18</v>
      </c>
      <c r="I3416" s="15">
        <v>2022.0</v>
      </c>
      <c r="J3416" s="16" t="str">
        <f>IFERROR(__xludf.DUMMYFUNCTION("FILTER('CLASFICACIÓN'!$F$3:$F5618,'CLASFICACIÓN'!$G$3:$G5618=M3416)"),"SOLO 2022 Y 2024")</f>
        <v>SOLO 2022 Y 2024</v>
      </c>
      <c r="K3416" s="16" t="str">
        <f t="array" ref="K3416">IFERROR(DGET('PADD-R'!$B$1:$K5618,'PADD-R'!$K$1,{'PADD-R'!$B$1;E3416}),"NO PARTICIPÓ")</f>
        <v>PADD 2023 Y 2024</v>
      </c>
      <c r="L3416" s="14" t="s">
        <v>66</v>
      </c>
      <c r="M3416" s="16" t="str">
        <f t="shared" si="1"/>
        <v>86548 JOSE MARIA VELAZ2 Secundaria</v>
      </c>
      <c r="N3416" s="23"/>
      <c r="O3416" s="17"/>
      <c r="P3416" s="17"/>
      <c r="Q3416" s="17"/>
      <c r="R3416" s="17"/>
      <c r="S3416" s="17"/>
      <c r="T3416" s="17"/>
    </row>
    <row r="3417">
      <c r="A3417" s="18">
        <v>3773.0</v>
      </c>
      <c r="B3417" s="12" t="s">
        <v>64</v>
      </c>
      <c r="C3417" s="12" t="s">
        <v>27</v>
      </c>
      <c r="D3417" s="20" t="s">
        <v>28</v>
      </c>
      <c r="E3417" s="12" t="str">
        <f>IFERROR(__xludf.DUMMYFUNCTION("FILTER(colegios!$B$2:$B5618,colegios!$A$2:$A5618=L3417)"),"86548 JOSE MARIA VELAZ")</f>
        <v>86548 JOSE MARIA VELAZ</v>
      </c>
      <c r="F3417" s="14" t="s">
        <v>16</v>
      </c>
      <c r="G3417" s="20" t="s">
        <v>21</v>
      </c>
      <c r="H3417" s="14" t="s">
        <v>18</v>
      </c>
      <c r="I3417" s="15">
        <v>2022.0</v>
      </c>
      <c r="J3417" s="16" t="str">
        <f>IFERROR(__xludf.DUMMYFUNCTION("FILTER('CLASFICACIÓN'!$F$3:$F5618,'CLASFICACIÓN'!$G$3:$G5618=M3417)"),"SOLO 2022 Y 2024")</f>
        <v>SOLO 2022 Y 2024</v>
      </c>
      <c r="K3417" s="16" t="str">
        <f t="array" ref="K3417">IFERROR(DGET('PADD-R'!$B$1:$K5618,'PADD-R'!$K$1,{'PADD-R'!$B$1;E3417}),"NO PARTICIPÓ")</f>
        <v>PADD 2023 Y 2024</v>
      </c>
      <c r="L3417" s="14" t="s">
        <v>66</v>
      </c>
      <c r="M3417" s="16" t="str">
        <f t="shared" si="1"/>
        <v>86548 JOSE MARIA VELAZ2 Secundaria</v>
      </c>
      <c r="N3417" s="23"/>
      <c r="O3417" s="17"/>
      <c r="P3417" s="17"/>
      <c r="Q3417" s="17"/>
      <c r="R3417" s="17"/>
      <c r="S3417" s="17"/>
      <c r="T3417" s="17"/>
    </row>
    <row r="3418">
      <c r="A3418" s="18">
        <v>3774.0</v>
      </c>
      <c r="B3418" s="12" t="s">
        <v>64</v>
      </c>
      <c r="C3418" s="12" t="s">
        <v>27</v>
      </c>
      <c r="D3418" s="20" t="s">
        <v>28</v>
      </c>
      <c r="E3418" s="12" t="str">
        <f>IFERROR(__xludf.DUMMYFUNCTION("FILTER(colegios!$B$2:$B5618,colegios!$A$2:$A5618=L3418)"),"86548 JOSE MARIA VELAZ")</f>
        <v>86548 JOSE MARIA VELAZ</v>
      </c>
      <c r="F3418" s="14" t="s">
        <v>16</v>
      </c>
      <c r="G3418" s="20" t="s">
        <v>21</v>
      </c>
      <c r="H3418" s="14" t="s">
        <v>18</v>
      </c>
      <c r="I3418" s="15">
        <v>2022.0</v>
      </c>
      <c r="J3418" s="16" t="str">
        <f>IFERROR(__xludf.DUMMYFUNCTION("FILTER('CLASFICACIÓN'!$F$3:$F5618,'CLASFICACIÓN'!$G$3:$G5618=M3418)"),"SOLO 2022 Y 2024")</f>
        <v>SOLO 2022 Y 2024</v>
      </c>
      <c r="K3418" s="16" t="str">
        <f t="array" ref="K3418">IFERROR(DGET('PADD-R'!$B$1:$K5618,'PADD-R'!$K$1,{'PADD-R'!$B$1;E3418}),"NO PARTICIPÓ")</f>
        <v>PADD 2023 Y 2024</v>
      </c>
      <c r="L3418" s="14" t="s">
        <v>66</v>
      </c>
      <c r="M3418" s="16" t="str">
        <f t="shared" si="1"/>
        <v>86548 JOSE MARIA VELAZ2 Secundaria</v>
      </c>
      <c r="N3418" s="23"/>
      <c r="O3418" s="17"/>
      <c r="P3418" s="17"/>
      <c r="Q3418" s="17"/>
      <c r="R3418" s="17"/>
      <c r="S3418" s="17"/>
      <c r="T3418" s="17"/>
    </row>
    <row r="3419">
      <c r="A3419" s="18">
        <v>3775.0</v>
      </c>
      <c r="B3419" s="12" t="s">
        <v>64</v>
      </c>
      <c r="C3419" s="12" t="s">
        <v>27</v>
      </c>
      <c r="D3419" s="20" t="s">
        <v>28</v>
      </c>
      <c r="E3419" s="12" t="str">
        <f>IFERROR(__xludf.DUMMYFUNCTION("FILTER(colegios!$B$2:$B5618,colegios!$A$2:$A5618=L3419)"),"86548 JOSE MARIA VELAZ")</f>
        <v>86548 JOSE MARIA VELAZ</v>
      </c>
      <c r="F3419" s="14" t="s">
        <v>16</v>
      </c>
      <c r="G3419" s="20" t="s">
        <v>21</v>
      </c>
      <c r="H3419" s="14" t="s">
        <v>18</v>
      </c>
      <c r="I3419" s="15">
        <v>2022.0</v>
      </c>
      <c r="J3419" s="16" t="str">
        <f>IFERROR(__xludf.DUMMYFUNCTION("FILTER('CLASFICACIÓN'!$F$3:$F5618,'CLASFICACIÓN'!$G$3:$G5618=M3419)"),"SOLO 2022 Y 2024")</f>
        <v>SOLO 2022 Y 2024</v>
      </c>
      <c r="K3419" s="16" t="str">
        <f t="array" ref="K3419">IFERROR(DGET('PADD-R'!$B$1:$K5618,'PADD-R'!$K$1,{'PADD-R'!$B$1;E3419}),"NO PARTICIPÓ")</f>
        <v>PADD 2023 Y 2024</v>
      </c>
      <c r="L3419" s="14" t="s">
        <v>66</v>
      </c>
      <c r="M3419" s="16" t="str">
        <f t="shared" si="1"/>
        <v>86548 JOSE MARIA VELAZ2 Secundaria</v>
      </c>
      <c r="N3419" s="23"/>
      <c r="O3419" s="17"/>
      <c r="P3419" s="17"/>
      <c r="Q3419" s="17"/>
      <c r="R3419" s="17"/>
      <c r="S3419" s="17"/>
      <c r="T3419" s="17"/>
    </row>
    <row r="3420">
      <c r="A3420" s="18">
        <v>3776.0</v>
      </c>
      <c r="B3420" s="12" t="s">
        <v>64</v>
      </c>
      <c r="C3420" s="12" t="s">
        <v>27</v>
      </c>
      <c r="D3420" s="20" t="s">
        <v>28</v>
      </c>
      <c r="E3420" s="12" t="str">
        <f>IFERROR(__xludf.DUMMYFUNCTION("FILTER(colegios!$B$2:$B5618,colegios!$A$2:$A5618=L3420)"),"86548 JOSE MARIA VELAZ")</f>
        <v>86548 JOSE MARIA VELAZ</v>
      </c>
      <c r="F3420" s="14" t="s">
        <v>16</v>
      </c>
      <c r="G3420" s="20" t="s">
        <v>17</v>
      </c>
      <c r="H3420" s="14" t="s">
        <v>18</v>
      </c>
      <c r="I3420" s="15">
        <v>2022.0</v>
      </c>
      <c r="J3420" s="16" t="str">
        <f>IFERROR(__xludf.DUMMYFUNCTION("FILTER('CLASFICACIÓN'!$F$3:$F5618,'CLASFICACIÓN'!$G$3:$G5618=M3420)"),"SOLO 2022 Y 2024")</f>
        <v>SOLO 2022 Y 2024</v>
      </c>
      <c r="K3420" s="16" t="str">
        <f t="array" ref="K3420">IFERROR(DGET('PADD-R'!$B$1:$K5618,'PADD-R'!$K$1,{'PADD-R'!$B$1;E3420}),"NO PARTICIPÓ")</f>
        <v>PADD 2023 Y 2024</v>
      </c>
      <c r="L3420" s="14" t="s">
        <v>66</v>
      </c>
      <c r="M3420" s="16" t="str">
        <f t="shared" si="1"/>
        <v>86548 JOSE MARIA VELAZ2 Secundaria</v>
      </c>
      <c r="N3420" s="23"/>
      <c r="O3420" s="17"/>
      <c r="P3420" s="17"/>
      <c r="Q3420" s="17"/>
      <c r="R3420" s="17"/>
      <c r="S3420" s="17"/>
      <c r="T3420" s="17"/>
    </row>
    <row r="3421">
      <c r="A3421" s="18">
        <v>3777.0</v>
      </c>
      <c r="B3421" s="12" t="s">
        <v>64</v>
      </c>
      <c r="C3421" s="12" t="s">
        <v>27</v>
      </c>
      <c r="D3421" s="20" t="s">
        <v>30</v>
      </c>
      <c r="E3421" s="12" t="str">
        <f>IFERROR(__xludf.DUMMYFUNCTION("FILTER(colegios!$B$2:$B5618,colegios!$A$2:$A5618=L3421)"),"86548 JOSE MARIA VELAZ")</f>
        <v>86548 JOSE MARIA VELAZ</v>
      </c>
      <c r="F3421" s="14" t="s">
        <v>16</v>
      </c>
      <c r="G3421" s="20" t="s">
        <v>17</v>
      </c>
      <c r="H3421" s="14" t="s">
        <v>18</v>
      </c>
      <c r="I3421" s="15">
        <v>2022.0</v>
      </c>
      <c r="J3421" s="16" t="str">
        <f>IFERROR(__xludf.DUMMYFUNCTION("FILTER('CLASFICACIÓN'!$F$3:$F5618,'CLASFICACIÓN'!$G$3:$G5618=M3421)"),"SOLO 2022 Y 2024")</f>
        <v>SOLO 2022 Y 2024</v>
      </c>
      <c r="K3421" s="16" t="str">
        <f t="array" ref="K3421">IFERROR(DGET('PADD-R'!$B$1:$K5618,'PADD-R'!$K$1,{'PADD-R'!$B$1;E3421}),"NO PARTICIPÓ")</f>
        <v>PADD 2023 Y 2024</v>
      </c>
      <c r="L3421" s="14" t="s">
        <v>66</v>
      </c>
      <c r="M3421" s="16" t="str">
        <f t="shared" si="1"/>
        <v>86548 JOSE MARIA VELAZ4 Secundaria</v>
      </c>
      <c r="N3421" s="23"/>
      <c r="O3421" s="17"/>
      <c r="P3421" s="17"/>
      <c r="Q3421" s="17"/>
      <c r="R3421" s="17"/>
      <c r="S3421" s="17"/>
      <c r="T3421" s="17"/>
    </row>
    <row r="3422">
      <c r="A3422" s="18">
        <v>3778.0</v>
      </c>
      <c r="B3422" s="12" t="s">
        <v>64</v>
      </c>
      <c r="C3422" s="12" t="s">
        <v>27</v>
      </c>
      <c r="D3422" s="20" t="s">
        <v>30</v>
      </c>
      <c r="E3422" s="12" t="str">
        <f>IFERROR(__xludf.DUMMYFUNCTION("FILTER(colegios!$B$2:$B5618,colegios!$A$2:$A5618=L3422)"),"86548 JOSE MARIA VELAZ")</f>
        <v>86548 JOSE MARIA VELAZ</v>
      </c>
      <c r="F3422" s="14" t="s">
        <v>16</v>
      </c>
      <c r="G3422" s="20" t="s">
        <v>17</v>
      </c>
      <c r="H3422" s="14" t="s">
        <v>18</v>
      </c>
      <c r="I3422" s="15">
        <v>2022.0</v>
      </c>
      <c r="J3422" s="16" t="str">
        <f>IFERROR(__xludf.DUMMYFUNCTION("FILTER('CLASFICACIÓN'!$F$3:$F5618,'CLASFICACIÓN'!$G$3:$G5618=M3422)"),"SOLO 2022 Y 2024")</f>
        <v>SOLO 2022 Y 2024</v>
      </c>
      <c r="K3422" s="16" t="str">
        <f t="array" ref="K3422">IFERROR(DGET('PADD-R'!$B$1:$K5618,'PADD-R'!$K$1,{'PADD-R'!$B$1;E3422}),"NO PARTICIPÓ")</f>
        <v>PADD 2023 Y 2024</v>
      </c>
      <c r="L3422" s="14" t="s">
        <v>66</v>
      </c>
      <c r="M3422" s="16" t="str">
        <f t="shared" si="1"/>
        <v>86548 JOSE MARIA VELAZ4 Secundaria</v>
      </c>
      <c r="N3422" s="23"/>
      <c r="O3422" s="17"/>
      <c r="P3422" s="17"/>
      <c r="Q3422" s="17"/>
      <c r="R3422" s="17"/>
      <c r="S3422" s="17"/>
      <c r="T3422" s="17"/>
    </row>
    <row r="3423">
      <c r="A3423" s="18">
        <v>3779.0</v>
      </c>
      <c r="B3423" s="12" t="s">
        <v>64</v>
      </c>
      <c r="C3423" s="12" t="s">
        <v>27</v>
      </c>
      <c r="D3423" s="20" t="s">
        <v>30</v>
      </c>
      <c r="E3423" s="12" t="str">
        <f>IFERROR(__xludf.DUMMYFUNCTION("FILTER(colegios!$B$2:$B5618,colegios!$A$2:$A5618=L3423)"),"86548 JOSE MARIA VELAZ")</f>
        <v>86548 JOSE MARIA VELAZ</v>
      </c>
      <c r="F3423" s="14" t="s">
        <v>16</v>
      </c>
      <c r="G3423" s="20" t="s">
        <v>17</v>
      </c>
      <c r="H3423" s="14" t="s">
        <v>18</v>
      </c>
      <c r="I3423" s="15">
        <v>2022.0</v>
      </c>
      <c r="J3423" s="16" t="str">
        <f>IFERROR(__xludf.DUMMYFUNCTION("FILTER('CLASFICACIÓN'!$F$3:$F5618,'CLASFICACIÓN'!$G$3:$G5618=M3423)"),"SOLO 2022 Y 2024")</f>
        <v>SOLO 2022 Y 2024</v>
      </c>
      <c r="K3423" s="16" t="str">
        <f t="array" ref="K3423">IFERROR(DGET('PADD-R'!$B$1:$K5618,'PADD-R'!$K$1,{'PADD-R'!$B$1;E3423}),"NO PARTICIPÓ")</f>
        <v>PADD 2023 Y 2024</v>
      </c>
      <c r="L3423" s="14" t="s">
        <v>66</v>
      </c>
      <c r="M3423" s="16" t="str">
        <f t="shared" si="1"/>
        <v>86548 JOSE MARIA VELAZ4 Secundaria</v>
      </c>
      <c r="N3423" s="23"/>
      <c r="O3423" s="17"/>
      <c r="P3423" s="17"/>
      <c r="Q3423" s="17"/>
      <c r="R3423" s="17"/>
      <c r="S3423" s="17"/>
      <c r="T3423" s="17"/>
    </row>
    <row r="3424">
      <c r="A3424" s="18">
        <v>3780.0</v>
      </c>
      <c r="B3424" s="12" t="s">
        <v>64</v>
      </c>
      <c r="C3424" s="12" t="s">
        <v>27</v>
      </c>
      <c r="D3424" s="20" t="s">
        <v>30</v>
      </c>
      <c r="E3424" s="12" t="str">
        <f>IFERROR(__xludf.DUMMYFUNCTION("FILTER(colegios!$B$2:$B5618,colegios!$A$2:$A5618=L3424)"),"86548 JOSE MARIA VELAZ")</f>
        <v>86548 JOSE MARIA VELAZ</v>
      </c>
      <c r="F3424" s="14" t="s">
        <v>16</v>
      </c>
      <c r="G3424" s="20" t="s">
        <v>17</v>
      </c>
      <c r="H3424" s="14" t="s">
        <v>18</v>
      </c>
      <c r="I3424" s="15">
        <v>2022.0</v>
      </c>
      <c r="J3424" s="16" t="str">
        <f>IFERROR(__xludf.DUMMYFUNCTION("FILTER('CLASFICACIÓN'!$F$3:$F5618,'CLASFICACIÓN'!$G$3:$G5618=M3424)"),"SOLO 2022 Y 2024")</f>
        <v>SOLO 2022 Y 2024</v>
      </c>
      <c r="K3424" s="16" t="str">
        <f t="array" ref="K3424">IFERROR(DGET('PADD-R'!$B$1:$K5618,'PADD-R'!$K$1,{'PADD-R'!$B$1;E3424}),"NO PARTICIPÓ")</f>
        <v>PADD 2023 Y 2024</v>
      </c>
      <c r="L3424" s="14" t="s">
        <v>66</v>
      </c>
      <c r="M3424" s="16" t="str">
        <f t="shared" si="1"/>
        <v>86548 JOSE MARIA VELAZ4 Secundaria</v>
      </c>
      <c r="N3424" s="23"/>
      <c r="O3424" s="17"/>
      <c r="P3424" s="17"/>
      <c r="Q3424" s="17"/>
      <c r="R3424" s="17"/>
      <c r="S3424" s="17"/>
      <c r="T3424" s="17"/>
    </row>
    <row r="3425">
      <c r="A3425" s="18">
        <v>3781.0</v>
      </c>
      <c r="B3425" s="12" t="s">
        <v>64</v>
      </c>
      <c r="C3425" s="12" t="s">
        <v>27</v>
      </c>
      <c r="D3425" s="20" t="s">
        <v>30</v>
      </c>
      <c r="E3425" s="12" t="str">
        <f>IFERROR(__xludf.DUMMYFUNCTION("FILTER(colegios!$B$2:$B5618,colegios!$A$2:$A5618=L3425)"),"86548 JOSE MARIA VELAZ")</f>
        <v>86548 JOSE MARIA VELAZ</v>
      </c>
      <c r="F3425" s="14" t="s">
        <v>16</v>
      </c>
      <c r="G3425" s="20" t="s">
        <v>17</v>
      </c>
      <c r="H3425" s="14" t="s">
        <v>18</v>
      </c>
      <c r="I3425" s="15">
        <v>2022.0</v>
      </c>
      <c r="J3425" s="16" t="str">
        <f>IFERROR(__xludf.DUMMYFUNCTION("FILTER('CLASFICACIÓN'!$F$3:$F5618,'CLASFICACIÓN'!$G$3:$G5618=M3425)"),"SOLO 2022 Y 2024")</f>
        <v>SOLO 2022 Y 2024</v>
      </c>
      <c r="K3425" s="16" t="str">
        <f t="array" ref="K3425">IFERROR(DGET('PADD-R'!$B$1:$K5618,'PADD-R'!$K$1,{'PADD-R'!$B$1;E3425}),"NO PARTICIPÓ")</f>
        <v>PADD 2023 Y 2024</v>
      </c>
      <c r="L3425" s="14" t="s">
        <v>66</v>
      </c>
      <c r="M3425" s="16" t="str">
        <f t="shared" si="1"/>
        <v>86548 JOSE MARIA VELAZ4 Secundaria</v>
      </c>
      <c r="N3425" s="23"/>
      <c r="O3425" s="17"/>
      <c r="P3425" s="17"/>
      <c r="Q3425" s="17"/>
      <c r="R3425" s="17"/>
      <c r="S3425" s="17"/>
      <c r="T3425" s="17"/>
    </row>
    <row r="3426">
      <c r="A3426" s="18">
        <v>3782.0</v>
      </c>
      <c r="B3426" s="12" t="s">
        <v>64</v>
      </c>
      <c r="C3426" s="12" t="s">
        <v>27</v>
      </c>
      <c r="D3426" s="20" t="s">
        <v>30</v>
      </c>
      <c r="E3426" s="12" t="str">
        <f>IFERROR(__xludf.DUMMYFUNCTION("FILTER(colegios!$B$2:$B5618,colegios!$A$2:$A5618=L3426)"),"86548 JOSE MARIA VELAZ")</f>
        <v>86548 JOSE MARIA VELAZ</v>
      </c>
      <c r="F3426" s="14" t="s">
        <v>16</v>
      </c>
      <c r="G3426" s="20" t="s">
        <v>21</v>
      </c>
      <c r="H3426" s="14" t="s">
        <v>18</v>
      </c>
      <c r="I3426" s="15">
        <v>2022.0</v>
      </c>
      <c r="J3426" s="16" t="str">
        <f>IFERROR(__xludf.DUMMYFUNCTION("FILTER('CLASFICACIÓN'!$F$3:$F5618,'CLASFICACIÓN'!$G$3:$G5618=M3426)"),"SOLO 2022 Y 2024")</f>
        <v>SOLO 2022 Y 2024</v>
      </c>
      <c r="K3426" s="16" t="str">
        <f t="array" ref="K3426">IFERROR(DGET('PADD-R'!$B$1:$K5618,'PADD-R'!$K$1,{'PADD-R'!$B$1;E3426}),"NO PARTICIPÓ")</f>
        <v>PADD 2023 Y 2024</v>
      </c>
      <c r="L3426" s="14" t="s">
        <v>66</v>
      </c>
      <c r="M3426" s="16" t="str">
        <f t="shared" si="1"/>
        <v>86548 JOSE MARIA VELAZ4 Secundaria</v>
      </c>
      <c r="N3426" s="23"/>
      <c r="O3426" s="17"/>
      <c r="P3426" s="17"/>
      <c r="Q3426" s="17"/>
      <c r="R3426" s="17"/>
      <c r="S3426" s="17"/>
      <c r="T3426" s="17"/>
    </row>
    <row r="3427">
      <c r="A3427" s="18">
        <v>3783.0</v>
      </c>
      <c r="B3427" s="12" t="s">
        <v>64</v>
      </c>
      <c r="C3427" s="12" t="s">
        <v>27</v>
      </c>
      <c r="D3427" s="20" t="s">
        <v>30</v>
      </c>
      <c r="E3427" s="12" t="str">
        <f>IFERROR(__xludf.DUMMYFUNCTION("FILTER(colegios!$B$2:$B5618,colegios!$A$2:$A5618=L3427)"),"86548 JOSE MARIA VELAZ")</f>
        <v>86548 JOSE MARIA VELAZ</v>
      </c>
      <c r="F3427" s="14" t="s">
        <v>16</v>
      </c>
      <c r="G3427" s="20" t="s">
        <v>17</v>
      </c>
      <c r="H3427" s="14" t="s">
        <v>18</v>
      </c>
      <c r="I3427" s="15">
        <v>2022.0</v>
      </c>
      <c r="J3427" s="16" t="str">
        <f>IFERROR(__xludf.DUMMYFUNCTION("FILTER('CLASFICACIÓN'!$F$3:$F5618,'CLASFICACIÓN'!$G$3:$G5618=M3427)"),"SOLO 2022 Y 2024")</f>
        <v>SOLO 2022 Y 2024</v>
      </c>
      <c r="K3427" s="16" t="str">
        <f t="array" ref="K3427">IFERROR(DGET('PADD-R'!$B$1:$K5618,'PADD-R'!$K$1,{'PADD-R'!$B$1;E3427}),"NO PARTICIPÓ")</f>
        <v>PADD 2023 Y 2024</v>
      </c>
      <c r="L3427" s="14" t="s">
        <v>66</v>
      </c>
      <c r="M3427" s="16" t="str">
        <f t="shared" si="1"/>
        <v>86548 JOSE MARIA VELAZ4 Secundaria</v>
      </c>
      <c r="N3427" s="23"/>
      <c r="O3427" s="17"/>
      <c r="P3427" s="17"/>
      <c r="Q3427" s="17"/>
      <c r="R3427" s="17"/>
      <c r="S3427" s="17"/>
      <c r="T3427" s="17"/>
    </row>
    <row r="3428">
      <c r="A3428" s="18">
        <v>3784.0</v>
      </c>
      <c r="B3428" s="12" t="s">
        <v>64</v>
      </c>
      <c r="C3428" s="12" t="s">
        <v>27</v>
      </c>
      <c r="D3428" s="20" t="s">
        <v>30</v>
      </c>
      <c r="E3428" s="12" t="str">
        <f>IFERROR(__xludf.DUMMYFUNCTION("FILTER(colegios!$B$2:$B5618,colegios!$A$2:$A5618=L3428)"),"86548 JOSE MARIA VELAZ")</f>
        <v>86548 JOSE MARIA VELAZ</v>
      </c>
      <c r="F3428" s="14" t="s">
        <v>16</v>
      </c>
      <c r="G3428" s="20" t="s">
        <v>21</v>
      </c>
      <c r="H3428" s="14" t="s">
        <v>18</v>
      </c>
      <c r="I3428" s="15">
        <v>2022.0</v>
      </c>
      <c r="J3428" s="16" t="str">
        <f>IFERROR(__xludf.DUMMYFUNCTION("FILTER('CLASFICACIÓN'!$F$3:$F5618,'CLASFICACIÓN'!$G$3:$G5618=M3428)"),"SOLO 2022 Y 2024")</f>
        <v>SOLO 2022 Y 2024</v>
      </c>
      <c r="K3428" s="16" t="str">
        <f t="array" ref="K3428">IFERROR(DGET('PADD-R'!$B$1:$K5618,'PADD-R'!$K$1,{'PADD-R'!$B$1;E3428}),"NO PARTICIPÓ")</f>
        <v>PADD 2023 Y 2024</v>
      </c>
      <c r="L3428" s="14" t="s">
        <v>66</v>
      </c>
      <c r="M3428" s="16" t="str">
        <f t="shared" si="1"/>
        <v>86548 JOSE MARIA VELAZ4 Secundaria</v>
      </c>
      <c r="N3428" s="23"/>
      <c r="O3428" s="17"/>
      <c r="P3428" s="17"/>
      <c r="Q3428" s="17"/>
      <c r="R3428" s="17"/>
      <c r="S3428" s="17"/>
      <c r="T3428" s="17"/>
    </row>
    <row r="3429">
      <c r="A3429" s="18">
        <v>3785.0</v>
      </c>
      <c r="B3429" s="12" t="s">
        <v>64</v>
      </c>
      <c r="C3429" s="12" t="s">
        <v>27</v>
      </c>
      <c r="D3429" s="20" t="s">
        <v>30</v>
      </c>
      <c r="E3429" s="12" t="str">
        <f>IFERROR(__xludf.DUMMYFUNCTION("FILTER(colegios!$B$2:$B5618,colegios!$A$2:$A5618=L3429)"),"86548 JOSE MARIA VELAZ")</f>
        <v>86548 JOSE MARIA VELAZ</v>
      </c>
      <c r="F3429" s="14" t="s">
        <v>16</v>
      </c>
      <c r="G3429" s="20" t="s">
        <v>21</v>
      </c>
      <c r="H3429" s="14" t="s">
        <v>18</v>
      </c>
      <c r="I3429" s="15">
        <v>2022.0</v>
      </c>
      <c r="J3429" s="16" t="str">
        <f>IFERROR(__xludf.DUMMYFUNCTION("FILTER('CLASFICACIÓN'!$F$3:$F5618,'CLASFICACIÓN'!$G$3:$G5618=M3429)"),"SOLO 2022 Y 2024")</f>
        <v>SOLO 2022 Y 2024</v>
      </c>
      <c r="K3429" s="16" t="str">
        <f t="array" ref="K3429">IFERROR(DGET('PADD-R'!$B$1:$K5618,'PADD-R'!$K$1,{'PADD-R'!$B$1;E3429}),"NO PARTICIPÓ")</f>
        <v>PADD 2023 Y 2024</v>
      </c>
      <c r="L3429" s="14" t="s">
        <v>66</v>
      </c>
      <c r="M3429" s="16" t="str">
        <f t="shared" si="1"/>
        <v>86548 JOSE MARIA VELAZ4 Secundaria</v>
      </c>
      <c r="N3429" s="23"/>
      <c r="O3429" s="17"/>
      <c r="P3429" s="17"/>
      <c r="Q3429" s="17"/>
      <c r="R3429" s="17"/>
      <c r="S3429" s="17"/>
      <c r="T3429" s="17"/>
    </row>
    <row r="3430">
      <c r="A3430" s="18">
        <v>3786.0</v>
      </c>
      <c r="B3430" s="12" t="s">
        <v>64</v>
      </c>
      <c r="C3430" s="12" t="s">
        <v>27</v>
      </c>
      <c r="D3430" s="20" t="s">
        <v>30</v>
      </c>
      <c r="E3430" s="12" t="str">
        <f>IFERROR(__xludf.DUMMYFUNCTION("FILTER(colegios!$B$2:$B5618,colegios!$A$2:$A5618=L3430)"),"86548 JOSE MARIA VELAZ")</f>
        <v>86548 JOSE MARIA VELAZ</v>
      </c>
      <c r="F3430" s="14" t="s">
        <v>16</v>
      </c>
      <c r="G3430" s="20" t="s">
        <v>17</v>
      </c>
      <c r="H3430" s="14" t="s">
        <v>18</v>
      </c>
      <c r="I3430" s="15">
        <v>2022.0</v>
      </c>
      <c r="J3430" s="16" t="str">
        <f>IFERROR(__xludf.DUMMYFUNCTION("FILTER('CLASFICACIÓN'!$F$3:$F5618,'CLASFICACIÓN'!$G$3:$G5618=M3430)"),"SOLO 2022 Y 2024")</f>
        <v>SOLO 2022 Y 2024</v>
      </c>
      <c r="K3430" s="16" t="str">
        <f t="array" ref="K3430">IFERROR(DGET('PADD-R'!$B$1:$K5618,'PADD-R'!$K$1,{'PADD-R'!$B$1;E3430}),"NO PARTICIPÓ")</f>
        <v>PADD 2023 Y 2024</v>
      </c>
      <c r="L3430" s="14" t="s">
        <v>66</v>
      </c>
      <c r="M3430" s="16" t="str">
        <f t="shared" si="1"/>
        <v>86548 JOSE MARIA VELAZ4 Secundaria</v>
      </c>
      <c r="N3430" s="23"/>
      <c r="O3430" s="17"/>
      <c r="P3430" s="17"/>
      <c r="Q3430" s="17"/>
      <c r="R3430" s="17"/>
      <c r="S3430" s="17"/>
      <c r="T3430" s="17"/>
    </row>
    <row r="3431">
      <c r="A3431" s="18">
        <v>3787.0</v>
      </c>
      <c r="B3431" s="12" t="s">
        <v>64</v>
      </c>
      <c r="C3431" s="12" t="s">
        <v>27</v>
      </c>
      <c r="D3431" s="20" t="s">
        <v>30</v>
      </c>
      <c r="E3431" s="12" t="str">
        <f>IFERROR(__xludf.DUMMYFUNCTION("FILTER(colegios!$B$2:$B5618,colegios!$A$2:$A5618=L3431)"),"86548 JOSE MARIA VELAZ")</f>
        <v>86548 JOSE MARIA VELAZ</v>
      </c>
      <c r="F3431" s="14" t="s">
        <v>16</v>
      </c>
      <c r="G3431" s="20" t="s">
        <v>17</v>
      </c>
      <c r="H3431" s="14" t="s">
        <v>18</v>
      </c>
      <c r="I3431" s="15">
        <v>2022.0</v>
      </c>
      <c r="J3431" s="16" t="str">
        <f>IFERROR(__xludf.DUMMYFUNCTION("FILTER('CLASFICACIÓN'!$F$3:$F5618,'CLASFICACIÓN'!$G$3:$G5618=M3431)"),"SOLO 2022 Y 2024")</f>
        <v>SOLO 2022 Y 2024</v>
      </c>
      <c r="K3431" s="16" t="str">
        <f t="array" ref="K3431">IFERROR(DGET('PADD-R'!$B$1:$K5618,'PADD-R'!$K$1,{'PADD-R'!$B$1;E3431}),"NO PARTICIPÓ")</f>
        <v>PADD 2023 Y 2024</v>
      </c>
      <c r="L3431" s="14" t="s">
        <v>66</v>
      </c>
      <c r="M3431" s="16" t="str">
        <f t="shared" si="1"/>
        <v>86548 JOSE MARIA VELAZ4 Secundaria</v>
      </c>
      <c r="N3431" s="23"/>
      <c r="O3431" s="17"/>
      <c r="P3431" s="17"/>
      <c r="Q3431" s="17"/>
      <c r="R3431" s="17"/>
      <c r="S3431" s="17"/>
      <c r="T3431" s="17"/>
    </row>
    <row r="3432">
      <c r="A3432" s="18">
        <v>3788.0</v>
      </c>
      <c r="B3432" s="12" t="s">
        <v>64</v>
      </c>
      <c r="C3432" s="12" t="s">
        <v>27</v>
      </c>
      <c r="D3432" s="20" t="s">
        <v>30</v>
      </c>
      <c r="E3432" s="12" t="str">
        <f>IFERROR(__xludf.DUMMYFUNCTION("FILTER(colegios!$B$2:$B5618,colegios!$A$2:$A5618=L3432)"),"86548 JOSE MARIA VELAZ")</f>
        <v>86548 JOSE MARIA VELAZ</v>
      </c>
      <c r="F3432" s="14" t="s">
        <v>16</v>
      </c>
      <c r="G3432" s="20" t="s">
        <v>21</v>
      </c>
      <c r="H3432" s="14" t="s">
        <v>18</v>
      </c>
      <c r="I3432" s="15">
        <v>2022.0</v>
      </c>
      <c r="J3432" s="16" t="str">
        <f>IFERROR(__xludf.DUMMYFUNCTION("FILTER('CLASFICACIÓN'!$F$3:$F5618,'CLASFICACIÓN'!$G$3:$G5618=M3432)"),"SOLO 2022 Y 2024")</f>
        <v>SOLO 2022 Y 2024</v>
      </c>
      <c r="K3432" s="16" t="str">
        <f t="array" ref="K3432">IFERROR(DGET('PADD-R'!$B$1:$K5618,'PADD-R'!$K$1,{'PADD-R'!$B$1;E3432}),"NO PARTICIPÓ")</f>
        <v>PADD 2023 Y 2024</v>
      </c>
      <c r="L3432" s="14" t="s">
        <v>66</v>
      </c>
      <c r="M3432" s="16" t="str">
        <f t="shared" si="1"/>
        <v>86548 JOSE MARIA VELAZ4 Secundaria</v>
      </c>
      <c r="N3432" s="23"/>
      <c r="O3432" s="17"/>
      <c r="P3432" s="17"/>
      <c r="Q3432" s="17"/>
      <c r="R3432" s="17"/>
      <c r="S3432" s="17"/>
      <c r="T3432" s="17"/>
    </row>
    <row r="3433">
      <c r="A3433" s="18">
        <v>3789.0</v>
      </c>
      <c r="B3433" s="12" t="s">
        <v>64</v>
      </c>
      <c r="C3433" s="12" t="s">
        <v>27</v>
      </c>
      <c r="D3433" s="20" t="s">
        <v>30</v>
      </c>
      <c r="E3433" s="12" t="str">
        <f>IFERROR(__xludf.DUMMYFUNCTION("FILTER(colegios!$B$2:$B5618,colegios!$A$2:$A5618=L3433)"),"86548 JOSE MARIA VELAZ")</f>
        <v>86548 JOSE MARIA VELAZ</v>
      </c>
      <c r="F3433" s="14" t="s">
        <v>16</v>
      </c>
      <c r="G3433" s="20" t="s">
        <v>21</v>
      </c>
      <c r="H3433" s="14" t="s">
        <v>18</v>
      </c>
      <c r="I3433" s="15">
        <v>2022.0</v>
      </c>
      <c r="J3433" s="16" t="str">
        <f>IFERROR(__xludf.DUMMYFUNCTION("FILTER('CLASFICACIÓN'!$F$3:$F5618,'CLASFICACIÓN'!$G$3:$G5618=M3433)"),"SOLO 2022 Y 2024")</f>
        <v>SOLO 2022 Y 2024</v>
      </c>
      <c r="K3433" s="16" t="str">
        <f t="array" ref="K3433">IFERROR(DGET('PADD-R'!$B$1:$K5618,'PADD-R'!$K$1,{'PADD-R'!$B$1;E3433}),"NO PARTICIPÓ")</f>
        <v>PADD 2023 Y 2024</v>
      </c>
      <c r="L3433" s="14" t="s">
        <v>66</v>
      </c>
      <c r="M3433" s="16" t="str">
        <f t="shared" si="1"/>
        <v>86548 JOSE MARIA VELAZ4 Secundaria</v>
      </c>
      <c r="N3433" s="23"/>
      <c r="O3433" s="17"/>
      <c r="P3433" s="17"/>
      <c r="Q3433" s="17"/>
      <c r="R3433" s="17"/>
      <c r="S3433" s="17"/>
      <c r="T3433" s="17"/>
    </row>
    <row r="3434">
      <c r="A3434" s="18">
        <v>3790.0</v>
      </c>
      <c r="B3434" s="12" t="s">
        <v>64</v>
      </c>
      <c r="C3434" s="12" t="s">
        <v>27</v>
      </c>
      <c r="D3434" s="20" t="s">
        <v>30</v>
      </c>
      <c r="E3434" s="12" t="str">
        <f>IFERROR(__xludf.DUMMYFUNCTION("FILTER(colegios!$B$2:$B5618,colegios!$A$2:$A5618=L3434)"),"86548 JOSE MARIA VELAZ")</f>
        <v>86548 JOSE MARIA VELAZ</v>
      </c>
      <c r="F3434" s="14" t="s">
        <v>16</v>
      </c>
      <c r="G3434" s="20" t="s">
        <v>21</v>
      </c>
      <c r="H3434" s="14" t="s">
        <v>18</v>
      </c>
      <c r="I3434" s="15">
        <v>2022.0</v>
      </c>
      <c r="J3434" s="16" t="str">
        <f>IFERROR(__xludf.DUMMYFUNCTION("FILTER('CLASFICACIÓN'!$F$3:$F5618,'CLASFICACIÓN'!$G$3:$G5618=M3434)"),"SOLO 2022 Y 2024")</f>
        <v>SOLO 2022 Y 2024</v>
      </c>
      <c r="K3434" s="16" t="str">
        <f t="array" ref="K3434">IFERROR(DGET('PADD-R'!$B$1:$K5618,'PADD-R'!$K$1,{'PADD-R'!$B$1;E3434}),"NO PARTICIPÓ")</f>
        <v>PADD 2023 Y 2024</v>
      </c>
      <c r="L3434" s="14" t="s">
        <v>66</v>
      </c>
      <c r="M3434" s="16" t="str">
        <f t="shared" si="1"/>
        <v>86548 JOSE MARIA VELAZ4 Secundaria</v>
      </c>
      <c r="N3434" s="23"/>
      <c r="O3434" s="17"/>
      <c r="P3434" s="17"/>
      <c r="Q3434" s="17"/>
      <c r="R3434" s="17"/>
      <c r="S3434" s="17"/>
      <c r="T3434" s="17"/>
    </row>
    <row r="3435">
      <c r="A3435" s="18">
        <v>3791.0</v>
      </c>
      <c r="B3435" s="12" t="s">
        <v>64</v>
      </c>
      <c r="C3435" s="12" t="s">
        <v>27</v>
      </c>
      <c r="D3435" s="20" t="s">
        <v>30</v>
      </c>
      <c r="E3435" s="12" t="str">
        <f>IFERROR(__xludf.DUMMYFUNCTION("FILTER(colegios!$B$2:$B5618,colegios!$A$2:$A5618=L3435)"),"86548 JOSE MARIA VELAZ")</f>
        <v>86548 JOSE MARIA VELAZ</v>
      </c>
      <c r="F3435" s="14" t="s">
        <v>16</v>
      </c>
      <c r="G3435" s="20" t="s">
        <v>17</v>
      </c>
      <c r="H3435" s="14" t="s">
        <v>18</v>
      </c>
      <c r="I3435" s="15">
        <v>2022.0</v>
      </c>
      <c r="J3435" s="16" t="str">
        <f>IFERROR(__xludf.DUMMYFUNCTION("FILTER('CLASFICACIÓN'!$F$3:$F5618,'CLASFICACIÓN'!$G$3:$G5618=M3435)"),"SOLO 2022 Y 2024")</f>
        <v>SOLO 2022 Y 2024</v>
      </c>
      <c r="K3435" s="16" t="str">
        <f t="array" ref="K3435">IFERROR(DGET('PADD-R'!$B$1:$K5618,'PADD-R'!$K$1,{'PADD-R'!$B$1;E3435}),"NO PARTICIPÓ")</f>
        <v>PADD 2023 Y 2024</v>
      </c>
      <c r="L3435" s="14" t="s">
        <v>66</v>
      </c>
      <c r="M3435" s="16" t="str">
        <f t="shared" si="1"/>
        <v>86548 JOSE MARIA VELAZ4 Secundaria</v>
      </c>
      <c r="N3435" s="23"/>
      <c r="O3435" s="17"/>
      <c r="P3435" s="17"/>
      <c r="Q3435" s="17"/>
      <c r="R3435" s="17"/>
      <c r="S3435" s="17"/>
      <c r="T3435" s="17"/>
    </row>
    <row r="3436">
      <c r="A3436" s="18">
        <v>3792.0</v>
      </c>
      <c r="B3436" s="12" t="s">
        <v>64</v>
      </c>
      <c r="C3436" s="12" t="s">
        <v>14</v>
      </c>
      <c r="D3436" s="20" t="s">
        <v>22</v>
      </c>
      <c r="E3436" s="12" t="str">
        <f>IFERROR(__xludf.DUMMYFUNCTION("FILTER(colegios!$B$2:$B5618,colegios!$A$2:$A5618=L3436)"),"86548 JOSE MARIA VELAZ")</f>
        <v>86548 JOSE MARIA VELAZ</v>
      </c>
      <c r="F3436" s="14" t="s">
        <v>16</v>
      </c>
      <c r="G3436" s="20" t="s">
        <v>17</v>
      </c>
      <c r="H3436" s="14" t="s">
        <v>18</v>
      </c>
      <c r="I3436" s="15">
        <v>2022.0</v>
      </c>
      <c r="J3436" s="16" t="str">
        <f>IFERROR(__xludf.DUMMYFUNCTION("FILTER('CLASFICACIÓN'!$F$3:$F5618,'CLASFICACIÓN'!$G$3:$G5618=M3436)"),"LOS 3 AÑOS")</f>
        <v>LOS 3 AÑOS</v>
      </c>
      <c r="K3436" s="16" t="str">
        <f t="array" ref="K3436">IFERROR(DGET('PADD-R'!$B$1:$K5618,'PADD-R'!$K$1,{'PADD-R'!$B$1;E3436}),"NO PARTICIPÓ")</f>
        <v>PADD 2023 Y 2024</v>
      </c>
      <c r="L3436" s="14" t="s">
        <v>66</v>
      </c>
      <c r="M3436" s="16" t="str">
        <f t="shared" si="1"/>
        <v>86548 JOSE MARIA VELAZ6 Primaria</v>
      </c>
      <c r="N3436" s="23"/>
      <c r="O3436" s="17"/>
      <c r="P3436" s="17"/>
      <c r="Q3436" s="17"/>
      <c r="R3436" s="17"/>
      <c r="S3436" s="17"/>
      <c r="T3436" s="17"/>
    </row>
    <row r="3437">
      <c r="A3437" s="18">
        <v>3793.0</v>
      </c>
      <c r="B3437" s="12" t="s">
        <v>64</v>
      </c>
      <c r="C3437" s="12" t="s">
        <v>14</v>
      </c>
      <c r="D3437" s="20" t="s">
        <v>22</v>
      </c>
      <c r="E3437" s="12" t="str">
        <f>IFERROR(__xludf.DUMMYFUNCTION("FILTER(colegios!$B$2:$B5618,colegios!$A$2:$A5618=L3437)"),"86548 JOSE MARIA VELAZ")</f>
        <v>86548 JOSE MARIA VELAZ</v>
      </c>
      <c r="F3437" s="14" t="s">
        <v>16</v>
      </c>
      <c r="G3437" s="20" t="s">
        <v>21</v>
      </c>
      <c r="H3437" s="14" t="s">
        <v>18</v>
      </c>
      <c r="I3437" s="15">
        <v>2022.0</v>
      </c>
      <c r="J3437" s="16" t="str">
        <f>IFERROR(__xludf.DUMMYFUNCTION("FILTER('CLASFICACIÓN'!$F$3:$F5618,'CLASFICACIÓN'!$G$3:$G5618=M3437)"),"LOS 3 AÑOS")</f>
        <v>LOS 3 AÑOS</v>
      </c>
      <c r="K3437" s="16" t="str">
        <f t="array" ref="K3437">IFERROR(DGET('PADD-R'!$B$1:$K5618,'PADD-R'!$K$1,{'PADD-R'!$B$1;E3437}),"NO PARTICIPÓ")</f>
        <v>PADD 2023 Y 2024</v>
      </c>
      <c r="L3437" s="14" t="s">
        <v>66</v>
      </c>
      <c r="M3437" s="16" t="str">
        <f t="shared" si="1"/>
        <v>86548 JOSE MARIA VELAZ6 Primaria</v>
      </c>
      <c r="N3437" s="23"/>
      <c r="O3437" s="17"/>
      <c r="P3437" s="17"/>
      <c r="Q3437" s="17"/>
      <c r="R3437" s="17"/>
      <c r="S3437" s="17"/>
      <c r="T3437" s="17"/>
    </row>
    <row r="3438">
      <c r="A3438" s="18">
        <v>3794.0</v>
      </c>
      <c r="B3438" s="12" t="s">
        <v>64</v>
      </c>
      <c r="C3438" s="12" t="s">
        <v>14</v>
      </c>
      <c r="D3438" s="20" t="s">
        <v>22</v>
      </c>
      <c r="E3438" s="12" t="str">
        <f>IFERROR(__xludf.DUMMYFUNCTION("FILTER(colegios!$B$2:$B5618,colegios!$A$2:$A5618=L3438)"),"86548 JOSE MARIA VELAZ")</f>
        <v>86548 JOSE MARIA VELAZ</v>
      </c>
      <c r="F3438" s="14" t="s">
        <v>16</v>
      </c>
      <c r="G3438" s="20" t="s">
        <v>17</v>
      </c>
      <c r="H3438" s="14" t="s">
        <v>18</v>
      </c>
      <c r="I3438" s="15">
        <v>2022.0</v>
      </c>
      <c r="J3438" s="16" t="str">
        <f>IFERROR(__xludf.DUMMYFUNCTION("FILTER('CLASFICACIÓN'!$F$3:$F5618,'CLASFICACIÓN'!$G$3:$G5618=M3438)"),"LOS 3 AÑOS")</f>
        <v>LOS 3 AÑOS</v>
      </c>
      <c r="K3438" s="16" t="str">
        <f t="array" ref="K3438">IFERROR(DGET('PADD-R'!$B$1:$K5618,'PADD-R'!$K$1,{'PADD-R'!$B$1;E3438}),"NO PARTICIPÓ")</f>
        <v>PADD 2023 Y 2024</v>
      </c>
      <c r="L3438" s="14" t="s">
        <v>66</v>
      </c>
      <c r="M3438" s="16" t="str">
        <f t="shared" si="1"/>
        <v>86548 JOSE MARIA VELAZ6 Primaria</v>
      </c>
      <c r="N3438" s="23"/>
      <c r="O3438" s="17"/>
      <c r="P3438" s="17"/>
      <c r="Q3438" s="17"/>
      <c r="R3438" s="17"/>
      <c r="S3438" s="17"/>
      <c r="T3438" s="17"/>
    </row>
    <row r="3439">
      <c r="A3439" s="18">
        <v>3795.0</v>
      </c>
      <c r="B3439" s="12" t="s">
        <v>64</v>
      </c>
      <c r="C3439" s="12" t="s">
        <v>14</v>
      </c>
      <c r="D3439" s="20" t="s">
        <v>22</v>
      </c>
      <c r="E3439" s="12" t="str">
        <f>IFERROR(__xludf.DUMMYFUNCTION("FILTER(colegios!$B$2:$B5618,colegios!$A$2:$A5618=L3439)"),"86548 JOSE MARIA VELAZ")</f>
        <v>86548 JOSE MARIA VELAZ</v>
      </c>
      <c r="F3439" s="14" t="s">
        <v>16</v>
      </c>
      <c r="G3439" s="20" t="s">
        <v>17</v>
      </c>
      <c r="H3439" s="14" t="s">
        <v>18</v>
      </c>
      <c r="I3439" s="15">
        <v>2022.0</v>
      </c>
      <c r="J3439" s="16" t="str">
        <f>IFERROR(__xludf.DUMMYFUNCTION("FILTER('CLASFICACIÓN'!$F$3:$F5618,'CLASFICACIÓN'!$G$3:$G5618=M3439)"),"LOS 3 AÑOS")</f>
        <v>LOS 3 AÑOS</v>
      </c>
      <c r="K3439" s="16" t="str">
        <f t="array" ref="K3439">IFERROR(DGET('PADD-R'!$B$1:$K5618,'PADD-R'!$K$1,{'PADD-R'!$B$1;E3439}),"NO PARTICIPÓ")</f>
        <v>PADD 2023 Y 2024</v>
      </c>
      <c r="L3439" s="14" t="s">
        <v>66</v>
      </c>
      <c r="M3439" s="16" t="str">
        <f t="shared" si="1"/>
        <v>86548 JOSE MARIA VELAZ6 Primaria</v>
      </c>
      <c r="N3439" s="23"/>
      <c r="O3439" s="17"/>
      <c r="P3439" s="17"/>
      <c r="Q3439" s="17"/>
      <c r="R3439" s="17"/>
      <c r="S3439" s="17"/>
      <c r="T3439" s="17"/>
    </row>
    <row r="3440">
      <c r="A3440" s="18">
        <v>3796.0</v>
      </c>
      <c r="B3440" s="12" t="s">
        <v>64</v>
      </c>
      <c r="C3440" s="12" t="s">
        <v>14</v>
      </c>
      <c r="D3440" s="20" t="s">
        <v>22</v>
      </c>
      <c r="E3440" s="12" t="str">
        <f>IFERROR(__xludf.DUMMYFUNCTION("FILTER(colegios!$B$2:$B5618,colegios!$A$2:$A5618=L3440)"),"86548 JOSE MARIA VELAZ")</f>
        <v>86548 JOSE MARIA VELAZ</v>
      </c>
      <c r="F3440" s="14" t="s">
        <v>16</v>
      </c>
      <c r="G3440" s="20" t="s">
        <v>21</v>
      </c>
      <c r="H3440" s="14" t="s">
        <v>18</v>
      </c>
      <c r="I3440" s="15">
        <v>2022.0</v>
      </c>
      <c r="J3440" s="16" t="str">
        <f>IFERROR(__xludf.DUMMYFUNCTION("FILTER('CLASFICACIÓN'!$F$3:$F5618,'CLASFICACIÓN'!$G$3:$G5618=M3440)"),"LOS 3 AÑOS")</f>
        <v>LOS 3 AÑOS</v>
      </c>
      <c r="K3440" s="16" t="str">
        <f t="array" ref="K3440">IFERROR(DGET('PADD-R'!$B$1:$K5618,'PADD-R'!$K$1,{'PADD-R'!$B$1;E3440}),"NO PARTICIPÓ")</f>
        <v>PADD 2023 Y 2024</v>
      </c>
      <c r="L3440" s="14" t="s">
        <v>66</v>
      </c>
      <c r="M3440" s="16" t="str">
        <f t="shared" si="1"/>
        <v>86548 JOSE MARIA VELAZ6 Primaria</v>
      </c>
      <c r="N3440" s="23"/>
      <c r="O3440" s="17"/>
      <c r="P3440" s="17"/>
      <c r="Q3440" s="17"/>
      <c r="R3440" s="17"/>
      <c r="S3440" s="17"/>
      <c r="T3440" s="17"/>
    </row>
    <row r="3441">
      <c r="A3441" s="18">
        <v>3797.0</v>
      </c>
      <c r="B3441" s="12" t="s">
        <v>64</v>
      </c>
      <c r="C3441" s="12" t="s">
        <v>14</v>
      </c>
      <c r="D3441" s="20" t="s">
        <v>22</v>
      </c>
      <c r="E3441" s="12" t="str">
        <f>IFERROR(__xludf.DUMMYFUNCTION("FILTER(colegios!$B$2:$B5618,colegios!$A$2:$A5618=L3441)"),"86548 JOSE MARIA VELAZ")</f>
        <v>86548 JOSE MARIA VELAZ</v>
      </c>
      <c r="F3441" s="14" t="s">
        <v>16</v>
      </c>
      <c r="G3441" s="20" t="s">
        <v>17</v>
      </c>
      <c r="H3441" s="14" t="s">
        <v>18</v>
      </c>
      <c r="I3441" s="15">
        <v>2022.0</v>
      </c>
      <c r="J3441" s="16" t="str">
        <f>IFERROR(__xludf.DUMMYFUNCTION("FILTER('CLASFICACIÓN'!$F$3:$F5618,'CLASFICACIÓN'!$G$3:$G5618=M3441)"),"LOS 3 AÑOS")</f>
        <v>LOS 3 AÑOS</v>
      </c>
      <c r="K3441" s="16" t="str">
        <f t="array" ref="K3441">IFERROR(DGET('PADD-R'!$B$1:$K5618,'PADD-R'!$K$1,{'PADD-R'!$B$1;E3441}),"NO PARTICIPÓ")</f>
        <v>PADD 2023 Y 2024</v>
      </c>
      <c r="L3441" s="14" t="s">
        <v>66</v>
      </c>
      <c r="M3441" s="16" t="str">
        <f t="shared" si="1"/>
        <v>86548 JOSE MARIA VELAZ6 Primaria</v>
      </c>
      <c r="N3441" s="23"/>
      <c r="O3441" s="17"/>
      <c r="P3441" s="17"/>
      <c r="Q3441" s="17"/>
      <c r="R3441" s="17"/>
      <c r="S3441" s="17"/>
      <c r="T3441" s="17"/>
    </row>
    <row r="3442">
      <c r="A3442" s="18">
        <v>3798.0</v>
      </c>
      <c r="B3442" s="12" t="s">
        <v>64</v>
      </c>
      <c r="C3442" s="12" t="s">
        <v>14</v>
      </c>
      <c r="D3442" s="20" t="s">
        <v>22</v>
      </c>
      <c r="E3442" s="12" t="str">
        <f>IFERROR(__xludf.DUMMYFUNCTION("FILTER(colegios!$B$2:$B5618,colegios!$A$2:$A5618=L3442)"),"86548 JOSE MARIA VELAZ")</f>
        <v>86548 JOSE MARIA VELAZ</v>
      </c>
      <c r="F3442" s="14" t="s">
        <v>16</v>
      </c>
      <c r="G3442" s="20" t="s">
        <v>21</v>
      </c>
      <c r="H3442" s="14" t="s">
        <v>18</v>
      </c>
      <c r="I3442" s="15">
        <v>2022.0</v>
      </c>
      <c r="J3442" s="16" t="str">
        <f>IFERROR(__xludf.DUMMYFUNCTION("FILTER('CLASFICACIÓN'!$F$3:$F5618,'CLASFICACIÓN'!$G$3:$G5618=M3442)"),"LOS 3 AÑOS")</f>
        <v>LOS 3 AÑOS</v>
      </c>
      <c r="K3442" s="16" t="str">
        <f t="array" ref="K3442">IFERROR(DGET('PADD-R'!$B$1:$K5618,'PADD-R'!$K$1,{'PADD-R'!$B$1;E3442}),"NO PARTICIPÓ")</f>
        <v>PADD 2023 Y 2024</v>
      </c>
      <c r="L3442" s="14" t="s">
        <v>66</v>
      </c>
      <c r="M3442" s="16" t="str">
        <f t="shared" si="1"/>
        <v>86548 JOSE MARIA VELAZ6 Primaria</v>
      </c>
      <c r="N3442" s="23"/>
      <c r="O3442" s="17"/>
      <c r="P3442" s="17"/>
      <c r="Q3442" s="17"/>
      <c r="R3442" s="17"/>
      <c r="S3442" s="17"/>
      <c r="T3442" s="17"/>
    </row>
    <row r="3443">
      <c r="A3443" s="18">
        <v>3799.0</v>
      </c>
      <c r="B3443" s="12" t="s">
        <v>64</v>
      </c>
      <c r="C3443" s="12" t="s">
        <v>14</v>
      </c>
      <c r="D3443" s="20" t="s">
        <v>22</v>
      </c>
      <c r="E3443" s="12" t="str">
        <f>IFERROR(__xludf.DUMMYFUNCTION("FILTER(colegios!$B$2:$B5618,colegios!$A$2:$A5618=L3443)"),"86548 JOSE MARIA VELAZ")</f>
        <v>86548 JOSE MARIA VELAZ</v>
      </c>
      <c r="F3443" s="14" t="s">
        <v>16</v>
      </c>
      <c r="G3443" s="20" t="s">
        <v>21</v>
      </c>
      <c r="H3443" s="14" t="s">
        <v>18</v>
      </c>
      <c r="I3443" s="15">
        <v>2022.0</v>
      </c>
      <c r="J3443" s="16" t="str">
        <f>IFERROR(__xludf.DUMMYFUNCTION("FILTER('CLASFICACIÓN'!$F$3:$F5618,'CLASFICACIÓN'!$G$3:$G5618=M3443)"),"LOS 3 AÑOS")</f>
        <v>LOS 3 AÑOS</v>
      </c>
      <c r="K3443" s="16" t="str">
        <f t="array" ref="K3443">IFERROR(DGET('PADD-R'!$B$1:$K5618,'PADD-R'!$K$1,{'PADD-R'!$B$1;E3443}),"NO PARTICIPÓ")</f>
        <v>PADD 2023 Y 2024</v>
      </c>
      <c r="L3443" s="14" t="s">
        <v>66</v>
      </c>
      <c r="M3443" s="16" t="str">
        <f t="shared" si="1"/>
        <v>86548 JOSE MARIA VELAZ6 Primaria</v>
      </c>
      <c r="N3443" s="23"/>
      <c r="O3443" s="17"/>
      <c r="P3443" s="17"/>
      <c r="Q3443" s="17"/>
      <c r="R3443" s="17"/>
      <c r="S3443" s="17"/>
      <c r="T3443" s="17"/>
    </row>
    <row r="3444">
      <c r="A3444" s="18">
        <v>3800.0</v>
      </c>
      <c r="B3444" s="12" t="s">
        <v>64</v>
      </c>
      <c r="C3444" s="12" t="s">
        <v>14</v>
      </c>
      <c r="D3444" s="20" t="s">
        <v>22</v>
      </c>
      <c r="E3444" s="12" t="str">
        <f>IFERROR(__xludf.DUMMYFUNCTION("FILTER(colegios!$B$2:$B5618,colegios!$A$2:$A5618=L3444)"),"86548 JOSE MARIA VELAZ")</f>
        <v>86548 JOSE MARIA VELAZ</v>
      </c>
      <c r="F3444" s="14" t="s">
        <v>16</v>
      </c>
      <c r="G3444" s="20" t="s">
        <v>21</v>
      </c>
      <c r="H3444" s="14" t="s">
        <v>18</v>
      </c>
      <c r="I3444" s="15">
        <v>2022.0</v>
      </c>
      <c r="J3444" s="16" t="str">
        <f>IFERROR(__xludf.DUMMYFUNCTION("FILTER('CLASFICACIÓN'!$F$3:$F5618,'CLASFICACIÓN'!$G$3:$G5618=M3444)"),"LOS 3 AÑOS")</f>
        <v>LOS 3 AÑOS</v>
      </c>
      <c r="K3444" s="16" t="str">
        <f t="array" ref="K3444">IFERROR(DGET('PADD-R'!$B$1:$K5618,'PADD-R'!$K$1,{'PADD-R'!$B$1;E3444}),"NO PARTICIPÓ")</f>
        <v>PADD 2023 Y 2024</v>
      </c>
      <c r="L3444" s="14" t="s">
        <v>66</v>
      </c>
      <c r="M3444" s="16" t="str">
        <f t="shared" si="1"/>
        <v>86548 JOSE MARIA VELAZ6 Primaria</v>
      </c>
      <c r="N3444" s="23"/>
      <c r="O3444" s="17"/>
      <c r="P3444" s="17"/>
      <c r="Q3444" s="17"/>
      <c r="R3444" s="17"/>
      <c r="S3444" s="17"/>
      <c r="T3444" s="17"/>
    </row>
    <row r="3445">
      <c r="A3445" s="18">
        <v>3801.0</v>
      </c>
      <c r="B3445" s="12" t="s">
        <v>64</v>
      </c>
      <c r="C3445" s="12" t="s">
        <v>14</v>
      </c>
      <c r="D3445" s="20" t="s">
        <v>22</v>
      </c>
      <c r="E3445" s="12" t="str">
        <f>IFERROR(__xludf.DUMMYFUNCTION("FILTER(colegios!$B$2:$B5618,colegios!$A$2:$A5618=L3445)"),"86548 JOSE MARIA VELAZ")</f>
        <v>86548 JOSE MARIA VELAZ</v>
      </c>
      <c r="F3445" s="14" t="s">
        <v>16</v>
      </c>
      <c r="G3445" s="20" t="s">
        <v>21</v>
      </c>
      <c r="H3445" s="14" t="s">
        <v>18</v>
      </c>
      <c r="I3445" s="15">
        <v>2022.0</v>
      </c>
      <c r="J3445" s="16" t="str">
        <f>IFERROR(__xludf.DUMMYFUNCTION("FILTER('CLASFICACIÓN'!$F$3:$F5618,'CLASFICACIÓN'!$G$3:$G5618=M3445)"),"LOS 3 AÑOS")</f>
        <v>LOS 3 AÑOS</v>
      </c>
      <c r="K3445" s="16" t="str">
        <f t="array" ref="K3445">IFERROR(DGET('PADD-R'!$B$1:$K5618,'PADD-R'!$K$1,{'PADD-R'!$B$1;E3445}),"NO PARTICIPÓ")</f>
        <v>PADD 2023 Y 2024</v>
      </c>
      <c r="L3445" s="14" t="s">
        <v>66</v>
      </c>
      <c r="M3445" s="16" t="str">
        <f t="shared" si="1"/>
        <v>86548 JOSE MARIA VELAZ6 Primaria</v>
      </c>
      <c r="N3445" s="23"/>
      <c r="O3445" s="17"/>
      <c r="P3445" s="17"/>
      <c r="Q3445" s="17"/>
      <c r="R3445" s="17"/>
      <c r="S3445" s="17"/>
      <c r="T3445" s="17"/>
    </row>
    <row r="3446">
      <c r="A3446" s="18">
        <v>3802.0</v>
      </c>
      <c r="B3446" s="12" t="s">
        <v>64</v>
      </c>
      <c r="C3446" s="12" t="s">
        <v>14</v>
      </c>
      <c r="D3446" s="20" t="s">
        <v>22</v>
      </c>
      <c r="E3446" s="12" t="str">
        <f>IFERROR(__xludf.DUMMYFUNCTION("FILTER(colegios!$B$2:$B5618,colegios!$A$2:$A5618=L3446)"),"86548 JOSE MARIA VELAZ")</f>
        <v>86548 JOSE MARIA VELAZ</v>
      </c>
      <c r="F3446" s="14" t="s">
        <v>16</v>
      </c>
      <c r="G3446" s="20" t="s">
        <v>21</v>
      </c>
      <c r="H3446" s="14" t="s">
        <v>18</v>
      </c>
      <c r="I3446" s="15">
        <v>2022.0</v>
      </c>
      <c r="J3446" s="16" t="str">
        <f>IFERROR(__xludf.DUMMYFUNCTION("FILTER('CLASFICACIÓN'!$F$3:$F5618,'CLASFICACIÓN'!$G$3:$G5618=M3446)"),"LOS 3 AÑOS")</f>
        <v>LOS 3 AÑOS</v>
      </c>
      <c r="K3446" s="16" t="str">
        <f t="array" ref="K3446">IFERROR(DGET('PADD-R'!$B$1:$K5618,'PADD-R'!$K$1,{'PADD-R'!$B$1;E3446}),"NO PARTICIPÓ")</f>
        <v>PADD 2023 Y 2024</v>
      </c>
      <c r="L3446" s="14" t="s">
        <v>66</v>
      </c>
      <c r="M3446" s="16" t="str">
        <f t="shared" si="1"/>
        <v>86548 JOSE MARIA VELAZ6 Primaria</v>
      </c>
      <c r="N3446" s="23"/>
      <c r="O3446" s="17"/>
      <c r="P3446" s="17"/>
      <c r="Q3446" s="17"/>
      <c r="R3446" s="17"/>
      <c r="S3446" s="17"/>
      <c r="T3446" s="17"/>
    </row>
    <row r="3447">
      <c r="A3447" s="18">
        <v>3803.0</v>
      </c>
      <c r="B3447" s="12" t="s">
        <v>64</v>
      </c>
      <c r="C3447" s="12" t="s">
        <v>14</v>
      </c>
      <c r="D3447" s="20" t="s">
        <v>22</v>
      </c>
      <c r="E3447" s="12" t="str">
        <f>IFERROR(__xludf.DUMMYFUNCTION("FILTER(colegios!$B$2:$B5618,colegios!$A$2:$A5618=L3447)"),"86548 JOSE MARIA VELAZ")</f>
        <v>86548 JOSE MARIA VELAZ</v>
      </c>
      <c r="F3447" s="14" t="s">
        <v>16</v>
      </c>
      <c r="G3447" s="20" t="s">
        <v>17</v>
      </c>
      <c r="H3447" s="14" t="s">
        <v>18</v>
      </c>
      <c r="I3447" s="15">
        <v>2022.0</v>
      </c>
      <c r="J3447" s="16" t="str">
        <f>IFERROR(__xludf.DUMMYFUNCTION("FILTER('CLASFICACIÓN'!$F$3:$F5618,'CLASFICACIÓN'!$G$3:$G5618=M3447)"),"LOS 3 AÑOS")</f>
        <v>LOS 3 AÑOS</v>
      </c>
      <c r="K3447" s="16" t="str">
        <f t="array" ref="K3447">IFERROR(DGET('PADD-R'!$B$1:$K5618,'PADD-R'!$K$1,{'PADD-R'!$B$1;E3447}),"NO PARTICIPÓ")</f>
        <v>PADD 2023 Y 2024</v>
      </c>
      <c r="L3447" s="14" t="s">
        <v>66</v>
      </c>
      <c r="M3447" s="16" t="str">
        <f t="shared" si="1"/>
        <v>86548 JOSE MARIA VELAZ6 Primaria</v>
      </c>
      <c r="N3447" s="23"/>
      <c r="O3447" s="17"/>
      <c r="P3447" s="17"/>
      <c r="Q3447" s="17"/>
      <c r="R3447" s="17"/>
      <c r="S3447" s="17"/>
      <c r="T3447" s="17"/>
    </row>
    <row r="3448">
      <c r="A3448" s="18">
        <v>3804.0</v>
      </c>
      <c r="B3448" s="12" t="s">
        <v>64</v>
      </c>
      <c r="C3448" s="12" t="s">
        <v>14</v>
      </c>
      <c r="D3448" s="20" t="s">
        <v>22</v>
      </c>
      <c r="E3448" s="12" t="str">
        <f>IFERROR(__xludf.DUMMYFUNCTION("FILTER(colegios!$B$2:$B5618,colegios!$A$2:$A5618=L3448)"),"86548 JOSE MARIA VELAZ")</f>
        <v>86548 JOSE MARIA VELAZ</v>
      </c>
      <c r="F3448" s="14" t="s">
        <v>16</v>
      </c>
      <c r="G3448" s="20" t="s">
        <v>17</v>
      </c>
      <c r="H3448" s="14" t="s">
        <v>18</v>
      </c>
      <c r="I3448" s="15">
        <v>2022.0</v>
      </c>
      <c r="J3448" s="16" t="str">
        <f>IFERROR(__xludf.DUMMYFUNCTION("FILTER('CLASFICACIÓN'!$F$3:$F5618,'CLASFICACIÓN'!$G$3:$G5618=M3448)"),"LOS 3 AÑOS")</f>
        <v>LOS 3 AÑOS</v>
      </c>
      <c r="K3448" s="16" t="str">
        <f t="array" ref="K3448">IFERROR(DGET('PADD-R'!$B$1:$K5618,'PADD-R'!$K$1,{'PADD-R'!$B$1;E3448}),"NO PARTICIPÓ")</f>
        <v>PADD 2023 Y 2024</v>
      </c>
      <c r="L3448" s="14" t="s">
        <v>66</v>
      </c>
      <c r="M3448" s="16" t="str">
        <f t="shared" si="1"/>
        <v>86548 JOSE MARIA VELAZ6 Primaria</v>
      </c>
      <c r="N3448" s="23"/>
      <c r="O3448" s="17"/>
      <c r="P3448" s="17"/>
      <c r="Q3448" s="17"/>
      <c r="R3448" s="17"/>
      <c r="S3448" s="17"/>
      <c r="T3448" s="17"/>
    </row>
    <row r="3449">
      <c r="A3449" s="18">
        <v>3805.0</v>
      </c>
      <c r="B3449" s="12" t="s">
        <v>64</v>
      </c>
      <c r="C3449" s="12" t="s">
        <v>14</v>
      </c>
      <c r="D3449" s="20" t="s">
        <v>22</v>
      </c>
      <c r="E3449" s="12" t="str">
        <f>IFERROR(__xludf.DUMMYFUNCTION("FILTER(colegios!$B$2:$B5618,colegios!$A$2:$A5618=L3449)"),"86548 JOSE MARIA VELAZ")</f>
        <v>86548 JOSE MARIA VELAZ</v>
      </c>
      <c r="F3449" s="14" t="s">
        <v>16</v>
      </c>
      <c r="G3449" s="20" t="s">
        <v>17</v>
      </c>
      <c r="H3449" s="14" t="s">
        <v>18</v>
      </c>
      <c r="I3449" s="15">
        <v>2022.0</v>
      </c>
      <c r="J3449" s="16" t="str">
        <f>IFERROR(__xludf.DUMMYFUNCTION("FILTER('CLASFICACIÓN'!$F$3:$F5618,'CLASFICACIÓN'!$G$3:$G5618=M3449)"),"LOS 3 AÑOS")</f>
        <v>LOS 3 AÑOS</v>
      </c>
      <c r="K3449" s="16" t="str">
        <f t="array" ref="K3449">IFERROR(DGET('PADD-R'!$B$1:$K5618,'PADD-R'!$K$1,{'PADD-R'!$B$1;E3449}),"NO PARTICIPÓ")</f>
        <v>PADD 2023 Y 2024</v>
      </c>
      <c r="L3449" s="14" t="s">
        <v>66</v>
      </c>
      <c r="M3449" s="16" t="str">
        <f t="shared" si="1"/>
        <v>86548 JOSE MARIA VELAZ6 Primaria</v>
      </c>
      <c r="N3449" s="23"/>
      <c r="O3449" s="17"/>
      <c r="P3449" s="17"/>
      <c r="Q3449" s="17"/>
      <c r="R3449" s="17"/>
      <c r="S3449" s="17"/>
      <c r="T3449" s="17"/>
    </row>
    <row r="3450">
      <c r="A3450" s="18">
        <v>3806.0</v>
      </c>
      <c r="B3450" s="12" t="s">
        <v>70</v>
      </c>
      <c r="C3450" s="12" t="s">
        <v>14</v>
      </c>
      <c r="D3450" s="20" t="s">
        <v>20</v>
      </c>
      <c r="E3450" s="12" t="str">
        <f>IFERROR(__xludf.DUMMYFUNCTION("FILTER(colegios!$B$2:$B5618,colegios!$A$2:$A5618=L3450)"),"65199")</f>
        <v>65199</v>
      </c>
      <c r="F3450" s="14" t="s">
        <v>16</v>
      </c>
      <c r="G3450" s="20" t="s">
        <v>21</v>
      </c>
      <c r="H3450" s="14" t="s">
        <v>18</v>
      </c>
      <c r="I3450" s="15">
        <v>2022.0</v>
      </c>
      <c r="J3450" s="16" t="str">
        <f>IFERROR(__xludf.DUMMYFUNCTION("FILTER('CLASFICACIÓN'!$F$3:$F5618,'CLASFICACIÓN'!$G$3:$G5618=M3450)"),"SOLO 2022 Y 2024")</f>
        <v>SOLO 2022 Y 2024</v>
      </c>
      <c r="K3450" s="16" t="str">
        <f t="array" ref="K3450">IFERROR(DGET('PADD-R'!$B$1:$K5618,'PADD-R'!$K$1,{'PADD-R'!$B$1;E3450}),"NO PARTICIPÓ")</f>
        <v>SOLO 2024</v>
      </c>
      <c r="L3450" s="14" t="s">
        <v>157</v>
      </c>
      <c r="M3450" s="16" t="str">
        <f t="shared" si="1"/>
        <v>651994 Primaria</v>
      </c>
      <c r="N3450" s="23"/>
      <c r="O3450" s="17"/>
      <c r="P3450" s="17"/>
      <c r="Q3450" s="17"/>
      <c r="R3450" s="17"/>
      <c r="S3450" s="17"/>
      <c r="T3450" s="17"/>
    </row>
    <row r="3451">
      <c r="A3451" s="18">
        <v>3807.0</v>
      </c>
      <c r="B3451" s="12" t="s">
        <v>70</v>
      </c>
      <c r="C3451" s="12" t="s">
        <v>14</v>
      </c>
      <c r="D3451" s="20" t="s">
        <v>20</v>
      </c>
      <c r="E3451" s="12" t="str">
        <f>IFERROR(__xludf.DUMMYFUNCTION("FILTER(colegios!$B$2:$B5618,colegios!$A$2:$A5618=L3451)"),"65199")</f>
        <v>65199</v>
      </c>
      <c r="F3451" s="14" t="s">
        <v>16</v>
      </c>
      <c r="G3451" s="20" t="s">
        <v>17</v>
      </c>
      <c r="H3451" s="14" t="s">
        <v>18</v>
      </c>
      <c r="I3451" s="15">
        <v>2022.0</v>
      </c>
      <c r="J3451" s="16" t="str">
        <f>IFERROR(__xludf.DUMMYFUNCTION("FILTER('CLASFICACIÓN'!$F$3:$F5618,'CLASFICACIÓN'!$G$3:$G5618=M3451)"),"SOLO 2022 Y 2024")</f>
        <v>SOLO 2022 Y 2024</v>
      </c>
      <c r="K3451" s="16" t="str">
        <f t="array" ref="K3451">IFERROR(DGET('PADD-R'!$B$1:$K5618,'PADD-R'!$K$1,{'PADD-R'!$B$1;E3451}),"NO PARTICIPÓ")</f>
        <v>SOLO 2024</v>
      </c>
      <c r="L3451" s="14" t="s">
        <v>157</v>
      </c>
      <c r="M3451" s="16" t="str">
        <f t="shared" si="1"/>
        <v>651994 Primaria</v>
      </c>
      <c r="N3451" s="23"/>
      <c r="O3451" s="17"/>
      <c r="P3451" s="17"/>
      <c r="Q3451" s="17"/>
      <c r="R3451" s="17"/>
      <c r="S3451" s="17"/>
      <c r="T3451" s="17"/>
    </row>
    <row r="3452">
      <c r="A3452" s="18">
        <v>4316.0</v>
      </c>
      <c r="B3452" s="12" t="s">
        <v>70</v>
      </c>
      <c r="C3452" s="12" t="s">
        <v>14</v>
      </c>
      <c r="D3452" s="20" t="s">
        <v>20</v>
      </c>
      <c r="E3452" s="12" t="str">
        <f>IFERROR(__xludf.DUMMYFUNCTION("FILTER(colegios!$B$2:$B5618,colegios!$A$2:$A5618=L3452)"),"65199")</f>
        <v>65199</v>
      </c>
      <c r="F3452" s="14" t="s">
        <v>16</v>
      </c>
      <c r="G3452" s="20" t="s">
        <v>17</v>
      </c>
      <c r="H3452" s="14" t="s">
        <v>18</v>
      </c>
      <c r="I3452" s="15">
        <v>2022.0</v>
      </c>
      <c r="J3452" s="16" t="str">
        <f>IFERROR(__xludf.DUMMYFUNCTION("FILTER('CLASFICACIÓN'!$F$3:$F5618,'CLASFICACIÓN'!$G$3:$G5618=M3452)"),"SOLO 2022 Y 2024")</f>
        <v>SOLO 2022 Y 2024</v>
      </c>
      <c r="K3452" s="16" t="str">
        <f t="array" ref="K3452">IFERROR(DGET('PADD-R'!$B$1:$K5618,'PADD-R'!$K$1,{'PADD-R'!$B$1;E3452}),"NO PARTICIPÓ")</f>
        <v>SOLO 2024</v>
      </c>
      <c r="L3452" s="14" t="s">
        <v>157</v>
      </c>
      <c r="M3452" s="16" t="str">
        <f t="shared" si="1"/>
        <v>651994 Primaria</v>
      </c>
      <c r="N3452" s="23"/>
      <c r="O3452" s="17"/>
      <c r="P3452" s="17"/>
      <c r="Q3452" s="17"/>
      <c r="R3452" s="17"/>
      <c r="S3452" s="17"/>
      <c r="T3452" s="17"/>
    </row>
    <row r="3453">
      <c r="A3453" s="18">
        <v>4317.0</v>
      </c>
      <c r="B3453" s="12" t="s">
        <v>70</v>
      </c>
      <c r="C3453" s="12" t="s">
        <v>14</v>
      </c>
      <c r="D3453" s="20" t="s">
        <v>20</v>
      </c>
      <c r="E3453" s="12" t="str">
        <f>IFERROR(__xludf.DUMMYFUNCTION("FILTER(colegios!$B$2:$B5618,colegios!$A$2:$A5618=L3453)"),"65199")</f>
        <v>65199</v>
      </c>
      <c r="F3453" s="14" t="s">
        <v>16</v>
      </c>
      <c r="G3453" s="20" t="s">
        <v>17</v>
      </c>
      <c r="H3453" s="14" t="s">
        <v>18</v>
      </c>
      <c r="I3453" s="15">
        <v>2022.0</v>
      </c>
      <c r="J3453" s="16" t="str">
        <f>IFERROR(__xludf.DUMMYFUNCTION("FILTER('CLASFICACIÓN'!$F$3:$F5618,'CLASFICACIÓN'!$G$3:$G5618=M3453)"),"SOLO 2022 Y 2024")</f>
        <v>SOLO 2022 Y 2024</v>
      </c>
      <c r="K3453" s="16" t="str">
        <f t="array" ref="K3453">IFERROR(DGET('PADD-R'!$B$1:$K5618,'PADD-R'!$K$1,{'PADD-R'!$B$1;E3453}),"NO PARTICIPÓ")</f>
        <v>SOLO 2024</v>
      </c>
      <c r="L3453" s="14" t="s">
        <v>157</v>
      </c>
      <c r="M3453" s="16" t="str">
        <f t="shared" si="1"/>
        <v>651994 Primaria</v>
      </c>
      <c r="N3453" s="23"/>
      <c r="O3453" s="17"/>
      <c r="P3453" s="17"/>
      <c r="Q3453" s="17"/>
      <c r="R3453" s="17"/>
      <c r="S3453" s="17"/>
      <c r="T3453" s="17"/>
    </row>
    <row r="3454">
      <c r="A3454" s="18">
        <v>4318.0</v>
      </c>
      <c r="B3454" s="12" t="s">
        <v>70</v>
      </c>
      <c r="C3454" s="12" t="s">
        <v>14</v>
      </c>
      <c r="D3454" s="20" t="s">
        <v>22</v>
      </c>
      <c r="E3454" s="12" t="str">
        <f>IFERROR(__xludf.DUMMYFUNCTION("FILTER(colegios!$B$2:$B5618,colegios!$A$2:$A5618=L3454)"),"65199")</f>
        <v>65199</v>
      </c>
      <c r="F3454" s="14" t="s">
        <v>16</v>
      </c>
      <c r="G3454" s="20" t="s">
        <v>21</v>
      </c>
      <c r="H3454" s="14" t="s">
        <v>18</v>
      </c>
      <c r="I3454" s="15">
        <v>2022.0</v>
      </c>
      <c r="J3454" s="16" t="str">
        <f>IFERROR(__xludf.DUMMYFUNCTION("FILTER('CLASFICACIÓN'!$F$3:$F5618,'CLASFICACIÓN'!$G$3:$G5618=M3454)"),"SOLO 2022 Y 2024")</f>
        <v>SOLO 2022 Y 2024</v>
      </c>
      <c r="K3454" s="16" t="str">
        <f t="array" ref="K3454">IFERROR(DGET('PADD-R'!$B$1:$K5618,'PADD-R'!$K$1,{'PADD-R'!$B$1;E3454}),"NO PARTICIPÓ")</f>
        <v>SOLO 2024</v>
      </c>
      <c r="L3454" s="14" t="s">
        <v>157</v>
      </c>
      <c r="M3454" s="16" t="str">
        <f t="shared" si="1"/>
        <v>651996 Primaria</v>
      </c>
      <c r="N3454" s="23"/>
      <c r="O3454" s="17"/>
      <c r="P3454" s="17"/>
      <c r="Q3454" s="17"/>
      <c r="R3454" s="17"/>
      <c r="S3454" s="17"/>
      <c r="T3454" s="17"/>
    </row>
    <row r="3455">
      <c r="A3455" s="18">
        <v>4319.0</v>
      </c>
      <c r="B3455" s="12" t="s">
        <v>70</v>
      </c>
      <c r="C3455" s="12" t="s">
        <v>14</v>
      </c>
      <c r="D3455" s="20" t="s">
        <v>22</v>
      </c>
      <c r="E3455" s="12" t="str">
        <f>IFERROR(__xludf.DUMMYFUNCTION("FILTER(colegios!$B$2:$B5618,colegios!$A$2:$A5618=L3455)"),"65199")</f>
        <v>65199</v>
      </c>
      <c r="F3455" s="14" t="s">
        <v>16</v>
      </c>
      <c r="G3455" s="20" t="s">
        <v>21</v>
      </c>
      <c r="H3455" s="14" t="s">
        <v>18</v>
      </c>
      <c r="I3455" s="15">
        <v>2022.0</v>
      </c>
      <c r="J3455" s="16" t="str">
        <f>IFERROR(__xludf.DUMMYFUNCTION("FILTER('CLASFICACIÓN'!$F$3:$F5618,'CLASFICACIÓN'!$G$3:$G5618=M3455)"),"SOLO 2022 Y 2024")</f>
        <v>SOLO 2022 Y 2024</v>
      </c>
      <c r="K3455" s="16" t="str">
        <f t="array" ref="K3455">IFERROR(DGET('PADD-R'!$B$1:$K5618,'PADD-R'!$K$1,{'PADD-R'!$B$1;E3455}),"NO PARTICIPÓ")</f>
        <v>SOLO 2024</v>
      </c>
      <c r="L3455" s="14" t="s">
        <v>157</v>
      </c>
      <c r="M3455" s="16" t="str">
        <f t="shared" si="1"/>
        <v>651996 Primaria</v>
      </c>
      <c r="N3455" s="23"/>
      <c r="O3455" s="17"/>
      <c r="P3455" s="17"/>
      <c r="Q3455" s="17"/>
      <c r="R3455" s="17"/>
      <c r="S3455" s="17"/>
      <c r="T3455" s="17"/>
    </row>
    <row r="3456">
      <c r="A3456" s="18">
        <v>4320.0</v>
      </c>
      <c r="B3456" s="12" t="s">
        <v>70</v>
      </c>
      <c r="C3456" s="12" t="s">
        <v>14</v>
      </c>
      <c r="D3456" s="20" t="s">
        <v>22</v>
      </c>
      <c r="E3456" s="12" t="str">
        <f>IFERROR(__xludf.DUMMYFUNCTION("FILTER(colegios!$B$2:$B5618,colegios!$A$2:$A5618=L3456)"),"65199")</f>
        <v>65199</v>
      </c>
      <c r="F3456" s="14" t="s">
        <v>16</v>
      </c>
      <c r="G3456" s="20" t="s">
        <v>21</v>
      </c>
      <c r="H3456" s="14" t="s">
        <v>18</v>
      </c>
      <c r="I3456" s="15">
        <v>2022.0</v>
      </c>
      <c r="J3456" s="16" t="str">
        <f>IFERROR(__xludf.DUMMYFUNCTION("FILTER('CLASFICACIÓN'!$F$3:$F5618,'CLASFICACIÓN'!$G$3:$G5618=M3456)"),"SOLO 2022 Y 2024")</f>
        <v>SOLO 2022 Y 2024</v>
      </c>
      <c r="K3456" s="16" t="str">
        <f t="array" ref="K3456">IFERROR(DGET('PADD-R'!$B$1:$K5618,'PADD-R'!$K$1,{'PADD-R'!$B$1;E3456}),"NO PARTICIPÓ")</f>
        <v>SOLO 2024</v>
      </c>
      <c r="L3456" s="14" t="s">
        <v>157</v>
      </c>
      <c r="M3456" s="16" t="str">
        <f t="shared" si="1"/>
        <v>651996 Primaria</v>
      </c>
      <c r="N3456" s="23"/>
      <c r="O3456" s="17"/>
      <c r="P3456" s="17"/>
      <c r="Q3456" s="17"/>
      <c r="R3456" s="17"/>
      <c r="S3456" s="17"/>
      <c r="T3456" s="17"/>
    </row>
    <row r="3457">
      <c r="A3457" s="18">
        <v>4321.0</v>
      </c>
      <c r="B3457" s="12" t="s">
        <v>70</v>
      </c>
      <c r="C3457" s="12" t="s">
        <v>14</v>
      </c>
      <c r="D3457" s="20" t="s">
        <v>20</v>
      </c>
      <c r="E3457" s="12" t="str">
        <f>IFERROR(__xludf.DUMMYFUNCTION("FILTER(colegios!$B$2:$B5618,colegios!$A$2:$A5618=L3457)"),"64048")</f>
        <v>64048</v>
      </c>
      <c r="F3457" s="14" t="s">
        <v>16</v>
      </c>
      <c r="G3457" s="20" t="s">
        <v>21</v>
      </c>
      <c r="H3457" s="14" t="s">
        <v>24</v>
      </c>
      <c r="I3457" s="15">
        <v>2022.0</v>
      </c>
      <c r="J3457" s="16" t="str">
        <f>IFERROR(__xludf.DUMMYFUNCTION("FILTER('CLASFICACIÓN'!$F$3:$F5618,'CLASFICACIÓN'!$G$3:$G5618=M3457)"),"SOLO 2022 Y 2024")</f>
        <v>SOLO 2022 Y 2024</v>
      </c>
      <c r="K3457" s="16" t="str">
        <f t="array" ref="K3457">IFERROR(DGET('PADD-R'!$B$1:$K5618,'PADD-R'!$K$1,{'PADD-R'!$B$1;E3457}),"NO PARTICIPÓ")</f>
        <v>SOLO 2024</v>
      </c>
      <c r="L3457" s="14" t="s">
        <v>158</v>
      </c>
      <c r="M3457" s="16" t="str">
        <f t="shared" si="1"/>
        <v>640484 Primaria</v>
      </c>
      <c r="N3457" s="23"/>
      <c r="O3457" s="17"/>
      <c r="P3457" s="17"/>
      <c r="Q3457" s="17"/>
      <c r="R3457" s="17"/>
      <c r="S3457" s="17"/>
      <c r="T3457" s="17"/>
    </row>
    <row r="3458">
      <c r="A3458" s="18">
        <v>4322.0</v>
      </c>
      <c r="B3458" s="12" t="s">
        <v>70</v>
      </c>
      <c r="C3458" s="12" t="s">
        <v>14</v>
      </c>
      <c r="D3458" s="20" t="s">
        <v>20</v>
      </c>
      <c r="E3458" s="12" t="str">
        <f>IFERROR(__xludf.DUMMYFUNCTION("FILTER(colegios!$B$2:$B5618,colegios!$A$2:$A5618=L3458)"),"64048")</f>
        <v>64048</v>
      </c>
      <c r="F3458" s="14" t="s">
        <v>16</v>
      </c>
      <c r="G3458" s="20" t="s">
        <v>21</v>
      </c>
      <c r="H3458" s="14" t="s">
        <v>24</v>
      </c>
      <c r="I3458" s="15">
        <v>2022.0</v>
      </c>
      <c r="J3458" s="16" t="str">
        <f>IFERROR(__xludf.DUMMYFUNCTION("FILTER('CLASFICACIÓN'!$F$3:$F5618,'CLASFICACIÓN'!$G$3:$G5618=M3458)"),"SOLO 2022 Y 2024")</f>
        <v>SOLO 2022 Y 2024</v>
      </c>
      <c r="K3458" s="16" t="str">
        <f t="array" ref="K3458">IFERROR(DGET('PADD-R'!$B$1:$K5618,'PADD-R'!$K$1,{'PADD-R'!$B$1;E3458}),"NO PARTICIPÓ")</f>
        <v>SOLO 2024</v>
      </c>
      <c r="L3458" s="14" t="s">
        <v>158</v>
      </c>
      <c r="M3458" s="16" t="str">
        <f t="shared" si="1"/>
        <v>640484 Primaria</v>
      </c>
      <c r="N3458" s="23"/>
      <c r="O3458" s="17"/>
      <c r="P3458" s="17"/>
      <c r="Q3458" s="17"/>
      <c r="R3458" s="17"/>
      <c r="S3458" s="17"/>
      <c r="T3458" s="17"/>
    </row>
    <row r="3459">
      <c r="A3459" s="18">
        <v>4323.0</v>
      </c>
      <c r="B3459" s="12" t="s">
        <v>70</v>
      </c>
      <c r="C3459" s="12" t="s">
        <v>14</v>
      </c>
      <c r="D3459" s="20" t="s">
        <v>22</v>
      </c>
      <c r="E3459" s="12" t="str">
        <f>IFERROR(__xludf.DUMMYFUNCTION("FILTER(colegios!$B$2:$B5618,colegios!$A$2:$A5618=L3459)"),"64048")</f>
        <v>64048</v>
      </c>
      <c r="F3459" s="14" t="s">
        <v>16</v>
      </c>
      <c r="G3459" s="20" t="s">
        <v>21</v>
      </c>
      <c r="H3459" s="14" t="s">
        <v>18</v>
      </c>
      <c r="I3459" s="15">
        <v>2022.0</v>
      </c>
      <c r="J3459" s="16" t="str">
        <f>IFERROR(__xludf.DUMMYFUNCTION("FILTER('CLASFICACIÓN'!$F$3:$F5618,'CLASFICACIÓN'!$G$3:$G5618=M3459)"),"SOLO 2022 Y 2024")</f>
        <v>SOLO 2022 Y 2024</v>
      </c>
      <c r="K3459" s="16" t="str">
        <f t="array" ref="K3459">IFERROR(DGET('PADD-R'!$B$1:$K5618,'PADD-R'!$K$1,{'PADD-R'!$B$1;E3459}),"NO PARTICIPÓ")</f>
        <v>SOLO 2024</v>
      </c>
      <c r="L3459" s="14" t="s">
        <v>158</v>
      </c>
      <c r="M3459" s="16" t="str">
        <f t="shared" si="1"/>
        <v>640486 Primaria</v>
      </c>
      <c r="N3459" s="23"/>
      <c r="O3459" s="17"/>
      <c r="P3459" s="17"/>
      <c r="Q3459" s="17"/>
      <c r="R3459" s="17"/>
      <c r="S3459" s="17"/>
      <c r="T3459" s="17"/>
    </row>
    <row r="3460">
      <c r="A3460" s="18">
        <v>4324.0</v>
      </c>
      <c r="B3460" s="12" t="s">
        <v>70</v>
      </c>
      <c r="C3460" s="12" t="s">
        <v>14</v>
      </c>
      <c r="D3460" s="20" t="s">
        <v>22</v>
      </c>
      <c r="E3460" s="12" t="str">
        <f>IFERROR(__xludf.DUMMYFUNCTION("FILTER(colegios!$B$2:$B5618,colegios!$A$2:$A5618=L3460)"),"64048")</f>
        <v>64048</v>
      </c>
      <c r="F3460" s="14" t="s">
        <v>16</v>
      </c>
      <c r="G3460" s="20" t="s">
        <v>21</v>
      </c>
      <c r="H3460" s="14" t="s">
        <v>18</v>
      </c>
      <c r="I3460" s="15">
        <v>2022.0</v>
      </c>
      <c r="J3460" s="16" t="str">
        <f>IFERROR(__xludf.DUMMYFUNCTION("FILTER('CLASFICACIÓN'!$F$3:$F5618,'CLASFICACIÓN'!$G$3:$G5618=M3460)"),"SOLO 2022 Y 2024")</f>
        <v>SOLO 2022 Y 2024</v>
      </c>
      <c r="K3460" s="16" t="str">
        <f t="array" ref="K3460">IFERROR(DGET('PADD-R'!$B$1:$K5618,'PADD-R'!$K$1,{'PADD-R'!$B$1;E3460}),"NO PARTICIPÓ")</f>
        <v>SOLO 2024</v>
      </c>
      <c r="L3460" s="14" t="s">
        <v>158</v>
      </c>
      <c r="M3460" s="16" t="str">
        <f t="shared" si="1"/>
        <v>640486 Primaria</v>
      </c>
      <c r="N3460" s="23"/>
      <c r="O3460" s="17"/>
      <c r="P3460" s="17"/>
      <c r="Q3460" s="17"/>
      <c r="R3460" s="17"/>
      <c r="S3460" s="17"/>
      <c r="T3460" s="17"/>
    </row>
    <row r="3461">
      <c r="A3461" s="18">
        <v>4325.0</v>
      </c>
      <c r="B3461" s="12" t="s">
        <v>70</v>
      </c>
      <c r="C3461" s="12" t="s">
        <v>14</v>
      </c>
      <c r="D3461" s="20" t="s">
        <v>22</v>
      </c>
      <c r="E3461" s="12" t="str">
        <f>IFERROR(__xludf.DUMMYFUNCTION("FILTER(colegios!$B$2:$B5618,colegios!$A$2:$A5618=L3461)"),"64048")</f>
        <v>64048</v>
      </c>
      <c r="F3461" s="14" t="s">
        <v>16</v>
      </c>
      <c r="G3461" s="20" t="s">
        <v>17</v>
      </c>
      <c r="H3461" s="14" t="s">
        <v>18</v>
      </c>
      <c r="I3461" s="15">
        <v>2022.0</v>
      </c>
      <c r="J3461" s="16" t="str">
        <f>IFERROR(__xludf.DUMMYFUNCTION("FILTER('CLASFICACIÓN'!$F$3:$F5618,'CLASFICACIÓN'!$G$3:$G5618=M3461)"),"SOLO 2022 Y 2024")</f>
        <v>SOLO 2022 Y 2024</v>
      </c>
      <c r="K3461" s="16" t="str">
        <f t="array" ref="K3461">IFERROR(DGET('PADD-R'!$B$1:$K5618,'PADD-R'!$K$1,{'PADD-R'!$B$1;E3461}),"NO PARTICIPÓ")</f>
        <v>SOLO 2024</v>
      </c>
      <c r="L3461" s="14" t="s">
        <v>158</v>
      </c>
      <c r="M3461" s="16" t="str">
        <f t="shared" si="1"/>
        <v>640486 Primaria</v>
      </c>
      <c r="N3461" s="23"/>
      <c r="O3461" s="17"/>
      <c r="P3461" s="17"/>
      <c r="Q3461" s="17"/>
      <c r="R3461" s="17"/>
      <c r="S3461" s="17"/>
      <c r="T3461" s="17"/>
    </row>
    <row r="3462">
      <c r="A3462" s="18">
        <v>4326.0</v>
      </c>
      <c r="B3462" s="12" t="s">
        <v>70</v>
      </c>
      <c r="C3462" s="12" t="s">
        <v>14</v>
      </c>
      <c r="D3462" s="20" t="s">
        <v>22</v>
      </c>
      <c r="E3462" s="12" t="str">
        <f>IFERROR(__xludf.DUMMYFUNCTION("FILTER(colegios!$B$2:$B5618,colegios!$A$2:$A5618=L3462)"),"64048")</f>
        <v>64048</v>
      </c>
      <c r="F3462" s="14" t="s">
        <v>16</v>
      </c>
      <c r="G3462" s="20" t="s">
        <v>17</v>
      </c>
      <c r="H3462" s="14" t="s">
        <v>18</v>
      </c>
      <c r="I3462" s="15">
        <v>2022.0</v>
      </c>
      <c r="J3462" s="16" t="str">
        <f>IFERROR(__xludf.DUMMYFUNCTION("FILTER('CLASFICACIÓN'!$F$3:$F5618,'CLASFICACIÓN'!$G$3:$G5618=M3462)"),"SOLO 2022 Y 2024")</f>
        <v>SOLO 2022 Y 2024</v>
      </c>
      <c r="K3462" s="16" t="str">
        <f t="array" ref="K3462">IFERROR(DGET('PADD-R'!$B$1:$K5618,'PADD-R'!$K$1,{'PADD-R'!$B$1;E3462}),"NO PARTICIPÓ")</f>
        <v>SOLO 2024</v>
      </c>
      <c r="L3462" s="14" t="s">
        <v>158</v>
      </c>
      <c r="M3462" s="16" t="str">
        <f t="shared" si="1"/>
        <v>640486 Primaria</v>
      </c>
      <c r="N3462" s="23"/>
      <c r="O3462" s="17"/>
      <c r="P3462" s="17"/>
      <c r="Q3462" s="17"/>
      <c r="R3462" s="17"/>
      <c r="S3462" s="17"/>
      <c r="T3462" s="17"/>
    </row>
    <row r="3463">
      <c r="A3463" s="18">
        <v>4329.0</v>
      </c>
      <c r="B3463" s="12" t="s">
        <v>70</v>
      </c>
      <c r="C3463" s="12" t="s">
        <v>14</v>
      </c>
      <c r="D3463" s="20" t="s">
        <v>15</v>
      </c>
      <c r="E3463" s="12" t="str">
        <f>IFERROR(__xludf.DUMMYFUNCTION("FILTER(colegios!$B$2:$B5618,colegios!$A$2:$A5618=L3463)"),"64115")</f>
        <v>64115</v>
      </c>
      <c r="F3463" s="14" t="s">
        <v>16</v>
      </c>
      <c r="G3463" s="20" t="s">
        <v>21</v>
      </c>
      <c r="H3463" s="14" t="s">
        <v>18</v>
      </c>
      <c r="I3463" s="15">
        <v>2022.0</v>
      </c>
      <c r="J3463" s="16" t="str">
        <f>IFERROR(__xludf.DUMMYFUNCTION("FILTER('CLASFICACIÓN'!$F$3:$F5618,'CLASFICACIÓN'!$G$3:$G5618=M3463)"),"SOLO 2022 Y 2024")</f>
        <v>SOLO 2022 Y 2024</v>
      </c>
      <c r="K3463" s="16" t="str">
        <f t="array" ref="K3463">IFERROR(DGET('PADD-R'!$B$1:$K5618,'PADD-R'!$K$1,{'PADD-R'!$B$1;E3463}),"NO PARTICIPÓ")</f>
        <v>SOLO 2023</v>
      </c>
      <c r="L3463" s="14" t="s">
        <v>159</v>
      </c>
      <c r="M3463" s="16" t="str">
        <f t="shared" si="1"/>
        <v>641152 Primaria</v>
      </c>
      <c r="N3463" s="23"/>
      <c r="O3463" s="17"/>
      <c r="P3463" s="17"/>
      <c r="Q3463" s="17"/>
      <c r="R3463" s="17"/>
      <c r="S3463" s="17"/>
      <c r="T3463" s="17"/>
    </row>
    <row r="3464">
      <c r="A3464" s="18">
        <v>4330.0</v>
      </c>
      <c r="B3464" s="12" t="s">
        <v>70</v>
      </c>
      <c r="C3464" s="12" t="s">
        <v>14</v>
      </c>
      <c r="D3464" s="20" t="s">
        <v>15</v>
      </c>
      <c r="E3464" s="12" t="str">
        <f>IFERROR(__xludf.DUMMYFUNCTION("FILTER(colegios!$B$2:$B5618,colegios!$A$2:$A5618=L3464)"),"64115")</f>
        <v>64115</v>
      </c>
      <c r="F3464" s="14" t="s">
        <v>16</v>
      </c>
      <c r="G3464" s="20" t="s">
        <v>21</v>
      </c>
      <c r="H3464" s="14" t="s">
        <v>24</v>
      </c>
      <c r="I3464" s="15">
        <v>2022.0</v>
      </c>
      <c r="J3464" s="16" t="str">
        <f>IFERROR(__xludf.DUMMYFUNCTION("FILTER('CLASFICACIÓN'!$F$3:$F5618,'CLASFICACIÓN'!$G$3:$G5618=M3464)"),"SOLO 2022 Y 2024")</f>
        <v>SOLO 2022 Y 2024</v>
      </c>
      <c r="K3464" s="16" t="str">
        <f t="array" ref="K3464">IFERROR(DGET('PADD-R'!$B$1:$K5618,'PADD-R'!$K$1,{'PADD-R'!$B$1;E3464}),"NO PARTICIPÓ")</f>
        <v>SOLO 2023</v>
      </c>
      <c r="L3464" s="14" t="s">
        <v>159</v>
      </c>
      <c r="M3464" s="16" t="str">
        <f t="shared" si="1"/>
        <v>641152 Primaria</v>
      </c>
      <c r="N3464" s="23"/>
      <c r="O3464" s="17"/>
      <c r="P3464" s="17"/>
      <c r="Q3464" s="17"/>
      <c r="R3464" s="17"/>
      <c r="S3464" s="17"/>
      <c r="T3464" s="17"/>
    </row>
    <row r="3465">
      <c r="A3465" s="18">
        <v>4331.0</v>
      </c>
      <c r="B3465" s="12" t="s">
        <v>70</v>
      </c>
      <c r="C3465" s="12" t="s">
        <v>14</v>
      </c>
      <c r="D3465" s="20" t="s">
        <v>15</v>
      </c>
      <c r="E3465" s="12" t="str">
        <f>IFERROR(__xludf.DUMMYFUNCTION("FILTER(colegios!$B$2:$B5618,colegios!$A$2:$A5618=L3465)"),"64115")</f>
        <v>64115</v>
      </c>
      <c r="F3465" s="14" t="s">
        <v>16</v>
      </c>
      <c r="G3465" s="20" t="s">
        <v>17</v>
      </c>
      <c r="H3465" s="14" t="s">
        <v>24</v>
      </c>
      <c r="I3465" s="15">
        <v>2022.0</v>
      </c>
      <c r="J3465" s="16" t="str">
        <f>IFERROR(__xludf.DUMMYFUNCTION("FILTER('CLASFICACIÓN'!$F$3:$F5618,'CLASFICACIÓN'!$G$3:$G5618=M3465)"),"SOLO 2022 Y 2024")</f>
        <v>SOLO 2022 Y 2024</v>
      </c>
      <c r="K3465" s="16" t="str">
        <f t="array" ref="K3465">IFERROR(DGET('PADD-R'!$B$1:$K5618,'PADD-R'!$K$1,{'PADD-R'!$B$1;E3465}),"NO PARTICIPÓ")</f>
        <v>SOLO 2023</v>
      </c>
      <c r="L3465" s="14" t="s">
        <v>159</v>
      </c>
      <c r="M3465" s="16" t="str">
        <f t="shared" si="1"/>
        <v>641152 Primaria</v>
      </c>
      <c r="N3465" s="23"/>
      <c r="O3465" s="17"/>
      <c r="P3465" s="17"/>
      <c r="Q3465" s="17"/>
      <c r="R3465" s="17"/>
      <c r="S3465" s="17"/>
      <c r="T3465" s="17"/>
    </row>
    <row r="3466">
      <c r="A3466" s="18">
        <v>4332.0</v>
      </c>
      <c r="B3466" s="12" t="s">
        <v>70</v>
      </c>
      <c r="C3466" s="12" t="s">
        <v>14</v>
      </c>
      <c r="D3466" s="20" t="s">
        <v>15</v>
      </c>
      <c r="E3466" s="12" t="str">
        <f>IFERROR(__xludf.DUMMYFUNCTION("FILTER(colegios!$B$2:$B5618,colegios!$A$2:$A5618=L3466)"),"64115")</f>
        <v>64115</v>
      </c>
      <c r="F3466" s="14" t="s">
        <v>16</v>
      </c>
      <c r="G3466" s="20" t="s">
        <v>21</v>
      </c>
      <c r="H3466" s="14" t="s">
        <v>18</v>
      </c>
      <c r="I3466" s="15">
        <v>2022.0</v>
      </c>
      <c r="J3466" s="16" t="str">
        <f>IFERROR(__xludf.DUMMYFUNCTION("FILTER('CLASFICACIÓN'!$F$3:$F5618,'CLASFICACIÓN'!$G$3:$G5618=M3466)"),"SOLO 2022 Y 2024")</f>
        <v>SOLO 2022 Y 2024</v>
      </c>
      <c r="K3466" s="16" t="str">
        <f t="array" ref="K3466">IFERROR(DGET('PADD-R'!$B$1:$K5618,'PADD-R'!$K$1,{'PADD-R'!$B$1;E3466}),"NO PARTICIPÓ")</f>
        <v>SOLO 2023</v>
      </c>
      <c r="L3466" s="14" t="s">
        <v>159</v>
      </c>
      <c r="M3466" s="16" t="str">
        <f t="shared" si="1"/>
        <v>641152 Primaria</v>
      </c>
      <c r="N3466" s="23"/>
      <c r="O3466" s="17"/>
      <c r="P3466" s="17"/>
      <c r="Q3466" s="17"/>
      <c r="R3466" s="17"/>
      <c r="S3466" s="17"/>
      <c r="T3466" s="17"/>
    </row>
    <row r="3467">
      <c r="A3467" s="18">
        <v>4333.0</v>
      </c>
      <c r="B3467" s="12" t="s">
        <v>70</v>
      </c>
      <c r="C3467" s="12" t="s">
        <v>14</v>
      </c>
      <c r="D3467" s="20" t="s">
        <v>20</v>
      </c>
      <c r="E3467" s="12" t="str">
        <f>IFERROR(__xludf.DUMMYFUNCTION("FILTER(colegios!$B$2:$B5618,colegios!$A$2:$A5618=L3467)"),"64115")</f>
        <v>64115</v>
      </c>
      <c r="F3467" s="14" t="s">
        <v>16</v>
      </c>
      <c r="G3467" s="20" t="s">
        <v>21</v>
      </c>
      <c r="H3467" s="14" t="s">
        <v>18</v>
      </c>
      <c r="I3467" s="15">
        <v>2022.0</v>
      </c>
      <c r="J3467" s="16" t="str">
        <f>IFERROR(__xludf.DUMMYFUNCTION("FILTER('CLASFICACIÓN'!$F$3:$F5618,'CLASFICACIÓN'!$G$3:$G5618=M3467)"),"SOLO 2022 Y 2024")</f>
        <v>SOLO 2022 Y 2024</v>
      </c>
      <c r="K3467" s="16" t="str">
        <f t="array" ref="K3467">IFERROR(DGET('PADD-R'!$B$1:$K5618,'PADD-R'!$K$1,{'PADD-R'!$B$1;E3467}),"NO PARTICIPÓ")</f>
        <v>SOLO 2023</v>
      </c>
      <c r="L3467" s="14" t="s">
        <v>159</v>
      </c>
      <c r="M3467" s="16" t="str">
        <f t="shared" si="1"/>
        <v>641154 Primaria</v>
      </c>
      <c r="N3467" s="23"/>
      <c r="O3467" s="17"/>
      <c r="P3467" s="17"/>
      <c r="Q3467" s="17"/>
      <c r="R3467" s="17"/>
      <c r="S3467" s="17"/>
      <c r="T3467" s="17"/>
    </row>
    <row r="3468">
      <c r="A3468" s="18">
        <v>4334.0</v>
      </c>
      <c r="B3468" s="12" t="s">
        <v>70</v>
      </c>
      <c r="C3468" s="12" t="s">
        <v>14</v>
      </c>
      <c r="D3468" s="20" t="s">
        <v>20</v>
      </c>
      <c r="E3468" s="12" t="str">
        <f>IFERROR(__xludf.DUMMYFUNCTION("FILTER(colegios!$B$2:$B5618,colegios!$A$2:$A5618=L3468)"),"64115")</f>
        <v>64115</v>
      </c>
      <c r="F3468" s="14" t="s">
        <v>16</v>
      </c>
      <c r="G3468" s="20" t="s">
        <v>21</v>
      </c>
      <c r="H3468" s="14" t="s">
        <v>18</v>
      </c>
      <c r="I3468" s="15">
        <v>2022.0</v>
      </c>
      <c r="J3468" s="16" t="str">
        <f>IFERROR(__xludf.DUMMYFUNCTION("FILTER('CLASFICACIÓN'!$F$3:$F5618,'CLASFICACIÓN'!$G$3:$G5618=M3468)"),"SOLO 2022 Y 2024")</f>
        <v>SOLO 2022 Y 2024</v>
      </c>
      <c r="K3468" s="16" t="str">
        <f t="array" ref="K3468">IFERROR(DGET('PADD-R'!$B$1:$K5618,'PADD-R'!$K$1,{'PADD-R'!$B$1;E3468}),"NO PARTICIPÓ")</f>
        <v>SOLO 2023</v>
      </c>
      <c r="L3468" s="14" t="s">
        <v>159</v>
      </c>
      <c r="M3468" s="16" t="str">
        <f t="shared" si="1"/>
        <v>641154 Primaria</v>
      </c>
      <c r="N3468" s="23"/>
      <c r="O3468" s="17"/>
      <c r="P3468" s="17"/>
      <c r="Q3468" s="17"/>
      <c r="R3468" s="17"/>
      <c r="S3468" s="17"/>
      <c r="T3468" s="17"/>
    </row>
    <row r="3469">
      <c r="A3469" s="18">
        <v>4335.0</v>
      </c>
      <c r="B3469" s="12" t="s">
        <v>70</v>
      </c>
      <c r="C3469" s="12" t="s">
        <v>14</v>
      </c>
      <c r="D3469" s="20" t="s">
        <v>20</v>
      </c>
      <c r="E3469" s="12" t="str">
        <f>IFERROR(__xludf.DUMMYFUNCTION("FILTER(colegios!$B$2:$B5618,colegios!$A$2:$A5618=L3469)"),"64115")</f>
        <v>64115</v>
      </c>
      <c r="F3469" s="14" t="s">
        <v>16</v>
      </c>
      <c r="G3469" s="20" t="s">
        <v>17</v>
      </c>
      <c r="H3469" s="14" t="s">
        <v>18</v>
      </c>
      <c r="I3469" s="15">
        <v>2022.0</v>
      </c>
      <c r="J3469" s="16" t="str">
        <f>IFERROR(__xludf.DUMMYFUNCTION("FILTER('CLASFICACIÓN'!$F$3:$F5618,'CLASFICACIÓN'!$G$3:$G5618=M3469)"),"SOLO 2022 Y 2024")</f>
        <v>SOLO 2022 Y 2024</v>
      </c>
      <c r="K3469" s="16" t="str">
        <f t="array" ref="K3469">IFERROR(DGET('PADD-R'!$B$1:$K5618,'PADD-R'!$K$1,{'PADD-R'!$B$1;E3469}),"NO PARTICIPÓ")</f>
        <v>SOLO 2023</v>
      </c>
      <c r="L3469" s="14" t="s">
        <v>159</v>
      </c>
      <c r="M3469" s="16" t="str">
        <f t="shared" si="1"/>
        <v>641154 Primaria</v>
      </c>
      <c r="N3469" s="23"/>
      <c r="O3469" s="17"/>
      <c r="P3469" s="17"/>
      <c r="Q3469" s="17"/>
      <c r="R3469" s="17"/>
      <c r="S3469" s="17"/>
      <c r="T3469" s="17"/>
    </row>
    <row r="3470">
      <c r="A3470" s="18">
        <v>4336.0</v>
      </c>
      <c r="B3470" s="12" t="s">
        <v>70</v>
      </c>
      <c r="C3470" s="12" t="s">
        <v>14</v>
      </c>
      <c r="D3470" s="20" t="s">
        <v>20</v>
      </c>
      <c r="E3470" s="12" t="str">
        <f>IFERROR(__xludf.DUMMYFUNCTION("FILTER(colegios!$B$2:$B5618,colegios!$A$2:$A5618=L3470)"),"64115")</f>
        <v>64115</v>
      </c>
      <c r="F3470" s="14" t="s">
        <v>16</v>
      </c>
      <c r="G3470" s="20" t="s">
        <v>17</v>
      </c>
      <c r="H3470" s="14" t="s">
        <v>18</v>
      </c>
      <c r="I3470" s="15">
        <v>2022.0</v>
      </c>
      <c r="J3470" s="16" t="str">
        <f>IFERROR(__xludf.DUMMYFUNCTION("FILTER('CLASFICACIÓN'!$F$3:$F5618,'CLASFICACIÓN'!$G$3:$G5618=M3470)"),"SOLO 2022 Y 2024")</f>
        <v>SOLO 2022 Y 2024</v>
      </c>
      <c r="K3470" s="16" t="str">
        <f t="array" ref="K3470">IFERROR(DGET('PADD-R'!$B$1:$K5618,'PADD-R'!$K$1,{'PADD-R'!$B$1;E3470}),"NO PARTICIPÓ")</f>
        <v>SOLO 2023</v>
      </c>
      <c r="L3470" s="14" t="s">
        <v>159</v>
      </c>
      <c r="M3470" s="16" t="str">
        <f t="shared" si="1"/>
        <v>641154 Primaria</v>
      </c>
      <c r="N3470" s="23"/>
      <c r="O3470" s="17"/>
      <c r="P3470" s="17"/>
      <c r="Q3470" s="17"/>
      <c r="R3470" s="17"/>
      <c r="S3470" s="17"/>
      <c r="T3470" s="17"/>
    </row>
    <row r="3471">
      <c r="A3471" s="18">
        <v>4337.0</v>
      </c>
      <c r="B3471" s="12" t="s">
        <v>70</v>
      </c>
      <c r="C3471" s="12" t="s">
        <v>14</v>
      </c>
      <c r="D3471" s="20" t="s">
        <v>22</v>
      </c>
      <c r="E3471" s="12" t="str">
        <f>IFERROR(__xludf.DUMMYFUNCTION("FILTER(colegios!$B$2:$B5618,colegios!$A$2:$A5618=L3471)"),"64115")</f>
        <v>64115</v>
      </c>
      <c r="F3471" s="14" t="s">
        <v>16</v>
      </c>
      <c r="G3471" s="20" t="s">
        <v>17</v>
      </c>
      <c r="H3471" s="14" t="s">
        <v>18</v>
      </c>
      <c r="I3471" s="15">
        <v>2022.0</v>
      </c>
      <c r="J3471" s="16" t="str">
        <f>IFERROR(__xludf.DUMMYFUNCTION("FILTER('CLASFICACIÓN'!$F$3:$F5618,'CLASFICACIÓN'!$G$3:$G5618=M3471)"),"SOLO 2022 Y 2024")</f>
        <v>SOLO 2022 Y 2024</v>
      </c>
      <c r="K3471" s="16" t="str">
        <f t="array" ref="K3471">IFERROR(DGET('PADD-R'!$B$1:$K5618,'PADD-R'!$K$1,{'PADD-R'!$B$1;E3471}),"NO PARTICIPÓ")</f>
        <v>SOLO 2023</v>
      </c>
      <c r="L3471" s="14" t="s">
        <v>159</v>
      </c>
      <c r="M3471" s="16" t="str">
        <f t="shared" si="1"/>
        <v>641156 Primaria</v>
      </c>
      <c r="N3471" s="23"/>
      <c r="O3471" s="17"/>
      <c r="P3471" s="17"/>
      <c r="Q3471" s="17"/>
      <c r="R3471" s="17"/>
      <c r="S3471" s="17"/>
      <c r="T3471" s="17"/>
    </row>
    <row r="3472">
      <c r="A3472" s="18">
        <v>4338.0</v>
      </c>
      <c r="B3472" s="12" t="s">
        <v>70</v>
      </c>
      <c r="C3472" s="12" t="s">
        <v>14</v>
      </c>
      <c r="D3472" s="20" t="s">
        <v>22</v>
      </c>
      <c r="E3472" s="12" t="str">
        <f>IFERROR(__xludf.DUMMYFUNCTION("FILTER(colegios!$B$2:$B5618,colegios!$A$2:$A5618=L3472)"),"64115")</f>
        <v>64115</v>
      </c>
      <c r="F3472" s="14" t="s">
        <v>16</v>
      </c>
      <c r="G3472" s="20" t="s">
        <v>21</v>
      </c>
      <c r="H3472" s="14" t="s">
        <v>18</v>
      </c>
      <c r="I3472" s="15">
        <v>2022.0</v>
      </c>
      <c r="J3472" s="16" t="str">
        <f>IFERROR(__xludf.DUMMYFUNCTION("FILTER('CLASFICACIÓN'!$F$3:$F5618,'CLASFICACIÓN'!$G$3:$G5618=M3472)"),"SOLO 2022 Y 2024")</f>
        <v>SOLO 2022 Y 2024</v>
      </c>
      <c r="K3472" s="16" t="str">
        <f t="array" ref="K3472">IFERROR(DGET('PADD-R'!$B$1:$K5618,'PADD-R'!$K$1,{'PADD-R'!$B$1;E3472}),"NO PARTICIPÓ")</f>
        <v>SOLO 2023</v>
      </c>
      <c r="L3472" s="14" t="s">
        <v>159</v>
      </c>
      <c r="M3472" s="16" t="str">
        <f t="shared" si="1"/>
        <v>641156 Primaria</v>
      </c>
      <c r="N3472" s="23"/>
      <c r="O3472" s="17"/>
      <c r="P3472" s="17"/>
      <c r="Q3472" s="17"/>
      <c r="R3472" s="17"/>
      <c r="S3472" s="17"/>
      <c r="T3472" s="17"/>
    </row>
    <row r="3473">
      <c r="A3473" s="18">
        <v>4339.0</v>
      </c>
      <c r="B3473" s="12" t="s">
        <v>70</v>
      </c>
      <c r="C3473" s="12" t="s">
        <v>14</v>
      </c>
      <c r="D3473" s="20" t="s">
        <v>22</v>
      </c>
      <c r="E3473" s="12" t="str">
        <f>IFERROR(__xludf.DUMMYFUNCTION("FILTER(colegios!$B$2:$B5618,colegios!$A$2:$A5618=L3473)"),"64115")</f>
        <v>64115</v>
      </c>
      <c r="F3473" s="14" t="s">
        <v>16</v>
      </c>
      <c r="G3473" s="20" t="s">
        <v>17</v>
      </c>
      <c r="H3473" s="14" t="s">
        <v>18</v>
      </c>
      <c r="I3473" s="15">
        <v>2022.0</v>
      </c>
      <c r="J3473" s="16" t="str">
        <f>IFERROR(__xludf.DUMMYFUNCTION("FILTER('CLASFICACIÓN'!$F$3:$F5618,'CLASFICACIÓN'!$G$3:$G5618=M3473)"),"SOLO 2022 Y 2024")</f>
        <v>SOLO 2022 Y 2024</v>
      </c>
      <c r="K3473" s="16" t="str">
        <f t="array" ref="K3473">IFERROR(DGET('PADD-R'!$B$1:$K5618,'PADD-R'!$K$1,{'PADD-R'!$B$1;E3473}),"NO PARTICIPÓ")</f>
        <v>SOLO 2023</v>
      </c>
      <c r="L3473" s="14" t="s">
        <v>159</v>
      </c>
      <c r="M3473" s="16" t="str">
        <f t="shared" si="1"/>
        <v>641156 Primaria</v>
      </c>
      <c r="N3473" s="23"/>
      <c r="O3473" s="17"/>
      <c r="P3473" s="17"/>
      <c r="Q3473" s="17"/>
      <c r="R3473" s="17"/>
      <c r="S3473" s="17"/>
      <c r="T3473" s="17"/>
    </row>
    <row r="3474">
      <c r="A3474" s="18">
        <v>4350.0</v>
      </c>
      <c r="B3474" s="12" t="s">
        <v>70</v>
      </c>
      <c r="C3474" s="12" t="s">
        <v>14</v>
      </c>
      <c r="D3474" s="20" t="s">
        <v>15</v>
      </c>
      <c r="E3474" s="12" t="str">
        <f>IFERROR(__xludf.DUMMYFUNCTION("FILTER(colegios!$B$2:$B5618,colegios!$A$2:$A5618=L3474)"),"64028")</f>
        <v>64028</v>
      </c>
      <c r="F3474" s="14" t="s">
        <v>16</v>
      </c>
      <c r="G3474" s="20" t="s">
        <v>21</v>
      </c>
      <c r="H3474" s="14" t="s">
        <v>18</v>
      </c>
      <c r="I3474" s="15">
        <v>2022.0</v>
      </c>
      <c r="J3474" s="16" t="str">
        <f>IFERROR(__xludf.DUMMYFUNCTION("FILTER('CLASFICACIÓN'!$F$3:$F5618,'CLASFICACIÓN'!$G$3:$G5618=M3474)"),"LOS 3 AÑOS")</f>
        <v>LOS 3 AÑOS</v>
      </c>
      <c r="K3474" s="16" t="str">
        <f t="array" ref="K3474">IFERROR(DGET('PADD-R'!$B$1:$K5618,'PADD-R'!$K$1,{'PADD-R'!$B$1;E3474}),"NO PARTICIPÓ")</f>
        <v>PADD 2023 Y 2024</v>
      </c>
      <c r="L3474" s="14" t="s">
        <v>160</v>
      </c>
      <c r="M3474" s="16" t="str">
        <f t="shared" si="1"/>
        <v>640282 Primaria</v>
      </c>
      <c r="N3474" s="23"/>
      <c r="O3474" s="17"/>
      <c r="P3474" s="17"/>
      <c r="Q3474" s="17"/>
      <c r="R3474" s="17"/>
      <c r="S3474" s="17"/>
      <c r="T3474" s="17"/>
    </row>
    <row r="3475">
      <c r="A3475" s="18">
        <v>4351.0</v>
      </c>
      <c r="B3475" s="12" t="s">
        <v>70</v>
      </c>
      <c r="C3475" s="12" t="s">
        <v>14</v>
      </c>
      <c r="D3475" s="20" t="s">
        <v>15</v>
      </c>
      <c r="E3475" s="12" t="str">
        <f>IFERROR(__xludf.DUMMYFUNCTION("FILTER(colegios!$B$2:$B5618,colegios!$A$2:$A5618=L3475)"),"64028")</f>
        <v>64028</v>
      </c>
      <c r="F3475" s="14" t="s">
        <v>16</v>
      </c>
      <c r="G3475" s="20" t="s">
        <v>21</v>
      </c>
      <c r="H3475" s="14" t="s">
        <v>18</v>
      </c>
      <c r="I3475" s="15">
        <v>2022.0</v>
      </c>
      <c r="J3475" s="16" t="str">
        <f>IFERROR(__xludf.DUMMYFUNCTION("FILTER('CLASFICACIÓN'!$F$3:$F5618,'CLASFICACIÓN'!$G$3:$G5618=M3475)"),"LOS 3 AÑOS")</f>
        <v>LOS 3 AÑOS</v>
      </c>
      <c r="K3475" s="16" t="str">
        <f t="array" ref="K3475">IFERROR(DGET('PADD-R'!$B$1:$K5618,'PADD-R'!$K$1,{'PADD-R'!$B$1;E3475}),"NO PARTICIPÓ")</f>
        <v>PADD 2023 Y 2024</v>
      </c>
      <c r="L3475" s="14" t="s">
        <v>160</v>
      </c>
      <c r="M3475" s="16" t="str">
        <f t="shared" si="1"/>
        <v>640282 Primaria</v>
      </c>
      <c r="N3475" s="23"/>
      <c r="O3475" s="17"/>
      <c r="P3475" s="17"/>
      <c r="Q3475" s="17"/>
      <c r="R3475" s="17"/>
      <c r="S3475" s="17"/>
      <c r="T3475" s="17"/>
    </row>
    <row r="3476">
      <c r="A3476" s="18">
        <v>4352.0</v>
      </c>
      <c r="B3476" s="12" t="s">
        <v>70</v>
      </c>
      <c r="C3476" s="12" t="s">
        <v>14</v>
      </c>
      <c r="D3476" s="20" t="s">
        <v>15</v>
      </c>
      <c r="E3476" s="12" t="str">
        <f>IFERROR(__xludf.DUMMYFUNCTION("FILTER(colegios!$B$2:$B5618,colegios!$A$2:$A5618=L3476)"),"64028")</f>
        <v>64028</v>
      </c>
      <c r="F3476" s="14" t="s">
        <v>16</v>
      </c>
      <c r="G3476" s="20" t="s">
        <v>17</v>
      </c>
      <c r="H3476" s="14" t="s">
        <v>18</v>
      </c>
      <c r="I3476" s="15">
        <v>2022.0</v>
      </c>
      <c r="J3476" s="16" t="str">
        <f>IFERROR(__xludf.DUMMYFUNCTION("FILTER('CLASFICACIÓN'!$F$3:$F5618,'CLASFICACIÓN'!$G$3:$G5618=M3476)"),"LOS 3 AÑOS")</f>
        <v>LOS 3 AÑOS</v>
      </c>
      <c r="K3476" s="16" t="str">
        <f t="array" ref="K3476">IFERROR(DGET('PADD-R'!$B$1:$K5618,'PADD-R'!$K$1,{'PADD-R'!$B$1;E3476}),"NO PARTICIPÓ")</f>
        <v>PADD 2023 Y 2024</v>
      </c>
      <c r="L3476" s="14" t="s">
        <v>160</v>
      </c>
      <c r="M3476" s="16" t="str">
        <f t="shared" si="1"/>
        <v>640282 Primaria</v>
      </c>
      <c r="N3476" s="23"/>
      <c r="O3476" s="17"/>
      <c r="P3476" s="17"/>
      <c r="Q3476" s="17"/>
      <c r="R3476" s="17"/>
      <c r="S3476" s="17"/>
      <c r="T3476" s="17"/>
    </row>
    <row r="3477">
      <c r="A3477" s="18">
        <v>4353.0</v>
      </c>
      <c r="B3477" s="12" t="s">
        <v>70</v>
      </c>
      <c r="C3477" s="12" t="s">
        <v>14</v>
      </c>
      <c r="D3477" s="20" t="s">
        <v>15</v>
      </c>
      <c r="E3477" s="12" t="str">
        <f>IFERROR(__xludf.DUMMYFUNCTION("FILTER(colegios!$B$2:$B5618,colegios!$A$2:$A5618=L3477)"),"64028")</f>
        <v>64028</v>
      </c>
      <c r="F3477" s="14" t="s">
        <v>16</v>
      </c>
      <c r="G3477" s="20" t="s">
        <v>17</v>
      </c>
      <c r="H3477" s="14" t="s">
        <v>18</v>
      </c>
      <c r="I3477" s="15">
        <v>2022.0</v>
      </c>
      <c r="J3477" s="16" t="str">
        <f>IFERROR(__xludf.DUMMYFUNCTION("FILTER('CLASFICACIÓN'!$F$3:$F5618,'CLASFICACIÓN'!$G$3:$G5618=M3477)"),"LOS 3 AÑOS")</f>
        <v>LOS 3 AÑOS</v>
      </c>
      <c r="K3477" s="16" t="str">
        <f t="array" ref="K3477">IFERROR(DGET('PADD-R'!$B$1:$K5618,'PADD-R'!$K$1,{'PADD-R'!$B$1;E3477}),"NO PARTICIPÓ")</f>
        <v>PADD 2023 Y 2024</v>
      </c>
      <c r="L3477" s="14" t="s">
        <v>160</v>
      </c>
      <c r="M3477" s="16" t="str">
        <f t="shared" si="1"/>
        <v>640282 Primaria</v>
      </c>
      <c r="N3477" s="23"/>
      <c r="O3477" s="17"/>
      <c r="P3477" s="17"/>
      <c r="Q3477" s="17"/>
      <c r="R3477" s="17"/>
      <c r="S3477" s="17"/>
      <c r="T3477" s="17"/>
    </row>
    <row r="3478">
      <c r="A3478" s="18">
        <v>4354.0</v>
      </c>
      <c r="B3478" s="12" t="s">
        <v>70</v>
      </c>
      <c r="C3478" s="12" t="s">
        <v>14</v>
      </c>
      <c r="D3478" s="20" t="s">
        <v>15</v>
      </c>
      <c r="E3478" s="12" t="str">
        <f>IFERROR(__xludf.DUMMYFUNCTION("FILTER(colegios!$B$2:$B5618,colegios!$A$2:$A5618=L3478)"),"64028")</f>
        <v>64028</v>
      </c>
      <c r="F3478" s="14" t="s">
        <v>16</v>
      </c>
      <c r="G3478" s="20" t="s">
        <v>17</v>
      </c>
      <c r="H3478" s="14" t="s">
        <v>18</v>
      </c>
      <c r="I3478" s="15">
        <v>2022.0</v>
      </c>
      <c r="J3478" s="16" t="str">
        <f>IFERROR(__xludf.DUMMYFUNCTION("FILTER('CLASFICACIÓN'!$F$3:$F5618,'CLASFICACIÓN'!$G$3:$G5618=M3478)"),"LOS 3 AÑOS")</f>
        <v>LOS 3 AÑOS</v>
      </c>
      <c r="K3478" s="16" t="str">
        <f t="array" ref="K3478">IFERROR(DGET('PADD-R'!$B$1:$K5618,'PADD-R'!$K$1,{'PADD-R'!$B$1;E3478}),"NO PARTICIPÓ")</f>
        <v>PADD 2023 Y 2024</v>
      </c>
      <c r="L3478" s="14" t="s">
        <v>160</v>
      </c>
      <c r="M3478" s="16" t="str">
        <f t="shared" si="1"/>
        <v>640282 Primaria</v>
      </c>
      <c r="N3478" s="23"/>
      <c r="O3478" s="17"/>
      <c r="P3478" s="17"/>
      <c r="Q3478" s="17"/>
      <c r="R3478" s="17"/>
      <c r="S3478" s="17"/>
      <c r="T3478" s="17"/>
    </row>
    <row r="3479">
      <c r="A3479" s="18">
        <v>4355.0</v>
      </c>
      <c r="B3479" s="12" t="s">
        <v>70</v>
      </c>
      <c r="C3479" s="12" t="s">
        <v>14</v>
      </c>
      <c r="D3479" s="20" t="s">
        <v>15</v>
      </c>
      <c r="E3479" s="12" t="str">
        <f>IFERROR(__xludf.DUMMYFUNCTION("FILTER(colegios!$B$2:$B5618,colegios!$A$2:$A5618=L3479)"),"64028")</f>
        <v>64028</v>
      </c>
      <c r="F3479" s="14" t="s">
        <v>16</v>
      </c>
      <c r="G3479" s="20" t="s">
        <v>17</v>
      </c>
      <c r="H3479" s="14" t="s">
        <v>18</v>
      </c>
      <c r="I3479" s="15">
        <v>2022.0</v>
      </c>
      <c r="J3479" s="16" t="str">
        <f>IFERROR(__xludf.DUMMYFUNCTION("FILTER('CLASFICACIÓN'!$F$3:$F5618,'CLASFICACIÓN'!$G$3:$G5618=M3479)"),"LOS 3 AÑOS")</f>
        <v>LOS 3 AÑOS</v>
      </c>
      <c r="K3479" s="16" t="str">
        <f t="array" ref="K3479">IFERROR(DGET('PADD-R'!$B$1:$K5618,'PADD-R'!$K$1,{'PADD-R'!$B$1;E3479}),"NO PARTICIPÓ")</f>
        <v>PADD 2023 Y 2024</v>
      </c>
      <c r="L3479" s="14" t="s">
        <v>160</v>
      </c>
      <c r="M3479" s="16" t="str">
        <f t="shared" si="1"/>
        <v>640282 Primaria</v>
      </c>
      <c r="N3479" s="23"/>
      <c r="O3479" s="17"/>
      <c r="P3479" s="17"/>
      <c r="Q3479" s="17"/>
      <c r="R3479" s="17"/>
      <c r="S3479" s="17"/>
      <c r="T3479" s="17"/>
    </row>
    <row r="3480">
      <c r="A3480" s="18">
        <v>4356.0</v>
      </c>
      <c r="B3480" s="12" t="s">
        <v>70</v>
      </c>
      <c r="C3480" s="12" t="s">
        <v>14</v>
      </c>
      <c r="D3480" s="20" t="s">
        <v>15</v>
      </c>
      <c r="E3480" s="12" t="str">
        <f>IFERROR(__xludf.DUMMYFUNCTION("FILTER(colegios!$B$2:$B5618,colegios!$A$2:$A5618=L3480)"),"64028")</f>
        <v>64028</v>
      </c>
      <c r="F3480" s="14" t="s">
        <v>16</v>
      </c>
      <c r="G3480" s="20" t="s">
        <v>17</v>
      </c>
      <c r="H3480" s="14" t="s">
        <v>18</v>
      </c>
      <c r="I3480" s="15">
        <v>2022.0</v>
      </c>
      <c r="J3480" s="16" t="str">
        <f>IFERROR(__xludf.DUMMYFUNCTION("FILTER('CLASFICACIÓN'!$F$3:$F5618,'CLASFICACIÓN'!$G$3:$G5618=M3480)"),"LOS 3 AÑOS")</f>
        <v>LOS 3 AÑOS</v>
      </c>
      <c r="K3480" s="16" t="str">
        <f t="array" ref="K3480">IFERROR(DGET('PADD-R'!$B$1:$K5618,'PADD-R'!$K$1,{'PADD-R'!$B$1;E3480}),"NO PARTICIPÓ")</f>
        <v>PADD 2023 Y 2024</v>
      </c>
      <c r="L3480" s="14" t="s">
        <v>160</v>
      </c>
      <c r="M3480" s="16" t="str">
        <f t="shared" si="1"/>
        <v>640282 Primaria</v>
      </c>
      <c r="N3480" s="23"/>
      <c r="O3480" s="17"/>
      <c r="P3480" s="17"/>
      <c r="Q3480" s="17"/>
      <c r="R3480" s="17"/>
      <c r="S3480" s="17"/>
      <c r="T3480" s="17"/>
    </row>
    <row r="3481">
      <c r="A3481" s="18">
        <v>4357.0</v>
      </c>
      <c r="B3481" s="12" t="s">
        <v>70</v>
      </c>
      <c r="C3481" s="12" t="s">
        <v>14</v>
      </c>
      <c r="D3481" s="20" t="s">
        <v>15</v>
      </c>
      <c r="E3481" s="12" t="str">
        <f>IFERROR(__xludf.DUMMYFUNCTION("FILTER(colegios!$B$2:$B5618,colegios!$A$2:$A5618=L3481)"),"64028")</f>
        <v>64028</v>
      </c>
      <c r="F3481" s="14" t="s">
        <v>16</v>
      </c>
      <c r="G3481" s="20" t="s">
        <v>17</v>
      </c>
      <c r="H3481" s="14" t="s">
        <v>24</v>
      </c>
      <c r="I3481" s="15">
        <v>2022.0</v>
      </c>
      <c r="J3481" s="16" t="str">
        <f>IFERROR(__xludf.DUMMYFUNCTION("FILTER('CLASFICACIÓN'!$F$3:$F5618,'CLASFICACIÓN'!$G$3:$G5618=M3481)"),"LOS 3 AÑOS")</f>
        <v>LOS 3 AÑOS</v>
      </c>
      <c r="K3481" s="16" t="str">
        <f t="array" ref="K3481">IFERROR(DGET('PADD-R'!$B$1:$K5618,'PADD-R'!$K$1,{'PADD-R'!$B$1;E3481}),"NO PARTICIPÓ")</f>
        <v>PADD 2023 Y 2024</v>
      </c>
      <c r="L3481" s="14" t="s">
        <v>160</v>
      </c>
      <c r="M3481" s="16" t="str">
        <f t="shared" si="1"/>
        <v>640282 Primaria</v>
      </c>
      <c r="N3481" s="23"/>
      <c r="O3481" s="17"/>
      <c r="P3481" s="17"/>
      <c r="Q3481" s="17"/>
      <c r="R3481" s="17"/>
      <c r="S3481" s="17"/>
      <c r="T3481" s="17"/>
    </row>
    <row r="3482">
      <c r="A3482" s="18">
        <v>4358.0</v>
      </c>
      <c r="B3482" s="12" t="s">
        <v>70</v>
      </c>
      <c r="C3482" s="12" t="s">
        <v>14</v>
      </c>
      <c r="D3482" s="20" t="s">
        <v>15</v>
      </c>
      <c r="E3482" s="12" t="str">
        <f>IFERROR(__xludf.DUMMYFUNCTION("FILTER(colegios!$B$2:$B5618,colegios!$A$2:$A5618=L3482)"),"64028")</f>
        <v>64028</v>
      </c>
      <c r="F3482" s="14" t="s">
        <v>16</v>
      </c>
      <c r="G3482" s="20" t="s">
        <v>21</v>
      </c>
      <c r="H3482" s="14" t="s">
        <v>18</v>
      </c>
      <c r="I3482" s="15">
        <v>2022.0</v>
      </c>
      <c r="J3482" s="16" t="str">
        <f>IFERROR(__xludf.DUMMYFUNCTION("FILTER('CLASFICACIÓN'!$F$3:$F5618,'CLASFICACIÓN'!$G$3:$G5618=M3482)"),"LOS 3 AÑOS")</f>
        <v>LOS 3 AÑOS</v>
      </c>
      <c r="K3482" s="16" t="str">
        <f t="array" ref="K3482">IFERROR(DGET('PADD-R'!$B$1:$K5618,'PADD-R'!$K$1,{'PADD-R'!$B$1;E3482}),"NO PARTICIPÓ")</f>
        <v>PADD 2023 Y 2024</v>
      </c>
      <c r="L3482" s="14" t="s">
        <v>160</v>
      </c>
      <c r="M3482" s="16" t="str">
        <f t="shared" si="1"/>
        <v>640282 Primaria</v>
      </c>
      <c r="N3482" s="23"/>
      <c r="O3482" s="17"/>
      <c r="P3482" s="17"/>
      <c r="Q3482" s="17"/>
      <c r="R3482" s="17"/>
      <c r="S3482" s="17"/>
      <c r="T3482" s="17"/>
    </row>
    <row r="3483">
      <c r="A3483" s="18">
        <v>4359.0</v>
      </c>
      <c r="B3483" s="12" t="s">
        <v>70</v>
      </c>
      <c r="C3483" s="12" t="s">
        <v>14</v>
      </c>
      <c r="D3483" s="20" t="s">
        <v>20</v>
      </c>
      <c r="E3483" s="12" t="str">
        <f>IFERROR(__xludf.DUMMYFUNCTION("FILTER(colegios!$B$2:$B5618,colegios!$A$2:$A5618=L3483)"),"64028")</f>
        <v>64028</v>
      </c>
      <c r="F3483" s="14" t="s">
        <v>16</v>
      </c>
      <c r="G3483" s="20" t="s">
        <v>21</v>
      </c>
      <c r="H3483" s="14" t="s">
        <v>18</v>
      </c>
      <c r="I3483" s="15">
        <v>2022.0</v>
      </c>
      <c r="J3483" s="16" t="str">
        <f>IFERROR(__xludf.DUMMYFUNCTION("FILTER('CLASFICACIÓN'!$F$3:$F5618,'CLASFICACIÓN'!$G$3:$G5618=M3483)"),"LOS 3 AÑOS")</f>
        <v>LOS 3 AÑOS</v>
      </c>
      <c r="K3483" s="16" t="str">
        <f t="array" ref="K3483">IFERROR(DGET('PADD-R'!$B$1:$K5618,'PADD-R'!$K$1,{'PADD-R'!$B$1;E3483}),"NO PARTICIPÓ")</f>
        <v>PADD 2023 Y 2024</v>
      </c>
      <c r="L3483" s="14" t="s">
        <v>160</v>
      </c>
      <c r="M3483" s="16" t="str">
        <f t="shared" si="1"/>
        <v>640284 Primaria</v>
      </c>
      <c r="N3483" s="23"/>
      <c r="O3483" s="17"/>
      <c r="P3483" s="17"/>
      <c r="Q3483" s="17"/>
      <c r="R3483" s="17"/>
      <c r="S3483" s="17"/>
      <c r="T3483" s="17"/>
    </row>
    <row r="3484">
      <c r="A3484" s="18">
        <v>4360.0</v>
      </c>
      <c r="B3484" s="12" t="s">
        <v>70</v>
      </c>
      <c r="C3484" s="12" t="s">
        <v>14</v>
      </c>
      <c r="D3484" s="20" t="s">
        <v>20</v>
      </c>
      <c r="E3484" s="12" t="str">
        <f>IFERROR(__xludf.DUMMYFUNCTION("FILTER(colegios!$B$2:$B5618,colegios!$A$2:$A5618=L3484)"),"64028")</f>
        <v>64028</v>
      </c>
      <c r="F3484" s="14" t="s">
        <v>16</v>
      </c>
      <c r="G3484" s="20" t="s">
        <v>21</v>
      </c>
      <c r="H3484" s="14" t="s">
        <v>24</v>
      </c>
      <c r="I3484" s="15">
        <v>2022.0</v>
      </c>
      <c r="J3484" s="16" t="str">
        <f>IFERROR(__xludf.DUMMYFUNCTION("FILTER('CLASFICACIÓN'!$F$3:$F5618,'CLASFICACIÓN'!$G$3:$G5618=M3484)"),"LOS 3 AÑOS")</f>
        <v>LOS 3 AÑOS</v>
      </c>
      <c r="K3484" s="16" t="str">
        <f t="array" ref="K3484">IFERROR(DGET('PADD-R'!$B$1:$K5618,'PADD-R'!$K$1,{'PADD-R'!$B$1;E3484}),"NO PARTICIPÓ")</f>
        <v>PADD 2023 Y 2024</v>
      </c>
      <c r="L3484" s="14" t="s">
        <v>160</v>
      </c>
      <c r="M3484" s="16" t="str">
        <f t="shared" si="1"/>
        <v>640284 Primaria</v>
      </c>
      <c r="N3484" s="23"/>
      <c r="O3484" s="17"/>
      <c r="P3484" s="17"/>
      <c r="Q3484" s="17"/>
      <c r="R3484" s="17"/>
      <c r="S3484" s="17"/>
      <c r="T3484" s="17"/>
    </row>
    <row r="3485">
      <c r="A3485" s="18">
        <v>4361.0</v>
      </c>
      <c r="B3485" s="12" t="s">
        <v>70</v>
      </c>
      <c r="C3485" s="12" t="s">
        <v>14</v>
      </c>
      <c r="D3485" s="20" t="s">
        <v>20</v>
      </c>
      <c r="E3485" s="12" t="str">
        <f>IFERROR(__xludf.DUMMYFUNCTION("FILTER(colegios!$B$2:$B5618,colegios!$A$2:$A5618=L3485)"),"64028")</f>
        <v>64028</v>
      </c>
      <c r="F3485" s="14" t="s">
        <v>16</v>
      </c>
      <c r="G3485" s="20" t="s">
        <v>21</v>
      </c>
      <c r="H3485" s="14" t="s">
        <v>18</v>
      </c>
      <c r="I3485" s="15">
        <v>2022.0</v>
      </c>
      <c r="J3485" s="16" t="str">
        <f>IFERROR(__xludf.DUMMYFUNCTION("FILTER('CLASFICACIÓN'!$F$3:$F5618,'CLASFICACIÓN'!$G$3:$G5618=M3485)"),"LOS 3 AÑOS")</f>
        <v>LOS 3 AÑOS</v>
      </c>
      <c r="K3485" s="16" t="str">
        <f t="array" ref="K3485">IFERROR(DGET('PADD-R'!$B$1:$K5618,'PADD-R'!$K$1,{'PADD-R'!$B$1;E3485}),"NO PARTICIPÓ")</f>
        <v>PADD 2023 Y 2024</v>
      </c>
      <c r="L3485" s="14" t="s">
        <v>160</v>
      </c>
      <c r="M3485" s="16" t="str">
        <f t="shared" si="1"/>
        <v>640284 Primaria</v>
      </c>
      <c r="N3485" s="23"/>
      <c r="O3485" s="17"/>
      <c r="P3485" s="17"/>
      <c r="Q3485" s="17"/>
      <c r="R3485" s="17"/>
      <c r="S3485" s="17"/>
      <c r="T3485" s="17"/>
    </row>
    <row r="3486">
      <c r="A3486" s="18">
        <v>4362.0</v>
      </c>
      <c r="B3486" s="12" t="s">
        <v>70</v>
      </c>
      <c r="C3486" s="12" t="s">
        <v>14</v>
      </c>
      <c r="D3486" s="20" t="s">
        <v>20</v>
      </c>
      <c r="E3486" s="12" t="str">
        <f>IFERROR(__xludf.DUMMYFUNCTION("FILTER(colegios!$B$2:$B5618,colegios!$A$2:$A5618=L3486)"),"64028")</f>
        <v>64028</v>
      </c>
      <c r="F3486" s="14" t="s">
        <v>16</v>
      </c>
      <c r="G3486" s="20" t="s">
        <v>21</v>
      </c>
      <c r="H3486" s="14" t="s">
        <v>24</v>
      </c>
      <c r="I3486" s="15">
        <v>2022.0</v>
      </c>
      <c r="J3486" s="16" t="str">
        <f>IFERROR(__xludf.DUMMYFUNCTION("FILTER('CLASFICACIÓN'!$F$3:$F5618,'CLASFICACIÓN'!$G$3:$G5618=M3486)"),"LOS 3 AÑOS")</f>
        <v>LOS 3 AÑOS</v>
      </c>
      <c r="K3486" s="16" t="str">
        <f t="array" ref="K3486">IFERROR(DGET('PADD-R'!$B$1:$K5618,'PADD-R'!$K$1,{'PADD-R'!$B$1;E3486}),"NO PARTICIPÓ")</f>
        <v>PADD 2023 Y 2024</v>
      </c>
      <c r="L3486" s="14" t="s">
        <v>160</v>
      </c>
      <c r="M3486" s="16" t="str">
        <f t="shared" si="1"/>
        <v>640284 Primaria</v>
      </c>
      <c r="N3486" s="23"/>
      <c r="O3486" s="17"/>
      <c r="P3486" s="17"/>
      <c r="Q3486" s="17"/>
      <c r="R3486" s="17"/>
      <c r="S3486" s="17"/>
      <c r="T3486" s="17"/>
    </row>
    <row r="3487">
      <c r="A3487" s="18">
        <v>4363.0</v>
      </c>
      <c r="B3487" s="12" t="s">
        <v>70</v>
      </c>
      <c r="C3487" s="12" t="s">
        <v>14</v>
      </c>
      <c r="D3487" s="20" t="s">
        <v>20</v>
      </c>
      <c r="E3487" s="12" t="str">
        <f>IFERROR(__xludf.DUMMYFUNCTION("FILTER(colegios!$B$2:$B5618,colegios!$A$2:$A5618=L3487)"),"64028")</f>
        <v>64028</v>
      </c>
      <c r="F3487" s="14" t="s">
        <v>16</v>
      </c>
      <c r="G3487" s="20" t="s">
        <v>17</v>
      </c>
      <c r="H3487" s="14" t="s">
        <v>18</v>
      </c>
      <c r="I3487" s="15">
        <v>2022.0</v>
      </c>
      <c r="J3487" s="16" t="str">
        <f>IFERROR(__xludf.DUMMYFUNCTION("FILTER('CLASFICACIÓN'!$F$3:$F5618,'CLASFICACIÓN'!$G$3:$G5618=M3487)"),"LOS 3 AÑOS")</f>
        <v>LOS 3 AÑOS</v>
      </c>
      <c r="K3487" s="16" t="str">
        <f t="array" ref="K3487">IFERROR(DGET('PADD-R'!$B$1:$K5618,'PADD-R'!$K$1,{'PADD-R'!$B$1;E3487}),"NO PARTICIPÓ")</f>
        <v>PADD 2023 Y 2024</v>
      </c>
      <c r="L3487" s="14" t="s">
        <v>160</v>
      </c>
      <c r="M3487" s="16" t="str">
        <f t="shared" si="1"/>
        <v>640284 Primaria</v>
      </c>
      <c r="N3487" s="23"/>
      <c r="O3487" s="17"/>
      <c r="P3487" s="17"/>
      <c r="Q3487" s="17"/>
      <c r="R3487" s="17"/>
      <c r="S3487" s="17"/>
      <c r="T3487" s="17"/>
    </row>
    <row r="3488">
      <c r="A3488" s="18">
        <v>4364.0</v>
      </c>
      <c r="B3488" s="12" t="s">
        <v>70</v>
      </c>
      <c r="C3488" s="12" t="s">
        <v>14</v>
      </c>
      <c r="D3488" s="20" t="s">
        <v>20</v>
      </c>
      <c r="E3488" s="12" t="str">
        <f>IFERROR(__xludf.DUMMYFUNCTION("FILTER(colegios!$B$2:$B5618,colegios!$A$2:$A5618=L3488)"),"64028")</f>
        <v>64028</v>
      </c>
      <c r="F3488" s="14" t="s">
        <v>16</v>
      </c>
      <c r="G3488" s="20" t="s">
        <v>17</v>
      </c>
      <c r="H3488" s="14" t="s">
        <v>24</v>
      </c>
      <c r="I3488" s="15">
        <v>2022.0</v>
      </c>
      <c r="J3488" s="16" t="str">
        <f>IFERROR(__xludf.DUMMYFUNCTION("FILTER('CLASFICACIÓN'!$F$3:$F5618,'CLASFICACIÓN'!$G$3:$G5618=M3488)"),"LOS 3 AÑOS")</f>
        <v>LOS 3 AÑOS</v>
      </c>
      <c r="K3488" s="16" t="str">
        <f t="array" ref="K3488">IFERROR(DGET('PADD-R'!$B$1:$K5618,'PADD-R'!$K$1,{'PADD-R'!$B$1;E3488}),"NO PARTICIPÓ")</f>
        <v>PADD 2023 Y 2024</v>
      </c>
      <c r="L3488" s="14" t="s">
        <v>160</v>
      </c>
      <c r="M3488" s="16" t="str">
        <f t="shared" si="1"/>
        <v>640284 Primaria</v>
      </c>
      <c r="N3488" s="23"/>
      <c r="O3488" s="17"/>
      <c r="P3488" s="17"/>
      <c r="Q3488" s="17"/>
      <c r="R3488" s="17"/>
      <c r="S3488" s="17"/>
      <c r="T3488" s="17"/>
    </row>
    <row r="3489">
      <c r="A3489" s="18">
        <v>4365.0</v>
      </c>
      <c r="B3489" s="12" t="s">
        <v>70</v>
      </c>
      <c r="C3489" s="12" t="s">
        <v>14</v>
      </c>
      <c r="D3489" s="20" t="s">
        <v>20</v>
      </c>
      <c r="E3489" s="12" t="str">
        <f>IFERROR(__xludf.DUMMYFUNCTION("FILTER(colegios!$B$2:$B5618,colegios!$A$2:$A5618=L3489)"),"64028")</f>
        <v>64028</v>
      </c>
      <c r="F3489" s="14" t="s">
        <v>16</v>
      </c>
      <c r="G3489" s="20" t="s">
        <v>17</v>
      </c>
      <c r="H3489" s="14" t="s">
        <v>18</v>
      </c>
      <c r="I3489" s="15">
        <v>2022.0</v>
      </c>
      <c r="J3489" s="16" t="str">
        <f>IFERROR(__xludf.DUMMYFUNCTION("FILTER('CLASFICACIÓN'!$F$3:$F5618,'CLASFICACIÓN'!$G$3:$G5618=M3489)"),"LOS 3 AÑOS")</f>
        <v>LOS 3 AÑOS</v>
      </c>
      <c r="K3489" s="16" t="str">
        <f t="array" ref="K3489">IFERROR(DGET('PADD-R'!$B$1:$K5618,'PADD-R'!$K$1,{'PADD-R'!$B$1;E3489}),"NO PARTICIPÓ")</f>
        <v>PADD 2023 Y 2024</v>
      </c>
      <c r="L3489" s="14" t="s">
        <v>160</v>
      </c>
      <c r="M3489" s="16" t="str">
        <f t="shared" si="1"/>
        <v>640284 Primaria</v>
      </c>
      <c r="N3489" s="23"/>
      <c r="O3489" s="17"/>
      <c r="P3489" s="17"/>
      <c r="Q3489" s="17"/>
      <c r="R3489" s="17"/>
      <c r="S3489" s="17"/>
      <c r="T3489" s="17"/>
    </row>
    <row r="3490">
      <c r="A3490" s="18">
        <v>4366.0</v>
      </c>
      <c r="B3490" s="12" t="s">
        <v>70</v>
      </c>
      <c r="C3490" s="12" t="s">
        <v>14</v>
      </c>
      <c r="D3490" s="20" t="s">
        <v>20</v>
      </c>
      <c r="E3490" s="12" t="str">
        <f>IFERROR(__xludf.DUMMYFUNCTION("FILTER(colegios!$B$2:$B5618,colegios!$A$2:$A5618=L3490)"),"64028")</f>
        <v>64028</v>
      </c>
      <c r="F3490" s="14" t="s">
        <v>16</v>
      </c>
      <c r="G3490" s="20" t="s">
        <v>21</v>
      </c>
      <c r="H3490" s="14" t="s">
        <v>18</v>
      </c>
      <c r="I3490" s="15">
        <v>2022.0</v>
      </c>
      <c r="J3490" s="16" t="str">
        <f>IFERROR(__xludf.DUMMYFUNCTION("FILTER('CLASFICACIÓN'!$F$3:$F5618,'CLASFICACIÓN'!$G$3:$G5618=M3490)"),"LOS 3 AÑOS")</f>
        <v>LOS 3 AÑOS</v>
      </c>
      <c r="K3490" s="16" t="str">
        <f t="array" ref="K3490">IFERROR(DGET('PADD-R'!$B$1:$K5618,'PADD-R'!$K$1,{'PADD-R'!$B$1;E3490}),"NO PARTICIPÓ")</f>
        <v>PADD 2023 Y 2024</v>
      </c>
      <c r="L3490" s="14" t="s">
        <v>160</v>
      </c>
      <c r="M3490" s="16" t="str">
        <f t="shared" si="1"/>
        <v>640284 Primaria</v>
      </c>
      <c r="N3490" s="23"/>
      <c r="O3490" s="17"/>
      <c r="P3490" s="17"/>
      <c r="Q3490" s="17"/>
      <c r="R3490" s="17"/>
      <c r="S3490" s="17"/>
      <c r="T3490" s="17"/>
    </row>
    <row r="3491">
      <c r="A3491" s="18">
        <v>4367.0</v>
      </c>
      <c r="B3491" s="12" t="s">
        <v>70</v>
      </c>
      <c r="C3491" s="12" t="s">
        <v>14</v>
      </c>
      <c r="D3491" s="20" t="s">
        <v>20</v>
      </c>
      <c r="E3491" s="12" t="str">
        <f>IFERROR(__xludf.DUMMYFUNCTION("FILTER(colegios!$B$2:$B5618,colegios!$A$2:$A5618=L3491)"),"64028")</f>
        <v>64028</v>
      </c>
      <c r="F3491" s="14" t="s">
        <v>16</v>
      </c>
      <c r="G3491" s="20" t="s">
        <v>17</v>
      </c>
      <c r="H3491" s="14" t="s">
        <v>18</v>
      </c>
      <c r="I3491" s="15">
        <v>2022.0</v>
      </c>
      <c r="J3491" s="16" t="str">
        <f>IFERROR(__xludf.DUMMYFUNCTION("FILTER('CLASFICACIÓN'!$F$3:$F5618,'CLASFICACIÓN'!$G$3:$G5618=M3491)"),"LOS 3 AÑOS")</f>
        <v>LOS 3 AÑOS</v>
      </c>
      <c r="K3491" s="16" t="str">
        <f t="array" ref="K3491">IFERROR(DGET('PADD-R'!$B$1:$K5618,'PADD-R'!$K$1,{'PADD-R'!$B$1;E3491}),"NO PARTICIPÓ")</f>
        <v>PADD 2023 Y 2024</v>
      </c>
      <c r="L3491" s="14" t="s">
        <v>160</v>
      </c>
      <c r="M3491" s="16" t="str">
        <f t="shared" si="1"/>
        <v>640284 Primaria</v>
      </c>
      <c r="N3491" s="23"/>
      <c r="O3491" s="17"/>
      <c r="P3491" s="17"/>
      <c r="Q3491" s="17"/>
      <c r="R3491" s="17"/>
      <c r="S3491" s="17"/>
      <c r="T3491" s="17"/>
    </row>
    <row r="3492">
      <c r="A3492" s="18">
        <v>4368.0</v>
      </c>
      <c r="B3492" s="12" t="s">
        <v>70</v>
      </c>
      <c r="C3492" s="12" t="s">
        <v>14</v>
      </c>
      <c r="D3492" s="20" t="s">
        <v>20</v>
      </c>
      <c r="E3492" s="12" t="str">
        <f>IFERROR(__xludf.DUMMYFUNCTION("FILTER(colegios!$B$2:$B5618,colegios!$A$2:$A5618=L3492)"),"64028")</f>
        <v>64028</v>
      </c>
      <c r="F3492" s="14" t="s">
        <v>16</v>
      </c>
      <c r="G3492" s="20" t="s">
        <v>17</v>
      </c>
      <c r="H3492" s="14" t="s">
        <v>24</v>
      </c>
      <c r="I3492" s="15">
        <v>2022.0</v>
      </c>
      <c r="J3492" s="16" t="str">
        <f>IFERROR(__xludf.DUMMYFUNCTION("FILTER('CLASFICACIÓN'!$F$3:$F5618,'CLASFICACIÓN'!$G$3:$G5618=M3492)"),"LOS 3 AÑOS")</f>
        <v>LOS 3 AÑOS</v>
      </c>
      <c r="K3492" s="16" t="str">
        <f t="array" ref="K3492">IFERROR(DGET('PADD-R'!$B$1:$K5618,'PADD-R'!$K$1,{'PADD-R'!$B$1;E3492}),"NO PARTICIPÓ")</f>
        <v>PADD 2023 Y 2024</v>
      </c>
      <c r="L3492" s="14" t="s">
        <v>160</v>
      </c>
      <c r="M3492" s="16" t="str">
        <f t="shared" si="1"/>
        <v>640284 Primaria</v>
      </c>
      <c r="N3492" s="23"/>
      <c r="O3492" s="17"/>
      <c r="P3492" s="17"/>
      <c r="Q3492" s="17"/>
      <c r="R3492" s="17"/>
      <c r="S3492" s="17"/>
      <c r="T3492" s="17"/>
    </row>
    <row r="3493">
      <c r="A3493" s="18">
        <v>4369.0</v>
      </c>
      <c r="B3493" s="12" t="s">
        <v>70</v>
      </c>
      <c r="C3493" s="12" t="s">
        <v>14</v>
      </c>
      <c r="D3493" s="20" t="s">
        <v>20</v>
      </c>
      <c r="E3493" s="12" t="str">
        <f>IFERROR(__xludf.DUMMYFUNCTION("FILTER(colegios!$B$2:$B5618,colegios!$A$2:$A5618=L3493)"),"64028")</f>
        <v>64028</v>
      </c>
      <c r="F3493" s="14" t="s">
        <v>16</v>
      </c>
      <c r="G3493" s="20" t="s">
        <v>17</v>
      </c>
      <c r="H3493" s="14" t="s">
        <v>18</v>
      </c>
      <c r="I3493" s="15">
        <v>2022.0</v>
      </c>
      <c r="J3493" s="16" t="str">
        <f>IFERROR(__xludf.DUMMYFUNCTION("FILTER('CLASFICACIÓN'!$F$3:$F5618,'CLASFICACIÓN'!$G$3:$G5618=M3493)"),"LOS 3 AÑOS")</f>
        <v>LOS 3 AÑOS</v>
      </c>
      <c r="K3493" s="16" t="str">
        <f t="array" ref="K3493">IFERROR(DGET('PADD-R'!$B$1:$K5618,'PADD-R'!$K$1,{'PADD-R'!$B$1;E3493}),"NO PARTICIPÓ")</f>
        <v>PADD 2023 Y 2024</v>
      </c>
      <c r="L3493" s="14" t="s">
        <v>160</v>
      </c>
      <c r="M3493" s="16" t="str">
        <f t="shared" si="1"/>
        <v>640284 Primaria</v>
      </c>
      <c r="N3493" s="23"/>
      <c r="O3493" s="17"/>
      <c r="P3493" s="17"/>
      <c r="Q3493" s="17"/>
      <c r="R3493" s="17"/>
      <c r="S3493" s="17"/>
      <c r="T3493" s="17"/>
    </row>
    <row r="3494">
      <c r="A3494" s="18">
        <v>4370.0</v>
      </c>
      <c r="B3494" s="12" t="s">
        <v>70</v>
      </c>
      <c r="C3494" s="12" t="s">
        <v>14</v>
      </c>
      <c r="D3494" s="20" t="s">
        <v>20</v>
      </c>
      <c r="E3494" s="12" t="str">
        <f>IFERROR(__xludf.DUMMYFUNCTION("FILTER(colegios!$B$2:$B5618,colegios!$A$2:$A5618=L3494)"),"64028")</f>
        <v>64028</v>
      </c>
      <c r="F3494" s="14" t="s">
        <v>16</v>
      </c>
      <c r="G3494" s="20" t="s">
        <v>17</v>
      </c>
      <c r="H3494" s="14" t="s">
        <v>18</v>
      </c>
      <c r="I3494" s="15">
        <v>2022.0</v>
      </c>
      <c r="J3494" s="16" t="str">
        <f>IFERROR(__xludf.DUMMYFUNCTION("FILTER('CLASFICACIÓN'!$F$3:$F5618,'CLASFICACIÓN'!$G$3:$G5618=M3494)"),"LOS 3 AÑOS")</f>
        <v>LOS 3 AÑOS</v>
      </c>
      <c r="K3494" s="16" t="str">
        <f t="array" ref="K3494">IFERROR(DGET('PADD-R'!$B$1:$K5618,'PADD-R'!$K$1,{'PADD-R'!$B$1;E3494}),"NO PARTICIPÓ")</f>
        <v>PADD 2023 Y 2024</v>
      </c>
      <c r="L3494" s="14" t="s">
        <v>160</v>
      </c>
      <c r="M3494" s="16" t="str">
        <f t="shared" si="1"/>
        <v>640284 Primaria</v>
      </c>
      <c r="N3494" s="23"/>
      <c r="O3494" s="17"/>
      <c r="P3494" s="17"/>
      <c r="Q3494" s="17"/>
      <c r="R3494" s="17"/>
      <c r="S3494" s="17"/>
      <c r="T3494" s="17"/>
    </row>
    <row r="3495">
      <c r="A3495" s="18">
        <v>4371.0</v>
      </c>
      <c r="B3495" s="12" t="s">
        <v>70</v>
      </c>
      <c r="C3495" s="12" t="s">
        <v>14</v>
      </c>
      <c r="D3495" s="20" t="s">
        <v>20</v>
      </c>
      <c r="E3495" s="12" t="str">
        <f>IFERROR(__xludf.DUMMYFUNCTION("FILTER(colegios!$B$2:$B5618,colegios!$A$2:$A5618=L3495)"),"64028")</f>
        <v>64028</v>
      </c>
      <c r="F3495" s="14" t="s">
        <v>16</v>
      </c>
      <c r="G3495" s="20" t="s">
        <v>17</v>
      </c>
      <c r="H3495" s="14" t="s">
        <v>18</v>
      </c>
      <c r="I3495" s="15">
        <v>2022.0</v>
      </c>
      <c r="J3495" s="16" t="str">
        <f>IFERROR(__xludf.DUMMYFUNCTION("FILTER('CLASFICACIÓN'!$F$3:$F5618,'CLASFICACIÓN'!$G$3:$G5618=M3495)"),"LOS 3 AÑOS")</f>
        <v>LOS 3 AÑOS</v>
      </c>
      <c r="K3495" s="16" t="str">
        <f t="array" ref="K3495">IFERROR(DGET('PADD-R'!$B$1:$K5618,'PADD-R'!$K$1,{'PADD-R'!$B$1;E3495}),"NO PARTICIPÓ")</f>
        <v>PADD 2023 Y 2024</v>
      </c>
      <c r="L3495" s="14" t="s">
        <v>160</v>
      </c>
      <c r="M3495" s="16" t="str">
        <f t="shared" si="1"/>
        <v>640284 Primaria</v>
      </c>
      <c r="N3495" s="23"/>
      <c r="O3495" s="17"/>
      <c r="P3495" s="17"/>
      <c r="Q3495" s="17"/>
      <c r="R3495" s="17"/>
      <c r="S3495" s="17"/>
      <c r="T3495" s="17"/>
    </row>
    <row r="3496">
      <c r="A3496" s="18">
        <v>4372.0</v>
      </c>
      <c r="B3496" s="12" t="s">
        <v>70</v>
      </c>
      <c r="C3496" s="12" t="s">
        <v>14</v>
      </c>
      <c r="D3496" s="20" t="s">
        <v>20</v>
      </c>
      <c r="E3496" s="12" t="str">
        <f>IFERROR(__xludf.DUMMYFUNCTION("FILTER(colegios!$B$2:$B5618,colegios!$A$2:$A5618=L3496)"),"64028")</f>
        <v>64028</v>
      </c>
      <c r="F3496" s="14" t="s">
        <v>16</v>
      </c>
      <c r="G3496" s="20" t="s">
        <v>17</v>
      </c>
      <c r="H3496" s="14" t="s">
        <v>18</v>
      </c>
      <c r="I3496" s="15">
        <v>2022.0</v>
      </c>
      <c r="J3496" s="16" t="str">
        <f>IFERROR(__xludf.DUMMYFUNCTION("FILTER('CLASFICACIÓN'!$F$3:$F5618,'CLASFICACIÓN'!$G$3:$G5618=M3496)"),"LOS 3 AÑOS")</f>
        <v>LOS 3 AÑOS</v>
      </c>
      <c r="K3496" s="16" t="str">
        <f t="array" ref="K3496">IFERROR(DGET('PADD-R'!$B$1:$K5618,'PADD-R'!$K$1,{'PADD-R'!$B$1;E3496}),"NO PARTICIPÓ")</f>
        <v>PADD 2023 Y 2024</v>
      </c>
      <c r="L3496" s="14" t="s">
        <v>160</v>
      </c>
      <c r="M3496" s="16" t="str">
        <f t="shared" si="1"/>
        <v>640284 Primaria</v>
      </c>
      <c r="N3496" s="23"/>
      <c r="O3496" s="17"/>
      <c r="P3496" s="17"/>
      <c r="Q3496" s="17"/>
      <c r="R3496" s="17"/>
      <c r="S3496" s="17"/>
      <c r="T3496" s="17"/>
    </row>
    <row r="3497">
      <c r="A3497" s="18">
        <v>4373.0</v>
      </c>
      <c r="B3497" s="12" t="s">
        <v>70</v>
      </c>
      <c r="C3497" s="12" t="s">
        <v>14</v>
      </c>
      <c r="D3497" s="20" t="s">
        <v>20</v>
      </c>
      <c r="E3497" s="12" t="str">
        <f>IFERROR(__xludf.DUMMYFUNCTION("FILTER(colegios!$B$2:$B5618,colegios!$A$2:$A5618=L3497)"),"64028")</f>
        <v>64028</v>
      </c>
      <c r="F3497" s="14" t="s">
        <v>16</v>
      </c>
      <c r="G3497" s="20" t="s">
        <v>21</v>
      </c>
      <c r="H3497" s="14" t="s">
        <v>24</v>
      </c>
      <c r="I3497" s="15">
        <v>2022.0</v>
      </c>
      <c r="J3497" s="16" t="str">
        <f>IFERROR(__xludf.DUMMYFUNCTION("FILTER('CLASFICACIÓN'!$F$3:$F5618,'CLASFICACIÓN'!$G$3:$G5618=M3497)"),"LOS 3 AÑOS")</f>
        <v>LOS 3 AÑOS</v>
      </c>
      <c r="K3497" s="16" t="str">
        <f t="array" ref="K3497">IFERROR(DGET('PADD-R'!$B$1:$K5618,'PADD-R'!$K$1,{'PADD-R'!$B$1;E3497}),"NO PARTICIPÓ")</f>
        <v>PADD 2023 Y 2024</v>
      </c>
      <c r="L3497" s="14" t="s">
        <v>160</v>
      </c>
      <c r="M3497" s="16" t="str">
        <f t="shared" si="1"/>
        <v>640284 Primaria</v>
      </c>
      <c r="N3497" s="23"/>
      <c r="O3497" s="17"/>
      <c r="P3497" s="17"/>
      <c r="Q3497" s="17"/>
      <c r="R3497" s="17"/>
      <c r="S3497" s="17"/>
      <c r="T3497" s="17"/>
    </row>
    <row r="3498">
      <c r="A3498" s="18">
        <v>4374.0</v>
      </c>
      <c r="B3498" s="12" t="s">
        <v>70</v>
      </c>
      <c r="C3498" s="12" t="s">
        <v>14</v>
      </c>
      <c r="D3498" s="20" t="s">
        <v>22</v>
      </c>
      <c r="E3498" s="12" t="str">
        <f>IFERROR(__xludf.DUMMYFUNCTION("FILTER(colegios!$B$2:$B5618,colegios!$A$2:$A5618=L3498)"),"64028")</f>
        <v>64028</v>
      </c>
      <c r="F3498" s="14" t="s">
        <v>16</v>
      </c>
      <c r="G3498" s="20" t="s">
        <v>21</v>
      </c>
      <c r="H3498" s="14" t="s">
        <v>18</v>
      </c>
      <c r="I3498" s="15">
        <v>2022.0</v>
      </c>
      <c r="J3498" s="16" t="str">
        <f>IFERROR(__xludf.DUMMYFUNCTION("FILTER('CLASFICACIÓN'!$F$3:$F5618,'CLASFICACIÓN'!$G$3:$G5618=M3498)"),"SOLO 2022 Y 2024")</f>
        <v>SOLO 2022 Y 2024</v>
      </c>
      <c r="K3498" s="16" t="str">
        <f t="array" ref="K3498">IFERROR(DGET('PADD-R'!$B$1:$K5618,'PADD-R'!$K$1,{'PADD-R'!$B$1;E3498}),"NO PARTICIPÓ")</f>
        <v>PADD 2023 Y 2024</v>
      </c>
      <c r="L3498" s="14" t="s">
        <v>160</v>
      </c>
      <c r="M3498" s="16" t="str">
        <f t="shared" si="1"/>
        <v>640286 Primaria</v>
      </c>
      <c r="N3498" s="23"/>
      <c r="O3498" s="17"/>
      <c r="P3498" s="17"/>
      <c r="Q3498" s="17"/>
      <c r="R3498" s="17"/>
      <c r="S3498" s="17"/>
      <c r="T3498" s="17"/>
    </row>
    <row r="3499">
      <c r="A3499" s="18">
        <v>4375.0</v>
      </c>
      <c r="B3499" s="12" t="s">
        <v>70</v>
      </c>
      <c r="C3499" s="12" t="s">
        <v>14</v>
      </c>
      <c r="D3499" s="20" t="s">
        <v>22</v>
      </c>
      <c r="E3499" s="12" t="str">
        <f>IFERROR(__xludf.DUMMYFUNCTION("FILTER(colegios!$B$2:$B5618,colegios!$A$2:$A5618=L3499)"),"64028")</f>
        <v>64028</v>
      </c>
      <c r="F3499" s="14" t="s">
        <v>16</v>
      </c>
      <c r="G3499" s="20" t="s">
        <v>17</v>
      </c>
      <c r="H3499" s="14" t="s">
        <v>18</v>
      </c>
      <c r="I3499" s="15">
        <v>2022.0</v>
      </c>
      <c r="J3499" s="16" t="str">
        <f>IFERROR(__xludf.DUMMYFUNCTION("FILTER('CLASFICACIÓN'!$F$3:$F5618,'CLASFICACIÓN'!$G$3:$G5618=M3499)"),"SOLO 2022 Y 2024")</f>
        <v>SOLO 2022 Y 2024</v>
      </c>
      <c r="K3499" s="16" t="str">
        <f t="array" ref="K3499">IFERROR(DGET('PADD-R'!$B$1:$K5618,'PADD-R'!$K$1,{'PADD-R'!$B$1;E3499}),"NO PARTICIPÓ")</f>
        <v>PADD 2023 Y 2024</v>
      </c>
      <c r="L3499" s="14" t="s">
        <v>160</v>
      </c>
      <c r="M3499" s="16" t="str">
        <f t="shared" si="1"/>
        <v>640286 Primaria</v>
      </c>
      <c r="N3499" s="23"/>
      <c r="O3499" s="17"/>
      <c r="P3499" s="17"/>
      <c r="Q3499" s="17"/>
      <c r="R3499" s="17"/>
      <c r="S3499" s="17"/>
      <c r="T3499" s="17"/>
    </row>
    <row r="3500">
      <c r="A3500" s="18">
        <v>4376.0</v>
      </c>
      <c r="B3500" s="12" t="s">
        <v>70</v>
      </c>
      <c r="C3500" s="12" t="s">
        <v>14</v>
      </c>
      <c r="D3500" s="20" t="s">
        <v>22</v>
      </c>
      <c r="E3500" s="12" t="str">
        <f>IFERROR(__xludf.DUMMYFUNCTION("FILTER(colegios!$B$2:$B5618,colegios!$A$2:$A5618=L3500)"),"64028")</f>
        <v>64028</v>
      </c>
      <c r="F3500" s="14" t="s">
        <v>16</v>
      </c>
      <c r="G3500" s="20" t="s">
        <v>17</v>
      </c>
      <c r="H3500" s="14" t="s">
        <v>18</v>
      </c>
      <c r="I3500" s="15">
        <v>2022.0</v>
      </c>
      <c r="J3500" s="16" t="str">
        <f>IFERROR(__xludf.DUMMYFUNCTION("FILTER('CLASFICACIÓN'!$F$3:$F5618,'CLASFICACIÓN'!$G$3:$G5618=M3500)"),"SOLO 2022 Y 2024")</f>
        <v>SOLO 2022 Y 2024</v>
      </c>
      <c r="K3500" s="16" t="str">
        <f t="array" ref="K3500">IFERROR(DGET('PADD-R'!$B$1:$K5618,'PADD-R'!$K$1,{'PADD-R'!$B$1;E3500}),"NO PARTICIPÓ")</f>
        <v>PADD 2023 Y 2024</v>
      </c>
      <c r="L3500" s="14" t="s">
        <v>160</v>
      </c>
      <c r="M3500" s="16" t="str">
        <f t="shared" si="1"/>
        <v>640286 Primaria</v>
      </c>
      <c r="N3500" s="23"/>
      <c r="O3500" s="17"/>
      <c r="P3500" s="17"/>
      <c r="Q3500" s="17"/>
      <c r="R3500" s="17"/>
      <c r="S3500" s="17"/>
      <c r="T3500" s="17"/>
    </row>
    <row r="3501">
      <c r="A3501" s="18">
        <v>4377.0</v>
      </c>
      <c r="B3501" s="12" t="s">
        <v>70</v>
      </c>
      <c r="C3501" s="12" t="s">
        <v>14</v>
      </c>
      <c r="D3501" s="20" t="s">
        <v>22</v>
      </c>
      <c r="E3501" s="12" t="str">
        <f>IFERROR(__xludf.DUMMYFUNCTION("FILTER(colegios!$B$2:$B5618,colegios!$A$2:$A5618=L3501)"),"64028")</f>
        <v>64028</v>
      </c>
      <c r="F3501" s="14" t="s">
        <v>16</v>
      </c>
      <c r="G3501" s="20" t="s">
        <v>21</v>
      </c>
      <c r="H3501" s="14" t="s">
        <v>18</v>
      </c>
      <c r="I3501" s="15">
        <v>2022.0</v>
      </c>
      <c r="J3501" s="16" t="str">
        <f>IFERROR(__xludf.DUMMYFUNCTION("FILTER('CLASFICACIÓN'!$F$3:$F5618,'CLASFICACIÓN'!$G$3:$G5618=M3501)"),"SOLO 2022 Y 2024")</f>
        <v>SOLO 2022 Y 2024</v>
      </c>
      <c r="K3501" s="16" t="str">
        <f t="array" ref="K3501">IFERROR(DGET('PADD-R'!$B$1:$K5618,'PADD-R'!$K$1,{'PADD-R'!$B$1;E3501}),"NO PARTICIPÓ")</f>
        <v>PADD 2023 Y 2024</v>
      </c>
      <c r="L3501" s="14" t="s">
        <v>160</v>
      </c>
      <c r="M3501" s="16" t="str">
        <f t="shared" si="1"/>
        <v>640286 Primaria</v>
      </c>
      <c r="N3501" s="23"/>
      <c r="O3501" s="17"/>
      <c r="P3501" s="17"/>
      <c r="Q3501" s="17"/>
      <c r="R3501" s="17"/>
      <c r="S3501" s="17"/>
      <c r="T3501" s="17"/>
    </row>
    <row r="3502">
      <c r="A3502" s="18">
        <v>4378.0</v>
      </c>
      <c r="B3502" s="12" t="s">
        <v>70</v>
      </c>
      <c r="C3502" s="12" t="s">
        <v>14</v>
      </c>
      <c r="D3502" s="20" t="s">
        <v>22</v>
      </c>
      <c r="E3502" s="12" t="str">
        <f>IFERROR(__xludf.DUMMYFUNCTION("FILTER(colegios!$B$2:$B5618,colegios!$A$2:$A5618=L3502)"),"64028")</f>
        <v>64028</v>
      </c>
      <c r="F3502" s="14" t="s">
        <v>16</v>
      </c>
      <c r="G3502" s="20" t="s">
        <v>21</v>
      </c>
      <c r="H3502" s="14" t="s">
        <v>18</v>
      </c>
      <c r="I3502" s="15">
        <v>2022.0</v>
      </c>
      <c r="J3502" s="16" t="str">
        <f>IFERROR(__xludf.DUMMYFUNCTION("FILTER('CLASFICACIÓN'!$F$3:$F5618,'CLASFICACIÓN'!$G$3:$G5618=M3502)"),"SOLO 2022 Y 2024")</f>
        <v>SOLO 2022 Y 2024</v>
      </c>
      <c r="K3502" s="16" t="str">
        <f t="array" ref="K3502">IFERROR(DGET('PADD-R'!$B$1:$K5618,'PADD-R'!$K$1,{'PADD-R'!$B$1;E3502}),"NO PARTICIPÓ")</f>
        <v>PADD 2023 Y 2024</v>
      </c>
      <c r="L3502" s="14" t="s">
        <v>160</v>
      </c>
      <c r="M3502" s="16" t="str">
        <f t="shared" si="1"/>
        <v>640286 Primaria</v>
      </c>
      <c r="N3502" s="23"/>
      <c r="O3502" s="17"/>
      <c r="P3502" s="17"/>
      <c r="Q3502" s="17"/>
      <c r="R3502" s="17"/>
      <c r="S3502" s="17"/>
      <c r="T3502" s="17"/>
    </row>
    <row r="3503">
      <c r="A3503" s="18">
        <v>4379.0</v>
      </c>
      <c r="B3503" s="12" t="s">
        <v>70</v>
      </c>
      <c r="C3503" s="12" t="s">
        <v>14</v>
      </c>
      <c r="D3503" s="20" t="s">
        <v>22</v>
      </c>
      <c r="E3503" s="12" t="str">
        <f>IFERROR(__xludf.DUMMYFUNCTION("FILTER(colegios!$B$2:$B5618,colegios!$A$2:$A5618=L3503)"),"64028")</f>
        <v>64028</v>
      </c>
      <c r="F3503" s="14" t="s">
        <v>16</v>
      </c>
      <c r="G3503" s="20" t="s">
        <v>21</v>
      </c>
      <c r="H3503" s="14" t="s">
        <v>18</v>
      </c>
      <c r="I3503" s="15">
        <v>2022.0</v>
      </c>
      <c r="J3503" s="16" t="str">
        <f>IFERROR(__xludf.DUMMYFUNCTION("FILTER('CLASFICACIÓN'!$F$3:$F5618,'CLASFICACIÓN'!$G$3:$G5618=M3503)"),"SOLO 2022 Y 2024")</f>
        <v>SOLO 2022 Y 2024</v>
      </c>
      <c r="K3503" s="16" t="str">
        <f t="array" ref="K3503">IFERROR(DGET('PADD-R'!$B$1:$K5618,'PADD-R'!$K$1,{'PADD-R'!$B$1;E3503}),"NO PARTICIPÓ")</f>
        <v>PADD 2023 Y 2024</v>
      </c>
      <c r="L3503" s="14" t="s">
        <v>160</v>
      </c>
      <c r="M3503" s="16" t="str">
        <f t="shared" si="1"/>
        <v>640286 Primaria</v>
      </c>
      <c r="N3503" s="23"/>
      <c r="O3503" s="17"/>
      <c r="P3503" s="17"/>
      <c r="Q3503" s="17"/>
      <c r="R3503" s="17"/>
      <c r="S3503" s="17"/>
      <c r="T3503" s="17"/>
    </row>
    <row r="3504">
      <c r="A3504" s="18">
        <v>4380.0</v>
      </c>
      <c r="B3504" s="12" t="s">
        <v>70</v>
      </c>
      <c r="C3504" s="12" t="s">
        <v>14</v>
      </c>
      <c r="D3504" s="20" t="s">
        <v>22</v>
      </c>
      <c r="E3504" s="12" t="str">
        <f>IFERROR(__xludf.DUMMYFUNCTION("FILTER(colegios!$B$2:$B5618,colegios!$A$2:$A5618=L3504)"),"64028")</f>
        <v>64028</v>
      </c>
      <c r="F3504" s="14" t="s">
        <v>16</v>
      </c>
      <c r="G3504" s="20" t="s">
        <v>21</v>
      </c>
      <c r="H3504" s="14" t="s">
        <v>18</v>
      </c>
      <c r="I3504" s="15">
        <v>2022.0</v>
      </c>
      <c r="J3504" s="16" t="str">
        <f>IFERROR(__xludf.DUMMYFUNCTION("FILTER('CLASFICACIÓN'!$F$3:$F5618,'CLASFICACIÓN'!$G$3:$G5618=M3504)"),"SOLO 2022 Y 2024")</f>
        <v>SOLO 2022 Y 2024</v>
      </c>
      <c r="K3504" s="16" t="str">
        <f t="array" ref="K3504">IFERROR(DGET('PADD-R'!$B$1:$K5618,'PADD-R'!$K$1,{'PADD-R'!$B$1;E3504}),"NO PARTICIPÓ")</f>
        <v>PADD 2023 Y 2024</v>
      </c>
      <c r="L3504" s="14" t="s">
        <v>160</v>
      </c>
      <c r="M3504" s="16" t="str">
        <f t="shared" si="1"/>
        <v>640286 Primaria</v>
      </c>
      <c r="N3504" s="23"/>
      <c r="O3504" s="17"/>
      <c r="P3504" s="17"/>
      <c r="Q3504" s="17"/>
      <c r="R3504" s="17"/>
      <c r="S3504" s="17"/>
      <c r="T3504" s="17"/>
    </row>
    <row r="3505">
      <c r="A3505" s="18">
        <v>4381.0</v>
      </c>
      <c r="B3505" s="12" t="s">
        <v>70</v>
      </c>
      <c r="C3505" s="12" t="s">
        <v>14</v>
      </c>
      <c r="D3505" s="20" t="s">
        <v>22</v>
      </c>
      <c r="E3505" s="12" t="str">
        <f>IFERROR(__xludf.DUMMYFUNCTION("FILTER(colegios!$B$2:$B5618,colegios!$A$2:$A5618=L3505)"),"64028")</f>
        <v>64028</v>
      </c>
      <c r="F3505" s="14" t="s">
        <v>16</v>
      </c>
      <c r="G3505" s="20" t="s">
        <v>21</v>
      </c>
      <c r="H3505" s="14" t="s">
        <v>18</v>
      </c>
      <c r="I3505" s="15">
        <v>2022.0</v>
      </c>
      <c r="J3505" s="16" t="str">
        <f>IFERROR(__xludf.DUMMYFUNCTION("FILTER('CLASFICACIÓN'!$F$3:$F5618,'CLASFICACIÓN'!$G$3:$G5618=M3505)"),"SOLO 2022 Y 2024")</f>
        <v>SOLO 2022 Y 2024</v>
      </c>
      <c r="K3505" s="16" t="str">
        <f t="array" ref="K3505">IFERROR(DGET('PADD-R'!$B$1:$K5618,'PADD-R'!$K$1,{'PADD-R'!$B$1;E3505}),"NO PARTICIPÓ")</f>
        <v>PADD 2023 Y 2024</v>
      </c>
      <c r="L3505" s="14" t="s">
        <v>160</v>
      </c>
      <c r="M3505" s="16" t="str">
        <f t="shared" si="1"/>
        <v>640286 Primaria</v>
      </c>
      <c r="N3505" s="23"/>
      <c r="O3505" s="17"/>
      <c r="P3505" s="17"/>
      <c r="Q3505" s="17"/>
      <c r="R3505" s="17"/>
      <c r="S3505" s="17"/>
      <c r="T3505" s="17"/>
    </row>
    <row r="3506">
      <c r="A3506" s="18">
        <v>4382.0</v>
      </c>
      <c r="B3506" s="12" t="s">
        <v>70</v>
      </c>
      <c r="C3506" s="12" t="s">
        <v>14</v>
      </c>
      <c r="D3506" s="20" t="s">
        <v>22</v>
      </c>
      <c r="E3506" s="12" t="str">
        <f>IFERROR(__xludf.DUMMYFUNCTION("FILTER(colegios!$B$2:$B5618,colegios!$A$2:$A5618=L3506)"),"64028")</f>
        <v>64028</v>
      </c>
      <c r="F3506" s="14" t="s">
        <v>16</v>
      </c>
      <c r="G3506" s="20" t="s">
        <v>17</v>
      </c>
      <c r="H3506" s="14" t="s">
        <v>18</v>
      </c>
      <c r="I3506" s="15">
        <v>2022.0</v>
      </c>
      <c r="J3506" s="16" t="str">
        <f>IFERROR(__xludf.DUMMYFUNCTION("FILTER('CLASFICACIÓN'!$F$3:$F5618,'CLASFICACIÓN'!$G$3:$G5618=M3506)"),"SOLO 2022 Y 2024")</f>
        <v>SOLO 2022 Y 2024</v>
      </c>
      <c r="K3506" s="16" t="str">
        <f t="array" ref="K3506">IFERROR(DGET('PADD-R'!$B$1:$K5618,'PADD-R'!$K$1,{'PADD-R'!$B$1;E3506}),"NO PARTICIPÓ")</f>
        <v>PADD 2023 Y 2024</v>
      </c>
      <c r="L3506" s="14" t="s">
        <v>160</v>
      </c>
      <c r="M3506" s="16" t="str">
        <f t="shared" si="1"/>
        <v>640286 Primaria</v>
      </c>
      <c r="N3506" s="23"/>
      <c r="O3506" s="17"/>
      <c r="P3506" s="17"/>
      <c r="Q3506" s="17"/>
      <c r="R3506" s="17"/>
      <c r="S3506" s="17"/>
      <c r="T3506" s="17"/>
    </row>
    <row r="3507">
      <c r="A3507" s="18">
        <v>4383.0</v>
      </c>
      <c r="B3507" s="12" t="s">
        <v>70</v>
      </c>
      <c r="C3507" s="12" t="s">
        <v>14</v>
      </c>
      <c r="D3507" s="20" t="s">
        <v>15</v>
      </c>
      <c r="E3507" s="12" t="str">
        <f>IFERROR(__xludf.DUMMYFUNCTION("FILTER(colegios!$B$2:$B5618,colegios!$A$2:$A5618=L3507)"),"64346")</f>
        <v>64346</v>
      </c>
      <c r="F3507" s="14" t="s">
        <v>16</v>
      </c>
      <c r="G3507" s="20" t="s">
        <v>21</v>
      </c>
      <c r="H3507" s="14" t="s">
        <v>18</v>
      </c>
      <c r="I3507" s="15">
        <v>2022.0</v>
      </c>
      <c r="J3507" s="16" t="str">
        <f>IFERROR(__xludf.DUMMYFUNCTION("FILTER('CLASFICACIÓN'!$F$3:$F5618,'CLASFICACIÓN'!$G$3:$G5618=M3507)"),"LOS 3 AÑOS")</f>
        <v>LOS 3 AÑOS</v>
      </c>
      <c r="K3507" s="16" t="str">
        <f t="array" ref="K3507">IFERROR(DGET('PADD-R'!$B$1:$K5618,'PADD-R'!$K$1,{'PADD-R'!$B$1;E3507}),"NO PARTICIPÓ")</f>
        <v>SOLO 2023</v>
      </c>
      <c r="L3507" s="14" t="s">
        <v>161</v>
      </c>
      <c r="M3507" s="16" t="str">
        <f t="shared" si="1"/>
        <v>643462 Primaria</v>
      </c>
      <c r="N3507" s="23"/>
      <c r="O3507" s="17"/>
      <c r="P3507" s="17"/>
      <c r="Q3507" s="17"/>
      <c r="R3507" s="17"/>
      <c r="S3507" s="17"/>
      <c r="T3507" s="17"/>
    </row>
    <row r="3508">
      <c r="A3508" s="18">
        <v>4384.0</v>
      </c>
      <c r="B3508" s="12" t="s">
        <v>70</v>
      </c>
      <c r="C3508" s="12" t="s">
        <v>14</v>
      </c>
      <c r="D3508" s="20" t="s">
        <v>15</v>
      </c>
      <c r="E3508" s="12" t="str">
        <f>IFERROR(__xludf.DUMMYFUNCTION("FILTER(colegios!$B$2:$B5618,colegios!$A$2:$A5618=L3508)"),"64346")</f>
        <v>64346</v>
      </c>
      <c r="F3508" s="14" t="s">
        <v>16</v>
      </c>
      <c r="G3508" s="20" t="s">
        <v>17</v>
      </c>
      <c r="H3508" s="14" t="s">
        <v>18</v>
      </c>
      <c r="I3508" s="15">
        <v>2022.0</v>
      </c>
      <c r="J3508" s="16" t="str">
        <f>IFERROR(__xludf.DUMMYFUNCTION("FILTER('CLASFICACIÓN'!$F$3:$F5618,'CLASFICACIÓN'!$G$3:$G5618=M3508)"),"LOS 3 AÑOS")</f>
        <v>LOS 3 AÑOS</v>
      </c>
      <c r="K3508" s="16" t="str">
        <f t="array" ref="K3508">IFERROR(DGET('PADD-R'!$B$1:$K5618,'PADD-R'!$K$1,{'PADD-R'!$B$1;E3508}),"NO PARTICIPÓ")</f>
        <v>SOLO 2023</v>
      </c>
      <c r="L3508" s="14" t="s">
        <v>161</v>
      </c>
      <c r="M3508" s="16" t="str">
        <f t="shared" si="1"/>
        <v>643462 Primaria</v>
      </c>
      <c r="N3508" s="23"/>
      <c r="O3508" s="17"/>
      <c r="P3508" s="17"/>
      <c r="Q3508" s="17"/>
      <c r="R3508" s="17"/>
      <c r="S3508" s="17"/>
      <c r="T3508" s="17"/>
    </row>
    <row r="3509">
      <c r="A3509" s="18">
        <v>4385.0</v>
      </c>
      <c r="B3509" s="12" t="s">
        <v>70</v>
      </c>
      <c r="C3509" s="12" t="s">
        <v>14</v>
      </c>
      <c r="D3509" s="20" t="s">
        <v>20</v>
      </c>
      <c r="E3509" s="12" t="str">
        <f>IFERROR(__xludf.DUMMYFUNCTION("FILTER(colegios!$B$2:$B5618,colegios!$A$2:$A5618=L3509)"),"64346")</f>
        <v>64346</v>
      </c>
      <c r="F3509" s="14" t="s">
        <v>16</v>
      </c>
      <c r="G3509" s="20" t="s">
        <v>21</v>
      </c>
      <c r="H3509" s="14" t="s">
        <v>18</v>
      </c>
      <c r="I3509" s="15">
        <v>2022.0</v>
      </c>
      <c r="J3509" s="16" t="str">
        <f>IFERROR(__xludf.DUMMYFUNCTION("FILTER('CLASFICACIÓN'!$F$3:$F5618,'CLASFICACIÓN'!$G$3:$G5618=M3509)"),"SOLO 2022 Y 2024")</f>
        <v>SOLO 2022 Y 2024</v>
      </c>
      <c r="K3509" s="16" t="str">
        <f t="array" ref="K3509">IFERROR(DGET('PADD-R'!$B$1:$K5618,'PADD-R'!$K$1,{'PADD-R'!$B$1;E3509}),"NO PARTICIPÓ")</f>
        <v>SOLO 2023</v>
      </c>
      <c r="L3509" s="14" t="s">
        <v>161</v>
      </c>
      <c r="M3509" s="16" t="str">
        <f t="shared" si="1"/>
        <v>643464 Primaria</v>
      </c>
      <c r="N3509" s="23"/>
      <c r="O3509" s="17"/>
      <c r="P3509" s="17"/>
      <c r="Q3509" s="17"/>
      <c r="R3509" s="17"/>
      <c r="S3509" s="17"/>
      <c r="T3509" s="17"/>
    </row>
    <row r="3510">
      <c r="A3510" s="18">
        <v>4386.0</v>
      </c>
      <c r="B3510" s="12" t="s">
        <v>70</v>
      </c>
      <c r="C3510" s="12" t="s">
        <v>14</v>
      </c>
      <c r="D3510" s="20" t="s">
        <v>20</v>
      </c>
      <c r="E3510" s="12" t="str">
        <f>IFERROR(__xludf.DUMMYFUNCTION("FILTER(colegios!$B$2:$B5618,colegios!$A$2:$A5618=L3510)"),"64346")</f>
        <v>64346</v>
      </c>
      <c r="F3510" s="14" t="s">
        <v>16</v>
      </c>
      <c r="G3510" s="20" t="s">
        <v>17</v>
      </c>
      <c r="H3510" s="14" t="s">
        <v>18</v>
      </c>
      <c r="I3510" s="15">
        <v>2022.0</v>
      </c>
      <c r="J3510" s="16" t="str">
        <f>IFERROR(__xludf.DUMMYFUNCTION("FILTER('CLASFICACIÓN'!$F$3:$F5618,'CLASFICACIÓN'!$G$3:$G5618=M3510)"),"SOLO 2022 Y 2024")</f>
        <v>SOLO 2022 Y 2024</v>
      </c>
      <c r="K3510" s="16" t="str">
        <f t="array" ref="K3510">IFERROR(DGET('PADD-R'!$B$1:$K5618,'PADD-R'!$K$1,{'PADD-R'!$B$1;E3510}),"NO PARTICIPÓ")</f>
        <v>SOLO 2023</v>
      </c>
      <c r="L3510" s="14" t="s">
        <v>161</v>
      </c>
      <c r="M3510" s="16" t="str">
        <f t="shared" si="1"/>
        <v>643464 Primaria</v>
      </c>
      <c r="N3510" s="23"/>
      <c r="O3510" s="17"/>
      <c r="P3510" s="17"/>
      <c r="Q3510" s="17"/>
      <c r="R3510" s="17"/>
      <c r="S3510" s="17"/>
      <c r="T3510" s="17"/>
    </row>
    <row r="3511">
      <c r="A3511" s="18">
        <v>4387.0</v>
      </c>
      <c r="B3511" s="12" t="s">
        <v>70</v>
      </c>
      <c r="C3511" s="12" t="s">
        <v>14</v>
      </c>
      <c r="D3511" s="20" t="s">
        <v>22</v>
      </c>
      <c r="E3511" s="12" t="str">
        <f>IFERROR(__xludf.DUMMYFUNCTION("FILTER(colegios!$B$2:$B5618,colegios!$A$2:$A5618=L3511)"),"64346")</f>
        <v>64346</v>
      </c>
      <c r="F3511" s="14" t="s">
        <v>16</v>
      </c>
      <c r="G3511" s="20" t="s">
        <v>21</v>
      </c>
      <c r="H3511" s="14" t="s">
        <v>18</v>
      </c>
      <c r="I3511" s="15">
        <v>2022.0</v>
      </c>
      <c r="J3511" s="16" t="str">
        <f>IFERROR(__xludf.DUMMYFUNCTION("FILTER('CLASFICACIÓN'!$F$3:$F5618,'CLASFICACIÓN'!$G$3:$G5618=M3511)"),"LOS 3 AÑOS")</f>
        <v>LOS 3 AÑOS</v>
      </c>
      <c r="K3511" s="16" t="str">
        <f t="array" ref="K3511">IFERROR(DGET('PADD-R'!$B$1:$K5618,'PADD-R'!$K$1,{'PADD-R'!$B$1;E3511}),"NO PARTICIPÓ")</f>
        <v>SOLO 2023</v>
      </c>
      <c r="L3511" s="14" t="s">
        <v>161</v>
      </c>
      <c r="M3511" s="16" t="str">
        <f t="shared" si="1"/>
        <v>643466 Primaria</v>
      </c>
      <c r="N3511" s="23"/>
      <c r="O3511" s="17"/>
      <c r="P3511" s="17"/>
      <c r="Q3511" s="17"/>
      <c r="R3511" s="17"/>
      <c r="S3511" s="17"/>
      <c r="T3511" s="17"/>
    </row>
    <row r="3512">
      <c r="A3512" s="18">
        <v>4389.0</v>
      </c>
      <c r="B3512" s="12" t="s">
        <v>70</v>
      </c>
      <c r="C3512" s="12" t="s">
        <v>14</v>
      </c>
      <c r="D3512" s="20" t="s">
        <v>20</v>
      </c>
      <c r="E3512" s="12" t="str">
        <f>IFERROR(__xludf.DUMMYFUNCTION("FILTER(colegios!$B$2:$B5618,colegios!$A$2:$A5618=L3512)"),"64829")</f>
        <v>64829</v>
      </c>
      <c r="F3512" s="14" t="s">
        <v>16</v>
      </c>
      <c r="G3512" s="20" t="s">
        <v>21</v>
      </c>
      <c r="H3512" s="14" t="s">
        <v>18</v>
      </c>
      <c r="I3512" s="15">
        <v>2022.0</v>
      </c>
      <c r="J3512" s="16" t="str">
        <f>IFERROR(__xludf.DUMMYFUNCTION("FILTER('CLASFICACIÓN'!$F$3:$F5618,'CLASFICACIÓN'!$G$3:$G5618=M3512)"),"SOLO 2022 Y 2024")</f>
        <v>SOLO 2022 Y 2024</v>
      </c>
      <c r="K3512" s="16" t="str">
        <f t="array" ref="K3512">IFERROR(DGET('PADD-R'!$B$1:$K5618,'PADD-R'!$K$1,{'PADD-R'!$B$1;E3512}),"NO PARTICIPÓ")</f>
        <v>PADD 2023 Y 2024</v>
      </c>
      <c r="L3512" s="14" t="s">
        <v>162</v>
      </c>
      <c r="M3512" s="16" t="str">
        <f t="shared" si="1"/>
        <v>648294 Primaria</v>
      </c>
      <c r="N3512" s="23"/>
      <c r="O3512" s="17"/>
      <c r="P3512" s="17"/>
      <c r="Q3512" s="17"/>
      <c r="R3512" s="17"/>
      <c r="S3512" s="17"/>
      <c r="T3512" s="17"/>
    </row>
    <row r="3513">
      <c r="A3513" s="18">
        <v>4390.0</v>
      </c>
      <c r="B3513" s="12" t="s">
        <v>70</v>
      </c>
      <c r="C3513" s="12" t="s">
        <v>14</v>
      </c>
      <c r="D3513" s="20" t="s">
        <v>20</v>
      </c>
      <c r="E3513" s="12" t="str">
        <f>IFERROR(__xludf.DUMMYFUNCTION("FILTER(colegios!$B$2:$B5618,colegios!$A$2:$A5618=L3513)"),"64829")</f>
        <v>64829</v>
      </c>
      <c r="F3513" s="14" t="s">
        <v>16</v>
      </c>
      <c r="G3513" s="20" t="s">
        <v>21</v>
      </c>
      <c r="H3513" s="14" t="s">
        <v>18</v>
      </c>
      <c r="I3513" s="15">
        <v>2022.0</v>
      </c>
      <c r="J3513" s="16" t="str">
        <f>IFERROR(__xludf.DUMMYFUNCTION("FILTER('CLASFICACIÓN'!$F$3:$F5618,'CLASFICACIÓN'!$G$3:$G5618=M3513)"),"SOLO 2022 Y 2024")</f>
        <v>SOLO 2022 Y 2024</v>
      </c>
      <c r="K3513" s="16" t="str">
        <f t="array" ref="K3513">IFERROR(DGET('PADD-R'!$B$1:$K5618,'PADD-R'!$K$1,{'PADD-R'!$B$1;E3513}),"NO PARTICIPÓ")</f>
        <v>PADD 2023 Y 2024</v>
      </c>
      <c r="L3513" s="14" t="s">
        <v>163</v>
      </c>
      <c r="M3513" s="16" t="str">
        <f t="shared" si="1"/>
        <v>648294 Primaria</v>
      </c>
      <c r="N3513" s="23"/>
      <c r="O3513" s="17"/>
      <c r="P3513" s="17"/>
      <c r="Q3513" s="17"/>
      <c r="R3513" s="17"/>
      <c r="S3513" s="17"/>
      <c r="T3513" s="17"/>
    </row>
    <row r="3514">
      <c r="A3514" s="18">
        <v>4391.0</v>
      </c>
      <c r="B3514" s="12" t="s">
        <v>70</v>
      </c>
      <c r="C3514" s="12" t="s">
        <v>14</v>
      </c>
      <c r="D3514" s="20" t="s">
        <v>20</v>
      </c>
      <c r="E3514" s="12" t="str">
        <f>IFERROR(__xludf.DUMMYFUNCTION("FILTER(colegios!$B$2:$B5618,colegios!$A$2:$A5618=L3514)"),"64829")</f>
        <v>64829</v>
      </c>
      <c r="F3514" s="14" t="s">
        <v>16</v>
      </c>
      <c r="G3514" s="20" t="s">
        <v>17</v>
      </c>
      <c r="H3514" s="14" t="s">
        <v>18</v>
      </c>
      <c r="I3514" s="15">
        <v>2022.0</v>
      </c>
      <c r="J3514" s="16" t="str">
        <f>IFERROR(__xludf.DUMMYFUNCTION("FILTER('CLASFICACIÓN'!$F$3:$F5618,'CLASFICACIÓN'!$G$3:$G5618=M3514)"),"SOLO 2022 Y 2024")</f>
        <v>SOLO 2022 Y 2024</v>
      </c>
      <c r="K3514" s="16" t="str">
        <f t="array" ref="K3514">IFERROR(DGET('PADD-R'!$B$1:$K5618,'PADD-R'!$K$1,{'PADD-R'!$B$1;E3514}),"NO PARTICIPÓ")</f>
        <v>PADD 2023 Y 2024</v>
      </c>
      <c r="L3514" s="14" t="s">
        <v>164</v>
      </c>
      <c r="M3514" s="16" t="str">
        <f t="shared" si="1"/>
        <v>648294 Primaria</v>
      </c>
      <c r="N3514" s="23"/>
      <c r="O3514" s="17"/>
      <c r="P3514" s="17"/>
      <c r="Q3514" s="17"/>
      <c r="R3514" s="17"/>
      <c r="S3514" s="17"/>
      <c r="T3514" s="17"/>
    </row>
    <row r="3515">
      <c r="A3515" s="18">
        <v>4392.0</v>
      </c>
      <c r="B3515" s="12" t="s">
        <v>70</v>
      </c>
      <c r="C3515" s="12" t="s">
        <v>14</v>
      </c>
      <c r="D3515" s="20" t="s">
        <v>22</v>
      </c>
      <c r="E3515" s="12" t="str">
        <f>IFERROR(__xludf.DUMMYFUNCTION("FILTER(colegios!$B$2:$B5618,colegios!$A$2:$A5618=L3515)"),"64829")</f>
        <v>64829</v>
      </c>
      <c r="F3515" s="14" t="s">
        <v>16</v>
      </c>
      <c r="G3515" s="20" t="s">
        <v>21</v>
      </c>
      <c r="H3515" s="14" t="s">
        <v>18</v>
      </c>
      <c r="I3515" s="15">
        <v>2022.0</v>
      </c>
      <c r="J3515" s="16" t="str">
        <f>IFERROR(__xludf.DUMMYFUNCTION("FILTER('CLASFICACIÓN'!$F$3:$F5618,'CLASFICACIÓN'!$G$3:$G5618=M3515)"),"SOLO 2022 Y 2024")</f>
        <v>SOLO 2022 Y 2024</v>
      </c>
      <c r="K3515" s="16" t="str">
        <f t="array" ref="K3515">IFERROR(DGET('PADD-R'!$B$1:$K5618,'PADD-R'!$K$1,{'PADD-R'!$B$1;E3515}),"NO PARTICIPÓ")</f>
        <v>PADD 2023 Y 2024</v>
      </c>
      <c r="L3515" s="14" t="s">
        <v>165</v>
      </c>
      <c r="M3515" s="16" t="str">
        <f t="shared" si="1"/>
        <v>648296 Primaria</v>
      </c>
      <c r="N3515" s="23"/>
      <c r="O3515" s="17"/>
      <c r="P3515" s="17"/>
      <c r="Q3515" s="17"/>
      <c r="R3515" s="17"/>
      <c r="S3515" s="17"/>
      <c r="T3515" s="17"/>
    </row>
    <row r="3516">
      <c r="A3516" s="18">
        <v>4584.0</v>
      </c>
      <c r="B3516" s="12" t="s">
        <v>84</v>
      </c>
      <c r="C3516" s="12" t="s">
        <v>14</v>
      </c>
      <c r="D3516" s="20" t="s">
        <v>15</v>
      </c>
      <c r="E3516" s="12" t="str">
        <f>IFERROR(__xludf.DUMMYFUNCTION("FILTER(colegios!$B$2:$B5618,colegios!$A$2:$A5618=L3516)"),"36161 SAN VICENTE DE PAUL")</f>
        <v>36161 SAN VICENTE DE PAUL</v>
      </c>
      <c r="F3516" s="14" t="s">
        <v>16</v>
      </c>
      <c r="G3516" s="20" t="s">
        <v>17</v>
      </c>
      <c r="H3516" s="14" t="s">
        <v>24</v>
      </c>
      <c r="I3516" s="15">
        <v>2022.0</v>
      </c>
      <c r="J3516" s="16" t="str">
        <f>IFERROR(__xludf.DUMMYFUNCTION("FILTER('CLASFICACIÓN'!$F$3:$F5618,'CLASFICACIÓN'!$G$3:$G5618=M3516)"),"SOLO LINEA BASE")</f>
        <v>SOLO LINEA BASE</v>
      </c>
      <c r="K3516" s="16" t="str">
        <f t="array" ref="K3516">IFERROR(DGET('PADD-R'!$B$1:$K5618,'PADD-R'!$K$1,{'PADD-R'!$B$1;E3516}),"NO PARTICIPÓ")</f>
        <v>NO PARTICIPÓ</v>
      </c>
      <c r="L3516" s="14" t="s">
        <v>166</v>
      </c>
      <c r="M3516" s="16" t="str">
        <f t="shared" si="1"/>
        <v>36161 SAN VICENTE DE PAUL2 Primaria</v>
      </c>
      <c r="N3516" s="23"/>
      <c r="O3516" s="17"/>
      <c r="P3516" s="17"/>
      <c r="Q3516" s="17"/>
      <c r="R3516" s="17"/>
      <c r="S3516" s="17"/>
      <c r="T3516" s="17"/>
    </row>
    <row r="3517">
      <c r="A3517" s="18">
        <v>4585.0</v>
      </c>
      <c r="B3517" s="12" t="s">
        <v>84</v>
      </c>
      <c r="C3517" s="12" t="s">
        <v>14</v>
      </c>
      <c r="D3517" s="20" t="s">
        <v>15</v>
      </c>
      <c r="E3517" s="12" t="str">
        <f>IFERROR(__xludf.DUMMYFUNCTION("FILTER(colegios!$B$2:$B5618,colegios!$A$2:$A5618=L3517)"),"36161 SAN VICENTE DE PAUL")</f>
        <v>36161 SAN VICENTE DE PAUL</v>
      </c>
      <c r="F3517" s="14" t="s">
        <v>16</v>
      </c>
      <c r="G3517" s="20" t="s">
        <v>17</v>
      </c>
      <c r="H3517" s="14" t="s">
        <v>18</v>
      </c>
      <c r="I3517" s="15">
        <v>2022.0</v>
      </c>
      <c r="J3517" s="16" t="str">
        <f>IFERROR(__xludf.DUMMYFUNCTION("FILTER('CLASFICACIÓN'!$F$3:$F5618,'CLASFICACIÓN'!$G$3:$G5618=M3517)"),"SOLO LINEA BASE")</f>
        <v>SOLO LINEA BASE</v>
      </c>
      <c r="K3517" s="16" t="str">
        <f t="array" ref="K3517">IFERROR(DGET('PADD-R'!$B$1:$K5618,'PADD-R'!$K$1,{'PADD-R'!$B$1;E3517}),"NO PARTICIPÓ")</f>
        <v>NO PARTICIPÓ</v>
      </c>
      <c r="L3517" s="14" t="s">
        <v>166</v>
      </c>
      <c r="M3517" s="16" t="str">
        <f t="shared" si="1"/>
        <v>36161 SAN VICENTE DE PAUL2 Primaria</v>
      </c>
      <c r="N3517" s="23"/>
      <c r="O3517" s="17"/>
      <c r="P3517" s="17"/>
      <c r="Q3517" s="17"/>
      <c r="R3517" s="17"/>
      <c r="S3517" s="17"/>
      <c r="T3517" s="17"/>
    </row>
    <row r="3518">
      <c r="A3518" s="18">
        <v>4586.0</v>
      </c>
      <c r="B3518" s="12" t="s">
        <v>84</v>
      </c>
      <c r="C3518" s="12" t="s">
        <v>14</v>
      </c>
      <c r="D3518" s="20" t="s">
        <v>15</v>
      </c>
      <c r="E3518" s="12" t="str">
        <f>IFERROR(__xludf.DUMMYFUNCTION("FILTER(colegios!$B$2:$B5618,colegios!$A$2:$A5618=L3518)"),"36161 SAN VICENTE DE PAUL")</f>
        <v>36161 SAN VICENTE DE PAUL</v>
      </c>
      <c r="F3518" s="14" t="s">
        <v>16</v>
      </c>
      <c r="G3518" s="20" t="s">
        <v>17</v>
      </c>
      <c r="H3518" s="14" t="s">
        <v>18</v>
      </c>
      <c r="I3518" s="15">
        <v>2022.0</v>
      </c>
      <c r="J3518" s="16" t="str">
        <f>IFERROR(__xludf.DUMMYFUNCTION("FILTER('CLASFICACIÓN'!$F$3:$F5618,'CLASFICACIÓN'!$G$3:$G5618=M3518)"),"SOLO LINEA BASE")</f>
        <v>SOLO LINEA BASE</v>
      </c>
      <c r="K3518" s="16" t="str">
        <f t="array" ref="K3518">IFERROR(DGET('PADD-R'!$B$1:$K5618,'PADD-R'!$K$1,{'PADD-R'!$B$1;E3518}),"NO PARTICIPÓ")</f>
        <v>NO PARTICIPÓ</v>
      </c>
      <c r="L3518" s="14" t="s">
        <v>166</v>
      </c>
      <c r="M3518" s="16" t="str">
        <f t="shared" si="1"/>
        <v>36161 SAN VICENTE DE PAUL2 Primaria</v>
      </c>
      <c r="N3518" s="23"/>
      <c r="O3518" s="17"/>
      <c r="P3518" s="17"/>
      <c r="Q3518" s="17"/>
      <c r="R3518" s="17"/>
      <c r="S3518" s="17"/>
      <c r="T3518" s="17"/>
    </row>
    <row r="3519">
      <c r="A3519" s="18">
        <v>4587.0</v>
      </c>
      <c r="B3519" s="12" t="s">
        <v>84</v>
      </c>
      <c r="C3519" s="12" t="s">
        <v>14</v>
      </c>
      <c r="D3519" s="20" t="s">
        <v>15</v>
      </c>
      <c r="E3519" s="12" t="str">
        <f>IFERROR(__xludf.DUMMYFUNCTION("FILTER(colegios!$B$2:$B5618,colegios!$A$2:$A5618=L3519)"),"36161 SAN VICENTE DE PAUL")</f>
        <v>36161 SAN VICENTE DE PAUL</v>
      </c>
      <c r="F3519" s="14" t="s">
        <v>16</v>
      </c>
      <c r="G3519" s="20" t="s">
        <v>21</v>
      </c>
      <c r="H3519" s="14" t="s">
        <v>24</v>
      </c>
      <c r="I3519" s="15">
        <v>2022.0</v>
      </c>
      <c r="J3519" s="16" t="str">
        <f>IFERROR(__xludf.DUMMYFUNCTION("FILTER('CLASFICACIÓN'!$F$3:$F5618,'CLASFICACIÓN'!$G$3:$G5618=M3519)"),"SOLO LINEA BASE")</f>
        <v>SOLO LINEA BASE</v>
      </c>
      <c r="K3519" s="16" t="str">
        <f t="array" ref="K3519">IFERROR(DGET('PADD-R'!$B$1:$K5618,'PADD-R'!$K$1,{'PADD-R'!$B$1;E3519}),"NO PARTICIPÓ")</f>
        <v>NO PARTICIPÓ</v>
      </c>
      <c r="L3519" s="14" t="s">
        <v>166</v>
      </c>
      <c r="M3519" s="16" t="str">
        <f t="shared" si="1"/>
        <v>36161 SAN VICENTE DE PAUL2 Primaria</v>
      </c>
      <c r="N3519" s="23"/>
      <c r="O3519" s="17"/>
      <c r="P3519" s="17"/>
      <c r="Q3519" s="17"/>
      <c r="R3519" s="17"/>
      <c r="S3519" s="17"/>
      <c r="T3519" s="17"/>
    </row>
    <row r="3520">
      <c r="A3520" s="18">
        <v>4588.0</v>
      </c>
      <c r="B3520" s="12" t="s">
        <v>84</v>
      </c>
      <c r="C3520" s="12" t="s">
        <v>14</v>
      </c>
      <c r="D3520" s="20" t="s">
        <v>20</v>
      </c>
      <c r="E3520" s="12" t="str">
        <f>IFERROR(__xludf.DUMMYFUNCTION("FILTER(colegios!$B$2:$B5618,colegios!$A$2:$A5618=L3520)"),"36161 SAN VICENTE DE PAUL")</f>
        <v>36161 SAN VICENTE DE PAUL</v>
      </c>
      <c r="F3520" s="14" t="s">
        <v>16</v>
      </c>
      <c r="G3520" s="20" t="s">
        <v>21</v>
      </c>
      <c r="H3520" s="14" t="s">
        <v>18</v>
      </c>
      <c r="I3520" s="15">
        <v>2022.0</v>
      </c>
      <c r="J3520" s="16" t="str">
        <f>IFERROR(__xludf.DUMMYFUNCTION("FILTER('CLASFICACIÓN'!$F$3:$F5618,'CLASFICACIÓN'!$G$3:$G5618=M3520)"),"SOLO LINEA BASE")</f>
        <v>SOLO LINEA BASE</v>
      </c>
      <c r="K3520" s="16" t="str">
        <f t="array" ref="K3520">IFERROR(DGET('PADD-R'!$B$1:$K5618,'PADD-R'!$K$1,{'PADD-R'!$B$1;E3520}),"NO PARTICIPÓ")</f>
        <v>NO PARTICIPÓ</v>
      </c>
      <c r="L3520" s="14" t="s">
        <v>166</v>
      </c>
      <c r="M3520" s="16" t="str">
        <f t="shared" si="1"/>
        <v>36161 SAN VICENTE DE PAUL4 Primaria</v>
      </c>
      <c r="N3520" s="23"/>
      <c r="O3520" s="17"/>
      <c r="P3520" s="17"/>
      <c r="Q3520" s="17"/>
      <c r="R3520" s="17"/>
      <c r="S3520" s="17"/>
      <c r="T3520" s="17"/>
    </row>
    <row r="3521">
      <c r="A3521" s="18">
        <v>4589.0</v>
      </c>
      <c r="B3521" s="12" t="s">
        <v>84</v>
      </c>
      <c r="C3521" s="12" t="s">
        <v>14</v>
      </c>
      <c r="D3521" s="20" t="s">
        <v>22</v>
      </c>
      <c r="E3521" s="12" t="str">
        <f>IFERROR(__xludf.DUMMYFUNCTION("FILTER(colegios!$B$2:$B5618,colegios!$A$2:$A5618=L3521)"),"36161 SAN VICENTE DE PAUL")</f>
        <v>36161 SAN VICENTE DE PAUL</v>
      </c>
      <c r="F3521" s="14" t="s">
        <v>16</v>
      </c>
      <c r="G3521" s="20" t="s">
        <v>21</v>
      </c>
      <c r="H3521" s="14" t="s">
        <v>18</v>
      </c>
      <c r="I3521" s="15">
        <v>2022.0</v>
      </c>
      <c r="J3521" s="16" t="str">
        <f>IFERROR(__xludf.DUMMYFUNCTION("FILTER('CLASFICACIÓN'!$F$3:$F5618,'CLASFICACIÓN'!$G$3:$G5618=M3521)"),"SOLO LINEA BASE")</f>
        <v>SOLO LINEA BASE</v>
      </c>
      <c r="K3521" s="16" t="str">
        <f t="array" ref="K3521">IFERROR(DGET('PADD-R'!$B$1:$K5618,'PADD-R'!$K$1,{'PADD-R'!$B$1;E3521}),"NO PARTICIPÓ")</f>
        <v>NO PARTICIPÓ</v>
      </c>
      <c r="L3521" s="14" t="s">
        <v>166</v>
      </c>
      <c r="M3521" s="16" t="str">
        <f t="shared" si="1"/>
        <v>36161 SAN VICENTE DE PAUL6 Primaria</v>
      </c>
      <c r="N3521" s="23"/>
      <c r="O3521" s="17"/>
      <c r="P3521" s="17"/>
      <c r="Q3521" s="17"/>
      <c r="R3521" s="17"/>
      <c r="S3521" s="17"/>
      <c r="T3521" s="17"/>
    </row>
    <row r="3522">
      <c r="A3522" s="18">
        <v>4590.0</v>
      </c>
      <c r="B3522" s="12" t="s">
        <v>84</v>
      </c>
      <c r="C3522" s="12" t="s">
        <v>14</v>
      </c>
      <c r="D3522" s="20" t="s">
        <v>22</v>
      </c>
      <c r="E3522" s="12" t="str">
        <f>IFERROR(__xludf.DUMMYFUNCTION("FILTER(colegios!$B$2:$B5618,colegios!$A$2:$A5618=L3522)"),"36161 SAN VICENTE DE PAUL")</f>
        <v>36161 SAN VICENTE DE PAUL</v>
      </c>
      <c r="F3522" s="14" t="s">
        <v>16</v>
      </c>
      <c r="G3522" s="20" t="s">
        <v>21</v>
      </c>
      <c r="H3522" s="14" t="s">
        <v>18</v>
      </c>
      <c r="I3522" s="15">
        <v>2022.0</v>
      </c>
      <c r="J3522" s="16" t="str">
        <f>IFERROR(__xludf.DUMMYFUNCTION("FILTER('CLASFICACIÓN'!$F$3:$F5618,'CLASFICACIÓN'!$G$3:$G5618=M3522)"),"SOLO LINEA BASE")</f>
        <v>SOLO LINEA BASE</v>
      </c>
      <c r="K3522" s="16" t="str">
        <f t="array" ref="K3522">IFERROR(DGET('PADD-R'!$B$1:$K5618,'PADD-R'!$K$1,{'PADD-R'!$B$1;E3522}),"NO PARTICIPÓ")</f>
        <v>NO PARTICIPÓ</v>
      </c>
      <c r="L3522" s="14" t="s">
        <v>166</v>
      </c>
      <c r="M3522" s="16" t="str">
        <f t="shared" si="1"/>
        <v>36161 SAN VICENTE DE PAUL6 Primaria</v>
      </c>
      <c r="N3522" s="23"/>
      <c r="O3522" s="17"/>
      <c r="P3522" s="17"/>
      <c r="Q3522" s="17"/>
      <c r="R3522" s="17"/>
      <c r="S3522" s="17"/>
      <c r="T3522" s="17"/>
    </row>
    <row r="3523">
      <c r="A3523" s="18">
        <v>4591.0</v>
      </c>
      <c r="B3523" s="12" t="s">
        <v>84</v>
      </c>
      <c r="C3523" s="12" t="s">
        <v>14</v>
      </c>
      <c r="D3523" s="20" t="s">
        <v>22</v>
      </c>
      <c r="E3523" s="12" t="str">
        <f>IFERROR(__xludf.DUMMYFUNCTION("FILTER(colegios!$B$2:$B5618,colegios!$A$2:$A5618=L3523)"),"36161 SAN VICENTE DE PAUL")</f>
        <v>36161 SAN VICENTE DE PAUL</v>
      </c>
      <c r="F3523" s="14" t="s">
        <v>16</v>
      </c>
      <c r="G3523" s="20" t="s">
        <v>21</v>
      </c>
      <c r="H3523" s="14" t="s">
        <v>18</v>
      </c>
      <c r="I3523" s="15">
        <v>2022.0</v>
      </c>
      <c r="J3523" s="16" t="str">
        <f>IFERROR(__xludf.DUMMYFUNCTION("FILTER('CLASFICACIÓN'!$F$3:$F5618,'CLASFICACIÓN'!$G$3:$G5618=M3523)"),"SOLO LINEA BASE")</f>
        <v>SOLO LINEA BASE</v>
      </c>
      <c r="K3523" s="16" t="str">
        <f t="array" ref="K3523">IFERROR(DGET('PADD-R'!$B$1:$K5618,'PADD-R'!$K$1,{'PADD-R'!$B$1;E3523}),"NO PARTICIPÓ")</f>
        <v>NO PARTICIPÓ</v>
      </c>
      <c r="L3523" s="14" t="s">
        <v>166</v>
      </c>
      <c r="M3523" s="16" t="str">
        <f t="shared" si="1"/>
        <v>36161 SAN VICENTE DE PAUL6 Primaria</v>
      </c>
      <c r="N3523" s="23"/>
      <c r="O3523" s="17"/>
      <c r="P3523" s="17"/>
      <c r="Q3523" s="17"/>
      <c r="R3523" s="17"/>
      <c r="S3523" s="17"/>
      <c r="T3523" s="17"/>
    </row>
    <row r="3524">
      <c r="A3524" s="18">
        <v>4592.0</v>
      </c>
      <c r="B3524" s="12" t="s">
        <v>84</v>
      </c>
      <c r="C3524" s="12" t="s">
        <v>14</v>
      </c>
      <c r="D3524" s="20" t="s">
        <v>22</v>
      </c>
      <c r="E3524" s="12" t="str">
        <f>IFERROR(__xludf.DUMMYFUNCTION("FILTER(colegios!$B$2:$B5618,colegios!$A$2:$A5618=L3524)"),"36161 SAN VICENTE DE PAUL")</f>
        <v>36161 SAN VICENTE DE PAUL</v>
      </c>
      <c r="F3524" s="14" t="s">
        <v>16</v>
      </c>
      <c r="G3524" s="20" t="s">
        <v>17</v>
      </c>
      <c r="H3524" s="14" t="s">
        <v>18</v>
      </c>
      <c r="I3524" s="15">
        <v>2022.0</v>
      </c>
      <c r="J3524" s="16" t="str">
        <f>IFERROR(__xludf.DUMMYFUNCTION("FILTER('CLASFICACIÓN'!$F$3:$F5618,'CLASFICACIÓN'!$G$3:$G5618=M3524)"),"SOLO LINEA BASE")</f>
        <v>SOLO LINEA BASE</v>
      </c>
      <c r="K3524" s="16" t="str">
        <f t="array" ref="K3524">IFERROR(DGET('PADD-R'!$B$1:$K5618,'PADD-R'!$K$1,{'PADD-R'!$B$1;E3524}),"NO PARTICIPÓ")</f>
        <v>NO PARTICIPÓ</v>
      </c>
      <c r="L3524" s="14" t="s">
        <v>166</v>
      </c>
      <c r="M3524" s="16" t="str">
        <f t="shared" si="1"/>
        <v>36161 SAN VICENTE DE PAUL6 Primaria</v>
      </c>
      <c r="N3524" s="23"/>
      <c r="O3524" s="17"/>
      <c r="P3524" s="17"/>
      <c r="Q3524" s="17"/>
      <c r="R3524" s="17"/>
      <c r="S3524" s="17"/>
      <c r="T3524" s="17"/>
    </row>
    <row r="3525">
      <c r="A3525" s="18">
        <v>4593.0</v>
      </c>
      <c r="B3525" s="12" t="s">
        <v>84</v>
      </c>
      <c r="C3525" s="12" t="s">
        <v>14</v>
      </c>
      <c r="D3525" s="20" t="s">
        <v>22</v>
      </c>
      <c r="E3525" s="12" t="str">
        <f>IFERROR(__xludf.DUMMYFUNCTION("FILTER(colegios!$B$2:$B5618,colegios!$A$2:$A5618=L3525)"),"36161 SAN VICENTE DE PAUL")</f>
        <v>36161 SAN VICENTE DE PAUL</v>
      </c>
      <c r="F3525" s="14" t="s">
        <v>16</v>
      </c>
      <c r="G3525" s="20" t="s">
        <v>17</v>
      </c>
      <c r="H3525" s="14" t="s">
        <v>18</v>
      </c>
      <c r="I3525" s="15">
        <v>2022.0</v>
      </c>
      <c r="J3525" s="16" t="str">
        <f>IFERROR(__xludf.DUMMYFUNCTION("FILTER('CLASFICACIÓN'!$F$3:$F5618,'CLASFICACIÓN'!$G$3:$G5618=M3525)"),"SOLO LINEA BASE")</f>
        <v>SOLO LINEA BASE</v>
      </c>
      <c r="K3525" s="16" t="str">
        <f t="array" ref="K3525">IFERROR(DGET('PADD-R'!$B$1:$K5618,'PADD-R'!$K$1,{'PADD-R'!$B$1;E3525}),"NO PARTICIPÓ")</f>
        <v>NO PARTICIPÓ</v>
      </c>
      <c r="L3525" s="14" t="s">
        <v>166</v>
      </c>
      <c r="M3525" s="16" t="str">
        <f t="shared" si="1"/>
        <v>36161 SAN VICENTE DE PAUL6 Primaria</v>
      </c>
      <c r="N3525" s="23"/>
      <c r="O3525" s="17"/>
      <c r="P3525" s="17"/>
      <c r="Q3525" s="17"/>
      <c r="R3525" s="17"/>
      <c r="S3525" s="17"/>
      <c r="T3525" s="17"/>
    </row>
    <row r="3526">
      <c r="A3526" s="18">
        <v>4594.0</v>
      </c>
      <c r="B3526" s="12" t="s">
        <v>84</v>
      </c>
      <c r="C3526" s="12" t="s">
        <v>14</v>
      </c>
      <c r="D3526" s="20" t="s">
        <v>22</v>
      </c>
      <c r="E3526" s="12" t="str">
        <f>IFERROR(__xludf.DUMMYFUNCTION("FILTER(colegios!$B$2:$B5618,colegios!$A$2:$A5618=L3526)"),"36161 SAN VICENTE DE PAUL")</f>
        <v>36161 SAN VICENTE DE PAUL</v>
      </c>
      <c r="F3526" s="14" t="s">
        <v>16</v>
      </c>
      <c r="G3526" s="20" t="s">
        <v>17</v>
      </c>
      <c r="H3526" s="14" t="s">
        <v>18</v>
      </c>
      <c r="I3526" s="15">
        <v>2022.0</v>
      </c>
      <c r="J3526" s="16" t="str">
        <f>IFERROR(__xludf.DUMMYFUNCTION("FILTER('CLASFICACIÓN'!$F$3:$F5618,'CLASFICACIÓN'!$G$3:$G5618=M3526)"),"SOLO LINEA BASE")</f>
        <v>SOLO LINEA BASE</v>
      </c>
      <c r="K3526" s="16" t="str">
        <f t="array" ref="K3526">IFERROR(DGET('PADD-R'!$B$1:$K5618,'PADD-R'!$K$1,{'PADD-R'!$B$1;E3526}),"NO PARTICIPÓ")</f>
        <v>NO PARTICIPÓ</v>
      </c>
      <c r="L3526" s="14" t="s">
        <v>166</v>
      </c>
      <c r="M3526" s="16" t="str">
        <f t="shared" si="1"/>
        <v>36161 SAN VICENTE DE PAUL6 Primaria</v>
      </c>
      <c r="N3526" s="23"/>
      <c r="O3526" s="17"/>
      <c r="P3526" s="17"/>
      <c r="Q3526" s="17"/>
      <c r="R3526" s="17"/>
      <c r="S3526" s="17"/>
      <c r="T3526" s="17"/>
    </row>
    <row r="3527">
      <c r="A3527" s="18">
        <v>4596.0</v>
      </c>
      <c r="B3527" s="12" t="s">
        <v>84</v>
      </c>
      <c r="C3527" s="12" t="s">
        <v>14</v>
      </c>
      <c r="D3527" s="20" t="s">
        <v>22</v>
      </c>
      <c r="E3527" s="12" t="str">
        <f>IFERROR(__xludf.DUMMYFUNCTION("FILTER(colegios!$B$2:$B5618,colegios!$A$2:$A5618=L3527)"),"36161 SAN VICENTE DE PAUL")</f>
        <v>36161 SAN VICENTE DE PAUL</v>
      </c>
      <c r="F3527" s="14" t="s">
        <v>16</v>
      </c>
      <c r="G3527" s="20" t="s">
        <v>17</v>
      </c>
      <c r="H3527" s="14" t="s">
        <v>18</v>
      </c>
      <c r="I3527" s="15">
        <v>2022.0</v>
      </c>
      <c r="J3527" s="16" t="str">
        <f>IFERROR(__xludf.DUMMYFUNCTION("FILTER('CLASFICACIÓN'!$F$3:$F5618,'CLASFICACIÓN'!$G$3:$G5618=M3527)"),"SOLO LINEA BASE")</f>
        <v>SOLO LINEA BASE</v>
      </c>
      <c r="K3527" s="16" t="str">
        <f t="array" ref="K3527">IFERROR(DGET('PADD-R'!$B$1:$K5618,'PADD-R'!$K$1,{'PADD-R'!$B$1;E3527}),"NO PARTICIPÓ")</f>
        <v>NO PARTICIPÓ</v>
      </c>
      <c r="L3527" s="14" t="s">
        <v>166</v>
      </c>
      <c r="M3527" s="16" t="str">
        <f t="shared" si="1"/>
        <v>36161 SAN VICENTE DE PAUL6 Primaria</v>
      </c>
      <c r="N3527" s="23"/>
      <c r="O3527" s="17"/>
      <c r="P3527" s="17"/>
      <c r="Q3527" s="17"/>
      <c r="R3527" s="17"/>
      <c r="S3527" s="17"/>
      <c r="T3527" s="17"/>
    </row>
    <row r="3528">
      <c r="A3528" s="18">
        <v>4608.0</v>
      </c>
      <c r="B3528" s="12" t="s">
        <v>84</v>
      </c>
      <c r="C3528" s="12" t="s">
        <v>14</v>
      </c>
      <c r="D3528" s="20" t="s">
        <v>15</v>
      </c>
      <c r="E3528" s="12" t="str">
        <f>IFERROR(__xludf.DUMMYFUNCTION("FILTER(colegios!$B$2:$B5618,colegios!$A$2:$A5618=L3528)"),"36166 HEROES 29 DE AGOSTO")</f>
        <v>36166 HEROES 29 DE AGOSTO</v>
      </c>
      <c r="F3528" s="14" t="s">
        <v>16</v>
      </c>
      <c r="G3528" s="20" t="s">
        <v>17</v>
      </c>
      <c r="H3528" s="14" t="s">
        <v>18</v>
      </c>
      <c r="I3528" s="15">
        <v>2022.0</v>
      </c>
      <c r="J3528" s="16" t="str">
        <f>IFERROR(__xludf.DUMMYFUNCTION("FILTER('CLASFICACIÓN'!$F$3:$F5618,'CLASFICACIÓN'!$G$3:$G5618=M3528)"),"SOLO LINEA BASE")</f>
        <v>SOLO LINEA BASE</v>
      </c>
      <c r="K3528" s="16" t="str">
        <f t="array" ref="K3528">IFERROR(DGET('PADD-R'!$B$1:$K5618,'PADD-R'!$K$1,{'PADD-R'!$B$1;E3528}),"NO PARTICIPÓ")</f>
        <v>NO PARTICIPÓ</v>
      </c>
      <c r="L3528" s="14" t="s">
        <v>167</v>
      </c>
      <c r="M3528" s="16" t="str">
        <f t="shared" si="1"/>
        <v>36166 HEROES 29 DE AGOSTO2 Primaria</v>
      </c>
      <c r="N3528" s="23"/>
      <c r="O3528" s="17"/>
      <c r="P3528" s="17"/>
      <c r="Q3528" s="17"/>
      <c r="R3528" s="17"/>
      <c r="S3528" s="17"/>
      <c r="T3528" s="17"/>
    </row>
    <row r="3529">
      <c r="A3529" s="18">
        <v>4609.0</v>
      </c>
      <c r="B3529" s="12" t="s">
        <v>84</v>
      </c>
      <c r="C3529" s="12" t="s">
        <v>14</v>
      </c>
      <c r="D3529" s="20" t="s">
        <v>15</v>
      </c>
      <c r="E3529" s="12" t="str">
        <f>IFERROR(__xludf.DUMMYFUNCTION("FILTER(colegios!$B$2:$B5618,colegios!$A$2:$A5618=L3529)"),"36166 HEROES 29 DE AGOSTO")</f>
        <v>36166 HEROES 29 DE AGOSTO</v>
      </c>
      <c r="F3529" s="14" t="s">
        <v>16</v>
      </c>
      <c r="G3529" s="20" t="s">
        <v>17</v>
      </c>
      <c r="H3529" s="14" t="s">
        <v>18</v>
      </c>
      <c r="I3529" s="15">
        <v>2022.0</v>
      </c>
      <c r="J3529" s="16" t="str">
        <f>IFERROR(__xludf.DUMMYFUNCTION("FILTER('CLASFICACIÓN'!$F$3:$F5618,'CLASFICACIÓN'!$G$3:$G5618=M3529)"),"SOLO LINEA BASE")</f>
        <v>SOLO LINEA BASE</v>
      </c>
      <c r="K3529" s="16" t="str">
        <f t="array" ref="K3529">IFERROR(DGET('PADD-R'!$B$1:$K5618,'PADD-R'!$K$1,{'PADD-R'!$B$1;E3529}),"NO PARTICIPÓ")</f>
        <v>NO PARTICIPÓ</v>
      </c>
      <c r="L3529" s="14" t="s">
        <v>167</v>
      </c>
      <c r="M3529" s="16" t="str">
        <f t="shared" si="1"/>
        <v>36166 HEROES 29 DE AGOSTO2 Primaria</v>
      </c>
      <c r="N3529" s="23"/>
      <c r="O3529" s="17"/>
      <c r="P3529" s="17"/>
      <c r="Q3529" s="17"/>
      <c r="R3529" s="17"/>
      <c r="S3529" s="17"/>
      <c r="T3529" s="17"/>
    </row>
    <row r="3530">
      <c r="A3530" s="18">
        <v>4610.0</v>
      </c>
      <c r="B3530" s="12" t="s">
        <v>84</v>
      </c>
      <c r="C3530" s="12" t="s">
        <v>14</v>
      </c>
      <c r="D3530" s="20" t="s">
        <v>15</v>
      </c>
      <c r="E3530" s="12" t="str">
        <f>IFERROR(__xludf.DUMMYFUNCTION("FILTER(colegios!$B$2:$B5618,colegios!$A$2:$A5618=L3530)"),"36166 HEROES 29 DE AGOSTO")</f>
        <v>36166 HEROES 29 DE AGOSTO</v>
      </c>
      <c r="F3530" s="14" t="s">
        <v>16</v>
      </c>
      <c r="G3530" s="20" t="s">
        <v>21</v>
      </c>
      <c r="H3530" s="14" t="s">
        <v>18</v>
      </c>
      <c r="I3530" s="15">
        <v>2022.0</v>
      </c>
      <c r="J3530" s="16" t="str">
        <f>IFERROR(__xludf.DUMMYFUNCTION("FILTER('CLASFICACIÓN'!$F$3:$F5618,'CLASFICACIÓN'!$G$3:$G5618=M3530)"),"SOLO LINEA BASE")</f>
        <v>SOLO LINEA BASE</v>
      </c>
      <c r="K3530" s="16" t="str">
        <f t="array" ref="K3530">IFERROR(DGET('PADD-R'!$B$1:$K5618,'PADD-R'!$K$1,{'PADD-R'!$B$1;E3530}),"NO PARTICIPÓ")</f>
        <v>NO PARTICIPÓ</v>
      </c>
      <c r="L3530" s="14" t="s">
        <v>167</v>
      </c>
      <c r="M3530" s="16" t="str">
        <f t="shared" si="1"/>
        <v>36166 HEROES 29 DE AGOSTO2 Primaria</v>
      </c>
      <c r="N3530" s="23"/>
      <c r="O3530" s="17"/>
      <c r="P3530" s="17"/>
      <c r="Q3530" s="17"/>
      <c r="R3530" s="17"/>
      <c r="S3530" s="17"/>
      <c r="T3530" s="17"/>
    </row>
    <row r="3531">
      <c r="A3531" s="18">
        <v>4611.0</v>
      </c>
      <c r="B3531" s="12" t="s">
        <v>84</v>
      </c>
      <c r="C3531" s="12" t="s">
        <v>14</v>
      </c>
      <c r="D3531" s="20" t="s">
        <v>15</v>
      </c>
      <c r="E3531" s="12" t="str">
        <f>IFERROR(__xludf.DUMMYFUNCTION("FILTER(colegios!$B$2:$B5618,colegios!$A$2:$A5618=L3531)"),"36166 HEROES 29 DE AGOSTO")</f>
        <v>36166 HEROES 29 DE AGOSTO</v>
      </c>
      <c r="F3531" s="14" t="s">
        <v>16</v>
      </c>
      <c r="G3531" s="20" t="s">
        <v>17</v>
      </c>
      <c r="H3531" s="14" t="s">
        <v>24</v>
      </c>
      <c r="I3531" s="15">
        <v>2022.0</v>
      </c>
      <c r="J3531" s="16" t="str">
        <f>IFERROR(__xludf.DUMMYFUNCTION("FILTER('CLASFICACIÓN'!$F$3:$F5618,'CLASFICACIÓN'!$G$3:$G5618=M3531)"),"SOLO LINEA BASE")</f>
        <v>SOLO LINEA BASE</v>
      </c>
      <c r="K3531" s="16" t="str">
        <f t="array" ref="K3531">IFERROR(DGET('PADD-R'!$B$1:$K5618,'PADD-R'!$K$1,{'PADD-R'!$B$1;E3531}),"NO PARTICIPÓ")</f>
        <v>NO PARTICIPÓ</v>
      </c>
      <c r="L3531" s="14" t="s">
        <v>167</v>
      </c>
      <c r="M3531" s="16" t="str">
        <f t="shared" si="1"/>
        <v>36166 HEROES 29 DE AGOSTO2 Primaria</v>
      </c>
      <c r="N3531" s="23"/>
      <c r="O3531" s="17"/>
      <c r="P3531" s="17"/>
      <c r="Q3531" s="17"/>
      <c r="R3531" s="17"/>
      <c r="S3531" s="17"/>
      <c r="T3531" s="17"/>
    </row>
    <row r="3532">
      <c r="A3532" s="18">
        <v>4612.0</v>
      </c>
      <c r="B3532" s="12" t="s">
        <v>84</v>
      </c>
      <c r="C3532" s="12" t="s">
        <v>14</v>
      </c>
      <c r="D3532" s="20" t="s">
        <v>15</v>
      </c>
      <c r="E3532" s="12" t="str">
        <f>IFERROR(__xludf.DUMMYFUNCTION("FILTER(colegios!$B$2:$B5618,colegios!$A$2:$A5618=L3532)"),"36166 HEROES 29 DE AGOSTO")</f>
        <v>36166 HEROES 29 DE AGOSTO</v>
      </c>
      <c r="F3532" s="14" t="s">
        <v>16</v>
      </c>
      <c r="G3532" s="20" t="s">
        <v>17</v>
      </c>
      <c r="H3532" s="14" t="s">
        <v>24</v>
      </c>
      <c r="I3532" s="15">
        <v>2022.0</v>
      </c>
      <c r="J3532" s="16" t="str">
        <f>IFERROR(__xludf.DUMMYFUNCTION("FILTER('CLASFICACIÓN'!$F$3:$F5618,'CLASFICACIÓN'!$G$3:$G5618=M3532)"),"SOLO LINEA BASE")</f>
        <v>SOLO LINEA BASE</v>
      </c>
      <c r="K3532" s="16" t="str">
        <f t="array" ref="K3532">IFERROR(DGET('PADD-R'!$B$1:$K5618,'PADD-R'!$K$1,{'PADD-R'!$B$1;E3532}),"NO PARTICIPÓ")</f>
        <v>NO PARTICIPÓ</v>
      </c>
      <c r="L3532" s="14" t="s">
        <v>167</v>
      </c>
      <c r="M3532" s="16" t="str">
        <f t="shared" si="1"/>
        <v>36166 HEROES 29 DE AGOSTO2 Primaria</v>
      </c>
      <c r="N3532" s="23"/>
      <c r="O3532" s="17"/>
      <c r="P3532" s="17"/>
      <c r="Q3532" s="17"/>
      <c r="R3532" s="17"/>
      <c r="S3532" s="17"/>
      <c r="T3532" s="17"/>
    </row>
    <row r="3533">
      <c r="A3533" s="18">
        <v>4613.0</v>
      </c>
      <c r="B3533" s="12" t="s">
        <v>84</v>
      </c>
      <c r="C3533" s="12" t="s">
        <v>14</v>
      </c>
      <c r="D3533" s="20" t="s">
        <v>15</v>
      </c>
      <c r="E3533" s="12" t="str">
        <f>IFERROR(__xludf.DUMMYFUNCTION("FILTER(colegios!$B$2:$B5618,colegios!$A$2:$A5618=L3533)"),"36166 HEROES 29 DE AGOSTO")</f>
        <v>36166 HEROES 29 DE AGOSTO</v>
      </c>
      <c r="F3533" s="14" t="s">
        <v>16</v>
      </c>
      <c r="G3533" s="20" t="s">
        <v>17</v>
      </c>
      <c r="H3533" s="14" t="s">
        <v>18</v>
      </c>
      <c r="I3533" s="15">
        <v>2022.0</v>
      </c>
      <c r="J3533" s="16" t="str">
        <f>IFERROR(__xludf.DUMMYFUNCTION("FILTER('CLASFICACIÓN'!$F$3:$F5618,'CLASFICACIÓN'!$G$3:$G5618=M3533)"),"SOLO LINEA BASE")</f>
        <v>SOLO LINEA BASE</v>
      </c>
      <c r="K3533" s="16" t="str">
        <f t="array" ref="K3533">IFERROR(DGET('PADD-R'!$B$1:$K5618,'PADD-R'!$K$1,{'PADD-R'!$B$1;E3533}),"NO PARTICIPÓ")</f>
        <v>NO PARTICIPÓ</v>
      </c>
      <c r="L3533" s="14" t="s">
        <v>167</v>
      </c>
      <c r="M3533" s="16" t="str">
        <f t="shared" si="1"/>
        <v>36166 HEROES 29 DE AGOSTO2 Primaria</v>
      </c>
      <c r="N3533" s="23"/>
      <c r="O3533" s="17"/>
      <c r="P3533" s="17"/>
      <c r="Q3533" s="17"/>
      <c r="R3533" s="17"/>
      <c r="S3533" s="17"/>
      <c r="T3533" s="17"/>
    </row>
    <row r="3534">
      <c r="A3534" s="18">
        <v>4614.0</v>
      </c>
      <c r="B3534" s="12" t="s">
        <v>84</v>
      </c>
      <c r="C3534" s="12" t="s">
        <v>14</v>
      </c>
      <c r="D3534" s="20" t="s">
        <v>15</v>
      </c>
      <c r="E3534" s="12" t="str">
        <f>IFERROR(__xludf.DUMMYFUNCTION("FILTER(colegios!$B$2:$B5618,colegios!$A$2:$A5618=L3534)"),"36166 HEROES 29 DE AGOSTO")</f>
        <v>36166 HEROES 29 DE AGOSTO</v>
      </c>
      <c r="F3534" s="14" t="s">
        <v>16</v>
      </c>
      <c r="G3534" s="20" t="s">
        <v>21</v>
      </c>
      <c r="H3534" s="14" t="s">
        <v>18</v>
      </c>
      <c r="I3534" s="15">
        <v>2022.0</v>
      </c>
      <c r="J3534" s="16" t="str">
        <f>IFERROR(__xludf.DUMMYFUNCTION("FILTER('CLASFICACIÓN'!$F$3:$F5618,'CLASFICACIÓN'!$G$3:$G5618=M3534)"),"SOLO LINEA BASE")</f>
        <v>SOLO LINEA BASE</v>
      </c>
      <c r="K3534" s="16" t="str">
        <f t="array" ref="K3534">IFERROR(DGET('PADD-R'!$B$1:$K5618,'PADD-R'!$K$1,{'PADD-R'!$B$1;E3534}),"NO PARTICIPÓ")</f>
        <v>NO PARTICIPÓ</v>
      </c>
      <c r="L3534" s="14" t="s">
        <v>167</v>
      </c>
      <c r="M3534" s="16" t="str">
        <f t="shared" si="1"/>
        <v>36166 HEROES 29 DE AGOSTO2 Primaria</v>
      </c>
      <c r="N3534" s="23"/>
      <c r="O3534" s="17"/>
      <c r="P3534" s="17"/>
      <c r="Q3534" s="17"/>
      <c r="R3534" s="17"/>
      <c r="S3534" s="17"/>
      <c r="T3534" s="17"/>
    </row>
    <row r="3535">
      <c r="A3535" s="18">
        <v>4615.0</v>
      </c>
      <c r="B3535" s="12" t="s">
        <v>84</v>
      </c>
      <c r="C3535" s="12" t="s">
        <v>14</v>
      </c>
      <c r="D3535" s="20" t="s">
        <v>15</v>
      </c>
      <c r="E3535" s="12" t="str">
        <f>IFERROR(__xludf.DUMMYFUNCTION("FILTER(colegios!$B$2:$B5618,colegios!$A$2:$A5618=L3535)"),"36166 HEROES 29 DE AGOSTO")</f>
        <v>36166 HEROES 29 DE AGOSTO</v>
      </c>
      <c r="F3535" s="14" t="s">
        <v>16</v>
      </c>
      <c r="G3535" s="20" t="s">
        <v>17</v>
      </c>
      <c r="H3535" s="14" t="s">
        <v>18</v>
      </c>
      <c r="I3535" s="15">
        <v>2022.0</v>
      </c>
      <c r="J3535" s="16" t="str">
        <f>IFERROR(__xludf.DUMMYFUNCTION("FILTER('CLASFICACIÓN'!$F$3:$F5618,'CLASFICACIÓN'!$G$3:$G5618=M3535)"),"SOLO LINEA BASE")</f>
        <v>SOLO LINEA BASE</v>
      </c>
      <c r="K3535" s="16" t="str">
        <f t="array" ref="K3535">IFERROR(DGET('PADD-R'!$B$1:$K5618,'PADD-R'!$K$1,{'PADD-R'!$B$1;E3535}),"NO PARTICIPÓ")</f>
        <v>NO PARTICIPÓ</v>
      </c>
      <c r="L3535" s="14" t="s">
        <v>167</v>
      </c>
      <c r="M3535" s="16" t="str">
        <f t="shared" si="1"/>
        <v>36166 HEROES 29 DE AGOSTO2 Primaria</v>
      </c>
      <c r="N3535" s="23"/>
      <c r="O3535" s="17"/>
      <c r="P3535" s="17"/>
      <c r="Q3535" s="17"/>
      <c r="R3535" s="17"/>
      <c r="S3535" s="17"/>
      <c r="T3535" s="17"/>
    </row>
    <row r="3536">
      <c r="A3536" s="18">
        <v>4616.0</v>
      </c>
      <c r="B3536" s="12" t="s">
        <v>84</v>
      </c>
      <c r="C3536" s="12" t="s">
        <v>14</v>
      </c>
      <c r="D3536" s="20" t="s">
        <v>15</v>
      </c>
      <c r="E3536" s="12" t="str">
        <f>IFERROR(__xludf.DUMMYFUNCTION("FILTER(colegios!$B$2:$B5618,colegios!$A$2:$A5618=L3536)"),"36166 HEROES 29 DE AGOSTO")</f>
        <v>36166 HEROES 29 DE AGOSTO</v>
      </c>
      <c r="F3536" s="14" t="s">
        <v>16</v>
      </c>
      <c r="G3536" s="20" t="s">
        <v>21</v>
      </c>
      <c r="H3536" s="14" t="s">
        <v>18</v>
      </c>
      <c r="I3536" s="15">
        <v>2022.0</v>
      </c>
      <c r="J3536" s="16" t="str">
        <f>IFERROR(__xludf.DUMMYFUNCTION("FILTER('CLASFICACIÓN'!$F$3:$F5618,'CLASFICACIÓN'!$G$3:$G5618=M3536)"),"SOLO LINEA BASE")</f>
        <v>SOLO LINEA BASE</v>
      </c>
      <c r="K3536" s="16" t="str">
        <f t="array" ref="K3536">IFERROR(DGET('PADD-R'!$B$1:$K5618,'PADD-R'!$K$1,{'PADD-R'!$B$1;E3536}),"NO PARTICIPÓ")</f>
        <v>NO PARTICIPÓ</v>
      </c>
      <c r="L3536" s="14" t="s">
        <v>167</v>
      </c>
      <c r="M3536" s="16" t="str">
        <f t="shared" si="1"/>
        <v>36166 HEROES 29 DE AGOSTO2 Primaria</v>
      </c>
      <c r="N3536" s="23"/>
      <c r="O3536" s="17"/>
      <c r="P3536" s="17"/>
      <c r="Q3536" s="17"/>
      <c r="R3536" s="17"/>
      <c r="S3536" s="17"/>
      <c r="T3536" s="17"/>
    </row>
    <row r="3537">
      <c r="A3537" s="18">
        <v>4617.0</v>
      </c>
      <c r="B3537" s="12" t="s">
        <v>84</v>
      </c>
      <c r="C3537" s="12" t="s">
        <v>14</v>
      </c>
      <c r="D3537" s="20" t="s">
        <v>20</v>
      </c>
      <c r="E3537" s="12" t="str">
        <f>IFERROR(__xludf.DUMMYFUNCTION("FILTER(colegios!$B$2:$B5618,colegios!$A$2:$A5618=L3537)"),"36166 HEROES 29 DE AGOSTO")</f>
        <v>36166 HEROES 29 DE AGOSTO</v>
      </c>
      <c r="F3537" s="14" t="s">
        <v>16</v>
      </c>
      <c r="G3537" s="20" t="s">
        <v>21</v>
      </c>
      <c r="H3537" s="14" t="s">
        <v>24</v>
      </c>
      <c r="I3537" s="15">
        <v>2022.0</v>
      </c>
      <c r="J3537" s="16" t="str">
        <f>IFERROR(__xludf.DUMMYFUNCTION("FILTER('CLASFICACIÓN'!$F$3:$F5618,'CLASFICACIÓN'!$G$3:$G5618=M3537)"),"SOLO LINEA BASE")</f>
        <v>SOLO LINEA BASE</v>
      </c>
      <c r="K3537" s="16" t="str">
        <f t="array" ref="K3537">IFERROR(DGET('PADD-R'!$B$1:$K5618,'PADD-R'!$K$1,{'PADD-R'!$B$1;E3537}),"NO PARTICIPÓ")</f>
        <v>NO PARTICIPÓ</v>
      </c>
      <c r="L3537" s="14" t="s">
        <v>167</v>
      </c>
      <c r="M3537" s="16" t="str">
        <f t="shared" si="1"/>
        <v>36166 HEROES 29 DE AGOSTO4 Primaria</v>
      </c>
      <c r="N3537" s="23"/>
      <c r="O3537" s="17"/>
      <c r="P3537" s="17"/>
      <c r="Q3537" s="17"/>
      <c r="R3537" s="17"/>
      <c r="S3537" s="17"/>
      <c r="T3537" s="17"/>
    </row>
    <row r="3538">
      <c r="A3538" s="18">
        <v>4618.0</v>
      </c>
      <c r="B3538" s="12" t="s">
        <v>84</v>
      </c>
      <c r="C3538" s="12" t="s">
        <v>14</v>
      </c>
      <c r="D3538" s="20" t="s">
        <v>20</v>
      </c>
      <c r="E3538" s="12" t="str">
        <f>IFERROR(__xludf.DUMMYFUNCTION("FILTER(colegios!$B$2:$B5618,colegios!$A$2:$A5618=L3538)"),"36166 HEROES 29 DE AGOSTO")</f>
        <v>36166 HEROES 29 DE AGOSTO</v>
      </c>
      <c r="F3538" s="14" t="s">
        <v>16</v>
      </c>
      <c r="G3538" s="20" t="s">
        <v>21</v>
      </c>
      <c r="H3538" s="14" t="s">
        <v>24</v>
      </c>
      <c r="I3538" s="15">
        <v>2022.0</v>
      </c>
      <c r="J3538" s="16" t="str">
        <f>IFERROR(__xludf.DUMMYFUNCTION("FILTER('CLASFICACIÓN'!$F$3:$F5618,'CLASFICACIÓN'!$G$3:$G5618=M3538)"),"SOLO LINEA BASE")</f>
        <v>SOLO LINEA BASE</v>
      </c>
      <c r="K3538" s="16" t="str">
        <f t="array" ref="K3538">IFERROR(DGET('PADD-R'!$B$1:$K5618,'PADD-R'!$K$1,{'PADD-R'!$B$1;E3538}),"NO PARTICIPÓ")</f>
        <v>NO PARTICIPÓ</v>
      </c>
      <c r="L3538" s="14" t="s">
        <v>167</v>
      </c>
      <c r="M3538" s="16" t="str">
        <f t="shared" si="1"/>
        <v>36166 HEROES 29 DE AGOSTO4 Primaria</v>
      </c>
      <c r="N3538" s="23"/>
      <c r="O3538" s="17"/>
      <c r="P3538" s="17"/>
      <c r="Q3538" s="17"/>
      <c r="R3538" s="17"/>
      <c r="S3538" s="17"/>
      <c r="T3538" s="17"/>
    </row>
    <row r="3539">
      <c r="A3539" s="18">
        <v>4619.0</v>
      </c>
      <c r="B3539" s="12" t="s">
        <v>84</v>
      </c>
      <c r="C3539" s="12" t="s">
        <v>14</v>
      </c>
      <c r="D3539" s="20" t="s">
        <v>20</v>
      </c>
      <c r="E3539" s="12" t="str">
        <f>IFERROR(__xludf.DUMMYFUNCTION("FILTER(colegios!$B$2:$B5618,colegios!$A$2:$A5618=L3539)"),"36166 HEROES 29 DE AGOSTO")</f>
        <v>36166 HEROES 29 DE AGOSTO</v>
      </c>
      <c r="F3539" s="14" t="s">
        <v>16</v>
      </c>
      <c r="G3539" s="20" t="s">
        <v>17</v>
      </c>
      <c r="H3539" s="14" t="s">
        <v>18</v>
      </c>
      <c r="I3539" s="15">
        <v>2022.0</v>
      </c>
      <c r="J3539" s="16" t="str">
        <f>IFERROR(__xludf.DUMMYFUNCTION("FILTER('CLASFICACIÓN'!$F$3:$F5618,'CLASFICACIÓN'!$G$3:$G5618=M3539)"),"SOLO LINEA BASE")</f>
        <v>SOLO LINEA BASE</v>
      </c>
      <c r="K3539" s="16" t="str">
        <f t="array" ref="K3539">IFERROR(DGET('PADD-R'!$B$1:$K5618,'PADD-R'!$K$1,{'PADD-R'!$B$1;E3539}),"NO PARTICIPÓ")</f>
        <v>NO PARTICIPÓ</v>
      </c>
      <c r="L3539" s="14" t="s">
        <v>167</v>
      </c>
      <c r="M3539" s="16" t="str">
        <f t="shared" si="1"/>
        <v>36166 HEROES 29 DE AGOSTO4 Primaria</v>
      </c>
      <c r="N3539" s="23"/>
      <c r="O3539" s="17"/>
      <c r="P3539" s="17"/>
      <c r="Q3539" s="17"/>
      <c r="R3539" s="17"/>
      <c r="S3539" s="17"/>
      <c r="T3539" s="17"/>
    </row>
    <row r="3540">
      <c r="A3540" s="18">
        <v>4620.0</v>
      </c>
      <c r="B3540" s="12" t="s">
        <v>84</v>
      </c>
      <c r="C3540" s="12" t="s">
        <v>14</v>
      </c>
      <c r="D3540" s="20" t="s">
        <v>20</v>
      </c>
      <c r="E3540" s="12" t="str">
        <f>IFERROR(__xludf.DUMMYFUNCTION("FILTER(colegios!$B$2:$B5618,colegios!$A$2:$A5618=L3540)"),"36166 HEROES 29 DE AGOSTO")</f>
        <v>36166 HEROES 29 DE AGOSTO</v>
      </c>
      <c r="F3540" s="14" t="s">
        <v>16</v>
      </c>
      <c r="G3540" s="20" t="s">
        <v>21</v>
      </c>
      <c r="H3540" s="14" t="s">
        <v>18</v>
      </c>
      <c r="I3540" s="15">
        <v>2022.0</v>
      </c>
      <c r="J3540" s="16" t="str">
        <f>IFERROR(__xludf.DUMMYFUNCTION("FILTER('CLASFICACIÓN'!$F$3:$F5618,'CLASFICACIÓN'!$G$3:$G5618=M3540)"),"SOLO LINEA BASE")</f>
        <v>SOLO LINEA BASE</v>
      </c>
      <c r="K3540" s="16" t="str">
        <f t="array" ref="K3540">IFERROR(DGET('PADD-R'!$B$1:$K5618,'PADD-R'!$K$1,{'PADD-R'!$B$1;E3540}),"NO PARTICIPÓ")</f>
        <v>NO PARTICIPÓ</v>
      </c>
      <c r="L3540" s="14" t="s">
        <v>167</v>
      </c>
      <c r="M3540" s="16" t="str">
        <f t="shared" si="1"/>
        <v>36166 HEROES 29 DE AGOSTO4 Primaria</v>
      </c>
      <c r="N3540" s="23"/>
      <c r="O3540" s="17"/>
      <c r="P3540" s="17"/>
      <c r="Q3540" s="17"/>
      <c r="R3540" s="17"/>
      <c r="S3540" s="17"/>
      <c r="T3540" s="17"/>
    </row>
    <row r="3541">
      <c r="A3541" s="18">
        <v>4621.0</v>
      </c>
      <c r="B3541" s="12" t="s">
        <v>84</v>
      </c>
      <c r="C3541" s="12" t="s">
        <v>14</v>
      </c>
      <c r="D3541" s="20" t="s">
        <v>20</v>
      </c>
      <c r="E3541" s="12" t="str">
        <f>IFERROR(__xludf.DUMMYFUNCTION("FILTER(colegios!$B$2:$B5618,colegios!$A$2:$A5618=L3541)"),"36166 HEROES 29 DE AGOSTO")</f>
        <v>36166 HEROES 29 DE AGOSTO</v>
      </c>
      <c r="F3541" s="14" t="s">
        <v>16</v>
      </c>
      <c r="G3541" s="20" t="s">
        <v>21</v>
      </c>
      <c r="H3541" s="14" t="s">
        <v>24</v>
      </c>
      <c r="I3541" s="15">
        <v>2022.0</v>
      </c>
      <c r="J3541" s="16" t="str">
        <f>IFERROR(__xludf.DUMMYFUNCTION("FILTER('CLASFICACIÓN'!$F$3:$F5618,'CLASFICACIÓN'!$G$3:$G5618=M3541)"),"SOLO LINEA BASE")</f>
        <v>SOLO LINEA BASE</v>
      </c>
      <c r="K3541" s="16" t="str">
        <f t="array" ref="K3541">IFERROR(DGET('PADD-R'!$B$1:$K5618,'PADD-R'!$K$1,{'PADD-R'!$B$1;E3541}),"NO PARTICIPÓ")</f>
        <v>NO PARTICIPÓ</v>
      </c>
      <c r="L3541" s="14" t="s">
        <v>167</v>
      </c>
      <c r="M3541" s="16" t="str">
        <f t="shared" si="1"/>
        <v>36166 HEROES 29 DE AGOSTO4 Primaria</v>
      </c>
      <c r="N3541" s="23"/>
      <c r="O3541" s="17"/>
      <c r="P3541" s="17"/>
      <c r="Q3541" s="17"/>
      <c r="R3541" s="17"/>
      <c r="S3541" s="17"/>
      <c r="T3541" s="17"/>
    </row>
    <row r="3542">
      <c r="A3542" s="18">
        <v>4622.0</v>
      </c>
      <c r="B3542" s="12" t="s">
        <v>84</v>
      </c>
      <c r="C3542" s="12" t="s">
        <v>14</v>
      </c>
      <c r="D3542" s="20" t="s">
        <v>20</v>
      </c>
      <c r="E3542" s="12" t="str">
        <f>IFERROR(__xludf.DUMMYFUNCTION("FILTER(colegios!$B$2:$B5618,colegios!$A$2:$A5618=L3542)"),"36166 HEROES 29 DE AGOSTO")</f>
        <v>36166 HEROES 29 DE AGOSTO</v>
      </c>
      <c r="F3542" s="14" t="s">
        <v>16</v>
      </c>
      <c r="G3542" s="20" t="s">
        <v>17</v>
      </c>
      <c r="H3542" s="14" t="s">
        <v>24</v>
      </c>
      <c r="I3542" s="15">
        <v>2022.0</v>
      </c>
      <c r="J3542" s="16" t="str">
        <f>IFERROR(__xludf.DUMMYFUNCTION("FILTER('CLASFICACIÓN'!$F$3:$F5618,'CLASFICACIÓN'!$G$3:$G5618=M3542)"),"SOLO LINEA BASE")</f>
        <v>SOLO LINEA BASE</v>
      </c>
      <c r="K3542" s="16" t="str">
        <f t="array" ref="K3542">IFERROR(DGET('PADD-R'!$B$1:$K5618,'PADD-R'!$K$1,{'PADD-R'!$B$1;E3542}),"NO PARTICIPÓ")</f>
        <v>NO PARTICIPÓ</v>
      </c>
      <c r="L3542" s="14" t="s">
        <v>167</v>
      </c>
      <c r="M3542" s="16" t="str">
        <f t="shared" si="1"/>
        <v>36166 HEROES 29 DE AGOSTO4 Primaria</v>
      </c>
      <c r="N3542" s="23"/>
      <c r="O3542" s="17"/>
      <c r="P3542" s="17"/>
      <c r="Q3542" s="17"/>
      <c r="R3542" s="17"/>
      <c r="S3542" s="17"/>
      <c r="T3542" s="17"/>
    </row>
    <row r="3543">
      <c r="A3543" s="18">
        <v>4623.0</v>
      </c>
      <c r="B3543" s="12" t="s">
        <v>84</v>
      </c>
      <c r="C3543" s="12" t="s">
        <v>14</v>
      </c>
      <c r="D3543" s="20" t="s">
        <v>20</v>
      </c>
      <c r="E3543" s="12" t="str">
        <f>IFERROR(__xludf.DUMMYFUNCTION("FILTER(colegios!$B$2:$B5618,colegios!$A$2:$A5618=L3543)"),"36166 HEROES 29 DE AGOSTO")</f>
        <v>36166 HEROES 29 DE AGOSTO</v>
      </c>
      <c r="F3543" s="14" t="s">
        <v>16</v>
      </c>
      <c r="G3543" s="20" t="s">
        <v>17</v>
      </c>
      <c r="H3543" s="14" t="s">
        <v>18</v>
      </c>
      <c r="I3543" s="15">
        <v>2022.0</v>
      </c>
      <c r="J3543" s="16" t="str">
        <f>IFERROR(__xludf.DUMMYFUNCTION("FILTER('CLASFICACIÓN'!$F$3:$F5618,'CLASFICACIÓN'!$G$3:$G5618=M3543)"),"SOLO LINEA BASE")</f>
        <v>SOLO LINEA BASE</v>
      </c>
      <c r="K3543" s="16" t="str">
        <f t="array" ref="K3543">IFERROR(DGET('PADD-R'!$B$1:$K5618,'PADD-R'!$K$1,{'PADD-R'!$B$1;E3543}),"NO PARTICIPÓ")</f>
        <v>NO PARTICIPÓ</v>
      </c>
      <c r="L3543" s="14" t="s">
        <v>167</v>
      </c>
      <c r="M3543" s="16" t="str">
        <f t="shared" si="1"/>
        <v>36166 HEROES 29 DE AGOSTO4 Primaria</v>
      </c>
      <c r="N3543" s="23"/>
      <c r="O3543" s="17"/>
      <c r="P3543" s="17"/>
      <c r="Q3543" s="17"/>
      <c r="R3543" s="17"/>
      <c r="S3543" s="17"/>
      <c r="T3543" s="17"/>
    </row>
    <row r="3544">
      <c r="A3544" s="18">
        <v>4624.0</v>
      </c>
      <c r="B3544" s="12" t="s">
        <v>84</v>
      </c>
      <c r="C3544" s="12" t="s">
        <v>14</v>
      </c>
      <c r="D3544" s="20" t="s">
        <v>20</v>
      </c>
      <c r="E3544" s="12" t="str">
        <f>IFERROR(__xludf.DUMMYFUNCTION("FILTER(colegios!$B$2:$B5618,colegios!$A$2:$A5618=L3544)"),"36166 HEROES 29 DE AGOSTO")</f>
        <v>36166 HEROES 29 DE AGOSTO</v>
      </c>
      <c r="F3544" s="14" t="s">
        <v>16</v>
      </c>
      <c r="G3544" s="20" t="s">
        <v>17</v>
      </c>
      <c r="H3544" s="14" t="s">
        <v>18</v>
      </c>
      <c r="I3544" s="15">
        <v>2022.0</v>
      </c>
      <c r="J3544" s="16" t="str">
        <f>IFERROR(__xludf.DUMMYFUNCTION("FILTER('CLASFICACIÓN'!$F$3:$F5618,'CLASFICACIÓN'!$G$3:$G5618=M3544)"),"SOLO LINEA BASE")</f>
        <v>SOLO LINEA BASE</v>
      </c>
      <c r="K3544" s="16" t="str">
        <f t="array" ref="K3544">IFERROR(DGET('PADD-R'!$B$1:$K5618,'PADD-R'!$K$1,{'PADD-R'!$B$1;E3544}),"NO PARTICIPÓ")</f>
        <v>NO PARTICIPÓ</v>
      </c>
      <c r="L3544" s="14" t="s">
        <v>167</v>
      </c>
      <c r="M3544" s="16" t="str">
        <f t="shared" si="1"/>
        <v>36166 HEROES 29 DE AGOSTO4 Primaria</v>
      </c>
      <c r="N3544" s="23"/>
      <c r="O3544" s="17"/>
      <c r="P3544" s="17"/>
      <c r="Q3544" s="17"/>
      <c r="R3544" s="17"/>
      <c r="S3544" s="17"/>
      <c r="T3544" s="17"/>
    </row>
    <row r="3545">
      <c r="A3545" s="18">
        <v>4625.0</v>
      </c>
      <c r="B3545" s="12" t="s">
        <v>84</v>
      </c>
      <c r="C3545" s="12" t="s">
        <v>14</v>
      </c>
      <c r="D3545" s="20" t="s">
        <v>20</v>
      </c>
      <c r="E3545" s="12" t="str">
        <f>IFERROR(__xludf.DUMMYFUNCTION("FILTER(colegios!$B$2:$B5618,colegios!$A$2:$A5618=L3545)"),"36166 HEROES 29 DE AGOSTO")</f>
        <v>36166 HEROES 29 DE AGOSTO</v>
      </c>
      <c r="F3545" s="14" t="s">
        <v>16</v>
      </c>
      <c r="G3545" s="20" t="s">
        <v>21</v>
      </c>
      <c r="H3545" s="14" t="s">
        <v>18</v>
      </c>
      <c r="I3545" s="15">
        <v>2022.0</v>
      </c>
      <c r="J3545" s="16" t="str">
        <f>IFERROR(__xludf.DUMMYFUNCTION("FILTER('CLASFICACIÓN'!$F$3:$F5618,'CLASFICACIÓN'!$G$3:$G5618=M3545)"),"SOLO LINEA BASE")</f>
        <v>SOLO LINEA BASE</v>
      </c>
      <c r="K3545" s="16" t="str">
        <f t="array" ref="K3545">IFERROR(DGET('PADD-R'!$B$1:$K5618,'PADD-R'!$K$1,{'PADD-R'!$B$1;E3545}),"NO PARTICIPÓ")</f>
        <v>NO PARTICIPÓ</v>
      </c>
      <c r="L3545" s="14" t="s">
        <v>167</v>
      </c>
      <c r="M3545" s="16" t="str">
        <f t="shared" si="1"/>
        <v>36166 HEROES 29 DE AGOSTO4 Primaria</v>
      </c>
      <c r="N3545" s="23"/>
      <c r="O3545" s="17"/>
      <c r="P3545" s="17"/>
      <c r="Q3545" s="17"/>
      <c r="R3545" s="17"/>
      <c r="S3545" s="17"/>
      <c r="T3545" s="17"/>
    </row>
    <row r="3546">
      <c r="A3546" s="18">
        <v>4626.0</v>
      </c>
      <c r="B3546" s="12" t="s">
        <v>84</v>
      </c>
      <c r="C3546" s="12" t="s">
        <v>14</v>
      </c>
      <c r="D3546" s="20" t="s">
        <v>20</v>
      </c>
      <c r="E3546" s="12" t="str">
        <f>IFERROR(__xludf.DUMMYFUNCTION("FILTER(colegios!$B$2:$B5618,colegios!$A$2:$A5618=L3546)"),"36166 HEROES 29 DE AGOSTO")</f>
        <v>36166 HEROES 29 DE AGOSTO</v>
      </c>
      <c r="F3546" s="14" t="s">
        <v>16</v>
      </c>
      <c r="G3546" s="20" t="s">
        <v>21</v>
      </c>
      <c r="H3546" s="14" t="s">
        <v>18</v>
      </c>
      <c r="I3546" s="15">
        <v>2022.0</v>
      </c>
      <c r="J3546" s="16" t="str">
        <f>IFERROR(__xludf.DUMMYFUNCTION("FILTER('CLASFICACIÓN'!$F$3:$F5618,'CLASFICACIÓN'!$G$3:$G5618=M3546)"),"SOLO LINEA BASE")</f>
        <v>SOLO LINEA BASE</v>
      </c>
      <c r="K3546" s="16" t="str">
        <f t="array" ref="K3546">IFERROR(DGET('PADD-R'!$B$1:$K5618,'PADD-R'!$K$1,{'PADD-R'!$B$1;E3546}),"NO PARTICIPÓ")</f>
        <v>NO PARTICIPÓ</v>
      </c>
      <c r="L3546" s="14" t="s">
        <v>167</v>
      </c>
      <c r="M3546" s="16" t="str">
        <f t="shared" si="1"/>
        <v>36166 HEROES 29 DE AGOSTO4 Primaria</v>
      </c>
      <c r="N3546" s="23"/>
      <c r="O3546" s="17"/>
      <c r="P3546" s="17"/>
      <c r="Q3546" s="17"/>
      <c r="R3546" s="17"/>
      <c r="S3546" s="17"/>
      <c r="T3546" s="17"/>
    </row>
    <row r="3547">
      <c r="A3547" s="18">
        <v>4627.0</v>
      </c>
      <c r="B3547" s="12" t="s">
        <v>84</v>
      </c>
      <c r="C3547" s="12" t="s">
        <v>14</v>
      </c>
      <c r="D3547" s="20" t="s">
        <v>20</v>
      </c>
      <c r="E3547" s="12" t="str">
        <f>IFERROR(__xludf.DUMMYFUNCTION("FILTER(colegios!$B$2:$B5618,colegios!$A$2:$A5618=L3547)"),"36166 HEROES 29 DE AGOSTO")</f>
        <v>36166 HEROES 29 DE AGOSTO</v>
      </c>
      <c r="F3547" s="14" t="s">
        <v>16</v>
      </c>
      <c r="G3547" s="20" t="s">
        <v>21</v>
      </c>
      <c r="H3547" s="14" t="s">
        <v>18</v>
      </c>
      <c r="I3547" s="15">
        <v>2022.0</v>
      </c>
      <c r="J3547" s="16" t="str">
        <f>IFERROR(__xludf.DUMMYFUNCTION("FILTER('CLASFICACIÓN'!$F$3:$F5618,'CLASFICACIÓN'!$G$3:$G5618=M3547)"),"SOLO LINEA BASE")</f>
        <v>SOLO LINEA BASE</v>
      </c>
      <c r="K3547" s="16" t="str">
        <f t="array" ref="K3547">IFERROR(DGET('PADD-R'!$B$1:$K5618,'PADD-R'!$K$1,{'PADD-R'!$B$1;E3547}),"NO PARTICIPÓ")</f>
        <v>NO PARTICIPÓ</v>
      </c>
      <c r="L3547" s="14" t="s">
        <v>167</v>
      </c>
      <c r="M3547" s="16" t="str">
        <f t="shared" si="1"/>
        <v>36166 HEROES 29 DE AGOSTO4 Primaria</v>
      </c>
      <c r="N3547" s="23"/>
      <c r="O3547" s="17"/>
      <c r="P3547" s="17"/>
      <c r="Q3547" s="17"/>
      <c r="R3547" s="17"/>
      <c r="S3547" s="17"/>
      <c r="T3547" s="17"/>
    </row>
    <row r="3548">
      <c r="A3548" s="18">
        <v>4628.0</v>
      </c>
      <c r="B3548" s="12" t="s">
        <v>84</v>
      </c>
      <c r="C3548" s="12" t="s">
        <v>14</v>
      </c>
      <c r="D3548" s="20" t="s">
        <v>20</v>
      </c>
      <c r="E3548" s="12" t="str">
        <f>IFERROR(__xludf.DUMMYFUNCTION("FILTER(colegios!$B$2:$B5618,colegios!$A$2:$A5618=L3548)"),"36166 HEROES 29 DE AGOSTO")</f>
        <v>36166 HEROES 29 DE AGOSTO</v>
      </c>
      <c r="F3548" s="14" t="s">
        <v>16</v>
      </c>
      <c r="G3548" s="20" t="s">
        <v>17</v>
      </c>
      <c r="H3548" s="14" t="s">
        <v>24</v>
      </c>
      <c r="I3548" s="15">
        <v>2022.0</v>
      </c>
      <c r="J3548" s="16" t="str">
        <f>IFERROR(__xludf.DUMMYFUNCTION("FILTER('CLASFICACIÓN'!$F$3:$F5618,'CLASFICACIÓN'!$G$3:$G5618=M3548)"),"SOLO LINEA BASE")</f>
        <v>SOLO LINEA BASE</v>
      </c>
      <c r="K3548" s="16" t="str">
        <f t="array" ref="K3548">IFERROR(DGET('PADD-R'!$B$1:$K5618,'PADD-R'!$K$1,{'PADD-R'!$B$1;E3548}),"NO PARTICIPÓ")</f>
        <v>NO PARTICIPÓ</v>
      </c>
      <c r="L3548" s="14" t="s">
        <v>167</v>
      </c>
      <c r="M3548" s="16" t="str">
        <f t="shared" si="1"/>
        <v>36166 HEROES 29 DE AGOSTO4 Primaria</v>
      </c>
      <c r="N3548" s="23"/>
      <c r="O3548" s="17"/>
      <c r="P3548" s="17"/>
      <c r="Q3548" s="17"/>
      <c r="R3548" s="17"/>
      <c r="S3548" s="17"/>
      <c r="T3548" s="17"/>
    </row>
    <row r="3549">
      <c r="A3549" s="18">
        <v>4629.0</v>
      </c>
      <c r="B3549" s="12" t="s">
        <v>84</v>
      </c>
      <c r="C3549" s="12" t="s">
        <v>14</v>
      </c>
      <c r="D3549" s="20" t="s">
        <v>22</v>
      </c>
      <c r="E3549" s="12" t="str">
        <f>IFERROR(__xludf.DUMMYFUNCTION("FILTER(colegios!$B$2:$B5618,colegios!$A$2:$A5618=L3549)"),"36166 HEROES 29 DE AGOSTO")</f>
        <v>36166 HEROES 29 DE AGOSTO</v>
      </c>
      <c r="F3549" s="14" t="s">
        <v>16</v>
      </c>
      <c r="G3549" s="20" t="s">
        <v>17</v>
      </c>
      <c r="H3549" s="14" t="s">
        <v>18</v>
      </c>
      <c r="I3549" s="15">
        <v>2022.0</v>
      </c>
      <c r="J3549" s="16" t="str">
        <f>IFERROR(__xludf.DUMMYFUNCTION("FILTER('CLASFICACIÓN'!$F$3:$F5618,'CLASFICACIÓN'!$G$3:$G5618=M3549)"),"SOLO LINEA BASE")</f>
        <v>SOLO LINEA BASE</v>
      </c>
      <c r="K3549" s="16" t="str">
        <f t="array" ref="K3549">IFERROR(DGET('PADD-R'!$B$1:$K5618,'PADD-R'!$K$1,{'PADD-R'!$B$1;E3549}),"NO PARTICIPÓ")</f>
        <v>NO PARTICIPÓ</v>
      </c>
      <c r="L3549" s="14" t="s">
        <v>167</v>
      </c>
      <c r="M3549" s="16" t="str">
        <f t="shared" si="1"/>
        <v>36166 HEROES 29 DE AGOSTO6 Primaria</v>
      </c>
      <c r="N3549" s="23"/>
      <c r="O3549" s="17"/>
      <c r="P3549" s="17"/>
      <c r="Q3549" s="17"/>
      <c r="R3549" s="17"/>
      <c r="S3549" s="17"/>
      <c r="T3549" s="17"/>
    </row>
    <row r="3550">
      <c r="A3550" s="18">
        <v>4630.0</v>
      </c>
      <c r="B3550" s="12" t="s">
        <v>84</v>
      </c>
      <c r="C3550" s="12" t="s">
        <v>14</v>
      </c>
      <c r="D3550" s="20" t="s">
        <v>22</v>
      </c>
      <c r="E3550" s="12" t="str">
        <f>IFERROR(__xludf.DUMMYFUNCTION("FILTER(colegios!$B$2:$B5618,colegios!$A$2:$A5618=L3550)"),"36166 HEROES 29 DE AGOSTO")</f>
        <v>36166 HEROES 29 DE AGOSTO</v>
      </c>
      <c r="F3550" s="14" t="s">
        <v>16</v>
      </c>
      <c r="G3550" s="20" t="s">
        <v>21</v>
      </c>
      <c r="H3550" s="14" t="s">
        <v>18</v>
      </c>
      <c r="I3550" s="15">
        <v>2022.0</v>
      </c>
      <c r="J3550" s="16" t="str">
        <f>IFERROR(__xludf.DUMMYFUNCTION("FILTER('CLASFICACIÓN'!$F$3:$F5618,'CLASFICACIÓN'!$G$3:$G5618=M3550)"),"SOLO LINEA BASE")</f>
        <v>SOLO LINEA BASE</v>
      </c>
      <c r="K3550" s="16" t="str">
        <f t="array" ref="K3550">IFERROR(DGET('PADD-R'!$B$1:$K5618,'PADD-R'!$K$1,{'PADD-R'!$B$1;E3550}),"NO PARTICIPÓ")</f>
        <v>NO PARTICIPÓ</v>
      </c>
      <c r="L3550" s="14" t="s">
        <v>167</v>
      </c>
      <c r="M3550" s="16" t="str">
        <f t="shared" si="1"/>
        <v>36166 HEROES 29 DE AGOSTO6 Primaria</v>
      </c>
      <c r="N3550" s="23"/>
      <c r="O3550" s="17"/>
      <c r="P3550" s="17"/>
      <c r="Q3550" s="17"/>
      <c r="R3550" s="17"/>
      <c r="S3550" s="17"/>
      <c r="T3550" s="17"/>
    </row>
    <row r="3551">
      <c r="A3551" s="18">
        <v>4631.0</v>
      </c>
      <c r="B3551" s="12" t="s">
        <v>84</v>
      </c>
      <c r="C3551" s="12" t="s">
        <v>14</v>
      </c>
      <c r="D3551" s="20" t="s">
        <v>22</v>
      </c>
      <c r="E3551" s="12" t="str">
        <f>IFERROR(__xludf.DUMMYFUNCTION("FILTER(colegios!$B$2:$B5618,colegios!$A$2:$A5618=L3551)"),"36166 HEROES 29 DE AGOSTO")</f>
        <v>36166 HEROES 29 DE AGOSTO</v>
      </c>
      <c r="F3551" s="14" t="s">
        <v>16</v>
      </c>
      <c r="G3551" s="20" t="s">
        <v>21</v>
      </c>
      <c r="H3551" s="14" t="s">
        <v>18</v>
      </c>
      <c r="I3551" s="15">
        <v>2022.0</v>
      </c>
      <c r="J3551" s="16" t="str">
        <f>IFERROR(__xludf.DUMMYFUNCTION("FILTER('CLASFICACIÓN'!$F$3:$F5618,'CLASFICACIÓN'!$G$3:$G5618=M3551)"),"SOLO LINEA BASE")</f>
        <v>SOLO LINEA BASE</v>
      </c>
      <c r="K3551" s="16" t="str">
        <f t="array" ref="K3551">IFERROR(DGET('PADD-R'!$B$1:$K5618,'PADD-R'!$K$1,{'PADD-R'!$B$1;E3551}),"NO PARTICIPÓ")</f>
        <v>NO PARTICIPÓ</v>
      </c>
      <c r="L3551" s="14" t="s">
        <v>167</v>
      </c>
      <c r="M3551" s="16" t="str">
        <f t="shared" si="1"/>
        <v>36166 HEROES 29 DE AGOSTO6 Primaria</v>
      </c>
      <c r="N3551" s="23"/>
      <c r="O3551" s="17"/>
      <c r="P3551" s="17"/>
      <c r="Q3551" s="17"/>
      <c r="R3551" s="17"/>
      <c r="S3551" s="17"/>
      <c r="T3551" s="17"/>
    </row>
    <row r="3552">
      <c r="A3552" s="18">
        <v>4632.0</v>
      </c>
      <c r="B3552" s="12" t="s">
        <v>84</v>
      </c>
      <c r="C3552" s="12" t="s">
        <v>14</v>
      </c>
      <c r="D3552" s="20" t="s">
        <v>22</v>
      </c>
      <c r="E3552" s="12" t="str">
        <f>IFERROR(__xludf.DUMMYFUNCTION("FILTER(colegios!$B$2:$B5618,colegios!$A$2:$A5618=L3552)"),"36166 HEROES 29 DE AGOSTO")</f>
        <v>36166 HEROES 29 DE AGOSTO</v>
      </c>
      <c r="F3552" s="14" t="s">
        <v>16</v>
      </c>
      <c r="G3552" s="20" t="s">
        <v>17</v>
      </c>
      <c r="H3552" s="14" t="s">
        <v>18</v>
      </c>
      <c r="I3552" s="15">
        <v>2022.0</v>
      </c>
      <c r="J3552" s="16" t="str">
        <f>IFERROR(__xludf.DUMMYFUNCTION("FILTER('CLASFICACIÓN'!$F$3:$F5618,'CLASFICACIÓN'!$G$3:$G5618=M3552)"),"SOLO LINEA BASE")</f>
        <v>SOLO LINEA BASE</v>
      </c>
      <c r="K3552" s="16" t="str">
        <f t="array" ref="K3552">IFERROR(DGET('PADD-R'!$B$1:$K5618,'PADD-R'!$K$1,{'PADD-R'!$B$1;E3552}),"NO PARTICIPÓ")</f>
        <v>NO PARTICIPÓ</v>
      </c>
      <c r="L3552" s="14" t="s">
        <v>167</v>
      </c>
      <c r="M3552" s="16" t="str">
        <f t="shared" si="1"/>
        <v>36166 HEROES 29 DE AGOSTO6 Primaria</v>
      </c>
      <c r="N3552" s="23"/>
      <c r="O3552" s="17"/>
      <c r="P3552" s="17"/>
      <c r="Q3552" s="17"/>
      <c r="R3552" s="17"/>
      <c r="S3552" s="17"/>
      <c r="T3552" s="17"/>
    </row>
    <row r="3553">
      <c r="A3553" s="18">
        <v>4633.0</v>
      </c>
      <c r="B3553" s="12" t="s">
        <v>84</v>
      </c>
      <c r="C3553" s="12" t="s">
        <v>14</v>
      </c>
      <c r="D3553" s="20" t="s">
        <v>22</v>
      </c>
      <c r="E3553" s="12" t="str">
        <f>IFERROR(__xludf.DUMMYFUNCTION("FILTER(colegios!$B$2:$B5618,colegios!$A$2:$A5618=L3553)"),"36166 HEROES 29 DE AGOSTO")</f>
        <v>36166 HEROES 29 DE AGOSTO</v>
      </c>
      <c r="F3553" s="14" t="s">
        <v>16</v>
      </c>
      <c r="G3553" s="20" t="s">
        <v>21</v>
      </c>
      <c r="H3553" s="14" t="s">
        <v>18</v>
      </c>
      <c r="I3553" s="15">
        <v>2022.0</v>
      </c>
      <c r="J3553" s="16" t="str">
        <f>IFERROR(__xludf.DUMMYFUNCTION("FILTER('CLASFICACIÓN'!$F$3:$F5618,'CLASFICACIÓN'!$G$3:$G5618=M3553)"),"SOLO LINEA BASE")</f>
        <v>SOLO LINEA BASE</v>
      </c>
      <c r="K3553" s="16" t="str">
        <f t="array" ref="K3553">IFERROR(DGET('PADD-R'!$B$1:$K5618,'PADD-R'!$K$1,{'PADD-R'!$B$1;E3553}),"NO PARTICIPÓ")</f>
        <v>NO PARTICIPÓ</v>
      </c>
      <c r="L3553" s="14" t="s">
        <v>167</v>
      </c>
      <c r="M3553" s="16" t="str">
        <f t="shared" si="1"/>
        <v>36166 HEROES 29 DE AGOSTO6 Primaria</v>
      </c>
      <c r="N3553" s="23"/>
      <c r="O3553" s="17"/>
      <c r="P3553" s="17"/>
      <c r="Q3553" s="17"/>
      <c r="R3553" s="17"/>
      <c r="S3553" s="17"/>
      <c r="T3553" s="17"/>
    </row>
    <row r="3554">
      <c r="A3554" s="18">
        <v>4634.0</v>
      </c>
      <c r="B3554" s="12" t="s">
        <v>84</v>
      </c>
      <c r="C3554" s="12" t="s">
        <v>14</v>
      </c>
      <c r="D3554" s="20" t="s">
        <v>22</v>
      </c>
      <c r="E3554" s="12" t="str">
        <f>IFERROR(__xludf.DUMMYFUNCTION("FILTER(colegios!$B$2:$B5618,colegios!$A$2:$A5618=L3554)"),"36166 HEROES 29 DE AGOSTO")</f>
        <v>36166 HEROES 29 DE AGOSTO</v>
      </c>
      <c r="F3554" s="14" t="s">
        <v>16</v>
      </c>
      <c r="G3554" s="20" t="s">
        <v>21</v>
      </c>
      <c r="H3554" s="14" t="s">
        <v>18</v>
      </c>
      <c r="I3554" s="15">
        <v>2022.0</v>
      </c>
      <c r="J3554" s="16" t="str">
        <f>IFERROR(__xludf.DUMMYFUNCTION("FILTER('CLASFICACIÓN'!$F$3:$F5618,'CLASFICACIÓN'!$G$3:$G5618=M3554)"),"SOLO LINEA BASE")</f>
        <v>SOLO LINEA BASE</v>
      </c>
      <c r="K3554" s="16" t="str">
        <f t="array" ref="K3554">IFERROR(DGET('PADD-R'!$B$1:$K5618,'PADD-R'!$K$1,{'PADD-R'!$B$1;E3554}),"NO PARTICIPÓ")</f>
        <v>NO PARTICIPÓ</v>
      </c>
      <c r="L3554" s="14" t="s">
        <v>167</v>
      </c>
      <c r="M3554" s="16" t="str">
        <f t="shared" si="1"/>
        <v>36166 HEROES 29 DE AGOSTO6 Primaria</v>
      </c>
      <c r="N3554" s="23"/>
      <c r="O3554" s="17"/>
      <c r="P3554" s="17"/>
      <c r="Q3554" s="17"/>
      <c r="R3554" s="17"/>
      <c r="S3554" s="17"/>
      <c r="T3554" s="17"/>
    </row>
    <row r="3555">
      <c r="A3555" s="18">
        <v>4635.0</v>
      </c>
      <c r="B3555" s="12" t="s">
        <v>84</v>
      </c>
      <c r="C3555" s="12" t="s">
        <v>14</v>
      </c>
      <c r="D3555" s="20" t="s">
        <v>22</v>
      </c>
      <c r="E3555" s="12" t="str">
        <f>IFERROR(__xludf.DUMMYFUNCTION("FILTER(colegios!$B$2:$B5618,colegios!$A$2:$A5618=L3555)"),"36166 HEROES 29 DE AGOSTO")</f>
        <v>36166 HEROES 29 DE AGOSTO</v>
      </c>
      <c r="F3555" s="14" t="s">
        <v>16</v>
      </c>
      <c r="G3555" s="20" t="s">
        <v>21</v>
      </c>
      <c r="H3555" s="14" t="s">
        <v>18</v>
      </c>
      <c r="I3555" s="15">
        <v>2022.0</v>
      </c>
      <c r="J3555" s="16" t="str">
        <f>IFERROR(__xludf.DUMMYFUNCTION("FILTER('CLASFICACIÓN'!$F$3:$F5618,'CLASFICACIÓN'!$G$3:$G5618=M3555)"),"SOLO LINEA BASE")</f>
        <v>SOLO LINEA BASE</v>
      </c>
      <c r="K3555" s="16" t="str">
        <f t="array" ref="K3555">IFERROR(DGET('PADD-R'!$B$1:$K5618,'PADD-R'!$K$1,{'PADD-R'!$B$1;E3555}),"NO PARTICIPÓ")</f>
        <v>NO PARTICIPÓ</v>
      </c>
      <c r="L3555" s="14" t="s">
        <v>167</v>
      </c>
      <c r="M3555" s="16" t="str">
        <f t="shared" si="1"/>
        <v>36166 HEROES 29 DE AGOSTO6 Primaria</v>
      </c>
      <c r="N3555" s="23"/>
      <c r="O3555" s="17"/>
      <c r="P3555" s="17"/>
      <c r="Q3555" s="17"/>
      <c r="R3555" s="17"/>
      <c r="S3555" s="17"/>
      <c r="T3555" s="17"/>
    </row>
    <row r="3556">
      <c r="A3556" s="18">
        <v>4636.0</v>
      </c>
      <c r="B3556" s="12" t="s">
        <v>84</v>
      </c>
      <c r="C3556" s="12" t="s">
        <v>14</v>
      </c>
      <c r="D3556" s="20" t="s">
        <v>22</v>
      </c>
      <c r="E3556" s="12" t="str">
        <f>IFERROR(__xludf.DUMMYFUNCTION("FILTER(colegios!$B$2:$B5618,colegios!$A$2:$A5618=L3556)"),"36166 HEROES 29 DE AGOSTO")</f>
        <v>36166 HEROES 29 DE AGOSTO</v>
      </c>
      <c r="F3556" s="14" t="s">
        <v>16</v>
      </c>
      <c r="G3556" s="20" t="s">
        <v>21</v>
      </c>
      <c r="H3556" s="14" t="s">
        <v>18</v>
      </c>
      <c r="I3556" s="15">
        <v>2022.0</v>
      </c>
      <c r="J3556" s="16" t="str">
        <f>IFERROR(__xludf.DUMMYFUNCTION("FILTER('CLASFICACIÓN'!$F$3:$F5618,'CLASFICACIÓN'!$G$3:$G5618=M3556)"),"SOLO LINEA BASE")</f>
        <v>SOLO LINEA BASE</v>
      </c>
      <c r="K3556" s="16" t="str">
        <f t="array" ref="K3556">IFERROR(DGET('PADD-R'!$B$1:$K5618,'PADD-R'!$K$1,{'PADD-R'!$B$1;E3556}),"NO PARTICIPÓ")</f>
        <v>NO PARTICIPÓ</v>
      </c>
      <c r="L3556" s="14" t="s">
        <v>167</v>
      </c>
      <c r="M3556" s="16" t="str">
        <f t="shared" si="1"/>
        <v>36166 HEROES 29 DE AGOSTO6 Primaria</v>
      </c>
      <c r="N3556" s="23"/>
      <c r="O3556" s="17"/>
      <c r="P3556" s="17"/>
      <c r="Q3556" s="17"/>
      <c r="R3556" s="17"/>
      <c r="S3556" s="17"/>
      <c r="T3556" s="17"/>
    </row>
    <row r="3557">
      <c r="A3557" s="18">
        <v>4637.0</v>
      </c>
      <c r="B3557" s="12" t="s">
        <v>84</v>
      </c>
      <c r="C3557" s="12" t="s">
        <v>14</v>
      </c>
      <c r="D3557" s="20" t="s">
        <v>22</v>
      </c>
      <c r="E3557" s="12" t="str">
        <f>IFERROR(__xludf.DUMMYFUNCTION("FILTER(colegios!$B$2:$B5618,colegios!$A$2:$A5618=L3557)"),"36166 HEROES 29 DE AGOSTO")</f>
        <v>36166 HEROES 29 DE AGOSTO</v>
      </c>
      <c r="F3557" s="14" t="s">
        <v>16</v>
      </c>
      <c r="G3557" s="20" t="s">
        <v>21</v>
      </c>
      <c r="H3557" s="14" t="s">
        <v>18</v>
      </c>
      <c r="I3557" s="15">
        <v>2022.0</v>
      </c>
      <c r="J3557" s="16" t="str">
        <f>IFERROR(__xludf.DUMMYFUNCTION("FILTER('CLASFICACIÓN'!$F$3:$F5618,'CLASFICACIÓN'!$G$3:$G5618=M3557)"),"SOLO LINEA BASE")</f>
        <v>SOLO LINEA BASE</v>
      </c>
      <c r="K3557" s="16" t="str">
        <f t="array" ref="K3557">IFERROR(DGET('PADD-R'!$B$1:$K5618,'PADD-R'!$K$1,{'PADD-R'!$B$1;E3557}),"NO PARTICIPÓ")</f>
        <v>NO PARTICIPÓ</v>
      </c>
      <c r="L3557" s="14" t="s">
        <v>167</v>
      </c>
      <c r="M3557" s="16" t="str">
        <f t="shared" si="1"/>
        <v>36166 HEROES 29 DE AGOSTO6 Primaria</v>
      </c>
      <c r="N3557" s="23"/>
      <c r="O3557" s="17"/>
      <c r="P3557" s="17"/>
      <c r="Q3557" s="17"/>
      <c r="R3557" s="17"/>
      <c r="S3557" s="17"/>
      <c r="T3557" s="17"/>
    </row>
    <row r="3558">
      <c r="A3558" s="18">
        <v>4638.0</v>
      </c>
      <c r="B3558" s="12" t="s">
        <v>84</v>
      </c>
      <c r="C3558" s="12" t="s">
        <v>14</v>
      </c>
      <c r="D3558" s="20" t="s">
        <v>22</v>
      </c>
      <c r="E3558" s="12" t="str">
        <f>IFERROR(__xludf.DUMMYFUNCTION("FILTER(colegios!$B$2:$B5618,colegios!$A$2:$A5618=L3558)"),"36166 HEROES 29 DE AGOSTO")</f>
        <v>36166 HEROES 29 DE AGOSTO</v>
      </c>
      <c r="F3558" s="14" t="s">
        <v>16</v>
      </c>
      <c r="G3558" s="20" t="s">
        <v>21</v>
      </c>
      <c r="H3558" s="14" t="s">
        <v>18</v>
      </c>
      <c r="I3558" s="15">
        <v>2022.0</v>
      </c>
      <c r="J3558" s="16" t="str">
        <f>IFERROR(__xludf.DUMMYFUNCTION("FILTER('CLASFICACIÓN'!$F$3:$F5618,'CLASFICACIÓN'!$G$3:$G5618=M3558)"),"SOLO LINEA BASE")</f>
        <v>SOLO LINEA BASE</v>
      </c>
      <c r="K3558" s="16" t="str">
        <f t="array" ref="K3558">IFERROR(DGET('PADD-R'!$B$1:$K5618,'PADD-R'!$K$1,{'PADD-R'!$B$1;E3558}),"NO PARTICIPÓ")</f>
        <v>NO PARTICIPÓ</v>
      </c>
      <c r="L3558" s="14" t="s">
        <v>167</v>
      </c>
      <c r="M3558" s="16" t="str">
        <f t="shared" si="1"/>
        <v>36166 HEROES 29 DE AGOSTO6 Primaria</v>
      </c>
      <c r="N3558" s="23"/>
      <c r="O3558" s="17"/>
      <c r="P3558" s="17"/>
      <c r="Q3558" s="17"/>
      <c r="R3558" s="17"/>
      <c r="S3558" s="17"/>
      <c r="T3558" s="17"/>
    </row>
    <row r="3559">
      <c r="A3559" s="18">
        <v>4645.0</v>
      </c>
      <c r="B3559" s="12" t="s">
        <v>84</v>
      </c>
      <c r="C3559" s="12" t="s">
        <v>14</v>
      </c>
      <c r="D3559" s="20" t="s">
        <v>15</v>
      </c>
      <c r="E3559" s="12" t="str">
        <f>IFERROR(__xludf.DUMMYFUNCTION("FILTER(colegios!$B$2:$B5618,colegios!$A$2:$A5618=L3559)"),"36207")</f>
        <v>36207</v>
      </c>
      <c r="F3559" s="14" t="s">
        <v>16</v>
      </c>
      <c r="G3559" s="20" t="s">
        <v>21</v>
      </c>
      <c r="H3559" s="14" t="s">
        <v>24</v>
      </c>
      <c r="I3559" s="15">
        <v>2022.0</v>
      </c>
      <c r="J3559" s="16" t="str">
        <f>IFERROR(__xludf.DUMMYFUNCTION("FILTER('CLASFICACIÓN'!$F$3:$F5618,'CLASFICACIÓN'!$G$3:$G5618=M3559)"),"SOLO 2022 Y 2024")</f>
        <v>SOLO 2022 Y 2024</v>
      </c>
      <c r="K3559" s="16" t="str">
        <f t="array" ref="K3559">IFERROR(DGET('PADD-R'!$B$1:$K5618,'PADD-R'!$K$1,{'PADD-R'!$B$1;E3559}),"NO PARTICIPÓ")</f>
        <v>PADD 2023 Y 2024</v>
      </c>
      <c r="L3559" s="14" t="s">
        <v>88</v>
      </c>
      <c r="M3559" s="16" t="str">
        <f t="shared" si="1"/>
        <v>362072 Primaria</v>
      </c>
      <c r="N3559" s="23"/>
      <c r="O3559" s="17"/>
      <c r="P3559" s="17"/>
      <c r="Q3559" s="17"/>
      <c r="R3559" s="17"/>
      <c r="S3559" s="17"/>
      <c r="T3559" s="17"/>
    </row>
    <row r="3560">
      <c r="A3560" s="18">
        <v>4646.0</v>
      </c>
      <c r="B3560" s="12" t="s">
        <v>84</v>
      </c>
      <c r="C3560" s="12" t="s">
        <v>14</v>
      </c>
      <c r="D3560" s="20" t="s">
        <v>15</v>
      </c>
      <c r="E3560" s="12" t="str">
        <f>IFERROR(__xludf.DUMMYFUNCTION("FILTER(colegios!$B$2:$B5618,colegios!$A$2:$A5618=L3560)"),"36207")</f>
        <v>36207</v>
      </c>
      <c r="F3560" s="14" t="s">
        <v>16</v>
      </c>
      <c r="G3560" s="20" t="s">
        <v>21</v>
      </c>
      <c r="H3560" s="14" t="s">
        <v>18</v>
      </c>
      <c r="I3560" s="15">
        <v>2022.0</v>
      </c>
      <c r="J3560" s="16" t="str">
        <f>IFERROR(__xludf.DUMMYFUNCTION("FILTER('CLASFICACIÓN'!$F$3:$F5618,'CLASFICACIÓN'!$G$3:$G5618=M3560)"),"SOLO 2022 Y 2024")</f>
        <v>SOLO 2022 Y 2024</v>
      </c>
      <c r="K3560" s="16" t="str">
        <f t="array" ref="K3560">IFERROR(DGET('PADD-R'!$B$1:$K5618,'PADD-R'!$K$1,{'PADD-R'!$B$1;E3560}),"NO PARTICIPÓ")</f>
        <v>PADD 2023 Y 2024</v>
      </c>
      <c r="L3560" s="14" t="s">
        <v>88</v>
      </c>
      <c r="M3560" s="16" t="str">
        <f t="shared" si="1"/>
        <v>362072 Primaria</v>
      </c>
      <c r="N3560" s="23"/>
      <c r="O3560" s="17"/>
      <c r="P3560" s="17"/>
      <c r="Q3560" s="17"/>
      <c r="R3560" s="17"/>
      <c r="S3560" s="17"/>
      <c r="T3560" s="17"/>
    </row>
    <row r="3561">
      <c r="A3561" s="18">
        <v>4647.0</v>
      </c>
      <c r="B3561" s="12" t="s">
        <v>84</v>
      </c>
      <c r="C3561" s="12" t="s">
        <v>14</v>
      </c>
      <c r="D3561" s="20" t="s">
        <v>15</v>
      </c>
      <c r="E3561" s="12" t="str">
        <f>IFERROR(__xludf.DUMMYFUNCTION("FILTER(colegios!$B$2:$B5618,colegios!$A$2:$A5618=L3561)"),"36207")</f>
        <v>36207</v>
      </c>
      <c r="F3561" s="14" t="s">
        <v>16</v>
      </c>
      <c r="G3561" s="20" t="s">
        <v>17</v>
      </c>
      <c r="H3561" s="14" t="s">
        <v>18</v>
      </c>
      <c r="I3561" s="15">
        <v>2022.0</v>
      </c>
      <c r="J3561" s="16" t="str">
        <f>IFERROR(__xludf.DUMMYFUNCTION("FILTER('CLASFICACIÓN'!$F$3:$F5618,'CLASFICACIÓN'!$G$3:$G5618=M3561)"),"SOLO 2022 Y 2024")</f>
        <v>SOLO 2022 Y 2024</v>
      </c>
      <c r="K3561" s="16" t="str">
        <f t="array" ref="K3561">IFERROR(DGET('PADD-R'!$B$1:$K5618,'PADD-R'!$K$1,{'PADD-R'!$B$1;E3561}),"NO PARTICIPÓ")</f>
        <v>PADD 2023 Y 2024</v>
      </c>
      <c r="L3561" s="14" t="s">
        <v>88</v>
      </c>
      <c r="M3561" s="16" t="str">
        <f t="shared" si="1"/>
        <v>362072 Primaria</v>
      </c>
      <c r="N3561" s="23"/>
      <c r="O3561" s="17"/>
      <c r="P3561" s="17"/>
      <c r="Q3561" s="17"/>
      <c r="R3561" s="17"/>
      <c r="S3561" s="17"/>
      <c r="T3561" s="17"/>
    </row>
    <row r="3562">
      <c r="A3562" s="18">
        <v>4648.0</v>
      </c>
      <c r="B3562" s="12" t="s">
        <v>84</v>
      </c>
      <c r="C3562" s="12" t="s">
        <v>14</v>
      </c>
      <c r="D3562" s="20" t="s">
        <v>15</v>
      </c>
      <c r="E3562" s="12" t="str">
        <f>IFERROR(__xludf.DUMMYFUNCTION("FILTER(colegios!$B$2:$B5618,colegios!$A$2:$A5618=L3562)"),"36207")</f>
        <v>36207</v>
      </c>
      <c r="F3562" s="14" t="s">
        <v>16</v>
      </c>
      <c r="G3562" s="20" t="s">
        <v>17</v>
      </c>
      <c r="H3562" s="14" t="s">
        <v>24</v>
      </c>
      <c r="I3562" s="15">
        <v>2022.0</v>
      </c>
      <c r="J3562" s="16" t="str">
        <f>IFERROR(__xludf.DUMMYFUNCTION("FILTER('CLASFICACIÓN'!$F$3:$F5618,'CLASFICACIÓN'!$G$3:$G5618=M3562)"),"SOLO 2022 Y 2024")</f>
        <v>SOLO 2022 Y 2024</v>
      </c>
      <c r="K3562" s="16" t="str">
        <f t="array" ref="K3562">IFERROR(DGET('PADD-R'!$B$1:$K5618,'PADD-R'!$K$1,{'PADD-R'!$B$1;E3562}),"NO PARTICIPÓ")</f>
        <v>PADD 2023 Y 2024</v>
      </c>
      <c r="L3562" s="14" t="s">
        <v>88</v>
      </c>
      <c r="M3562" s="16" t="str">
        <f t="shared" si="1"/>
        <v>362072 Primaria</v>
      </c>
      <c r="N3562" s="23"/>
      <c r="O3562" s="17"/>
      <c r="P3562" s="17"/>
      <c r="Q3562" s="17"/>
      <c r="R3562" s="17"/>
      <c r="S3562" s="17"/>
      <c r="T3562" s="17"/>
    </row>
    <row r="3563">
      <c r="A3563" s="18">
        <v>4649.0</v>
      </c>
      <c r="B3563" s="12" t="s">
        <v>84</v>
      </c>
      <c r="C3563" s="12" t="s">
        <v>14</v>
      </c>
      <c r="D3563" s="20" t="s">
        <v>15</v>
      </c>
      <c r="E3563" s="12" t="str">
        <f>IFERROR(__xludf.DUMMYFUNCTION("FILTER(colegios!$B$2:$B5618,colegios!$A$2:$A5618=L3563)"),"36207")</f>
        <v>36207</v>
      </c>
      <c r="F3563" s="14" t="s">
        <v>16</v>
      </c>
      <c r="G3563" s="20" t="s">
        <v>17</v>
      </c>
      <c r="H3563" s="14" t="s">
        <v>18</v>
      </c>
      <c r="I3563" s="15">
        <v>2022.0</v>
      </c>
      <c r="J3563" s="16" t="str">
        <f>IFERROR(__xludf.DUMMYFUNCTION("FILTER('CLASFICACIÓN'!$F$3:$F5618,'CLASFICACIÓN'!$G$3:$G5618=M3563)"),"SOLO 2022 Y 2024")</f>
        <v>SOLO 2022 Y 2024</v>
      </c>
      <c r="K3563" s="16" t="str">
        <f t="array" ref="K3563">IFERROR(DGET('PADD-R'!$B$1:$K5618,'PADD-R'!$K$1,{'PADD-R'!$B$1;E3563}),"NO PARTICIPÓ")</f>
        <v>PADD 2023 Y 2024</v>
      </c>
      <c r="L3563" s="14" t="s">
        <v>88</v>
      </c>
      <c r="M3563" s="16" t="str">
        <f t="shared" si="1"/>
        <v>362072 Primaria</v>
      </c>
      <c r="N3563" s="23"/>
      <c r="O3563" s="17"/>
      <c r="P3563" s="17"/>
      <c r="Q3563" s="17"/>
      <c r="R3563" s="17"/>
      <c r="S3563" s="17"/>
      <c r="T3563" s="17"/>
    </row>
    <row r="3564">
      <c r="A3564" s="18">
        <v>4650.0</v>
      </c>
      <c r="B3564" s="12" t="s">
        <v>84</v>
      </c>
      <c r="C3564" s="12" t="s">
        <v>14</v>
      </c>
      <c r="D3564" s="20" t="s">
        <v>20</v>
      </c>
      <c r="E3564" s="12" t="str">
        <f>IFERROR(__xludf.DUMMYFUNCTION("FILTER(colegios!$B$2:$B5618,colegios!$A$2:$A5618=L3564)"),"36207")</f>
        <v>36207</v>
      </c>
      <c r="F3564" s="14" t="s">
        <v>16</v>
      </c>
      <c r="G3564" s="20" t="s">
        <v>21</v>
      </c>
      <c r="H3564" s="14" t="s">
        <v>18</v>
      </c>
      <c r="I3564" s="15">
        <v>2022.0</v>
      </c>
      <c r="J3564" s="16" t="str">
        <f>IFERROR(__xludf.DUMMYFUNCTION("FILTER('CLASFICACIÓN'!$F$3:$F5618,'CLASFICACIÓN'!$G$3:$G5618=M3564)"),"SOLO 2022 Y 2024")</f>
        <v>SOLO 2022 Y 2024</v>
      </c>
      <c r="K3564" s="16" t="str">
        <f t="array" ref="K3564">IFERROR(DGET('PADD-R'!$B$1:$K5618,'PADD-R'!$K$1,{'PADD-R'!$B$1;E3564}),"NO PARTICIPÓ")</f>
        <v>PADD 2023 Y 2024</v>
      </c>
      <c r="L3564" s="14" t="s">
        <v>88</v>
      </c>
      <c r="M3564" s="16" t="str">
        <f t="shared" si="1"/>
        <v>362074 Primaria</v>
      </c>
      <c r="N3564" s="23"/>
      <c r="O3564" s="17"/>
      <c r="P3564" s="17"/>
      <c r="Q3564" s="17"/>
      <c r="R3564" s="17"/>
      <c r="S3564" s="17"/>
      <c r="T3564" s="17"/>
    </row>
    <row r="3565">
      <c r="A3565" s="18">
        <v>4651.0</v>
      </c>
      <c r="B3565" s="12" t="s">
        <v>84</v>
      </c>
      <c r="C3565" s="12" t="s">
        <v>14</v>
      </c>
      <c r="D3565" s="20" t="s">
        <v>20</v>
      </c>
      <c r="E3565" s="12" t="str">
        <f>IFERROR(__xludf.DUMMYFUNCTION("FILTER(colegios!$B$2:$B5618,colegios!$A$2:$A5618=L3565)"),"36207")</f>
        <v>36207</v>
      </c>
      <c r="F3565" s="14" t="s">
        <v>16</v>
      </c>
      <c r="G3565" s="20" t="s">
        <v>17</v>
      </c>
      <c r="H3565" s="14" t="s">
        <v>18</v>
      </c>
      <c r="I3565" s="15">
        <v>2022.0</v>
      </c>
      <c r="J3565" s="16" t="str">
        <f>IFERROR(__xludf.DUMMYFUNCTION("FILTER('CLASFICACIÓN'!$F$3:$F5618,'CLASFICACIÓN'!$G$3:$G5618=M3565)"),"SOLO 2022 Y 2024")</f>
        <v>SOLO 2022 Y 2024</v>
      </c>
      <c r="K3565" s="16" t="str">
        <f t="array" ref="K3565">IFERROR(DGET('PADD-R'!$B$1:$K5618,'PADD-R'!$K$1,{'PADD-R'!$B$1;E3565}),"NO PARTICIPÓ")</f>
        <v>PADD 2023 Y 2024</v>
      </c>
      <c r="L3565" s="14" t="s">
        <v>88</v>
      </c>
      <c r="M3565" s="16" t="str">
        <f t="shared" si="1"/>
        <v>362074 Primaria</v>
      </c>
      <c r="N3565" s="23"/>
      <c r="O3565" s="17"/>
      <c r="P3565" s="17"/>
      <c r="Q3565" s="17"/>
      <c r="R3565" s="17"/>
      <c r="S3565" s="17"/>
      <c r="T3565" s="17"/>
    </row>
    <row r="3566">
      <c r="A3566" s="18">
        <v>4652.0</v>
      </c>
      <c r="B3566" s="12" t="s">
        <v>84</v>
      </c>
      <c r="C3566" s="12" t="s">
        <v>14</v>
      </c>
      <c r="D3566" s="20" t="s">
        <v>20</v>
      </c>
      <c r="E3566" s="12" t="str">
        <f>IFERROR(__xludf.DUMMYFUNCTION("FILTER(colegios!$B$2:$B5618,colegios!$A$2:$A5618=L3566)"),"36207")</f>
        <v>36207</v>
      </c>
      <c r="F3566" s="14" t="s">
        <v>16</v>
      </c>
      <c r="G3566" s="20" t="s">
        <v>17</v>
      </c>
      <c r="H3566" s="14" t="s">
        <v>24</v>
      </c>
      <c r="I3566" s="15">
        <v>2022.0</v>
      </c>
      <c r="J3566" s="16" t="str">
        <f>IFERROR(__xludf.DUMMYFUNCTION("FILTER('CLASFICACIÓN'!$F$3:$F5618,'CLASFICACIÓN'!$G$3:$G5618=M3566)"),"SOLO 2022 Y 2024")</f>
        <v>SOLO 2022 Y 2024</v>
      </c>
      <c r="K3566" s="16" t="str">
        <f t="array" ref="K3566">IFERROR(DGET('PADD-R'!$B$1:$K5618,'PADD-R'!$K$1,{'PADD-R'!$B$1;E3566}),"NO PARTICIPÓ")</f>
        <v>PADD 2023 Y 2024</v>
      </c>
      <c r="L3566" s="14" t="s">
        <v>88</v>
      </c>
      <c r="M3566" s="16" t="str">
        <f t="shared" si="1"/>
        <v>362074 Primaria</v>
      </c>
      <c r="N3566" s="23"/>
      <c r="O3566" s="17"/>
      <c r="P3566" s="17"/>
      <c r="Q3566" s="17"/>
      <c r="R3566" s="17"/>
      <c r="S3566" s="17"/>
      <c r="T3566" s="17"/>
    </row>
    <row r="3567">
      <c r="A3567" s="18">
        <v>4653.0</v>
      </c>
      <c r="B3567" s="12" t="s">
        <v>84</v>
      </c>
      <c r="C3567" s="12" t="s">
        <v>14</v>
      </c>
      <c r="D3567" s="20" t="s">
        <v>22</v>
      </c>
      <c r="E3567" s="12" t="str">
        <f>IFERROR(__xludf.DUMMYFUNCTION("FILTER(colegios!$B$2:$B5618,colegios!$A$2:$A5618=L3567)"),"36207")</f>
        <v>36207</v>
      </c>
      <c r="F3567" s="14" t="s">
        <v>16</v>
      </c>
      <c r="G3567" s="20" t="s">
        <v>17</v>
      </c>
      <c r="H3567" s="14" t="s">
        <v>18</v>
      </c>
      <c r="I3567" s="15">
        <v>2022.0</v>
      </c>
      <c r="J3567" s="16" t="str">
        <f>IFERROR(__xludf.DUMMYFUNCTION("FILTER('CLASFICACIÓN'!$F$3:$F5618,'CLASFICACIÓN'!$G$3:$G5618=M3567)"),"SOLO 2022 Y 2024")</f>
        <v>SOLO 2022 Y 2024</v>
      </c>
      <c r="K3567" s="16" t="str">
        <f t="array" ref="K3567">IFERROR(DGET('PADD-R'!$B$1:$K5618,'PADD-R'!$K$1,{'PADD-R'!$B$1;E3567}),"NO PARTICIPÓ")</f>
        <v>PADD 2023 Y 2024</v>
      </c>
      <c r="L3567" s="14" t="s">
        <v>88</v>
      </c>
      <c r="M3567" s="16" t="str">
        <f t="shared" si="1"/>
        <v>362076 Primaria</v>
      </c>
      <c r="N3567" s="23"/>
      <c r="O3567" s="17"/>
      <c r="P3567" s="17"/>
      <c r="Q3567" s="17"/>
      <c r="R3567" s="17"/>
      <c r="S3567" s="17"/>
      <c r="T3567" s="17"/>
    </row>
    <row r="3568">
      <c r="A3568" s="18">
        <v>4654.0</v>
      </c>
      <c r="B3568" s="12" t="s">
        <v>84</v>
      </c>
      <c r="C3568" s="12" t="s">
        <v>14</v>
      </c>
      <c r="D3568" s="20" t="s">
        <v>22</v>
      </c>
      <c r="E3568" s="12" t="str">
        <f>IFERROR(__xludf.DUMMYFUNCTION("FILTER(colegios!$B$2:$B5618,colegios!$A$2:$A5618=L3568)"),"36207")</f>
        <v>36207</v>
      </c>
      <c r="F3568" s="14" t="s">
        <v>16</v>
      </c>
      <c r="G3568" s="20" t="s">
        <v>21</v>
      </c>
      <c r="H3568" s="14" t="s">
        <v>18</v>
      </c>
      <c r="I3568" s="15">
        <v>2022.0</v>
      </c>
      <c r="J3568" s="16" t="str">
        <f>IFERROR(__xludf.DUMMYFUNCTION("FILTER('CLASFICACIÓN'!$F$3:$F5618,'CLASFICACIÓN'!$G$3:$G5618=M3568)"),"SOLO 2022 Y 2024")</f>
        <v>SOLO 2022 Y 2024</v>
      </c>
      <c r="K3568" s="16" t="str">
        <f t="array" ref="K3568">IFERROR(DGET('PADD-R'!$B$1:$K5618,'PADD-R'!$K$1,{'PADD-R'!$B$1;E3568}),"NO PARTICIPÓ")</f>
        <v>PADD 2023 Y 2024</v>
      </c>
      <c r="L3568" s="14" t="s">
        <v>88</v>
      </c>
      <c r="M3568" s="16" t="str">
        <f t="shared" si="1"/>
        <v>362076 Primaria</v>
      </c>
      <c r="N3568" s="23"/>
      <c r="O3568" s="17"/>
      <c r="P3568" s="17"/>
      <c r="Q3568" s="17"/>
      <c r="R3568" s="17"/>
      <c r="S3568" s="17"/>
      <c r="T3568" s="17"/>
    </row>
    <row r="3569">
      <c r="A3569" s="18">
        <v>4655.0</v>
      </c>
      <c r="B3569" s="12" t="s">
        <v>84</v>
      </c>
      <c r="C3569" s="12" t="s">
        <v>14</v>
      </c>
      <c r="D3569" s="20" t="s">
        <v>22</v>
      </c>
      <c r="E3569" s="12" t="str">
        <f>IFERROR(__xludf.DUMMYFUNCTION("FILTER(colegios!$B$2:$B5618,colegios!$A$2:$A5618=L3569)"),"36207")</f>
        <v>36207</v>
      </c>
      <c r="F3569" s="14" t="s">
        <v>16</v>
      </c>
      <c r="G3569" s="20" t="s">
        <v>17</v>
      </c>
      <c r="H3569" s="14" t="s">
        <v>18</v>
      </c>
      <c r="I3569" s="15">
        <v>2022.0</v>
      </c>
      <c r="J3569" s="16" t="str">
        <f>IFERROR(__xludf.DUMMYFUNCTION("FILTER('CLASFICACIÓN'!$F$3:$F5618,'CLASFICACIÓN'!$G$3:$G5618=M3569)"),"SOLO 2022 Y 2024")</f>
        <v>SOLO 2022 Y 2024</v>
      </c>
      <c r="K3569" s="16" t="str">
        <f t="array" ref="K3569">IFERROR(DGET('PADD-R'!$B$1:$K5618,'PADD-R'!$K$1,{'PADD-R'!$B$1;E3569}),"NO PARTICIPÓ")</f>
        <v>PADD 2023 Y 2024</v>
      </c>
      <c r="L3569" s="14" t="s">
        <v>88</v>
      </c>
      <c r="M3569" s="16" t="str">
        <f t="shared" si="1"/>
        <v>362076 Primaria</v>
      </c>
      <c r="N3569" s="23"/>
      <c r="O3569" s="17"/>
      <c r="P3569" s="17"/>
      <c r="Q3569" s="17"/>
      <c r="R3569" s="17"/>
      <c r="S3569" s="17"/>
      <c r="T3569" s="17"/>
    </row>
    <row r="3570">
      <c r="A3570" s="18">
        <v>4656.0</v>
      </c>
      <c r="B3570" s="12" t="s">
        <v>84</v>
      </c>
      <c r="C3570" s="12" t="s">
        <v>14</v>
      </c>
      <c r="D3570" s="20" t="s">
        <v>22</v>
      </c>
      <c r="E3570" s="12" t="str">
        <f>IFERROR(__xludf.DUMMYFUNCTION("FILTER(colegios!$B$2:$B5618,colegios!$A$2:$A5618=L3570)"),"36207")</f>
        <v>36207</v>
      </c>
      <c r="F3570" s="14" t="s">
        <v>16</v>
      </c>
      <c r="G3570" s="20" t="s">
        <v>21</v>
      </c>
      <c r="H3570" s="14" t="s">
        <v>18</v>
      </c>
      <c r="I3570" s="15">
        <v>2022.0</v>
      </c>
      <c r="J3570" s="16" t="str">
        <f>IFERROR(__xludf.DUMMYFUNCTION("FILTER('CLASFICACIÓN'!$F$3:$F5618,'CLASFICACIÓN'!$G$3:$G5618=M3570)"),"SOLO 2022 Y 2024")</f>
        <v>SOLO 2022 Y 2024</v>
      </c>
      <c r="K3570" s="16" t="str">
        <f t="array" ref="K3570">IFERROR(DGET('PADD-R'!$B$1:$K5618,'PADD-R'!$K$1,{'PADD-R'!$B$1;E3570}),"NO PARTICIPÓ")</f>
        <v>PADD 2023 Y 2024</v>
      </c>
      <c r="L3570" s="14" t="s">
        <v>88</v>
      </c>
      <c r="M3570" s="16" t="str">
        <f t="shared" si="1"/>
        <v>362076 Primaria</v>
      </c>
      <c r="N3570" s="23"/>
      <c r="O3570" s="17"/>
      <c r="P3570" s="17"/>
      <c r="Q3570" s="17"/>
      <c r="R3570" s="17"/>
      <c r="S3570" s="17"/>
      <c r="T3570" s="17"/>
    </row>
    <row r="3571">
      <c r="A3571" s="18">
        <v>4657.0</v>
      </c>
      <c r="B3571" s="12" t="s">
        <v>84</v>
      </c>
      <c r="C3571" s="12" t="s">
        <v>14</v>
      </c>
      <c r="D3571" s="20" t="s">
        <v>22</v>
      </c>
      <c r="E3571" s="12" t="str">
        <f>IFERROR(__xludf.DUMMYFUNCTION("FILTER(colegios!$B$2:$B5618,colegios!$A$2:$A5618=L3571)"),"36207")</f>
        <v>36207</v>
      </c>
      <c r="F3571" s="14" t="s">
        <v>16</v>
      </c>
      <c r="G3571" s="20" t="s">
        <v>17</v>
      </c>
      <c r="H3571" s="14" t="s">
        <v>18</v>
      </c>
      <c r="I3571" s="15">
        <v>2022.0</v>
      </c>
      <c r="J3571" s="16" t="str">
        <f>IFERROR(__xludf.DUMMYFUNCTION("FILTER('CLASFICACIÓN'!$F$3:$F5618,'CLASFICACIÓN'!$G$3:$G5618=M3571)"),"SOLO 2022 Y 2024")</f>
        <v>SOLO 2022 Y 2024</v>
      </c>
      <c r="K3571" s="16" t="str">
        <f t="array" ref="K3571">IFERROR(DGET('PADD-R'!$B$1:$K5618,'PADD-R'!$K$1,{'PADD-R'!$B$1;E3571}),"NO PARTICIPÓ")</f>
        <v>PADD 2023 Y 2024</v>
      </c>
      <c r="L3571" s="14" t="s">
        <v>88</v>
      </c>
      <c r="M3571" s="16" t="str">
        <f t="shared" si="1"/>
        <v>362076 Primaria</v>
      </c>
      <c r="N3571" s="23"/>
      <c r="O3571" s="17"/>
      <c r="P3571" s="17"/>
      <c r="Q3571" s="17"/>
      <c r="R3571" s="17"/>
      <c r="S3571" s="17"/>
      <c r="T3571" s="17"/>
    </row>
    <row r="3572">
      <c r="A3572" s="18">
        <v>4658.0</v>
      </c>
      <c r="B3572" s="12" t="s">
        <v>84</v>
      </c>
      <c r="C3572" s="12" t="s">
        <v>14</v>
      </c>
      <c r="D3572" s="20" t="s">
        <v>22</v>
      </c>
      <c r="E3572" s="12" t="str">
        <f>IFERROR(__xludf.DUMMYFUNCTION("FILTER(colegios!$B$2:$B5618,colegios!$A$2:$A5618=L3572)"),"36207")</f>
        <v>36207</v>
      </c>
      <c r="F3572" s="14" t="s">
        <v>16</v>
      </c>
      <c r="G3572" s="20" t="s">
        <v>17</v>
      </c>
      <c r="H3572" s="14" t="s">
        <v>18</v>
      </c>
      <c r="I3572" s="15">
        <v>2022.0</v>
      </c>
      <c r="J3572" s="16" t="str">
        <f>IFERROR(__xludf.DUMMYFUNCTION("FILTER('CLASFICACIÓN'!$F$3:$F5618,'CLASFICACIÓN'!$G$3:$G5618=M3572)"),"SOLO 2022 Y 2024")</f>
        <v>SOLO 2022 Y 2024</v>
      </c>
      <c r="K3572" s="16" t="str">
        <f t="array" ref="K3572">IFERROR(DGET('PADD-R'!$B$1:$K5618,'PADD-R'!$K$1,{'PADD-R'!$B$1;E3572}),"NO PARTICIPÓ")</f>
        <v>PADD 2023 Y 2024</v>
      </c>
      <c r="L3572" s="14" t="s">
        <v>88</v>
      </c>
      <c r="M3572" s="16" t="str">
        <f t="shared" si="1"/>
        <v>362076 Primaria</v>
      </c>
      <c r="N3572" s="23"/>
      <c r="O3572" s="17"/>
      <c r="P3572" s="17"/>
      <c r="Q3572" s="17"/>
      <c r="R3572" s="17"/>
      <c r="S3572" s="17"/>
      <c r="T3572" s="17"/>
    </row>
    <row r="3573">
      <c r="A3573" s="18">
        <v>4659.0</v>
      </c>
      <c r="B3573" s="12" t="s">
        <v>84</v>
      </c>
      <c r="C3573" s="12" t="s">
        <v>14</v>
      </c>
      <c r="D3573" s="20" t="s">
        <v>22</v>
      </c>
      <c r="E3573" s="12" t="str">
        <f>IFERROR(__xludf.DUMMYFUNCTION("FILTER(colegios!$B$2:$B5618,colegios!$A$2:$A5618=L3573)"),"36207")</f>
        <v>36207</v>
      </c>
      <c r="F3573" s="14" t="s">
        <v>16</v>
      </c>
      <c r="G3573" s="20" t="s">
        <v>17</v>
      </c>
      <c r="H3573" s="14" t="s">
        <v>18</v>
      </c>
      <c r="I3573" s="15">
        <v>2022.0</v>
      </c>
      <c r="J3573" s="16" t="str">
        <f>IFERROR(__xludf.DUMMYFUNCTION("FILTER('CLASFICACIÓN'!$F$3:$F5618,'CLASFICACIÓN'!$G$3:$G5618=M3573)"),"SOLO 2022 Y 2024")</f>
        <v>SOLO 2022 Y 2024</v>
      </c>
      <c r="K3573" s="16" t="str">
        <f t="array" ref="K3573">IFERROR(DGET('PADD-R'!$B$1:$K5618,'PADD-R'!$K$1,{'PADD-R'!$B$1;E3573}),"NO PARTICIPÓ")</f>
        <v>PADD 2023 Y 2024</v>
      </c>
      <c r="L3573" s="14" t="s">
        <v>88</v>
      </c>
      <c r="M3573" s="16" t="str">
        <f t="shared" si="1"/>
        <v>362076 Primaria</v>
      </c>
      <c r="N3573" s="23"/>
      <c r="O3573" s="17"/>
      <c r="P3573" s="17"/>
      <c r="Q3573" s="17"/>
      <c r="R3573" s="17"/>
      <c r="S3573" s="17"/>
      <c r="T3573" s="17"/>
    </row>
    <row r="3574">
      <c r="A3574" s="18">
        <v>4660.0</v>
      </c>
      <c r="B3574" s="12" t="s">
        <v>84</v>
      </c>
      <c r="C3574" s="12" t="s">
        <v>14</v>
      </c>
      <c r="D3574" s="20" t="s">
        <v>22</v>
      </c>
      <c r="E3574" s="12" t="str">
        <f>IFERROR(__xludf.DUMMYFUNCTION("FILTER(colegios!$B$2:$B5618,colegios!$A$2:$A5618=L3574)"),"36207")</f>
        <v>36207</v>
      </c>
      <c r="F3574" s="14" t="s">
        <v>16</v>
      </c>
      <c r="G3574" s="20" t="s">
        <v>21</v>
      </c>
      <c r="H3574" s="14" t="s">
        <v>18</v>
      </c>
      <c r="I3574" s="15">
        <v>2022.0</v>
      </c>
      <c r="J3574" s="16" t="str">
        <f>IFERROR(__xludf.DUMMYFUNCTION("FILTER('CLASFICACIÓN'!$F$3:$F5618,'CLASFICACIÓN'!$G$3:$G5618=M3574)"),"SOLO 2022 Y 2024")</f>
        <v>SOLO 2022 Y 2024</v>
      </c>
      <c r="K3574" s="16" t="str">
        <f t="array" ref="K3574">IFERROR(DGET('PADD-R'!$B$1:$K5618,'PADD-R'!$K$1,{'PADD-R'!$B$1;E3574}),"NO PARTICIPÓ")</f>
        <v>PADD 2023 Y 2024</v>
      </c>
      <c r="L3574" s="14" t="s">
        <v>88</v>
      </c>
      <c r="M3574" s="16" t="str">
        <f t="shared" si="1"/>
        <v>362076 Primaria</v>
      </c>
      <c r="N3574" s="23"/>
      <c r="O3574" s="17"/>
      <c r="P3574" s="17"/>
      <c r="Q3574" s="17"/>
      <c r="R3574" s="17"/>
      <c r="S3574" s="17"/>
      <c r="T3574" s="17"/>
    </row>
    <row r="3575">
      <c r="A3575" s="18">
        <v>4661.0</v>
      </c>
      <c r="B3575" s="12" t="s">
        <v>84</v>
      </c>
      <c r="C3575" s="12" t="s">
        <v>14</v>
      </c>
      <c r="D3575" s="20" t="s">
        <v>22</v>
      </c>
      <c r="E3575" s="12" t="str">
        <f>IFERROR(__xludf.DUMMYFUNCTION("FILTER(colegios!$B$2:$B5618,colegios!$A$2:$A5618=L3575)"),"36207")</f>
        <v>36207</v>
      </c>
      <c r="F3575" s="14" t="s">
        <v>16</v>
      </c>
      <c r="G3575" s="20" t="s">
        <v>17</v>
      </c>
      <c r="H3575" s="14" t="s">
        <v>18</v>
      </c>
      <c r="I3575" s="15">
        <v>2022.0</v>
      </c>
      <c r="J3575" s="16" t="str">
        <f>IFERROR(__xludf.DUMMYFUNCTION("FILTER('CLASFICACIÓN'!$F$3:$F5618,'CLASFICACIÓN'!$G$3:$G5618=M3575)"),"SOLO 2022 Y 2024")</f>
        <v>SOLO 2022 Y 2024</v>
      </c>
      <c r="K3575" s="16" t="str">
        <f t="array" ref="K3575">IFERROR(DGET('PADD-R'!$B$1:$K5618,'PADD-R'!$K$1,{'PADD-R'!$B$1;E3575}),"NO PARTICIPÓ")</f>
        <v>PADD 2023 Y 2024</v>
      </c>
      <c r="L3575" s="14" t="s">
        <v>88</v>
      </c>
      <c r="M3575" s="16" t="str">
        <f t="shared" si="1"/>
        <v>362076 Primaria</v>
      </c>
      <c r="N3575" s="23"/>
      <c r="O3575" s="17"/>
      <c r="P3575" s="17"/>
      <c r="Q3575" s="17"/>
      <c r="R3575" s="17"/>
      <c r="S3575" s="17"/>
      <c r="T3575" s="17"/>
    </row>
    <row r="3576">
      <c r="A3576" s="18">
        <v>4662.0</v>
      </c>
      <c r="B3576" s="12" t="s">
        <v>84</v>
      </c>
      <c r="C3576" s="12" t="s">
        <v>27</v>
      </c>
      <c r="D3576" s="20" t="s">
        <v>28</v>
      </c>
      <c r="E3576" s="12" t="str">
        <f>IFERROR(__xludf.DUMMYFUNCTION("FILTER(colegios!$B$2:$B5618,colegios!$A$2:$A5618=L3576)"),"JORGE CHAVEZ")</f>
        <v>JORGE CHAVEZ</v>
      </c>
      <c r="F3576" s="14" t="s">
        <v>16</v>
      </c>
      <c r="G3576" s="20" t="s">
        <v>21</v>
      </c>
      <c r="H3576" s="14" t="s">
        <v>18</v>
      </c>
      <c r="I3576" s="15">
        <v>2022.0</v>
      </c>
      <c r="J3576" s="16" t="str">
        <f>IFERROR(__xludf.DUMMYFUNCTION("FILTER('CLASFICACIÓN'!$F$3:$F5618,'CLASFICACIÓN'!$G$3:$G5618=M3576)"),"SOLO LINEA BASE")</f>
        <v>SOLO LINEA BASE</v>
      </c>
      <c r="K3576" s="16" t="str">
        <f t="array" ref="K3576">IFERROR(DGET('PADD-R'!$B$1:$K5618,'PADD-R'!$K$1,{'PADD-R'!$B$1;E3576}),"NO PARTICIPÓ")</f>
        <v>SOLO 2023</v>
      </c>
      <c r="L3576" s="14" t="s">
        <v>168</v>
      </c>
      <c r="M3576" s="16" t="str">
        <f t="shared" si="1"/>
        <v>JORGE CHAVEZ2 Secundaria</v>
      </c>
      <c r="N3576" s="23"/>
      <c r="O3576" s="17"/>
      <c r="P3576" s="17"/>
      <c r="Q3576" s="17"/>
      <c r="R3576" s="17"/>
      <c r="S3576" s="17"/>
      <c r="T3576" s="17"/>
    </row>
    <row r="3577">
      <c r="A3577" s="18">
        <v>4663.0</v>
      </c>
      <c r="B3577" s="12" t="s">
        <v>84</v>
      </c>
      <c r="C3577" s="12" t="s">
        <v>27</v>
      </c>
      <c r="D3577" s="20" t="s">
        <v>28</v>
      </c>
      <c r="E3577" s="12" t="str">
        <f>IFERROR(__xludf.DUMMYFUNCTION("FILTER(colegios!$B$2:$B5618,colegios!$A$2:$A5618=L3577)"),"JORGE CHAVEZ")</f>
        <v>JORGE CHAVEZ</v>
      </c>
      <c r="F3577" s="14" t="s">
        <v>16</v>
      </c>
      <c r="G3577" s="20" t="s">
        <v>21</v>
      </c>
      <c r="H3577" s="14" t="s">
        <v>18</v>
      </c>
      <c r="I3577" s="15">
        <v>2022.0</v>
      </c>
      <c r="J3577" s="16" t="str">
        <f>IFERROR(__xludf.DUMMYFUNCTION("FILTER('CLASFICACIÓN'!$F$3:$F5618,'CLASFICACIÓN'!$G$3:$G5618=M3577)"),"SOLO LINEA BASE")</f>
        <v>SOLO LINEA BASE</v>
      </c>
      <c r="K3577" s="16" t="str">
        <f t="array" ref="K3577">IFERROR(DGET('PADD-R'!$B$1:$K5618,'PADD-R'!$K$1,{'PADD-R'!$B$1;E3577}),"NO PARTICIPÓ")</f>
        <v>SOLO 2023</v>
      </c>
      <c r="L3577" s="14" t="s">
        <v>168</v>
      </c>
      <c r="M3577" s="16" t="str">
        <f t="shared" si="1"/>
        <v>JORGE CHAVEZ2 Secundaria</v>
      </c>
      <c r="N3577" s="23"/>
      <c r="O3577" s="17"/>
      <c r="P3577" s="17"/>
      <c r="Q3577" s="17"/>
      <c r="R3577" s="17"/>
      <c r="S3577" s="17"/>
      <c r="T3577" s="17"/>
    </row>
    <row r="3578">
      <c r="A3578" s="18">
        <v>4664.0</v>
      </c>
      <c r="B3578" s="12" t="s">
        <v>84</v>
      </c>
      <c r="C3578" s="12" t="s">
        <v>27</v>
      </c>
      <c r="D3578" s="20" t="s">
        <v>28</v>
      </c>
      <c r="E3578" s="12" t="str">
        <f>IFERROR(__xludf.DUMMYFUNCTION("FILTER(colegios!$B$2:$B5618,colegios!$A$2:$A5618=L3578)"),"JORGE CHAVEZ")</f>
        <v>JORGE CHAVEZ</v>
      </c>
      <c r="F3578" s="14" t="s">
        <v>16</v>
      </c>
      <c r="G3578" s="20" t="s">
        <v>17</v>
      </c>
      <c r="H3578" s="14" t="s">
        <v>18</v>
      </c>
      <c r="I3578" s="15">
        <v>2022.0</v>
      </c>
      <c r="J3578" s="16" t="str">
        <f>IFERROR(__xludf.DUMMYFUNCTION("FILTER('CLASFICACIÓN'!$F$3:$F5618,'CLASFICACIÓN'!$G$3:$G5618=M3578)"),"SOLO LINEA BASE")</f>
        <v>SOLO LINEA BASE</v>
      </c>
      <c r="K3578" s="16" t="str">
        <f t="array" ref="K3578">IFERROR(DGET('PADD-R'!$B$1:$K5618,'PADD-R'!$K$1,{'PADD-R'!$B$1;E3578}),"NO PARTICIPÓ")</f>
        <v>SOLO 2023</v>
      </c>
      <c r="L3578" s="14" t="s">
        <v>168</v>
      </c>
      <c r="M3578" s="16" t="str">
        <f t="shared" si="1"/>
        <v>JORGE CHAVEZ2 Secundaria</v>
      </c>
      <c r="N3578" s="23"/>
      <c r="O3578" s="17"/>
      <c r="P3578" s="17"/>
      <c r="Q3578" s="17"/>
      <c r="R3578" s="17"/>
      <c r="S3578" s="17"/>
      <c r="T3578" s="17"/>
    </row>
    <row r="3579">
      <c r="A3579" s="18">
        <v>4665.0</v>
      </c>
      <c r="B3579" s="12" t="s">
        <v>84</v>
      </c>
      <c r="C3579" s="12" t="s">
        <v>27</v>
      </c>
      <c r="D3579" s="20" t="s">
        <v>28</v>
      </c>
      <c r="E3579" s="12" t="str">
        <f>IFERROR(__xludf.DUMMYFUNCTION("FILTER(colegios!$B$2:$B5618,colegios!$A$2:$A5618=L3579)"),"JORGE CHAVEZ")</f>
        <v>JORGE CHAVEZ</v>
      </c>
      <c r="F3579" s="14" t="s">
        <v>16</v>
      </c>
      <c r="G3579" s="20" t="s">
        <v>17</v>
      </c>
      <c r="H3579" s="14" t="s">
        <v>18</v>
      </c>
      <c r="I3579" s="15">
        <v>2022.0</v>
      </c>
      <c r="J3579" s="16" t="str">
        <f>IFERROR(__xludf.DUMMYFUNCTION("FILTER('CLASFICACIÓN'!$F$3:$F5618,'CLASFICACIÓN'!$G$3:$G5618=M3579)"),"SOLO LINEA BASE")</f>
        <v>SOLO LINEA BASE</v>
      </c>
      <c r="K3579" s="16" t="str">
        <f t="array" ref="K3579">IFERROR(DGET('PADD-R'!$B$1:$K5618,'PADD-R'!$K$1,{'PADD-R'!$B$1;E3579}),"NO PARTICIPÓ")</f>
        <v>SOLO 2023</v>
      </c>
      <c r="L3579" s="14" t="s">
        <v>168</v>
      </c>
      <c r="M3579" s="16" t="str">
        <f t="shared" si="1"/>
        <v>JORGE CHAVEZ2 Secundaria</v>
      </c>
      <c r="N3579" s="23"/>
      <c r="O3579" s="17"/>
      <c r="P3579" s="17"/>
      <c r="Q3579" s="17"/>
      <c r="R3579" s="17"/>
      <c r="S3579" s="17"/>
      <c r="T3579" s="17"/>
    </row>
    <row r="3580">
      <c r="A3580" s="18">
        <v>4666.0</v>
      </c>
      <c r="B3580" s="12" t="s">
        <v>84</v>
      </c>
      <c r="C3580" s="12" t="s">
        <v>27</v>
      </c>
      <c r="D3580" s="20" t="s">
        <v>28</v>
      </c>
      <c r="E3580" s="12" t="str">
        <f>IFERROR(__xludf.DUMMYFUNCTION("FILTER(colegios!$B$2:$B5618,colegios!$A$2:$A5618=L3580)"),"JORGE CHAVEZ")</f>
        <v>JORGE CHAVEZ</v>
      </c>
      <c r="F3580" s="14" t="s">
        <v>16</v>
      </c>
      <c r="G3580" s="20" t="s">
        <v>17</v>
      </c>
      <c r="H3580" s="14" t="s">
        <v>18</v>
      </c>
      <c r="I3580" s="15">
        <v>2022.0</v>
      </c>
      <c r="J3580" s="16" t="str">
        <f>IFERROR(__xludf.DUMMYFUNCTION("FILTER('CLASFICACIÓN'!$F$3:$F5618,'CLASFICACIÓN'!$G$3:$G5618=M3580)"),"SOLO LINEA BASE")</f>
        <v>SOLO LINEA BASE</v>
      </c>
      <c r="K3580" s="16" t="str">
        <f t="array" ref="K3580">IFERROR(DGET('PADD-R'!$B$1:$K5618,'PADD-R'!$K$1,{'PADD-R'!$B$1;E3580}),"NO PARTICIPÓ")</f>
        <v>SOLO 2023</v>
      </c>
      <c r="L3580" s="14" t="s">
        <v>168</v>
      </c>
      <c r="M3580" s="16" t="str">
        <f t="shared" si="1"/>
        <v>JORGE CHAVEZ2 Secundaria</v>
      </c>
      <c r="N3580" s="23"/>
      <c r="O3580" s="17"/>
      <c r="P3580" s="17"/>
      <c r="Q3580" s="17"/>
      <c r="R3580" s="17"/>
      <c r="S3580" s="17"/>
      <c r="T3580" s="17"/>
    </row>
    <row r="3581">
      <c r="A3581" s="18">
        <v>4667.0</v>
      </c>
      <c r="B3581" s="12" t="s">
        <v>84</v>
      </c>
      <c r="C3581" s="12" t="s">
        <v>27</v>
      </c>
      <c r="D3581" s="20" t="s">
        <v>28</v>
      </c>
      <c r="E3581" s="12" t="str">
        <f>IFERROR(__xludf.DUMMYFUNCTION("FILTER(colegios!$B$2:$B5618,colegios!$A$2:$A5618=L3581)"),"JORGE CHAVEZ")</f>
        <v>JORGE CHAVEZ</v>
      </c>
      <c r="F3581" s="14" t="s">
        <v>16</v>
      </c>
      <c r="G3581" s="20" t="s">
        <v>21</v>
      </c>
      <c r="H3581" s="14" t="s">
        <v>18</v>
      </c>
      <c r="I3581" s="15">
        <v>2022.0</v>
      </c>
      <c r="J3581" s="16" t="str">
        <f>IFERROR(__xludf.DUMMYFUNCTION("FILTER('CLASFICACIÓN'!$F$3:$F5618,'CLASFICACIÓN'!$G$3:$G5618=M3581)"),"SOLO LINEA BASE")</f>
        <v>SOLO LINEA BASE</v>
      </c>
      <c r="K3581" s="16" t="str">
        <f t="array" ref="K3581">IFERROR(DGET('PADD-R'!$B$1:$K5618,'PADD-R'!$K$1,{'PADD-R'!$B$1;E3581}),"NO PARTICIPÓ")</f>
        <v>SOLO 2023</v>
      </c>
      <c r="L3581" s="14" t="s">
        <v>168</v>
      </c>
      <c r="M3581" s="16" t="str">
        <f t="shared" si="1"/>
        <v>JORGE CHAVEZ2 Secundaria</v>
      </c>
      <c r="N3581" s="23"/>
      <c r="O3581" s="17"/>
      <c r="P3581" s="17"/>
      <c r="Q3581" s="17"/>
      <c r="R3581" s="17"/>
      <c r="S3581" s="17"/>
      <c r="T3581" s="17"/>
    </row>
    <row r="3582">
      <c r="A3582" s="18">
        <v>4668.0</v>
      </c>
      <c r="B3582" s="12" t="s">
        <v>84</v>
      </c>
      <c r="C3582" s="12" t="s">
        <v>27</v>
      </c>
      <c r="D3582" s="20" t="s">
        <v>28</v>
      </c>
      <c r="E3582" s="12" t="str">
        <f>IFERROR(__xludf.DUMMYFUNCTION("FILTER(colegios!$B$2:$B5618,colegios!$A$2:$A5618=L3582)"),"JORGE CHAVEZ")</f>
        <v>JORGE CHAVEZ</v>
      </c>
      <c r="F3582" s="14" t="s">
        <v>16</v>
      </c>
      <c r="G3582" s="20" t="s">
        <v>17</v>
      </c>
      <c r="H3582" s="14" t="s">
        <v>18</v>
      </c>
      <c r="I3582" s="15">
        <v>2022.0</v>
      </c>
      <c r="J3582" s="16" t="str">
        <f>IFERROR(__xludf.DUMMYFUNCTION("FILTER('CLASFICACIÓN'!$F$3:$F5618,'CLASFICACIÓN'!$G$3:$G5618=M3582)"),"SOLO LINEA BASE")</f>
        <v>SOLO LINEA BASE</v>
      </c>
      <c r="K3582" s="16" t="str">
        <f t="array" ref="K3582">IFERROR(DGET('PADD-R'!$B$1:$K5618,'PADD-R'!$K$1,{'PADD-R'!$B$1;E3582}),"NO PARTICIPÓ")</f>
        <v>SOLO 2023</v>
      </c>
      <c r="L3582" s="14" t="s">
        <v>168</v>
      </c>
      <c r="M3582" s="16" t="str">
        <f t="shared" si="1"/>
        <v>JORGE CHAVEZ2 Secundaria</v>
      </c>
      <c r="N3582" s="23"/>
      <c r="O3582" s="17"/>
      <c r="P3582" s="17"/>
      <c r="Q3582" s="17"/>
      <c r="R3582" s="17"/>
      <c r="S3582" s="17"/>
      <c r="T3582" s="17"/>
    </row>
    <row r="3583">
      <c r="A3583" s="18">
        <v>4669.0</v>
      </c>
      <c r="B3583" s="12" t="s">
        <v>84</v>
      </c>
      <c r="C3583" s="12" t="s">
        <v>27</v>
      </c>
      <c r="D3583" s="20" t="s">
        <v>28</v>
      </c>
      <c r="E3583" s="12" t="str">
        <f>IFERROR(__xludf.DUMMYFUNCTION("FILTER(colegios!$B$2:$B5618,colegios!$A$2:$A5618=L3583)"),"JORGE CHAVEZ")</f>
        <v>JORGE CHAVEZ</v>
      </c>
      <c r="F3583" s="14" t="s">
        <v>16</v>
      </c>
      <c r="G3583" s="20" t="s">
        <v>17</v>
      </c>
      <c r="H3583" s="14" t="s">
        <v>18</v>
      </c>
      <c r="I3583" s="15">
        <v>2022.0</v>
      </c>
      <c r="J3583" s="16" t="str">
        <f>IFERROR(__xludf.DUMMYFUNCTION("FILTER('CLASFICACIÓN'!$F$3:$F5618,'CLASFICACIÓN'!$G$3:$G5618=M3583)"),"SOLO LINEA BASE")</f>
        <v>SOLO LINEA BASE</v>
      </c>
      <c r="K3583" s="16" t="str">
        <f t="array" ref="K3583">IFERROR(DGET('PADD-R'!$B$1:$K5618,'PADD-R'!$K$1,{'PADD-R'!$B$1;E3583}),"NO PARTICIPÓ")</f>
        <v>SOLO 2023</v>
      </c>
      <c r="L3583" s="14" t="s">
        <v>168</v>
      </c>
      <c r="M3583" s="16" t="str">
        <f t="shared" si="1"/>
        <v>JORGE CHAVEZ2 Secundaria</v>
      </c>
      <c r="N3583" s="23"/>
      <c r="O3583" s="17"/>
      <c r="P3583" s="17"/>
      <c r="Q3583" s="17"/>
      <c r="R3583" s="17"/>
      <c r="S3583" s="17"/>
      <c r="T3583" s="17"/>
    </row>
    <row r="3584">
      <c r="A3584" s="18">
        <v>4670.0</v>
      </c>
      <c r="B3584" s="12" t="s">
        <v>84</v>
      </c>
      <c r="C3584" s="12" t="s">
        <v>27</v>
      </c>
      <c r="D3584" s="20" t="s">
        <v>28</v>
      </c>
      <c r="E3584" s="12" t="str">
        <f>IFERROR(__xludf.DUMMYFUNCTION("FILTER(colegios!$B$2:$B5618,colegios!$A$2:$A5618=L3584)"),"JORGE CHAVEZ")</f>
        <v>JORGE CHAVEZ</v>
      </c>
      <c r="F3584" s="14" t="s">
        <v>16</v>
      </c>
      <c r="G3584" s="20" t="s">
        <v>17</v>
      </c>
      <c r="H3584" s="14" t="s">
        <v>18</v>
      </c>
      <c r="I3584" s="15">
        <v>2022.0</v>
      </c>
      <c r="J3584" s="16" t="str">
        <f>IFERROR(__xludf.DUMMYFUNCTION("FILTER('CLASFICACIÓN'!$F$3:$F5618,'CLASFICACIÓN'!$G$3:$G5618=M3584)"),"SOLO LINEA BASE")</f>
        <v>SOLO LINEA BASE</v>
      </c>
      <c r="K3584" s="16" t="str">
        <f t="array" ref="K3584">IFERROR(DGET('PADD-R'!$B$1:$K5618,'PADD-R'!$K$1,{'PADD-R'!$B$1;E3584}),"NO PARTICIPÓ")</f>
        <v>SOLO 2023</v>
      </c>
      <c r="L3584" s="14" t="s">
        <v>168</v>
      </c>
      <c r="M3584" s="16" t="str">
        <f t="shared" si="1"/>
        <v>JORGE CHAVEZ2 Secundaria</v>
      </c>
      <c r="N3584" s="23"/>
      <c r="O3584" s="17"/>
      <c r="P3584" s="17"/>
      <c r="Q3584" s="17"/>
      <c r="R3584" s="17"/>
      <c r="S3584" s="17"/>
      <c r="T3584" s="17"/>
    </row>
    <row r="3585">
      <c r="A3585" s="18">
        <v>4671.0</v>
      </c>
      <c r="B3585" s="12" t="s">
        <v>84</v>
      </c>
      <c r="C3585" s="12" t="s">
        <v>27</v>
      </c>
      <c r="D3585" s="20" t="s">
        <v>28</v>
      </c>
      <c r="E3585" s="12" t="str">
        <f>IFERROR(__xludf.DUMMYFUNCTION("FILTER(colegios!$B$2:$B5618,colegios!$A$2:$A5618=L3585)"),"JORGE CHAVEZ")</f>
        <v>JORGE CHAVEZ</v>
      </c>
      <c r="F3585" s="14" t="s">
        <v>16</v>
      </c>
      <c r="G3585" s="20" t="s">
        <v>21</v>
      </c>
      <c r="H3585" s="14" t="s">
        <v>18</v>
      </c>
      <c r="I3585" s="15">
        <v>2022.0</v>
      </c>
      <c r="J3585" s="16" t="str">
        <f>IFERROR(__xludf.DUMMYFUNCTION("FILTER('CLASFICACIÓN'!$F$3:$F5618,'CLASFICACIÓN'!$G$3:$G5618=M3585)"),"SOLO LINEA BASE")</f>
        <v>SOLO LINEA BASE</v>
      </c>
      <c r="K3585" s="16" t="str">
        <f t="array" ref="K3585">IFERROR(DGET('PADD-R'!$B$1:$K5618,'PADD-R'!$K$1,{'PADD-R'!$B$1;E3585}),"NO PARTICIPÓ")</f>
        <v>SOLO 2023</v>
      </c>
      <c r="L3585" s="14" t="s">
        <v>168</v>
      </c>
      <c r="M3585" s="16" t="str">
        <f t="shared" si="1"/>
        <v>JORGE CHAVEZ2 Secundaria</v>
      </c>
      <c r="N3585" s="23"/>
      <c r="O3585" s="17"/>
      <c r="P3585" s="17"/>
      <c r="Q3585" s="17"/>
      <c r="R3585" s="17"/>
      <c r="S3585" s="17"/>
      <c r="T3585" s="17"/>
    </row>
    <row r="3586">
      <c r="A3586" s="18">
        <v>4672.0</v>
      </c>
      <c r="B3586" s="12" t="s">
        <v>84</v>
      </c>
      <c r="C3586" s="12" t="s">
        <v>27</v>
      </c>
      <c r="D3586" s="20" t="s">
        <v>28</v>
      </c>
      <c r="E3586" s="12" t="str">
        <f>IFERROR(__xludf.DUMMYFUNCTION("FILTER(colegios!$B$2:$B5618,colegios!$A$2:$A5618=L3586)"),"JORGE CHAVEZ")</f>
        <v>JORGE CHAVEZ</v>
      </c>
      <c r="F3586" s="14" t="s">
        <v>16</v>
      </c>
      <c r="G3586" s="20" t="s">
        <v>21</v>
      </c>
      <c r="H3586" s="14" t="s">
        <v>18</v>
      </c>
      <c r="I3586" s="15">
        <v>2022.0</v>
      </c>
      <c r="J3586" s="16" t="str">
        <f>IFERROR(__xludf.DUMMYFUNCTION("FILTER('CLASFICACIÓN'!$F$3:$F5618,'CLASFICACIÓN'!$G$3:$G5618=M3586)"),"SOLO LINEA BASE")</f>
        <v>SOLO LINEA BASE</v>
      </c>
      <c r="K3586" s="16" t="str">
        <f t="array" ref="K3586">IFERROR(DGET('PADD-R'!$B$1:$K5618,'PADD-R'!$K$1,{'PADD-R'!$B$1;E3586}),"NO PARTICIPÓ")</f>
        <v>SOLO 2023</v>
      </c>
      <c r="L3586" s="14" t="s">
        <v>168</v>
      </c>
      <c r="M3586" s="16" t="str">
        <f t="shared" si="1"/>
        <v>JORGE CHAVEZ2 Secundaria</v>
      </c>
      <c r="N3586" s="23"/>
      <c r="O3586" s="17"/>
      <c r="P3586" s="17"/>
      <c r="Q3586" s="17"/>
      <c r="R3586" s="17"/>
      <c r="S3586" s="17"/>
      <c r="T3586" s="17"/>
    </row>
    <row r="3587">
      <c r="A3587" s="18">
        <v>4673.0</v>
      </c>
      <c r="B3587" s="12" t="s">
        <v>84</v>
      </c>
      <c r="C3587" s="12" t="s">
        <v>27</v>
      </c>
      <c r="D3587" s="20" t="s">
        <v>28</v>
      </c>
      <c r="E3587" s="12" t="str">
        <f>IFERROR(__xludf.DUMMYFUNCTION("FILTER(colegios!$B$2:$B5618,colegios!$A$2:$A5618=L3587)"),"JORGE CHAVEZ")</f>
        <v>JORGE CHAVEZ</v>
      </c>
      <c r="F3587" s="14" t="s">
        <v>16</v>
      </c>
      <c r="G3587" s="20" t="s">
        <v>17</v>
      </c>
      <c r="H3587" s="14" t="s">
        <v>18</v>
      </c>
      <c r="I3587" s="15">
        <v>2022.0</v>
      </c>
      <c r="J3587" s="16" t="str">
        <f>IFERROR(__xludf.DUMMYFUNCTION("FILTER('CLASFICACIÓN'!$F$3:$F5618,'CLASFICACIÓN'!$G$3:$G5618=M3587)"),"SOLO LINEA BASE")</f>
        <v>SOLO LINEA BASE</v>
      </c>
      <c r="K3587" s="16" t="str">
        <f t="array" ref="K3587">IFERROR(DGET('PADD-R'!$B$1:$K5618,'PADD-R'!$K$1,{'PADD-R'!$B$1;E3587}),"NO PARTICIPÓ")</f>
        <v>SOLO 2023</v>
      </c>
      <c r="L3587" s="14" t="s">
        <v>168</v>
      </c>
      <c r="M3587" s="16" t="str">
        <f t="shared" si="1"/>
        <v>JORGE CHAVEZ2 Secundaria</v>
      </c>
      <c r="N3587" s="23"/>
      <c r="O3587" s="17"/>
      <c r="P3587" s="17"/>
      <c r="Q3587" s="17"/>
      <c r="R3587" s="17"/>
      <c r="S3587" s="17"/>
      <c r="T3587" s="17"/>
    </row>
    <row r="3588">
      <c r="A3588" s="18">
        <v>4674.0</v>
      </c>
      <c r="B3588" s="12" t="s">
        <v>84</v>
      </c>
      <c r="C3588" s="12" t="s">
        <v>27</v>
      </c>
      <c r="D3588" s="20" t="s">
        <v>28</v>
      </c>
      <c r="E3588" s="12" t="str">
        <f>IFERROR(__xludf.DUMMYFUNCTION("FILTER(colegios!$B$2:$B5618,colegios!$A$2:$A5618=L3588)"),"JORGE CHAVEZ")</f>
        <v>JORGE CHAVEZ</v>
      </c>
      <c r="F3588" s="14" t="s">
        <v>16</v>
      </c>
      <c r="G3588" s="20" t="s">
        <v>21</v>
      </c>
      <c r="H3588" s="14" t="s">
        <v>18</v>
      </c>
      <c r="I3588" s="15">
        <v>2022.0</v>
      </c>
      <c r="J3588" s="16" t="str">
        <f>IFERROR(__xludf.DUMMYFUNCTION("FILTER('CLASFICACIÓN'!$F$3:$F5618,'CLASFICACIÓN'!$G$3:$G5618=M3588)"),"SOLO LINEA BASE")</f>
        <v>SOLO LINEA BASE</v>
      </c>
      <c r="K3588" s="16" t="str">
        <f t="array" ref="K3588">IFERROR(DGET('PADD-R'!$B$1:$K5618,'PADD-R'!$K$1,{'PADD-R'!$B$1;E3588}),"NO PARTICIPÓ")</f>
        <v>SOLO 2023</v>
      </c>
      <c r="L3588" s="14" t="s">
        <v>168</v>
      </c>
      <c r="M3588" s="16" t="str">
        <f t="shared" si="1"/>
        <v>JORGE CHAVEZ2 Secundaria</v>
      </c>
      <c r="N3588" s="23"/>
      <c r="O3588" s="17"/>
      <c r="P3588" s="17"/>
      <c r="Q3588" s="17"/>
      <c r="R3588" s="17"/>
      <c r="S3588" s="17"/>
      <c r="T3588" s="17"/>
    </row>
    <row r="3589">
      <c r="A3589" s="18">
        <v>4675.0</v>
      </c>
      <c r="B3589" s="12" t="s">
        <v>84</v>
      </c>
      <c r="C3589" s="12" t="s">
        <v>27</v>
      </c>
      <c r="D3589" s="20" t="s">
        <v>28</v>
      </c>
      <c r="E3589" s="12" t="str">
        <f>IFERROR(__xludf.DUMMYFUNCTION("FILTER(colegios!$B$2:$B5618,colegios!$A$2:$A5618=L3589)"),"JORGE CHAVEZ")</f>
        <v>JORGE CHAVEZ</v>
      </c>
      <c r="F3589" s="14" t="s">
        <v>16</v>
      </c>
      <c r="G3589" s="20" t="s">
        <v>21</v>
      </c>
      <c r="H3589" s="14" t="s">
        <v>18</v>
      </c>
      <c r="I3589" s="15">
        <v>2022.0</v>
      </c>
      <c r="J3589" s="16" t="str">
        <f>IFERROR(__xludf.DUMMYFUNCTION("FILTER('CLASFICACIÓN'!$F$3:$F5618,'CLASFICACIÓN'!$G$3:$G5618=M3589)"),"SOLO LINEA BASE")</f>
        <v>SOLO LINEA BASE</v>
      </c>
      <c r="K3589" s="16" t="str">
        <f t="array" ref="K3589">IFERROR(DGET('PADD-R'!$B$1:$K5618,'PADD-R'!$K$1,{'PADD-R'!$B$1;E3589}),"NO PARTICIPÓ")</f>
        <v>SOLO 2023</v>
      </c>
      <c r="L3589" s="14" t="s">
        <v>168</v>
      </c>
      <c r="M3589" s="16" t="str">
        <f t="shared" si="1"/>
        <v>JORGE CHAVEZ2 Secundaria</v>
      </c>
      <c r="N3589" s="23"/>
      <c r="O3589" s="17"/>
      <c r="P3589" s="17"/>
      <c r="Q3589" s="17"/>
      <c r="R3589" s="17"/>
      <c r="S3589" s="17"/>
      <c r="T3589" s="17"/>
    </row>
    <row r="3590">
      <c r="A3590" s="18">
        <v>4676.0</v>
      </c>
      <c r="B3590" s="12" t="s">
        <v>84</v>
      </c>
      <c r="C3590" s="12" t="s">
        <v>27</v>
      </c>
      <c r="D3590" s="20" t="s">
        <v>28</v>
      </c>
      <c r="E3590" s="12" t="str">
        <f>IFERROR(__xludf.DUMMYFUNCTION("FILTER(colegios!$B$2:$B5618,colegios!$A$2:$A5618=L3590)"),"JORGE CHAVEZ")</f>
        <v>JORGE CHAVEZ</v>
      </c>
      <c r="F3590" s="14" t="s">
        <v>16</v>
      </c>
      <c r="G3590" s="20" t="s">
        <v>21</v>
      </c>
      <c r="H3590" s="14" t="s">
        <v>18</v>
      </c>
      <c r="I3590" s="15">
        <v>2022.0</v>
      </c>
      <c r="J3590" s="16" t="str">
        <f>IFERROR(__xludf.DUMMYFUNCTION("FILTER('CLASFICACIÓN'!$F$3:$F5618,'CLASFICACIÓN'!$G$3:$G5618=M3590)"),"SOLO LINEA BASE")</f>
        <v>SOLO LINEA BASE</v>
      </c>
      <c r="K3590" s="16" t="str">
        <f t="array" ref="K3590">IFERROR(DGET('PADD-R'!$B$1:$K5618,'PADD-R'!$K$1,{'PADD-R'!$B$1;E3590}),"NO PARTICIPÓ")</f>
        <v>SOLO 2023</v>
      </c>
      <c r="L3590" s="14" t="s">
        <v>168</v>
      </c>
      <c r="M3590" s="16" t="str">
        <f t="shared" si="1"/>
        <v>JORGE CHAVEZ2 Secundaria</v>
      </c>
      <c r="N3590" s="23"/>
      <c r="O3590" s="17"/>
      <c r="P3590" s="17"/>
      <c r="Q3590" s="17"/>
      <c r="R3590" s="17"/>
      <c r="S3590" s="17"/>
      <c r="T3590" s="17"/>
    </row>
    <row r="3591">
      <c r="A3591" s="18">
        <v>4677.0</v>
      </c>
      <c r="B3591" s="12" t="s">
        <v>84</v>
      </c>
      <c r="C3591" s="12" t="s">
        <v>27</v>
      </c>
      <c r="D3591" s="20" t="s">
        <v>28</v>
      </c>
      <c r="E3591" s="12" t="str">
        <f>IFERROR(__xludf.DUMMYFUNCTION("FILTER(colegios!$B$2:$B5618,colegios!$A$2:$A5618=L3591)"),"JORGE CHAVEZ")</f>
        <v>JORGE CHAVEZ</v>
      </c>
      <c r="F3591" s="14" t="s">
        <v>16</v>
      </c>
      <c r="G3591" s="20" t="s">
        <v>21</v>
      </c>
      <c r="H3591" s="14" t="s">
        <v>18</v>
      </c>
      <c r="I3591" s="15">
        <v>2022.0</v>
      </c>
      <c r="J3591" s="16" t="str">
        <f>IFERROR(__xludf.DUMMYFUNCTION("FILTER('CLASFICACIÓN'!$F$3:$F5618,'CLASFICACIÓN'!$G$3:$G5618=M3591)"),"SOLO LINEA BASE")</f>
        <v>SOLO LINEA BASE</v>
      </c>
      <c r="K3591" s="16" t="str">
        <f t="array" ref="K3591">IFERROR(DGET('PADD-R'!$B$1:$K5618,'PADD-R'!$K$1,{'PADD-R'!$B$1;E3591}),"NO PARTICIPÓ")</f>
        <v>SOLO 2023</v>
      </c>
      <c r="L3591" s="14" t="s">
        <v>168</v>
      </c>
      <c r="M3591" s="16" t="str">
        <f t="shared" si="1"/>
        <v>JORGE CHAVEZ2 Secundaria</v>
      </c>
      <c r="N3591" s="23"/>
      <c r="O3591" s="17"/>
      <c r="P3591" s="17"/>
      <c r="Q3591" s="17"/>
      <c r="R3591" s="17"/>
      <c r="S3591" s="17"/>
      <c r="T3591" s="17"/>
    </row>
    <row r="3592">
      <c r="A3592" s="18">
        <v>4678.0</v>
      </c>
      <c r="B3592" s="12" t="s">
        <v>84</v>
      </c>
      <c r="C3592" s="12" t="s">
        <v>27</v>
      </c>
      <c r="D3592" s="20" t="s">
        <v>28</v>
      </c>
      <c r="E3592" s="12" t="str">
        <f>IFERROR(__xludf.DUMMYFUNCTION("FILTER(colegios!$B$2:$B5618,colegios!$A$2:$A5618=L3592)"),"JORGE CHAVEZ")</f>
        <v>JORGE CHAVEZ</v>
      </c>
      <c r="F3592" s="14" t="s">
        <v>16</v>
      </c>
      <c r="G3592" s="20" t="s">
        <v>17</v>
      </c>
      <c r="H3592" s="14" t="s">
        <v>18</v>
      </c>
      <c r="I3592" s="15">
        <v>2022.0</v>
      </c>
      <c r="J3592" s="16" t="str">
        <f>IFERROR(__xludf.DUMMYFUNCTION("FILTER('CLASFICACIÓN'!$F$3:$F5618,'CLASFICACIÓN'!$G$3:$G5618=M3592)"),"SOLO LINEA BASE")</f>
        <v>SOLO LINEA BASE</v>
      </c>
      <c r="K3592" s="16" t="str">
        <f t="array" ref="K3592">IFERROR(DGET('PADD-R'!$B$1:$K5618,'PADD-R'!$K$1,{'PADD-R'!$B$1;E3592}),"NO PARTICIPÓ")</f>
        <v>SOLO 2023</v>
      </c>
      <c r="L3592" s="14" t="s">
        <v>168</v>
      </c>
      <c r="M3592" s="16" t="str">
        <f t="shared" si="1"/>
        <v>JORGE CHAVEZ2 Secundaria</v>
      </c>
      <c r="N3592" s="23"/>
      <c r="O3592" s="17"/>
      <c r="P3592" s="17"/>
      <c r="Q3592" s="17"/>
      <c r="R3592" s="17"/>
      <c r="S3592" s="17"/>
      <c r="T3592" s="17"/>
    </row>
    <row r="3593">
      <c r="A3593" s="18">
        <v>4679.0</v>
      </c>
      <c r="B3593" s="12" t="s">
        <v>84</v>
      </c>
      <c r="C3593" s="12" t="s">
        <v>27</v>
      </c>
      <c r="D3593" s="20" t="s">
        <v>28</v>
      </c>
      <c r="E3593" s="12" t="str">
        <f>IFERROR(__xludf.DUMMYFUNCTION("FILTER(colegios!$B$2:$B5618,colegios!$A$2:$A5618=L3593)"),"JORGE CHAVEZ")</f>
        <v>JORGE CHAVEZ</v>
      </c>
      <c r="F3593" s="14" t="s">
        <v>16</v>
      </c>
      <c r="G3593" s="20" t="s">
        <v>17</v>
      </c>
      <c r="H3593" s="14" t="s">
        <v>18</v>
      </c>
      <c r="I3593" s="15">
        <v>2022.0</v>
      </c>
      <c r="J3593" s="16" t="str">
        <f>IFERROR(__xludf.DUMMYFUNCTION("FILTER('CLASFICACIÓN'!$F$3:$F5618,'CLASFICACIÓN'!$G$3:$G5618=M3593)"),"SOLO LINEA BASE")</f>
        <v>SOLO LINEA BASE</v>
      </c>
      <c r="K3593" s="16" t="str">
        <f t="array" ref="K3593">IFERROR(DGET('PADD-R'!$B$1:$K5618,'PADD-R'!$K$1,{'PADD-R'!$B$1;E3593}),"NO PARTICIPÓ")</f>
        <v>SOLO 2023</v>
      </c>
      <c r="L3593" s="14" t="s">
        <v>168</v>
      </c>
      <c r="M3593" s="16" t="str">
        <f t="shared" si="1"/>
        <v>JORGE CHAVEZ2 Secundaria</v>
      </c>
      <c r="N3593" s="23"/>
      <c r="O3593" s="17"/>
      <c r="P3593" s="17"/>
      <c r="Q3593" s="17"/>
      <c r="R3593" s="17"/>
      <c r="S3593" s="17"/>
      <c r="T3593" s="17"/>
    </row>
    <row r="3594">
      <c r="A3594" s="18">
        <v>4680.0</v>
      </c>
      <c r="B3594" s="12" t="s">
        <v>84</v>
      </c>
      <c r="C3594" s="12" t="s">
        <v>27</v>
      </c>
      <c r="D3594" s="20" t="s">
        <v>28</v>
      </c>
      <c r="E3594" s="12" t="str">
        <f>IFERROR(__xludf.DUMMYFUNCTION("FILTER(colegios!$B$2:$B5618,colegios!$A$2:$A5618=L3594)"),"JORGE CHAVEZ")</f>
        <v>JORGE CHAVEZ</v>
      </c>
      <c r="F3594" s="14" t="s">
        <v>16</v>
      </c>
      <c r="G3594" s="20" t="s">
        <v>17</v>
      </c>
      <c r="H3594" s="14" t="s">
        <v>18</v>
      </c>
      <c r="I3594" s="15">
        <v>2022.0</v>
      </c>
      <c r="J3594" s="16" t="str">
        <f>IFERROR(__xludf.DUMMYFUNCTION("FILTER('CLASFICACIÓN'!$F$3:$F5618,'CLASFICACIÓN'!$G$3:$G5618=M3594)"),"SOLO LINEA BASE")</f>
        <v>SOLO LINEA BASE</v>
      </c>
      <c r="K3594" s="16" t="str">
        <f t="array" ref="K3594">IFERROR(DGET('PADD-R'!$B$1:$K5618,'PADD-R'!$K$1,{'PADD-R'!$B$1;E3594}),"NO PARTICIPÓ")</f>
        <v>SOLO 2023</v>
      </c>
      <c r="L3594" s="14" t="s">
        <v>168</v>
      </c>
      <c r="M3594" s="16" t="str">
        <f t="shared" si="1"/>
        <v>JORGE CHAVEZ2 Secundaria</v>
      </c>
      <c r="N3594" s="23"/>
      <c r="O3594" s="17"/>
      <c r="P3594" s="17"/>
      <c r="Q3594" s="17"/>
      <c r="R3594" s="17"/>
      <c r="S3594" s="17"/>
      <c r="T3594" s="17"/>
    </row>
    <row r="3595">
      <c r="A3595" s="18">
        <v>4681.0</v>
      </c>
      <c r="B3595" s="12" t="s">
        <v>84</v>
      </c>
      <c r="C3595" s="12" t="s">
        <v>27</v>
      </c>
      <c r="D3595" s="20" t="s">
        <v>28</v>
      </c>
      <c r="E3595" s="12" t="str">
        <f>IFERROR(__xludf.DUMMYFUNCTION("FILTER(colegios!$B$2:$B5618,colegios!$A$2:$A5618=L3595)"),"JORGE CHAVEZ")</f>
        <v>JORGE CHAVEZ</v>
      </c>
      <c r="F3595" s="14" t="s">
        <v>16</v>
      </c>
      <c r="G3595" s="20" t="s">
        <v>21</v>
      </c>
      <c r="H3595" s="14" t="s">
        <v>18</v>
      </c>
      <c r="I3595" s="15">
        <v>2022.0</v>
      </c>
      <c r="J3595" s="16" t="str">
        <f>IFERROR(__xludf.DUMMYFUNCTION("FILTER('CLASFICACIÓN'!$F$3:$F5618,'CLASFICACIÓN'!$G$3:$G5618=M3595)"),"SOLO LINEA BASE")</f>
        <v>SOLO LINEA BASE</v>
      </c>
      <c r="K3595" s="16" t="str">
        <f t="array" ref="K3595">IFERROR(DGET('PADD-R'!$B$1:$K5618,'PADD-R'!$K$1,{'PADD-R'!$B$1;E3595}),"NO PARTICIPÓ")</f>
        <v>SOLO 2023</v>
      </c>
      <c r="L3595" s="14" t="s">
        <v>168</v>
      </c>
      <c r="M3595" s="16" t="str">
        <f t="shared" si="1"/>
        <v>JORGE CHAVEZ2 Secundaria</v>
      </c>
      <c r="N3595" s="23"/>
      <c r="O3595" s="17"/>
      <c r="P3595" s="17"/>
      <c r="Q3595" s="17"/>
      <c r="R3595" s="17"/>
      <c r="S3595" s="17"/>
      <c r="T3595" s="17"/>
    </row>
    <row r="3596">
      <c r="A3596" s="18">
        <v>4682.0</v>
      </c>
      <c r="B3596" s="12" t="s">
        <v>84</v>
      </c>
      <c r="C3596" s="12" t="s">
        <v>27</v>
      </c>
      <c r="D3596" s="20" t="s">
        <v>28</v>
      </c>
      <c r="E3596" s="12" t="str">
        <f>IFERROR(__xludf.DUMMYFUNCTION("FILTER(colegios!$B$2:$B5618,colegios!$A$2:$A5618=L3596)"),"JORGE CHAVEZ")</f>
        <v>JORGE CHAVEZ</v>
      </c>
      <c r="F3596" s="14" t="s">
        <v>16</v>
      </c>
      <c r="G3596" s="20" t="s">
        <v>21</v>
      </c>
      <c r="H3596" s="14" t="s">
        <v>18</v>
      </c>
      <c r="I3596" s="15">
        <v>2022.0</v>
      </c>
      <c r="J3596" s="16" t="str">
        <f>IFERROR(__xludf.DUMMYFUNCTION("FILTER('CLASFICACIÓN'!$F$3:$F5618,'CLASFICACIÓN'!$G$3:$G5618=M3596)"),"SOLO LINEA BASE")</f>
        <v>SOLO LINEA BASE</v>
      </c>
      <c r="K3596" s="16" t="str">
        <f t="array" ref="K3596">IFERROR(DGET('PADD-R'!$B$1:$K5618,'PADD-R'!$K$1,{'PADD-R'!$B$1;E3596}),"NO PARTICIPÓ")</f>
        <v>SOLO 2023</v>
      </c>
      <c r="L3596" s="14" t="s">
        <v>168</v>
      </c>
      <c r="M3596" s="16" t="str">
        <f t="shared" si="1"/>
        <v>JORGE CHAVEZ2 Secundaria</v>
      </c>
      <c r="N3596" s="23"/>
      <c r="O3596" s="17"/>
      <c r="P3596" s="17"/>
      <c r="Q3596" s="17"/>
      <c r="R3596" s="17"/>
      <c r="S3596" s="17"/>
      <c r="T3596" s="17"/>
    </row>
    <row r="3597">
      <c r="A3597" s="18">
        <v>4683.0</v>
      </c>
      <c r="B3597" s="12" t="s">
        <v>84</v>
      </c>
      <c r="C3597" s="12" t="s">
        <v>27</v>
      </c>
      <c r="D3597" s="20" t="s">
        <v>28</v>
      </c>
      <c r="E3597" s="12" t="str">
        <f>IFERROR(__xludf.DUMMYFUNCTION("FILTER(colegios!$B$2:$B5618,colegios!$A$2:$A5618=L3597)"),"JORGE CHAVEZ")</f>
        <v>JORGE CHAVEZ</v>
      </c>
      <c r="F3597" s="14" t="s">
        <v>16</v>
      </c>
      <c r="G3597" s="20" t="s">
        <v>17</v>
      </c>
      <c r="H3597" s="14" t="s">
        <v>18</v>
      </c>
      <c r="I3597" s="15">
        <v>2022.0</v>
      </c>
      <c r="J3597" s="16" t="str">
        <f>IFERROR(__xludf.DUMMYFUNCTION("FILTER('CLASFICACIÓN'!$F$3:$F5618,'CLASFICACIÓN'!$G$3:$G5618=M3597)"),"SOLO LINEA BASE")</f>
        <v>SOLO LINEA BASE</v>
      </c>
      <c r="K3597" s="16" t="str">
        <f t="array" ref="K3597">IFERROR(DGET('PADD-R'!$B$1:$K5618,'PADD-R'!$K$1,{'PADD-R'!$B$1;E3597}),"NO PARTICIPÓ")</f>
        <v>SOLO 2023</v>
      </c>
      <c r="L3597" s="14" t="s">
        <v>168</v>
      </c>
      <c r="M3597" s="16" t="str">
        <f t="shared" si="1"/>
        <v>JORGE CHAVEZ2 Secundaria</v>
      </c>
      <c r="N3597" s="23"/>
      <c r="O3597" s="17"/>
      <c r="P3597" s="17"/>
      <c r="Q3597" s="17"/>
      <c r="R3597" s="17"/>
      <c r="S3597" s="17"/>
      <c r="T3597" s="17"/>
    </row>
    <row r="3598">
      <c r="A3598" s="18">
        <v>4684.0</v>
      </c>
      <c r="B3598" s="12" t="s">
        <v>84</v>
      </c>
      <c r="C3598" s="12" t="s">
        <v>27</v>
      </c>
      <c r="D3598" s="20" t="s">
        <v>28</v>
      </c>
      <c r="E3598" s="12" t="str">
        <f>IFERROR(__xludf.DUMMYFUNCTION("FILTER(colegios!$B$2:$B5618,colegios!$A$2:$A5618=L3598)"),"JORGE CHAVEZ")</f>
        <v>JORGE CHAVEZ</v>
      </c>
      <c r="F3598" s="14" t="s">
        <v>16</v>
      </c>
      <c r="G3598" s="20" t="s">
        <v>21</v>
      </c>
      <c r="H3598" s="14" t="s">
        <v>18</v>
      </c>
      <c r="I3598" s="15">
        <v>2022.0</v>
      </c>
      <c r="J3598" s="16" t="str">
        <f>IFERROR(__xludf.DUMMYFUNCTION("FILTER('CLASFICACIÓN'!$F$3:$F5618,'CLASFICACIÓN'!$G$3:$G5618=M3598)"),"SOLO LINEA BASE")</f>
        <v>SOLO LINEA BASE</v>
      </c>
      <c r="K3598" s="16" t="str">
        <f t="array" ref="K3598">IFERROR(DGET('PADD-R'!$B$1:$K5618,'PADD-R'!$K$1,{'PADD-R'!$B$1;E3598}),"NO PARTICIPÓ")</f>
        <v>SOLO 2023</v>
      </c>
      <c r="L3598" s="14" t="s">
        <v>168</v>
      </c>
      <c r="M3598" s="16" t="str">
        <f t="shared" si="1"/>
        <v>JORGE CHAVEZ2 Secundaria</v>
      </c>
      <c r="N3598" s="23"/>
      <c r="O3598" s="17"/>
      <c r="P3598" s="17"/>
      <c r="Q3598" s="17"/>
      <c r="R3598" s="17"/>
      <c r="S3598" s="17"/>
      <c r="T3598" s="17"/>
    </row>
    <row r="3599">
      <c r="A3599" s="18">
        <v>4685.0</v>
      </c>
      <c r="B3599" s="12" t="s">
        <v>84</v>
      </c>
      <c r="C3599" s="12" t="s">
        <v>27</v>
      </c>
      <c r="D3599" s="20" t="s">
        <v>30</v>
      </c>
      <c r="E3599" s="12" t="str">
        <f>IFERROR(__xludf.DUMMYFUNCTION("FILTER(colegios!$B$2:$B5618,colegios!$A$2:$A5618=L3599)"),"JORGE CHAVEZ")</f>
        <v>JORGE CHAVEZ</v>
      </c>
      <c r="F3599" s="14" t="s">
        <v>16</v>
      </c>
      <c r="G3599" s="20" t="s">
        <v>17</v>
      </c>
      <c r="H3599" s="14" t="s">
        <v>18</v>
      </c>
      <c r="I3599" s="15">
        <v>2022.0</v>
      </c>
      <c r="J3599" s="16" t="str">
        <f>IFERROR(__xludf.DUMMYFUNCTION("FILTER('CLASFICACIÓN'!$F$3:$F5618,'CLASFICACIÓN'!$G$3:$G5618=M3599)"),"SOLO LINEA BASE")</f>
        <v>SOLO LINEA BASE</v>
      </c>
      <c r="K3599" s="16" t="str">
        <f t="array" ref="K3599">IFERROR(DGET('PADD-R'!$B$1:$K5618,'PADD-R'!$K$1,{'PADD-R'!$B$1;E3599}),"NO PARTICIPÓ")</f>
        <v>SOLO 2023</v>
      </c>
      <c r="L3599" s="14" t="s">
        <v>169</v>
      </c>
      <c r="M3599" s="16" t="str">
        <f t="shared" si="1"/>
        <v>JORGE CHAVEZ4 Secundaria</v>
      </c>
      <c r="N3599" s="23"/>
      <c r="O3599" s="17"/>
      <c r="P3599" s="17"/>
      <c r="Q3599" s="17"/>
      <c r="R3599" s="17"/>
      <c r="S3599" s="17"/>
      <c r="T3599" s="17"/>
    </row>
    <row r="3600">
      <c r="A3600" s="18">
        <v>4686.0</v>
      </c>
      <c r="B3600" s="12" t="s">
        <v>84</v>
      </c>
      <c r="C3600" s="12" t="s">
        <v>27</v>
      </c>
      <c r="D3600" s="20" t="s">
        <v>30</v>
      </c>
      <c r="E3600" s="12" t="str">
        <f>IFERROR(__xludf.DUMMYFUNCTION("FILTER(colegios!$B$2:$B5618,colegios!$A$2:$A5618=L3600)"),"JORGE CHAVEZ")</f>
        <v>JORGE CHAVEZ</v>
      </c>
      <c r="F3600" s="14" t="s">
        <v>16</v>
      </c>
      <c r="G3600" s="20" t="s">
        <v>21</v>
      </c>
      <c r="H3600" s="14" t="s">
        <v>18</v>
      </c>
      <c r="I3600" s="15">
        <v>2022.0</v>
      </c>
      <c r="J3600" s="16" t="str">
        <f>IFERROR(__xludf.DUMMYFUNCTION("FILTER('CLASFICACIÓN'!$F$3:$F5618,'CLASFICACIÓN'!$G$3:$G5618=M3600)"),"SOLO LINEA BASE")</f>
        <v>SOLO LINEA BASE</v>
      </c>
      <c r="K3600" s="16" t="str">
        <f t="array" ref="K3600">IFERROR(DGET('PADD-R'!$B$1:$K5618,'PADD-R'!$K$1,{'PADD-R'!$B$1;E3600}),"NO PARTICIPÓ")</f>
        <v>SOLO 2023</v>
      </c>
      <c r="L3600" s="14" t="s">
        <v>169</v>
      </c>
      <c r="M3600" s="16" t="str">
        <f t="shared" si="1"/>
        <v>JORGE CHAVEZ4 Secundaria</v>
      </c>
      <c r="N3600" s="23"/>
      <c r="O3600" s="17"/>
      <c r="P3600" s="17"/>
      <c r="Q3600" s="17"/>
      <c r="R3600" s="17"/>
      <c r="S3600" s="17"/>
      <c r="T3600" s="17"/>
    </row>
    <row r="3601">
      <c r="A3601" s="18">
        <v>4687.0</v>
      </c>
      <c r="B3601" s="12" t="s">
        <v>84</v>
      </c>
      <c r="C3601" s="12" t="s">
        <v>27</v>
      </c>
      <c r="D3601" s="20" t="s">
        <v>30</v>
      </c>
      <c r="E3601" s="12" t="str">
        <f>IFERROR(__xludf.DUMMYFUNCTION("FILTER(colegios!$B$2:$B5618,colegios!$A$2:$A5618=L3601)"),"JORGE CHAVEZ")</f>
        <v>JORGE CHAVEZ</v>
      </c>
      <c r="F3601" s="14" t="s">
        <v>16</v>
      </c>
      <c r="G3601" s="20" t="s">
        <v>21</v>
      </c>
      <c r="H3601" s="14" t="s">
        <v>18</v>
      </c>
      <c r="I3601" s="15">
        <v>2022.0</v>
      </c>
      <c r="J3601" s="16" t="str">
        <f>IFERROR(__xludf.DUMMYFUNCTION("FILTER('CLASFICACIÓN'!$F$3:$F5618,'CLASFICACIÓN'!$G$3:$G5618=M3601)"),"SOLO LINEA BASE")</f>
        <v>SOLO LINEA BASE</v>
      </c>
      <c r="K3601" s="16" t="str">
        <f t="array" ref="K3601">IFERROR(DGET('PADD-R'!$B$1:$K5618,'PADD-R'!$K$1,{'PADD-R'!$B$1;E3601}),"NO PARTICIPÓ")</f>
        <v>SOLO 2023</v>
      </c>
      <c r="L3601" s="14" t="s">
        <v>169</v>
      </c>
      <c r="M3601" s="16" t="str">
        <f t="shared" si="1"/>
        <v>JORGE CHAVEZ4 Secundaria</v>
      </c>
      <c r="N3601" s="23"/>
      <c r="O3601" s="17"/>
      <c r="P3601" s="17"/>
      <c r="Q3601" s="17"/>
      <c r="R3601" s="17"/>
      <c r="S3601" s="17"/>
      <c r="T3601" s="17"/>
    </row>
    <row r="3602">
      <c r="A3602" s="18">
        <v>4688.0</v>
      </c>
      <c r="B3602" s="12" t="s">
        <v>84</v>
      </c>
      <c r="C3602" s="12" t="s">
        <v>27</v>
      </c>
      <c r="D3602" s="20" t="s">
        <v>30</v>
      </c>
      <c r="E3602" s="12" t="str">
        <f>IFERROR(__xludf.DUMMYFUNCTION("FILTER(colegios!$B$2:$B5618,colegios!$A$2:$A5618=L3602)"),"JORGE CHAVEZ")</f>
        <v>JORGE CHAVEZ</v>
      </c>
      <c r="F3602" s="14" t="s">
        <v>16</v>
      </c>
      <c r="G3602" s="20" t="s">
        <v>17</v>
      </c>
      <c r="H3602" s="14" t="s">
        <v>18</v>
      </c>
      <c r="I3602" s="15">
        <v>2022.0</v>
      </c>
      <c r="J3602" s="16" t="str">
        <f>IFERROR(__xludf.DUMMYFUNCTION("FILTER('CLASFICACIÓN'!$F$3:$F5618,'CLASFICACIÓN'!$G$3:$G5618=M3602)"),"SOLO LINEA BASE")</f>
        <v>SOLO LINEA BASE</v>
      </c>
      <c r="K3602" s="16" t="str">
        <f t="array" ref="K3602">IFERROR(DGET('PADD-R'!$B$1:$K5618,'PADD-R'!$K$1,{'PADD-R'!$B$1;E3602}),"NO PARTICIPÓ")</f>
        <v>SOLO 2023</v>
      </c>
      <c r="L3602" s="14" t="s">
        <v>169</v>
      </c>
      <c r="M3602" s="16" t="str">
        <f t="shared" si="1"/>
        <v>JORGE CHAVEZ4 Secundaria</v>
      </c>
      <c r="N3602" s="23"/>
      <c r="O3602" s="17"/>
      <c r="P3602" s="17"/>
      <c r="Q3602" s="17"/>
      <c r="R3602" s="17"/>
      <c r="S3602" s="17"/>
      <c r="T3602" s="17"/>
    </row>
    <row r="3603">
      <c r="A3603" s="18">
        <v>4689.0</v>
      </c>
      <c r="B3603" s="12" t="s">
        <v>84</v>
      </c>
      <c r="C3603" s="12" t="s">
        <v>27</v>
      </c>
      <c r="D3603" s="20" t="s">
        <v>30</v>
      </c>
      <c r="E3603" s="12" t="str">
        <f>IFERROR(__xludf.DUMMYFUNCTION("FILTER(colegios!$B$2:$B5618,colegios!$A$2:$A5618=L3603)"),"JORGE CHAVEZ")</f>
        <v>JORGE CHAVEZ</v>
      </c>
      <c r="F3603" s="14" t="s">
        <v>16</v>
      </c>
      <c r="G3603" s="20" t="s">
        <v>17</v>
      </c>
      <c r="H3603" s="14" t="s">
        <v>18</v>
      </c>
      <c r="I3603" s="15">
        <v>2022.0</v>
      </c>
      <c r="J3603" s="16" t="str">
        <f>IFERROR(__xludf.DUMMYFUNCTION("FILTER('CLASFICACIÓN'!$F$3:$F5618,'CLASFICACIÓN'!$G$3:$G5618=M3603)"),"SOLO LINEA BASE")</f>
        <v>SOLO LINEA BASE</v>
      </c>
      <c r="K3603" s="16" t="str">
        <f t="array" ref="K3603">IFERROR(DGET('PADD-R'!$B$1:$K5618,'PADD-R'!$K$1,{'PADD-R'!$B$1;E3603}),"NO PARTICIPÓ")</f>
        <v>SOLO 2023</v>
      </c>
      <c r="L3603" s="14" t="s">
        <v>169</v>
      </c>
      <c r="M3603" s="16" t="str">
        <f t="shared" si="1"/>
        <v>JORGE CHAVEZ4 Secundaria</v>
      </c>
      <c r="N3603" s="23"/>
      <c r="O3603" s="17"/>
      <c r="P3603" s="17"/>
      <c r="Q3603" s="17"/>
      <c r="R3603" s="17"/>
      <c r="S3603" s="17"/>
      <c r="T3603" s="17"/>
    </row>
    <row r="3604">
      <c r="A3604" s="18">
        <v>4690.0</v>
      </c>
      <c r="B3604" s="12" t="s">
        <v>84</v>
      </c>
      <c r="C3604" s="12" t="s">
        <v>27</v>
      </c>
      <c r="D3604" s="20" t="s">
        <v>30</v>
      </c>
      <c r="E3604" s="12" t="str">
        <f>IFERROR(__xludf.DUMMYFUNCTION("FILTER(colegios!$B$2:$B5618,colegios!$A$2:$A5618=L3604)"),"JORGE CHAVEZ")</f>
        <v>JORGE CHAVEZ</v>
      </c>
      <c r="F3604" s="14" t="s">
        <v>16</v>
      </c>
      <c r="G3604" s="20" t="s">
        <v>21</v>
      </c>
      <c r="H3604" s="14" t="s">
        <v>18</v>
      </c>
      <c r="I3604" s="15">
        <v>2022.0</v>
      </c>
      <c r="J3604" s="16" t="str">
        <f>IFERROR(__xludf.DUMMYFUNCTION("FILTER('CLASFICACIÓN'!$F$3:$F5618,'CLASFICACIÓN'!$G$3:$G5618=M3604)"),"SOLO LINEA BASE")</f>
        <v>SOLO LINEA BASE</v>
      </c>
      <c r="K3604" s="16" t="str">
        <f t="array" ref="K3604">IFERROR(DGET('PADD-R'!$B$1:$K5618,'PADD-R'!$K$1,{'PADD-R'!$B$1;E3604}),"NO PARTICIPÓ")</f>
        <v>SOLO 2023</v>
      </c>
      <c r="L3604" s="14" t="s">
        <v>169</v>
      </c>
      <c r="M3604" s="16" t="str">
        <f t="shared" si="1"/>
        <v>JORGE CHAVEZ4 Secundaria</v>
      </c>
      <c r="N3604" s="23"/>
      <c r="O3604" s="17"/>
      <c r="P3604" s="17"/>
      <c r="Q3604" s="17"/>
      <c r="R3604" s="17"/>
      <c r="S3604" s="17"/>
      <c r="T3604" s="17"/>
    </row>
    <row r="3605">
      <c r="A3605" s="18">
        <v>4691.0</v>
      </c>
      <c r="B3605" s="12" t="s">
        <v>84</v>
      </c>
      <c r="C3605" s="12" t="s">
        <v>27</v>
      </c>
      <c r="D3605" s="20" t="s">
        <v>30</v>
      </c>
      <c r="E3605" s="12" t="str">
        <f>IFERROR(__xludf.DUMMYFUNCTION("FILTER(colegios!$B$2:$B5618,colegios!$A$2:$A5618=L3605)"),"JORGE CHAVEZ")</f>
        <v>JORGE CHAVEZ</v>
      </c>
      <c r="F3605" s="14" t="s">
        <v>16</v>
      </c>
      <c r="G3605" s="20" t="s">
        <v>21</v>
      </c>
      <c r="H3605" s="14" t="s">
        <v>18</v>
      </c>
      <c r="I3605" s="15">
        <v>2022.0</v>
      </c>
      <c r="J3605" s="16" t="str">
        <f>IFERROR(__xludf.DUMMYFUNCTION("FILTER('CLASFICACIÓN'!$F$3:$F5618,'CLASFICACIÓN'!$G$3:$G5618=M3605)"),"SOLO LINEA BASE")</f>
        <v>SOLO LINEA BASE</v>
      </c>
      <c r="K3605" s="16" t="str">
        <f t="array" ref="K3605">IFERROR(DGET('PADD-R'!$B$1:$K5618,'PADD-R'!$K$1,{'PADD-R'!$B$1;E3605}),"NO PARTICIPÓ")</f>
        <v>SOLO 2023</v>
      </c>
      <c r="L3605" s="14" t="s">
        <v>169</v>
      </c>
      <c r="M3605" s="16" t="str">
        <f t="shared" si="1"/>
        <v>JORGE CHAVEZ4 Secundaria</v>
      </c>
      <c r="N3605" s="23"/>
      <c r="O3605" s="17"/>
      <c r="P3605" s="17"/>
      <c r="Q3605" s="17"/>
      <c r="R3605" s="17"/>
      <c r="S3605" s="17"/>
      <c r="T3605" s="17"/>
    </row>
    <row r="3606">
      <c r="A3606" s="18">
        <v>4692.0</v>
      </c>
      <c r="B3606" s="12" t="s">
        <v>84</v>
      </c>
      <c r="C3606" s="12" t="s">
        <v>27</v>
      </c>
      <c r="D3606" s="20" t="s">
        <v>30</v>
      </c>
      <c r="E3606" s="12" t="str">
        <f>IFERROR(__xludf.DUMMYFUNCTION("FILTER(colegios!$B$2:$B5618,colegios!$A$2:$A5618=L3606)"),"JORGE CHAVEZ")</f>
        <v>JORGE CHAVEZ</v>
      </c>
      <c r="F3606" s="14" t="s">
        <v>16</v>
      </c>
      <c r="G3606" s="20" t="s">
        <v>21</v>
      </c>
      <c r="H3606" s="14" t="s">
        <v>18</v>
      </c>
      <c r="I3606" s="15">
        <v>2022.0</v>
      </c>
      <c r="J3606" s="16" t="str">
        <f>IFERROR(__xludf.DUMMYFUNCTION("FILTER('CLASFICACIÓN'!$F$3:$F5618,'CLASFICACIÓN'!$G$3:$G5618=M3606)"),"SOLO LINEA BASE")</f>
        <v>SOLO LINEA BASE</v>
      </c>
      <c r="K3606" s="16" t="str">
        <f t="array" ref="K3606">IFERROR(DGET('PADD-R'!$B$1:$K5618,'PADD-R'!$K$1,{'PADD-R'!$B$1;E3606}),"NO PARTICIPÓ")</f>
        <v>SOLO 2023</v>
      </c>
      <c r="L3606" s="14" t="s">
        <v>169</v>
      </c>
      <c r="M3606" s="16" t="str">
        <f t="shared" si="1"/>
        <v>JORGE CHAVEZ4 Secundaria</v>
      </c>
      <c r="N3606" s="23"/>
      <c r="O3606" s="17"/>
      <c r="P3606" s="17"/>
      <c r="Q3606" s="17"/>
      <c r="R3606" s="17"/>
      <c r="S3606" s="17"/>
      <c r="T3606" s="17"/>
    </row>
    <row r="3607">
      <c r="A3607" s="18">
        <v>4693.0</v>
      </c>
      <c r="B3607" s="12" t="s">
        <v>84</v>
      </c>
      <c r="C3607" s="12" t="s">
        <v>27</v>
      </c>
      <c r="D3607" s="20" t="s">
        <v>30</v>
      </c>
      <c r="E3607" s="12" t="str">
        <f>IFERROR(__xludf.DUMMYFUNCTION("FILTER(colegios!$B$2:$B5618,colegios!$A$2:$A5618=L3607)"),"JORGE CHAVEZ")</f>
        <v>JORGE CHAVEZ</v>
      </c>
      <c r="F3607" s="14" t="s">
        <v>16</v>
      </c>
      <c r="G3607" s="20" t="s">
        <v>21</v>
      </c>
      <c r="H3607" s="14" t="s">
        <v>18</v>
      </c>
      <c r="I3607" s="15">
        <v>2022.0</v>
      </c>
      <c r="J3607" s="16" t="str">
        <f>IFERROR(__xludf.DUMMYFUNCTION("FILTER('CLASFICACIÓN'!$F$3:$F5618,'CLASFICACIÓN'!$G$3:$G5618=M3607)"),"SOLO LINEA BASE")</f>
        <v>SOLO LINEA BASE</v>
      </c>
      <c r="K3607" s="16" t="str">
        <f t="array" ref="K3607">IFERROR(DGET('PADD-R'!$B$1:$K5618,'PADD-R'!$K$1,{'PADD-R'!$B$1;E3607}),"NO PARTICIPÓ")</f>
        <v>SOLO 2023</v>
      </c>
      <c r="L3607" s="14" t="s">
        <v>169</v>
      </c>
      <c r="M3607" s="16" t="str">
        <f t="shared" si="1"/>
        <v>JORGE CHAVEZ4 Secundaria</v>
      </c>
      <c r="N3607" s="23"/>
      <c r="O3607" s="17"/>
      <c r="P3607" s="17"/>
      <c r="Q3607" s="17"/>
      <c r="R3607" s="17"/>
      <c r="S3607" s="17"/>
      <c r="T3607" s="17"/>
    </row>
    <row r="3608">
      <c r="A3608" s="18">
        <v>4694.0</v>
      </c>
      <c r="B3608" s="12" t="s">
        <v>84</v>
      </c>
      <c r="C3608" s="12" t="s">
        <v>27</v>
      </c>
      <c r="D3608" s="20" t="s">
        <v>30</v>
      </c>
      <c r="E3608" s="12" t="str">
        <f>IFERROR(__xludf.DUMMYFUNCTION("FILTER(colegios!$B$2:$B5618,colegios!$A$2:$A5618=L3608)"),"JORGE CHAVEZ")</f>
        <v>JORGE CHAVEZ</v>
      </c>
      <c r="F3608" s="14" t="s">
        <v>16</v>
      </c>
      <c r="G3608" s="20" t="s">
        <v>21</v>
      </c>
      <c r="H3608" s="14" t="s">
        <v>18</v>
      </c>
      <c r="I3608" s="15">
        <v>2022.0</v>
      </c>
      <c r="J3608" s="16" t="str">
        <f>IFERROR(__xludf.DUMMYFUNCTION("FILTER('CLASFICACIÓN'!$F$3:$F5618,'CLASFICACIÓN'!$G$3:$G5618=M3608)"),"SOLO LINEA BASE")</f>
        <v>SOLO LINEA BASE</v>
      </c>
      <c r="K3608" s="16" t="str">
        <f t="array" ref="K3608">IFERROR(DGET('PADD-R'!$B$1:$K5618,'PADD-R'!$K$1,{'PADD-R'!$B$1;E3608}),"NO PARTICIPÓ")</f>
        <v>SOLO 2023</v>
      </c>
      <c r="L3608" s="14" t="s">
        <v>169</v>
      </c>
      <c r="M3608" s="16" t="str">
        <f t="shared" si="1"/>
        <v>JORGE CHAVEZ4 Secundaria</v>
      </c>
      <c r="N3608" s="23"/>
      <c r="O3608" s="17"/>
      <c r="P3608" s="17"/>
      <c r="Q3608" s="17"/>
      <c r="R3608" s="17"/>
      <c r="S3608" s="17"/>
      <c r="T3608" s="17"/>
    </row>
    <row r="3609">
      <c r="A3609" s="18">
        <v>4695.0</v>
      </c>
      <c r="B3609" s="12" t="s">
        <v>84</v>
      </c>
      <c r="C3609" s="12" t="s">
        <v>27</v>
      </c>
      <c r="D3609" s="20" t="s">
        <v>30</v>
      </c>
      <c r="E3609" s="12" t="str">
        <f>IFERROR(__xludf.DUMMYFUNCTION("FILTER(colegios!$B$2:$B5618,colegios!$A$2:$A5618=L3609)"),"JORGE CHAVEZ")</f>
        <v>JORGE CHAVEZ</v>
      </c>
      <c r="F3609" s="14" t="s">
        <v>16</v>
      </c>
      <c r="G3609" s="20" t="s">
        <v>17</v>
      </c>
      <c r="H3609" s="14" t="s">
        <v>18</v>
      </c>
      <c r="I3609" s="15">
        <v>2022.0</v>
      </c>
      <c r="J3609" s="16" t="str">
        <f>IFERROR(__xludf.DUMMYFUNCTION("FILTER('CLASFICACIÓN'!$F$3:$F5618,'CLASFICACIÓN'!$G$3:$G5618=M3609)"),"SOLO LINEA BASE")</f>
        <v>SOLO LINEA BASE</v>
      </c>
      <c r="K3609" s="16" t="str">
        <f t="array" ref="K3609">IFERROR(DGET('PADD-R'!$B$1:$K5618,'PADD-R'!$K$1,{'PADD-R'!$B$1;E3609}),"NO PARTICIPÓ")</f>
        <v>SOLO 2023</v>
      </c>
      <c r="L3609" s="14" t="s">
        <v>169</v>
      </c>
      <c r="M3609" s="16" t="str">
        <f t="shared" si="1"/>
        <v>JORGE CHAVEZ4 Secundaria</v>
      </c>
      <c r="N3609" s="23"/>
      <c r="O3609" s="17"/>
      <c r="P3609" s="17"/>
      <c r="Q3609" s="17"/>
      <c r="R3609" s="17"/>
      <c r="S3609" s="17"/>
      <c r="T3609" s="17"/>
    </row>
    <row r="3610">
      <c r="A3610" s="18">
        <v>4696.0</v>
      </c>
      <c r="B3610" s="12" t="s">
        <v>84</v>
      </c>
      <c r="C3610" s="12" t="s">
        <v>27</v>
      </c>
      <c r="D3610" s="20" t="s">
        <v>30</v>
      </c>
      <c r="E3610" s="12" t="str">
        <f>IFERROR(__xludf.DUMMYFUNCTION("FILTER(colegios!$B$2:$B5618,colegios!$A$2:$A5618=L3610)"),"JORGE CHAVEZ")</f>
        <v>JORGE CHAVEZ</v>
      </c>
      <c r="F3610" s="14" t="s">
        <v>16</v>
      </c>
      <c r="G3610" s="20" t="s">
        <v>17</v>
      </c>
      <c r="H3610" s="14" t="s">
        <v>18</v>
      </c>
      <c r="I3610" s="15">
        <v>2022.0</v>
      </c>
      <c r="J3610" s="16" t="str">
        <f>IFERROR(__xludf.DUMMYFUNCTION("FILTER('CLASFICACIÓN'!$F$3:$F5618,'CLASFICACIÓN'!$G$3:$G5618=M3610)"),"SOLO LINEA BASE")</f>
        <v>SOLO LINEA BASE</v>
      </c>
      <c r="K3610" s="16" t="str">
        <f t="array" ref="K3610">IFERROR(DGET('PADD-R'!$B$1:$K5618,'PADD-R'!$K$1,{'PADD-R'!$B$1;E3610}),"NO PARTICIPÓ")</f>
        <v>SOLO 2023</v>
      </c>
      <c r="L3610" s="14" t="s">
        <v>169</v>
      </c>
      <c r="M3610" s="16" t="str">
        <f t="shared" si="1"/>
        <v>JORGE CHAVEZ4 Secundaria</v>
      </c>
      <c r="N3610" s="23"/>
      <c r="O3610" s="17"/>
      <c r="P3610" s="17"/>
      <c r="Q3610" s="17"/>
      <c r="R3610" s="17"/>
      <c r="S3610" s="17"/>
      <c r="T3610" s="17"/>
    </row>
    <row r="3611">
      <c r="A3611" s="18">
        <v>4697.0</v>
      </c>
      <c r="B3611" s="12" t="s">
        <v>84</v>
      </c>
      <c r="C3611" s="12" t="s">
        <v>27</v>
      </c>
      <c r="D3611" s="20" t="s">
        <v>30</v>
      </c>
      <c r="E3611" s="12" t="str">
        <f>IFERROR(__xludf.DUMMYFUNCTION("FILTER(colegios!$B$2:$B5618,colegios!$A$2:$A5618=L3611)"),"JORGE CHAVEZ")</f>
        <v>JORGE CHAVEZ</v>
      </c>
      <c r="F3611" s="14" t="s">
        <v>16</v>
      </c>
      <c r="G3611" s="20" t="s">
        <v>21</v>
      </c>
      <c r="H3611" s="14" t="s">
        <v>18</v>
      </c>
      <c r="I3611" s="15">
        <v>2022.0</v>
      </c>
      <c r="J3611" s="16" t="str">
        <f>IFERROR(__xludf.DUMMYFUNCTION("FILTER('CLASFICACIÓN'!$F$3:$F5618,'CLASFICACIÓN'!$G$3:$G5618=M3611)"),"SOLO LINEA BASE")</f>
        <v>SOLO LINEA BASE</v>
      </c>
      <c r="K3611" s="16" t="str">
        <f t="array" ref="K3611">IFERROR(DGET('PADD-R'!$B$1:$K5618,'PADD-R'!$K$1,{'PADD-R'!$B$1;E3611}),"NO PARTICIPÓ")</f>
        <v>SOLO 2023</v>
      </c>
      <c r="L3611" s="14" t="s">
        <v>170</v>
      </c>
      <c r="M3611" s="16" t="str">
        <f t="shared" si="1"/>
        <v>JORGE CHAVEZ4 Secundaria</v>
      </c>
      <c r="N3611" s="23"/>
      <c r="O3611" s="17"/>
      <c r="P3611" s="17"/>
      <c r="Q3611" s="17"/>
      <c r="R3611" s="17"/>
      <c r="S3611" s="17"/>
      <c r="T3611" s="17"/>
    </row>
    <row r="3612">
      <c r="A3612" s="18">
        <v>4698.0</v>
      </c>
      <c r="B3612" s="12" t="s">
        <v>84</v>
      </c>
      <c r="C3612" s="12" t="s">
        <v>27</v>
      </c>
      <c r="D3612" s="20" t="s">
        <v>30</v>
      </c>
      <c r="E3612" s="12" t="str">
        <f>IFERROR(__xludf.DUMMYFUNCTION("FILTER(colegios!$B$2:$B5618,colegios!$A$2:$A5618=L3612)"),"JORGE CHAVEZ")</f>
        <v>JORGE CHAVEZ</v>
      </c>
      <c r="F3612" s="14" t="s">
        <v>16</v>
      </c>
      <c r="G3612" s="20" t="s">
        <v>21</v>
      </c>
      <c r="H3612" s="14" t="s">
        <v>18</v>
      </c>
      <c r="I3612" s="15">
        <v>2022.0</v>
      </c>
      <c r="J3612" s="16" t="str">
        <f>IFERROR(__xludf.DUMMYFUNCTION("FILTER('CLASFICACIÓN'!$F$3:$F5618,'CLASFICACIÓN'!$G$3:$G5618=M3612)"),"SOLO LINEA BASE")</f>
        <v>SOLO LINEA BASE</v>
      </c>
      <c r="K3612" s="16" t="str">
        <f t="array" ref="K3612">IFERROR(DGET('PADD-R'!$B$1:$K5618,'PADD-R'!$K$1,{'PADD-R'!$B$1;E3612}),"NO PARTICIPÓ")</f>
        <v>SOLO 2023</v>
      </c>
      <c r="L3612" s="14" t="s">
        <v>170</v>
      </c>
      <c r="M3612" s="16" t="str">
        <f t="shared" si="1"/>
        <v>JORGE CHAVEZ4 Secundaria</v>
      </c>
      <c r="N3612" s="23"/>
      <c r="O3612" s="17"/>
      <c r="P3612" s="17"/>
      <c r="Q3612" s="17"/>
      <c r="R3612" s="17"/>
      <c r="S3612" s="17"/>
      <c r="T3612" s="17"/>
    </row>
    <row r="3613">
      <c r="A3613" s="18">
        <v>4699.0</v>
      </c>
      <c r="B3613" s="12" t="s">
        <v>84</v>
      </c>
      <c r="C3613" s="12" t="s">
        <v>27</v>
      </c>
      <c r="D3613" s="20" t="s">
        <v>30</v>
      </c>
      <c r="E3613" s="12" t="str">
        <f>IFERROR(__xludf.DUMMYFUNCTION("FILTER(colegios!$B$2:$B5618,colegios!$A$2:$A5618=L3613)"),"JORGE CHAVEZ")</f>
        <v>JORGE CHAVEZ</v>
      </c>
      <c r="F3613" s="14" t="s">
        <v>16</v>
      </c>
      <c r="G3613" s="20" t="s">
        <v>17</v>
      </c>
      <c r="H3613" s="14" t="s">
        <v>18</v>
      </c>
      <c r="I3613" s="15">
        <v>2022.0</v>
      </c>
      <c r="J3613" s="16" t="str">
        <f>IFERROR(__xludf.DUMMYFUNCTION("FILTER('CLASFICACIÓN'!$F$3:$F5618,'CLASFICACIÓN'!$G$3:$G5618=M3613)"),"SOLO LINEA BASE")</f>
        <v>SOLO LINEA BASE</v>
      </c>
      <c r="K3613" s="16" t="str">
        <f t="array" ref="K3613">IFERROR(DGET('PADD-R'!$B$1:$K5618,'PADD-R'!$K$1,{'PADD-R'!$B$1;E3613}),"NO PARTICIPÓ")</f>
        <v>SOLO 2023</v>
      </c>
      <c r="L3613" s="14" t="s">
        <v>170</v>
      </c>
      <c r="M3613" s="16" t="str">
        <f t="shared" si="1"/>
        <v>JORGE CHAVEZ4 Secundaria</v>
      </c>
      <c r="N3613" s="23"/>
      <c r="O3613" s="17"/>
      <c r="P3613" s="17"/>
      <c r="Q3613" s="17"/>
      <c r="R3613" s="17"/>
      <c r="S3613" s="17"/>
      <c r="T3613" s="17"/>
    </row>
    <row r="3614">
      <c r="A3614" s="18">
        <v>4700.0</v>
      </c>
      <c r="B3614" s="12" t="s">
        <v>84</v>
      </c>
      <c r="C3614" s="12" t="s">
        <v>27</v>
      </c>
      <c r="D3614" s="20" t="s">
        <v>30</v>
      </c>
      <c r="E3614" s="12" t="str">
        <f>IFERROR(__xludf.DUMMYFUNCTION("FILTER(colegios!$B$2:$B5618,colegios!$A$2:$A5618=L3614)"),"JORGE CHAVEZ")</f>
        <v>JORGE CHAVEZ</v>
      </c>
      <c r="F3614" s="14" t="s">
        <v>16</v>
      </c>
      <c r="G3614" s="20" t="s">
        <v>21</v>
      </c>
      <c r="H3614" s="14" t="s">
        <v>18</v>
      </c>
      <c r="I3614" s="15">
        <v>2022.0</v>
      </c>
      <c r="J3614" s="16" t="str">
        <f>IFERROR(__xludf.DUMMYFUNCTION("FILTER('CLASFICACIÓN'!$F$3:$F5618,'CLASFICACIÓN'!$G$3:$G5618=M3614)"),"SOLO LINEA BASE")</f>
        <v>SOLO LINEA BASE</v>
      </c>
      <c r="K3614" s="16" t="str">
        <f t="array" ref="K3614">IFERROR(DGET('PADD-R'!$B$1:$K5618,'PADD-R'!$K$1,{'PADD-R'!$B$1;E3614}),"NO PARTICIPÓ")</f>
        <v>SOLO 2023</v>
      </c>
      <c r="L3614" s="14" t="s">
        <v>170</v>
      </c>
      <c r="M3614" s="16" t="str">
        <f t="shared" si="1"/>
        <v>JORGE CHAVEZ4 Secundaria</v>
      </c>
      <c r="N3614" s="23"/>
      <c r="O3614" s="17"/>
      <c r="P3614" s="17"/>
      <c r="Q3614" s="17"/>
      <c r="R3614" s="17"/>
      <c r="S3614" s="17"/>
      <c r="T3614" s="17"/>
    </row>
    <row r="3615">
      <c r="A3615" s="18">
        <v>4701.0</v>
      </c>
      <c r="B3615" s="12" t="s">
        <v>84</v>
      </c>
      <c r="C3615" s="12" t="s">
        <v>27</v>
      </c>
      <c r="D3615" s="20" t="s">
        <v>30</v>
      </c>
      <c r="E3615" s="12" t="str">
        <f>IFERROR(__xludf.DUMMYFUNCTION("FILTER(colegios!$B$2:$B5618,colegios!$A$2:$A5618=L3615)"),"JORGE CHAVEZ")</f>
        <v>JORGE CHAVEZ</v>
      </c>
      <c r="F3615" s="14" t="s">
        <v>16</v>
      </c>
      <c r="G3615" s="20" t="s">
        <v>17</v>
      </c>
      <c r="H3615" s="14" t="s">
        <v>18</v>
      </c>
      <c r="I3615" s="15">
        <v>2022.0</v>
      </c>
      <c r="J3615" s="16" t="str">
        <f>IFERROR(__xludf.DUMMYFUNCTION("FILTER('CLASFICACIÓN'!$F$3:$F5618,'CLASFICACIÓN'!$G$3:$G5618=M3615)"),"SOLO LINEA BASE")</f>
        <v>SOLO LINEA BASE</v>
      </c>
      <c r="K3615" s="16" t="str">
        <f t="array" ref="K3615">IFERROR(DGET('PADD-R'!$B$1:$K5618,'PADD-R'!$K$1,{'PADD-R'!$B$1;E3615}),"NO PARTICIPÓ")</f>
        <v>SOLO 2023</v>
      </c>
      <c r="L3615" s="14" t="s">
        <v>170</v>
      </c>
      <c r="M3615" s="16" t="str">
        <f t="shared" si="1"/>
        <v>JORGE CHAVEZ4 Secundaria</v>
      </c>
      <c r="N3615" s="23"/>
      <c r="O3615" s="17"/>
      <c r="P3615" s="17"/>
      <c r="Q3615" s="17"/>
      <c r="R3615" s="17"/>
      <c r="S3615" s="17"/>
      <c r="T3615" s="17"/>
    </row>
    <row r="3616">
      <c r="A3616" s="18">
        <v>4702.0</v>
      </c>
      <c r="B3616" s="12" t="s">
        <v>84</v>
      </c>
      <c r="C3616" s="12" t="s">
        <v>27</v>
      </c>
      <c r="D3616" s="20" t="s">
        <v>30</v>
      </c>
      <c r="E3616" s="12" t="str">
        <f>IFERROR(__xludf.DUMMYFUNCTION("FILTER(colegios!$B$2:$B5618,colegios!$A$2:$A5618=L3616)"),"JORGE CHAVEZ")</f>
        <v>JORGE CHAVEZ</v>
      </c>
      <c r="F3616" s="14" t="s">
        <v>16</v>
      </c>
      <c r="G3616" s="20" t="s">
        <v>21</v>
      </c>
      <c r="H3616" s="14" t="s">
        <v>18</v>
      </c>
      <c r="I3616" s="15">
        <v>2022.0</v>
      </c>
      <c r="J3616" s="16" t="str">
        <f>IFERROR(__xludf.DUMMYFUNCTION("FILTER('CLASFICACIÓN'!$F$3:$F5618,'CLASFICACIÓN'!$G$3:$G5618=M3616)"),"SOLO LINEA BASE")</f>
        <v>SOLO LINEA BASE</v>
      </c>
      <c r="K3616" s="16" t="str">
        <f t="array" ref="K3616">IFERROR(DGET('PADD-R'!$B$1:$K5618,'PADD-R'!$K$1,{'PADD-R'!$B$1;E3616}),"NO PARTICIPÓ")</f>
        <v>SOLO 2023</v>
      </c>
      <c r="L3616" s="14" t="s">
        <v>170</v>
      </c>
      <c r="M3616" s="16" t="str">
        <f t="shared" si="1"/>
        <v>JORGE CHAVEZ4 Secundaria</v>
      </c>
      <c r="N3616" s="23"/>
      <c r="O3616" s="17"/>
      <c r="P3616" s="17"/>
      <c r="Q3616" s="17"/>
      <c r="R3616" s="17"/>
      <c r="S3616" s="17"/>
      <c r="T3616" s="17"/>
    </row>
    <row r="3617">
      <c r="A3617" s="18">
        <v>4703.0</v>
      </c>
      <c r="B3617" s="12" t="s">
        <v>84</v>
      </c>
      <c r="C3617" s="12" t="s">
        <v>27</v>
      </c>
      <c r="D3617" s="20" t="s">
        <v>30</v>
      </c>
      <c r="E3617" s="12" t="str">
        <f>IFERROR(__xludf.DUMMYFUNCTION("FILTER(colegios!$B$2:$B5618,colegios!$A$2:$A5618=L3617)"),"JORGE CHAVEZ")</f>
        <v>JORGE CHAVEZ</v>
      </c>
      <c r="F3617" s="14" t="s">
        <v>16</v>
      </c>
      <c r="G3617" s="20" t="s">
        <v>21</v>
      </c>
      <c r="H3617" s="14" t="s">
        <v>18</v>
      </c>
      <c r="I3617" s="15">
        <v>2022.0</v>
      </c>
      <c r="J3617" s="16" t="str">
        <f>IFERROR(__xludf.DUMMYFUNCTION("FILTER('CLASFICACIÓN'!$F$3:$F5618,'CLASFICACIÓN'!$G$3:$G5618=M3617)"),"SOLO LINEA BASE")</f>
        <v>SOLO LINEA BASE</v>
      </c>
      <c r="K3617" s="16" t="str">
        <f t="array" ref="K3617">IFERROR(DGET('PADD-R'!$B$1:$K5618,'PADD-R'!$K$1,{'PADD-R'!$B$1;E3617}),"NO PARTICIPÓ")</f>
        <v>SOLO 2023</v>
      </c>
      <c r="L3617" s="14" t="s">
        <v>170</v>
      </c>
      <c r="M3617" s="16" t="str">
        <f t="shared" si="1"/>
        <v>JORGE CHAVEZ4 Secundaria</v>
      </c>
      <c r="N3617" s="23"/>
      <c r="O3617" s="17"/>
      <c r="P3617" s="17"/>
      <c r="Q3617" s="17"/>
      <c r="R3617" s="17"/>
      <c r="S3617" s="17"/>
      <c r="T3617" s="17"/>
    </row>
    <row r="3618">
      <c r="A3618" s="18">
        <v>4704.0</v>
      </c>
      <c r="B3618" s="12" t="s">
        <v>84</v>
      </c>
      <c r="C3618" s="12" t="s">
        <v>27</v>
      </c>
      <c r="D3618" s="20" t="s">
        <v>30</v>
      </c>
      <c r="E3618" s="12" t="str">
        <f>IFERROR(__xludf.DUMMYFUNCTION("FILTER(colegios!$B$2:$B5618,colegios!$A$2:$A5618=L3618)"),"JORGE CHAVEZ")</f>
        <v>JORGE CHAVEZ</v>
      </c>
      <c r="F3618" s="14" t="s">
        <v>16</v>
      </c>
      <c r="G3618" s="20" t="s">
        <v>17</v>
      </c>
      <c r="H3618" s="14" t="s">
        <v>18</v>
      </c>
      <c r="I3618" s="15">
        <v>2022.0</v>
      </c>
      <c r="J3618" s="16" t="str">
        <f>IFERROR(__xludf.DUMMYFUNCTION("FILTER('CLASFICACIÓN'!$F$3:$F5618,'CLASFICACIÓN'!$G$3:$G5618=M3618)"),"SOLO LINEA BASE")</f>
        <v>SOLO LINEA BASE</v>
      </c>
      <c r="K3618" s="16" t="str">
        <f t="array" ref="K3618">IFERROR(DGET('PADD-R'!$B$1:$K5618,'PADD-R'!$K$1,{'PADD-R'!$B$1;E3618}),"NO PARTICIPÓ")</f>
        <v>SOLO 2023</v>
      </c>
      <c r="L3618" s="14" t="s">
        <v>170</v>
      </c>
      <c r="M3618" s="16" t="str">
        <f t="shared" si="1"/>
        <v>JORGE CHAVEZ4 Secundaria</v>
      </c>
      <c r="N3618" s="23"/>
      <c r="O3618" s="17"/>
      <c r="P3618" s="17"/>
      <c r="Q3618" s="17"/>
      <c r="R3618" s="17"/>
      <c r="S3618" s="17"/>
      <c r="T3618" s="17"/>
    </row>
    <row r="3619">
      <c r="A3619" s="18">
        <v>4705.0</v>
      </c>
      <c r="B3619" s="12" t="s">
        <v>84</v>
      </c>
      <c r="C3619" s="12" t="s">
        <v>27</v>
      </c>
      <c r="D3619" s="20" t="s">
        <v>30</v>
      </c>
      <c r="E3619" s="12" t="str">
        <f>IFERROR(__xludf.DUMMYFUNCTION("FILTER(colegios!$B$2:$B5618,colegios!$A$2:$A5618=L3619)"),"JORGE CHAVEZ")</f>
        <v>JORGE CHAVEZ</v>
      </c>
      <c r="F3619" s="14" t="s">
        <v>16</v>
      </c>
      <c r="G3619" s="20" t="s">
        <v>21</v>
      </c>
      <c r="H3619" s="14" t="s">
        <v>18</v>
      </c>
      <c r="I3619" s="15">
        <v>2022.0</v>
      </c>
      <c r="J3619" s="16" t="str">
        <f>IFERROR(__xludf.DUMMYFUNCTION("FILTER('CLASFICACIÓN'!$F$3:$F5618,'CLASFICACIÓN'!$G$3:$G5618=M3619)"),"SOLO LINEA BASE")</f>
        <v>SOLO LINEA BASE</v>
      </c>
      <c r="K3619" s="16" t="str">
        <f t="array" ref="K3619">IFERROR(DGET('PADD-R'!$B$1:$K5618,'PADD-R'!$K$1,{'PADD-R'!$B$1;E3619}),"NO PARTICIPÓ")</f>
        <v>SOLO 2023</v>
      </c>
      <c r="L3619" s="14" t="s">
        <v>170</v>
      </c>
      <c r="M3619" s="16" t="str">
        <f t="shared" si="1"/>
        <v>JORGE CHAVEZ4 Secundaria</v>
      </c>
      <c r="N3619" s="23"/>
      <c r="O3619" s="17"/>
      <c r="P3619" s="17"/>
      <c r="Q3619" s="17"/>
      <c r="R3619" s="17"/>
      <c r="S3619" s="17"/>
      <c r="T3619" s="17"/>
    </row>
    <row r="3620">
      <c r="A3620" s="18">
        <v>4706.0</v>
      </c>
      <c r="B3620" s="12" t="s">
        <v>84</v>
      </c>
      <c r="C3620" s="12" t="s">
        <v>27</v>
      </c>
      <c r="D3620" s="20" t="s">
        <v>30</v>
      </c>
      <c r="E3620" s="12" t="str">
        <f>IFERROR(__xludf.DUMMYFUNCTION("FILTER(colegios!$B$2:$B5618,colegios!$A$2:$A5618=L3620)"),"JORGE CHAVEZ")</f>
        <v>JORGE CHAVEZ</v>
      </c>
      <c r="F3620" s="14" t="s">
        <v>16</v>
      </c>
      <c r="G3620" s="20" t="s">
        <v>17</v>
      </c>
      <c r="H3620" s="14" t="s">
        <v>18</v>
      </c>
      <c r="I3620" s="15">
        <v>2022.0</v>
      </c>
      <c r="J3620" s="16" t="str">
        <f>IFERROR(__xludf.DUMMYFUNCTION("FILTER('CLASFICACIÓN'!$F$3:$F5618,'CLASFICACIÓN'!$G$3:$G5618=M3620)"),"SOLO LINEA BASE")</f>
        <v>SOLO LINEA BASE</v>
      </c>
      <c r="K3620" s="16" t="str">
        <f t="array" ref="K3620">IFERROR(DGET('PADD-R'!$B$1:$K5618,'PADD-R'!$K$1,{'PADD-R'!$B$1;E3620}),"NO PARTICIPÓ")</f>
        <v>SOLO 2023</v>
      </c>
      <c r="L3620" s="14" t="s">
        <v>170</v>
      </c>
      <c r="M3620" s="16" t="str">
        <f t="shared" si="1"/>
        <v>JORGE CHAVEZ4 Secundaria</v>
      </c>
      <c r="N3620" s="23"/>
      <c r="O3620" s="17"/>
      <c r="P3620" s="17"/>
      <c r="Q3620" s="17"/>
      <c r="R3620" s="17"/>
      <c r="S3620" s="17"/>
      <c r="T3620" s="17"/>
    </row>
    <row r="3621">
      <c r="A3621" s="18">
        <v>4707.0</v>
      </c>
      <c r="B3621" s="12" t="s">
        <v>84</v>
      </c>
      <c r="C3621" s="12" t="s">
        <v>27</v>
      </c>
      <c r="D3621" s="20" t="s">
        <v>30</v>
      </c>
      <c r="E3621" s="12" t="str">
        <f>IFERROR(__xludf.DUMMYFUNCTION("FILTER(colegios!$B$2:$B5618,colegios!$A$2:$A5618=L3621)"),"JORGE CHAVEZ")</f>
        <v>JORGE CHAVEZ</v>
      </c>
      <c r="F3621" s="14" t="s">
        <v>16</v>
      </c>
      <c r="G3621" s="20" t="s">
        <v>17</v>
      </c>
      <c r="H3621" s="14" t="s">
        <v>18</v>
      </c>
      <c r="I3621" s="15">
        <v>2022.0</v>
      </c>
      <c r="J3621" s="16" t="str">
        <f>IFERROR(__xludf.DUMMYFUNCTION("FILTER('CLASFICACIÓN'!$F$3:$F5618,'CLASFICACIÓN'!$G$3:$G5618=M3621)"),"SOLO LINEA BASE")</f>
        <v>SOLO LINEA BASE</v>
      </c>
      <c r="K3621" s="16" t="str">
        <f t="array" ref="K3621">IFERROR(DGET('PADD-R'!$B$1:$K5618,'PADD-R'!$K$1,{'PADD-R'!$B$1;E3621}),"NO PARTICIPÓ")</f>
        <v>SOLO 2023</v>
      </c>
      <c r="L3621" s="14" t="s">
        <v>170</v>
      </c>
      <c r="M3621" s="16" t="str">
        <f t="shared" si="1"/>
        <v>JORGE CHAVEZ4 Secundaria</v>
      </c>
      <c r="N3621" s="23"/>
      <c r="O3621" s="17"/>
      <c r="P3621" s="17"/>
      <c r="Q3621" s="17"/>
      <c r="R3621" s="17"/>
      <c r="S3621" s="17"/>
      <c r="T3621" s="17"/>
    </row>
    <row r="3622">
      <c r="A3622" s="18">
        <v>4708.0</v>
      </c>
      <c r="B3622" s="12" t="s">
        <v>84</v>
      </c>
      <c r="C3622" s="12" t="s">
        <v>27</v>
      </c>
      <c r="D3622" s="20" t="s">
        <v>30</v>
      </c>
      <c r="E3622" s="12" t="str">
        <f>IFERROR(__xludf.DUMMYFUNCTION("FILTER(colegios!$B$2:$B5618,colegios!$A$2:$A5618=L3622)"),"JORGE CHAVEZ")</f>
        <v>JORGE CHAVEZ</v>
      </c>
      <c r="F3622" s="14" t="s">
        <v>16</v>
      </c>
      <c r="G3622" s="20" t="s">
        <v>21</v>
      </c>
      <c r="H3622" s="14" t="s">
        <v>18</v>
      </c>
      <c r="I3622" s="15">
        <v>2022.0</v>
      </c>
      <c r="J3622" s="16" t="str">
        <f>IFERROR(__xludf.DUMMYFUNCTION("FILTER('CLASFICACIÓN'!$F$3:$F5618,'CLASFICACIÓN'!$G$3:$G5618=M3622)"),"SOLO LINEA BASE")</f>
        <v>SOLO LINEA BASE</v>
      </c>
      <c r="K3622" s="16" t="str">
        <f t="array" ref="K3622">IFERROR(DGET('PADD-R'!$B$1:$K5618,'PADD-R'!$K$1,{'PADD-R'!$B$1;E3622}),"NO PARTICIPÓ")</f>
        <v>SOLO 2023</v>
      </c>
      <c r="L3622" s="14" t="s">
        <v>170</v>
      </c>
      <c r="M3622" s="16" t="str">
        <f t="shared" si="1"/>
        <v>JORGE CHAVEZ4 Secundaria</v>
      </c>
      <c r="N3622" s="23"/>
      <c r="O3622" s="17"/>
      <c r="P3622" s="17"/>
      <c r="Q3622" s="17"/>
      <c r="R3622" s="17"/>
      <c r="S3622" s="17"/>
      <c r="T3622" s="17"/>
    </row>
    <row r="3623">
      <c r="A3623" s="18">
        <v>4709.0</v>
      </c>
      <c r="B3623" s="12" t="s">
        <v>84</v>
      </c>
      <c r="C3623" s="12" t="s">
        <v>27</v>
      </c>
      <c r="D3623" s="20" t="s">
        <v>28</v>
      </c>
      <c r="E3623" s="12" t="str">
        <f>IFERROR(__xludf.DUMMYFUNCTION("FILTER(colegios!$B$2:$B5618,colegios!$A$2:$A5618=L3623)"),"JOSE CARLOS MARIATEGUI")</f>
        <v>JOSE CARLOS MARIATEGUI</v>
      </c>
      <c r="F3623" s="14" t="s">
        <v>16</v>
      </c>
      <c r="G3623" s="20" t="s">
        <v>21</v>
      </c>
      <c r="H3623" s="14" t="s">
        <v>18</v>
      </c>
      <c r="I3623" s="15">
        <v>2022.0</v>
      </c>
      <c r="J3623" s="16" t="str">
        <f>IFERROR(__xludf.DUMMYFUNCTION("FILTER('CLASFICACIÓN'!$F$3:$F5618,'CLASFICACIÓN'!$G$3:$G5618=M3623)"),"SOLO LINEA BASE")</f>
        <v>SOLO LINEA BASE</v>
      </c>
      <c r="K3623" s="16" t="str">
        <f t="array" ref="K3623">IFERROR(DGET('PADD-R'!$B$1:$K5618,'PADD-R'!$K$1,{'PADD-R'!$B$1;E3623}),"NO PARTICIPÓ")</f>
        <v>NO PARTICIPÓ</v>
      </c>
      <c r="L3623" s="14" t="s">
        <v>171</v>
      </c>
      <c r="M3623" s="16" t="str">
        <f t="shared" si="1"/>
        <v>JOSE CARLOS MARIATEGUI2 Secundaria</v>
      </c>
      <c r="N3623" s="23"/>
      <c r="O3623" s="17"/>
      <c r="P3623" s="17"/>
      <c r="Q3623" s="17"/>
      <c r="R3623" s="17"/>
      <c r="S3623" s="17"/>
      <c r="T3623" s="17"/>
    </row>
    <row r="3624">
      <c r="A3624" s="18">
        <v>4710.0</v>
      </c>
      <c r="B3624" s="12" t="s">
        <v>84</v>
      </c>
      <c r="C3624" s="12" t="s">
        <v>27</v>
      </c>
      <c r="D3624" s="20" t="s">
        <v>28</v>
      </c>
      <c r="E3624" s="12" t="str">
        <f>IFERROR(__xludf.DUMMYFUNCTION("FILTER(colegios!$B$2:$B5618,colegios!$A$2:$A5618=L3624)"),"JOSE CARLOS MARIATEGUI")</f>
        <v>JOSE CARLOS MARIATEGUI</v>
      </c>
      <c r="F3624" s="14" t="s">
        <v>16</v>
      </c>
      <c r="G3624" s="20" t="s">
        <v>17</v>
      </c>
      <c r="H3624" s="14" t="s">
        <v>18</v>
      </c>
      <c r="I3624" s="15">
        <v>2022.0</v>
      </c>
      <c r="J3624" s="16" t="str">
        <f>IFERROR(__xludf.DUMMYFUNCTION("FILTER('CLASFICACIÓN'!$F$3:$F5618,'CLASFICACIÓN'!$G$3:$G5618=M3624)"),"SOLO LINEA BASE")</f>
        <v>SOLO LINEA BASE</v>
      </c>
      <c r="K3624" s="16" t="str">
        <f t="array" ref="K3624">IFERROR(DGET('PADD-R'!$B$1:$K5618,'PADD-R'!$K$1,{'PADD-R'!$B$1;E3624}),"NO PARTICIPÓ")</f>
        <v>NO PARTICIPÓ</v>
      </c>
      <c r="L3624" s="14" t="s">
        <v>171</v>
      </c>
      <c r="M3624" s="16" t="str">
        <f t="shared" si="1"/>
        <v>JOSE CARLOS MARIATEGUI2 Secundaria</v>
      </c>
      <c r="N3624" s="23"/>
      <c r="O3624" s="17"/>
      <c r="P3624" s="17"/>
      <c r="Q3624" s="17"/>
      <c r="R3624" s="17"/>
      <c r="S3624" s="17"/>
      <c r="T3624" s="17"/>
    </row>
    <row r="3625">
      <c r="A3625" s="18">
        <v>4711.0</v>
      </c>
      <c r="B3625" s="12" t="s">
        <v>84</v>
      </c>
      <c r="C3625" s="12" t="s">
        <v>27</v>
      </c>
      <c r="D3625" s="20" t="s">
        <v>28</v>
      </c>
      <c r="E3625" s="12" t="str">
        <f>IFERROR(__xludf.DUMMYFUNCTION("FILTER(colegios!$B$2:$B5618,colegios!$A$2:$A5618=L3625)"),"JOSE CARLOS MARIATEGUI")</f>
        <v>JOSE CARLOS MARIATEGUI</v>
      </c>
      <c r="F3625" s="14" t="s">
        <v>16</v>
      </c>
      <c r="G3625" s="20" t="s">
        <v>21</v>
      </c>
      <c r="H3625" s="14" t="s">
        <v>18</v>
      </c>
      <c r="I3625" s="15">
        <v>2022.0</v>
      </c>
      <c r="J3625" s="16" t="str">
        <f>IFERROR(__xludf.DUMMYFUNCTION("FILTER('CLASFICACIÓN'!$F$3:$F5618,'CLASFICACIÓN'!$G$3:$G5618=M3625)"),"SOLO LINEA BASE")</f>
        <v>SOLO LINEA BASE</v>
      </c>
      <c r="K3625" s="16" t="str">
        <f t="array" ref="K3625">IFERROR(DGET('PADD-R'!$B$1:$K5618,'PADD-R'!$K$1,{'PADD-R'!$B$1;E3625}),"NO PARTICIPÓ")</f>
        <v>NO PARTICIPÓ</v>
      </c>
      <c r="L3625" s="14" t="s">
        <v>171</v>
      </c>
      <c r="M3625" s="16" t="str">
        <f t="shared" si="1"/>
        <v>JOSE CARLOS MARIATEGUI2 Secundaria</v>
      </c>
      <c r="N3625" s="23"/>
      <c r="O3625" s="17"/>
      <c r="P3625" s="17"/>
      <c r="Q3625" s="17"/>
      <c r="R3625" s="17"/>
      <c r="S3625" s="17"/>
      <c r="T3625" s="17"/>
    </row>
    <row r="3626">
      <c r="A3626" s="18">
        <v>4712.0</v>
      </c>
      <c r="B3626" s="12" t="s">
        <v>84</v>
      </c>
      <c r="C3626" s="12" t="s">
        <v>27</v>
      </c>
      <c r="D3626" s="20" t="s">
        <v>28</v>
      </c>
      <c r="E3626" s="12" t="str">
        <f>IFERROR(__xludf.DUMMYFUNCTION("FILTER(colegios!$B$2:$B5618,colegios!$A$2:$A5618=L3626)"),"JOSE CARLOS MARIATEGUI")</f>
        <v>JOSE CARLOS MARIATEGUI</v>
      </c>
      <c r="F3626" s="14" t="s">
        <v>16</v>
      </c>
      <c r="G3626" s="20" t="s">
        <v>21</v>
      </c>
      <c r="H3626" s="14" t="s">
        <v>18</v>
      </c>
      <c r="I3626" s="15">
        <v>2022.0</v>
      </c>
      <c r="J3626" s="16" t="str">
        <f>IFERROR(__xludf.DUMMYFUNCTION("FILTER('CLASFICACIÓN'!$F$3:$F5618,'CLASFICACIÓN'!$G$3:$G5618=M3626)"),"SOLO LINEA BASE")</f>
        <v>SOLO LINEA BASE</v>
      </c>
      <c r="K3626" s="16" t="str">
        <f t="array" ref="K3626">IFERROR(DGET('PADD-R'!$B$1:$K5618,'PADD-R'!$K$1,{'PADD-R'!$B$1;E3626}),"NO PARTICIPÓ")</f>
        <v>NO PARTICIPÓ</v>
      </c>
      <c r="L3626" s="14" t="s">
        <v>171</v>
      </c>
      <c r="M3626" s="16" t="str">
        <f t="shared" si="1"/>
        <v>JOSE CARLOS MARIATEGUI2 Secundaria</v>
      </c>
      <c r="N3626" s="23"/>
      <c r="O3626" s="17"/>
      <c r="P3626" s="17"/>
      <c r="Q3626" s="17"/>
      <c r="R3626" s="17"/>
      <c r="S3626" s="17"/>
      <c r="T3626" s="17"/>
    </row>
    <row r="3627">
      <c r="A3627" s="18">
        <v>4713.0</v>
      </c>
      <c r="B3627" s="12" t="s">
        <v>84</v>
      </c>
      <c r="C3627" s="12" t="s">
        <v>27</v>
      </c>
      <c r="D3627" s="20" t="s">
        <v>28</v>
      </c>
      <c r="E3627" s="12" t="str">
        <f>IFERROR(__xludf.DUMMYFUNCTION("FILTER(colegios!$B$2:$B5618,colegios!$A$2:$A5618=L3627)"),"JOSE CARLOS MARIATEGUI")</f>
        <v>JOSE CARLOS MARIATEGUI</v>
      </c>
      <c r="F3627" s="14" t="s">
        <v>16</v>
      </c>
      <c r="G3627" s="20" t="s">
        <v>17</v>
      </c>
      <c r="H3627" s="14" t="s">
        <v>18</v>
      </c>
      <c r="I3627" s="15">
        <v>2022.0</v>
      </c>
      <c r="J3627" s="16" t="str">
        <f>IFERROR(__xludf.DUMMYFUNCTION("FILTER('CLASFICACIÓN'!$F$3:$F5618,'CLASFICACIÓN'!$G$3:$G5618=M3627)"),"SOLO LINEA BASE")</f>
        <v>SOLO LINEA BASE</v>
      </c>
      <c r="K3627" s="16" t="str">
        <f t="array" ref="K3627">IFERROR(DGET('PADD-R'!$B$1:$K5618,'PADD-R'!$K$1,{'PADD-R'!$B$1;E3627}),"NO PARTICIPÓ")</f>
        <v>NO PARTICIPÓ</v>
      </c>
      <c r="L3627" s="14" t="s">
        <v>171</v>
      </c>
      <c r="M3627" s="16" t="str">
        <f t="shared" si="1"/>
        <v>JOSE CARLOS MARIATEGUI2 Secundaria</v>
      </c>
      <c r="N3627" s="23"/>
      <c r="O3627" s="17"/>
      <c r="P3627" s="17"/>
      <c r="Q3627" s="17"/>
      <c r="R3627" s="17"/>
      <c r="S3627" s="17"/>
      <c r="T3627" s="17"/>
    </row>
    <row r="3628">
      <c r="A3628" s="18">
        <v>4714.0</v>
      </c>
      <c r="B3628" s="12" t="s">
        <v>84</v>
      </c>
      <c r="C3628" s="12" t="s">
        <v>27</v>
      </c>
      <c r="D3628" s="20" t="s">
        <v>28</v>
      </c>
      <c r="E3628" s="12" t="str">
        <f>IFERROR(__xludf.DUMMYFUNCTION("FILTER(colegios!$B$2:$B5618,colegios!$A$2:$A5618=L3628)"),"JOSE CARLOS MARIATEGUI")</f>
        <v>JOSE CARLOS MARIATEGUI</v>
      </c>
      <c r="F3628" s="14" t="s">
        <v>16</v>
      </c>
      <c r="G3628" s="20" t="s">
        <v>17</v>
      </c>
      <c r="H3628" s="14" t="s">
        <v>18</v>
      </c>
      <c r="I3628" s="15">
        <v>2022.0</v>
      </c>
      <c r="J3628" s="16" t="str">
        <f>IFERROR(__xludf.DUMMYFUNCTION("FILTER('CLASFICACIÓN'!$F$3:$F5618,'CLASFICACIÓN'!$G$3:$G5618=M3628)"),"SOLO LINEA BASE")</f>
        <v>SOLO LINEA BASE</v>
      </c>
      <c r="K3628" s="16" t="str">
        <f t="array" ref="K3628">IFERROR(DGET('PADD-R'!$B$1:$K5618,'PADD-R'!$K$1,{'PADD-R'!$B$1;E3628}),"NO PARTICIPÓ")</f>
        <v>NO PARTICIPÓ</v>
      </c>
      <c r="L3628" s="14" t="s">
        <v>171</v>
      </c>
      <c r="M3628" s="16" t="str">
        <f t="shared" si="1"/>
        <v>JOSE CARLOS MARIATEGUI2 Secundaria</v>
      </c>
      <c r="N3628" s="23"/>
      <c r="O3628" s="17"/>
      <c r="P3628" s="17"/>
      <c r="Q3628" s="17"/>
      <c r="R3628" s="17"/>
      <c r="S3628" s="17"/>
      <c r="T3628" s="17"/>
    </row>
    <row r="3629">
      <c r="A3629" s="18">
        <v>4715.0</v>
      </c>
      <c r="B3629" s="12" t="s">
        <v>84</v>
      </c>
      <c r="C3629" s="12" t="s">
        <v>27</v>
      </c>
      <c r="D3629" s="20" t="s">
        <v>28</v>
      </c>
      <c r="E3629" s="12" t="str">
        <f>IFERROR(__xludf.DUMMYFUNCTION("FILTER(colegios!$B$2:$B5618,colegios!$A$2:$A5618=L3629)"),"JOSE CARLOS MARIATEGUI")</f>
        <v>JOSE CARLOS MARIATEGUI</v>
      </c>
      <c r="F3629" s="14" t="s">
        <v>16</v>
      </c>
      <c r="G3629" s="20" t="s">
        <v>17</v>
      </c>
      <c r="H3629" s="14" t="s">
        <v>18</v>
      </c>
      <c r="I3629" s="15">
        <v>2022.0</v>
      </c>
      <c r="J3629" s="16" t="str">
        <f>IFERROR(__xludf.DUMMYFUNCTION("FILTER('CLASFICACIÓN'!$F$3:$F5618,'CLASFICACIÓN'!$G$3:$G5618=M3629)"),"SOLO LINEA BASE")</f>
        <v>SOLO LINEA BASE</v>
      </c>
      <c r="K3629" s="16" t="str">
        <f t="array" ref="K3629">IFERROR(DGET('PADD-R'!$B$1:$K5618,'PADD-R'!$K$1,{'PADD-R'!$B$1;E3629}),"NO PARTICIPÓ")</f>
        <v>NO PARTICIPÓ</v>
      </c>
      <c r="L3629" s="14" t="s">
        <v>171</v>
      </c>
      <c r="M3629" s="16" t="str">
        <f t="shared" si="1"/>
        <v>JOSE CARLOS MARIATEGUI2 Secundaria</v>
      </c>
      <c r="N3629" s="23"/>
      <c r="O3629" s="17"/>
      <c r="P3629" s="17"/>
      <c r="Q3629" s="17"/>
      <c r="R3629" s="17"/>
      <c r="S3629" s="17"/>
      <c r="T3629" s="17"/>
    </row>
    <row r="3630">
      <c r="A3630" s="18">
        <v>4717.0</v>
      </c>
      <c r="B3630" s="12" t="s">
        <v>84</v>
      </c>
      <c r="C3630" s="12" t="s">
        <v>27</v>
      </c>
      <c r="D3630" s="20" t="s">
        <v>28</v>
      </c>
      <c r="E3630" s="12" t="str">
        <f>IFERROR(__xludf.DUMMYFUNCTION("FILTER(colegios!$B$2:$B5618,colegios!$A$2:$A5618=L3630)"),"JOSE CARLOS MARIATEGUI")</f>
        <v>JOSE CARLOS MARIATEGUI</v>
      </c>
      <c r="F3630" s="14" t="s">
        <v>16</v>
      </c>
      <c r="G3630" s="20" t="s">
        <v>17</v>
      </c>
      <c r="H3630" s="14" t="s">
        <v>18</v>
      </c>
      <c r="I3630" s="15">
        <v>2022.0</v>
      </c>
      <c r="J3630" s="16" t="str">
        <f>IFERROR(__xludf.DUMMYFUNCTION("FILTER('CLASFICACIÓN'!$F$3:$F5618,'CLASFICACIÓN'!$G$3:$G5618=M3630)"),"SOLO LINEA BASE")</f>
        <v>SOLO LINEA BASE</v>
      </c>
      <c r="K3630" s="16" t="str">
        <f t="array" ref="K3630">IFERROR(DGET('PADD-R'!$B$1:$K5618,'PADD-R'!$K$1,{'PADD-R'!$B$1;E3630}),"NO PARTICIPÓ")</f>
        <v>NO PARTICIPÓ</v>
      </c>
      <c r="L3630" s="14" t="s">
        <v>171</v>
      </c>
      <c r="M3630" s="16" t="str">
        <f t="shared" si="1"/>
        <v>JOSE CARLOS MARIATEGUI2 Secundaria</v>
      </c>
      <c r="N3630" s="23"/>
      <c r="O3630" s="17"/>
      <c r="P3630" s="17"/>
      <c r="Q3630" s="17"/>
      <c r="R3630" s="17"/>
      <c r="S3630" s="17"/>
      <c r="T3630" s="17"/>
    </row>
    <row r="3631">
      <c r="A3631" s="18">
        <v>4718.0</v>
      </c>
      <c r="B3631" s="12" t="s">
        <v>84</v>
      </c>
      <c r="C3631" s="12" t="s">
        <v>27</v>
      </c>
      <c r="D3631" s="20" t="s">
        <v>28</v>
      </c>
      <c r="E3631" s="12" t="str">
        <f>IFERROR(__xludf.DUMMYFUNCTION("FILTER(colegios!$B$2:$B5618,colegios!$A$2:$A5618=L3631)"),"JOSE CARLOS MARIATEGUI")</f>
        <v>JOSE CARLOS MARIATEGUI</v>
      </c>
      <c r="F3631" s="14" t="s">
        <v>16</v>
      </c>
      <c r="G3631" s="20" t="s">
        <v>21</v>
      </c>
      <c r="H3631" s="14" t="s">
        <v>18</v>
      </c>
      <c r="I3631" s="15">
        <v>2022.0</v>
      </c>
      <c r="J3631" s="16" t="str">
        <f>IFERROR(__xludf.DUMMYFUNCTION("FILTER('CLASFICACIÓN'!$F$3:$F5618,'CLASFICACIÓN'!$G$3:$G5618=M3631)"),"SOLO LINEA BASE")</f>
        <v>SOLO LINEA BASE</v>
      </c>
      <c r="K3631" s="16" t="str">
        <f t="array" ref="K3631">IFERROR(DGET('PADD-R'!$B$1:$K5618,'PADD-R'!$K$1,{'PADD-R'!$B$1;E3631}),"NO PARTICIPÓ")</f>
        <v>NO PARTICIPÓ</v>
      </c>
      <c r="L3631" s="14" t="s">
        <v>171</v>
      </c>
      <c r="M3631" s="16" t="str">
        <f t="shared" si="1"/>
        <v>JOSE CARLOS MARIATEGUI2 Secundaria</v>
      </c>
      <c r="N3631" s="23"/>
      <c r="O3631" s="17"/>
      <c r="P3631" s="17"/>
      <c r="Q3631" s="17"/>
      <c r="R3631" s="17"/>
      <c r="S3631" s="17"/>
      <c r="T3631" s="17"/>
    </row>
    <row r="3632">
      <c r="A3632" s="18">
        <v>4719.0</v>
      </c>
      <c r="B3632" s="12" t="s">
        <v>84</v>
      </c>
      <c r="C3632" s="12" t="s">
        <v>27</v>
      </c>
      <c r="D3632" s="20" t="s">
        <v>28</v>
      </c>
      <c r="E3632" s="12" t="str">
        <f>IFERROR(__xludf.DUMMYFUNCTION("FILTER(colegios!$B$2:$B5618,colegios!$A$2:$A5618=L3632)"),"JOSE CARLOS MARIATEGUI")</f>
        <v>JOSE CARLOS MARIATEGUI</v>
      </c>
      <c r="F3632" s="14" t="s">
        <v>16</v>
      </c>
      <c r="G3632" s="20" t="s">
        <v>17</v>
      </c>
      <c r="H3632" s="14" t="s">
        <v>18</v>
      </c>
      <c r="I3632" s="15">
        <v>2022.0</v>
      </c>
      <c r="J3632" s="16" t="str">
        <f>IFERROR(__xludf.DUMMYFUNCTION("FILTER('CLASFICACIÓN'!$F$3:$F5618,'CLASFICACIÓN'!$G$3:$G5618=M3632)"),"SOLO LINEA BASE")</f>
        <v>SOLO LINEA BASE</v>
      </c>
      <c r="K3632" s="16" t="str">
        <f t="array" ref="K3632">IFERROR(DGET('PADD-R'!$B$1:$K5618,'PADD-R'!$K$1,{'PADD-R'!$B$1;E3632}),"NO PARTICIPÓ")</f>
        <v>NO PARTICIPÓ</v>
      </c>
      <c r="L3632" s="14" t="s">
        <v>171</v>
      </c>
      <c r="M3632" s="16" t="str">
        <f t="shared" si="1"/>
        <v>JOSE CARLOS MARIATEGUI2 Secundaria</v>
      </c>
      <c r="N3632" s="23"/>
      <c r="O3632" s="17"/>
      <c r="P3632" s="17"/>
      <c r="Q3632" s="17"/>
      <c r="R3632" s="17"/>
      <c r="S3632" s="17"/>
      <c r="T3632" s="17"/>
    </row>
    <row r="3633">
      <c r="A3633" s="18">
        <v>4720.0</v>
      </c>
      <c r="B3633" s="12" t="s">
        <v>84</v>
      </c>
      <c r="C3633" s="12" t="s">
        <v>27</v>
      </c>
      <c r="D3633" s="20" t="s">
        <v>28</v>
      </c>
      <c r="E3633" s="12" t="str">
        <f>IFERROR(__xludf.DUMMYFUNCTION("FILTER(colegios!$B$2:$B5618,colegios!$A$2:$A5618=L3633)"),"JOSE CARLOS MARIATEGUI")</f>
        <v>JOSE CARLOS MARIATEGUI</v>
      </c>
      <c r="F3633" s="14" t="s">
        <v>16</v>
      </c>
      <c r="G3633" s="20" t="s">
        <v>21</v>
      </c>
      <c r="H3633" s="14" t="s">
        <v>18</v>
      </c>
      <c r="I3633" s="15">
        <v>2022.0</v>
      </c>
      <c r="J3633" s="16" t="str">
        <f>IFERROR(__xludf.DUMMYFUNCTION("FILTER('CLASFICACIÓN'!$F$3:$F5618,'CLASFICACIÓN'!$G$3:$G5618=M3633)"),"SOLO LINEA BASE")</f>
        <v>SOLO LINEA BASE</v>
      </c>
      <c r="K3633" s="16" t="str">
        <f t="array" ref="K3633">IFERROR(DGET('PADD-R'!$B$1:$K5618,'PADD-R'!$K$1,{'PADD-R'!$B$1;E3633}),"NO PARTICIPÓ")</f>
        <v>NO PARTICIPÓ</v>
      </c>
      <c r="L3633" s="14" t="s">
        <v>171</v>
      </c>
      <c r="M3633" s="16" t="str">
        <f t="shared" si="1"/>
        <v>JOSE CARLOS MARIATEGUI2 Secundaria</v>
      </c>
      <c r="N3633" s="23"/>
      <c r="O3633" s="17"/>
      <c r="P3633" s="17"/>
      <c r="Q3633" s="17"/>
      <c r="R3633" s="17"/>
      <c r="S3633" s="17"/>
      <c r="T3633" s="17"/>
    </row>
    <row r="3634">
      <c r="A3634" s="18">
        <v>4721.0</v>
      </c>
      <c r="B3634" s="12" t="s">
        <v>84</v>
      </c>
      <c r="C3634" s="12" t="s">
        <v>27</v>
      </c>
      <c r="D3634" s="20" t="s">
        <v>28</v>
      </c>
      <c r="E3634" s="12" t="str">
        <f>IFERROR(__xludf.DUMMYFUNCTION("FILTER(colegios!$B$2:$B5618,colegios!$A$2:$A5618=L3634)"),"JOSE CARLOS MARIATEGUI")</f>
        <v>JOSE CARLOS MARIATEGUI</v>
      </c>
      <c r="F3634" s="14" t="s">
        <v>16</v>
      </c>
      <c r="G3634" s="20" t="s">
        <v>17</v>
      </c>
      <c r="H3634" s="14" t="s">
        <v>18</v>
      </c>
      <c r="I3634" s="15">
        <v>2022.0</v>
      </c>
      <c r="J3634" s="16" t="str">
        <f>IFERROR(__xludf.DUMMYFUNCTION("FILTER('CLASFICACIÓN'!$F$3:$F5618,'CLASFICACIÓN'!$G$3:$G5618=M3634)"),"SOLO LINEA BASE")</f>
        <v>SOLO LINEA BASE</v>
      </c>
      <c r="K3634" s="16" t="str">
        <f t="array" ref="K3634">IFERROR(DGET('PADD-R'!$B$1:$K5618,'PADD-R'!$K$1,{'PADD-R'!$B$1;E3634}),"NO PARTICIPÓ")</f>
        <v>NO PARTICIPÓ</v>
      </c>
      <c r="L3634" s="14" t="s">
        <v>171</v>
      </c>
      <c r="M3634" s="16" t="str">
        <f t="shared" si="1"/>
        <v>JOSE CARLOS MARIATEGUI2 Secundaria</v>
      </c>
      <c r="N3634" s="23"/>
      <c r="O3634" s="17"/>
      <c r="P3634" s="17"/>
      <c r="Q3634" s="17"/>
      <c r="R3634" s="17"/>
      <c r="S3634" s="17"/>
      <c r="T3634" s="17"/>
    </row>
    <row r="3635">
      <c r="A3635" s="18">
        <v>4722.0</v>
      </c>
      <c r="B3635" s="12" t="s">
        <v>84</v>
      </c>
      <c r="C3635" s="12" t="s">
        <v>27</v>
      </c>
      <c r="D3635" s="20" t="s">
        <v>30</v>
      </c>
      <c r="E3635" s="12" t="str">
        <f>IFERROR(__xludf.DUMMYFUNCTION("FILTER(colegios!$B$2:$B5618,colegios!$A$2:$A5618=L3635)"),"JOSE CARLOS MARIATEGUI")</f>
        <v>JOSE CARLOS MARIATEGUI</v>
      </c>
      <c r="F3635" s="14" t="s">
        <v>16</v>
      </c>
      <c r="G3635" s="20" t="s">
        <v>17</v>
      </c>
      <c r="H3635" s="14" t="s">
        <v>18</v>
      </c>
      <c r="I3635" s="15">
        <v>2022.0</v>
      </c>
      <c r="J3635" s="16" t="str">
        <f>IFERROR(__xludf.DUMMYFUNCTION("FILTER('CLASFICACIÓN'!$F$3:$F5618,'CLASFICACIÓN'!$G$3:$G5618=M3635)"),"SOLO LINEA BASE")</f>
        <v>SOLO LINEA BASE</v>
      </c>
      <c r="K3635" s="16" t="str">
        <f t="array" ref="K3635">IFERROR(DGET('PADD-R'!$B$1:$K5618,'PADD-R'!$K$1,{'PADD-R'!$B$1;E3635}),"NO PARTICIPÓ")</f>
        <v>NO PARTICIPÓ</v>
      </c>
      <c r="L3635" s="14" t="s">
        <v>172</v>
      </c>
      <c r="M3635" s="16" t="str">
        <f t="shared" si="1"/>
        <v>JOSE CARLOS MARIATEGUI4 Secundaria</v>
      </c>
      <c r="N3635" s="23"/>
      <c r="O3635" s="17"/>
      <c r="P3635" s="17"/>
      <c r="Q3635" s="17"/>
      <c r="R3635" s="17"/>
      <c r="S3635" s="17"/>
      <c r="T3635" s="17"/>
    </row>
    <row r="3636">
      <c r="A3636" s="18">
        <v>4723.0</v>
      </c>
      <c r="B3636" s="12" t="s">
        <v>84</v>
      </c>
      <c r="C3636" s="12" t="s">
        <v>27</v>
      </c>
      <c r="D3636" s="20" t="s">
        <v>30</v>
      </c>
      <c r="E3636" s="12" t="str">
        <f>IFERROR(__xludf.DUMMYFUNCTION("FILTER(colegios!$B$2:$B5618,colegios!$A$2:$A5618=L3636)"),"JOSE CARLOS MARIATEGUI")</f>
        <v>JOSE CARLOS MARIATEGUI</v>
      </c>
      <c r="F3636" s="14" t="s">
        <v>16</v>
      </c>
      <c r="G3636" s="20" t="s">
        <v>21</v>
      </c>
      <c r="H3636" s="14" t="s">
        <v>18</v>
      </c>
      <c r="I3636" s="15">
        <v>2022.0</v>
      </c>
      <c r="J3636" s="16" t="str">
        <f>IFERROR(__xludf.DUMMYFUNCTION("FILTER('CLASFICACIÓN'!$F$3:$F5618,'CLASFICACIÓN'!$G$3:$G5618=M3636)"),"SOLO LINEA BASE")</f>
        <v>SOLO LINEA BASE</v>
      </c>
      <c r="K3636" s="16" t="str">
        <f t="array" ref="K3636">IFERROR(DGET('PADD-R'!$B$1:$K5618,'PADD-R'!$K$1,{'PADD-R'!$B$1;E3636}),"NO PARTICIPÓ")</f>
        <v>NO PARTICIPÓ</v>
      </c>
      <c r="L3636" s="14" t="s">
        <v>172</v>
      </c>
      <c r="M3636" s="16" t="str">
        <f t="shared" si="1"/>
        <v>JOSE CARLOS MARIATEGUI4 Secundaria</v>
      </c>
      <c r="N3636" s="23"/>
      <c r="O3636" s="17"/>
      <c r="P3636" s="17"/>
      <c r="Q3636" s="17"/>
      <c r="R3636" s="17"/>
      <c r="S3636" s="17"/>
      <c r="T3636" s="17"/>
    </row>
    <row r="3637">
      <c r="A3637" s="18">
        <v>4724.0</v>
      </c>
      <c r="B3637" s="12" t="s">
        <v>84</v>
      </c>
      <c r="C3637" s="12" t="s">
        <v>27</v>
      </c>
      <c r="D3637" s="20" t="s">
        <v>30</v>
      </c>
      <c r="E3637" s="12" t="str">
        <f>IFERROR(__xludf.DUMMYFUNCTION("FILTER(colegios!$B$2:$B5618,colegios!$A$2:$A5618=L3637)"),"JOSE CARLOS MARIATEGUI")</f>
        <v>JOSE CARLOS MARIATEGUI</v>
      </c>
      <c r="F3637" s="14" t="s">
        <v>16</v>
      </c>
      <c r="G3637" s="20" t="s">
        <v>17</v>
      </c>
      <c r="H3637" s="14" t="s">
        <v>18</v>
      </c>
      <c r="I3637" s="15">
        <v>2022.0</v>
      </c>
      <c r="J3637" s="16" t="str">
        <f>IFERROR(__xludf.DUMMYFUNCTION("FILTER('CLASFICACIÓN'!$F$3:$F5618,'CLASFICACIÓN'!$G$3:$G5618=M3637)"),"SOLO LINEA BASE")</f>
        <v>SOLO LINEA BASE</v>
      </c>
      <c r="K3637" s="16" t="str">
        <f t="array" ref="K3637">IFERROR(DGET('PADD-R'!$B$1:$K5618,'PADD-R'!$K$1,{'PADD-R'!$B$1;E3637}),"NO PARTICIPÓ")</f>
        <v>NO PARTICIPÓ</v>
      </c>
      <c r="L3637" s="14" t="s">
        <v>172</v>
      </c>
      <c r="M3637" s="16" t="str">
        <f t="shared" si="1"/>
        <v>JOSE CARLOS MARIATEGUI4 Secundaria</v>
      </c>
      <c r="N3637" s="23"/>
      <c r="O3637" s="17"/>
      <c r="P3637" s="17"/>
      <c r="Q3637" s="17"/>
      <c r="R3637" s="17"/>
      <c r="S3637" s="17"/>
      <c r="T3637" s="17"/>
    </row>
    <row r="3638">
      <c r="A3638" s="18">
        <v>4725.0</v>
      </c>
      <c r="B3638" s="12" t="s">
        <v>84</v>
      </c>
      <c r="C3638" s="12" t="s">
        <v>27</v>
      </c>
      <c r="D3638" s="20" t="s">
        <v>30</v>
      </c>
      <c r="E3638" s="12" t="str">
        <f>IFERROR(__xludf.DUMMYFUNCTION("FILTER(colegios!$B$2:$B5618,colegios!$A$2:$A5618=L3638)"),"JOSE CARLOS MARIATEGUI")</f>
        <v>JOSE CARLOS MARIATEGUI</v>
      </c>
      <c r="F3638" s="14" t="s">
        <v>16</v>
      </c>
      <c r="G3638" s="20" t="s">
        <v>21</v>
      </c>
      <c r="H3638" s="14" t="s">
        <v>18</v>
      </c>
      <c r="I3638" s="15">
        <v>2022.0</v>
      </c>
      <c r="J3638" s="16" t="str">
        <f>IFERROR(__xludf.DUMMYFUNCTION("FILTER('CLASFICACIÓN'!$F$3:$F5618,'CLASFICACIÓN'!$G$3:$G5618=M3638)"),"SOLO LINEA BASE")</f>
        <v>SOLO LINEA BASE</v>
      </c>
      <c r="K3638" s="16" t="str">
        <f t="array" ref="K3638">IFERROR(DGET('PADD-R'!$B$1:$K5618,'PADD-R'!$K$1,{'PADD-R'!$B$1;E3638}),"NO PARTICIPÓ")</f>
        <v>NO PARTICIPÓ</v>
      </c>
      <c r="L3638" s="14" t="s">
        <v>172</v>
      </c>
      <c r="M3638" s="16" t="str">
        <f t="shared" si="1"/>
        <v>JOSE CARLOS MARIATEGUI4 Secundaria</v>
      </c>
      <c r="N3638" s="23"/>
      <c r="O3638" s="17"/>
      <c r="P3638" s="17"/>
      <c r="Q3638" s="17"/>
      <c r="R3638" s="17"/>
      <c r="S3638" s="17"/>
      <c r="T3638" s="17"/>
    </row>
    <row r="3639">
      <c r="A3639" s="18">
        <v>4726.0</v>
      </c>
      <c r="B3639" s="12" t="s">
        <v>84</v>
      </c>
      <c r="C3639" s="12" t="s">
        <v>27</v>
      </c>
      <c r="D3639" s="20" t="s">
        <v>30</v>
      </c>
      <c r="E3639" s="12" t="str">
        <f>IFERROR(__xludf.DUMMYFUNCTION("FILTER(colegios!$B$2:$B5618,colegios!$A$2:$A5618=L3639)"),"JOSE CARLOS MARIATEGUI")</f>
        <v>JOSE CARLOS MARIATEGUI</v>
      </c>
      <c r="F3639" s="14" t="s">
        <v>16</v>
      </c>
      <c r="G3639" s="20" t="s">
        <v>17</v>
      </c>
      <c r="H3639" s="14" t="s">
        <v>18</v>
      </c>
      <c r="I3639" s="15">
        <v>2022.0</v>
      </c>
      <c r="J3639" s="16" t="str">
        <f>IFERROR(__xludf.DUMMYFUNCTION("FILTER('CLASFICACIÓN'!$F$3:$F5618,'CLASFICACIÓN'!$G$3:$G5618=M3639)"),"SOLO LINEA BASE")</f>
        <v>SOLO LINEA BASE</v>
      </c>
      <c r="K3639" s="16" t="str">
        <f t="array" ref="K3639">IFERROR(DGET('PADD-R'!$B$1:$K5618,'PADD-R'!$K$1,{'PADD-R'!$B$1;E3639}),"NO PARTICIPÓ")</f>
        <v>NO PARTICIPÓ</v>
      </c>
      <c r="L3639" s="14" t="s">
        <v>172</v>
      </c>
      <c r="M3639" s="16" t="str">
        <f t="shared" si="1"/>
        <v>JOSE CARLOS MARIATEGUI4 Secundaria</v>
      </c>
      <c r="N3639" s="23"/>
      <c r="O3639" s="17"/>
      <c r="P3639" s="17"/>
      <c r="Q3639" s="17"/>
      <c r="R3639" s="17"/>
      <c r="S3639" s="17"/>
      <c r="T3639" s="17"/>
    </row>
    <row r="3640">
      <c r="A3640" s="18">
        <v>4727.0</v>
      </c>
      <c r="B3640" s="12" t="s">
        <v>84</v>
      </c>
      <c r="C3640" s="12" t="s">
        <v>27</v>
      </c>
      <c r="D3640" s="20" t="s">
        <v>30</v>
      </c>
      <c r="E3640" s="12" t="str">
        <f>IFERROR(__xludf.DUMMYFUNCTION("FILTER(colegios!$B$2:$B5618,colegios!$A$2:$A5618=L3640)"),"JOSE CARLOS MARIATEGUI")</f>
        <v>JOSE CARLOS MARIATEGUI</v>
      </c>
      <c r="F3640" s="14" t="s">
        <v>16</v>
      </c>
      <c r="G3640" s="20" t="s">
        <v>21</v>
      </c>
      <c r="H3640" s="14" t="s">
        <v>18</v>
      </c>
      <c r="I3640" s="15">
        <v>2022.0</v>
      </c>
      <c r="J3640" s="16" t="str">
        <f>IFERROR(__xludf.DUMMYFUNCTION("FILTER('CLASFICACIÓN'!$F$3:$F5618,'CLASFICACIÓN'!$G$3:$G5618=M3640)"),"SOLO LINEA BASE")</f>
        <v>SOLO LINEA BASE</v>
      </c>
      <c r="K3640" s="16" t="str">
        <f t="array" ref="K3640">IFERROR(DGET('PADD-R'!$B$1:$K5618,'PADD-R'!$K$1,{'PADD-R'!$B$1;E3640}),"NO PARTICIPÓ")</f>
        <v>NO PARTICIPÓ</v>
      </c>
      <c r="L3640" s="14" t="s">
        <v>172</v>
      </c>
      <c r="M3640" s="16" t="str">
        <f t="shared" si="1"/>
        <v>JOSE CARLOS MARIATEGUI4 Secundaria</v>
      </c>
      <c r="N3640" s="23"/>
      <c r="O3640" s="17"/>
      <c r="P3640" s="17"/>
      <c r="Q3640" s="17"/>
      <c r="R3640" s="17"/>
      <c r="S3640" s="17"/>
      <c r="T3640" s="17"/>
    </row>
    <row r="3641">
      <c r="A3641" s="18">
        <v>4728.0</v>
      </c>
      <c r="B3641" s="12" t="s">
        <v>84</v>
      </c>
      <c r="C3641" s="12" t="s">
        <v>27</v>
      </c>
      <c r="D3641" s="20" t="s">
        <v>30</v>
      </c>
      <c r="E3641" s="12" t="str">
        <f>IFERROR(__xludf.DUMMYFUNCTION("FILTER(colegios!$B$2:$B5618,colegios!$A$2:$A5618=L3641)"),"JOSE CARLOS MARIATEGUI")</f>
        <v>JOSE CARLOS MARIATEGUI</v>
      </c>
      <c r="F3641" s="14" t="s">
        <v>16</v>
      </c>
      <c r="G3641" s="20" t="s">
        <v>21</v>
      </c>
      <c r="H3641" s="14" t="s">
        <v>18</v>
      </c>
      <c r="I3641" s="15">
        <v>2022.0</v>
      </c>
      <c r="J3641" s="16" t="str">
        <f>IFERROR(__xludf.DUMMYFUNCTION("FILTER('CLASFICACIÓN'!$F$3:$F5618,'CLASFICACIÓN'!$G$3:$G5618=M3641)"),"SOLO LINEA BASE")</f>
        <v>SOLO LINEA BASE</v>
      </c>
      <c r="K3641" s="16" t="str">
        <f t="array" ref="K3641">IFERROR(DGET('PADD-R'!$B$1:$K5618,'PADD-R'!$K$1,{'PADD-R'!$B$1;E3641}),"NO PARTICIPÓ")</f>
        <v>NO PARTICIPÓ</v>
      </c>
      <c r="L3641" s="14" t="s">
        <v>172</v>
      </c>
      <c r="M3641" s="16" t="str">
        <f t="shared" si="1"/>
        <v>JOSE CARLOS MARIATEGUI4 Secundaria</v>
      </c>
      <c r="N3641" s="23"/>
      <c r="O3641" s="17"/>
      <c r="P3641" s="17"/>
      <c r="Q3641" s="17"/>
      <c r="R3641" s="17"/>
      <c r="S3641" s="17"/>
      <c r="T3641" s="17"/>
    </row>
    <row r="3642">
      <c r="A3642" s="18">
        <v>4729.0</v>
      </c>
      <c r="B3642" s="12" t="s">
        <v>84</v>
      </c>
      <c r="C3642" s="12" t="s">
        <v>27</v>
      </c>
      <c r="D3642" s="20" t="s">
        <v>30</v>
      </c>
      <c r="E3642" s="12" t="str">
        <f>IFERROR(__xludf.DUMMYFUNCTION("FILTER(colegios!$B$2:$B5618,colegios!$A$2:$A5618=L3642)"),"JOSE CARLOS MARIATEGUI")</f>
        <v>JOSE CARLOS MARIATEGUI</v>
      </c>
      <c r="F3642" s="14" t="s">
        <v>16</v>
      </c>
      <c r="G3642" s="20" t="s">
        <v>21</v>
      </c>
      <c r="H3642" s="14" t="s">
        <v>18</v>
      </c>
      <c r="I3642" s="15">
        <v>2022.0</v>
      </c>
      <c r="J3642" s="16" t="str">
        <f>IFERROR(__xludf.DUMMYFUNCTION("FILTER('CLASFICACIÓN'!$F$3:$F5618,'CLASFICACIÓN'!$G$3:$G5618=M3642)"),"SOLO LINEA BASE")</f>
        <v>SOLO LINEA BASE</v>
      </c>
      <c r="K3642" s="16" t="str">
        <f t="array" ref="K3642">IFERROR(DGET('PADD-R'!$B$1:$K5618,'PADD-R'!$K$1,{'PADD-R'!$B$1;E3642}),"NO PARTICIPÓ")</f>
        <v>NO PARTICIPÓ</v>
      </c>
      <c r="L3642" s="14" t="s">
        <v>172</v>
      </c>
      <c r="M3642" s="16" t="str">
        <f t="shared" si="1"/>
        <v>JOSE CARLOS MARIATEGUI4 Secundaria</v>
      </c>
      <c r="N3642" s="23"/>
      <c r="O3642" s="17"/>
      <c r="P3642" s="17"/>
      <c r="Q3642" s="17"/>
      <c r="R3642" s="17"/>
      <c r="S3642" s="17"/>
      <c r="T3642" s="17"/>
    </row>
    <row r="3643">
      <c r="A3643" s="18">
        <v>4730.0</v>
      </c>
      <c r="B3643" s="12" t="s">
        <v>84</v>
      </c>
      <c r="C3643" s="12" t="s">
        <v>27</v>
      </c>
      <c r="D3643" s="20" t="s">
        <v>30</v>
      </c>
      <c r="E3643" s="12" t="str">
        <f>IFERROR(__xludf.DUMMYFUNCTION("FILTER(colegios!$B$2:$B5618,colegios!$A$2:$A5618=L3643)"),"JOSE CARLOS MARIATEGUI")</f>
        <v>JOSE CARLOS MARIATEGUI</v>
      </c>
      <c r="F3643" s="14" t="s">
        <v>16</v>
      </c>
      <c r="G3643" s="20" t="s">
        <v>17</v>
      </c>
      <c r="H3643" s="14" t="s">
        <v>18</v>
      </c>
      <c r="I3643" s="15">
        <v>2022.0</v>
      </c>
      <c r="J3643" s="16" t="str">
        <f>IFERROR(__xludf.DUMMYFUNCTION("FILTER('CLASFICACIÓN'!$F$3:$F5618,'CLASFICACIÓN'!$G$3:$G5618=M3643)"),"SOLO LINEA BASE")</f>
        <v>SOLO LINEA BASE</v>
      </c>
      <c r="K3643" s="16" t="str">
        <f t="array" ref="K3643">IFERROR(DGET('PADD-R'!$B$1:$K5618,'PADD-R'!$K$1,{'PADD-R'!$B$1;E3643}),"NO PARTICIPÓ")</f>
        <v>NO PARTICIPÓ</v>
      </c>
      <c r="L3643" s="14" t="s">
        <v>172</v>
      </c>
      <c r="M3643" s="16" t="str">
        <f t="shared" si="1"/>
        <v>JOSE CARLOS MARIATEGUI4 Secundaria</v>
      </c>
      <c r="N3643" s="23"/>
      <c r="O3643" s="17"/>
      <c r="P3643" s="17"/>
      <c r="Q3643" s="17"/>
      <c r="R3643" s="17"/>
      <c r="S3643" s="17"/>
      <c r="T3643" s="17"/>
    </row>
    <row r="3644">
      <c r="A3644" s="18">
        <v>4731.0</v>
      </c>
      <c r="B3644" s="12" t="s">
        <v>84</v>
      </c>
      <c r="C3644" s="12" t="s">
        <v>27</v>
      </c>
      <c r="D3644" s="20" t="s">
        <v>30</v>
      </c>
      <c r="E3644" s="12" t="str">
        <f>IFERROR(__xludf.DUMMYFUNCTION("FILTER(colegios!$B$2:$B5618,colegios!$A$2:$A5618=L3644)"),"JOSE CARLOS MARIATEGUI")</f>
        <v>JOSE CARLOS MARIATEGUI</v>
      </c>
      <c r="F3644" s="14" t="s">
        <v>16</v>
      </c>
      <c r="G3644" s="20" t="s">
        <v>17</v>
      </c>
      <c r="H3644" s="14" t="s">
        <v>18</v>
      </c>
      <c r="I3644" s="15">
        <v>2022.0</v>
      </c>
      <c r="J3644" s="16" t="str">
        <f>IFERROR(__xludf.DUMMYFUNCTION("FILTER('CLASFICACIÓN'!$F$3:$F5618,'CLASFICACIÓN'!$G$3:$G5618=M3644)"),"SOLO LINEA BASE")</f>
        <v>SOLO LINEA BASE</v>
      </c>
      <c r="K3644" s="16" t="str">
        <f t="array" ref="K3644">IFERROR(DGET('PADD-R'!$B$1:$K5618,'PADD-R'!$K$1,{'PADD-R'!$B$1;E3644}),"NO PARTICIPÓ")</f>
        <v>NO PARTICIPÓ</v>
      </c>
      <c r="L3644" s="14" t="s">
        <v>172</v>
      </c>
      <c r="M3644" s="16" t="str">
        <f t="shared" si="1"/>
        <v>JOSE CARLOS MARIATEGUI4 Secundaria</v>
      </c>
      <c r="N3644" s="23"/>
      <c r="O3644" s="17"/>
      <c r="P3644" s="17"/>
      <c r="Q3644" s="17"/>
      <c r="R3644" s="17"/>
      <c r="S3644" s="17"/>
      <c r="T3644" s="17"/>
    </row>
    <row r="3645">
      <c r="A3645" s="18">
        <v>4732.0</v>
      </c>
      <c r="B3645" s="12" t="s">
        <v>84</v>
      </c>
      <c r="C3645" s="12" t="s">
        <v>27</v>
      </c>
      <c r="D3645" s="20" t="s">
        <v>30</v>
      </c>
      <c r="E3645" s="12" t="str">
        <f>IFERROR(__xludf.DUMMYFUNCTION("FILTER(colegios!$B$2:$B5618,colegios!$A$2:$A5618=L3645)"),"JOSE CARLOS MARIATEGUI")</f>
        <v>JOSE CARLOS MARIATEGUI</v>
      </c>
      <c r="F3645" s="14" t="s">
        <v>16</v>
      </c>
      <c r="G3645" s="20" t="s">
        <v>21</v>
      </c>
      <c r="H3645" s="14" t="s">
        <v>18</v>
      </c>
      <c r="I3645" s="15">
        <v>2022.0</v>
      </c>
      <c r="J3645" s="16" t="str">
        <f>IFERROR(__xludf.DUMMYFUNCTION("FILTER('CLASFICACIÓN'!$F$3:$F5618,'CLASFICACIÓN'!$G$3:$G5618=M3645)"),"SOLO LINEA BASE")</f>
        <v>SOLO LINEA BASE</v>
      </c>
      <c r="K3645" s="16" t="str">
        <f t="array" ref="K3645">IFERROR(DGET('PADD-R'!$B$1:$K5618,'PADD-R'!$K$1,{'PADD-R'!$B$1;E3645}),"NO PARTICIPÓ")</f>
        <v>NO PARTICIPÓ</v>
      </c>
      <c r="L3645" s="14" t="s">
        <v>172</v>
      </c>
      <c r="M3645" s="16" t="str">
        <f t="shared" si="1"/>
        <v>JOSE CARLOS MARIATEGUI4 Secundaria</v>
      </c>
      <c r="N3645" s="23"/>
      <c r="O3645" s="17"/>
      <c r="P3645" s="17"/>
      <c r="Q3645" s="17"/>
      <c r="R3645" s="17"/>
      <c r="S3645" s="17"/>
      <c r="T3645" s="17"/>
    </row>
    <row r="3646">
      <c r="A3646" s="18">
        <v>4733.0</v>
      </c>
      <c r="B3646" s="12" t="s">
        <v>84</v>
      </c>
      <c r="C3646" s="12" t="s">
        <v>27</v>
      </c>
      <c r="D3646" s="20" t="s">
        <v>30</v>
      </c>
      <c r="E3646" s="12" t="str">
        <f>IFERROR(__xludf.DUMMYFUNCTION("FILTER(colegios!$B$2:$B5618,colegios!$A$2:$A5618=L3646)"),"JOSE CARLOS MARIATEGUI")</f>
        <v>JOSE CARLOS MARIATEGUI</v>
      </c>
      <c r="F3646" s="14" t="s">
        <v>16</v>
      </c>
      <c r="G3646" s="20" t="s">
        <v>17</v>
      </c>
      <c r="H3646" s="14" t="s">
        <v>18</v>
      </c>
      <c r="I3646" s="15">
        <v>2022.0</v>
      </c>
      <c r="J3646" s="16" t="str">
        <f>IFERROR(__xludf.DUMMYFUNCTION("FILTER('CLASFICACIÓN'!$F$3:$F5618,'CLASFICACIÓN'!$G$3:$G5618=M3646)"),"SOLO LINEA BASE")</f>
        <v>SOLO LINEA BASE</v>
      </c>
      <c r="K3646" s="16" t="str">
        <f t="array" ref="K3646">IFERROR(DGET('PADD-R'!$B$1:$K5618,'PADD-R'!$K$1,{'PADD-R'!$B$1;E3646}),"NO PARTICIPÓ")</f>
        <v>NO PARTICIPÓ</v>
      </c>
      <c r="L3646" s="14" t="s">
        <v>172</v>
      </c>
      <c r="M3646" s="16" t="str">
        <f t="shared" si="1"/>
        <v>JOSE CARLOS MARIATEGUI4 Secundaria</v>
      </c>
      <c r="N3646" s="23"/>
      <c r="O3646" s="17"/>
      <c r="P3646" s="17"/>
      <c r="Q3646" s="17"/>
      <c r="R3646" s="17"/>
      <c r="S3646" s="17"/>
      <c r="T3646" s="17"/>
    </row>
    <row r="3647">
      <c r="A3647" s="18">
        <v>4734.0</v>
      </c>
      <c r="B3647" s="12" t="s">
        <v>84</v>
      </c>
      <c r="C3647" s="12" t="s">
        <v>27</v>
      </c>
      <c r="D3647" s="20" t="s">
        <v>30</v>
      </c>
      <c r="E3647" s="12" t="str">
        <f>IFERROR(__xludf.DUMMYFUNCTION("FILTER(colegios!$B$2:$B5618,colegios!$A$2:$A5618=L3647)"),"JOSE CARLOS MARIATEGUI")</f>
        <v>JOSE CARLOS MARIATEGUI</v>
      </c>
      <c r="F3647" s="14" t="s">
        <v>16</v>
      </c>
      <c r="G3647" s="20" t="s">
        <v>17</v>
      </c>
      <c r="H3647" s="14" t="s">
        <v>18</v>
      </c>
      <c r="I3647" s="15">
        <v>2022.0</v>
      </c>
      <c r="J3647" s="16" t="str">
        <f>IFERROR(__xludf.DUMMYFUNCTION("FILTER('CLASFICACIÓN'!$F$3:$F5618,'CLASFICACIÓN'!$G$3:$G5618=M3647)"),"SOLO LINEA BASE")</f>
        <v>SOLO LINEA BASE</v>
      </c>
      <c r="K3647" s="16" t="str">
        <f t="array" ref="K3647">IFERROR(DGET('PADD-R'!$B$1:$K5618,'PADD-R'!$K$1,{'PADD-R'!$B$1;E3647}),"NO PARTICIPÓ")</f>
        <v>NO PARTICIPÓ</v>
      </c>
      <c r="L3647" s="14" t="s">
        <v>172</v>
      </c>
      <c r="M3647" s="16" t="str">
        <f t="shared" si="1"/>
        <v>JOSE CARLOS MARIATEGUI4 Secundaria</v>
      </c>
      <c r="N3647" s="23"/>
      <c r="O3647" s="17"/>
      <c r="P3647" s="17"/>
      <c r="Q3647" s="17"/>
      <c r="R3647" s="17"/>
      <c r="S3647" s="17"/>
      <c r="T3647" s="17"/>
    </row>
    <row r="3648">
      <c r="A3648" s="18">
        <v>4735.0</v>
      </c>
      <c r="B3648" s="12" t="s">
        <v>84</v>
      </c>
      <c r="C3648" s="12" t="s">
        <v>27</v>
      </c>
      <c r="D3648" s="20" t="s">
        <v>30</v>
      </c>
      <c r="E3648" s="12" t="str">
        <f>IFERROR(__xludf.DUMMYFUNCTION("FILTER(colegios!$B$2:$B5618,colegios!$A$2:$A5618=L3648)"),"JOSE CARLOS MARIATEGUI")</f>
        <v>JOSE CARLOS MARIATEGUI</v>
      </c>
      <c r="F3648" s="14" t="s">
        <v>16</v>
      </c>
      <c r="G3648" s="20" t="s">
        <v>17</v>
      </c>
      <c r="H3648" s="14" t="s">
        <v>18</v>
      </c>
      <c r="I3648" s="15">
        <v>2022.0</v>
      </c>
      <c r="J3648" s="16" t="str">
        <f>IFERROR(__xludf.DUMMYFUNCTION("FILTER('CLASFICACIÓN'!$F$3:$F5618,'CLASFICACIÓN'!$G$3:$G5618=M3648)"),"SOLO LINEA BASE")</f>
        <v>SOLO LINEA BASE</v>
      </c>
      <c r="K3648" s="16" t="str">
        <f t="array" ref="K3648">IFERROR(DGET('PADD-R'!$B$1:$K5618,'PADD-R'!$K$1,{'PADD-R'!$B$1;E3648}),"NO PARTICIPÓ")</f>
        <v>NO PARTICIPÓ</v>
      </c>
      <c r="L3648" s="14" t="s">
        <v>172</v>
      </c>
      <c r="M3648" s="16" t="str">
        <f t="shared" si="1"/>
        <v>JOSE CARLOS MARIATEGUI4 Secundaria</v>
      </c>
      <c r="N3648" s="23"/>
      <c r="O3648" s="17"/>
      <c r="P3648" s="17"/>
      <c r="Q3648" s="17"/>
      <c r="R3648" s="17"/>
      <c r="S3648" s="17"/>
      <c r="T3648" s="17"/>
    </row>
    <row r="3649">
      <c r="A3649" s="18">
        <v>4736.0</v>
      </c>
      <c r="B3649" s="12" t="s">
        <v>84</v>
      </c>
      <c r="C3649" s="12" t="s">
        <v>27</v>
      </c>
      <c r="D3649" s="20" t="s">
        <v>30</v>
      </c>
      <c r="E3649" s="12" t="str">
        <f>IFERROR(__xludf.DUMMYFUNCTION("FILTER(colegios!$B$2:$B5618,colegios!$A$2:$A5618=L3649)"),"JOSE CARLOS MARIATEGUI")</f>
        <v>JOSE CARLOS MARIATEGUI</v>
      </c>
      <c r="F3649" s="14" t="s">
        <v>16</v>
      </c>
      <c r="G3649" s="20" t="s">
        <v>17</v>
      </c>
      <c r="H3649" s="14" t="s">
        <v>18</v>
      </c>
      <c r="I3649" s="15">
        <v>2022.0</v>
      </c>
      <c r="J3649" s="16" t="str">
        <f>IFERROR(__xludf.DUMMYFUNCTION("FILTER('CLASFICACIÓN'!$F$3:$F5618,'CLASFICACIÓN'!$G$3:$G5618=M3649)"),"SOLO LINEA BASE")</f>
        <v>SOLO LINEA BASE</v>
      </c>
      <c r="K3649" s="16" t="str">
        <f t="array" ref="K3649">IFERROR(DGET('PADD-R'!$B$1:$K5618,'PADD-R'!$K$1,{'PADD-R'!$B$1;E3649}),"NO PARTICIPÓ")</f>
        <v>NO PARTICIPÓ</v>
      </c>
      <c r="L3649" s="14" t="s">
        <v>172</v>
      </c>
      <c r="M3649" s="16" t="str">
        <f t="shared" si="1"/>
        <v>JOSE CARLOS MARIATEGUI4 Secundaria</v>
      </c>
      <c r="N3649" s="23"/>
      <c r="O3649" s="17"/>
      <c r="P3649" s="17"/>
      <c r="Q3649" s="17"/>
      <c r="R3649" s="17"/>
      <c r="S3649" s="17"/>
      <c r="T3649" s="17"/>
    </row>
    <row r="3650">
      <c r="A3650" s="18">
        <v>4737.0</v>
      </c>
      <c r="B3650" s="12" t="s">
        <v>84</v>
      </c>
      <c r="C3650" s="12" t="s">
        <v>27</v>
      </c>
      <c r="D3650" s="20" t="s">
        <v>28</v>
      </c>
      <c r="E3650" s="12" t="str">
        <f>IFERROR(__xludf.DUMMYFUNCTION("FILTER(colegios!$B$2:$B5618,colegios!$A$2:$A5618=L3650)"),"RAMON CASTILLA MARQUEZADO")</f>
        <v>RAMON CASTILLA MARQUEZADO</v>
      </c>
      <c r="F3650" s="14" t="s">
        <v>16</v>
      </c>
      <c r="G3650" s="20" t="s">
        <v>17</v>
      </c>
      <c r="H3650" s="14" t="s">
        <v>18</v>
      </c>
      <c r="I3650" s="15">
        <v>2022.0</v>
      </c>
      <c r="J3650" s="16" t="str">
        <f>IFERROR(__xludf.DUMMYFUNCTION("FILTER('CLASFICACIÓN'!$F$3:$F5618,'CLASFICACIÓN'!$G$3:$G5618=M3650)"),"SOLO LINEA BASE")</f>
        <v>SOLO LINEA BASE</v>
      </c>
      <c r="K3650" s="16" t="str">
        <f t="array" ref="K3650">IFERROR(DGET('PADD-R'!$B$1:$K5618,'PADD-R'!$K$1,{'PADD-R'!$B$1;E3650}),"NO PARTICIPÓ")</f>
        <v>NO PARTICIPÓ</v>
      </c>
      <c r="L3650" s="14" t="s">
        <v>173</v>
      </c>
      <c r="M3650" s="16" t="str">
        <f t="shared" si="1"/>
        <v>RAMON CASTILLA MARQUEZADO2 Secundaria</v>
      </c>
      <c r="N3650" s="23"/>
      <c r="O3650" s="17"/>
      <c r="P3650" s="17"/>
      <c r="Q3650" s="17"/>
      <c r="R3650" s="17"/>
      <c r="S3650" s="17"/>
      <c r="T3650" s="17"/>
    </row>
    <row r="3651">
      <c r="A3651" s="18">
        <v>4738.0</v>
      </c>
      <c r="B3651" s="12" t="s">
        <v>84</v>
      </c>
      <c r="C3651" s="12" t="s">
        <v>27</v>
      </c>
      <c r="D3651" s="20" t="s">
        <v>28</v>
      </c>
      <c r="E3651" s="12" t="str">
        <f>IFERROR(__xludf.DUMMYFUNCTION("FILTER(colegios!$B$2:$B5618,colegios!$A$2:$A5618=L3651)"),"RAMON CASTILLA MARQUEZADO")</f>
        <v>RAMON CASTILLA MARQUEZADO</v>
      </c>
      <c r="F3651" s="14" t="s">
        <v>16</v>
      </c>
      <c r="G3651" s="20" t="s">
        <v>21</v>
      </c>
      <c r="H3651" s="14" t="s">
        <v>18</v>
      </c>
      <c r="I3651" s="15">
        <v>2022.0</v>
      </c>
      <c r="J3651" s="16" t="str">
        <f>IFERROR(__xludf.DUMMYFUNCTION("FILTER('CLASFICACIÓN'!$F$3:$F5618,'CLASFICACIÓN'!$G$3:$G5618=M3651)"),"SOLO LINEA BASE")</f>
        <v>SOLO LINEA BASE</v>
      </c>
      <c r="K3651" s="16" t="str">
        <f t="array" ref="K3651">IFERROR(DGET('PADD-R'!$B$1:$K5618,'PADD-R'!$K$1,{'PADD-R'!$B$1;E3651}),"NO PARTICIPÓ")</f>
        <v>NO PARTICIPÓ</v>
      </c>
      <c r="L3651" s="14" t="s">
        <v>173</v>
      </c>
      <c r="M3651" s="16" t="str">
        <f t="shared" si="1"/>
        <v>RAMON CASTILLA MARQUEZADO2 Secundaria</v>
      </c>
      <c r="N3651" s="23"/>
      <c r="O3651" s="17"/>
      <c r="P3651" s="17"/>
      <c r="Q3651" s="17"/>
      <c r="R3651" s="17"/>
      <c r="S3651" s="17"/>
      <c r="T3651" s="17"/>
    </row>
    <row r="3652">
      <c r="A3652" s="18">
        <v>4739.0</v>
      </c>
      <c r="B3652" s="12" t="s">
        <v>84</v>
      </c>
      <c r="C3652" s="12" t="s">
        <v>27</v>
      </c>
      <c r="D3652" s="20" t="s">
        <v>28</v>
      </c>
      <c r="E3652" s="12" t="str">
        <f>IFERROR(__xludf.DUMMYFUNCTION("FILTER(colegios!$B$2:$B5618,colegios!$A$2:$A5618=L3652)"),"RAMON CASTILLA MARQUEZADO")</f>
        <v>RAMON CASTILLA MARQUEZADO</v>
      </c>
      <c r="F3652" s="14" t="s">
        <v>16</v>
      </c>
      <c r="G3652" s="20" t="s">
        <v>21</v>
      </c>
      <c r="H3652" s="14" t="s">
        <v>18</v>
      </c>
      <c r="I3652" s="15">
        <v>2022.0</v>
      </c>
      <c r="J3652" s="16" t="str">
        <f>IFERROR(__xludf.DUMMYFUNCTION("FILTER('CLASFICACIÓN'!$F$3:$F5618,'CLASFICACIÓN'!$G$3:$G5618=M3652)"),"SOLO LINEA BASE")</f>
        <v>SOLO LINEA BASE</v>
      </c>
      <c r="K3652" s="16" t="str">
        <f t="array" ref="K3652">IFERROR(DGET('PADD-R'!$B$1:$K5618,'PADD-R'!$K$1,{'PADD-R'!$B$1;E3652}),"NO PARTICIPÓ")</f>
        <v>NO PARTICIPÓ</v>
      </c>
      <c r="L3652" s="14" t="s">
        <v>173</v>
      </c>
      <c r="M3652" s="16" t="str">
        <f t="shared" si="1"/>
        <v>RAMON CASTILLA MARQUEZADO2 Secundaria</v>
      </c>
      <c r="N3652" s="23"/>
      <c r="O3652" s="17"/>
      <c r="P3652" s="17"/>
      <c r="Q3652" s="17"/>
      <c r="R3652" s="17"/>
      <c r="S3652" s="17"/>
      <c r="T3652" s="17"/>
    </row>
    <row r="3653">
      <c r="A3653" s="18">
        <v>4740.0</v>
      </c>
      <c r="B3653" s="12" t="s">
        <v>84</v>
      </c>
      <c r="C3653" s="12" t="s">
        <v>27</v>
      </c>
      <c r="D3653" s="20" t="s">
        <v>28</v>
      </c>
      <c r="E3653" s="12" t="str">
        <f>IFERROR(__xludf.DUMMYFUNCTION("FILTER(colegios!$B$2:$B5618,colegios!$A$2:$A5618=L3653)"),"RAMON CASTILLA MARQUEZADO")</f>
        <v>RAMON CASTILLA MARQUEZADO</v>
      </c>
      <c r="F3653" s="14" t="s">
        <v>16</v>
      </c>
      <c r="G3653" s="20" t="s">
        <v>21</v>
      </c>
      <c r="H3653" s="14" t="s">
        <v>18</v>
      </c>
      <c r="I3653" s="15">
        <v>2022.0</v>
      </c>
      <c r="J3653" s="16" t="str">
        <f>IFERROR(__xludf.DUMMYFUNCTION("FILTER('CLASFICACIÓN'!$F$3:$F5618,'CLASFICACIÓN'!$G$3:$G5618=M3653)"),"SOLO LINEA BASE")</f>
        <v>SOLO LINEA BASE</v>
      </c>
      <c r="K3653" s="16" t="str">
        <f t="array" ref="K3653">IFERROR(DGET('PADD-R'!$B$1:$K5618,'PADD-R'!$K$1,{'PADD-R'!$B$1;E3653}),"NO PARTICIPÓ")</f>
        <v>NO PARTICIPÓ</v>
      </c>
      <c r="L3653" s="14" t="s">
        <v>173</v>
      </c>
      <c r="M3653" s="16" t="str">
        <f t="shared" si="1"/>
        <v>RAMON CASTILLA MARQUEZADO2 Secundaria</v>
      </c>
      <c r="N3653" s="23"/>
      <c r="O3653" s="17"/>
      <c r="P3653" s="17"/>
      <c r="Q3653" s="17"/>
      <c r="R3653" s="17"/>
      <c r="S3653" s="17"/>
      <c r="T3653" s="17"/>
    </row>
    <row r="3654">
      <c r="A3654" s="18">
        <v>4741.0</v>
      </c>
      <c r="B3654" s="12" t="s">
        <v>84</v>
      </c>
      <c r="C3654" s="12" t="s">
        <v>27</v>
      </c>
      <c r="D3654" s="20" t="s">
        <v>28</v>
      </c>
      <c r="E3654" s="12" t="str">
        <f>IFERROR(__xludf.DUMMYFUNCTION("FILTER(colegios!$B$2:$B5618,colegios!$A$2:$A5618=L3654)"),"RAMON CASTILLA MARQUEZADO")</f>
        <v>RAMON CASTILLA MARQUEZADO</v>
      </c>
      <c r="F3654" s="14" t="s">
        <v>16</v>
      </c>
      <c r="G3654" s="20" t="s">
        <v>17</v>
      </c>
      <c r="H3654" s="14" t="s">
        <v>18</v>
      </c>
      <c r="I3654" s="15">
        <v>2022.0</v>
      </c>
      <c r="J3654" s="16" t="str">
        <f>IFERROR(__xludf.DUMMYFUNCTION("FILTER('CLASFICACIÓN'!$F$3:$F5618,'CLASFICACIÓN'!$G$3:$G5618=M3654)"),"SOLO LINEA BASE")</f>
        <v>SOLO LINEA BASE</v>
      </c>
      <c r="K3654" s="16" t="str">
        <f t="array" ref="K3654">IFERROR(DGET('PADD-R'!$B$1:$K5618,'PADD-R'!$K$1,{'PADD-R'!$B$1;E3654}),"NO PARTICIPÓ")</f>
        <v>NO PARTICIPÓ</v>
      </c>
      <c r="L3654" s="14" t="s">
        <v>173</v>
      </c>
      <c r="M3654" s="16" t="str">
        <f t="shared" si="1"/>
        <v>RAMON CASTILLA MARQUEZADO2 Secundaria</v>
      </c>
      <c r="N3654" s="23"/>
      <c r="O3654" s="17"/>
      <c r="P3654" s="17"/>
      <c r="Q3654" s="17"/>
      <c r="R3654" s="17"/>
      <c r="S3654" s="17"/>
      <c r="T3654" s="17"/>
    </row>
    <row r="3655">
      <c r="A3655" s="18">
        <v>4742.0</v>
      </c>
      <c r="B3655" s="12" t="s">
        <v>84</v>
      </c>
      <c r="C3655" s="12" t="s">
        <v>27</v>
      </c>
      <c r="D3655" s="20" t="s">
        <v>28</v>
      </c>
      <c r="E3655" s="12" t="str">
        <f>IFERROR(__xludf.DUMMYFUNCTION("FILTER(colegios!$B$2:$B5618,colegios!$A$2:$A5618=L3655)"),"RAMON CASTILLA MARQUEZADO")</f>
        <v>RAMON CASTILLA MARQUEZADO</v>
      </c>
      <c r="F3655" s="14" t="s">
        <v>16</v>
      </c>
      <c r="G3655" s="20" t="s">
        <v>17</v>
      </c>
      <c r="H3655" s="14" t="s">
        <v>18</v>
      </c>
      <c r="I3655" s="15">
        <v>2022.0</v>
      </c>
      <c r="J3655" s="16" t="str">
        <f>IFERROR(__xludf.DUMMYFUNCTION("FILTER('CLASFICACIÓN'!$F$3:$F5618,'CLASFICACIÓN'!$G$3:$G5618=M3655)"),"SOLO LINEA BASE")</f>
        <v>SOLO LINEA BASE</v>
      </c>
      <c r="K3655" s="16" t="str">
        <f t="array" ref="K3655">IFERROR(DGET('PADD-R'!$B$1:$K5618,'PADD-R'!$K$1,{'PADD-R'!$B$1;E3655}),"NO PARTICIPÓ")</f>
        <v>NO PARTICIPÓ</v>
      </c>
      <c r="L3655" s="14" t="s">
        <v>173</v>
      </c>
      <c r="M3655" s="16" t="str">
        <f t="shared" si="1"/>
        <v>RAMON CASTILLA MARQUEZADO2 Secundaria</v>
      </c>
      <c r="N3655" s="23"/>
      <c r="O3655" s="17"/>
      <c r="P3655" s="17"/>
      <c r="Q3655" s="17"/>
      <c r="R3655" s="17"/>
      <c r="S3655" s="17"/>
      <c r="T3655" s="17"/>
    </row>
    <row r="3656">
      <c r="A3656" s="18">
        <v>4743.0</v>
      </c>
      <c r="B3656" s="12" t="s">
        <v>84</v>
      </c>
      <c r="C3656" s="12" t="s">
        <v>27</v>
      </c>
      <c r="D3656" s="20" t="s">
        <v>28</v>
      </c>
      <c r="E3656" s="12" t="str">
        <f>IFERROR(__xludf.DUMMYFUNCTION("FILTER(colegios!$B$2:$B5618,colegios!$A$2:$A5618=L3656)"),"RAMON CASTILLA MARQUEZADO")</f>
        <v>RAMON CASTILLA MARQUEZADO</v>
      </c>
      <c r="F3656" s="14" t="s">
        <v>16</v>
      </c>
      <c r="G3656" s="20" t="s">
        <v>17</v>
      </c>
      <c r="H3656" s="14" t="s">
        <v>18</v>
      </c>
      <c r="I3656" s="15">
        <v>2022.0</v>
      </c>
      <c r="J3656" s="16" t="str">
        <f>IFERROR(__xludf.DUMMYFUNCTION("FILTER('CLASFICACIÓN'!$F$3:$F5618,'CLASFICACIÓN'!$G$3:$G5618=M3656)"),"SOLO LINEA BASE")</f>
        <v>SOLO LINEA BASE</v>
      </c>
      <c r="K3656" s="16" t="str">
        <f t="array" ref="K3656">IFERROR(DGET('PADD-R'!$B$1:$K5618,'PADD-R'!$K$1,{'PADD-R'!$B$1;E3656}),"NO PARTICIPÓ")</f>
        <v>NO PARTICIPÓ</v>
      </c>
      <c r="L3656" s="14" t="s">
        <v>173</v>
      </c>
      <c r="M3656" s="16" t="str">
        <f t="shared" si="1"/>
        <v>RAMON CASTILLA MARQUEZADO2 Secundaria</v>
      </c>
      <c r="N3656" s="23"/>
      <c r="O3656" s="17"/>
      <c r="P3656" s="17"/>
      <c r="Q3656" s="17"/>
      <c r="R3656" s="17"/>
      <c r="S3656" s="17"/>
      <c r="T3656" s="17"/>
    </row>
    <row r="3657">
      <c r="A3657" s="18">
        <v>4744.0</v>
      </c>
      <c r="B3657" s="12" t="s">
        <v>84</v>
      </c>
      <c r="C3657" s="12" t="s">
        <v>27</v>
      </c>
      <c r="D3657" s="20" t="s">
        <v>28</v>
      </c>
      <c r="E3657" s="12" t="str">
        <f>IFERROR(__xludf.DUMMYFUNCTION("FILTER(colegios!$B$2:$B5618,colegios!$A$2:$A5618=L3657)"),"RAMON CASTILLA MARQUEZADO")</f>
        <v>RAMON CASTILLA MARQUEZADO</v>
      </c>
      <c r="F3657" s="14" t="s">
        <v>16</v>
      </c>
      <c r="G3657" s="20" t="s">
        <v>17</v>
      </c>
      <c r="H3657" s="14" t="s">
        <v>18</v>
      </c>
      <c r="I3657" s="15">
        <v>2022.0</v>
      </c>
      <c r="J3657" s="16" t="str">
        <f>IFERROR(__xludf.DUMMYFUNCTION("FILTER('CLASFICACIÓN'!$F$3:$F5618,'CLASFICACIÓN'!$G$3:$G5618=M3657)"),"SOLO LINEA BASE")</f>
        <v>SOLO LINEA BASE</v>
      </c>
      <c r="K3657" s="16" t="str">
        <f t="array" ref="K3657">IFERROR(DGET('PADD-R'!$B$1:$K5618,'PADD-R'!$K$1,{'PADD-R'!$B$1;E3657}),"NO PARTICIPÓ")</f>
        <v>NO PARTICIPÓ</v>
      </c>
      <c r="L3657" s="14" t="s">
        <v>173</v>
      </c>
      <c r="M3657" s="16" t="str">
        <f t="shared" si="1"/>
        <v>RAMON CASTILLA MARQUEZADO2 Secundaria</v>
      </c>
      <c r="N3657" s="23"/>
      <c r="O3657" s="17"/>
      <c r="P3657" s="17"/>
      <c r="Q3657" s="17"/>
      <c r="R3657" s="17"/>
      <c r="S3657" s="17"/>
      <c r="T3657" s="17"/>
    </row>
    <row r="3658">
      <c r="A3658" s="18">
        <v>4745.0</v>
      </c>
      <c r="B3658" s="12" t="s">
        <v>84</v>
      </c>
      <c r="C3658" s="12" t="s">
        <v>27</v>
      </c>
      <c r="D3658" s="20" t="s">
        <v>28</v>
      </c>
      <c r="E3658" s="12" t="str">
        <f>IFERROR(__xludf.DUMMYFUNCTION("FILTER(colegios!$B$2:$B5618,colegios!$A$2:$A5618=L3658)"),"RAMON CASTILLA MARQUEZADO")</f>
        <v>RAMON CASTILLA MARQUEZADO</v>
      </c>
      <c r="F3658" s="14" t="s">
        <v>16</v>
      </c>
      <c r="G3658" s="20" t="s">
        <v>21</v>
      </c>
      <c r="H3658" s="14" t="s">
        <v>18</v>
      </c>
      <c r="I3658" s="15">
        <v>2022.0</v>
      </c>
      <c r="J3658" s="16" t="str">
        <f>IFERROR(__xludf.DUMMYFUNCTION("FILTER('CLASFICACIÓN'!$F$3:$F5618,'CLASFICACIÓN'!$G$3:$G5618=M3658)"),"SOLO LINEA BASE")</f>
        <v>SOLO LINEA BASE</v>
      </c>
      <c r="K3658" s="16" t="str">
        <f t="array" ref="K3658">IFERROR(DGET('PADD-R'!$B$1:$K5618,'PADD-R'!$K$1,{'PADD-R'!$B$1;E3658}),"NO PARTICIPÓ")</f>
        <v>NO PARTICIPÓ</v>
      </c>
      <c r="L3658" s="14" t="s">
        <v>173</v>
      </c>
      <c r="M3658" s="16" t="str">
        <f t="shared" si="1"/>
        <v>RAMON CASTILLA MARQUEZADO2 Secundaria</v>
      </c>
      <c r="N3658" s="23"/>
      <c r="O3658" s="17"/>
      <c r="P3658" s="17"/>
      <c r="Q3658" s="17"/>
      <c r="R3658" s="17"/>
      <c r="S3658" s="17"/>
      <c r="T3658" s="17"/>
    </row>
    <row r="3659">
      <c r="A3659" s="18">
        <v>4746.0</v>
      </c>
      <c r="B3659" s="12" t="s">
        <v>84</v>
      </c>
      <c r="C3659" s="12" t="s">
        <v>27</v>
      </c>
      <c r="D3659" s="20" t="s">
        <v>28</v>
      </c>
      <c r="E3659" s="12" t="str">
        <f>IFERROR(__xludf.DUMMYFUNCTION("FILTER(colegios!$B$2:$B5618,colegios!$A$2:$A5618=L3659)"),"RAMON CASTILLA MARQUEZADO")</f>
        <v>RAMON CASTILLA MARQUEZADO</v>
      </c>
      <c r="F3659" s="14" t="s">
        <v>16</v>
      </c>
      <c r="G3659" s="20" t="s">
        <v>17</v>
      </c>
      <c r="H3659" s="14" t="s">
        <v>18</v>
      </c>
      <c r="I3659" s="15">
        <v>2022.0</v>
      </c>
      <c r="J3659" s="16" t="str">
        <f>IFERROR(__xludf.DUMMYFUNCTION("FILTER('CLASFICACIÓN'!$F$3:$F5618,'CLASFICACIÓN'!$G$3:$G5618=M3659)"),"SOLO LINEA BASE")</f>
        <v>SOLO LINEA BASE</v>
      </c>
      <c r="K3659" s="16" t="str">
        <f t="array" ref="K3659">IFERROR(DGET('PADD-R'!$B$1:$K5618,'PADD-R'!$K$1,{'PADD-R'!$B$1;E3659}),"NO PARTICIPÓ")</f>
        <v>NO PARTICIPÓ</v>
      </c>
      <c r="L3659" s="14" t="s">
        <v>173</v>
      </c>
      <c r="M3659" s="16" t="str">
        <f t="shared" si="1"/>
        <v>RAMON CASTILLA MARQUEZADO2 Secundaria</v>
      </c>
      <c r="N3659" s="23"/>
      <c r="O3659" s="17"/>
      <c r="P3659" s="17"/>
      <c r="Q3659" s="17"/>
      <c r="R3659" s="17"/>
      <c r="S3659" s="17"/>
      <c r="T3659" s="17"/>
    </row>
    <row r="3660">
      <c r="A3660" s="18">
        <v>4747.0</v>
      </c>
      <c r="B3660" s="12" t="s">
        <v>84</v>
      </c>
      <c r="C3660" s="12" t="s">
        <v>27</v>
      </c>
      <c r="D3660" s="20" t="s">
        <v>28</v>
      </c>
      <c r="E3660" s="12" t="str">
        <f>IFERROR(__xludf.DUMMYFUNCTION("FILTER(colegios!$B$2:$B5618,colegios!$A$2:$A5618=L3660)"),"RAMON CASTILLA MARQUEZADO")</f>
        <v>RAMON CASTILLA MARQUEZADO</v>
      </c>
      <c r="F3660" s="14" t="s">
        <v>16</v>
      </c>
      <c r="G3660" s="20" t="s">
        <v>21</v>
      </c>
      <c r="H3660" s="14" t="s">
        <v>18</v>
      </c>
      <c r="I3660" s="15">
        <v>2022.0</v>
      </c>
      <c r="J3660" s="16" t="str">
        <f>IFERROR(__xludf.DUMMYFUNCTION("FILTER('CLASFICACIÓN'!$F$3:$F5618,'CLASFICACIÓN'!$G$3:$G5618=M3660)"),"SOLO LINEA BASE")</f>
        <v>SOLO LINEA BASE</v>
      </c>
      <c r="K3660" s="16" t="str">
        <f t="array" ref="K3660">IFERROR(DGET('PADD-R'!$B$1:$K5618,'PADD-R'!$K$1,{'PADD-R'!$B$1;E3660}),"NO PARTICIPÓ")</f>
        <v>NO PARTICIPÓ</v>
      </c>
      <c r="L3660" s="14" t="s">
        <v>173</v>
      </c>
      <c r="M3660" s="16" t="str">
        <f t="shared" si="1"/>
        <v>RAMON CASTILLA MARQUEZADO2 Secundaria</v>
      </c>
      <c r="N3660" s="23"/>
      <c r="O3660" s="17"/>
      <c r="P3660" s="17"/>
      <c r="Q3660" s="17"/>
      <c r="R3660" s="17"/>
      <c r="S3660" s="17"/>
      <c r="T3660" s="17"/>
    </row>
    <row r="3661">
      <c r="A3661" s="18">
        <v>4748.0</v>
      </c>
      <c r="B3661" s="12" t="s">
        <v>84</v>
      </c>
      <c r="C3661" s="12" t="s">
        <v>27</v>
      </c>
      <c r="D3661" s="20" t="s">
        <v>28</v>
      </c>
      <c r="E3661" s="12" t="str">
        <f>IFERROR(__xludf.DUMMYFUNCTION("FILTER(colegios!$B$2:$B5618,colegios!$A$2:$A5618=L3661)"),"RAMON CASTILLA MARQUEZADO")</f>
        <v>RAMON CASTILLA MARQUEZADO</v>
      </c>
      <c r="F3661" s="14" t="s">
        <v>16</v>
      </c>
      <c r="G3661" s="20" t="s">
        <v>21</v>
      </c>
      <c r="H3661" s="14" t="s">
        <v>18</v>
      </c>
      <c r="I3661" s="15">
        <v>2022.0</v>
      </c>
      <c r="J3661" s="16" t="str">
        <f>IFERROR(__xludf.DUMMYFUNCTION("FILTER('CLASFICACIÓN'!$F$3:$F5618,'CLASFICACIÓN'!$G$3:$G5618=M3661)"),"SOLO LINEA BASE")</f>
        <v>SOLO LINEA BASE</v>
      </c>
      <c r="K3661" s="16" t="str">
        <f t="array" ref="K3661">IFERROR(DGET('PADD-R'!$B$1:$K5618,'PADD-R'!$K$1,{'PADD-R'!$B$1;E3661}),"NO PARTICIPÓ")</f>
        <v>NO PARTICIPÓ</v>
      </c>
      <c r="L3661" s="14" t="s">
        <v>173</v>
      </c>
      <c r="M3661" s="16" t="str">
        <f t="shared" si="1"/>
        <v>RAMON CASTILLA MARQUEZADO2 Secundaria</v>
      </c>
      <c r="N3661" s="23"/>
      <c r="O3661" s="17"/>
      <c r="P3661" s="17"/>
      <c r="Q3661" s="17"/>
      <c r="R3661" s="17"/>
      <c r="S3661" s="17"/>
      <c r="T3661" s="17"/>
    </row>
    <row r="3662">
      <c r="A3662" s="18">
        <v>4749.0</v>
      </c>
      <c r="B3662" s="12" t="s">
        <v>84</v>
      </c>
      <c r="C3662" s="12" t="s">
        <v>27</v>
      </c>
      <c r="D3662" s="20" t="s">
        <v>28</v>
      </c>
      <c r="E3662" s="12" t="str">
        <f>IFERROR(__xludf.DUMMYFUNCTION("FILTER(colegios!$B$2:$B5618,colegios!$A$2:$A5618=L3662)"),"RAMON CASTILLA MARQUEZADO")</f>
        <v>RAMON CASTILLA MARQUEZADO</v>
      </c>
      <c r="F3662" s="14" t="s">
        <v>16</v>
      </c>
      <c r="G3662" s="20" t="s">
        <v>17</v>
      </c>
      <c r="H3662" s="14" t="s">
        <v>18</v>
      </c>
      <c r="I3662" s="15">
        <v>2022.0</v>
      </c>
      <c r="J3662" s="16" t="str">
        <f>IFERROR(__xludf.DUMMYFUNCTION("FILTER('CLASFICACIÓN'!$F$3:$F5618,'CLASFICACIÓN'!$G$3:$G5618=M3662)"),"SOLO LINEA BASE")</f>
        <v>SOLO LINEA BASE</v>
      </c>
      <c r="K3662" s="16" t="str">
        <f t="array" ref="K3662">IFERROR(DGET('PADD-R'!$B$1:$K5618,'PADD-R'!$K$1,{'PADD-R'!$B$1;E3662}),"NO PARTICIPÓ")</f>
        <v>NO PARTICIPÓ</v>
      </c>
      <c r="L3662" s="14" t="s">
        <v>173</v>
      </c>
      <c r="M3662" s="16" t="str">
        <f t="shared" si="1"/>
        <v>RAMON CASTILLA MARQUEZADO2 Secundaria</v>
      </c>
      <c r="N3662" s="23"/>
      <c r="O3662" s="17"/>
      <c r="P3662" s="17"/>
      <c r="Q3662" s="17"/>
      <c r="R3662" s="17"/>
      <c r="S3662" s="17"/>
      <c r="T3662" s="17"/>
    </row>
    <row r="3663">
      <c r="A3663" s="18">
        <v>4750.0</v>
      </c>
      <c r="B3663" s="12" t="s">
        <v>84</v>
      </c>
      <c r="C3663" s="12" t="s">
        <v>27</v>
      </c>
      <c r="D3663" s="20" t="s">
        <v>28</v>
      </c>
      <c r="E3663" s="12" t="str">
        <f>IFERROR(__xludf.DUMMYFUNCTION("FILTER(colegios!$B$2:$B5618,colegios!$A$2:$A5618=L3663)"),"RAMON CASTILLA MARQUEZADO")</f>
        <v>RAMON CASTILLA MARQUEZADO</v>
      </c>
      <c r="F3663" s="14" t="s">
        <v>16</v>
      </c>
      <c r="G3663" s="20" t="s">
        <v>21</v>
      </c>
      <c r="H3663" s="14" t="s">
        <v>18</v>
      </c>
      <c r="I3663" s="15">
        <v>2022.0</v>
      </c>
      <c r="J3663" s="16" t="str">
        <f>IFERROR(__xludf.DUMMYFUNCTION("FILTER('CLASFICACIÓN'!$F$3:$F5618,'CLASFICACIÓN'!$G$3:$G5618=M3663)"),"SOLO LINEA BASE")</f>
        <v>SOLO LINEA BASE</v>
      </c>
      <c r="K3663" s="16" t="str">
        <f t="array" ref="K3663">IFERROR(DGET('PADD-R'!$B$1:$K5618,'PADD-R'!$K$1,{'PADD-R'!$B$1;E3663}),"NO PARTICIPÓ")</f>
        <v>NO PARTICIPÓ</v>
      </c>
      <c r="L3663" s="14" t="s">
        <v>173</v>
      </c>
      <c r="M3663" s="16" t="str">
        <f t="shared" si="1"/>
        <v>RAMON CASTILLA MARQUEZADO2 Secundaria</v>
      </c>
      <c r="N3663" s="23"/>
      <c r="O3663" s="17"/>
      <c r="P3663" s="17"/>
      <c r="Q3663" s="17"/>
      <c r="R3663" s="17"/>
      <c r="S3663" s="17"/>
      <c r="T3663" s="17"/>
    </row>
    <row r="3664">
      <c r="A3664" s="18">
        <v>4751.0</v>
      </c>
      <c r="B3664" s="12" t="s">
        <v>84</v>
      </c>
      <c r="C3664" s="12" t="s">
        <v>27</v>
      </c>
      <c r="D3664" s="20" t="s">
        <v>28</v>
      </c>
      <c r="E3664" s="12" t="str">
        <f>IFERROR(__xludf.DUMMYFUNCTION("FILTER(colegios!$B$2:$B5618,colegios!$A$2:$A5618=L3664)"),"RAMON CASTILLA MARQUEZADO")</f>
        <v>RAMON CASTILLA MARQUEZADO</v>
      </c>
      <c r="F3664" s="14" t="s">
        <v>16</v>
      </c>
      <c r="G3664" s="20" t="s">
        <v>21</v>
      </c>
      <c r="H3664" s="14" t="s">
        <v>18</v>
      </c>
      <c r="I3664" s="15">
        <v>2022.0</v>
      </c>
      <c r="J3664" s="16" t="str">
        <f>IFERROR(__xludf.DUMMYFUNCTION("FILTER('CLASFICACIÓN'!$F$3:$F5618,'CLASFICACIÓN'!$G$3:$G5618=M3664)"),"SOLO LINEA BASE")</f>
        <v>SOLO LINEA BASE</v>
      </c>
      <c r="K3664" s="16" t="str">
        <f t="array" ref="K3664">IFERROR(DGET('PADD-R'!$B$1:$K5618,'PADD-R'!$K$1,{'PADD-R'!$B$1;E3664}),"NO PARTICIPÓ")</f>
        <v>NO PARTICIPÓ</v>
      </c>
      <c r="L3664" s="14" t="s">
        <v>173</v>
      </c>
      <c r="M3664" s="16" t="str">
        <f t="shared" si="1"/>
        <v>RAMON CASTILLA MARQUEZADO2 Secundaria</v>
      </c>
      <c r="N3664" s="23"/>
      <c r="O3664" s="17"/>
      <c r="P3664" s="17"/>
      <c r="Q3664" s="17"/>
      <c r="R3664" s="17"/>
      <c r="S3664" s="17"/>
      <c r="T3664" s="17"/>
    </row>
    <row r="3665">
      <c r="A3665" s="18">
        <v>4752.0</v>
      </c>
      <c r="B3665" s="12" t="s">
        <v>84</v>
      </c>
      <c r="C3665" s="12" t="s">
        <v>27</v>
      </c>
      <c r="D3665" s="20" t="s">
        <v>28</v>
      </c>
      <c r="E3665" s="12" t="str">
        <f>IFERROR(__xludf.DUMMYFUNCTION("FILTER(colegios!$B$2:$B5618,colegios!$A$2:$A5618=L3665)"),"RAMON CASTILLA MARQUEZADO")</f>
        <v>RAMON CASTILLA MARQUEZADO</v>
      </c>
      <c r="F3665" s="14" t="s">
        <v>16</v>
      </c>
      <c r="G3665" s="20" t="s">
        <v>21</v>
      </c>
      <c r="H3665" s="14" t="s">
        <v>18</v>
      </c>
      <c r="I3665" s="15">
        <v>2022.0</v>
      </c>
      <c r="J3665" s="16" t="str">
        <f>IFERROR(__xludf.DUMMYFUNCTION("FILTER('CLASFICACIÓN'!$F$3:$F5618,'CLASFICACIÓN'!$G$3:$G5618=M3665)"),"SOLO LINEA BASE")</f>
        <v>SOLO LINEA BASE</v>
      </c>
      <c r="K3665" s="16" t="str">
        <f t="array" ref="K3665">IFERROR(DGET('PADD-R'!$B$1:$K5618,'PADD-R'!$K$1,{'PADD-R'!$B$1;E3665}),"NO PARTICIPÓ")</f>
        <v>NO PARTICIPÓ</v>
      </c>
      <c r="L3665" s="14" t="s">
        <v>173</v>
      </c>
      <c r="M3665" s="16" t="str">
        <f t="shared" si="1"/>
        <v>RAMON CASTILLA MARQUEZADO2 Secundaria</v>
      </c>
      <c r="N3665" s="23"/>
      <c r="O3665" s="17"/>
      <c r="P3665" s="17"/>
      <c r="Q3665" s="17"/>
      <c r="R3665" s="17"/>
      <c r="S3665" s="17"/>
      <c r="T3665" s="17"/>
    </row>
    <row r="3666">
      <c r="A3666" s="18">
        <v>4753.0</v>
      </c>
      <c r="B3666" s="12" t="s">
        <v>84</v>
      </c>
      <c r="C3666" s="12" t="s">
        <v>27</v>
      </c>
      <c r="D3666" s="20" t="s">
        <v>28</v>
      </c>
      <c r="E3666" s="12" t="str">
        <f>IFERROR(__xludf.DUMMYFUNCTION("FILTER(colegios!$B$2:$B5618,colegios!$A$2:$A5618=L3666)"),"RAMON CASTILLA MARQUEZADO")</f>
        <v>RAMON CASTILLA MARQUEZADO</v>
      </c>
      <c r="F3666" s="14" t="s">
        <v>16</v>
      </c>
      <c r="G3666" s="20" t="s">
        <v>21</v>
      </c>
      <c r="H3666" s="14" t="s">
        <v>18</v>
      </c>
      <c r="I3666" s="15">
        <v>2022.0</v>
      </c>
      <c r="J3666" s="16" t="str">
        <f>IFERROR(__xludf.DUMMYFUNCTION("FILTER('CLASFICACIÓN'!$F$3:$F5618,'CLASFICACIÓN'!$G$3:$G5618=M3666)"),"SOLO LINEA BASE")</f>
        <v>SOLO LINEA BASE</v>
      </c>
      <c r="K3666" s="16" t="str">
        <f t="array" ref="K3666">IFERROR(DGET('PADD-R'!$B$1:$K5618,'PADD-R'!$K$1,{'PADD-R'!$B$1;E3666}),"NO PARTICIPÓ")</f>
        <v>NO PARTICIPÓ</v>
      </c>
      <c r="L3666" s="14" t="s">
        <v>173</v>
      </c>
      <c r="M3666" s="16" t="str">
        <f t="shared" si="1"/>
        <v>RAMON CASTILLA MARQUEZADO2 Secundaria</v>
      </c>
      <c r="N3666" s="23"/>
      <c r="O3666" s="17"/>
      <c r="P3666" s="17"/>
      <c r="Q3666" s="17"/>
      <c r="R3666" s="17"/>
      <c r="S3666" s="17"/>
      <c r="T3666" s="17"/>
    </row>
    <row r="3667">
      <c r="A3667" s="18">
        <v>4754.0</v>
      </c>
      <c r="B3667" s="12" t="s">
        <v>84</v>
      </c>
      <c r="C3667" s="12" t="s">
        <v>27</v>
      </c>
      <c r="D3667" s="20" t="s">
        <v>28</v>
      </c>
      <c r="E3667" s="12" t="str">
        <f>IFERROR(__xludf.DUMMYFUNCTION("FILTER(colegios!$B$2:$B5618,colegios!$A$2:$A5618=L3667)"),"RAMON CASTILLA MARQUEZADO")</f>
        <v>RAMON CASTILLA MARQUEZADO</v>
      </c>
      <c r="F3667" s="14" t="s">
        <v>16</v>
      </c>
      <c r="G3667" s="20" t="s">
        <v>17</v>
      </c>
      <c r="H3667" s="14" t="s">
        <v>18</v>
      </c>
      <c r="I3667" s="15">
        <v>2022.0</v>
      </c>
      <c r="J3667" s="16" t="str">
        <f>IFERROR(__xludf.DUMMYFUNCTION("FILTER('CLASFICACIÓN'!$F$3:$F5618,'CLASFICACIÓN'!$G$3:$G5618=M3667)"),"SOLO LINEA BASE")</f>
        <v>SOLO LINEA BASE</v>
      </c>
      <c r="K3667" s="16" t="str">
        <f t="array" ref="K3667">IFERROR(DGET('PADD-R'!$B$1:$K5618,'PADD-R'!$K$1,{'PADD-R'!$B$1;E3667}),"NO PARTICIPÓ")</f>
        <v>NO PARTICIPÓ</v>
      </c>
      <c r="L3667" s="14" t="s">
        <v>173</v>
      </c>
      <c r="M3667" s="16" t="str">
        <f t="shared" si="1"/>
        <v>RAMON CASTILLA MARQUEZADO2 Secundaria</v>
      </c>
      <c r="N3667" s="23"/>
      <c r="O3667" s="17"/>
      <c r="P3667" s="17"/>
      <c r="Q3667" s="17"/>
      <c r="R3667" s="17"/>
      <c r="S3667" s="17"/>
      <c r="T3667" s="17"/>
    </row>
    <row r="3668">
      <c r="A3668" s="18">
        <v>4755.0</v>
      </c>
      <c r="B3668" s="12" t="s">
        <v>84</v>
      </c>
      <c r="C3668" s="12" t="s">
        <v>27</v>
      </c>
      <c r="D3668" s="20" t="s">
        <v>28</v>
      </c>
      <c r="E3668" s="12" t="str">
        <f>IFERROR(__xludf.DUMMYFUNCTION("FILTER(colegios!$B$2:$B5618,colegios!$A$2:$A5618=L3668)"),"RAMON CASTILLA MARQUEZADO")</f>
        <v>RAMON CASTILLA MARQUEZADO</v>
      </c>
      <c r="F3668" s="14" t="s">
        <v>16</v>
      </c>
      <c r="G3668" s="20" t="s">
        <v>17</v>
      </c>
      <c r="H3668" s="14" t="s">
        <v>18</v>
      </c>
      <c r="I3668" s="15">
        <v>2022.0</v>
      </c>
      <c r="J3668" s="16" t="str">
        <f>IFERROR(__xludf.DUMMYFUNCTION("FILTER('CLASFICACIÓN'!$F$3:$F5618,'CLASFICACIÓN'!$G$3:$G5618=M3668)"),"SOLO LINEA BASE")</f>
        <v>SOLO LINEA BASE</v>
      </c>
      <c r="K3668" s="16" t="str">
        <f t="array" ref="K3668">IFERROR(DGET('PADD-R'!$B$1:$K5618,'PADD-R'!$K$1,{'PADD-R'!$B$1;E3668}),"NO PARTICIPÓ")</f>
        <v>NO PARTICIPÓ</v>
      </c>
      <c r="L3668" s="14" t="s">
        <v>173</v>
      </c>
      <c r="M3668" s="16" t="str">
        <f t="shared" si="1"/>
        <v>RAMON CASTILLA MARQUEZADO2 Secundaria</v>
      </c>
      <c r="N3668" s="23"/>
      <c r="O3668" s="17"/>
      <c r="P3668" s="17"/>
      <c r="Q3668" s="17"/>
      <c r="R3668" s="17"/>
      <c r="S3668" s="17"/>
      <c r="T3668" s="17"/>
    </row>
    <row r="3669">
      <c r="A3669" s="18">
        <v>4756.0</v>
      </c>
      <c r="B3669" s="12" t="s">
        <v>84</v>
      </c>
      <c r="C3669" s="12" t="s">
        <v>27</v>
      </c>
      <c r="D3669" s="20" t="s">
        <v>30</v>
      </c>
      <c r="E3669" s="12" t="str">
        <f>IFERROR(__xludf.DUMMYFUNCTION("FILTER(colegios!$B$2:$B5618,colegios!$A$2:$A5618=L3669)"),"RAMON CASTILLA MARQUEZADO")</f>
        <v>RAMON CASTILLA MARQUEZADO</v>
      </c>
      <c r="F3669" s="14" t="s">
        <v>16</v>
      </c>
      <c r="G3669" s="20" t="s">
        <v>21</v>
      </c>
      <c r="H3669" s="14" t="s">
        <v>18</v>
      </c>
      <c r="I3669" s="15">
        <v>2022.0</v>
      </c>
      <c r="J3669" s="16" t="str">
        <f>IFERROR(__xludf.DUMMYFUNCTION("FILTER('CLASFICACIÓN'!$F$3:$F5618,'CLASFICACIÓN'!$G$3:$G5618=M3669)"),"SOLO LINEA BASE")</f>
        <v>SOLO LINEA BASE</v>
      </c>
      <c r="K3669" s="16" t="str">
        <f t="array" ref="K3669">IFERROR(DGET('PADD-R'!$B$1:$K5618,'PADD-R'!$K$1,{'PADD-R'!$B$1;E3669}),"NO PARTICIPÓ")</f>
        <v>NO PARTICIPÓ</v>
      </c>
      <c r="L3669" s="14" t="s">
        <v>174</v>
      </c>
      <c r="M3669" s="16" t="str">
        <f t="shared" si="1"/>
        <v>RAMON CASTILLA MARQUEZADO4 Secundaria</v>
      </c>
      <c r="N3669" s="23"/>
      <c r="O3669" s="17"/>
      <c r="P3669" s="17"/>
      <c r="Q3669" s="17"/>
      <c r="R3669" s="17"/>
      <c r="S3669" s="17"/>
      <c r="T3669" s="17"/>
    </row>
    <row r="3670">
      <c r="A3670" s="18">
        <v>4757.0</v>
      </c>
      <c r="B3670" s="12" t="s">
        <v>84</v>
      </c>
      <c r="C3670" s="12" t="s">
        <v>27</v>
      </c>
      <c r="D3670" s="20" t="s">
        <v>30</v>
      </c>
      <c r="E3670" s="12" t="str">
        <f>IFERROR(__xludf.DUMMYFUNCTION("FILTER(colegios!$B$2:$B5618,colegios!$A$2:$A5618=L3670)"),"RAMON CASTILLA MARQUEZADO")</f>
        <v>RAMON CASTILLA MARQUEZADO</v>
      </c>
      <c r="F3670" s="14" t="s">
        <v>16</v>
      </c>
      <c r="G3670" s="20" t="s">
        <v>21</v>
      </c>
      <c r="H3670" s="14" t="s">
        <v>18</v>
      </c>
      <c r="I3670" s="15">
        <v>2022.0</v>
      </c>
      <c r="J3670" s="16" t="str">
        <f>IFERROR(__xludf.DUMMYFUNCTION("FILTER('CLASFICACIÓN'!$F$3:$F5618,'CLASFICACIÓN'!$G$3:$G5618=M3670)"),"SOLO LINEA BASE")</f>
        <v>SOLO LINEA BASE</v>
      </c>
      <c r="K3670" s="16" t="str">
        <f t="array" ref="K3670">IFERROR(DGET('PADD-R'!$B$1:$K5618,'PADD-R'!$K$1,{'PADD-R'!$B$1;E3670}),"NO PARTICIPÓ")</f>
        <v>NO PARTICIPÓ</v>
      </c>
      <c r="L3670" s="14" t="s">
        <v>174</v>
      </c>
      <c r="M3670" s="16" t="str">
        <f t="shared" si="1"/>
        <v>RAMON CASTILLA MARQUEZADO4 Secundaria</v>
      </c>
      <c r="N3670" s="23"/>
      <c r="O3670" s="17"/>
      <c r="P3670" s="17"/>
      <c r="Q3670" s="17"/>
      <c r="R3670" s="17"/>
      <c r="S3670" s="17"/>
      <c r="T3670" s="17"/>
    </row>
    <row r="3671">
      <c r="A3671" s="18">
        <v>4758.0</v>
      </c>
      <c r="B3671" s="12" t="s">
        <v>84</v>
      </c>
      <c r="C3671" s="12" t="s">
        <v>27</v>
      </c>
      <c r="D3671" s="20" t="s">
        <v>30</v>
      </c>
      <c r="E3671" s="12" t="str">
        <f>IFERROR(__xludf.DUMMYFUNCTION("FILTER(colegios!$B$2:$B5618,colegios!$A$2:$A5618=L3671)"),"RAMON CASTILLA MARQUEZADO")</f>
        <v>RAMON CASTILLA MARQUEZADO</v>
      </c>
      <c r="F3671" s="14" t="s">
        <v>16</v>
      </c>
      <c r="G3671" s="20" t="s">
        <v>17</v>
      </c>
      <c r="H3671" s="14" t="s">
        <v>18</v>
      </c>
      <c r="I3671" s="15">
        <v>2022.0</v>
      </c>
      <c r="J3671" s="16" t="str">
        <f>IFERROR(__xludf.DUMMYFUNCTION("FILTER('CLASFICACIÓN'!$F$3:$F5618,'CLASFICACIÓN'!$G$3:$G5618=M3671)"),"SOLO LINEA BASE")</f>
        <v>SOLO LINEA BASE</v>
      </c>
      <c r="K3671" s="16" t="str">
        <f t="array" ref="K3671">IFERROR(DGET('PADD-R'!$B$1:$K5618,'PADD-R'!$K$1,{'PADD-R'!$B$1;E3671}),"NO PARTICIPÓ")</f>
        <v>NO PARTICIPÓ</v>
      </c>
      <c r="L3671" s="14" t="s">
        <v>174</v>
      </c>
      <c r="M3671" s="16" t="str">
        <f t="shared" si="1"/>
        <v>RAMON CASTILLA MARQUEZADO4 Secundaria</v>
      </c>
      <c r="N3671" s="23"/>
      <c r="O3671" s="17"/>
      <c r="P3671" s="17"/>
      <c r="Q3671" s="17"/>
      <c r="R3671" s="17"/>
      <c r="S3671" s="17"/>
      <c r="T3671" s="17"/>
    </row>
    <row r="3672">
      <c r="A3672" s="18">
        <v>4759.0</v>
      </c>
      <c r="B3672" s="12" t="s">
        <v>84</v>
      </c>
      <c r="C3672" s="12" t="s">
        <v>27</v>
      </c>
      <c r="D3672" s="20" t="s">
        <v>30</v>
      </c>
      <c r="E3672" s="12" t="str">
        <f>IFERROR(__xludf.DUMMYFUNCTION("FILTER(colegios!$B$2:$B5618,colegios!$A$2:$A5618=L3672)"),"RAMON CASTILLA MARQUEZADO")</f>
        <v>RAMON CASTILLA MARQUEZADO</v>
      </c>
      <c r="F3672" s="14" t="s">
        <v>16</v>
      </c>
      <c r="G3672" s="20" t="s">
        <v>21</v>
      </c>
      <c r="H3672" s="14" t="s">
        <v>18</v>
      </c>
      <c r="I3672" s="15">
        <v>2022.0</v>
      </c>
      <c r="J3672" s="16" t="str">
        <f>IFERROR(__xludf.DUMMYFUNCTION("FILTER('CLASFICACIÓN'!$F$3:$F5618,'CLASFICACIÓN'!$G$3:$G5618=M3672)"),"SOLO LINEA BASE")</f>
        <v>SOLO LINEA BASE</v>
      </c>
      <c r="K3672" s="16" t="str">
        <f t="array" ref="K3672">IFERROR(DGET('PADD-R'!$B$1:$K5618,'PADD-R'!$K$1,{'PADD-R'!$B$1;E3672}),"NO PARTICIPÓ")</f>
        <v>NO PARTICIPÓ</v>
      </c>
      <c r="L3672" s="14" t="s">
        <v>174</v>
      </c>
      <c r="M3672" s="16" t="str">
        <f t="shared" si="1"/>
        <v>RAMON CASTILLA MARQUEZADO4 Secundaria</v>
      </c>
      <c r="N3672" s="23"/>
      <c r="O3672" s="17"/>
      <c r="P3672" s="17"/>
      <c r="Q3672" s="17"/>
      <c r="R3672" s="17"/>
      <c r="S3672" s="17"/>
      <c r="T3672" s="17"/>
    </row>
    <row r="3673">
      <c r="A3673" s="18">
        <v>4760.0</v>
      </c>
      <c r="B3673" s="12" t="s">
        <v>84</v>
      </c>
      <c r="C3673" s="12" t="s">
        <v>27</v>
      </c>
      <c r="D3673" s="20" t="s">
        <v>30</v>
      </c>
      <c r="E3673" s="12" t="str">
        <f>IFERROR(__xludf.DUMMYFUNCTION("FILTER(colegios!$B$2:$B5618,colegios!$A$2:$A5618=L3673)"),"RAMON CASTILLA MARQUEZADO")</f>
        <v>RAMON CASTILLA MARQUEZADO</v>
      </c>
      <c r="F3673" s="14" t="s">
        <v>16</v>
      </c>
      <c r="G3673" s="20" t="s">
        <v>21</v>
      </c>
      <c r="H3673" s="14" t="s">
        <v>18</v>
      </c>
      <c r="I3673" s="15">
        <v>2022.0</v>
      </c>
      <c r="J3673" s="16" t="str">
        <f>IFERROR(__xludf.DUMMYFUNCTION("FILTER('CLASFICACIÓN'!$F$3:$F5618,'CLASFICACIÓN'!$G$3:$G5618=M3673)"),"SOLO LINEA BASE")</f>
        <v>SOLO LINEA BASE</v>
      </c>
      <c r="K3673" s="16" t="str">
        <f t="array" ref="K3673">IFERROR(DGET('PADD-R'!$B$1:$K5618,'PADD-R'!$K$1,{'PADD-R'!$B$1;E3673}),"NO PARTICIPÓ")</f>
        <v>NO PARTICIPÓ</v>
      </c>
      <c r="L3673" s="14" t="s">
        <v>174</v>
      </c>
      <c r="M3673" s="16" t="str">
        <f t="shared" si="1"/>
        <v>RAMON CASTILLA MARQUEZADO4 Secundaria</v>
      </c>
      <c r="N3673" s="23"/>
      <c r="O3673" s="17"/>
      <c r="P3673" s="17"/>
      <c r="Q3673" s="17"/>
      <c r="R3673" s="17"/>
      <c r="S3673" s="17"/>
      <c r="T3673" s="17"/>
    </row>
    <row r="3674">
      <c r="A3674" s="18">
        <v>4761.0</v>
      </c>
      <c r="B3674" s="12" t="s">
        <v>84</v>
      </c>
      <c r="C3674" s="12" t="s">
        <v>27</v>
      </c>
      <c r="D3674" s="20" t="s">
        <v>30</v>
      </c>
      <c r="E3674" s="12" t="str">
        <f>IFERROR(__xludf.DUMMYFUNCTION("FILTER(colegios!$B$2:$B5618,colegios!$A$2:$A5618=L3674)"),"RAMON CASTILLA MARQUEZADO")</f>
        <v>RAMON CASTILLA MARQUEZADO</v>
      </c>
      <c r="F3674" s="14" t="s">
        <v>16</v>
      </c>
      <c r="G3674" s="20" t="s">
        <v>17</v>
      </c>
      <c r="H3674" s="14" t="s">
        <v>18</v>
      </c>
      <c r="I3674" s="15">
        <v>2022.0</v>
      </c>
      <c r="J3674" s="16" t="str">
        <f>IFERROR(__xludf.DUMMYFUNCTION("FILTER('CLASFICACIÓN'!$F$3:$F5618,'CLASFICACIÓN'!$G$3:$G5618=M3674)"),"SOLO LINEA BASE")</f>
        <v>SOLO LINEA BASE</v>
      </c>
      <c r="K3674" s="16" t="str">
        <f t="array" ref="K3674">IFERROR(DGET('PADD-R'!$B$1:$K5618,'PADD-R'!$K$1,{'PADD-R'!$B$1;E3674}),"NO PARTICIPÓ")</f>
        <v>NO PARTICIPÓ</v>
      </c>
      <c r="L3674" s="14" t="s">
        <v>174</v>
      </c>
      <c r="M3674" s="16" t="str">
        <f t="shared" si="1"/>
        <v>RAMON CASTILLA MARQUEZADO4 Secundaria</v>
      </c>
      <c r="N3674" s="23"/>
      <c r="O3674" s="17"/>
      <c r="P3674" s="17"/>
      <c r="Q3674" s="17"/>
      <c r="R3674" s="17"/>
      <c r="S3674" s="17"/>
      <c r="T3674" s="17"/>
    </row>
    <row r="3675">
      <c r="A3675" s="18">
        <v>4762.0</v>
      </c>
      <c r="B3675" s="12" t="s">
        <v>84</v>
      </c>
      <c r="C3675" s="12" t="s">
        <v>27</v>
      </c>
      <c r="D3675" s="20" t="s">
        <v>30</v>
      </c>
      <c r="E3675" s="12" t="str">
        <f>IFERROR(__xludf.DUMMYFUNCTION("FILTER(colegios!$B$2:$B5618,colegios!$A$2:$A5618=L3675)"),"RAMON CASTILLA MARQUEZADO")</f>
        <v>RAMON CASTILLA MARQUEZADO</v>
      </c>
      <c r="F3675" s="14" t="s">
        <v>16</v>
      </c>
      <c r="G3675" s="20" t="s">
        <v>17</v>
      </c>
      <c r="H3675" s="14" t="s">
        <v>18</v>
      </c>
      <c r="I3675" s="15">
        <v>2022.0</v>
      </c>
      <c r="J3675" s="16" t="str">
        <f>IFERROR(__xludf.DUMMYFUNCTION("FILTER('CLASFICACIÓN'!$F$3:$F5618,'CLASFICACIÓN'!$G$3:$G5618=M3675)"),"SOLO LINEA BASE")</f>
        <v>SOLO LINEA BASE</v>
      </c>
      <c r="K3675" s="16" t="str">
        <f t="array" ref="K3675">IFERROR(DGET('PADD-R'!$B$1:$K5618,'PADD-R'!$K$1,{'PADD-R'!$B$1;E3675}),"NO PARTICIPÓ")</f>
        <v>NO PARTICIPÓ</v>
      </c>
      <c r="L3675" s="14" t="s">
        <v>174</v>
      </c>
      <c r="M3675" s="16" t="str">
        <f t="shared" si="1"/>
        <v>RAMON CASTILLA MARQUEZADO4 Secundaria</v>
      </c>
      <c r="N3675" s="23"/>
      <c r="O3675" s="17"/>
      <c r="P3675" s="17"/>
      <c r="Q3675" s="17"/>
      <c r="R3675" s="17"/>
      <c r="S3675" s="17"/>
      <c r="T3675" s="17"/>
    </row>
    <row r="3676">
      <c r="A3676" s="18">
        <v>4763.0</v>
      </c>
      <c r="B3676" s="12" t="s">
        <v>84</v>
      </c>
      <c r="C3676" s="12" t="s">
        <v>27</v>
      </c>
      <c r="D3676" s="20" t="s">
        <v>30</v>
      </c>
      <c r="E3676" s="12" t="str">
        <f>IFERROR(__xludf.DUMMYFUNCTION("FILTER(colegios!$B$2:$B5618,colegios!$A$2:$A5618=L3676)"),"RAMON CASTILLA MARQUEZADO")</f>
        <v>RAMON CASTILLA MARQUEZADO</v>
      </c>
      <c r="F3676" s="14" t="s">
        <v>16</v>
      </c>
      <c r="G3676" s="20" t="s">
        <v>17</v>
      </c>
      <c r="H3676" s="14" t="s">
        <v>18</v>
      </c>
      <c r="I3676" s="15">
        <v>2022.0</v>
      </c>
      <c r="J3676" s="16" t="str">
        <f>IFERROR(__xludf.DUMMYFUNCTION("FILTER('CLASFICACIÓN'!$F$3:$F5618,'CLASFICACIÓN'!$G$3:$G5618=M3676)"),"SOLO LINEA BASE")</f>
        <v>SOLO LINEA BASE</v>
      </c>
      <c r="K3676" s="16" t="str">
        <f t="array" ref="K3676">IFERROR(DGET('PADD-R'!$B$1:$K5618,'PADD-R'!$K$1,{'PADD-R'!$B$1;E3676}),"NO PARTICIPÓ")</f>
        <v>NO PARTICIPÓ</v>
      </c>
      <c r="L3676" s="14" t="s">
        <v>174</v>
      </c>
      <c r="M3676" s="16" t="str">
        <f t="shared" si="1"/>
        <v>RAMON CASTILLA MARQUEZADO4 Secundaria</v>
      </c>
      <c r="N3676" s="23"/>
      <c r="O3676" s="17"/>
      <c r="P3676" s="17"/>
      <c r="Q3676" s="17"/>
      <c r="R3676" s="17"/>
      <c r="S3676" s="17"/>
      <c r="T3676" s="17"/>
    </row>
    <row r="3677">
      <c r="A3677" s="18">
        <v>4764.0</v>
      </c>
      <c r="B3677" s="12" t="s">
        <v>84</v>
      </c>
      <c r="C3677" s="12" t="s">
        <v>27</v>
      </c>
      <c r="D3677" s="20" t="s">
        <v>30</v>
      </c>
      <c r="E3677" s="12" t="str">
        <f>IFERROR(__xludf.DUMMYFUNCTION("FILTER(colegios!$B$2:$B5618,colegios!$A$2:$A5618=L3677)"),"RAMON CASTILLA MARQUEZADO")</f>
        <v>RAMON CASTILLA MARQUEZADO</v>
      </c>
      <c r="F3677" s="14" t="s">
        <v>16</v>
      </c>
      <c r="G3677" s="20" t="s">
        <v>17</v>
      </c>
      <c r="H3677" s="14" t="s">
        <v>18</v>
      </c>
      <c r="I3677" s="15">
        <v>2022.0</v>
      </c>
      <c r="J3677" s="16" t="str">
        <f>IFERROR(__xludf.DUMMYFUNCTION("FILTER('CLASFICACIÓN'!$F$3:$F5618,'CLASFICACIÓN'!$G$3:$G5618=M3677)"),"SOLO LINEA BASE")</f>
        <v>SOLO LINEA BASE</v>
      </c>
      <c r="K3677" s="16" t="str">
        <f t="array" ref="K3677">IFERROR(DGET('PADD-R'!$B$1:$K5618,'PADD-R'!$K$1,{'PADD-R'!$B$1;E3677}),"NO PARTICIPÓ")</f>
        <v>NO PARTICIPÓ</v>
      </c>
      <c r="L3677" s="14" t="s">
        <v>174</v>
      </c>
      <c r="M3677" s="16" t="str">
        <f t="shared" si="1"/>
        <v>RAMON CASTILLA MARQUEZADO4 Secundaria</v>
      </c>
      <c r="N3677" s="23"/>
      <c r="O3677" s="17"/>
      <c r="P3677" s="17"/>
      <c r="Q3677" s="17"/>
      <c r="R3677" s="17"/>
      <c r="S3677" s="17"/>
      <c r="T3677" s="17"/>
    </row>
    <row r="3678">
      <c r="A3678" s="18">
        <v>4765.0</v>
      </c>
      <c r="B3678" s="12" t="s">
        <v>84</v>
      </c>
      <c r="C3678" s="12" t="s">
        <v>27</v>
      </c>
      <c r="D3678" s="20" t="s">
        <v>30</v>
      </c>
      <c r="E3678" s="12" t="str">
        <f>IFERROR(__xludf.DUMMYFUNCTION("FILTER(colegios!$B$2:$B5618,colegios!$A$2:$A5618=L3678)"),"RAMON CASTILLA MARQUEZADO")</f>
        <v>RAMON CASTILLA MARQUEZADO</v>
      </c>
      <c r="F3678" s="14" t="s">
        <v>16</v>
      </c>
      <c r="G3678" s="20" t="s">
        <v>21</v>
      </c>
      <c r="H3678" s="14" t="s">
        <v>18</v>
      </c>
      <c r="I3678" s="15">
        <v>2022.0</v>
      </c>
      <c r="J3678" s="16" t="str">
        <f>IFERROR(__xludf.DUMMYFUNCTION("FILTER('CLASFICACIÓN'!$F$3:$F5618,'CLASFICACIÓN'!$G$3:$G5618=M3678)"),"SOLO LINEA BASE")</f>
        <v>SOLO LINEA BASE</v>
      </c>
      <c r="K3678" s="16" t="str">
        <f t="array" ref="K3678">IFERROR(DGET('PADD-R'!$B$1:$K5618,'PADD-R'!$K$1,{'PADD-R'!$B$1;E3678}),"NO PARTICIPÓ")</f>
        <v>NO PARTICIPÓ</v>
      </c>
      <c r="L3678" s="14" t="s">
        <v>174</v>
      </c>
      <c r="M3678" s="16" t="str">
        <f t="shared" si="1"/>
        <v>RAMON CASTILLA MARQUEZADO4 Secundaria</v>
      </c>
      <c r="N3678" s="23"/>
      <c r="O3678" s="17"/>
      <c r="P3678" s="17"/>
      <c r="Q3678" s="17"/>
      <c r="R3678" s="17"/>
      <c r="S3678" s="17"/>
      <c r="T3678" s="17"/>
    </row>
    <row r="3679">
      <c r="A3679" s="18">
        <v>4766.0</v>
      </c>
      <c r="B3679" s="12" t="s">
        <v>84</v>
      </c>
      <c r="C3679" s="12" t="s">
        <v>27</v>
      </c>
      <c r="D3679" s="20" t="s">
        <v>30</v>
      </c>
      <c r="E3679" s="12" t="str">
        <f>IFERROR(__xludf.DUMMYFUNCTION("FILTER(colegios!$B$2:$B5618,colegios!$A$2:$A5618=L3679)"),"RAMON CASTILLA MARQUEZADO")</f>
        <v>RAMON CASTILLA MARQUEZADO</v>
      </c>
      <c r="F3679" s="14" t="s">
        <v>16</v>
      </c>
      <c r="G3679" s="20" t="s">
        <v>21</v>
      </c>
      <c r="H3679" s="14" t="s">
        <v>18</v>
      </c>
      <c r="I3679" s="15">
        <v>2022.0</v>
      </c>
      <c r="J3679" s="16" t="str">
        <f>IFERROR(__xludf.DUMMYFUNCTION("FILTER('CLASFICACIÓN'!$F$3:$F5618,'CLASFICACIÓN'!$G$3:$G5618=M3679)"),"SOLO LINEA BASE")</f>
        <v>SOLO LINEA BASE</v>
      </c>
      <c r="K3679" s="16" t="str">
        <f t="array" ref="K3679">IFERROR(DGET('PADD-R'!$B$1:$K5618,'PADD-R'!$K$1,{'PADD-R'!$B$1;E3679}),"NO PARTICIPÓ")</f>
        <v>NO PARTICIPÓ</v>
      </c>
      <c r="L3679" s="14" t="s">
        <v>174</v>
      </c>
      <c r="M3679" s="16" t="str">
        <f t="shared" si="1"/>
        <v>RAMON CASTILLA MARQUEZADO4 Secundaria</v>
      </c>
      <c r="N3679" s="23"/>
      <c r="O3679" s="17"/>
      <c r="P3679" s="17"/>
      <c r="Q3679" s="17"/>
      <c r="R3679" s="17"/>
      <c r="S3679" s="17"/>
      <c r="T3679" s="17"/>
    </row>
    <row r="3680">
      <c r="A3680" s="18">
        <v>4767.0</v>
      </c>
      <c r="B3680" s="12" t="s">
        <v>84</v>
      </c>
      <c r="C3680" s="12" t="s">
        <v>27</v>
      </c>
      <c r="D3680" s="20" t="s">
        <v>30</v>
      </c>
      <c r="E3680" s="12" t="str">
        <f>IFERROR(__xludf.DUMMYFUNCTION("FILTER(colegios!$B$2:$B5618,colegios!$A$2:$A5618=L3680)"),"RAMON CASTILLA MARQUEZADO")</f>
        <v>RAMON CASTILLA MARQUEZADO</v>
      </c>
      <c r="F3680" s="14" t="s">
        <v>16</v>
      </c>
      <c r="G3680" s="20" t="s">
        <v>17</v>
      </c>
      <c r="H3680" s="14" t="s">
        <v>18</v>
      </c>
      <c r="I3680" s="15">
        <v>2022.0</v>
      </c>
      <c r="J3680" s="16" t="str">
        <f>IFERROR(__xludf.DUMMYFUNCTION("FILTER('CLASFICACIÓN'!$F$3:$F5618,'CLASFICACIÓN'!$G$3:$G5618=M3680)"),"SOLO LINEA BASE")</f>
        <v>SOLO LINEA BASE</v>
      </c>
      <c r="K3680" s="16" t="str">
        <f t="array" ref="K3680">IFERROR(DGET('PADD-R'!$B$1:$K5618,'PADD-R'!$K$1,{'PADD-R'!$B$1;E3680}),"NO PARTICIPÓ")</f>
        <v>NO PARTICIPÓ</v>
      </c>
      <c r="L3680" s="14" t="s">
        <v>174</v>
      </c>
      <c r="M3680" s="16" t="str">
        <f t="shared" si="1"/>
        <v>RAMON CASTILLA MARQUEZADO4 Secundaria</v>
      </c>
      <c r="N3680" s="23"/>
      <c r="O3680" s="17"/>
      <c r="P3680" s="17"/>
      <c r="Q3680" s="17"/>
      <c r="R3680" s="17"/>
      <c r="S3680" s="17"/>
      <c r="T3680" s="17"/>
    </row>
    <row r="3681">
      <c r="A3681" s="24">
        <v>1.0</v>
      </c>
      <c r="B3681" s="25" t="s">
        <v>84</v>
      </c>
      <c r="C3681" s="25" t="s">
        <v>14</v>
      </c>
      <c r="D3681" s="26" t="s">
        <v>175</v>
      </c>
      <c r="E3681" s="12" t="str">
        <f>IFERROR(__xludf.DUMMYFUNCTION("FILTER(colegios!$B$2:$B5618,colegios!$A$2:$A5618=L3681)"),"36173")</f>
        <v>36173</v>
      </c>
      <c r="F3681" s="27" t="s">
        <v>16</v>
      </c>
      <c r="G3681" s="28" t="s">
        <v>21</v>
      </c>
      <c r="H3681" s="25" t="s">
        <v>24</v>
      </c>
      <c r="I3681" s="29">
        <v>2024.0</v>
      </c>
      <c r="J3681" s="16" t="str">
        <f>IFERROR(__xludf.DUMMYFUNCTION("FILTER('CLASFICACIÓN'!$F$3:$F5618,'CLASFICACIÓN'!$G$3:$G5618=M3681)"),"SOLO 2024")</f>
        <v>SOLO 2024</v>
      </c>
      <c r="K3681" s="16"/>
      <c r="L3681" s="25" t="s">
        <v>86</v>
      </c>
      <c r="M3681" s="16" t="str">
        <f t="shared" si="1"/>
        <v>361731 Primaria</v>
      </c>
      <c r="N3681" s="30"/>
      <c r="O3681" s="31"/>
      <c r="P3681" s="31"/>
      <c r="Q3681" s="31"/>
      <c r="R3681" s="31"/>
      <c r="S3681" s="31"/>
      <c r="T3681" s="31"/>
    </row>
    <row r="3682">
      <c r="A3682" s="18">
        <v>2.0</v>
      </c>
      <c r="B3682" s="12" t="s">
        <v>84</v>
      </c>
      <c r="C3682" s="12" t="s">
        <v>14</v>
      </c>
      <c r="D3682" s="19" t="s">
        <v>175</v>
      </c>
      <c r="E3682" s="12" t="str">
        <f>IFERROR(__xludf.DUMMYFUNCTION("FILTER(colegios!$B$2:$B5618,colegios!$A$2:$A5618=L3682)"),"36173")</f>
        <v>36173</v>
      </c>
      <c r="F3682" s="14" t="s">
        <v>16</v>
      </c>
      <c r="G3682" s="20" t="s">
        <v>21</v>
      </c>
      <c r="H3682" s="12" t="s">
        <v>24</v>
      </c>
      <c r="I3682" s="15">
        <v>2024.0</v>
      </c>
      <c r="J3682" s="16" t="str">
        <f>IFERROR(__xludf.DUMMYFUNCTION("FILTER('CLASFICACIÓN'!$F$3:$F5618,'CLASFICACIÓN'!$G$3:$G5618=M3682)"),"SOLO 2024")</f>
        <v>SOLO 2024</v>
      </c>
      <c r="K3682" s="16"/>
      <c r="L3682" s="12" t="s">
        <v>86</v>
      </c>
      <c r="M3682" s="16" t="str">
        <f t="shared" si="1"/>
        <v>361731 Primaria</v>
      </c>
      <c r="N3682" s="23"/>
      <c r="O3682" s="17"/>
      <c r="P3682" s="17"/>
      <c r="Q3682" s="17"/>
      <c r="R3682" s="17"/>
      <c r="S3682" s="17"/>
      <c r="T3682" s="17"/>
    </row>
    <row r="3683">
      <c r="A3683" s="18">
        <v>3.0</v>
      </c>
      <c r="B3683" s="12" t="s">
        <v>84</v>
      </c>
      <c r="C3683" s="12" t="s">
        <v>14</v>
      </c>
      <c r="D3683" s="19" t="s">
        <v>175</v>
      </c>
      <c r="E3683" s="12" t="str">
        <f>IFERROR(__xludf.DUMMYFUNCTION("FILTER(colegios!$B$2:$B5618,colegios!$A$2:$A5618=L3683)"),"36173")</f>
        <v>36173</v>
      </c>
      <c r="F3683" s="14" t="s">
        <v>16</v>
      </c>
      <c r="G3683" s="19" t="s">
        <v>17</v>
      </c>
      <c r="H3683" s="12" t="s">
        <v>24</v>
      </c>
      <c r="I3683" s="15">
        <v>2024.0</v>
      </c>
      <c r="J3683" s="16" t="str">
        <f>IFERROR(__xludf.DUMMYFUNCTION("FILTER('CLASFICACIÓN'!$F$3:$F5618,'CLASFICACIÓN'!$G$3:$G5618=M3683)"),"SOLO 2024")</f>
        <v>SOLO 2024</v>
      </c>
      <c r="K3683" s="16"/>
      <c r="L3683" s="12" t="s">
        <v>86</v>
      </c>
      <c r="M3683" s="16" t="str">
        <f t="shared" si="1"/>
        <v>361731 Primaria</v>
      </c>
      <c r="N3683" s="23"/>
      <c r="O3683" s="17"/>
      <c r="P3683" s="17"/>
      <c r="Q3683" s="17"/>
      <c r="R3683" s="17"/>
      <c r="S3683" s="17"/>
      <c r="T3683" s="17"/>
    </row>
    <row r="3684">
      <c r="A3684" s="18">
        <v>4.0</v>
      </c>
      <c r="B3684" s="12" t="s">
        <v>84</v>
      </c>
      <c r="C3684" s="12" t="s">
        <v>14</v>
      </c>
      <c r="D3684" s="19" t="s">
        <v>175</v>
      </c>
      <c r="E3684" s="12" t="str">
        <f>IFERROR(__xludf.DUMMYFUNCTION("FILTER(colegios!$B$2:$B5618,colegios!$A$2:$A5618=L3684)"),"36173")</f>
        <v>36173</v>
      </c>
      <c r="F3684" s="14" t="s">
        <v>16</v>
      </c>
      <c r="G3684" s="19" t="s">
        <v>17</v>
      </c>
      <c r="H3684" s="12" t="s">
        <v>24</v>
      </c>
      <c r="I3684" s="15">
        <v>2024.0</v>
      </c>
      <c r="J3684" s="16" t="str">
        <f>IFERROR(__xludf.DUMMYFUNCTION("FILTER('CLASFICACIÓN'!$F$3:$F5618,'CLASFICACIÓN'!$G$3:$G5618=M3684)"),"SOLO 2024")</f>
        <v>SOLO 2024</v>
      </c>
      <c r="K3684" s="16"/>
      <c r="L3684" s="12" t="s">
        <v>86</v>
      </c>
      <c r="M3684" s="16" t="str">
        <f t="shared" si="1"/>
        <v>361731 Primaria</v>
      </c>
      <c r="N3684" s="23"/>
      <c r="O3684" s="17"/>
      <c r="P3684" s="17"/>
      <c r="Q3684" s="17"/>
      <c r="R3684" s="17"/>
      <c r="S3684" s="17"/>
      <c r="T3684" s="17"/>
    </row>
    <row r="3685">
      <c r="A3685" s="18">
        <v>5.0</v>
      </c>
      <c r="B3685" s="12" t="s">
        <v>84</v>
      </c>
      <c r="C3685" s="12" t="s">
        <v>14</v>
      </c>
      <c r="D3685" s="19" t="s">
        <v>175</v>
      </c>
      <c r="E3685" s="12" t="str">
        <f>IFERROR(__xludf.DUMMYFUNCTION("FILTER(colegios!$B$2:$B5618,colegios!$A$2:$A5618=L3685)"),"36173")</f>
        <v>36173</v>
      </c>
      <c r="F3685" s="14" t="s">
        <v>16</v>
      </c>
      <c r="G3685" s="20" t="s">
        <v>17</v>
      </c>
      <c r="H3685" s="12" t="s">
        <v>24</v>
      </c>
      <c r="I3685" s="15">
        <v>2024.0</v>
      </c>
      <c r="J3685" s="16" t="str">
        <f>IFERROR(__xludf.DUMMYFUNCTION("FILTER('CLASFICACIÓN'!$F$3:$F5618,'CLASFICACIÓN'!$G$3:$G5618=M3685)"),"SOLO 2024")</f>
        <v>SOLO 2024</v>
      </c>
      <c r="K3685" s="16"/>
      <c r="L3685" s="12" t="s">
        <v>86</v>
      </c>
      <c r="M3685" s="16" t="str">
        <f t="shared" si="1"/>
        <v>361731 Primaria</v>
      </c>
      <c r="N3685" s="23"/>
      <c r="O3685" s="17"/>
      <c r="P3685" s="17"/>
      <c r="Q3685" s="17"/>
      <c r="R3685" s="17"/>
      <c r="S3685" s="17"/>
      <c r="T3685" s="17"/>
    </row>
    <row r="3686">
      <c r="A3686" s="18">
        <v>6.0</v>
      </c>
      <c r="B3686" s="12" t="s">
        <v>84</v>
      </c>
      <c r="C3686" s="12" t="s">
        <v>14</v>
      </c>
      <c r="D3686" s="19" t="s">
        <v>175</v>
      </c>
      <c r="E3686" s="12" t="str">
        <f>IFERROR(__xludf.DUMMYFUNCTION("FILTER(colegios!$B$2:$B5618,colegios!$A$2:$A5618=L3686)"),"36173")</f>
        <v>36173</v>
      </c>
      <c r="F3686" s="14" t="s">
        <v>16</v>
      </c>
      <c r="G3686" s="19" t="s">
        <v>17</v>
      </c>
      <c r="H3686" s="12" t="s">
        <v>24</v>
      </c>
      <c r="I3686" s="15">
        <v>2024.0</v>
      </c>
      <c r="J3686" s="16" t="str">
        <f>IFERROR(__xludf.DUMMYFUNCTION("FILTER('CLASFICACIÓN'!$F$3:$F5618,'CLASFICACIÓN'!$G$3:$G5618=M3686)"),"SOLO 2024")</f>
        <v>SOLO 2024</v>
      </c>
      <c r="K3686" s="16"/>
      <c r="L3686" s="12" t="s">
        <v>86</v>
      </c>
      <c r="M3686" s="16" t="str">
        <f t="shared" si="1"/>
        <v>361731 Primaria</v>
      </c>
      <c r="N3686" s="23"/>
      <c r="O3686" s="17"/>
      <c r="P3686" s="17"/>
      <c r="Q3686" s="17"/>
      <c r="R3686" s="17"/>
      <c r="S3686" s="17"/>
      <c r="T3686" s="17"/>
    </row>
    <row r="3687">
      <c r="A3687" s="18">
        <v>7.0</v>
      </c>
      <c r="B3687" s="12" t="s">
        <v>84</v>
      </c>
      <c r="C3687" s="12" t="s">
        <v>14</v>
      </c>
      <c r="D3687" s="19" t="s">
        <v>175</v>
      </c>
      <c r="E3687" s="12" t="str">
        <f>IFERROR(__xludf.DUMMYFUNCTION("FILTER(colegios!$B$2:$B5618,colegios!$A$2:$A5618=L3687)"),"36173")</f>
        <v>36173</v>
      </c>
      <c r="F3687" s="14" t="s">
        <v>16</v>
      </c>
      <c r="G3687" s="19" t="s">
        <v>21</v>
      </c>
      <c r="H3687" s="12" t="s">
        <v>24</v>
      </c>
      <c r="I3687" s="15">
        <v>2024.0</v>
      </c>
      <c r="J3687" s="16" t="str">
        <f>IFERROR(__xludf.DUMMYFUNCTION("FILTER('CLASFICACIÓN'!$F$3:$F5618,'CLASFICACIÓN'!$G$3:$G5618=M3687)"),"SOLO 2024")</f>
        <v>SOLO 2024</v>
      </c>
      <c r="K3687" s="16"/>
      <c r="L3687" s="12" t="s">
        <v>86</v>
      </c>
      <c r="M3687" s="16" t="str">
        <f t="shared" si="1"/>
        <v>361731 Primaria</v>
      </c>
      <c r="N3687" s="23"/>
      <c r="O3687" s="17"/>
      <c r="P3687" s="17"/>
      <c r="Q3687" s="17"/>
      <c r="R3687" s="17"/>
      <c r="S3687" s="17"/>
      <c r="T3687" s="17"/>
    </row>
    <row r="3688">
      <c r="A3688" s="18">
        <v>8.0</v>
      </c>
      <c r="B3688" s="12" t="s">
        <v>84</v>
      </c>
      <c r="C3688" s="12" t="s">
        <v>14</v>
      </c>
      <c r="D3688" s="19" t="s">
        <v>175</v>
      </c>
      <c r="E3688" s="12" t="str">
        <f>IFERROR(__xludf.DUMMYFUNCTION("FILTER(colegios!$B$2:$B5618,colegios!$A$2:$A5618=L3688)"),"36173")</f>
        <v>36173</v>
      </c>
      <c r="F3688" s="14" t="s">
        <v>16</v>
      </c>
      <c r="G3688" s="19" t="s">
        <v>17</v>
      </c>
      <c r="H3688" s="12" t="s">
        <v>24</v>
      </c>
      <c r="I3688" s="15">
        <v>2024.0</v>
      </c>
      <c r="J3688" s="16" t="str">
        <f>IFERROR(__xludf.DUMMYFUNCTION("FILTER('CLASFICACIÓN'!$F$3:$F5618,'CLASFICACIÓN'!$G$3:$G5618=M3688)"),"SOLO 2024")</f>
        <v>SOLO 2024</v>
      </c>
      <c r="K3688" s="16"/>
      <c r="L3688" s="12" t="s">
        <v>86</v>
      </c>
      <c r="M3688" s="16" t="str">
        <f t="shared" si="1"/>
        <v>361731 Primaria</v>
      </c>
      <c r="N3688" s="23"/>
      <c r="O3688" s="17"/>
      <c r="P3688" s="17"/>
      <c r="Q3688" s="17"/>
      <c r="R3688" s="17"/>
      <c r="S3688" s="17"/>
      <c r="T3688" s="17"/>
    </row>
    <row r="3689">
      <c r="A3689" s="18">
        <v>9.0</v>
      </c>
      <c r="B3689" s="12" t="s">
        <v>84</v>
      </c>
      <c r="C3689" s="12" t="s">
        <v>14</v>
      </c>
      <c r="D3689" s="19" t="s">
        <v>175</v>
      </c>
      <c r="E3689" s="12" t="str">
        <f>IFERROR(__xludf.DUMMYFUNCTION("FILTER(colegios!$B$2:$B5618,colegios!$A$2:$A5618=L3689)"),"36173")</f>
        <v>36173</v>
      </c>
      <c r="F3689" s="14" t="s">
        <v>16</v>
      </c>
      <c r="G3689" s="19" t="s">
        <v>21</v>
      </c>
      <c r="H3689" s="12" t="s">
        <v>24</v>
      </c>
      <c r="I3689" s="15">
        <v>2024.0</v>
      </c>
      <c r="J3689" s="16" t="str">
        <f>IFERROR(__xludf.DUMMYFUNCTION("FILTER('CLASFICACIÓN'!$F$3:$F5618,'CLASFICACIÓN'!$G$3:$G5618=M3689)"),"SOLO 2024")</f>
        <v>SOLO 2024</v>
      </c>
      <c r="K3689" s="16"/>
      <c r="L3689" s="12" t="s">
        <v>86</v>
      </c>
      <c r="M3689" s="16" t="str">
        <f t="shared" si="1"/>
        <v>361731 Primaria</v>
      </c>
      <c r="N3689" s="23"/>
      <c r="O3689" s="17"/>
      <c r="P3689" s="17"/>
      <c r="Q3689" s="17"/>
      <c r="R3689" s="17"/>
      <c r="S3689" s="17"/>
      <c r="T3689" s="17"/>
    </row>
    <row r="3690">
      <c r="A3690" s="18">
        <v>10.0</v>
      </c>
      <c r="B3690" s="12" t="s">
        <v>84</v>
      </c>
      <c r="C3690" s="12" t="s">
        <v>14</v>
      </c>
      <c r="D3690" s="19" t="s">
        <v>175</v>
      </c>
      <c r="E3690" s="12" t="str">
        <f>IFERROR(__xludf.DUMMYFUNCTION("FILTER(colegios!$B$2:$B5618,colegios!$A$2:$A5618=L3690)"),"36173")</f>
        <v>36173</v>
      </c>
      <c r="F3690" s="14" t="s">
        <v>16</v>
      </c>
      <c r="G3690" s="20" t="s">
        <v>21</v>
      </c>
      <c r="H3690" s="12" t="s">
        <v>24</v>
      </c>
      <c r="I3690" s="15">
        <v>2024.0</v>
      </c>
      <c r="J3690" s="16" t="str">
        <f>IFERROR(__xludf.DUMMYFUNCTION("FILTER('CLASFICACIÓN'!$F$3:$F5618,'CLASFICACIÓN'!$G$3:$G5618=M3690)"),"SOLO 2024")</f>
        <v>SOLO 2024</v>
      </c>
      <c r="K3690" s="16"/>
      <c r="L3690" s="12" t="s">
        <v>86</v>
      </c>
      <c r="M3690" s="16" t="str">
        <f t="shared" si="1"/>
        <v>361731 Primaria</v>
      </c>
      <c r="N3690" s="23"/>
      <c r="O3690" s="17"/>
      <c r="P3690" s="17"/>
      <c r="Q3690" s="17"/>
      <c r="R3690" s="17"/>
      <c r="S3690" s="17"/>
      <c r="T3690" s="17"/>
    </row>
    <row r="3691">
      <c r="A3691" s="18">
        <v>1.0</v>
      </c>
      <c r="B3691" s="12" t="s">
        <v>84</v>
      </c>
      <c r="C3691" s="12" t="s">
        <v>14</v>
      </c>
      <c r="D3691" s="19" t="s">
        <v>175</v>
      </c>
      <c r="E3691" s="12" t="str">
        <f>IFERROR(__xludf.DUMMYFUNCTION("FILTER(colegios!$B$2:$B5618,colegios!$A$2:$A5618=L3691)"),"36207")</f>
        <v>36207</v>
      </c>
      <c r="F3691" s="14" t="s">
        <v>16</v>
      </c>
      <c r="G3691" s="20" t="s">
        <v>17</v>
      </c>
      <c r="H3691" s="12" t="s">
        <v>24</v>
      </c>
      <c r="I3691" s="15">
        <v>2024.0</v>
      </c>
      <c r="J3691" s="16" t="str">
        <f>IFERROR(__xludf.DUMMYFUNCTION("FILTER('CLASFICACIÓN'!$F$3:$F5618,'CLASFICACIÓN'!$G$3:$G5618=M3691)"),"SOLO 2022 Y 2024")</f>
        <v>SOLO 2022 Y 2024</v>
      </c>
      <c r="K3691" s="16"/>
      <c r="L3691" s="12" t="s">
        <v>88</v>
      </c>
      <c r="M3691" s="16" t="str">
        <f t="shared" si="1"/>
        <v>362071 Primaria</v>
      </c>
      <c r="N3691" s="23"/>
      <c r="O3691" s="17"/>
      <c r="P3691" s="17"/>
      <c r="Q3691" s="17"/>
      <c r="R3691" s="17"/>
      <c r="S3691" s="17"/>
      <c r="T3691" s="17"/>
    </row>
    <row r="3692">
      <c r="A3692" s="18">
        <v>2.0</v>
      </c>
      <c r="B3692" s="12" t="s">
        <v>84</v>
      </c>
      <c r="C3692" s="12" t="s">
        <v>14</v>
      </c>
      <c r="D3692" s="19" t="s">
        <v>175</v>
      </c>
      <c r="E3692" s="12" t="str">
        <f>IFERROR(__xludf.DUMMYFUNCTION("FILTER(colegios!$B$2:$B5618,colegios!$A$2:$A5618=L3692)"),"36207")</f>
        <v>36207</v>
      </c>
      <c r="F3692" s="14" t="s">
        <v>16</v>
      </c>
      <c r="G3692" s="19" t="s">
        <v>21</v>
      </c>
      <c r="H3692" s="12" t="s">
        <v>24</v>
      </c>
      <c r="I3692" s="15">
        <v>2024.0</v>
      </c>
      <c r="J3692" s="16" t="str">
        <f>IFERROR(__xludf.DUMMYFUNCTION("FILTER('CLASFICACIÓN'!$F$3:$F5618,'CLASFICACIÓN'!$G$3:$G5618=M3692)"),"SOLO 2022 Y 2024")</f>
        <v>SOLO 2022 Y 2024</v>
      </c>
      <c r="K3692" s="16"/>
      <c r="L3692" s="12" t="s">
        <v>88</v>
      </c>
      <c r="M3692" s="16" t="str">
        <f t="shared" si="1"/>
        <v>362071 Primaria</v>
      </c>
      <c r="N3692" s="23"/>
      <c r="O3692" s="17"/>
      <c r="P3692" s="17"/>
      <c r="Q3692" s="17"/>
      <c r="R3692" s="17"/>
      <c r="S3692" s="17"/>
      <c r="T3692" s="17"/>
    </row>
    <row r="3693">
      <c r="A3693" s="18">
        <v>3.0</v>
      </c>
      <c r="B3693" s="12" t="s">
        <v>84</v>
      </c>
      <c r="C3693" s="12" t="s">
        <v>14</v>
      </c>
      <c r="D3693" s="19" t="s">
        <v>175</v>
      </c>
      <c r="E3693" s="12" t="str">
        <f>IFERROR(__xludf.DUMMYFUNCTION("FILTER(colegios!$B$2:$B5618,colegios!$A$2:$A5618=L3693)"),"36207")</f>
        <v>36207</v>
      </c>
      <c r="F3693" s="14" t="s">
        <v>16</v>
      </c>
      <c r="G3693" s="20" t="s">
        <v>17</v>
      </c>
      <c r="H3693" s="12" t="s">
        <v>24</v>
      </c>
      <c r="I3693" s="15">
        <v>2024.0</v>
      </c>
      <c r="J3693" s="16" t="str">
        <f>IFERROR(__xludf.DUMMYFUNCTION("FILTER('CLASFICACIÓN'!$F$3:$F5618,'CLASFICACIÓN'!$G$3:$G5618=M3693)"),"SOLO 2022 Y 2024")</f>
        <v>SOLO 2022 Y 2024</v>
      </c>
      <c r="K3693" s="16"/>
      <c r="L3693" s="12" t="s">
        <v>88</v>
      </c>
      <c r="M3693" s="16" t="str">
        <f t="shared" si="1"/>
        <v>362071 Primaria</v>
      </c>
      <c r="N3693" s="23"/>
      <c r="O3693" s="17"/>
      <c r="P3693" s="17"/>
      <c r="Q3693" s="17"/>
      <c r="R3693" s="17"/>
      <c r="S3693" s="17"/>
      <c r="T3693" s="17"/>
    </row>
    <row r="3694">
      <c r="A3694" s="18">
        <v>4.0</v>
      </c>
      <c r="B3694" s="12" t="s">
        <v>84</v>
      </c>
      <c r="C3694" s="12" t="s">
        <v>14</v>
      </c>
      <c r="D3694" s="19" t="s">
        <v>175</v>
      </c>
      <c r="E3694" s="12" t="str">
        <f>IFERROR(__xludf.DUMMYFUNCTION("FILTER(colegios!$B$2:$B5618,colegios!$A$2:$A5618=L3694)"),"36207")</f>
        <v>36207</v>
      </c>
      <c r="F3694" s="14" t="s">
        <v>16</v>
      </c>
      <c r="G3694" s="19" t="s">
        <v>21</v>
      </c>
      <c r="H3694" s="12" t="s">
        <v>18</v>
      </c>
      <c r="I3694" s="15">
        <v>2024.0</v>
      </c>
      <c r="J3694" s="16" t="str">
        <f>IFERROR(__xludf.DUMMYFUNCTION("FILTER('CLASFICACIÓN'!$F$3:$F5618,'CLASFICACIÓN'!$G$3:$G5618=M3694)"),"SOLO 2022 Y 2024")</f>
        <v>SOLO 2022 Y 2024</v>
      </c>
      <c r="K3694" s="16"/>
      <c r="L3694" s="12" t="s">
        <v>88</v>
      </c>
      <c r="M3694" s="16" t="str">
        <f t="shared" si="1"/>
        <v>362071 Primaria</v>
      </c>
      <c r="N3694" s="23"/>
      <c r="O3694" s="17"/>
      <c r="P3694" s="17"/>
      <c r="Q3694" s="17"/>
      <c r="R3694" s="17"/>
      <c r="S3694" s="17"/>
      <c r="T3694" s="17"/>
    </row>
    <row r="3695">
      <c r="A3695" s="18">
        <v>5.0</v>
      </c>
      <c r="B3695" s="12" t="s">
        <v>84</v>
      </c>
      <c r="C3695" s="12" t="s">
        <v>14</v>
      </c>
      <c r="D3695" s="19" t="s">
        <v>175</v>
      </c>
      <c r="E3695" s="12" t="str">
        <f>IFERROR(__xludf.DUMMYFUNCTION("FILTER(colegios!$B$2:$B5618,colegios!$A$2:$A5618=L3695)"),"36207")</f>
        <v>36207</v>
      </c>
      <c r="F3695" s="14" t="s">
        <v>16</v>
      </c>
      <c r="G3695" s="20" t="s">
        <v>21</v>
      </c>
      <c r="H3695" s="12" t="s">
        <v>24</v>
      </c>
      <c r="I3695" s="15">
        <v>2024.0</v>
      </c>
      <c r="J3695" s="16" t="str">
        <f>IFERROR(__xludf.DUMMYFUNCTION("FILTER('CLASFICACIÓN'!$F$3:$F5618,'CLASFICACIÓN'!$G$3:$G5618=M3695)"),"SOLO 2022 Y 2024")</f>
        <v>SOLO 2022 Y 2024</v>
      </c>
      <c r="K3695" s="16"/>
      <c r="L3695" s="12" t="s">
        <v>88</v>
      </c>
      <c r="M3695" s="16" t="str">
        <f t="shared" si="1"/>
        <v>362071 Primaria</v>
      </c>
      <c r="N3695" s="23"/>
      <c r="O3695" s="17"/>
      <c r="P3695" s="17"/>
      <c r="Q3695" s="17"/>
      <c r="R3695" s="17"/>
      <c r="S3695" s="17"/>
      <c r="T3695" s="17"/>
    </row>
    <row r="3696">
      <c r="A3696" s="18">
        <v>6.0</v>
      </c>
      <c r="B3696" s="12" t="s">
        <v>84</v>
      </c>
      <c r="C3696" s="12" t="s">
        <v>14</v>
      </c>
      <c r="D3696" s="19" t="s">
        <v>175</v>
      </c>
      <c r="E3696" s="12" t="str">
        <f>IFERROR(__xludf.DUMMYFUNCTION("FILTER(colegios!$B$2:$B5618,colegios!$A$2:$A5618=L3696)"),"36207")</f>
        <v>36207</v>
      </c>
      <c r="F3696" s="14" t="s">
        <v>16</v>
      </c>
      <c r="G3696" s="20" t="s">
        <v>17</v>
      </c>
      <c r="H3696" s="12" t="s">
        <v>24</v>
      </c>
      <c r="I3696" s="15">
        <v>2024.0</v>
      </c>
      <c r="J3696" s="16" t="str">
        <f>IFERROR(__xludf.DUMMYFUNCTION("FILTER('CLASFICACIÓN'!$F$3:$F5618,'CLASFICACIÓN'!$G$3:$G5618=M3696)"),"SOLO 2022 Y 2024")</f>
        <v>SOLO 2022 Y 2024</v>
      </c>
      <c r="K3696" s="16"/>
      <c r="L3696" s="12" t="s">
        <v>88</v>
      </c>
      <c r="M3696" s="16" t="str">
        <f t="shared" si="1"/>
        <v>362071 Primaria</v>
      </c>
      <c r="N3696" s="23"/>
      <c r="O3696" s="17"/>
      <c r="P3696" s="17"/>
      <c r="Q3696" s="17"/>
      <c r="R3696" s="17"/>
      <c r="S3696" s="17"/>
      <c r="T3696" s="17"/>
    </row>
    <row r="3697">
      <c r="A3697" s="18">
        <v>7.0</v>
      </c>
      <c r="B3697" s="12" t="s">
        <v>84</v>
      </c>
      <c r="C3697" s="12" t="s">
        <v>14</v>
      </c>
      <c r="D3697" s="19" t="s">
        <v>175</v>
      </c>
      <c r="E3697" s="12" t="str">
        <f>IFERROR(__xludf.DUMMYFUNCTION("FILTER(colegios!$B$2:$B5618,colegios!$A$2:$A5618=L3697)"),"36207")</f>
        <v>36207</v>
      </c>
      <c r="F3697" s="14" t="s">
        <v>16</v>
      </c>
      <c r="G3697" s="20" t="s">
        <v>21</v>
      </c>
      <c r="H3697" s="12" t="s">
        <v>24</v>
      </c>
      <c r="I3697" s="15">
        <v>2024.0</v>
      </c>
      <c r="J3697" s="16" t="str">
        <f>IFERROR(__xludf.DUMMYFUNCTION("FILTER('CLASFICACIÓN'!$F$3:$F5618,'CLASFICACIÓN'!$G$3:$G5618=M3697)"),"SOLO 2022 Y 2024")</f>
        <v>SOLO 2022 Y 2024</v>
      </c>
      <c r="K3697" s="16"/>
      <c r="L3697" s="12" t="s">
        <v>88</v>
      </c>
      <c r="M3697" s="16" t="str">
        <f t="shared" si="1"/>
        <v>362071 Primaria</v>
      </c>
      <c r="N3697" s="23"/>
      <c r="O3697" s="17"/>
      <c r="P3697" s="17"/>
      <c r="Q3697" s="17"/>
      <c r="R3697" s="17"/>
      <c r="S3697" s="17"/>
      <c r="T3697" s="17"/>
    </row>
    <row r="3698">
      <c r="A3698" s="18">
        <v>8.0</v>
      </c>
      <c r="B3698" s="12" t="s">
        <v>84</v>
      </c>
      <c r="C3698" s="12" t="s">
        <v>14</v>
      </c>
      <c r="D3698" s="19" t="s">
        <v>175</v>
      </c>
      <c r="E3698" s="12" t="str">
        <f>IFERROR(__xludf.DUMMYFUNCTION("FILTER(colegios!$B$2:$B5618,colegios!$A$2:$A5618=L3698)"),"36207")</f>
        <v>36207</v>
      </c>
      <c r="F3698" s="14" t="s">
        <v>16</v>
      </c>
      <c r="G3698" s="19" t="s">
        <v>17</v>
      </c>
      <c r="H3698" s="12" t="s">
        <v>18</v>
      </c>
      <c r="I3698" s="15">
        <v>2024.0</v>
      </c>
      <c r="J3698" s="16" t="str">
        <f>IFERROR(__xludf.DUMMYFUNCTION("FILTER('CLASFICACIÓN'!$F$3:$F5618,'CLASFICACIÓN'!$G$3:$G5618=M3698)"),"SOLO 2022 Y 2024")</f>
        <v>SOLO 2022 Y 2024</v>
      </c>
      <c r="K3698" s="16"/>
      <c r="L3698" s="12" t="s">
        <v>88</v>
      </c>
      <c r="M3698" s="16" t="str">
        <f t="shared" si="1"/>
        <v>362071 Primaria</v>
      </c>
      <c r="N3698" s="23"/>
      <c r="O3698" s="17"/>
      <c r="P3698" s="17"/>
      <c r="Q3698" s="17"/>
      <c r="R3698" s="17"/>
      <c r="S3698" s="17"/>
      <c r="T3698" s="17"/>
    </row>
    <row r="3699">
      <c r="A3699" s="18">
        <v>2251.0</v>
      </c>
      <c r="B3699" s="12" t="s">
        <v>13</v>
      </c>
      <c r="C3699" s="12" t="s">
        <v>14</v>
      </c>
      <c r="D3699" s="20" t="s">
        <v>175</v>
      </c>
      <c r="E3699" s="12" t="str">
        <f>IFERROR(__xludf.DUMMYFUNCTION("FILTER(colegios!$B$2:$B5618,colegios!$A$2:$A5618=L3699)"),"60133")</f>
        <v>60133</v>
      </c>
      <c r="F3699" s="14" t="s">
        <v>16</v>
      </c>
      <c r="G3699" s="14" t="s">
        <v>17</v>
      </c>
      <c r="H3699" s="14" t="s">
        <v>18</v>
      </c>
      <c r="I3699" s="15">
        <v>2022.0</v>
      </c>
      <c r="J3699" s="16" t="str">
        <f>IFERROR(__xludf.DUMMYFUNCTION("FILTER('CLASFICACIÓN'!$F$3:$F5618,'CLASFICACIÓN'!$G$3:$G5618=M3699)"),"SOLO LINEA BASE")</f>
        <v>SOLO LINEA BASE</v>
      </c>
      <c r="K3699" s="16" t="str">
        <f t="array" ref="K3699">IFERROR(DGET('PADD-R'!$B$1:$K5618,'PADD-R'!$K$1,{'PADD-R'!$B$1;E3699}),"NO PARTICIPÓ")</f>
        <v>PADD 2023 Y 2024</v>
      </c>
      <c r="L3699" s="14" t="s">
        <v>138</v>
      </c>
      <c r="M3699" s="16" t="str">
        <f t="shared" si="1"/>
        <v>601331 Primaria</v>
      </c>
      <c r="N3699" s="23"/>
      <c r="O3699" s="17"/>
      <c r="P3699" s="17"/>
      <c r="Q3699" s="17"/>
      <c r="R3699" s="17"/>
      <c r="S3699" s="17"/>
      <c r="T3699" s="17"/>
    </row>
    <row r="3700">
      <c r="A3700" s="18">
        <v>2252.0</v>
      </c>
      <c r="B3700" s="12" t="s">
        <v>13</v>
      </c>
      <c r="C3700" s="12" t="s">
        <v>14</v>
      </c>
      <c r="D3700" s="20" t="s">
        <v>175</v>
      </c>
      <c r="E3700" s="12" t="str">
        <f>IFERROR(__xludf.DUMMYFUNCTION("FILTER(colegios!$B$2:$B5618,colegios!$A$2:$A5618=L3700)"),"60133")</f>
        <v>60133</v>
      </c>
      <c r="F3700" s="14" t="s">
        <v>16</v>
      </c>
      <c r="G3700" s="14" t="s">
        <v>21</v>
      </c>
      <c r="H3700" s="14" t="s">
        <v>24</v>
      </c>
      <c r="I3700" s="15">
        <v>2022.0</v>
      </c>
      <c r="J3700" s="16" t="str">
        <f>IFERROR(__xludf.DUMMYFUNCTION("FILTER('CLASFICACIÓN'!$F$3:$F5618,'CLASFICACIÓN'!$G$3:$G5618=M3700)"),"SOLO LINEA BASE")</f>
        <v>SOLO LINEA BASE</v>
      </c>
      <c r="K3700" s="16" t="str">
        <f t="array" ref="K3700">IFERROR(DGET('PADD-R'!$B$1:$K5618,'PADD-R'!$K$1,{'PADD-R'!$B$1;E3700}),"NO PARTICIPÓ")</f>
        <v>PADD 2023 Y 2024</v>
      </c>
      <c r="L3700" s="14" t="s">
        <v>138</v>
      </c>
      <c r="M3700" s="16" t="str">
        <f t="shared" si="1"/>
        <v>601331 Primaria</v>
      </c>
      <c r="N3700" s="23"/>
      <c r="O3700" s="17"/>
      <c r="P3700" s="17"/>
      <c r="Q3700" s="17"/>
      <c r="R3700" s="17"/>
      <c r="S3700" s="17"/>
      <c r="T3700" s="17"/>
    </row>
    <row r="3701">
      <c r="A3701" s="18">
        <v>2253.0</v>
      </c>
      <c r="B3701" s="12" t="s">
        <v>13</v>
      </c>
      <c r="C3701" s="12" t="s">
        <v>14</v>
      </c>
      <c r="D3701" s="20" t="s">
        <v>175</v>
      </c>
      <c r="E3701" s="12" t="str">
        <f>IFERROR(__xludf.DUMMYFUNCTION("FILTER(colegios!$B$2:$B5618,colegios!$A$2:$A5618=L3701)"),"60133")</f>
        <v>60133</v>
      </c>
      <c r="F3701" s="14" t="s">
        <v>16</v>
      </c>
      <c r="G3701" s="14" t="s">
        <v>21</v>
      </c>
      <c r="H3701" s="14" t="s">
        <v>18</v>
      </c>
      <c r="I3701" s="15">
        <v>2022.0</v>
      </c>
      <c r="J3701" s="16" t="str">
        <f>IFERROR(__xludf.DUMMYFUNCTION("FILTER('CLASFICACIÓN'!$F$3:$F5618,'CLASFICACIÓN'!$G$3:$G5618=M3701)"),"SOLO LINEA BASE")</f>
        <v>SOLO LINEA BASE</v>
      </c>
      <c r="K3701" s="16" t="str">
        <f t="array" ref="K3701">IFERROR(DGET('PADD-R'!$B$1:$K5618,'PADD-R'!$K$1,{'PADD-R'!$B$1;E3701}),"NO PARTICIPÓ")</f>
        <v>PADD 2023 Y 2024</v>
      </c>
      <c r="L3701" s="14" t="s">
        <v>138</v>
      </c>
      <c r="M3701" s="16" t="str">
        <f t="shared" si="1"/>
        <v>601331 Primaria</v>
      </c>
      <c r="N3701" s="23"/>
      <c r="O3701" s="17"/>
      <c r="P3701" s="17"/>
      <c r="Q3701" s="17"/>
      <c r="R3701" s="17"/>
      <c r="S3701" s="17"/>
      <c r="T3701" s="17"/>
    </row>
    <row r="3702">
      <c r="A3702" s="18">
        <v>2254.0</v>
      </c>
      <c r="B3702" s="12" t="s">
        <v>13</v>
      </c>
      <c r="C3702" s="12" t="s">
        <v>14</v>
      </c>
      <c r="D3702" s="20" t="s">
        <v>175</v>
      </c>
      <c r="E3702" s="12" t="str">
        <f>IFERROR(__xludf.DUMMYFUNCTION("FILTER(colegios!$B$2:$B5618,colegios!$A$2:$A5618=L3702)"),"60133")</f>
        <v>60133</v>
      </c>
      <c r="F3702" s="14" t="s">
        <v>16</v>
      </c>
      <c r="G3702" s="14" t="s">
        <v>17</v>
      </c>
      <c r="H3702" s="14" t="s">
        <v>18</v>
      </c>
      <c r="I3702" s="15">
        <v>2022.0</v>
      </c>
      <c r="J3702" s="16" t="str">
        <f>IFERROR(__xludf.DUMMYFUNCTION("FILTER('CLASFICACIÓN'!$F$3:$F5618,'CLASFICACIÓN'!$G$3:$G5618=M3702)"),"SOLO LINEA BASE")</f>
        <v>SOLO LINEA BASE</v>
      </c>
      <c r="K3702" s="16" t="str">
        <f t="array" ref="K3702">IFERROR(DGET('PADD-R'!$B$1:$K5618,'PADD-R'!$K$1,{'PADD-R'!$B$1;E3702}),"NO PARTICIPÓ")</f>
        <v>PADD 2023 Y 2024</v>
      </c>
      <c r="L3702" s="14" t="s">
        <v>138</v>
      </c>
      <c r="M3702" s="16" t="str">
        <f t="shared" si="1"/>
        <v>601331 Primaria</v>
      </c>
      <c r="N3702" s="23"/>
      <c r="O3702" s="17"/>
      <c r="P3702" s="17"/>
      <c r="Q3702" s="17"/>
      <c r="R3702" s="17"/>
      <c r="S3702" s="17"/>
      <c r="T3702" s="17"/>
    </row>
    <row r="3703">
      <c r="A3703" s="18">
        <v>2255.0</v>
      </c>
      <c r="B3703" s="12" t="s">
        <v>13</v>
      </c>
      <c r="C3703" s="12" t="s">
        <v>14</v>
      </c>
      <c r="D3703" s="20" t="s">
        <v>175</v>
      </c>
      <c r="E3703" s="12" t="str">
        <f>IFERROR(__xludf.DUMMYFUNCTION("FILTER(colegios!$B$2:$B5618,colegios!$A$2:$A5618=L3703)"),"60133")</f>
        <v>60133</v>
      </c>
      <c r="F3703" s="14" t="s">
        <v>16</v>
      </c>
      <c r="G3703" s="14" t="s">
        <v>17</v>
      </c>
      <c r="H3703" s="14" t="s">
        <v>18</v>
      </c>
      <c r="I3703" s="15">
        <v>2022.0</v>
      </c>
      <c r="J3703" s="16" t="str">
        <f>IFERROR(__xludf.DUMMYFUNCTION("FILTER('CLASFICACIÓN'!$F$3:$F5618,'CLASFICACIÓN'!$G$3:$G5618=M3703)"),"SOLO LINEA BASE")</f>
        <v>SOLO LINEA BASE</v>
      </c>
      <c r="K3703" s="16" t="str">
        <f t="array" ref="K3703">IFERROR(DGET('PADD-R'!$B$1:$K5618,'PADD-R'!$K$1,{'PADD-R'!$B$1;E3703}),"NO PARTICIPÓ")</f>
        <v>PADD 2023 Y 2024</v>
      </c>
      <c r="L3703" s="14" t="s">
        <v>138</v>
      </c>
      <c r="M3703" s="16" t="str">
        <f t="shared" si="1"/>
        <v>601331 Primaria</v>
      </c>
      <c r="N3703" s="23"/>
      <c r="O3703" s="17"/>
      <c r="P3703" s="17"/>
      <c r="Q3703" s="17"/>
      <c r="R3703" s="17"/>
      <c r="S3703" s="17"/>
      <c r="T3703" s="17"/>
    </row>
    <row r="3704">
      <c r="A3704" s="18">
        <v>2256.0</v>
      </c>
      <c r="B3704" s="12" t="s">
        <v>13</v>
      </c>
      <c r="C3704" s="12" t="s">
        <v>14</v>
      </c>
      <c r="D3704" s="20" t="s">
        <v>175</v>
      </c>
      <c r="E3704" s="12" t="str">
        <f>IFERROR(__xludf.DUMMYFUNCTION("FILTER(colegios!$B$2:$B5618,colegios!$A$2:$A5618=L3704)"),"60133")</f>
        <v>60133</v>
      </c>
      <c r="F3704" s="14" t="s">
        <v>16</v>
      </c>
      <c r="G3704" s="14" t="s">
        <v>17</v>
      </c>
      <c r="H3704" s="14" t="s">
        <v>18</v>
      </c>
      <c r="I3704" s="15">
        <v>2022.0</v>
      </c>
      <c r="J3704" s="16" t="str">
        <f>IFERROR(__xludf.DUMMYFUNCTION("FILTER('CLASFICACIÓN'!$F$3:$F5618,'CLASFICACIÓN'!$G$3:$G5618=M3704)"),"SOLO LINEA BASE")</f>
        <v>SOLO LINEA BASE</v>
      </c>
      <c r="K3704" s="16" t="str">
        <f t="array" ref="K3704">IFERROR(DGET('PADD-R'!$B$1:$K5618,'PADD-R'!$K$1,{'PADD-R'!$B$1;E3704}),"NO PARTICIPÓ")</f>
        <v>PADD 2023 Y 2024</v>
      </c>
      <c r="L3704" s="14" t="s">
        <v>138</v>
      </c>
      <c r="M3704" s="16" t="str">
        <f t="shared" si="1"/>
        <v>601331 Primaria</v>
      </c>
      <c r="N3704" s="23"/>
      <c r="O3704" s="17"/>
      <c r="P3704" s="17"/>
      <c r="Q3704" s="17"/>
      <c r="R3704" s="17"/>
      <c r="S3704" s="17"/>
      <c r="T3704" s="17"/>
    </row>
    <row r="3705">
      <c r="A3705" s="18">
        <v>2257.0</v>
      </c>
      <c r="B3705" s="12" t="s">
        <v>13</v>
      </c>
      <c r="C3705" s="12" t="s">
        <v>14</v>
      </c>
      <c r="D3705" s="20" t="s">
        <v>175</v>
      </c>
      <c r="E3705" s="12" t="str">
        <f>IFERROR(__xludf.DUMMYFUNCTION("FILTER(colegios!$B$2:$B5618,colegios!$A$2:$A5618=L3705)"),"60133")</f>
        <v>60133</v>
      </c>
      <c r="F3705" s="14" t="s">
        <v>16</v>
      </c>
      <c r="G3705" s="14" t="s">
        <v>21</v>
      </c>
      <c r="H3705" s="14" t="s">
        <v>24</v>
      </c>
      <c r="I3705" s="15">
        <v>2022.0</v>
      </c>
      <c r="J3705" s="16" t="str">
        <f>IFERROR(__xludf.DUMMYFUNCTION("FILTER('CLASFICACIÓN'!$F$3:$F5618,'CLASFICACIÓN'!$G$3:$G5618=M3705)"),"SOLO LINEA BASE")</f>
        <v>SOLO LINEA BASE</v>
      </c>
      <c r="K3705" s="16" t="str">
        <f t="array" ref="K3705">IFERROR(DGET('PADD-R'!$B$1:$K5618,'PADD-R'!$K$1,{'PADD-R'!$B$1;E3705}),"NO PARTICIPÓ")</f>
        <v>PADD 2023 Y 2024</v>
      </c>
      <c r="L3705" s="14" t="s">
        <v>138</v>
      </c>
      <c r="M3705" s="16" t="str">
        <f t="shared" si="1"/>
        <v>601331 Primaria</v>
      </c>
      <c r="N3705" s="23"/>
      <c r="O3705" s="17"/>
      <c r="P3705" s="17"/>
      <c r="Q3705" s="17"/>
      <c r="R3705" s="17"/>
      <c r="S3705" s="17"/>
      <c r="T3705" s="17"/>
    </row>
    <row r="3706">
      <c r="A3706" s="18">
        <v>2258.0</v>
      </c>
      <c r="B3706" s="12" t="s">
        <v>13</v>
      </c>
      <c r="C3706" s="12" t="s">
        <v>14</v>
      </c>
      <c r="D3706" s="20" t="s">
        <v>175</v>
      </c>
      <c r="E3706" s="12" t="str">
        <f>IFERROR(__xludf.DUMMYFUNCTION("FILTER(colegios!$B$2:$B5618,colegios!$A$2:$A5618=L3706)"),"60133")</f>
        <v>60133</v>
      </c>
      <c r="F3706" s="14" t="s">
        <v>16</v>
      </c>
      <c r="G3706" s="14" t="s">
        <v>17</v>
      </c>
      <c r="H3706" s="14" t="s">
        <v>24</v>
      </c>
      <c r="I3706" s="15">
        <v>2022.0</v>
      </c>
      <c r="J3706" s="16" t="str">
        <f>IFERROR(__xludf.DUMMYFUNCTION("FILTER('CLASFICACIÓN'!$F$3:$F5618,'CLASFICACIÓN'!$G$3:$G5618=M3706)"),"SOLO LINEA BASE")</f>
        <v>SOLO LINEA BASE</v>
      </c>
      <c r="K3706" s="16" t="str">
        <f t="array" ref="K3706">IFERROR(DGET('PADD-R'!$B$1:$K5618,'PADD-R'!$K$1,{'PADD-R'!$B$1;E3706}),"NO PARTICIPÓ")</f>
        <v>PADD 2023 Y 2024</v>
      </c>
      <c r="L3706" s="14" t="s">
        <v>138</v>
      </c>
      <c r="M3706" s="16" t="str">
        <f t="shared" si="1"/>
        <v>601331 Primaria</v>
      </c>
      <c r="N3706" s="23"/>
      <c r="O3706" s="17"/>
      <c r="P3706" s="17"/>
      <c r="Q3706" s="17"/>
      <c r="R3706" s="17"/>
      <c r="S3706" s="17"/>
      <c r="T3706" s="17"/>
    </row>
    <row r="3707">
      <c r="A3707" s="18">
        <v>2259.0</v>
      </c>
      <c r="B3707" s="12" t="s">
        <v>13</v>
      </c>
      <c r="C3707" s="12" t="s">
        <v>14</v>
      </c>
      <c r="D3707" s="20" t="s">
        <v>175</v>
      </c>
      <c r="E3707" s="12" t="str">
        <f>IFERROR(__xludf.DUMMYFUNCTION("FILTER(colegios!$B$2:$B5618,colegios!$A$2:$A5618=L3707)"),"60133")</f>
        <v>60133</v>
      </c>
      <c r="F3707" s="14" t="s">
        <v>16</v>
      </c>
      <c r="G3707" s="14" t="s">
        <v>17</v>
      </c>
      <c r="H3707" s="14" t="s">
        <v>18</v>
      </c>
      <c r="I3707" s="15">
        <v>2022.0</v>
      </c>
      <c r="J3707" s="16" t="str">
        <f>IFERROR(__xludf.DUMMYFUNCTION("FILTER('CLASFICACIÓN'!$F$3:$F5618,'CLASFICACIÓN'!$G$3:$G5618=M3707)"),"SOLO LINEA BASE")</f>
        <v>SOLO LINEA BASE</v>
      </c>
      <c r="K3707" s="16" t="str">
        <f t="array" ref="K3707">IFERROR(DGET('PADD-R'!$B$1:$K5618,'PADD-R'!$K$1,{'PADD-R'!$B$1;E3707}),"NO PARTICIPÓ")</f>
        <v>PADD 2023 Y 2024</v>
      </c>
      <c r="L3707" s="14" t="s">
        <v>138</v>
      </c>
      <c r="M3707" s="16" t="str">
        <f t="shared" si="1"/>
        <v>601331 Primaria</v>
      </c>
      <c r="N3707" s="23"/>
      <c r="O3707" s="17"/>
      <c r="P3707" s="17"/>
      <c r="Q3707" s="17"/>
      <c r="R3707" s="17"/>
      <c r="S3707" s="17"/>
      <c r="T3707" s="17"/>
    </row>
    <row r="3708">
      <c r="A3708" s="18">
        <v>2260.0</v>
      </c>
      <c r="B3708" s="12" t="s">
        <v>13</v>
      </c>
      <c r="C3708" s="12" t="s">
        <v>14</v>
      </c>
      <c r="D3708" s="20" t="s">
        <v>175</v>
      </c>
      <c r="E3708" s="12" t="str">
        <f>IFERROR(__xludf.DUMMYFUNCTION("FILTER(colegios!$B$2:$B5618,colegios!$A$2:$A5618=L3708)"),"60133")</f>
        <v>60133</v>
      </c>
      <c r="F3708" s="14" t="s">
        <v>16</v>
      </c>
      <c r="G3708" s="14" t="s">
        <v>17</v>
      </c>
      <c r="H3708" s="14" t="s">
        <v>18</v>
      </c>
      <c r="I3708" s="15">
        <v>2022.0</v>
      </c>
      <c r="J3708" s="16" t="str">
        <f>IFERROR(__xludf.DUMMYFUNCTION("FILTER('CLASFICACIÓN'!$F$3:$F5618,'CLASFICACIÓN'!$G$3:$G5618=M3708)"),"SOLO LINEA BASE")</f>
        <v>SOLO LINEA BASE</v>
      </c>
      <c r="K3708" s="16" t="str">
        <f t="array" ref="K3708">IFERROR(DGET('PADD-R'!$B$1:$K5618,'PADD-R'!$K$1,{'PADD-R'!$B$1;E3708}),"NO PARTICIPÓ")</f>
        <v>PADD 2023 Y 2024</v>
      </c>
      <c r="L3708" s="14" t="s">
        <v>138</v>
      </c>
      <c r="M3708" s="16" t="str">
        <f t="shared" si="1"/>
        <v>601331 Primaria</v>
      </c>
      <c r="N3708" s="23"/>
      <c r="O3708" s="17"/>
      <c r="P3708" s="17"/>
      <c r="Q3708" s="17"/>
      <c r="R3708" s="17"/>
      <c r="S3708" s="17"/>
      <c r="T3708" s="17"/>
    </row>
    <row r="3709">
      <c r="A3709" s="18">
        <v>2261.0</v>
      </c>
      <c r="B3709" s="12" t="s">
        <v>13</v>
      </c>
      <c r="C3709" s="12" t="s">
        <v>14</v>
      </c>
      <c r="D3709" s="20" t="s">
        <v>175</v>
      </c>
      <c r="E3709" s="12" t="str">
        <f>IFERROR(__xludf.DUMMYFUNCTION("FILTER(colegios!$B$2:$B5618,colegios!$A$2:$A5618=L3709)"),"60133")</f>
        <v>60133</v>
      </c>
      <c r="F3709" s="14" t="s">
        <v>16</v>
      </c>
      <c r="G3709" s="14" t="s">
        <v>17</v>
      </c>
      <c r="H3709" s="14" t="s">
        <v>24</v>
      </c>
      <c r="I3709" s="15">
        <v>2022.0</v>
      </c>
      <c r="J3709" s="16" t="str">
        <f>IFERROR(__xludf.DUMMYFUNCTION("FILTER('CLASFICACIÓN'!$F$3:$F5618,'CLASFICACIÓN'!$G$3:$G5618=M3709)"),"SOLO LINEA BASE")</f>
        <v>SOLO LINEA BASE</v>
      </c>
      <c r="K3709" s="16" t="str">
        <f t="array" ref="K3709">IFERROR(DGET('PADD-R'!$B$1:$K5618,'PADD-R'!$K$1,{'PADD-R'!$B$1;E3709}),"NO PARTICIPÓ")</f>
        <v>PADD 2023 Y 2024</v>
      </c>
      <c r="L3709" s="14" t="s">
        <v>138</v>
      </c>
      <c r="M3709" s="16" t="str">
        <f t="shared" si="1"/>
        <v>601331 Primaria</v>
      </c>
      <c r="N3709" s="23"/>
      <c r="O3709" s="17"/>
      <c r="P3709" s="17"/>
      <c r="Q3709" s="17"/>
      <c r="R3709" s="17"/>
      <c r="S3709" s="17"/>
      <c r="T3709" s="17"/>
    </row>
    <row r="3710">
      <c r="A3710" s="18">
        <v>2262.0</v>
      </c>
      <c r="B3710" s="12" t="s">
        <v>13</v>
      </c>
      <c r="C3710" s="12" t="s">
        <v>14</v>
      </c>
      <c r="D3710" s="20" t="s">
        <v>175</v>
      </c>
      <c r="E3710" s="12" t="str">
        <f>IFERROR(__xludf.DUMMYFUNCTION("FILTER(colegios!$B$2:$B5618,colegios!$A$2:$A5618=L3710)"),"60133")</f>
        <v>60133</v>
      </c>
      <c r="F3710" s="14" t="s">
        <v>16</v>
      </c>
      <c r="G3710" s="14" t="s">
        <v>21</v>
      </c>
      <c r="H3710" s="14" t="s">
        <v>24</v>
      </c>
      <c r="I3710" s="15">
        <v>2022.0</v>
      </c>
      <c r="J3710" s="16" t="str">
        <f>IFERROR(__xludf.DUMMYFUNCTION("FILTER('CLASFICACIÓN'!$F$3:$F5618,'CLASFICACIÓN'!$G$3:$G5618=M3710)"),"SOLO LINEA BASE")</f>
        <v>SOLO LINEA BASE</v>
      </c>
      <c r="K3710" s="16" t="str">
        <f t="array" ref="K3710">IFERROR(DGET('PADD-R'!$B$1:$K5618,'PADD-R'!$K$1,{'PADD-R'!$B$1;E3710}),"NO PARTICIPÓ")</f>
        <v>PADD 2023 Y 2024</v>
      </c>
      <c r="L3710" s="14" t="s">
        <v>138</v>
      </c>
      <c r="M3710" s="16" t="str">
        <f t="shared" si="1"/>
        <v>601331 Primaria</v>
      </c>
      <c r="N3710" s="23"/>
      <c r="O3710" s="17"/>
      <c r="P3710" s="17"/>
      <c r="Q3710" s="17"/>
      <c r="R3710" s="17"/>
      <c r="S3710" s="17"/>
      <c r="T3710" s="17"/>
    </row>
    <row r="3711">
      <c r="A3711" s="18">
        <v>2263.0</v>
      </c>
      <c r="B3711" s="12" t="s">
        <v>13</v>
      </c>
      <c r="C3711" s="12" t="s">
        <v>14</v>
      </c>
      <c r="D3711" s="20" t="s">
        <v>175</v>
      </c>
      <c r="E3711" s="12" t="str">
        <f>IFERROR(__xludf.DUMMYFUNCTION("FILTER(colegios!$B$2:$B5618,colegios!$A$2:$A5618=L3711)"),"60133")</f>
        <v>60133</v>
      </c>
      <c r="F3711" s="14" t="s">
        <v>16</v>
      </c>
      <c r="G3711" s="14" t="s">
        <v>21</v>
      </c>
      <c r="H3711" s="14" t="s">
        <v>24</v>
      </c>
      <c r="I3711" s="15">
        <v>2022.0</v>
      </c>
      <c r="J3711" s="16" t="str">
        <f>IFERROR(__xludf.DUMMYFUNCTION("FILTER('CLASFICACIÓN'!$F$3:$F5618,'CLASFICACIÓN'!$G$3:$G5618=M3711)"),"SOLO LINEA BASE")</f>
        <v>SOLO LINEA BASE</v>
      </c>
      <c r="K3711" s="16" t="str">
        <f t="array" ref="K3711">IFERROR(DGET('PADD-R'!$B$1:$K5618,'PADD-R'!$K$1,{'PADD-R'!$B$1;E3711}),"NO PARTICIPÓ")</f>
        <v>PADD 2023 Y 2024</v>
      </c>
      <c r="L3711" s="14" t="s">
        <v>138</v>
      </c>
      <c r="M3711" s="16" t="str">
        <f t="shared" si="1"/>
        <v>601331 Primaria</v>
      </c>
      <c r="N3711" s="23"/>
      <c r="O3711" s="17"/>
      <c r="P3711" s="17"/>
      <c r="Q3711" s="17"/>
      <c r="R3711" s="17"/>
      <c r="S3711" s="17"/>
      <c r="T3711" s="17"/>
    </row>
    <row r="3712">
      <c r="A3712" s="18">
        <v>2264.0</v>
      </c>
      <c r="B3712" s="12" t="s">
        <v>13</v>
      </c>
      <c r="C3712" s="12" t="s">
        <v>14</v>
      </c>
      <c r="D3712" s="20" t="s">
        <v>175</v>
      </c>
      <c r="E3712" s="12" t="str">
        <f>IFERROR(__xludf.DUMMYFUNCTION("FILTER(colegios!$B$2:$B5618,colegios!$A$2:$A5618=L3712)"),"60133")</f>
        <v>60133</v>
      </c>
      <c r="F3712" s="14" t="s">
        <v>16</v>
      </c>
      <c r="G3712" s="14" t="s">
        <v>21</v>
      </c>
      <c r="H3712" s="14" t="s">
        <v>24</v>
      </c>
      <c r="I3712" s="15">
        <v>2022.0</v>
      </c>
      <c r="J3712" s="16" t="str">
        <f>IFERROR(__xludf.DUMMYFUNCTION("FILTER('CLASFICACIÓN'!$F$3:$F5618,'CLASFICACIÓN'!$G$3:$G5618=M3712)"),"SOLO LINEA BASE")</f>
        <v>SOLO LINEA BASE</v>
      </c>
      <c r="K3712" s="16" t="str">
        <f t="array" ref="K3712">IFERROR(DGET('PADD-R'!$B$1:$K5618,'PADD-R'!$K$1,{'PADD-R'!$B$1;E3712}),"NO PARTICIPÓ")</f>
        <v>PADD 2023 Y 2024</v>
      </c>
      <c r="L3712" s="14" t="s">
        <v>138</v>
      </c>
      <c r="M3712" s="16" t="str">
        <f t="shared" si="1"/>
        <v>601331 Primaria</v>
      </c>
      <c r="N3712" s="23"/>
      <c r="O3712" s="17"/>
      <c r="P3712" s="17"/>
      <c r="Q3712" s="17"/>
      <c r="R3712" s="17"/>
      <c r="S3712" s="17"/>
      <c r="T3712" s="17"/>
    </row>
    <row r="3713">
      <c r="A3713" s="18">
        <v>2265.0</v>
      </c>
      <c r="B3713" s="12" t="s">
        <v>13</v>
      </c>
      <c r="C3713" s="12" t="s">
        <v>14</v>
      </c>
      <c r="D3713" s="20" t="s">
        <v>175</v>
      </c>
      <c r="E3713" s="12" t="str">
        <f>IFERROR(__xludf.DUMMYFUNCTION("FILTER(colegios!$B$2:$B5618,colegios!$A$2:$A5618=L3713)"),"60133")</f>
        <v>60133</v>
      </c>
      <c r="F3713" s="14" t="s">
        <v>16</v>
      </c>
      <c r="G3713" s="14" t="s">
        <v>17</v>
      </c>
      <c r="H3713" s="14" t="s">
        <v>24</v>
      </c>
      <c r="I3713" s="15">
        <v>2022.0</v>
      </c>
      <c r="J3713" s="16" t="str">
        <f>IFERROR(__xludf.DUMMYFUNCTION("FILTER('CLASFICACIÓN'!$F$3:$F5618,'CLASFICACIÓN'!$G$3:$G5618=M3713)"),"SOLO LINEA BASE")</f>
        <v>SOLO LINEA BASE</v>
      </c>
      <c r="K3713" s="16" t="str">
        <f t="array" ref="K3713">IFERROR(DGET('PADD-R'!$B$1:$K5618,'PADD-R'!$K$1,{'PADD-R'!$B$1;E3713}),"NO PARTICIPÓ")</f>
        <v>PADD 2023 Y 2024</v>
      </c>
      <c r="L3713" s="14" t="s">
        <v>138</v>
      </c>
      <c r="M3713" s="16" t="str">
        <f t="shared" si="1"/>
        <v>601331 Primaria</v>
      </c>
      <c r="N3713" s="23"/>
      <c r="O3713" s="17"/>
      <c r="P3713" s="17"/>
      <c r="Q3713" s="17"/>
      <c r="R3713" s="17"/>
      <c r="S3713" s="17"/>
      <c r="T3713" s="17"/>
    </row>
    <row r="3714">
      <c r="A3714" s="18">
        <v>2266.0</v>
      </c>
      <c r="B3714" s="12" t="s">
        <v>13</v>
      </c>
      <c r="C3714" s="12" t="s">
        <v>14</v>
      </c>
      <c r="D3714" s="20" t="s">
        <v>175</v>
      </c>
      <c r="E3714" s="12" t="str">
        <f>IFERROR(__xludf.DUMMYFUNCTION("FILTER(colegios!$B$2:$B5618,colegios!$A$2:$A5618=L3714)"),"60133")</f>
        <v>60133</v>
      </c>
      <c r="F3714" s="14" t="s">
        <v>16</v>
      </c>
      <c r="G3714" s="14" t="s">
        <v>17</v>
      </c>
      <c r="H3714" s="14" t="s">
        <v>18</v>
      </c>
      <c r="I3714" s="15">
        <v>2022.0</v>
      </c>
      <c r="J3714" s="16" t="str">
        <f>IFERROR(__xludf.DUMMYFUNCTION("FILTER('CLASFICACIÓN'!$F$3:$F5618,'CLASFICACIÓN'!$G$3:$G5618=M3714)"),"SOLO LINEA BASE")</f>
        <v>SOLO LINEA BASE</v>
      </c>
      <c r="K3714" s="16" t="str">
        <f t="array" ref="K3714">IFERROR(DGET('PADD-R'!$B$1:$K5618,'PADD-R'!$K$1,{'PADD-R'!$B$1;E3714}),"NO PARTICIPÓ")</f>
        <v>PADD 2023 Y 2024</v>
      </c>
      <c r="L3714" s="14" t="s">
        <v>138</v>
      </c>
      <c r="M3714" s="16" t="str">
        <f t="shared" si="1"/>
        <v>601331 Primaria</v>
      </c>
      <c r="N3714" s="23"/>
      <c r="O3714" s="17"/>
      <c r="P3714" s="17"/>
      <c r="Q3714" s="17"/>
      <c r="R3714" s="17"/>
      <c r="S3714" s="17"/>
      <c r="T3714" s="17"/>
    </row>
    <row r="3715">
      <c r="A3715" s="18">
        <v>2267.0</v>
      </c>
      <c r="B3715" s="12" t="s">
        <v>13</v>
      </c>
      <c r="C3715" s="12" t="s">
        <v>14</v>
      </c>
      <c r="D3715" s="20" t="s">
        <v>175</v>
      </c>
      <c r="E3715" s="12" t="str">
        <f>IFERROR(__xludf.DUMMYFUNCTION("FILTER(colegios!$B$2:$B5618,colegios!$A$2:$A5618=L3715)"),"60133")</f>
        <v>60133</v>
      </c>
      <c r="F3715" s="14" t="s">
        <v>16</v>
      </c>
      <c r="G3715" s="14" t="s">
        <v>17</v>
      </c>
      <c r="H3715" s="14" t="s">
        <v>24</v>
      </c>
      <c r="I3715" s="15">
        <v>2022.0</v>
      </c>
      <c r="J3715" s="16" t="str">
        <f>IFERROR(__xludf.DUMMYFUNCTION("FILTER('CLASFICACIÓN'!$F$3:$F5618,'CLASFICACIÓN'!$G$3:$G5618=M3715)"),"SOLO LINEA BASE")</f>
        <v>SOLO LINEA BASE</v>
      </c>
      <c r="K3715" s="16" t="str">
        <f t="array" ref="K3715">IFERROR(DGET('PADD-R'!$B$1:$K5618,'PADD-R'!$K$1,{'PADD-R'!$B$1;E3715}),"NO PARTICIPÓ")</f>
        <v>PADD 2023 Y 2024</v>
      </c>
      <c r="L3715" s="14" t="s">
        <v>138</v>
      </c>
      <c r="M3715" s="16" t="str">
        <f t="shared" si="1"/>
        <v>601331 Primaria</v>
      </c>
      <c r="N3715" s="23"/>
      <c r="O3715" s="17"/>
      <c r="P3715" s="17"/>
      <c r="Q3715" s="17"/>
      <c r="R3715" s="17"/>
      <c r="S3715" s="17"/>
      <c r="T3715" s="17"/>
    </row>
    <row r="3716">
      <c r="A3716" s="18">
        <v>2268.0</v>
      </c>
      <c r="B3716" s="12" t="s">
        <v>13</v>
      </c>
      <c r="C3716" s="12" t="s">
        <v>14</v>
      </c>
      <c r="D3716" s="20" t="s">
        <v>175</v>
      </c>
      <c r="E3716" s="12" t="str">
        <f>IFERROR(__xludf.DUMMYFUNCTION("FILTER(colegios!$B$2:$B5618,colegios!$A$2:$A5618=L3716)"),"60133")</f>
        <v>60133</v>
      </c>
      <c r="F3716" s="14" t="s">
        <v>16</v>
      </c>
      <c r="G3716" s="14" t="s">
        <v>17</v>
      </c>
      <c r="H3716" s="14" t="s">
        <v>18</v>
      </c>
      <c r="I3716" s="15">
        <v>2022.0</v>
      </c>
      <c r="J3716" s="16" t="str">
        <f>IFERROR(__xludf.DUMMYFUNCTION("FILTER('CLASFICACIÓN'!$F$3:$F5618,'CLASFICACIÓN'!$G$3:$G5618=M3716)"),"SOLO LINEA BASE")</f>
        <v>SOLO LINEA BASE</v>
      </c>
      <c r="K3716" s="16" t="str">
        <f t="array" ref="K3716">IFERROR(DGET('PADD-R'!$B$1:$K5618,'PADD-R'!$K$1,{'PADD-R'!$B$1;E3716}),"NO PARTICIPÓ")</f>
        <v>PADD 2023 Y 2024</v>
      </c>
      <c r="L3716" s="14" t="s">
        <v>138</v>
      </c>
      <c r="M3716" s="16" t="str">
        <f t="shared" si="1"/>
        <v>601331 Primaria</v>
      </c>
      <c r="N3716" s="23"/>
      <c r="O3716" s="17"/>
      <c r="P3716" s="17"/>
      <c r="Q3716" s="17"/>
      <c r="R3716" s="17"/>
      <c r="S3716" s="17"/>
      <c r="T3716" s="17"/>
    </row>
    <row r="3717">
      <c r="A3717" s="18">
        <v>2402.0</v>
      </c>
      <c r="B3717" s="12" t="s">
        <v>13</v>
      </c>
      <c r="C3717" s="12" t="s">
        <v>14</v>
      </c>
      <c r="D3717" s="20" t="s">
        <v>175</v>
      </c>
      <c r="E3717" s="12" t="str">
        <f>IFERROR(__xludf.DUMMYFUNCTION("FILTER(colegios!$B$2:$B5618,colegios!$A$2:$A5618=L3717)"),"601331")</f>
        <v>601331</v>
      </c>
      <c r="F3717" s="14" t="s">
        <v>16</v>
      </c>
      <c r="G3717" s="20" t="s">
        <v>21</v>
      </c>
      <c r="H3717" s="14" t="s">
        <v>18</v>
      </c>
      <c r="I3717" s="15">
        <v>2022.0</v>
      </c>
      <c r="J3717" s="16" t="str">
        <f>IFERROR(__xludf.DUMMYFUNCTION("FILTER('CLASFICACIÓN'!$F$3:$F5618,'CLASFICACIÓN'!$G$3:$G5618=M3717)"),"SOLO LINEA BASE")</f>
        <v>SOLO LINEA BASE</v>
      </c>
      <c r="K3717" s="16" t="str">
        <f t="array" ref="K3717">IFERROR(DGET('PADD-R'!$B$1:$K5618,'PADD-R'!$K$1,{'PADD-R'!$B$1;E3717}),"NO PARTICIPÓ")</f>
        <v>SOLO 2023</v>
      </c>
      <c r="L3717" s="14" t="s">
        <v>136</v>
      </c>
      <c r="M3717" s="16" t="str">
        <f t="shared" si="1"/>
        <v>6013311 Primaria</v>
      </c>
      <c r="N3717" s="23"/>
      <c r="O3717" s="17"/>
      <c r="P3717" s="17"/>
      <c r="Q3717" s="17"/>
      <c r="R3717" s="17"/>
      <c r="S3717" s="17"/>
      <c r="T3717" s="17"/>
    </row>
    <row r="3718">
      <c r="A3718" s="18">
        <v>2403.0</v>
      </c>
      <c r="B3718" s="12" t="s">
        <v>13</v>
      </c>
      <c r="C3718" s="12" t="s">
        <v>14</v>
      </c>
      <c r="D3718" s="20" t="s">
        <v>175</v>
      </c>
      <c r="E3718" s="12" t="str">
        <f>IFERROR(__xludf.DUMMYFUNCTION("FILTER(colegios!$B$2:$B5618,colegios!$A$2:$A5618=L3718)"),"601331")</f>
        <v>601331</v>
      </c>
      <c r="F3718" s="14" t="s">
        <v>16</v>
      </c>
      <c r="G3718" s="20" t="s">
        <v>21</v>
      </c>
      <c r="H3718" s="14" t="s">
        <v>18</v>
      </c>
      <c r="I3718" s="15">
        <v>2022.0</v>
      </c>
      <c r="J3718" s="16" t="str">
        <f>IFERROR(__xludf.DUMMYFUNCTION("FILTER('CLASFICACIÓN'!$F$3:$F5618,'CLASFICACIÓN'!$G$3:$G5618=M3718)"),"SOLO LINEA BASE")</f>
        <v>SOLO LINEA BASE</v>
      </c>
      <c r="K3718" s="16" t="str">
        <f t="array" ref="K3718">IFERROR(DGET('PADD-R'!$B$1:$K5618,'PADD-R'!$K$1,{'PADD-R'!$B$1;E3718}),"NO PARTICIPÓ")</f>
        <v>SOLO 2023</v>
      </c>
      <c r="L3718" s="14" t="s">
        <v>136</v>
      </c>
      <c r="M3718" s="16" t="str">
        <f t="shared" si="1"/>
        <v>6013311 Primaria</v>
      </c>
      <c r="N3718" s="23"/>
      <c r="O3718" s="17"/>
      <c r="P3718" s="17"/>
      <c r="Q3718" s="17"/>
      <c r="R3718" s="17"/>
      <c r="S3718" s="17"/>
      <c r="T3718" s="17"/>
    </row>
    <row r="3719">
      <c r="A3719" s="18">
        <v>2404.0</v>
      </c>
      <c r="B3719" s="12" t="s">
        <v>13</v>
      </c>
      <c r="C3719" s="12" t="s">
        <v>14</v>
      </c>
      <c r="D3719" s="20" t="s">
        <v>175</v>
      </c>
      <c r="E3719" s="12" t="str">
        <f>IFERROR(__xludf.DUMMYFUNCTION("FILTER(colegios!$B$2:$B5618,colegios!$A$2:$A5618=L3719)"),"601331")</f>
        <v>601331</v>
      </c>
      <c r="F3719" s="14" t="s">
        <v>16</v>
      </c>
      <c r="G3719" s="20" t="s">
        <v>17</v>
      </c>
      <c r="H3719" s="14" t="s">
        <v>18</v>
      </c>
      <c r="I3719" s="15">
        <v>2022.0</v>
      </c>
      <c r="J3719" s="16" t="str">
        <f>IFERROR(__xludf.DUMMYFUNCTION("FILTER('CLASFICACIÓN'!$F$3:$F5618,'CLASFICACIÓN'!$G$3:$G5618=M3719)"),"SOLO LINEA BASE")</f>
        <v>SOLO LINEA BASE</v>
      </c>
      <c r="K3719" s="16" t="str">
        <f t="array" ref="K3719">IFERROR(DGET('PADD-R'!$B$1:$K5618,'PADD-R'!$K$1,{'PADD-R'!$B$1;E3719}),"NO PARTICIPÓ")</f>
        <v>SOLO 2023</v>
      </c>
      <c r="L3719" s="14" t="s">
        <v>136</v>
      </c>
      <c r="M3719" s="16" t="str">
        <f t="shared" si="1"/>
        <v>6013311 Primaria</v>
      </c>
      <c r="N3719" s="23"/>
      <c r="O3719" s="17"/>
      <c r="P3719" s="17"/>
      <c r="Q3719" s="17"/>
      <c r="R3719" s="17"/>
      <c r="S3719" s="17"/>
      <c r="T3719" s="17"/>
    </row>
    <row r="3720">
      <c r="A3720" s="18">
        <v>2405.0</v>
      </c>
      <c r="B3720" s="12" t="s">
        <v>13</v>
      </c>
      <c r="C3720" s="12" t="s">
        <v>14</v>
      </c>
      <c r="D3720" s="20" t="s">
        <v>175</v>
      </c>
      <c r="E3720" s="12" t="str">
        <f>IFERROR(__xludf.DUMMYFUNCTION("FILTER(colegios!$B$2:$B5618,colegios!$A$2:$A5618=L3720)"),"601331")</f>
        <v>601331</v>
      </c>
      <c r="F3720" s="14" t="s">
        <v>16</v>
      </c>
      <c r="G3720" s="20" t="s">
        <v>17</v>
      </c>
      <c r="H3720" s="14" t="s">
        <v>18</v>
      </c>
      <c r="I3720" s="15">
        <v>2022.0</v>
      </c>
      <c r="J3720" s="16" t="str">
        <f>IFERROR(__xludf.DUMMYFUNCTION("FILTER('CLASFICACIÓN'!$F$3:$F5618,'CLASFICACIÓN'!$G$3:$G5618=M3720)"),"SOLO LINEA BASE")</f>
        <v>SOLO LINEA BASE</v>
      </c>
      <c r="K3720" s="16" t="str">
        <f t="array" ref="K3720">IFERROR(DGET('PADD-R'!$B$1:$K5618,'PADD-R'!$K$1,{'PADD-R'!$B$1;E3720}),"NO PARTICIPÓ")</f>
        <v>SOLO 2023</v>
      </c>
      <c r="L3720" s="14" t="s">
        <v>136</v>
      </c>
      <c r="M3720" s="16" t="str">
        <f t="shared" si="1"/>
        <v>6013311 Primaria</v>
      </c>
      <c r="N3720" s="23"/>
      <c r="O3720" s="17"/>
      <c r="P3720" s="17"/>
      <c r="Q3720" s="17"/>
      <c r="R3720" s="17"/>
      <c r="S3720" s="17"/>
      <c r="T3720" s="17"/>
    </row>
    <row r="3721">
      <c r="A3721" s="18">
        <v>2406.0</v>
      </c>
      <c r="B3721" s="12" t="s">
        <v>13</v>
      </c>
      <c r="C3721" s="12" t="s">
        <v>14</v>
      </c>
      <c r="D3721" s="20" t="s">
        <v>175</v>
      </c>
      <c r="E3721" s="12" t="str">
        <f>IFERROR(__xludf.DUMMYFUNCTION("FILTER(colegios!$B$2:$B5618,colegios!$A$2:$A5618=L3721)"),"601331")</f>
        <v>601331</v>
      </c>
      <c r="F3721" s="14" t="s">
        <v>16</v>
      </c>
      <c r="G3721" s="20" t="s">
        <v>17</v>
      </c>
      <c r="H3721" s="14" t="s">
        <v>18</v>
      </c>
      <c r="I3721" s="15">
        <v>2022.0</v>
      </c>
      <c r="J3721" s="16" t="str">
        <f>IFERROR(__xludf.DUMMYFUNCTION("FILTER('CLASFICACIÓN'!$F$3:$F5618,'CLASFICACIÓN'!$G$3:$G5618=M3721)"),"SOLO LINEA BASE")</f>
        <v>SOLO LINEA BASE</v>
      </c>
      <c r="K3721" s="16" t="str">
        <f t="array" ref="K3721">IFERROR(DGET('PADD-R'!$B$1:$K5618,'PADD-R'!$K$1,{'PADD-R'!$B$1;E3721}),"NO PARTICIPÓ")</f>
        <v>SOLO 2023</v>
      </c>
      <c r="L3721" s="14" t="s">
        <v>136</v>
      </c>
      <c r="M3721" s="16" t="str">
        <f t="shared" si="1"/>
        <v>6013311 Primaria</v>
      </c>
      <c r="N3721" s="23"/>
      <c r="O3721" s="17"/>
      <c r="P3721" s="17"/>
      <c r="Q3721" s="17"/>
      <c r="R3721" s="17"/>
      <c r="S3721" s="17"/>
      <c r="T3721" s="17"/>
    </row>
    <row r="3722">
      <c r="A3722" s="18">
        <v>2407.0</v>
      </c>
      <c r="B3722" s="12" t="s">
        <v>13</v>
      </c>
      <c r="C3722" s="12" t="s">
        <v>14</v>
      </c>
      <c r="D3722" s="20" t="s">
        <v>175</v>
      </c>
      <c r="E3722" s="12" t="str">
        <f>IFERROR(__xludf.DUMMYFUNCTION("FILTER(colegios!$B$2:$B5618,colegios!$A$2:$A5618=L3722)"),"601331")</f>
        <v>601331</v>
      </c>
      <c r="F3722" s="14" t="s">
        <v>16</v>
      </c>
      <c r="G3722" s="20" t="s">
        <v>17</v>
      </c>
      <c r="H3722" s="14" t="s">
        <v>18</v>
      </c>
      <c r="I3722" s="15">
        <v>2022.0</v>
      </c>
      <c r="J3722" s="16" t="str">
        <f>IFERROR(__xludf.DUMMYFUNCTION("FILTER('CLASFICACIÓN'!$F$3:$F5618,'CLASFICACIÓN'!$G$3:$G5618=M3722)"),"SOLO LINEA BASE")</f>
        <v>SOLO LINEA BASE</v>
      </c>
      <c r="K3722" s="16" t="str">
        <f t="array" ref="K3722">IFERROR(DGET('PADD-R'!$B$1:$K5618,'PADD-R'!$K$1,{'PADD-R'!$B$1;E3722}),"NO PARTICIPÓ")</f>
        <v>SOLO 2023</v>
      </c>
      <c r="L3722" s="14" t="s">
        <v>136</v>
      </c>
      <c r="M3722" s="16" t="str">
        <f t="shared" si="1"/>
        <v>6013311 Primaria</v>
      </c>
      <c r="N3722" s="23"/>
      <c r="O3722" s="17"/>
      <c r="P3722" s="17"/>
      <c r="Q3722" s="17"/>
      <c r="R3722" s="17"/>
      <c r="S3722" s="17"/>
      <c r="T3722" s="17"/>
    </row>
    <row r="3723">
      <c r="A3723" s="18">
        <v>2408.0</v>
      </c>
      <c r="B3723" s="12" t="s">
        <v>13</v>
      </c>
      <c r="C3723" s="12" t="s">
        <v>14</v>
      </c>
      <c r="D3723" s="20" t="s">
        <v>175</v>
      </c>
      <c r="E3723" s="12" t="str">
        <f>IFERROR(__xludf.DUMMYFUNCTION("FILTER(colegios!$B$2:$B5618,colegios!$A$2:$A5618=L3723)"),"601331")</f>
        <v>601331</v>
      </c>
      <c r="F3723" s="14" t="s">
        <v>16</v>
      </c>
      <c r="G3723" s="20" t="s">
        <v>17</v>
      </c>
      <c r="H3723" s="14" t="s">
        <v>18</v>
      </c>
      <c r="I3723" s="15">
        <v>2022.0</v>
      </c>
      <c r="J3723" s="16" t="str">
        <f>IFERROR(__xludf.DUMMYFUNCTION("FILTER('CLASFICACIÓN'!$F$3:$F5618,'CLASFICACIÓN'!$G$3:$G5618=M3723)"),"SOLO LINEA BASE")</f>
        <v>SOLO LINEA BASE</v>
      </c>
      <c r="K3723" s="16" t="str">
        <f t="array" ref="K3723">IFERROR(DGET('PADD-R'!$B$1:$K5618,'PADD-R'!$K$1,{'PADD-R'!$B$1;E3723}),"NO PARTICIPÓ")</f>
        <v>SOLO 2023</v>
      </c>
      <c r="L3723" s="14" t="s">
        <v>136</v>
      </c>
      <c r="M3723" s="16" t="str">
        <f t="shared" si="1"/>
        <v>6013311 Primaria</v>
      </c>
      <c r="N3723" s="23"/>
      <c r="O3723" s="17"/>
      <c r="P3723" s="17"/>
      <c r="Q3723" s="17"/>
      <c r="R3723" s="17"/>
      <c r="S3723" s="17"/>
      <c r="T3723" s="17"/>
    </row>
    <row r="3724">
      <c r="A3724" s="18">
        <v>2409.0</v>
      </c>
      <c r="B3724" s="12" t="s">
        <v>13</v>
      </c>
      <c r="C3724" s="12" t="s">
        <v>14</v>
      </c>
      <c r="D3724" s="20" t="s">
        <v>175</v>
      </c>
      <c r="E3724" s="12" t="str">
        <f>IFERROR(__xludf.DUMMYFUNCTION("FILTER(colegios!$B$2:$B5618,colegios!$A$2:$A5618=L3724)"),"601331")</f>
        <v>601331</v>
      </c>
      <c r="F3724" s="14" t="s">
        <v>16</v>
      </c>
      <c r="G3724" s="20" t="s">
        <v>17</v>
      </c>
      <c r="H3724" s="14" t="s">
        <v>18</v>
      </c>
      <c r="I3724" s="15">
        <v>2022.0</v>
      </c>
      <c r="J3724" s="16" t="str">
        <f>IFERROR(__xludf.DUMMYFUNCTION("FILTER('CLASFICACIÓN'!$F$3:$F5618,'CLASFICACIÓN'!$G$3:$G5618=M3724)"),"SOLO LINEA BASE")</f>
        <v>SOLO LINEA BASE</v>
      </c>
      <c r="K3724" s="16" t="str">
        <f t="array" ref="K3724">IFERROR(DGET('PADD-R'!$B$1:$K5618,'PADD-R'!$K$1,{'PADD-R'!$B$1;E3724}),"NO PARTICIPÓ")</f>
        <v>SOLO 2023</v>
      </c>
      <c r="L3724" s="14" t="s">
        <v>136</v>
      </c>
      <c r="M3724" s="16" t="str">
        <f t="shared" si="1"/>
        <v>6013311 Primaria</v>
      </c>
      <c r="N3724" s="23"/>
      <c r="O3724" s="17"/>
      <c r="P3724" s="17"/>
      <c r="Q3724" s="17"/>
      <c r="R3724" s="17"/>
      <c r="S3724" s="17"/>
      <c r="T3724" s="17"/>
    </row>
    <row r="3725">
      <c r="A3725" s="18">
        <v>2410.0</v>
      </c>
      <c r="B3725" s="12" t="s">
        <v>13</v>
      </c>
      <c r="C3725" s="12" t="s">
        <v>14</v>
      </c>
      <c r="D3725" s="20" t="s">
        <v>175</v>
      </c>
      <c r="E3725" s="12" t="str">
        <f>IFERROR(__xludf.DUMMYFUNCTION("FILTER(colegios!$B$2:$B5618,colegios!$A$2:$A5618=L3725)"),"601331")</f>
        <v>601331</v>
      </c>
      <c r="F3725" s="14" t="s">
        <v>16</v>
      </c>
      <c r="G3725" s="20" t="s">
        <v>21</v>
      </c>
      <c r="H3725" s="14" t="s">
        <v>18</v>
      </c>
      <c r="I3725" s="15">
        <v>2022.0</v>
      </c>
      <c r="J3725" s="16" t="str">
        <f>IFERROR(__xludf.DUMMYFUNCTION("FILTER('CLASFICACIÓN'!$F$3:$F5618,'CLASFICACIÓN'!$G$3:$G5618=M3725)"),"SOLO LINEA BASE")</f>
        <v>SOLO LINEA BASE</v>
      </c>
      <c r="K3725" s="16" t="str">
        <f t="array" ref="K3725">IFERROR(DGET('PADD-R'!$B$1:$K5618,'PADD-R'!$K$1,{'PADD-R'!$B$1;E3725}),"NO PARTICIPÓ")</f>
        <v>SOLO 2023</v>
      </c>
      <c r="L3725" s="14" t="s">
        <v>136</v>
      </c>
      <c r="M3725" s="16" t="str">
        <f t="shared" si="1"/>
        <v>6013311 Primaria</v>
      </c>
      <c r="N3725" s="23"/>
      <c r="O3725" s="17"/>
      <c r="P3725" s="17"/>
      <c r="Q3725" s="17"/>
      <c r="R3725" s="17"/>
      <c r="S3725" s="17"/>
      <c r="T3725" s="17"/>
    </row>
    <row r="3726">
      <c r="A3726" s="18">
        <v>2411.0</v>
      </c>
      <c r="B3726" s="12" t="s">
        <v>13</v>
      </c>
      <c r="C3726" s="12" t="s">
        <v>14</v>
      </c>
      <c r="D3726" s="20" t="s">
        <v>175</v>
      </c>
      <c r="E3726" s="12" t="str">
        <f>IFERROR(__xludf.DUMMYFUNCTION("FILTER(colegios!$B$2:$B5618,colegios!$A$2:$A5618=L3726)"),"601331")</f>
        <v>601331</v>
      </c>
      <c r="F3726" s="14" t="s">
        <v>16</v>
      </c>
      <c r="G3726" s="20" t="s">
        <v>21</v>
      </c>
      <c r="H3726" s="14" t="s">
        <v>18</v>
      </c>
      <c r="I3726" s="15">
        <v>2022.0</v>
      </c>
      <c r="J3726" s="16" t="str">
        <f>IFERROR(__xludf.DUMMYFUNCTION("FILTER('CLASFICACIÓN'!$F$3:$F5618,'CLASFICACIÓN'!$G$3:$G5618=M3726)"),"SOLO LINEA BASE")</f>
        <v>SOLO LINEA BASE</v>
      </c>
      <c r="K3726" s="16" t="str">
        <f t="array" ref="K3726">IFERROR(DGET('PADD-R'!$B$1:$K5618,'PADD-R'!$K$1,{'PADD-R'!$B$1;E3726}),"NO PARTICIPÓ")</f>
        <v>SOLO 2023</v>
      </c>
      <c r="L3726" s="14" t="s">
        <v>136</v>
      </c>
      <c r="M3726" s="16" t="str">
        <f t="shared" si="1"/>
        <v>6013311 Primaria</v>
      </c>
      <c r="N3726" s="23"/>
      <c r="O3726" s="17"/>
      <c r="P3726" s="17"/>
      <c r="Q3726" s="17"/>
      <c r="R3726" s="17"/>
      <c r="S3726" s="17"/>
      <c r="T3726" s="17"/>
    </row>
    <row r="3727">
      <c r="A3727" s="18">
        <v>2412.0</v>
      </c>
      <c r="B3727" s="12" t="s">
        <v>13</v>
      </c>
      <c r="C3727" s="12" t="s">
        <v>14</v>
      </c>
      <c r="D3727" s="20" t="s">
        <v>175</v>
      </c>
      <c r="E3727" s="12" t="str">
        <f>IFERROR(__xludf.DUMMYFUNCTION("FILTER(colegios!$B$2:$B5618,colegios!$A$2:$A5618=L3727)"),"601331")</f>
        <v>601331</v>
      </c>
      <c r="F3727" s="14" t="s">
        <v>16</v>
      </c>
      <c r="G3727" s="20" t="s">
        <v>21</v>
      </c>
      <c r="H3727" s="14" t="s">
        <v>18</v>
      </c>
      <c r="I3727" s="15">
        <v>2022.0</v>
      </c>
      <c r="J3727" s="16" t="str">
        <f>IFERROR(__xludf.DUMMYFUNCTION("FILTER('CLASFICACIÓN'!$F$3:$F5618,'CLASFICACIÓN'!$G$3:$G5618=M3727)"),"SOLO LINEA BASE")</f>
        <v>SOLO LINEA BASE</v>
      </c>
      <c r="K3727" s="16" t="str">
        <f t="array" ref="K3727">IFERROR(DGET('PADD-R'!$B$1:$K5618,'PADD-R'!$K$1,{'PADD-R'!$B$1;E3727}),"NO PARTICIPÓ")</f>
        <v>SOLO 2023</v>
      </c>
      <c r="L3727" s="14" t="s">
        <v>136</v>
      </c>
      <c r="M3727" s="16" t="str">
        <f t="shared" si="1"/>
        <v>6013311 Primaria</v>
      </c>
      <c r="N3727" s="23"/>
      <c r="O3727" s="17"/>
      <c r="P3727" s="17"/>
      <c r="Q3727" s="17"/>
      <c r="R3727" s="17"/>
      <c r="S3727" s="17"/>
      <c r="T3727" s="17"/>
    </row>
    <row r="3728">
      <c r="A3728" s="18">
        <v>2413.0</v>
      </c>
      <c r="B3728" s="12" t="s">
        <v>13</v>
      </c>
      <c r="C3728" s="12" t="s">
        <v>14</v>
      </c>
      <c r="D3728" s="20" t="s">
        <v>175</v>
      </c>
      <c r="E3728" s="12" t="str">
        <f>IFERROR(__xludf.DUMMYFUNCTION("FILTER(colegios!$B$2:$B5618,colegios!$A$2:$A5618=L3728)"),"601331")</f>
        <v>601331</v>
      </c>
      <c r="F3728" s="14" t="s">
        <v>16</v>
      </c>
      <c r="G3728" s="20" t="s">
        <v>21</v>
      </c>
      <c r="H3728" s="14" t="s">
        <v>18</v>
      </c>
      <c r="I3728" s="15">
        <v>2022.0</v>
      </c>
      <c r="J3728" s="16" t="str">
        <f>IFERROR(__xludf.DUMMYFUNCTION("FILTER('CLASFICACIÓN'!$F$3:$F5618,'CLASFICACIÓN'!$G$3:$G5618=M3728)"),"SOLO LINEA BASE")</f>
        <v>SOLO LINEA BASE</v>
      </c>
      <c r="K3728" s="16" t="str">
        <f t="array" ref="K3728">IFERROR(DGET('PADD-R'!$B$1:$K5618,'PADD-R'!$K$1,{'PADD-R'!$B$1;E3728}),"NO PARTICIPÓ")</f>
        <v>SOLO 2023</v>
      </c>
      <c r="L3728" s="14" t="s">
        <v>136</v>
      </c>
      <c r="M3728" s="16" t="str">
        <f t="shared" si="1"/>
        <v>6013311 Primaria</v>
      </c>
      <c r="N3728" s="23"/>
      <c r="O3728" s="17"/>
      <c r="P3728" s="17"/>
      <c r="Q3728" s="17"/>
      <c r="R3728" s="17"/>
      <c r="S3728" s="17"/>
      <c r="T3728" s="17"/>
    </row>
    <row r="3729">
      <c r="A3729" s="18">
        <v>2414.0</v>
      </c>
      <c r="B3729" s="12" t="s">
        <v>13</v>
      </c>
      <c r="C3729" s="12" t="s">
        <v>14</v>
      </c>
      <c r="D3729" s="20" t="s">
        <v>175</v>
      </c>
      <c r="E3729" s="12" t="str">
        <f>IFERROR(__xludf.DUMMYFUNCTION("FILTER(colegios!$B$2:$B5618,colegios!$A$2:$A5618=L3729)"),"601331")</f>
        <v>601331</v>
      </c>
      <c r="F3729" s="14" t="s">
        <v>16</v>
      </c>
      <c r="G3729" s="20" t="s">
        <v>21</v>
      </c>
      <c r="H3729" s="14" t="s">
        <v>18</v>
      </c>
      <c r="I3729" s="15">
        <v>2022.0</v>
      </c>
      <c r="J3729" s="16" t="str">
        <f>IFERROR(__xludf.DUMMYFUNCTION("FILTER('CLASFICACIÓN'!$F$3:$F5618,'CLASFICACIÓN'!$G$3:$G5618=M3729)"),"SOLO LINEA BASE")</f>
        <v>SOLO LINEA BASE</v>
      </c>
      <c r="K3729" s="16" t="str">
        <f t="array" ref="K3729">IFERROR(DGET('PADD-R'!$B$1:$K5618,'PADD-R'!$K$1,{'PADD-R'!$B$1;E3729}),"NO PARTICIPÓ")</f>
        <v>SOLO 2023</v>
      </c>
      <c r="L3729" s="14" t="s">
        <v>136</v>
      </c>
      <c r="M3729" s="16" t="str">
        <f t="shared" si="1"/>
        <v>6013311 Primaria</v>
      </c>
      <c r="N3729" s="23"/>
      <c r="O3729" s="17"/>
      <c r="P3729" s="17"/>
      <c r="Q3729" s="17"/>
      <c r="R3729" s="17"/>
      <c r="S3729" s="17"/>
      <c r="T3729" s="17"/>
    </row>
    <row r="3730">
      <c r="A3730" s="18">
        <v>2415.0</v>
      </c>
      <c r="B3730" s="12" t="s">
        <v>13</v>
      </c>
      <c r="C3730" s="12" t="s">
        <v>14</v>
      </c>
      <c r="D3730" s="20" t="s">
        <v>175</v>
      </c>
      <c r="E3730" s="12" t="str">
        <f>IFERROR(__xludf.DUMMYFUNCTION("FILTER(colegios!$B$2:$B5618,colegios!$A$2:$A5618=L3730)"),"601331")</f>
        <v>601331</v>
      </c>
      <c r="F3730" s="14" t="s">
        <v>16</v>
      </c>
      <c r="G3730" s="20" t="s">
        <v>21</v>
      </c>
      <c r="H3730" s="14" t="s">
        <v>18</v>
      </c>
      <c r="I3730" s="15">
        <v>2022.0</v>
      </c>
      <c r="J3730" s="16" t="str">
        <f>IFERROR(__xludf.DUMMYFUNCTION("FILTER('CLASFICACIÓN'!$F$3:$F5618,'CLASFICACIÓN'!$G$3:$G5618=M3730)"),"SOLO LINEA BASE")</f>
        <v>SOLO LINEA BASE</v>
      </c>
      <c r="K3730" s="16" t="str">
        <f t="array" ref="K3730">IFERROR(DGET('PADD-R'!$B$1:$K5618,'PADD-R'!$K$1,{'PADD-R'!$B$1;E3730}),"NO PARTICIPÓ")</f>
        <v>SOLO 2023</v>
      </c>
      <c r="L3730" s="14" t="s">
        <v>136</v>
      </c>
      <c r="M3730" s="16" t="str">
        <f t="shared" si="1"/>
        <v>6013311 Primaria</v>
      </c>
      <c r="N3730" s="23"/>
      <c r="O3730" s="17"/>
      <c r="P3730" s="17"/>
      <c r="Q3730" s="17"/>
      <c r="R3730" s="17"/>
      <c r="S3730" s="17"/>
      <c r="T3730" s="17"/>
    </row>
    <row r="3731">
      <c r="A3731" s="18">
        <v>2416.0</v>
      </c>
      <c r="B3731" s="12" t="s">
        <v>13</v>
      </c>
      <c r="C3731" s="12" t="s">
        <v>14</v>
      </c>
      <c r="D3731" s="20" t="s">
        <v>175</v>
      </c>
      <c r="E3731" s="12" t="str">
        <f>IFERROR(__xludf.DUMMYFUNCTION("FILTER(colegios!$B$2:$B5618,colegios!$A$2:$A5618=L3731)"),"601331")</f>
        <v>601331</v>
      </c>
      <c r="F3731" s="14" t="s">
        <v>16</v>
      </c>
      <c r="G3731" s="20" t="s">
        <v>17</v>
      </c>
      <c r="H3731" s="14" t="s">
        <v>18</v>
      </c>
      <c r="I3731" s="15">
        <v>2022.0</v>
      </c>
      <c r="J3731" s="16" t="str">
        <f>IFERROR(__xludf.DUMMYFUNCTION("FILTER('CLASFICACIÓN'!$F$3:$F5618,'CLASFICACIÓN'!$G$3:$G5618=M3731)"),"SOLO LINEA BASE")</f>
        <v>SOLO LINEA BASE</v>
      </c>
      <c r="K3731" s="16" t="str">
        <f t="array" ref="K3731">IFERROR(DGET('PADD-R'!$B$1:$K5618,'PADD-R'!$K$1,{'PADD-R'!$B$1;E3731}),"NO PARTICIPÓ")</f>
        <v>SOLO 2023</v>
      </c>
      <c r="L3731" s="14" t="s">
        <v>136</v>
      </c>
      <c r="M3731" s="16" t="str">
        <f t="shared" si="1"/>
        <v>6013311 Primaria</v>
      </c>
      <c r="N3731" s="23"/>
      <c r="O3731" s="17"/>
      <c r="P3731" s="17"/>
      <c r="Q3731" s="17"/>
      <c r="R3731" s="17"/>
      <c r="S3731" s="17"/>
      <c r="T3731" s="17"/>
    </row>
    <row r="3732">
      <c r="A3732" s="18">
        <v>2417.0</v>
      </c>
      <c r="B3732" s="12" t="s">
        <v>13</v>
      </c>
      <c r="C3732" s="12" t="s">
        <v>14</v>
      </c>
      <c r="D3732" s="20" t="s">
        <v>175</v>
      </c>
      <c r="E3732" s="12" t="str">
        <f>IFERROR(__xludf.DUMMYFUNCTION("FILTER(colegios!$B$2:$B5618,colegios!$A$2:$A5618=L3732)"),"601331")</f>
        <v>601331</v>
      </c>
      <c r="F3732" s="14" t="s">
        <v>16</v>
      </c>
      <c r="G3732" s="20" t="s">
        <v>17</v>
      </c>
      <c r="H3732" s="14" t="s">
        <v>18</v>
      </c>
      <c r="I3732" s="15">
        <v>2022.0</v>
      </c>
      <c r="J3732" s="16" t="str">
        <f>IFERROR(__xludf.DUMMYFUNCTION("FILTER('CLASFICACIÓN'!$F$3:$F5618,'CLASFICACIÓN'!$G$3:$G5618=M3732)"),"SOLO LINEA BASE")</f>
        <v>SOLO LINEA BASE</v>
      </c>
      <c r="K3732" s="16" t="str">
        <f t="array" ref="K3732">IFERROR(DGET('PADD-R'!$B$1:$K5618,'PADD-R'!$K$1,{'PADD-R'!$B$1;E3732}),"NO PARTICIPÓ")</f>
        <v>SOLO 2023</v>
      </c>
      <c r="L3732" s="14" t="s">
        <v>136</v>
      </c>
      <c r="M3732" s="16" t="str">
        <f t="shared" si="1"/>
        <v>6013311 Primaria</v>
      </c>
      <c r="N3732" s="23"/>
      <c r="O3732" s="17"/>
      <c r="P3732" s="17"/>
      <c r="Q3732" s="17"/>
      <c r="R3732" s="17"/>
      <c r="S3732" s="17"/>
      <c r="T3732" s="17"/>
    </row>
    <row r="3733">
      <c r="A3733" s="18">
        <v>2418.0</v>
      </c>
      <c r="B3733" s="12" t="s">
        <v>13</v>
      </c>
      <c r="C3733" s="12" t="s">
        <v>14</v>
      </c>
      <c r="D3733" s="20" t="s">
        <v>175</v>
      </c>
      <c r="E3733" s="12" t="str">
        <f>IFERROR(__xludf.DUMMYFUNCTION("FILTER(colegios!$B$2:$B5618,colegios!$A$2:$A5618=L3733)"),"601331")</f>
        <v>601331</v>
      </c>
      <c r="F3733" s="14" t="s">
        <v>16</v>
      </c>
      <c r="G3733" s="20" t="s">
        <v>17</v>
      </c>
      <c r="H3733" s="14" t="s">
        <v>18</v>
      </c>
      <c r="I3733" s="15">
        <v>2022.0</v>
      </c>
      <c r="J3733" s="16" t="str">
        <f>IFERROR(__xludf.DUMMYFUNCTION("FILTER('CLASFICACIÓN'!$F$3:$F5618,'CLASFICACIÓN'!$G$3:$G5618=M3733)"),"SOLO LINEA BASE")</f>
        <v>SOLO LINEA BASE</v>
      </c>
      <c r="K3733" s="16" t="str">
        <f t="array" ref="K3733">IFERROR(DGET('PADD-R'!$B$1:$K5618,'PADD-R'!$K$1,{'PADD-R'!$B$1;E3733}),"NO PARTICIPÓ")</f>
        <v>SOLO 2023</v>
      </c>
      <c r="L3733" s="14" t="s">
        <v>136</v>
      </c>
      <c r="M3733" s="16" t="str">
        <f t="shared" si="1"/>
        <v>6013311 Primaria</v>
      </c>
      <c r="N3733" s="23"/>
      <c r="O3733" s="17"/>
      <c r="P3733" s="17"/>
      <c r="Q3733" s="17"/>
      <c r="R3733" s="17"/>
      <c r="S3733" s="17"/>
      <c r="T3733" s="17"/>
    </row>
    <row r="3734">
      <c r="A3734" s="18">
        <v>2419.0</v>
      </c>
      <c r="B3734" s="12" t="s">
        <v>13</v>
      </c>
      <c r="C3734" s="12" t="s">
        <v>14</v>
      </c>
      <c r="D3734" s="20" t="s">
        <v>175</v>
      </c>
      <c r="E3734" s="12" t="str">
        <f>IFERROR(__xludf.DUMMYFUNCTION("FILTER(colegios!$B$2:$B5618,colegios!$A$2:$A5618=L3734)"),"601331")</f>
        <v>601331</v>
      </c>
      <c r="F3734" s="14" t="s">
        <v>16</v>
      </c>
      <c r="G3734" s="20" t="s">
        <v>17</v>
      </c>
      <c r="H3734" s="14" t="s">
        <v>18</v>
      </c>
      <c r="I3734" s="15">
        <v>2022.0</v>
      </c>
      <c r="J3734" s="16" t="str">
        <f>IFERROR(__xludf.DUMMYFUNCTION("FILTER('CLASFICACIÓN'!$F$3:$F5618,'CLASFICACIÓN'!$G$3:$G5618=M3734)"),"SOLO LINEA BASE")</f>
        <v>SOLO LINEA BASE</v>
      </c>
      <c r="K3734" s="16" t="str">
        <f t="array" ref="K3734">IFERROR(DGET('PADD-R'!$B$1:$K5618,'PADD-R'!$K$1,{'PADD-R'!$B$1;E3734}),"NO PARTICIPÓ")</f>
        <v>SOLO 2023</v>
      </c>
      <c r="L3734" s="14" t="s">
        <v>136</v>
      </c>
      <c r="M3734" s="16" t="str">
        <f t="shared" si="1"/>
        <v>6013311 Primaria</v>
      </c>
      <c r="N3734" s="23"/>
      <c r="O3734" s="17"/>
      <c r="P3734" s="17"/>
      <c r="Q3734" s="17"/>
      <c r="R3734" s="17"/>
      <c r="S3734" s="17"/>
      <c r="T3734" s="17"/>
    </row>
    <row r="3735">
      <c r="A3735" s="18">
        <v>2420.0</v>
      </c>
      <c r="B3735" s="12" t="s">
        <v>13</v>
      </c>
      <c r="C3735" s="12" t="s">
        <v>14</v>
      </c>
      <c r="D3735" s="20" t="s">
        <v>175</v>
      </c>
      <c r="E3735" s="12" t="str">
        <f>IFERROR(__xludf.DUMMYFUNCTION("FILTER(colegios!$B$2:$B5618,colegios!$A$2:$A5618=L3735)"),"601331")</f>
        <v>601331</v>
      </c>
      <c r="F3735" s="14" t="s">
        <v>16</v>
      </c>
      <c r="G3735" s="20" t="s">
        <v>21</v>
      </c>
      <c r="H3735" s="14" t="s">
        <v>18</v>
      </c>
      <c r="I3735" s="15">
        <v>2022.0</v>
      </c>
      <c r="J3735" s="16" t="str">
        <f>IFERROR(__xludf.DUMMYFUNCTION("FILTER('CLASFICACIÓN'!$F$3:$F5618,'CLASFICACIÓN'!$G$3:$G5618=M3735)"),"SOLO LINEA BASE")</f>
        <v>SOLO LINEA BASE</v>
      </c>
      <c r="K3735" s="16" t="str">
        <f t="array" ref="K3735">IFERROR(DGET('PADD-R'!$B$1:$K5618,'PADD-R'!$K$1,{'PADD-R'!$B$1;E3735}),"NO PARTICIPÓ")</f>
        <v>SOLO 2023</v>
      </c>
      <c r="L3735" s="14" t="s">
        <v>136</v>
      </c>
      <c r="M3735" s="16" t="str">
        <f t="shared" si="1"/>
        <v>6013311 Primaria</v>
      </c>
      <c r="N3735" s="23"/>
      <c r="O3735" s="17"/>
      <c r="P3735" s="17"/>
      <c r="Q3735" s="17"/>
      <c r="R3735" s="17"/>
      <c r="S3735" s="17"/>
      <c r="T3735" s="17"/>
    </row>
    <row r="3736">
      <c r="A3736" s="18">
        <v>2421.0</v>
      </c>
      <c r="B3736" s="12" t="s">
        <v>13</v>
      </c>
      <c r="C3736" s="12" t="s">
        <v>14</v>
      </c>
      <c r="D3736" s="20" t="s">
        <v>175</v>
      </c>
      <c r="E3736" s="12" t="str">
        <f>IFERROR(__xludf.DUMMYFUNCTION("FILTER(colegios!$B$2:$B5618,colegios!$A$2:$A5618=L3736)"),"601331")</f>
        <v>601331</v>
      </c>
      <c r="F3736" s="14" t="s">
        <v>16</v>
      </c>
      <c r="G3736" s="20" t="s">
        <v>21</v>
      </c>
      <c r="H3736" s="14" t="s">
        <v>18</v>
      </c>
      <c r="I3736" s="15">
        <v>2022.0</v>
      </c>
      <c r="J3736" s="16" t="str">
        <f>IFERROR(__xludf.DUMMYFUNCTION("FILTER('CLASFICACIÓN'!$F$3:$F5618,'CLASFICACIÓN'!$G$3:$G5618=M3736)"),"SOLO LINEA BASE")</f>
        <v>SOLO LINEA BASE</v>
      </c>
      <c r="K3736" s="16" t="str">
        <f t="array" ref="K3736">IFERROR(DGET('PADD-R'!$B$1:$K5618,'PADD-R'!$K$1,{'PADD-R'!$B$1;E3736}),"NO PARTICIPÓ")</f>
        <v>SOLO 2023</v>
      </c>
      <c r="L3736" s="14" t="s">
        <v>136</v>
      </c>
      <c r="M3736" s="16" t="str">
        <f t="shared" si="1"/>
        <v>6013311 Primaria</v>
      </c>
      <c r="N3736" s="23"/>
      <c r="O3736" s="17"/>
      <c r="P3736" s="17"/>
      <c r="Q3736" s="17"/>
      <c r="R3736" s="17"/>
      <c r="S3736" s="17"/>
      <c r="T3736" s="17"/>
    </row>
    <row r="3737">
      <c r="A3737" s="18">
        <v>2509.0</v>
      </c>
      <c r="B3737" s="12" t="s">
        <v>13</v>
      </c>
      <c r="C3737" s="12" t="s">
        <v>14</v>
      </c>
      <c r="D3737" s="20" t="s">
        <v>175</v>
      </c>
      <c r="E3737" s="12" t="str">
        <f>IFERROR(__xludf.DUMMYFUNCTION("FILTER(colegios!$B$2:$B5618,colegios!$A$2:$A5618=L3737)"),"601448")</f>
        <v>601448</v>
      </c>
      <c r="F3737" s="14" t="s">
        <v>16</v>
      </c>
      <c r="G3737" s="20" t="s">
        <v>21</v>
      </c>
      <c r="H3737" s="14" t="s">
        <v>18</v>
      </c>
      <c r="I3737" s="15">
        <v>2022.0</v>
      </c>
      <c r="J3737" s="16" t="str">
        <f>IFERROR(__xludf.DUMMYFUNCTION("FILTER('CLASFICACIÓN'!$F$3:$F5618,'CLASFICACIÓN'!$G$3:$G5618=M3737)"),"SOLO LINEA BASE")</f>
        <v>SOLO LINEA BASE</v>
      </c>
      <c r="K3737" s="16" t="str">
        <f t="array" ref="K3737">IFERROR(DGET('PADD-R'!$B$1:$K5618,'PADD-R'!$K$1,{'PADD-R'!$B$1;E3737}),"NO PARTICIPÓ")</f>
        <v>PADD 2023 Y 2024</v>
      </c>
      <c r="L3737" s="14" t="s">
        <v>131</v>
      </c>
      <c r="M3737" s="16" t="str">
        <f t="shared" si="1"/>
        <v>6014481 Primaria</v>
      </c>
      <c r="N3737" s="23"/>
      <c r="O3737" s="17"/>
      <c r="P3737" s="17"/>
      <c r="Q3737" s="17"/>
      <c r="R3737" s="17"/>
      <c r="S3737" s="17"/>
      <c r="T3737" s="17"/>
    </row>
    <row r="3738">
      <c r="A3738" s="18">
        <v>2510.0</v>
      </c>
      <c r="B3738" s="12" t="s">
        <v>13</v>
      </c>
      <c r="C3738" s="12" t="s">
        <v>14</v>
      </c>
      <c r="D3738" s="20" t="s">
        <v>175</v>
      </c>
      <c r="E3738" s="12" t="str">
        <f>IFERROR(__xludf.DUMMYFUNCTION("FILTER(colegios!$B$2:$B5618,colegios!$A$2:$A5618=L3738)"),"601448")</f>
        <v>601448</v>
      </c>
      <c r="F3738" s="14" t="s">
        <v>16</v>
      </c>
      <c r="G3738" s="20" t="s">
        <v>21</v>
      </c>
      <c r="H3738" s="14" t="s">
        <v>18</v>
      </c>
      <c r="I3738" s="15">
        <v>2022.0</v>
      </c>
      <c r="J3738" s="16" t="str">
        <f>IFERROR(__xludf.DUMMYFUNCTION("FILTER('CLASFICACIÓN'!$F$3:$F5618,'CLASFICACIÓN'!$G$3:$G5618=M3738)"),"SOLO LINEA BASE")</f>
        <v>SOLO LINEA BASE</v>
      </c>
      <c r="K3738" s="16" t="str">
        <f t="array" ref="K3738">IFERROR(DGET('PADD-R'!$B$1:$K5618,'PADD-R'!$K$1,{'PADD-R'!$B$1;E3738}),"NO PARTICIPÓ")</f>
        <v>PADD 2023 Y 2024</v>
      </c>
      <c r="L3738" s="14" t="s">
        <v>131</v>
      </c>
      <c r="M3738" s="16" t="str">
        <f t="shared" si="1"/>
        <v>6014481 Primaria</v>
      </c>
      <c r="N3738" s="23"/>
      <c r="O3738" s="17"/>
      <c r="P3738" s="17"/>
      <c r="Q3738" s="17"/>
      <c r="R3738" s="17"/>
      <c r="S3738" s="17"/>
      <c r="T3738" s="17"/>
    </row>
    <row r="3739">
      <c r="A3739" s="18">
        <v>2511.0</v>
      </c>
      <c r="B3739" s="12" t="s">
        <v>13</v>
      </c>
      <c r="C3739" s="12" t="s">
        <v>14</v>
      </c>
      <c r="D3739" s="20" t="s">
        <v>175</v>
      </c>
      <c r="E3739" s="12" t="str">
        <f>IFERROR(__xludf.DUMMYFUNCTION("FILTER(colegios!$B$2:$B5618,colegios!$A$2:$A5618=L3739)"),"601448")</f>
        <v>601448</v>
      </c>
      <c r="F3739" s="14" t="s">
        <v>16</v>
      </c>
      <c r="G3739" s="20" t="s">
        <v>17</v>
      </c>
      <c r="H3739" s="14" t="s">
        <v>18</v>
      </c>
      <c r="I3739" s="15">
        <v>2022.0</v>
      </c>
      <c r="J3739" s="16" t="str">
        <f>IFERROR(__xludf.DUMMYFUNCTION("FILTER('CLASFICACIÓN'!$F$3:$F5618,'CLASFICACIÓN'!$G$3:$G5618=M3739)"),"SOLO LINEA BASE")</f>
        <v>SOLO LINEA BASE</v>
      </c>
      <c r="K3739" s="16" t="str">
        <f t="array" ref="K3739">IFERROR(DGET('PADD-R'!$B$1:$K5618,'PADD-R'!$K$1,{'PADD-R'!$B$1;E3739}),"NO PARTICIPÓ")</f>
        <v>PADD 2023 Y 2024</v>
      </c>
      <c r="L3739" s="14" t="s">
        <v>131</v>
      </c>
      <c r="M3739" s="16" t="str">
        <f t="shared" si="1"/>
        <v>6014481 Primaria</v>
      </c>
      <c r="N3739" s="23"/>
      <c r="O3739" s="17"/>
      <c r="P3739" s="17"/>
      <c r="Q3739" s="17"/>
      <c r="R3739" s="17"/>
      <c r="S3739" s="17"/>
      <c r="T3739" s="17"/>
    </row>
    <row r="3740">
      <c r="A3740" s="18">
        <v>2512.0</v>
      </c>
      <c r="B3740" s="12" t="s">
        <v>13</v>
      </c>
      <c r="C3740" s="12" t="s">
        <v>14</v>
      </c>
      <c r="D3740" s="20" t="s">
        <v>175</v>
      </c>
      <c r="E3740" s="12" t="str">
        <f>IFERROR(__xludf.DUMMYFUNCTION("FILTER(colegios!$B$2:$B5618,colegios!$A$2:$A5618=L3740)"),"601448")</f>
        <v>601448</v>
      </c>
      <c r="F3740" s="14" t="s">
        <v>16</v>
      </c>
      <c r="G3740" s="20" t="s">
        <v>21</v>
      </c>
      <c r="H3740" s="14" t="s">
        <v>18</v>
      </c>
      <c r="I3740" s="15">
        <v>2022.0</v>
      </c>
      <c r="J3740" s="16" t="str">
        <f>IFERROR(__xludf.DUMMYFUNCTION("FILTER('CLASFICACIÓN'!$F$3:$F5618,'CLASFICACIÓN'!$G$3:$G5618=M3740)"),"SOLO LINEA BASE")</f>
        <v>SOLO LINEA BASE</v>
      </c>
      <c r="K3740" s="16" t="str">
        <f t="array" ref="K3740">IFERROR(DGET('PADD-R'!$B$1:$K5618,'PADD-R'!$K$1,{'PADD-R'!$B$1;E3740}),"NO PARTICIPÓ")</f>
        <v>PADD 2023 Y 2024</v>
      </c>
      <c r="L3740" s="14" t="s">
        <v>131</v>
      </c>
      <c r="M3740" s="16" t="str">
        <f t="shared" si="1"/>
        <v>6014481 Primaria</v>
      </c>
      <c r="N3740" s="23"/>
      <c r="O3740" s="17"/>
      <c r="P3740" s="17"/>
      <c r="Q3740" s="17"/>
      <c r="R3740" s="17"/>
      <c r="S3740" s="17"/>
      <c r="T3740" s="17"/>
    </row>
    <row r="3741">
      <c r="A3741" s="18">
        <v>2513.0</v>
      </c>
      <c r="B3741" s="12" t="s">
        <v>13</v>
      </c>
      <c r="C3741" s="12" t="s">
        <v>14</v>
      </c>
      <c r="D3741" s="20" t="s">
        <v>175</v>
      </c>
      <c r="E3741" s="12" t="str">
        <f>IFERROR(__xludf.DUMMYFUNCTION("FILTER(colegios!$B$2:$B5618,colegios!$A$2:$A5618=L3741)"),"601448")</f>
        <v>601448</v>
      </c>
      <c r="F3741" s="14" t="s">
        <v>16</v>
      </c>
      <c r="G3741" s="20" t="s">
        <v>21</v>
      </c>
      <c r="H3741" s="14" t="s">
        <v>18</v>
      </c>
      <c r="I3741" s="15">
        <v>2022.0</v>
      </c>
      <c r="J3741" s="16" t="str">
        <f>IFERROR(__xludf.DUMMYFUNCTION("FILTER('CLASFICACIÓN'!$F$3:$F5618,'CLASFICACIÓN'!$G$3:$G5618=M3741)"),"SOLO LINEA BASE")</f>
        <v>SOLO LINEA BASE</v>
      </c>
      <c r="K3741" s="16" t="str">
        <f t="array" ref="K3741">IFERROR(DGET('PADD-R'!$B$1:$K5618,'PADD-R'!$K$1,{'PADD-R'!$B$1;E3741}),"NO PARTICIPÓ")</f>
        <v>PADD 2023 Y 2024</v>
      </c>
      <c r="L3741" s="14" t="s">
        <v>131</v>
      </c>
      <c r="M3741" s="16" t="str">
        <f t="shared" si="1"/>
        <v>6014481 Primaria</v>
      </c>
      <c r="N3741" s="23"/>
      <c r="O3741" s="17"/>
      <c r="P3741" s="17"/>
      <c r="Q3741" s="17"/>
      <c r="R3741" s="17"/>
      <c r="S3741" s="17"/>
      <c r="T3741" s="17"/>
    </row>
    <row r="3742">
      <c r="A3742" s="18">
        <v>2514.0</v>
      </c>
      <c r="B3742" s="12" t="s">
        <v>13</v>
      </c>
      <c r="C3742" s="12" t="s">
        <v>14</v>
      </c>
      <c r="D3742" s="20" t="s">
        <v>175</v>
      </c>
      <c r="E3742" s="12" t="str">
        <f>IFERROR(__xludf.DUMMYFUNCTION("FILTER(colegios!$B$2:$B5618,colegios!$A$2:$A5618=L3742)"),"601448")</f>
        <v>601448</v>
      </c>
      <c r="F3742" s="14" t="s">
        <v>16</v>
      </c>
      <c r="G3742" s="20" t="s">
        <v>17</v>
      </c>
      <c r="H3742" s="14" t="s">
        <v>18</v>
      </c>
      <c r="I3742" s="15">
        <v>2022.0</v>
      </c>
      <c r="J3742" s="16" t="str">
        <f>IFERROR(__xludf.DUMMYFUNCTION("FILTER('CLASFICACIÓN'!$F$3:$F5618,'CLASFICACIÓN'!$G$3:$G5618=M3742)"),"SOLO LINEA BASE")</f>
        <v>SOLO LINEA BASE</v>
      </c>
      <c r="K3742" s="16" t="str">
        <f t="array" ref="K3742">IFERROR(DGET('PADD-R'!$B$1:$K5618,'PADD-R'!$K$1,{'PADD-R'!$B$1;E3742}),"NO PARTICIPÓ")</f>
        <v>PADD 2023 Y 2024</v>
      </c>
      <c r="L3742" s="14" t="s">
        <v>131</v>
      </c>
      <c r="M3742" s="16" t="str">
        <f t="shared" si="1"/>
        <v>6014481 Primaria</v>
      </c>
      <c r="N3742" s="23"/>
      <c r="O3742" s="17"/>
      <c r="P3742" s="17"/>
      <c r="Q3742" s="17"/>
      <c r="R3742" s="17"/>
      <c r="S3742" s="17"/>
      <c r="T3742" s="17"/>
    </row>
    <row r="3743">
      <c r="A3743" s="18">
        <v>2534.0</v>
      </c>
      <c r="B3743" s="12" t="s">
        <v>13</v>
      </c>
      <c r="C3743" s="12" t="s">
        <v>14</v>
      </c>
      <c r="D3743" s="20" t="s">
        <v>175</v>
      </c>
      <c r="E3743" s="12" t="str">
        <f>IFERROR(__xludf.DUMMYFUNCTION("FILTER(colegios!$B$2:$B5618,colegios!$A$2:$A5618=L3743)"),"6010230 BARBARA D'ACHILLE")</f>
        <v>6010230 BARBARA D'ACHILLE</v>
      </c>
      <c r="F3743" s="14" t="s">
        <v>16</v>
      </c>
      <c r="G3743" s="20" t="s">
        <v>17</v>
      </c>
      <c r="H3743" s="14" t="s">
        <v>24</v>
      </c>
      <c r="I3743" s="15">
        <v>2022.0</v>
      </c>
      <c r="J3743" s="16" t="str">
        <f>IFERROR(__xludf.DUMMYFUNCTION("FILTER('CLASFICACIÓN'!$F$3:$F5618,'CLASFICACIÓN'!$G$3:$G5618=M3743)"),"SOLO LINEA BASE")</f>
        <v>SOLO LINEA BASE</v>
      </c>
      <c r="K3743" s="16" t="str">
        <f t="array" ref="K3743">IFERROR(DGET('PADD-R'!$B$1:$K5618,'PADD-R'!$K$1,{'PADD-R'!$B$1;E3743}),"NO PARTICIPÓ")</f>
        <v>PADD 2023 Y 2024</v>
      </c>
      <c r="L3743" s="14" t="s">
        <v>137</v>
      </c>
      <c r="M3743" s="16" t="str">
        <f t="shared" si="1"/>
        <v>6010230 BARBARA D'ACHILLE1 Primaria</v>
      </c>
      <c r="N3743" s="23"/>
      <c r="O3743" s="17"/>
      <c r="P3743" s="17"/>
      <c r="Q3743" s="17"/>
      <c r="R3743" s="17"/>
      <c r="S3743" s="17"/>
      <c r="T3743" s="17"/>
    </row>
    <row r="3744">
      <c r="A3744" s="18">
        <v>2535.0</v>
      </c>
      <c r="B3744" s="12" t="s">
        <v>13</v>
      </c>
      <c r="C3744" s="12" t="s">
        <v>14</v>
      </c>
      <c r="D3744" s="20" t="s">
        <v>175</v>
      </c>
      <c r="E3744" s="12" t="str">
        <f>IFERROR(__xludf.DUMMYFUNCTION("FILTER(colegios!$B$2:$B5618,colegios!$A$2:$A5618=L3744)"),"6010230 BARBARA D'ACHILLE")</f>
        <v>6010230 BARBARA D'ACHILLE</v>
      </c>
      <c r="F3744" s="14" t="s">
        <v>16</v>
      </c>
      <c r="G3744" s="20" t="s">
        <v>17</v>
      </c>
      <c r="H3744" s="14" t="s">
        <v>24</v>
      </c>
      <c r="I3744" s="15">
        <v>2022.0</v>
      </c>
      <c r="J3744" s="16" t="str">
        <f>IFERROR(__xludf.DUMMYFUNCTION("FILTER('CLASFICACIÓN'!$F$3:$F5618,'CLASFICACIÓN'!$G$3:$G5618=M3744)"),"SOLO LINEA BASE")</f>
        <v>SOLO LINEA BASE</v>
      </c>
      <c r="K3744" s="16" t="str">
        <f t="array" ref="K3744">IFERROR(DGET('PADD-R'!$B$1:$K5618,'PADD-R'!$K$1,{'PADD-R'!$B$1;E3744}),"NO PARTICIPÓ")</f>
        <v>PADD 2023 Y 2024</v>
      </c>
      <c r="L3744" s="14" t="s">
        <v>137</v>
      </c>
      <c r="M3744" s="16" t="str">
        <f t="shared" si="1"/>
        <v>6010230 BARBARA D'ACHILLE1 Primaria</v>
      </c>
      <c r="N3744" s="23"/>
      <c r="O3744" s="17"/>
      <c r="P3744" s="17"/>
      <c r="Q3744" s="17"/>
      <c r="R3744" s="17"/>
      <c r="S3744" s="17"/>
      <c r="T3744" s="17"/>
    </row>
    <row r="3745">
      <c r="A3745" s="18">
        <v>2536.0</v>
      </c>
      <c r="B3745" s="12" t="s">
        <v>13</v>
      </c>
      <c r="C3745" s="12" t="s">
        <v>14</v>
      </c>
      <c r="D3745" s="20" t="s">
        <v>175</v>
      </c>
      <c r="E3745" s="12" t="str">
        <f>IFERROR(__xludf.DUMMYFUNCTION("FILTER(colegios!$B$2:$B5618,colegios!$A$2:$A5618=L3745)"),"6010230 BARBARA D'ACHILLE")</f>
        <v>6010230 BARBARA D'ACHILLE</v>
      </c>
      <c r="F3745" s="14" t="s">
        <v>16</v>
      </c>
      <c r="G3745" s="20" t="s">
        <v>21</v>
      </c>
      <c r="H3745" s="14" t="s">
        <v>18</v>
      </c>
      <c r="I3745" s="15">
        <v>2022.0</v>
      </c>
      <c r="J3745" s="16" t="str">
        <f>IFERROR(__xludf.DUMMYFUNCTION("FILTER('CLASFICACIÓN'!$F$3:$F5618,'CLASFICACIÓN'!$G$3:$G5618=M3745)"),"SOLO LINEA BASE")</f>
        <v>SOLO LINEA BASE</v>
      </c>
      <c r="K3745" s="16" t="str">
        <f t="array" ref="K3745">IFERROR(DGET('PADD-R'!$B$1:$K5618,'PADD-R'!$K$1,{'PADD-R'!$B$1;E3745}),"NO PARTICIPÓ")</f>
        <v>PADD 2023 Y 2024</v>
      </c>
      <c r="L3745" s="14" t="s">
        <v>137</v>
      </c>
      <c r="M3745" s="16" t="str">
        <f t="shared" si="1"/>
        <v>6010230 BARBARA D'ACHILLE1 Primaria</v>
      </c>
      <c r="N3745" s="23"/>
      <c r="O3745" s="17"/>
      <c r="P3745" s="17"/>
      <c r="Q3745" s="17"/>
      <c r="R3745" s="17"/>
      <c r="S3745" s="17"/>
      <c r="T3745" s="17"/>
    </row>
    <row r="3746">
      <c r="A3746" s="18">
        <v>2537.0</v>
      </c>
      <c r="B3746" s="12" t="s">
        <v>13</v>
      </c>
      <c r="C3746" s="12" t="s">
        <v>14</v>
      </c>
      <c r="D3746" s="20" t="s">
        <v>175</v>
      </c>
      <c r="E3746" s="12" t="str">
        <f>IFERROR(__xludf.DUMMYFUNCTION("FILTER(colegios!$B$2:$B5618,colegios!$A$2:$A5618=L3746)"),"6010230 BARBARA D'ACHILLE")</f>
        <v>6010230 BARBARA D'ACHILLE</v>
      </c>
      <c r="F3746" s="14" t="s">
        <v>16</v>
      </c>
      <c r="G3746" s="20" t="s">
        <v>21</v>
      </c>
      <c r="H3746" s="14" t="s">
        <v>24</v>
      </c>
      <c r="I3746" s="15">
        <v>2022.0</v>
      </c>
      <c r="J3746" s="16" t="str">
        <f>IFERROR(__xludf.DUMMYFUNCTION("FILTER('CLASFICACIÓN'!$F$3:$F5618,'CLASFICACIÓN'!$G$3:$G5618=M3746)"),"SOLO LINEA BASE")</f>
        <v>SOLO LINEA BASE</v>
      </c>
      <c r="K3746" s="16" t="str">
        <f t="array" ref="K3746">IFERROR(DGET('PADD-R'!$B$1:$K5618,'PADD-R'!$K$1,{'PADD-R'!$B$1;E3746}),"NO PARTICIPÓ")</f>
        <v>PADD 2023 Y 2024</v>
      </c>
      <c r="L3746" s="14" t="s">
        <v>137</v>
      </c>
      <c r="M3746" s="16" t="str">
        <f t="shared" si="1"/>
        <v>6010230 BARBARA D'ACHILLE1 Primaria</v>
      </c>
      <c r="N3746" s="23"/>
      <c r="O3746" s="17"/>
      <c r="P3746" s="17"/>
      <c r="Q3746" s="17"/>
      <c r="R3746" s="17"/>
      <c r="S3746" s="17"/>
      <c r="T3746" s="17"/>
    </row>
    <row r="3747">
      <c r="A3747" s="18">
        <v>2538.0</v>
      </c>
      <c r="B3747" s="12" t="s">
        <v>13</v>
      </c>
      <c r="C3747" s="12" t="s">
        <v>14</v>
      </c>
      <c r="D3747" s="20" t="s">
        <v>175</v>
      </c>
      <c r="E3747" s="12" t="str">
        <f>IFERROR(__xludf.DUMMYFUNCTION("FILTER(colegios!$B$2:$B5618,colegios!$A$2:$A5618=L3747)"),"6010230 BARBARA D'ACHILLE")</f>
        <v>6010230 BARBARA D'ACHILLE</v>
      </c>
      <c r="F3747" s="14" t="s">
        <v>16</v>
      </c>
      <c r="G3747" s="20" t="s">
        <v>21</v>
      </c>
      <c r="H3747" s="14" t="s">
        <v>24</v>
      </c>
      <c r="I3747" s="15">
        <v>2022.0</v>
      </c>
      <c r="J3747" s="16" t="str">
        <f>IFERROR(__xludf.DUMMYFUNCTION("FILTER('CLASFICACIÓN'!$F$3:$F5618,'CLASFICACIÓN'!$G$3:$G5618=M3747)"),"SOLO LINEA BASE")</f>
        <v>SOLO LINEA BASE</v>
      </c>
      <c r="K3747" s="16" t="str">
        <f t="array" ref="K3747">IFERROR(DGET('PADD-R'!$B$1:$K5618,'PADD-R'!$K$1,{'PADD-R'!$B$1;E3747}),"NO PARTICIPÓ")</f>
        <v>PADD 2023 Y 2024</v>
      </c>
      <c r="L3747" s="14" t="s">
        <v>137</v>
      </c>
      <c r="M3747" s="16" t="str">
        <f t="shared" si="1"/>
        <v>6010230 BARBARA D'ACHILLE1 Primaria</v>
      </c>
      <c r="N3747" s="23"/>
      <c r="O3747" s="17"/>
      <c r="P3747" s="17"/>
      <c r="Q3747" s="17"/>
      <c r="R3747" s="17"/>
      <c r="S3747" s="17"/>
      <c r="T3747" s="17"/>
    </row>
    <row r="3748">
      <c r="A3748" s="18">
        <v>2636.0</v>
      </c>
      <c r="B3748" s="12" t="s">
        <v>48</v>
      </c>
      <c r="C3748" s="12" t="s">
        <v>14</v>
      </c>
      <c r="D3748" s="20" t="s">
        <v>175</v>
      </c>
      <c r="E3748" s="12" t="str">
        <f>IFERROR(__xludf.DUMMYFUNCTION("FILTER(colegios!$B$2:$B5618,colegios!$A$2:$A5618=L3748)"),"SAGRADO CORAZON DE JESUS")</f>
        <v>SAGRADO CORAZON DE JESUS</v>
      </c>
      <c r="F3748" s="14" t="s">
        <v>16</v>
      </c>
      <c r="G3748" s="20" t="s">
        <v>21</v>
      </c>
      <c r="H3748" s="14" t="s">
        <v>18</v>
      </c>
      <c r="I3748" s="15">
        <v>2022.0</v>
      </c>
      <c r="J3748" s="16" t="str">
        <f>IFERROR(__xludf.DUMMYFUNCTION("FILTER('CLASFICACIÓN'!$F$3:$F5618,'CLASFICACIÓN'!$G$3:$G5618=M3748)"),"SOLO LINEA BASE")</f>
        <v>SOLO LINEA BASE</v>
      </c>
      <c r="K3748" s="16" t="str">
        <f t="array" ref="K3748">IFERROR(DGET('PADD-R'!$B$1:$K5618,'PADD-R'!$K$1,{'PADD-R'!$B$1;E3748}),"NO PARTICIPÓ")</f>
        <v>NO PARTICIPÓ</v>
      </c>
      <c r="L3748" s="14" t="s">
        <v>150</v>
      </c>
      <c r="M3748" s="16" t="str">
        <f t="shared" si="1"/>
        <v>SAGRADO CORAZON DE JESUS1 Primaria</v>
      </c>
      <c r="N3748" s="23"/>
      <c r="O3748" s="17"/>
      <c r="P3748" s="17"/>
      <c r="Q3748" s="17"/>
      <c r="R3748" s="17"/>
      <c r="S3748" s="17"/>
      <c r="T3748" s="17"/>
    </row>
    <row r="3749">
      <c r="A3749" s="18">
        <v>2637.0</v>
      </c>
      <c r="B3749" s="12" t="s">
        <v>48</v>
      </c>
      <c r="C3749" s="12" t="s">
        <v>14</v>
      </c>
      <c r="D3749" s="20" t="s">
        <v>175</v>
      </c>
      <c r="E3749" s="12" t="str">
        <f>IFERROR(__xludf.DUMMYFUNCTION("FILTER(colegios!$B$2:$B5618,colegios!$A$2:$A5618=L3749)"),"SAGRADO CORAZON DE JESUS")</f>
        <v>SAGRADO CORAZON DE JESUS</v>
      </c>
      <c r="F3749" s="14" t="s">
        <v>16</v>
      </c>
      <c r="G3749" s="20" t="s">
        <v>17</v>
      </c>
      <c r="H3749" s="14" t="s">
        <v>18</v>
      </c>
      <c r="I3749" s="15">
        <v>2022.0</v>
      </c>
      <c r="J3749" s="16" t="str">
        <f>IFERROR(__xludf.DUMMYFUNCTION("FILTER('CLASFICACIÓN'!$F$3:$F5618,'CLASFICACIÓN'!$G$3:$G5618=M3749)"),"SOLO LINEA BASE")</f>
        <v>SOLO LINEA BASE</v>
      </c>
      <c r="K3749" s="16" t="str">
        <f t="array" ref="K3749">IFERROR(DGET('PADD-R'!$B$1:$K5618,'PADD-R'!$K$1,{'PADD-R'!$B$1;E3749}),"NO PARTICIPÓ")</f>
        <v>NO PARTICIPÓ</v>
      </c>
      <c r="L3749" s="14" t="s">
        <v>150</v>
      </c>
      <c r="M3749" s="16" t="str">
        <f t="shared" si="1"/>
        <v>SAGRADO CORAZON DE JESUS1 Primaria</v>
      </c>
      <c r="N3749" s="23"/>
      <c r="O3749" s="17"/>
      <c r="P3749" s="17"/>
      <c r="Q3749" s="17"/>
      <c r="R3749" s="17"/>
      <c r="S3749" s="17"/>
      <c r="T3749" s="17"/>
    </row>
    <row r="3750">
      <c r="A3750" s="18">
        <v>2638.0</v>
      </c>
      <c r="B3750" s="12" t="s">
        <v>48</v>
      </c>
      <c r="C3750" s="12" t="s">
        <v>14</v>
      </c>
      <c r="D3750" s="20" t="s">
        <v>175</v>
      </c>
      <c r="E3750" s="12" t="str">
        <f>IFERROR(__xludf.DUMMYFUNCTION("FILTER(colegios!$B$2:$B5618,colegios!$A$2:$A5618=L3750)"),"SAGRADO CORAZON DE JESUS")</f>
        <v>SAGRADO CORAZON DE JESUS</v>
      </c>
      <c r="F3750" s="14" t="s">
        <v>16</v>
      </c>
      <c r="G3750" s="20" t="s">
        <v>21</v>
      </c>
      <c r="H3750" s="14" t="s">
        <v>18</v>
      </c>
      <c r="I3750" s="15">
        <v>2022.0</v>
      </c>
      <c r="J3750" s="16" t="str">
        <f>IFERROR(__xludf.DUMMYFUNCTION("FILTER('CLASFICACIÓN'!$F$3:$F5618,'CLASFICACIÓN'!$G$3:$G5618=M3750)"),"SOLO LINEA BASE")</f>
        <v>SOLO LINEA BASE</v>
      </c>
      <c r="K3750" s="16" t="str">
        <f t="array" ref="K3750">IFERROR(DGET('PADD-R'!$B$1:$K5618,'PADD-R'!$K$1,{'PADD-R'!$B$1;E3750}),"NO PARTICIPÓ")</f>
        <v>NO PARTICIPÓ</v>
      </c>
      <c r="L3750" s="14" t="s">
        <v>150</v>
      </c>
      <c r="M3750" s="16" t="str">
        <f t="shared" si="1"/>
        <v>SAGRADO CORAZON DE JESUS1 Primaria</v>
      </c>
      <c r="N3750" s="23"/>
      <c r="O3750" s="17"/>
      <c r="P3750" s="17"/>
      <c r="Q3750" s="17"/>
      <c r="R3750" s="17"/>
      <c r="S3750" s="17"/>
      <c r="T3750" s="17"/>
    </row>
    <row r="3751">
      <c r="A3751" s="18">
        <v>2639.0</v>
      </c>
      <c r="B3751" s="12" t="s">
        <v>48</v>
      </c>
      <c r="C3751" s="12" t="s">
        <v>14</v>
      </c>
      <c r="D3751" s="20" t="s">
        <v>175</v>
      </c>
      <c r="E3751" s="12" t="str">
        <f>IFERROR(__xludf.DUMMYFUNCTION("FILTER(colegios!$B$2:$B5618,colegios!$A$2:$A5618=L3751)"),"SAGRADO CORAZON DE JESUS")</f>
        <v>SAGRADO CORAZON DE JESUS</v>
      </c>
      <c r="F3751" s="14" t="s">
        <v>16</v>
      </c>
      <c r="G3751" s="20" t="s">
        <v>21</v>
      </c>
      <c r="H3751" s="14" t="s">
        <v>18</v>
      </c>
      <c r="I3751" s="15">
        <v>2022.0</v>
      </c>
      <c r="J3751" s="16" t="str">
        <f>IFERROR(__xludf.DUMMYFUNCTION("FILTER('CLASFICACIÓN'!$F$3:$F5618,'CLASFICACIÓN'!$G$3:$G5618=M3751)"),"SOLO LINEA BASE")</f>
        <v>SOLO LINEA BASE</v>
      </c>
      <c r="K3751" s="16" t="str">
        <f t="array" ref="K3751">IFERROR(DGET('PADD-R'!$B$1:$K5618,'PADD-R'!$K$1,{'PADD-R'!$B$1;E3751}),"NO PARTICIPÓ")</f>
        <v>NO PARTICIPÓ</v>
      </c>
      <c r="L3751" s="14" t="s">
        <v>150</v>
      </c>
      <c r="M3751" s="16" t="str">
        <f t="shared" si="1"/>
        <v>SAGRADO CORAZON DE JESUS1 Primaria</v>
      </c>
      <c r="N3751" s="23"/>
      <c r="O3751" s="17"/>
      <c r="P3751" s="17"/>
      <c r="Q3751" s="17"/>
      <c r="R3751" s="17"/>
      <c r="S3751" s="17"/>
      <c r="T3751" s="17"/>
    </row>
    <row r="3752">
      <c r="A3752" s="18">
        <v>2640.0</v>
      </c>
      <c r="B3752" s="12" t="s">
        <v>48</v>
      </c>
      <c r="C3752" s="12" t="s">
        <v>14</v>
      </c>
      <c r="D3752" s="20" t="s">
        <v>175</v>
      </c>
      <c r="E3752" s="12" t="str">
        <f>IFERROR(__xludf.DUMMYFUNCTION("FILTER(colegios!$B$2:$B5618,colegios!$A$2:$A5618=L3752)"),"SAGRADO CORAZON DE JESUS")</f>
        <v>SAGRADO CORAZON DE JESUS</v>
      </c>
      <c r="F3752" s="14" t="s">
        <v>16</v>
      </c>
      <c r="G3752" s="20" t="s">
        <v>21</v>
      </c>
      <c r="H3752" s="14" t="s">
        <v>18</v>
      </c>
      <c r="I3752" s="15">
        <v>2022.0</v>
      </c>
      <c r="J3752" s="16" t="str">
        <f>IFERROR(__xludf.DUMMYFUNCTION("FILTER('CLASFICACIÓN'!$F$3:$F5618,'CLASFICACIÓN'!$G$3:$G5618=M3752)"),"SOLO LINEA BASE")</f>
        <v>SOLO LINEA BASE</v>
      </c>
      <c r="K3752" s="16" t="str">
        <f t="array" ref="K3752">IFERROR(DGET('PADD-R'!$B$1:$K5618,'PADD-R'!$K$1,{'PADD-R'!$B$1;E3752}),"NO PARTICIPÓ")</f>
        <v>NO PARTICIPÓ</v>
      </c>
      <c r="L3752" s="14" t="s">
        <v>150</v>
      </c>
      <c r="M3752" s="16" t="str">
        <f t="shared" si="1"/>
        <v>SAGRADO CORAZON DE JESUS1 Primaria</v>
      </c>
      <c r="N3752" s="23"/>
      <c r="O3752" s="17"/>
      <c r="P3752" s="17"/>
      <c r="Q3752" s="17"/>
      <c r="R3752" s="17"/>
      <c r="S3752" s="17"/>
      <c r="T3752" s="17"/>
    </row>
    <row r="3753">
      <c r="A3753" s="18">
        <v>2641.0</v>
      </c>
      <c r="B3753" s="12" t="s">
        <v>48</v>
      </c>
      <c r="C3753" s="12" t="s">
        <v>14</v>
      </c>
      <c r="D3753" s="20" t="s">
        <v>175</v>
      </c>
      <c r="E3753" s="12" t="str">
        <f>IFERROR(__xludf.DUMMYFUNCTION("FILTER(colegios!$B$2:$B5618,colegios!$A$2:$A5618=L3753)"),"SAGRADO CORAZON DE JESUS")</f>
        <v>SAGRADO CORAZON DE JESUS</v>
      </c>
      <c r="F3753" s="14" t="s">
        <v>16</v>
      </c>
      <c r="G3753" s="20" t="s">
        <v>21</v>
      </c>
      <c r="H3753" s="14" t="s">
        <v>18</v>
      </c>
      <c r="I3753" s="15">
        <v>2022.0</v>
      </c>
      <c r="J3753" s="16" t="str">
        <f>IFERROR(__xludf.DUMMYFUNCTION("FILTER('CLASFICACIÓN'!$F$3:$F5618,'CLASFICACIÓN'!$G$3:$G5618=M3753)"),"SOLO LINEA BASE")</f>
        <v>SOLO LINEA BASE</v>
      </c>
      <c r="K3753" s="16" t="str">
        <f t="array" ref="K3753">IFERROR(DGET('PADD-R'!$B$1:$K5618,'PADD-R'!$K$1,{'PADD-R'!$B$1;E3753}),"NO PARTICIPÓ")</f>
        <v>NO PARTICIPÓ</v>
      </c>
      <c r="L3753" s="14" t="s">
        <v>150</v>
      </c>
      <c r="M3753" s="16" t="str">
        <f t="shared" si="1"/>
        <v>SAGRADO CORAZON DE JESUS1 Primaria</v>
      </c>
      <c r="N3753" s="23"/>
      <c r="O3753" s="17"/>
      <c r="P3753" s="17"/>
      <c r="Q3753" s="17"/>
      <c r="R3753" s="17"/>
      <c r="S3753" s="17"/>
      <c r="T3753" s="17"/>
    </row>
    <row r="3754">
      <c r="A3754" s="18">
        <v>2642.0</v>
      </c>
      <c r="B3754" s="12" t="s">
        <v>48</v>
      </c>
      <c r="C3754" s="12" t="s">
        <v>14</v>
      </c>
      <c r="D3754" s="20" t="s">
        <v>175</v>
      </c>
      <c r="E3754" s="12" t="str">
        <f>IFERROR(__xludf.DUMMYFUNCTION("FILTER(colegios!$B$2:$B5618,colegios!$A$2:$A5618=L3754)"),"SAGRADO CORAZON DE JESUS")</f>
        <v>SAGRADO CORAZON DE JESUS</v>
      </c>
      <c r="F3754" s="14" t="s">
        <v>16</v>
      </c>
      <c r="G3754" s="20" t="s">
        <v>17</v>
      </c>
      <c r="H3754" s="14" t="s">
        <v>18</v>
      </c>
      <c r="I3754" s="15">
        <v>2022.0</v>
      </c>
      <c r="J3754" s="16" t="str">
        <f>IFERROR(__xludf.DUMMYFUNCTION("FILTER('CLASFICACIÓN'!$F$3:$F5618,'CLASFICACIÓN'!$G$3:$G5618=M3754)"),"SOLO LINEA BASE")</f>
        <v>SOLO LINEA BASE</v>
      </c>
      <c r="K3754" s="16" t="str">
        <f t="array" ref="K3754">IFERROR(DGET('PADD-R'!$B$1:$K5618,'PADD-R'!$K$1,{'PADD-R'!$B$1;E3754}),"NO PARTICIPÓ")</f>
        <v>NO PARTICIPÓ</v>
      </c>
      <c r="L3754" s="14" t="s">
        <v>150</v>
      </c>
      <c r="M3754" s="16" t="str">
        <f t="shared" si="1"/>
        <v>SAGRADO CORAZON DE JESUS1 Primaria</v>
      </c>
      <c r="N3754" s="23"/>
      <c r="O3754" s="17"/>
      <c r="P3754" s="17"/>
      <c r="Q3754" s="17"/>
      <c r="R3754" s="17"/>
      <c r="S3754" s="17"/>
      <c r="T3754" s="17"/>
    </row>
    <row r="3755">
      <c r="A3755" s="18">
        <v>2642.0</v>
      </c>
      <c r="B3755" s="12" t="s">
        <v>48</v>
      </c>
      <c r="C3755" s="12" t="s">
        <v>14</v>
      </c>
      <c r="D3755" s="20" t="s">
        <v>175</v>
      </c>
      <c r="E3755" s="12" t="str">
        <f>IFERROR(__xludf.DUMMYFUNCTION("FILTER(colegios!$B$2:$B5618,colegios!$A$2:$A5618=L3755)"),"SAGRADO CORAZON DE JESUS")</f>
        <v>SAGRADO CORAZON DE JESUS</v>
      </c>
      <c r="F3755" s="14" t="s">
        <v>16</v>
      </c>
      <c r="G3755" s="20" t="s">
        <v>21</v>
      </c>
      <c r="H3755" s="14" t="s">
        <v>18</v>
      </c>
      <c r="I3755" s="15">
        <v>2022.0</v>
      </c>
      <c r="J3755" s="16" t="str">
        <f>IFERROR(__xludf.DUMMYFUNCTION("FILTER('CLASFICACIÓN'!$F$3:$F5618,'CLASFICACIÓN'!$G$3:$G5618=M3755)"),"SOLO LINEA BASE")</f>
        <v>SOLO LINEA BASE</v>
      </c>
      <c r="K3755" s="16" t="str">
        <f t="array" ref="K3755">IFERROR(DGET('PADD-R'!$B$1:$K5618,'PADD-R'!$K$1,{'PADD-R'!$B$1;E3755}),"NO PARTICIPÓ")</f>
        <v>NO PARTICIPÓ</v>
      </c>
      <c r="L3755" s="14" t="s">
        <v>150</v>
      </c>
      <c r="M3755" s="16" t="str">
        <f t="shared" si="1"/>
        <v>SAGRADO CORAZON DE JESUS1 Primaria</v>
      </c>
      <c r="N3755" s="23"/>
      <c r="O3755" s="17"/>
      <c r="P3755" s="17"/>
      <c r="Q3755" s="17"/>
      <c r="R3755" s="17"/>
      <c r="S3755" s="17"/>
      <c r="T3755" s="17"/>
    </row>
    <row r="3756">
      <c r="A3756" s="18">
        <v>2643.0</v>
      </c>
      <c r="B3756" s="12" t="s">
        <v>48</v>
      </c>
      <c r="C3756" s="12" t="s">
        <v>14</v>
      </c>
      <c r="D3756" s="20" t="s">
        <v>175</v>
      </c>
      <c r="E3756" s="12" t="str">
        <f>IFERROR(__xludf.DUMMYFUNCTION("FILTER(colegios!$B$2:$B5618,colegios!$A$2:$A5618=L3756)"),"SAGRADO CORAZON DE JESUS")</f>
        <v>SAGRADO CORAZON DE JESUS</v>
      </c>
      <c r="F3756" s="14" t="s">
        <v>16</v>
      </c>
      <c r="G3756" s="20" t="s">
        <v>21</v>
      </c>
      <c r="H3756" s="14" t="s">
        <v>18</v>
      </c>
      <c r="I3756" s="15">
        <v>2022.0</v>
      </c>
      <c r="J3756" s="16" t="str">
        <f>IFERROR(__xludf.DUMMYFUNCTION("FILTER('CLASFICACIÓN'!$F$3:$F5618,'CLASFICACIÓN'!$G$3:$G5618=M3756)"),"SOLO LINEA BASE")</f>
        <v>SOLO LINEA BASE</v>
      </c>
      <c r="K3756" s="16" t="str">
        <f t="array" ref="K3756">IFERROR(DGET('PADD-R'!$B$1:$K5618,'PADD-R'!$K$1,{'PADD-R'!$B$1;E3756}),"NO PARTICIPÓ")</f>
        <v>NO PARTICIPÓ</v>
      </c>
      <c r="L3756" s="14" t="s">
        <v>150</v>
      </c>
      <c r="M3756" s="16" t="str">
        <f t="shared" si="1"/>
        <v>SAGRADO CORAZON DE JESUS1 Primaria</v>
      </c>
      <c r="N3756" s="23"/>
      <c r="O3756" s="17"/>
      <c r="P3756" s="17"/>
      <c r="Q3756" s="17"/>
      <c r="R3756" s="17"/>
      <c r="S3756" s="17"/>
      <c r="T3756" s="17"/>
    </row>
    <row r="3757">
      <c r="A3757" s="18">
        <v>2645.0</v>
      </c>
      <c r="B3757" s="12" t="s">
        <v>48</v>
      </c>
      <c r="C3757" s="12" t="s">
        <v>14</v>
      </c>
      <c r="D3757" s="20" t="s">
        <v>175</v>
      </c>
      <c r="E3757" s="12" t="str">
        <f>IFERROR(__xludf.DUMMYFUNCTION("FILTER(colegios!$B$2:$B5618,colegios!$A$2:$A5618=L3757)"),"SAGRADO CORAZON DE JESUS")</f>
        <v>SAGRADO CORAZON DE JESUS</v>
      </c>
      <c r="F3757" s="14" t="s">
        <v>16</v>
      </c>
      <c r="G3757" s="20" t="s">
        <v>17</v>
      </c>
      <c r="H3757" s="14" t="s">
        <v>18</v>
      </c>
      <c r="I3757" s="15">
        <v>2022.0</v>
      </c>
      <c r="J3757" s="16" t="str">
        <f>IFERROR(__xludf.DUMMYFUNCTION("FILTER('CLASFICACIÓN'!$F$3:$F5618,'CLASFICACIÓN'!$G$3:$G5618=M3757)"),"SOLO LINEA BASE")</f>
        <v>SOLO LINEA BASE</v>
      </c>
      <c r="K3757" s="16" t="str">
        <f t="array" ref="K3757">IFERROR(DGET('PADD-R'!$B$1:$K5618,'PADD-R'!$K$1,{'PADD-R'!$B$1;E3757}),"NO PARTICIPÓ")</f>
        <v>NO PARTICIPÓ</v>
      </c>
      <c r="L3757" s="14" t="s">
        <v>150</v>
      </c>
      <c r="M3757" s="16" t="str">
        <f t="shared" si="1"/>
        <v>SAGRADO CORAZON DE JESUS1 Primaria</v>
      </c>
      <c r="N3757" s="23"/>
      <c r="O3757" s="17"/>
      <c r="P3757" s="17"/>
      <c r="Q3757" s="17"/>
      <c r="R3757" s="17"/>
      <c r="S3757" s="17"/>
      <c r="T3757" s="17"/>
    </row>
    <row r="3758">
      <c r="A3758" s="18">
        <v>2646.0</v>
      </c>
      <c r="B3758" s="12" t="s">
        <v>48</v>
      </c>
      <c r="C3758" s="12" t="s">
        <v>14</v>
      </c>
      <c r="D3758" s="20" t="s">
        <v>175</v>
      </c>
      <c r="E3758" s="12" t="str">
        <f>IFERROR(__xludf.DUMMYFUNCTION("FILTER(colegios!$B$2:$B5618,colegios!$A$2:$A5618=L3758)"),"SAGRADO CORAZON DE JESUS")</f>
        <v>SAGRADO CORAZON DE JESUS</v>
      </c>
      <c r="F3758" s="14" t="s">
        <v>16</v>
      </c>
      <c r="G3758" s="20" t="s">
        <v>21</v>
      </c>
      <c r="H3758" s="14" t="s">
        <v>18</v>
      </c>
      <c r="I3758" s="15">
        <v>2022.0</v>
      </c>
      <c r="J3758" s="16" t="str">
        <f>IFERROR(__xludf.DUMMYFUNCTION("FILTER('CLASFICACIÓN'!$F$3:$F5618,'CLASFICACIÓN'!$G$3:$G5618=M3758)"),"SOLO LINEA BASE")</f>
        <v>SOLO LINEA BASE</v>
      </c>
      <c r="K3758" s="16" t="str">
        <f t="array" ref="K3758">IFERROR(DGET('PADD-R'!$B$1:$K5618,'PADD-R'!$K$1,{'PADD-R'!$B$1;E3758}),"NO PARTICIPÓ")</f>
        <v>NO PARTICIPÓ</v>
      </c>
      <c r="L3758" s="14" t="s">
        <v>150</v>
      </c>
      <c r="M3758" s="16" t="str">
        <f t="shared" si="1"/>
        <v>SAGRADO CORAZON DE JESUS1 Primaria</v>
      </c>
      <c r="N3758" s="23"/>
      <c r="O3758" s="17"/>
      <c r="P3758" s="17"/>
      <c r="Q3758" s="17"/>
      <c r="R3758" s="17"/>
      <c r="S3758" s="17"/>
      <c r="T3758" s="17"/>
    </row>
    <row r="3759">
      <c r="A3759" s="18">
        <v>2647.0</v>
      </c>
      <c r="B3759" s="12" t="s">
        <v>48</v>
      </c>
      <c r="C3759" s="12" t="s">
        <v>14</v>
      </c>
      <c r="D3759" s="20" t="s">
        <v>175</v>
      </c>
      <c r="E3759" s="12" t="str">
        <f>IFERROR(__xludf.DUMMYFUNCTION("FILTER(colegios!$B$2:$B5618,colegios!$A$2:$A5618=L3759)"),"SAGRADO CORAZON DE JESUS")</f>
        <v>SAGRADO CORAZON DE JESUS</v>
      </c>
      <c r="F3759" s="14" t="s">
        <v>16</v>
      </c>
      <c r="G3759" s="20" t="s">
        <v>17</v>
      </c>
      <c r="H3759" s="14" t="s">
        <v>18</v>
      </c>
      <c r="I3759" s="15">
        <v>2022.0</v>
      </c>
      <c r="J3759" s="16" t="str">
        <f>IFERROR(__xludf.DUMMYFUNCTION("FILTER('CLASFICACIÓN'!$F$3:$F5618,'CLASFICACIÓN'!$G$3:$G5618=M3759)"),"SOLO LINEA BASE")</f>
        <v>SOLO LINEA BASE</v>
      </c>
      <c r="K3759" s="16" t="str">
        <f t="array" ref="K3759">IFERROR(DGET('PADD-R'!$B$1:$K5618,'PADD-R'!$K$1,{'PADD-R'!$B$1;E3759}),"NO PARTICIPÓ")</f>
        <v>NO PARTICIPÓ</v>
      </c>
      <c r="L3759" s="14" t="s">
        <v>150</v>
      </c>
      <c r="M3759" s="16" t="str">
        <f t="shared" si="1"/>
        <v>SAGRADO CORAZON DE JESUS1 Primaria</v>
      </c>
      <c r="N3759" s="23"/>
      <c r="O3759" s="17"/>
      <c r="P3759" s="17"/>
      <c r="Q3759" s="17"/>
      <c r="R3759" s="17"/>
      <c r="S3759" s="17"/>
      <c r="T3759" s="17"/>
    </row>
    <row r="3760">
      <c r="A3760" s="18">
        <v>2648.0</v>
      </c>
      <c r="B3760" s="12" t="s">
        <v>48</v>
      </c>
      <c r="C3760" s="12" t="s">
        <v>14</v>
      </c>
      <c r="D3760" s="20" t="s">
        <v>175</v>
      </c>
      <c r="E3760" s="12" t="str">
        <f>IFERROR(__xludf.DUMMYFUNCTION("FILTER(colegios!$B$2:$B5618,colegios!$A$2:$A5618=L3760)"),"SAGRADO CORAZON DE JESUS")</f>
        <v>SAGRADO CORAZON DE JESUS</v>
      </c>
      <c r="F3760" s="14" t="s">
        <v>16</v>
      </c>
      <c r="G3760" s="20" t="s">
        <v>21</v>
      </c>
      <c r="H3760" s="14" t="s">
        <v>18</v>
      </c>
      <c r="I3760" s="15">
        <v>2022.0</v>
      </c>
      <c r="J3760" s="16" t="str">
        <f>IFERROR(__xludf.DUMMYFUNCTION("FILTER('CLASFICACIÓN'!$F$3:$F5618,'CLASFICACIÓN'!$G$3:$G5618=M3760)"),"SOLO LINEA BASE")</f>
        <v>SOLO LINEA BASE</v>
      </c>
      <c r="K3760" s="16" t="str">
        <f t="array" ref="K3760">IFERROR(DGET('PADD-R'!$B$1:$K5618,'PADD-R'!$K$1,{'PADD-R'!$B$1;E3760}),"NO PARTICIPÓ")</f>
        <v>NO PARTICIPÓ</v>
      </c>
      <c r="L3760" s="14" t="s">
        <v>150</v>
      </c>
      <c r="M3760" s="16" t="str">
        <f t="shared" si="1"/>
        <v>SAGRADO CORAZON DE JESUS1 Primaria</v>
      </c>
      <c r="N3760" s="23"/>
      <c r="O3760" s="17"/>
      <c r="P3760" s="17"/>
      <c r="Q3760" s="17"/>
      <c r="R3760" s="17"/>
      <c r="S3760" s="17"/>
      <c r="T3760" s="17"/>
    </row>
    <row r="3761">
      <c r="A3761" s="18">
        <v>2648.0</v>
      </c>
      <c r="B3761" s="12" t="s">
        <v>48</v>
      </c>
      <c r="C3761" s="12" t="s">
        <v>14</v>
      </c>
      <c r="D3761" s="20" t="s">
        <v>175</v>
      </c>
      <c r="E3761" s="12" t="str">
        <f>IFERROR(__xludf.DUMMYFUNCTION("FILTER(colegios!$B$2:$B5618,colegios!$A$2:$A5618=L3761)"),"SAGRADO CORAZON DE JESUS")</f>
        <v>SAGRADO CORAZON DE JESUS</v>
      </c>
      <c r="F3761" s="14" t="s">
        <v>16</v>
      </c>
      <c r="G3761" s="20" t="s">
        <v>17</v>
      </c>
      <c r="H3761" s="14" t="s">
        <v>18</v>
      </c>
      <c r="I3761" s="15">
        <v>2022.0</v>
      </c>
      <c r="J3761" s="16" t="str">
        <f>IFERROR(__xludf.DUMMYFUNCTION("FILTER('CLASFICACIÓN'!$F$3:$F5618,'CLASFICACIÓN'!$G$3:$G5618=M3761)"),"SOLO LINEA BASE")</f>
        <v>SOLO LINEA BASE</v>
      </c>
      <c r="K3761" s="16" t="str">
        <f t="array" ref="K3761">IFERROR(DGET('PADD-R'!$B$1:$K5618,'PADD-R'!$K$1,{'PADD-R'!$B$1;E3761}),"NO PARTICIPÓ")</f>
        <v>NO PARTICIPÓ</v>
      </c>
      <c r="L3761" s="14" t="s">
        <v>150</v>
      </c>
      <c r="M3761" s="16" t="str">
        <f t="shared" si="1"/>
        <v>SAGRADO CORAZON DE JESUS1 Primaria</v>
      </c>
      <c r="N3761" s="23"/>
      <c r="O3761" s="17"/>
      <c r="P3761" s="17"/>
      <c r="Q3761" s="17"/>
      <c r="R3761" s="17"/>
      <c r="S3761" s="17"/>
      <c r="T3761" s="17"/>
    </row>
    <row r="3762">
      <c r="A3762" s="18">
        <v>2697.0</v>
      </c>
      <c r="B3762" s="12" t="s">
        <v>48</v>
      </c>
      <c r="C3762" s="12" t="s">
        <v>14</v>
      </c>
      <c r="D3762" s="20" t="s">
        <v>175</v>
      </c>
      <c r="E3762" s="12" t="str">
        <f>IFERROR(__xludf.DUMMYFUNCTION("FILTER(colegios!$B$2:$B5618,colegios!$A$2:$A5618=L3762)"),"14145 SANTA JULIA BILLIART")</f>
        <v>14145 SANTA JULIA BILLIART</v>
      </c>
      <c r="F3762" s="14" t="s">
        <v>16</v>
      </c>
      <c r="G3762" s="20" t="s">
        <v>21</v>
      </c>
      <c r="H3762" s="14" t="s">
        <v>18</v>
      </c>
      <c r="I3762" s="15">
        <v>2022.0</v>
      </c>
      <c r="J3762" s="16" t="str">
        <f>IFERROR(__xludf.DUMMYFUNCTION("FILTER('CLASFICACIÓN'!$F$3:$F5618,'CLASFICACIÓN'!$G$3:$G5618=M3762)"),"SOLO LINEA BASE")</f>
        <v>SOLO LINEA BASE</v>
      </c>
      <c r="K3762" s="16" t="str">
        <f t="array" ref="K3762">IFERROR(DGET('PADD-R'!$B$1:$K5618,'PADD-R'!$K$1,{'PADD-R'!$B$1;E3762}),"NO PARTICIPÓ")</f>
        <v>SOLO 2023</v>
      </c>
      <c r="L3762" s="14" t="s">
        <v>151</v>
      </c>
      <c r="M3762" s="16" t="str">
        <f t="shared" si="1"/>
        <v>14145 SANTA JULIA BILLIART1 Primaria</v>
      </c>
      <c r="N3762" s="23"/>
      <c r="O3762" s="17"/>
      <c r="P3762" s="17"/>
      <c r="Q3762" s="17"/>
      <c r="R3762" s="17"/>
      <c r="S3762" s="17"/>
      <c r="T3762" s="17"/>
    </row>
    <row r="3763">
      <c r="A3763" s="18">
        <v>2698.0</v>
      </c>
      <c r="B3763" s="12" t="s">
        <v>48</v>
      </c>
      <c r="C3763" s="12" t="s">
        <v>14</v>
      </c>
      <c r="D3763" s="20" t="s">
        <v>175</v>
      </c>
      <c r="E3763" s="12" t="str">
        <f>IFERROR(__xludf.DUMMYFUNCTION("FILTER(colegios!$B$2:$B5618,colegios!$A$2:$A5618=L3763)"),"14145 SANTA JULIA BILLIART")</f>
        <v>14145 SANTA JULIA BILLIART</v>
      </c>
      <c r="F3763" s="14" t="s">
        <v>16</v>
      </c>
      <c r="G3763" s="20" t="s">
        <v>17</v>
      </c>
      <c r="H3763" s="14" t="s">
        <v>18</v>
      </c>
      <c r="I3763" s="15">
        <v>2022.0</v>
      </c>
      <c r="J3763" s="16" t="str">
        <f>IFERROR(__xludf.DUMMYFUNCTION("FILTER('CLASFICACIÓN'!$F$3:$F5618,'CLASFICACIÓN'!$G$3:$G5618=M3763)"),"SOLO LINEA BASE")</f>
        <v>SOLO LINEA BASE</v>
      </c>
      <c r="K3763" s="16" t="str">
        <f t="array" ref="K3763">IFERROR(DGET('PADD-R'!$B$1:$K5618,'PADD-R'!$K$1,{'PADD-R'!$B$1;E3763}),"NO PARTICIPÓ")</f>
        <v>SOLO 2023</v>
      </c>
      <c r="L3763" s="14" t="s">
        <v>151</v>
      </c>
      <c r="M3763" s="16" t="str">
        <f t="shared" si="1"/>
        <v>14145 SANTA JULIA BILLIART1 Primaria</v>
      </c>
      <c r="N3763" s="23"/>
      <c r="O3763" s="17"/>
      <c r="P3763" s="17"/>
      <c r="Q3763" s="17"/>
      <c r="R3763" s="17"/>
      <c r="S3763" s="17"/>
      <c r="T3763" s="17"/>
    </row>
    <row r="3764">
      <c r="A3764" s="18">
        <v>2699.0</v>
      </c>
      <c r="B3764" s="12" t="s">
        <v>48</v>
      </c>
      <c r="C3764" s="12" t="s">
        <v>14</v>
      </c>
      <c r="D3764" s="20" t="s">
        <v>175</v>
      </c>
      <c r="E3764" s="12" t="str">
        <f>IFERROR(__xludf.DUMMYFUNCTION("FILTER(colegios!$B$2:$B5618,colegios!$A$2:$A5618=L3764)"),"14145 SANTA JULIA BILLIART")</f>
        <v>14145 SANTA JULIA BILLIART</v>
      </c>
      <c r="F3764" s="14" t="s">
        <v>16</v>
      </c>
      <c r="G3764" s="20" t="s">
        <v>21</v>
      </c>
      <c r="H3764" s="14" t="s">
        <v>18</v>
      </c>
      <c r="I3764" s="15">
        <v>2022.0</v>
      </c>
      <c r="J3764" s="16" t="str">
        <f>IFERROR(__xludf.DUMMYFUNCTION("FILTER('CLASFICACIÓN'!$F$3:$F5618,'CLASFICACIÓN'!$G$3:$G5618=M3764)"),"SOLO LINEA BASE")</f>
        <v>SOLO LINEA BASE</v>
      </c>
      <c r="K3764" s="16" t="str">
        <f t="array" ref="K3764">IFERROR(DGET('PADD-R'!$B$1:$K5618,'PADD-R'!$K$1,{'PADD-R'!$B$1;E3764}),"NO PARTICIPÓ")</f>
        <v>SOLO 2023</v>
      </c>
      <c r="L3764" s="14" t="s">
        <v>151</v>
      </c>
      <c r="M3764" s="16" t="str">
        <f t="shared" si="1"/>
        <v>14145 SANTA JULIA BILLIART1 Primaria</v>
      </c>
      <c r="N3764" s="23"/>
      <c r="O3764" s="17"/>
      <c r="P3764" s="17"/>
      <c r="Q3764" s="17"/>
      <c r="R3764" s="17"/>
      <c r="S3764" s="17"/>
      <c r="T3764" s="17"/>
    </row>
    <row r="3765">
      <c r="A3765" s="18">
        <v>2700.0</v>
      </c>
      <c r="B3765" s="12" t="s">
        <v>48</v>
      </c>
      <c r="C3765" s="12" t="s">
        <v>14</v>
      </c>
      <c r="D3765" s="20" t="s">
        <v>175</v>
      </c>
      <c r="E3765" s="12" t="str">
        <f>IFERROR(__xludf.DUMMYFUNCTION("FILTER(colegios!$B$2:$B5618,colegios!$A$2:$A5618=L3765)"),"14145 SANTA JULIA BILLIART")</f>
        <v>14145 SANTA JULIA BILLIART</v>
      </c>
      <c r="F3765" s="14" t="s">
        <v>16</v>
      </c>
      <c r="G3765" s="20" t="s">
        <v>17</v>
      </c>
      <c r="H3765" s="14" t="s">
        <v>18</v>
      </c>
      <c r="I3765" s="15">
        <v>2022.0</v>
      </c>
      <c r="J3765" s="16" t="str">
        <f>IFERROR(__xludf.DUMMYFUNCTION("FILTER('CLASFICACIÓN'!$F$3:$F5618,'CLASFICACIÓN'!$G$3:$G5618=M3765)"),"SOLO LINEA BASE")</f>
        <v>SOLO LINEA BASE</v>
      </c>
      <c r="K3765" s="16" t="str">
        <f t="array" ref="K3765">IFERROR(DGET('PADD-R'!$B$1:$K5618,'PADD-R'!$K$1,{'PADD-R'!$B$1;E3765}),"NO PARTICIPÓ")</f>
        <v>SOLO 2023</v>
      </c>
      <c r="L3765" s="14" t="s">
        <v>151</v>
      </c>
      <c r="M3765" s="16" t="str">
        <f t="shared" si="1"/>
        <v>14145 SANTA JULIA BILLIART1 Primaria</v>
      </c>
      <c r="N3765" s="23"/>
      <c r="O3765" s="17"/>
      <c r="P3765" s="17"/>
      <c r="Q3765" s="17"/>
      <c r="R3765" s="17"/>
      <c r="S3765" s="17"/>
      <c r="T3765" s="17"/>
    </row>
    <row r="3766">
      <c r="A3766" s="18">
        <v>2701.0</v>
      </c>
      <c r="B3766" s="12" t="s">
        <v>48</v>
      </c>
      <c r="C3766" s="12" t="s">
        <v>14</v>
      </c>
      <c r="D3766" s="20" t="s">
        <v>175</v>
      </c>
      <c r="E3766" s="12" t="str">
        <f>IFERROR(__xludf.DUMMYFUNCTION("FILTER(colegios!$B$2:$B5618,colegios!$A$2:$A5618=L3766)"),"14145 SANTA JULIA BILLIART")</f>
        <v>14145 SANTA JULIA BILLIART</v>
      </c>
      <c r="F3766" s="14" t="s">
        <v>16</v>
      </c>
      <c r="G3766" s="20" t="s">
        <v>21</v>
      </c>
      <c r="H3766" s="14" t="s">
        <v>18</v>
      </c>
      <c r="I3766" s="15">
        <v>2022.0</v>
      </c>
      <c r="J3766" s="16" t="str">
        <f>IFERROR(__xludf.DUMMYFUNCTION("FILTER('CLASFICACIÓN'!$F$3:$F5618,'CLASFICACIÓN'!$G$3:$G5618=M3766)"),"SOLO LINEA BASE")</f>
        <v>SOLO LINEA BASE</v>
      </c>
      <c r="K3766" s="16" t="str">
        <f t="array" ref="K3766">IFERROR(DGET('PADD-R'!$B$1:$K5618,'PADD-R'!$K$1,{'PADD-R'!$B$1;E3766}),"NO PARTICIPÓ")</f>
        <v>SOLO 2023</v>
      </c>
      <c r="L3766" s="14" t="s">
        <v>151</v>
      </c>
      <c r="M3766" s="16" t="str">
        <f t="shared" si="1"/>
        <v>14145 SANTA JULIA BILLIART1 Primaria</v>
      </c>
      <c r="N3766" s="23"/>
      <c r="O3766" s="17"/>
      <c r="P3766" s="17"/>
      <c r="Q3766" s="17"/>
      <c r="R3766" s="17"/>
      <c r="S3766" s="17"/>
      <c r="T3766" s="17"/>
    </row>
    <row r="3767">
      <c r="A3767" s="18">
        <v>2702.0</v>
      </c>
      <c r="B3767" s="12" t="s">
        <v>48</v>
      </c>
      <c r="C3767" s="12" t="s">
        <v>14</v>
      </c>
      <c r="D3767" s="20" t="s">
        <v>175</v>
      </c>
      <c r="E3767" s="12" t="str">
        <f>IFERROR(__xludf.DUMMYFUNCTION("FILTER(colegios!$B$2:$B5618,colegios!$A$2:$A5618=L3767)"),"14145 SANTA JULIA BILLIART")</f>
        <v>14145 SANTA JULIA BILLIART</v>
      </c>
      <c r="F3767" s="14" t="s">
        <v>16</v>
      </c>
      <c r="G3767" s="20" t="s">
        <v>17</v>
      </c>
      <c r="H3767" s="14" t="s">
        <v>18</v>
      </c>
      <c r="I3767" s="15">
        <v>2022.0</v>
      </c>
      <c r="J3767" s="16" t="str">
        <f>IFERROR(__xludf.DUMMYFUNCTION("FILTER('CLASFICACIÓN'!$F$3:$F5618,'CLASFICACIÓN'!$G$3:$G5618=M3767)"),"SOLO LINEA BASE")</f>
        <v>SOLO LINEA BASE</v>
      </c>
      <c r="K3767" s="16" t="str">
        <f t="array" ref="K3767">IFERROR(DGET('PADD-R'!$B$1:$K5618,'PADD-R'!$K$1,{'PADD-R'!$B$1;E3767}),"NO PARTICIPÓ")</f>
        <v>SOLO 2023</v>
      </c>
      <c r="L3767" s="14" t="s">
        <v>151</v>
      </c>
      <c r="M3767" s="16" t="str">
        <f t="shared" si="1"/>
        <v>14145 SANTA JULIA BILLIART1 Primaria</v>
      </c>
      <c r="N3767" s="23"/>
      <c r="O3767" s="17"/>
      <c r="P3767" s="17"/>
      <c r="Q3767" s="17"/>
      <c r="R3767" s="17"/>
      <c r="S3767" s="17"/>
      <c r="T3767" s="17"/>
    </row>
    <row r="3768">
      <c r="A3768" s="18">
        <v>2703.0</v>
      </c>
      <c r="B3768" s="12" t="s">
        <v>48</v>
      </c>
      <c r="C3768" s="12" t="s">
        <v>14</v>
      </c>
      <c r="D3768" s="20" t="s">
        <v>175</v>
      </c>
      <c r="E3768" s="12" t="str">
        <f>IFERROR(__xludf.DUMMYFUNCTION("FILTER(colegios!$B$2:$B5618,colegios!$A$2:$A5618=L3768)"),"14145 SANTA JULIA BILLIART")</f>
        <v>14145 SANTA JULIA BILLIART</v>
      </c>
      <c r="F3768" s="14" t="s">
        <v>16</v>
      </c>
      <c r="G3768" s="20" t="s">
        <v>21</v>
      </c>
      <c r="H3768" s="14" t="s">
        <v>18</v>
      </c>
      <c r="I3768" s="15">
        <v>2022.0</v>
      </c>
      <c r="J3768" s="16" t="str">
        <f>IFERROR(__xludf.DUMMYFUNCTION("FILTER('CLASFICACIÓN'!$F$3:$F5618,'CLASFICACIÓN'!$G$3:$G5618=M3768)"),"SOLO LINEA BASE")</f>
        <v>SOLO LINEA BASE</v>
      </c>
      <c r="K3768" s="16" t="str">
        <f t="array" ref="K3768">IFERROR(DGET('PADD-R'!$B$1:$K5618,'PADD-R'!$K$1,{'PADD-R'!$B$1;E3768}),"NO PARTICIPÓ")</f>
        <v>SOLO 2023</v>
      </c>
      <c r="L3768" s="14" t="s">
        <v>151</v>
      </c>
      <c r="M3768" s="16" t="str">
        <f t="shared" si="1"/>
        <v>14145 SANTA JULIA BILLIART1 Primaria</v>
      </c>
      <c r="N3768" s="23"/>
      <c r="O3768" s="17"/>
      <c r="P3768" s="17"/>
      <c r="Q3768" s="17"/>
      <c r="R3768" s="17"/>
      <c r="S3768" s="17"/>
      <c r="T3768" s="17"/>
    </row>
    <row r="3769">
      <c r="A3769" s="18">
        <v>2704.0</v>
      </c>
      <c r="B3769" s="12" t="s">
        <v>48</v>
      </c>
      <c r="C3769" s="12" t="s">
        <v>14</v>
      </c>
      <c r="D3769" s="20" t="s">
        <v>175</v>
      </c>
      <c r="E3769" s="12" t="str">
        <f>IFERROR(__xludf.DUMMYFUNCTION("FILTER(colegios!$B$2:$B5618,colegios!$A$2:$A5618=L3769)"),"14145 SANTA JULIA BILLIART")</f>
        <v>14145 SANTA JULIA BILLIART</v>
      </c>
      <c r="F3769" s="14" t="s">
        <v>16</v>
      </c>
      <c r="G3769" s="20" t="s">
        <v>21</v>
      </c>
      <c r="H3769" s="14" t="s">
        <v>18</v>
      </c>
      <c r="I3769" s="15">
        <v>2022.0</v>
      </c>
      <c r="J3769" s="16" t="str">
        <f>IFERROR(__xludf.DUMMYFUNCTION("FILTER('CLASFICACIÓN'!$F$3:$F5618,'CLASFICACIÓN'!$G$3:$G5618=M3769)"),"SOLO LINEA BASE")</f>
        <v>SOLO LINEA BASE</v>
      </c>
      <c r="K3769" s="16" t="str">
        <f t="array" ref="K3769">IFERROR(DGET('PADD-R'!$B$1:$K5618,'PADD-R'!$K$1,{'PADD-R'!$B$1;E3769}),"NO PARTICIPÓ")</f>
        <v>SOLO 2023</v>
      </c>
      <c r="L3769" s="14" t="s">
        <v>151</v>
      </c>
      <c r="M3769" s="16" t="str">
        <f t="shared" si="1"/>
        <v>14145 SANTA JULIA BILLIART1 Primaria</v>
      </c>
      <c r="N3769" s="23"/>
      <c r="O3769" s="17"/>
      <c r="P3769" s="17"/>
      <c r="Q3769" s="17"/>
      <c r="R3769" s="17"/>
      <c r="S3769" s="17"/>
      <c r="T3769" s="17"/>
    </row>
    <row r="3770">
      <c r="A3770" s="18">
        <v>2705.0</v>
      </c>
      <c r="B3770" s="12" t="s">
        <v>48</v>
      </c>
      <c r="C3770" s="12" t="s">
        <v>14</v>
      </c>
      <c r="D3770" s="20" t="s">
        <v>175</v>
      </c>
      <c r="E3770" s="12" t="str">
        <f>IFERROR(__xludf.DUMMYFUNCTION("FILTER(colegios!$B$2:$B5618,colegios!$A$2:$A5618=L3770)"),"14145 SANTA JULIA BILLIART")</f>
        <v>14145 SANTA JULIA BILLIART</v>
      </c>
      <c r="F3770" s="14" t="s">
        <v>16</v>
      </c>
      <c r="G3770" s="20" t="s">
        <v>17</v>
      </c>
      <c r="H3770" s="14" t="s">
        <v>18</v>
      </c>
      <c r="I3770" s="15">
        <v>2022.0</v>
      </c>
      <c r="J3770" s="16" t="str">
        <f>IFERROR(__xludf.DUMMYFUNCTION("FILTER('CLASFICACIÓN'!$F$3:$F5618,'CLASFICACIÓN'!$G$3:$G5618=M3770)"),"SOLO LINEA BASE")</f>
        <v>SOLO LINEA BASE</v>
      </c>
      <c r="K3770" s="16" t="str">
        <f t="array" ref="K3770">IFERROR(DGET('PADD-R'!$B$1:$K5618,'PADD-R'!$K$1,{'PADD-R'!$B$1;E3770}),"NO PARTICIPÓ")</f>
        <v>SOLO 2023</v>
      </c>
      <c r="L3770" s="14" t="s">
        <v>151</v>
      </c>
      <c r="M3770" s="16" t="str">
        <f t="shared" si="1"/>
        <v>14145 SANTA JULIA BILLIART1 Primaria</v>
      </c>
      <c r="N3770" s="23"/>
      <c r="O3770" s="17"/>
      <c r="P3770" s="17"/>
      <c r="Q3770" s="17"/>
      <c r="R3770" s="17"/>
      <c r="S3770" s="17"/>
      <c r="T3770" s="17"/>
    </row>
    <row r="3771">
      <c r="A3771" s="18">
        <v>2706.0</v>
      </c>
      <c r="B3771" s="12" t="s">
        <v>48</v>
      </c>
      <c r="C3771" s="12" t="s">
        <v>14</v>
      </c>
      <c r="D3771" s="20" t="s">
        <v>175</v>
      </c>
      <c r="E3771" s="12" t="str">
        <f>IFERROR(__xludf.DUMMYFUNCTION("FILTER(colegios!$B$2:$B5618,colegios!$A$2:$A5618=L3771)"),"14145 SANTA JULIA BILLIART")</f>
        <v>14145 SANTA JULIA BILLIART</v>
      </c>
      <c r="F3771" s="14" t="s">
        <v>16</v>
      </c>
      <c r="G3771" s="20" t="s">
        <v>21</v>
      </c>
      <c r="H3771" s="14" t="s">
        <v>18</v>
      </c>
      <c r="I3771" s="15">
        <v>2022.0</v>
      </c>
      <c r="J3771" s="16" t="str">
        <f>IFERROR(__xludf.DUMMYFUNCTION("FILTER('CLASFICACIÓN'!$F$3:$F5618,'CLASFICACIÓN'!$G$3:$G5618=M3771)"),"SOLO LINEA BASE")</f>
        <v>SOLO LINEA BASE</v>
      </c>
      <c r="K3771" s="16" t="str">
        <f t="array" ref="K3771">IFERROR(DGET('PADD-R'!$B$1:$K5618,'PADD-R'!$K$1,{'PADD-R'!$B$1;E3771}),"NO PARTICIPÓ")</f>
        <v>SOLO 2023</v>
      </c>
      <c r="L3771" s="14" t="s">
        <v>151</v>
      </c>
      <c r="M3771" s="16" t="str">
        <f t="shared" si="1"/>
        <v>14145 SANTA JULIA BILLIART1 Primaria</v>
      </c>
      <c r="N3771" s="23"/>
      <c r="O3771" s="17"/>
      <c r="P3771" s="17"/>
      <c r="Q3771" s="17"/>
      <c r="R3771" s="17"/>
      <c r="S3771" s="17"/>
      <c r="T3771" s="17"/>
    </row>
    <row r="3772">
      <c r="A3772" s="18">
        <v>2707.0</v>
      </c>
      <c r="B3772" s="12" t="s">
        <v>48</v>
      </c>
      <c r="C3772" s="12" t="s">
        <v>14</v>
      </c>
      <c r="D3772" s="20" t="s">
        <v>175</v>
      </c>
      <c r="E3772" s="12" t="str">
        <f>IFERROR(__xludf.DUMMYFUNCTION("FILTER(colegios!$B$2:$B5618,colegios!$A$2:$A5618=L3772)"),"14145 SANTA JULIA BILLIART")</f>
        <v>14145 SANTA JULIA BILLIART</v>
      </c>
      <c r="F3772" s="14" t="s">
        <v>16</v>
      </c>
      <c r="G3772" s="20" t="s">
        <v>21</v>
      </c>
      <c r="H3772" s="14" t="s">
        <v>18</v>
      </c>
      <c r="I3772" s="15">
        <v>2022.0</v>
      </c>
      <c r="J3772" s="16" t="str">
        <f>IFERROR(__xludf.DUMMYFUNCTION("FILTER('CLASFICACIÓN'!$F$3:$F5618,'CLASFICACIÓN'!$G$3:$G5618=M3772)"),"SOLO LINEA BASE")</f>
        <v>SOLO LINEA BASE</v>
      </c>
      <c r="K3772" s="16" t="str">
        <f t="array" ref="K3772">IFERROR(DGET('PADD-R'!$B$1:$K5618,'PADD-R'!$K$1,{'PADD-R'!$B$1;E3772}),"NO PARTICIPÓ")</f>
        <v>SOLO 2023</v>
      </c>
      <c r="L3772" s="14" t="s">
        <v>151</v>
      </c>
      <c r="M3772" s="16" t="str">
        <f t="shared" si="1"/>
        <v>14145 SANTA JULIA BILLIART1 Primaria</v>
      </c>
      <c r="N3772" s="23"/>
      <c r="O3772" s="17"/>
      <c r="P3772" s="17"/>
      <c r="Q3772" s="17"/>
      <c r="R3772" s="17"/>
      <c r="S3772" s="17"/>
      <c r="T3772" s="17"/>
    </row>
    <row r="3773">
      <c r="A3773" s="18">
        <v>2708.0</v>
      </c>
      <c r="B3773" s="12" t="s">
        <v>48</v>
      </c>
      <c r="C3773" s="12" t="s">
        <v>14</v>
      </c>
      <c r="D3773" s="20" t="s">
        <v>175</v>
      </c>
      <c r="E3773" s="12" t="str">
        <f>IFERROR(__xludf.DUMMYFUNCTION("FILTER(colegios!$B$2:$B5618,colegios!$A$2:$A5618=L3773)"),"14145 SANTA JULIA BILLIART")</f>
        <v>14145 SANTA JULIA BILLIART</v>
      </c>
      <c r="F3773" s="14" t="s">
        <v>16</v>
      </c>
      <c r="G3773" s="20" t="s">
        <v>17</v>
      </c>
      <c r="H3773" s="14" t="s">
        <v>18</v>
      </c>
      <c r="I3773" s="15">
        <v>2022.0</v>
      </c>
      <c r="J3773" s="16" t="str">
        <f>IFERROR(__xludf.DUMMYFUNCTION("FILTER('CLASFICACIÓN'!$F$3:$F5618,'CLASFICACIÓN'!$G$3:$G5618=M3773)"),"SOLO LINEA BASE")</f>
        <v>SOLO LINEA BASE</v>
      </c>
      <c r="K3773" s="16" t="str">
        <f t="array" ref="K3773">IFERROR(DGET('PADD-R'!$B$1:$K5618,'PADD-R'!$K$1,{'PADD-R'!$B$1;E3773}),"NO PARTICIPÓ")</f>
        <v>SOLO 2023</v>
      </c>
      <c r="L3773" s="14" t="s">
        <v>151</v>
      </c>
      <c r="M3773" s="16" t="str">
        <f t="shared" si="1"/>
        <v>14145 SANTA JULIA BILLIART1 Primaria</v>
      </c>
      <c r="N3773" s="23"/>
      <c r="O3773" s="17"/>
      <c r="P3773" s="17"/>
      <c r="Q3773" s="17"/>
      <c r="R3773" s="17"/>
      <c r="S3773" s="17"/>
      <c r="T3773" s="17"/>
    </row>
    <row r="3774">
      <c r="A3774" s="18">
        <v>2777.0</v>
      </c>
      <c r="B3774" s="12" t="s">
        <v>48</v>
      </c>
      <c r="C3774" s="12" t="s">
        <v>14</v>
      </c>
      <c r="D3774" s="20" t="s">
        <v>175</v>
      </c>
      <c r="E3774" s="12" t="str">
        <f>IFERROR(__xludf.DUMMYFUNCTION("FILTER(colegios!$B$2:$B5618,colegios!$A$2:$A5618=L3774)"),"14144 SANTA ROSA")</f>
        <v>14144 SANTA ROSA</v>
      </c>
      <c r="F3774" s="14" t="s">
        <v>16</v>
      </c>
      <c r="G3774" s="20" t="s">
        <v>21</v>
      </c>
      <c r="H3774" s="14" t="s">
        <v>24</v>
      </c>
      <c r="I3774" s="15">
        <v>2022.0</v>
      </c>
      <c r="J3774" s="16" t="str">
        <f>IFERROR(__xludf.DUMMYFUNCTION("FILTER('CLASFICACIÓN'!$F$3:$F5618,'CLASFICACIÓN'!$G$3:$G5618=M3774)"),"SOLO LINEA BASE")</f>
        <v>SOLO LINEA BASE</v>
      </c>
      <c r="K3774" s="16" t="str">
        <f t="array" ref="K3774">IFERROR(DGET('PADD-R'!$B$1:$K5618,'PADD-R'!$K$1,{'PADD-R'!$B$1;E3774}),"NO PARTICIPÓ")</f>
        <v>SOLO 2023</v>
      </c>
      <c r="L3774" s="14" t="s">
        <v>152</v>
      </c>
      <c r="M3774" s="16" t="str">
        <f t="shared" si="1"/>
        <v>14144 SANTA ROSA1 Primaria</v>
      </c>
      <c r="N3774" s="23"/>
      <c r="O3774" s="17"/>
      <c r="P3774" s="17"/>
      <c r="Q3774" s="17"/>
      <c r="R3774" s="17"/>
      <c r="S3774" s="17"/>
      <c r="T3774" s="17"/>
    </row>
    <row r="3775">
      <c r="A3775" s="18">
        <v>2778.0</v>
      </c>
      <c r="B3775" s="12" t="s">
        <v>48</v>
      </c>
      <c r="C3775" s="12" t="s">
        <v>14</v>
      </c>
      <c r="D3775" s="20" t="s">
        <v>175</v>
      </c>
      <c r="E3775" s="12" t="str">
        <f>IFERROR(__xludf.DUMMYFUNCTION("FILTER(colegios!$B$2:$B5618,colegios!$A$2:$A5618=L3775)"),"14144 SANTA ROSA")</f>
        <v>14144 SANTA ROSA</v>
      </c>
      <c r="F3775" s="14" t="s">
        <v>16</v>
      </c>
      <c r="G3775" s="20" t="s">
        <v>21</v>
      </c>
      <c r="H3775" s="14" t="s">
        <v>18</v>
      </c>
      <c r="I3775" s="15">
        <v>2022.0</v>
      </c>
      <c r="J3775" s="16" t="str">
        <f>IFERROR(__xludf.DUMMYFUNCTION("FILTER('CLASFICACIÓN'!$F$3:$F5618,'CLASFICACIÓN'!$G$3:$G5618=M3775)"),"SOLO LINEA BASE")</f>
        <v>SOLO LINEA BASE</v>
      </c>
      <c r="K3775" s="16" t="str">
        <f t="array" ref="K3775">IFERROR(DGET('PADD-R'!$B$1:$K5618,'PADD-R'!$K$1,{'PADD-R'!$B$1;E3775}),"NO PARTICIPÓ")</f>
        <v>SOLO 2023</v>
      </c>
      <c r="L3775" s="14" t="s">
        <v>152</v>
      </c>
      <c r="M3775" s="16" t="str">
        <f t="shared" si="1"/>
        <v>14144 SANTA ROSA1 Primaria</v>
      </c>
      <c r="N3775" s="23"/>
      <c r="O3775" s="17"/>
      <c r="P3775" s="17"/>
      <c r="Q3775" s="17"/>
      <c r="R3775" s="17"/>
      <c r="S3775" s="17"/>
      <c r="T3775" s="17"/>
    </row>
    <row r="3776">
      <c r="A3776" s="18">
        <v>2779.0</v>
      </c>
      <c r="B3776" s="12" t="s">
        <v>48</v>
      </c>
      <c r="C3776" s="12" t="s">
        <v>14</v>
      </c>
      <c r="D3776" s="20" t="s">
        <v>175</v>
      </c>
      <c r="E3776" s="12" t="str">
        <f>IFERROR(__xludf.DUMMYFUNCTION("FILTER(colegios!$B$2:$B5618,colegios!$A$2:$A5618=L3776)"),"14144 SANTA ROSA")</f>
        <v>14144 SANTA ROSA</v>
      </c>
      <c r="F3776" s="14" t="s">
        <v>16</v>
      </c>
      <c r="G3776" s="20" t="s">
        <v>17</v>
      </c>
      <c r="H3776" s="14" t="s">
        <v>18</v>
      </c>
      <c r="I3776" s="15">
        <v>2022.0</v>
      </c>
      <c r="J3776" s="16" t="str">
        <f>IFERROR(__xludf.DUMMYFUNCTION("FILTER('CLASFICACIÓN'!$F$3:$F5618,'CLASFICACIÓN'!$G$3:$G5618=M3776)"),"SOLO LINEA BASE")</f>
        <v>SOLO LINEA BASE</v>
      </c>
      <c r="K3776" s="16" t="str">
        <f t="array" ref="K3776">IFERROR(DGET('PADD-R'!$B$1:$K5618,'PADD-R'!$K$1,{'PADD-R'!$B$1;E3776}),"NO PARTICIPÓ")</f>
        <v>SOLO 2023</v>
      </c>
      <c r="L3776" s="14" t="s">
        <v>152</v>
      </c>
      <c r="M3776" s="16" t="str">
        <f t="shared" si="1"/>
        <v>14144 SANTA ROSA1 Primaria</v>
      </c>
      <c r="N3776" s="23"/>
      <c r="O3776" s="17"/>
      <c r="P3776" s="17"/>
      <c r="Q3776" s="17"/>
      <c r="R3776" s="17"/>
      <c r="S3776" s="17"/>
      <c r="T3776" s="17"/>
    </row>
    <row r="3777">
      <c r="A3777" s="18">
        <v>2780.0</v>
      </c>
      <c r="B3777" s="12" t="s">
        <v>48</v>
      </c>
      <c r="C3777" s="12" t="s">
        <v>14</v>
      </c>
      <c r="D3777" s="20" t="s">
        <v>175</v>
      </c>
      <c r="E3777" s="12" t="str">
        <f>IFERROR(__xludf.DUMMYFUNCTION("FILTER(colegios!$B$2:$B5618,colegios!$A$2:$A5618=L3777)"),"14144 SANTA ROSA")</f>
        <v>14144 SANTA ROSA</v>
      </c>
      <c r="F3777" s="14" t="s">
        <v>16</v>
      </c>
      <c r="G3777" s="20" t="s">
        <v>21</v>
      </c>
      <c r="H3777" s="14" t="s">
        <v>18</v>
      </c>
      <c r="I3777" s="15">
        <v>2022.0</v>
      </c>
      <c r="J3777" s="16" t="str">
        <f>IFERROR(__xludf.DUMMYFUNCTION("FILTER('CLASFICACIÓN'!$F$3:$F5618,'CLASFICACIÓN'!$G$3:$G5618=M3777)"),"SOLO LINEA BASE")</f>
        <v>SOLO LINEA BASE</v>
      </c>
      <c r="K3777" s="16" t="str">
        <f t="array" ref="K3777">IFERROR(DGET('PADD-R'!$B$1:$K5618,'PADD-R'!$K$1,{'PADD-R'!$B$1;E3777}),"NO PARTICIPÓ")</f>
        <v>SOLO 2023</v>
      </c>
      <c r="L3777" s="14" t="s">
        <v>152</v>
      </c>
      <c r="M3777" s="16" t="str">
        <f t="shared" si="1"/>
        <v>14144 SANTA ROSA1 Primaria</v>
      </c>
      <c r="N3777" s="23"/>
      <c r="O3777" s="17"/>
      <c r="P3777" s="17"/>
      <c r="Q3777" s="17"/>
      <c r="R3777" s="17"/>
      <c r="S3777" s="17"/>
      <c r="T3777" s="17"/>
    </row>
    <row r="3778">
      <c r="A3778" s="18">
        <v>2781.0</v>
      </c>
      <c r="B3778" s="12" t="s">
        <v>48</v>
      </c>
      <c r="C3778" s="12" t="s">
        <v>14</v>
      </c>
      <c r="D3778" s="20" t="s">
        <v>175</v>
      </c>
      <c r="E3778" s="12" t="str">
        <f>IFERROR(__xludf.DUMMYFUNCTION("FILTER(colegios!$B$2:$B5618,colegios!$A$2:$A5618=L3778)"),"14144 SANTA ROSA")</f>
        <v>14144 SANTA ROSA</v>
      </c>
      <c r="F3778" s="14" t="s">
        <v>16</v>
      </c>
      <c r="G3778" s="20" t="s">
        <v>17</v>
      </c>
      <c r="H3778" s="14" t="s">
        <v>18</v>
      </c>
      <c r="I3778" s="15">
        <v>2022.0</v>
      </c>
      <c r="J3778" s="16" t="str">
        <f>IFERROR(__xludf.DUMMYFUNCTION("FILTER('CLASFICACIÓN'!$F$3:$F5618,'CLASFICACIÓN'!$G$3:$G5618=M3778)"),"SOLO LINEA BASE")</f>
        <v>SOLO LINEA BASE</v>
      </c>
      <c r="K3778" s="16" t="str">
        <f t="array" ref="K3778">IFERROR(DGET('PADD-R'!$B$1:$K5618,'PADD-R'!$K$1,{'PADD-R'!$B$1;E3778}),"NO PARTICIPÓ")</f>
        <v>SOLO 2023</v>
      </c>
      <c r="L3778" s="14" t="s">
        <v>152</v>
      </c>
      <c r="M3778" s="16" t="str">
        <f t="shared" si="1"/>
        <v>14144 SANTA ROSA1 Primaria</v>
      </c>
      <c r="N3778" s="23"/>
      <c r="O3778" s="17"/>
      <c r="P3778" s="17"/>
      <c r="Q3778" s="17"/>
      <c r="R3778" s="17"/>
      <c r="S3778" s="17"/>
      <c r="T3778" s="17"/>
    </row>
    <row r="3779">
      <c r="A3779" s="18">
        <v>2782.0</v>
      </c>
      <c r="B3779" s="12" t="s">
        <v>48</v>
      </c>
      <c r="C3779" s="12" t="s">
        <v>14</v>
      </c>
      <c r="D3779" s="20" t="s">
        <v>175</v>
      </c>
      <c r="E3779" s="12" t="str">
        <f>IFERROR(__xludf.DUMMYFUNCTION("FILTER(colegios!$B$2:$B5618,colegios!$A$2:$A5618=L3779)"),"14144 SANTA ROSA")</f>
        <v>14144 SANTA ROSA</v>
      </c>
      <c r="F3779" s="14" t="s">
        <v>16</v>
      </c>
      <c r="G3779" s="20" t="s">
        <v>17</v>
      </c>
      <c r="H3779" s="14" t="s">
        <v>18</v>
      </c>
      <c r="I3779" s="15">
        <v>2022.0</v>
      </c>
      <c r="J3779" s="16" t="str">
        <f>IFERROR(__xludf.DUMMYFUNCTION("FILTER('CLASFICACIÓN'!$F$3:$F5618,'CLASFICACIÓN'!$G$3:$G5618=M3779)"),"SOLO LINEA BASE")</f>
        <v>SOLO LINEA BASE</v>
      </c>
      <c r="K3779" s="16" t="str">
        <f t="array" ref="K3779">IFERROR(DGET('PADD-R'!$B$1:$K5618,'PADD-R'!$K$1,{'PADD-R'!$B$1;E3779}),"NO PARTICIPÓ")</f>
        <v>SOLO 2023</v>
      </c>
      <c r="L3779" s="14" t="s">
        <v>152</v>
      </c>
      <c r="M3779" s="16" t="str">
        <f t="shared" si="1"/>
        <v>14144 SANTA ROSA1 Primaria</v>
      </c>
      <c r="N3779" s="23"/>
      <c r="O3779" s="17"/>
      <c r="P3779" s="17"/>
      <c r="Q3779" s="17"/>
      <c r="R3779" s="17"/>
      <c r="S3779" s="17"/>
      <c r="T3779" s="17"/>
    </row>
    <row r="3780">
      <c r="A3780" s="18">
        <v>2783.0</v>
      </c>
      <c r="B3780" s="12" t="s">
        <v>48</v>
      </c>
      <c r="C3780" s="12" t="s">
        <v>14</v>
      </c>
      <c r="D3780" s="20" t="s">
        <v>175</v>
      </c>
      <c r="E3780" s="12" t="str">
        <f>IFERROR(__xludf.DUMMYFUNCTION("FILTER(colegios!$B$2:$B5618,colegios!$A$2:$A5618=L3780)"),"14144 SANTA ROSA")</f>
        <v>14144 SANTA ROSA</v>
      </c>
      <c r="F3780" s="14" t="s">
        <v>16</v>
      </c>
      <c r="G3780" s="20" t="s">
        <v>21</v>
      </c>
      <c r="H3780" s="14" t="s">
        <v>18</v>
      </c>
      <c r="I3780" s="15">
        <v>2022.0</v>
      </c>
      <c r="J3780" s="16" t="str">
        <f>IFERROR(__xludf.DUMMYFUNCTION("FILTER('CLASFICACIÓN'!$F$3:$F5618,'CLASFICACIÓN'!$G$3:$G5618=M3780)"),"SOLO LINEA BASE")</f>
        <v>SOLO LINEA BASE</v>
      </c>
      <c r="K3780" s="16" t="str">
        <f t="array" ref="K3780">IFERROR(DGET('PADD-R'!$B$1:$K5618,'PADD-R'!$K$1,{'PADD-R'!$B$1;E3780}),"NO PARTICIPÓ")</f>
        <v>SOLO 2023</v>
      </c>
      <c r="L3780" s="14" t="s">
        <v>152</v>
      </c>
      <c r="M3780" s="16" t="str">
        <f t="shared" si="1"/>
        <v>14144 SANTA ROSA1 Primaria</v>
      </c>
      <c r="N3780" s="23"/>
      <c r="O3780" s="17"/>
      <c r="P3780" s="17"/>
      <c r="Q3780" s="17"/>
      <c r="R3780" s="17"/>
      <c r="S3780" s="17"/>
      <c r="T3780" s="17"/>
    </row>
    <row r="3781">
      <c r="A3781" s="18">
        <v>2784.0</v>
      </c>
      <c r="B3781" s="12" t="s">
        <v>48</v>
      </c>
      <c r="C3781" s="12" t="s">
        <v>14</v>
      </c>
      <c r="D3781" s="20" t="s">
        <v>175</v>
      </c>
      <c r="E3781" s="12" t="str">
        <f>IFERROR(__xludf.DUMMYFUNCTION("FILTER(colegios!$B$2:$B5618,colegios!$A$2:$A5618=L3781)"),"14144 SANTA ROSA")</f>
        <v>14144 SANTA ROSA</v>
      </c>
      <c r="F3781" s="14" t="s">
        <v>16</v>
      </c>
      <c r="G3781" s="20" t="s">
        <v>17</v>
      </c>
      <c r="H3781" s="14" t="s">
        <v>18</v>
      </c>
      <c r="I3781" s="15">
        <v>2022.0</v>
      </c>
      <c r="J3781" s="16" t="str">
        <f>IFERROR(__xludf.DUMMYFUNCTION("FILTER('CLASFICACIÓN'!$F$3:$F5618,'CLASFICACIÓN'!$G$3:$G5618=M3781)"),"SOLO LINEA BASE")</f>
        <v>SOLO LINEA BASE</v>
      </c>
      <c r="K3781" s="16" t="str">
        <f t="array" ref="K3781">IFERROR(DGET('PADD-R'!$B$1:$K5618,'PADD-R'!$K$1,{'PADD-R'!$B$1;E3781}),"NO PARTICIPÓ")</f>
        <v>SOLO 2023</v>
      </c>
      <c r="L3781" s="14" t="s">
        <v>152</v>
      </c>
      <c r="M3781" s="16" t="str">
        <f t="shared" si="1"/>
        <v>14144 SANTA ROSA1 Primaria</v>
      </c>
      <c r="N3781" s="23"/>
      <c r="O3781" s="17"/>
      <c r="P3781" s="17"/>
      <c r="Q3781" s="17"/>
      <c r="R3781" s="17"/>
      <c r="S3781" s="17"/>
      <c r="T3781" s="17"/>
    </row>
    <row r="3782">
      <c r="A3782" s="18">
        <v>2785.0</v>
      </c>
      <c r="B3782" s="12" t="s">
        <v>48</v>
      </c>
      <c r="C3782" s="12" t="s">
        <v>14</v>
      </c>
      <c r="D3782" s="20" t="s">
        <v>175</v>
      </c>
      <c r="E3782" s="12" t="str">
        <f>IFERROR(__xludf.DUMMYFUNCTION("FILTER(colegios!$B$2:$B5618,colegios!$A$2:$A5618=L3782)"),"14144 SANTA ROSA")</f>
        <v>14144 SANTA ROSA</v>
      </c>
      <c r="F3782" s="14" t="s">
        <v>16</v>
      </c>
      <c r="G3782" s="20" t="s">
        <v>21</v>
      </c>
      <c r="H3782" s="14" t="s">
        <v>18</v>
      </c>
      <c r="I3782" s="15">
        <v>2022.0</v>
      </c>
      <c r="J3782" s="16" t="str">
        <f>IFERROR(__xludf.DUMMYFUNCTION("FILTER('CLASFICACIÓN'!$F$3:$F5618,'CLASFICACIÓN'!$G$3:$G5618=M3782)"),"SOLO LINEA BASE")</f>
        <v>SOLO LINEA BASE</v>
      </c>
      <c r="K3782" s="16" t="str">
        <f t="array" ref="K3782">IFERROR(DGET('PADD-R'!$B$1:$K5618,'PADD-R'!$K$1,{'PADD-R'!$B$1;E3782}),"NO PARTICIPÓ")</f>
        <v>SOLO 2023</v>
      </c>
      <c r="L3782" s="14" t="s">
        <v>152</v>
      </c>
      <c r="M3782" s="16" t="str">
        <f t="shared" si="1"/>
        <v>14144 SANTA ROSA1 Primaria</v>
      </c>
      <c r="N3782" s="23"/>
      <c r="O3782" s="17"/>
      <c r="P3782" s="17"/>
      <c r="Q3782" s="17"/>
      <c r="R3782" s="17"/>
      <c r="S3782" s="17"/>
      <c r="T3782" s="17"/>
    </row>
    <row r="3783">
      <c r="A3783" s="18">
        <v>2786.0</v>
      </c>
      <c r="B3783" s="12" t="s">
        <v>48</v>
      </c>
      <c r="C3783" s="12" t="s">
        <v>14</v>
      </c>
      <c r="D3783" s="20" t="s">
        <v>175</v>
      </c>
      <c r="E3783" s="12" t="str">
        <f>IFERROR(__xludf.DUMMYFUNCTION("FILTER(colegios!$B$2:$B5618,colegios!$A$2:$A5618=L3783)"),"14144 SANTA ROSA")</f>
        <v>14144 SANTA ROSA</v>
      </c>
      <c r="F3783" s="14" t="s">
        <v>16</v>
      </c>
      <c r="G3783" s="20" t="s">
        <v>17</v>
      </c>
      <c r="H3783" s="14" t="s">
        <v>18</v>
      </c>
      <c r="I3783" s="15">
        <v>2022.0</v>
      </c>
      <c r="J3783" s="16" t="str">
        <f>IFERROR(__xludf.DUMMYFUNCTION("FILTER('CLASFICACIÓN'!$F$3:$F5618,'CLASFICACIÓN'!$G$3:$G5618=M3783)"),"SOLO LINEA BASE")</f>
        <v>SOLO LINEA BASE</v>
      </c>
      <c r="K3783" s="16" t="str">
        <f t="array" ref="K3783">IFERROR(DGET('PADD-R'!$B$1:$K5618,'PADD-R'!$K$1,{'PADD-R'!$B$1;E3783}),"NO PARTICIPÓ")</f>
        <v>SOLO 2023</v>
      </c>
      <c r="L3783" s="14" t="s">
        <v>152</v>
      </c>
      <c r="M3783" s="16" t="str">
        <f t="shared" si="1"/>
        <v>14144 SANTA ROSA1 Primaria</v>
      </c>
      <c r="N3783" s="23"/>
      <c r="O3783" s="17"/>
      <c r="P3783" s="17"/>
      <c r="Q3783" s="17"/>
      <c r="R3783" s="17"/>
      <c r="S3783" s="17"/>
      <c r="T3783" s="17"/>
    </row>
    <row r="3784">
      <c r="A3784" s="18">
        <v>2787.0</v>
      </c>
      <c r="B3784" s="12" t="s">
        <v>48</v>
      </c>
      <c r="C3784" s="12" t="s">
        <v>14</v>
      </c>
      <c r="D3784" s="20" t="s">
        <v>175</v>
      </c>
      <c r="E3784" s="12" t="str">
        <f>IFERROR(__xludf.DUMMYFUNCTION("FILTER(colegios!$B$2:$B5618,colegios!$A$2:$A5618=L3784)"),"14144 SANTA ROSA")</f>
        <v>14144 SANTA ROSA</v>
      </c>
      <c r="F3784" s="14" t="s">
        <v>16</v>
      </c>
      <c r="G3784" s="20" t="s">
        <v>21</v>
      </c>
      <c r="H3784" s="14" t="s">
        <v>18</v>
      </c>
      <c r="I3784" s="15">
        <v>2022.0</v>
      </c>
      <c r="J3784" s="16" t="str">
        <f>IFERROR(__xludf.DUMMYFUNCTION("FILTER('CLASFICACIÓN'!$F$3:$F5618,'CLASFICACIÓN'!$G$3:$G5618=M3784)"),"SOLO LINEA BASE")</f>
        <v>SOLO LINEA BASE</v>
      </c>
      <c r="K3784" s="16" t="str">
        <f t="array" ref="K3784">IFERROR(DGET('PADD-R'!$B$1:$K5618,'PADD-R'!$K$1,{'PADD-R'!$B$1;E3784}),"NO PARTICIPÓ")</f>
        <v>SOLO 2023</v>
      </c>
      <c r="L3784" s="14" t="s">
        <v>152</v>
      </c>
      <c r="M3784" s="16" t="str">
        <f t="shared" si="1"/>
        <v>14144 SANTA ROSA1 Primaria</v>
      </c>
      <c r="N3784" s="23"/>
      <c r="O3784" s="17"/>
      <c r="P3784" s="17"/>
      <c r="Q3784" s="17"/>
      <c r="R3784" s="17"/>
      <c r="S3784" s="17"/>
      <c r="T3784" s="17"/>
    </row>
    <row r="3785">
      <c r="A3785" s="18">
        <v>2788.0</v>
      </c>
      <c r="B3785" s="12" t="s">
        <v>48</v>
      </c>
      <c r="C3785" s="12" t="s">
        <v>14</v>
      </c>
      <c r="D3785" s="20" t="s">
        <v>175</v>
      </c>
      <c r="E3785" s="12" t="str">
        <f>IFERROR(__xludf.DUMMYFUNCTION("FILTER(colegios!$B$2:$B5618,colegios!$A$2:$A5618=L3785)"),"14144 SANTA ROSA")</f>
        <v>14144 SANTA ROSA</v>
      </c>
      <c r="F3785" s="14" t="s">
        <v>16</v>
      </c>
      <c r="G3785" s="20" t="s">
        <v>21</v>
      </c>
      <c r="H3785" s="14" t="s">
        <v>18</v>
      </c>
      <c r="I3785" s="15">
        <v>2022.0</v>
      </c>
      <c r="J3785" s="16" t="str">
        <f>IFERROR(__xludf.DUMMYFUNCTION("FILTER('CLASFICACIÓN'!$F$3:$F5618,'CLASFICACIÓN'!$G$3:$G5618=M3785)"),"SOLO LINEA BASE")</f>
        <v>SOLO LINEA BASE</v>
      </c>
      <c r="K3785" s="16" t="str">
        <f t="array" ref="K3785">IFERROR(DGET('PADD-R'!$B$1:$K5618,'PADD-R'!$K$1,{'PADD-R'!$B$1;E3785}),"NO PARTICIPÓ")</f>
        <v>SOLO 2023</v>
      </c>
      <c r="L3785" s="14" t="s">
        <v>152</v>
      </c>
      <c r="M3785" s="16" t="str">
        <f t="shared" si="1"/>
        <v>14144 SANTA ROSA1 Primaria</v>
      </c>
      <c r="N3785" s="23"/>
      <c r="O3785" s="17"/>
      <c r="P3785" s="17"/>
      <c r="Q3785" s="17"/>
      <c r="R3785" s="17"/>
      <c r="S3785" s="17"/>
      <c r="T3785" s="17"/>
    </row>
    <row r="3786">
      <c r="A3786" s="18">
        <v>2789.0</v>
      </c>
      <c r="B3786" s="12" t="s">
        <v>48</v>
      </c>
      <c r="C3786" s="12" t="s">
        <v>14</v>
      </c>
      <c r="D3786" s="20" t="s">
        <v>175</v>
      </c>
      <c r="E3786" s="12" t="str">
        <f>IFERROR(__xludf.DUMMYFUNCTION("FILTER(colegios!$B$2:$B5618,colegios!$A$2:$A5618=L3786)"),"14144 SANTA ROSA")</f>
        <v>14144 SANTA ROSA</v>
      </c>
      <c r="F3786" s="14" t="s">
        <v>16</v>
      </c>
      <c r="G3786" s="20" t="s">
        <v>17</v>
      </c>
      <c r="H3786" s="14" t="s">
        <v>18</v>
      </c>
      <c r="I3786" s="15">
        <v>2022.0</v>
      </c>
      <c r="J3786" s="16" t="str">
        <f>IFERROR(__xludf.DUMMYFUNCTION("FILTER('CLASFICACIÓN'!$F$3:$F5618,'CLASFICACIÓN'!$G$3:$G5618=M3786)"),"SOLO LINEA BASE")</f>
        <v>SOLO LINEA BASE</v>
      </c>
      <c r="K3786" s="16" t="str">
        <f t="array" ref="K3786">IFERROR(DGET('PADD-R'!$B$1:$K5618,'PADD-R'!$K$1,{'PADD-R'!$B$1;E3786}),"NO PARTICIPÓ")</f>
        <v>SOLO 2023</v>
      </c>
      <c r="L3786" s="14" t="s">
        <v>152</v>
      </c>
      <c r="M3786" s="16" t="str">
        <f t="shared" si="1"/>
        <v>14144 SANTA ROSA1 Primaria</v>
      </c>
      <c r="N3786" s="23"/>
      <c r="O3786" s="17"/>
      <c r="P3786" s="17"/>
      <c r="Q3786" s="17"/>
      <c r="R3786" s="17"/>
      <c r="S3786" s="17"/>
      <c r="T3786" s="17"/>
    </row>
    <row r="3787">
      <c r="A3787" s="18">
        <v>2790.0</v>
      </c>
      <c r="B3787" s="12" t="s">
        <v>48</v>
      </c>
      <c r="C3787" s="12" t="s">
        <v>14</v>
      </c>
      <c r="D3787" s="20" t="s">
        <v>175</v>
      </c>
      <c r="E3787" s="12" t="str">
        <f>IFERROR(__xludf.DUMMYFUNCTION("FILTER(colegios!$B$2:$B5618,colegios!$A$2:$A5618=L3787)"),"14144 SANTA ROSA")</f>
        <v>14144 SANTA ROSA</v>
      </c>
      <c r="F3787" s="14" t="s">
        <v>16</v>
      </c>
      <c r="G3787" s="20" t="s">
        <v>21</v>
      </c>
      <c r="H3787" s="14" t="s">
        <v>18</v>
      </c>
      <c r="I3787" s="15">
        <v>2022.0</v>
      </c>
      <c r="J3787" s="16" t="str">
        <f>IFERROR(__xludf.DUMMYFUNCTION("FILTER('CLASFICACIÓN'!$F$3:$F5618,'CLASFICACIÓN'!$G$3:$G5618=M3787)"),"SOLO LINEA BASE")</f>
        <v>SOLO LINEA BASE</v>
      </c>
      <c r="K3787" s="16" t="str">
        <f t="array" ref="K3787">IFERROR(DGET('PADD-R'!$B$1:$K5618,'PADD-R'!$K$1,{'PADD-R'!$B$1;E3787}),"NO PARTICIPÓ")</f>
        <v>SOLO 2023</v>
      </c>
      <c r="L3787" s="14" t="s">
        <v>152</v>
      </c>
      <c r="M3787" s="16" t="str">
        <f t="shared" si="1"/>
        <v>14144 SANTA ROSA1 Primaria</v>
      </c>
      <c r="N3787" s="23"/>
      <c r="O3787" s="17"/>
      <c r="P3787" s="17"/>
      <c r="Q3787" s="17"/>
      <c r="R3787" s="17"/>
      <c r="S3787" s="17"/>
      <c r="T3787" s="17"/>
    </row>
    <row r="3788">
      <c r="A3788" s="18">
        <v>2791.0</v>
      </c>
      <c r="B3788" s="12" t="s">
        <v>48</v>
      </c>
      <c r="C3788" s="12" t="s">
        <v>14</v>
      </c>
      <c r="D3788" s="20" t="s">
        <v>175</v>
      </c>
      <c r="E3788" s="12" t="str">
        <f>IFERROR(__xludf.DUMMYFUNCTION("FILTER(colegios!$B$2:$B5618,colegios!$A$2:$A5618=L3788)"),"14144 SANTA ROSA")</f>
        <v>14144 SANTA ROSA</v>
      </c>
      <c r="F3788" s="14" t="s">
        <v>16</v>
      </c>
      <c r="G3788" s="20" t="s">
        <v>21</v>
      </c>
      <c r="H3788" s="14" t="s">
        <v>18</v>
      </c>
      <c r="I3788" s="15">
        <v>2022.0</v>
      </c>
      <c r="J3788" s="16" t="str">
        <f>IFERROR(__xludf.DUMMYFUNCTION("FILTER('CLASFICACIÓN'!$F$3:$F5618,'CLASFICACIÓN'!$G$3:$G5618=M3788)"),"SOLO LINEA BASE")</f>
        <v>SOLO LINEA BASE</v>
      </c>
      <c r="K3788" s="16" t="str">
        <f t="array" ref="K3788">IFERROR(DGET('PADD-R'!$B$1:$K5618,'PADD-R'!$K$1,{'PADD-R'!$B$1;E3788}),"NO PARTICIPÓ")</f>
        <v>SOLO 2023</v>
      </c>
      <c r="L3788" s="14" t="s">
        <v>152</v>
      </c>
      <c r="M3788" s="16" t="str">
        <f t="shared" si="1"/>
        <v>14144 SANTA ROSA1 Primaria</v>
      </c>
      <c r="N3788" s="23"/>
      <c r="O3788" s="17"/>
      <c r="P3788" s="17"/>
      <c r="Q3788" s="17"/>
      <c r="R3788" s="17"/>
      <c r="S3788" s="17"/>
      <c r="T3788" s="17"/>
    </row>
    <row r="3789">
      <c r="A3789" s="18">
        <v>2792.0</v>
      </c>
      <c r="B3789" s="12" t="s">
        <v>48</v>
      </c>
      <c r="C3789" s="12" t="s">
        <v>14</v>
      </c>
      <c r="D3789" s="20" t="s">
        <v>175</v>
      </c>
      <c r="E3789" s="12" t="str">
        <f>IFERROR(__xludf.DUMMYFUNCTION("FILTER(colegios!$B$2:$B5618,colegios!$A$2:$A5618=L3789)"),"14144 SANTA ROSA")</f>
        <v>14144 SANTA ROSA</v>
      </c>
      <c r="F3789" s="14" t="s">
        <v>16</v>
      </c>
      <c r="G3789" s="20" t="s">
        <v>17</v>
      </c>
      <c r="H3789" s="14" t="s">
        <v>18</v>
      </c>
      <c r="I3789" s="15">
        <v>2022.0</v>
      </c>
      <c r="J3789" s="16" t="str">
        <f>IFERROR(__xludf.DUMMYFUNCTION("FILTER('CLASFICACIÓN'!$F$3:$F5618,'CLASFICACIÓN'!$G$3:$G5618=M3789)"),"SOLO LINEA BASE")</f>
        <v>SOLO LINEA BASE</v>
      </c>
      <c r="K3789" s="16" t="str">
        <f t="array" ref="K3789">IFERROR(DGET('PADD-R'!$B$1:$K5618,'PADD-R'!$K$1,{'PADD-R'!$B$1;E3789}),"NO PARTICIPÓ")</f>
        <v>SOLO 2023</v>
      </c>
      <c r="L3789" s="14" t="s">
        <v>152</v>
      </c>
      <c r="M3789" s="16" t="str">
        <f t="shared" si="1"/>
        <v>14144 SANTA ROSA1 Primaria</v>
      </c>
      <c r="N3789" s="23"/>
      <c r="O3789" s="17"/>
      <c r="P3789" s="17"/>
      <c r="Q3789" s="17"/>
      <c r="R3789" s="17"/>
      <c r="S3789" s="17"/>
      <c r="T3789" s="17"/>
    </row>
    <row r="3790">
      <c r="A3790" s="18">
        <v>2793.0</v>
      </c>
      <c r="B3790" s="12" t="s">
        <v>48</v>
      </c>
      <c r="C3790" s="12" t="s">
        <v>14</v>
      </c>
      <c r="D3790" s="20" t="s">
        <v>175</v>
      </c>
      <c r="E3790" s="12" t="str">
        <f>IFERROR(__xludf.DUMMYFUNCTION("FILTER(colegios!$B$2:$B5618,colegios!$A$2:$A5618=L3790)"),"14144 SANTA ROSA")</f>
        <v>14144 SANTA ROSA</v>
      </c>
      <c r="F3790" s="14" t="s">
        <v>16</v>
      </c>
      <c r="G3790" s="20" t="s">
        <v>17</v>
      </c>
      <c r="H3790" s="14" t="s">
        <v>18</v>
      </c>
      <c r="I3790" s="15">
        <v>2022.0</v>
      </c>
      <c r="J3790" s="16" t="str">
        <f>IFERROR(__xludf.DUMMYFUNCTION("FILTER('CLASFICACIÓN'!$F$3:$F5618,'CLASFICACIÓN'!$G$3:$G5618=M3790)"),"SOLO LINEA BASE")</f>
        <v>SOLO LINEA BASE</v>
      </c>
      <c r="K3790" s="16" t="str">
        <f t="array" ref="K3790">IFERROR(DGET('PADD-R'!$B$1:$K5618,'PADD-R'!$K$1,{'PADD-R'!$B$1;E3790}),"NO PARTICIPÓ")</f>
        <v>SOLO 2023</v>
      </c>
      <c r="L3790" s="14" t="s">
        <v>152</v>
      </c>
      <c r="M3790" s="16" t="str">
        <f t="shared" si="1"/>
        <v>14144 SANTA ROSA1 Primaria</v>
      </c>
      <c r="N3790" s="23"/>
      <c r="O3790" s="17"/>
      <c r="P3790" s="17"/>
      <c r="Q3790" s="17"/>
      <c r="R3790" s="17"/>
      <c r="S3790" s="17"/>
      <c r="T3790" s="17"/>
    </row>
    <row r="3791">
      <c r="A3791" s="18">
        <v>2794.0</v>
      </c>
      <c r="B3791" s="12" t="s">
        <v>48</v>
      </c>
      <c r="C3791" s="12" t="s">
        <v>14</v>
      </c>
      <c r="D3791" s="20" t="s">
        <v>175</v>
      </c>
      <c r="E3791" s="12" t="str">
        <f>IFERROR(__xludf.DUMMYFUNCTION("FILTER(colegios!$B$2:$B5618,colegios!$A$2:$A5618=L3791)"),"14144 SANTA ROSA")</f>
        <v>14144 SANTA ROSA</v>
      </c>
      <c r="F3791" s="14" t="s">
        <v>16</v>
      </c>
      <c r="G3791" s="20" t="s">
        <v>21</v>
      </c>
      <c r="H3791" s="14" t="s">
        <v>24</v>
      </c>
      <c r="I3791" s="15">
        <v>2022.0</v>
      </c>
      <c r="J3791" s="16" t="str">
        <f>IFERROR(__xludf.DUMMYFUNCTION("FILTER('CLASFICACIÓN'!$F$3:$F5618,'CLASFICACIÓN'!$G$3:$G5618=M3791)"),"SOLO LINEA BASE")</f>
        <v>SOLO LINEA BASE</v>
      </c>
      <c r="K3791" s="16" t="str">
        <f t="array" ref="K3791">IFERROR(DGET('PADD-R'!$B$1:$K5618,'PADD-R'!$K$1,{'PADD-R'!$B$1;E3791}),"NO PARTICIPÓ")</f>
        <v>SOLO 2023</v>
      </c>
      <c r="L3791" s="14" t="s">
        <v>152</v>
      </c>
      <c r="M3791" s="16" t="str">
        <f t="shared" si="1"/>
        <v>14144 SANTA ROSA1 Primaria</v>
      </c>
      <c r="N3791" s="23"/>
      <c r="O3791" s="17"/>
      <c r="P3791" s="17"/>
      <c r="Q3791" s="17"/>
      <c r="R3791" s="17"/>
      <c r="S3791" s="17"/>
      <c r="T3791" s="17"/>
    </row>
    <row r="3792">
      <c r="A3792" s="18">
        <v>2795.0</v>
      </c>
      <c r="B3792" s="12" t="s">
        <v>48</v>
      </c>
      <c r="C3792" s="12" t="s">
        <v>14</v>
      </c>
      <c r="D3792" s="20" t="s">
        <v>175</v>
      </c>
      <c r="E3792" s="12" t="str">
        <f>IFERROR(__xludf.DUMMYFUNCTION("FILTER(colegios!$B$2:$B5618,colegios!$A$2:$A5618=L3792)"),"14144 SANTA ROSA")</f>
        <v>14144 SANTA ROSA</v>
      </c>
      <c r="F3792" s="14" t="s">
        <v>16</v>
      </c>
      <c r="G3792" s="20" t="s">
        <v>21</v>
      </c>
      <c r="H3792" s="14" t="s">
        <v>18</v>
      </c>
      <c r="I3792" s="15">
        <v>2022.0</v>
      </c>
      <c r="J3792" s="16" t="str">
        <f>IFERROR(__xludf.DUMMYFUNCTION("FILTER('CLASFICACIÓN'!$F$3:$F5618,'CLASFICACIÓN'!$G$3:$G5618=M3792)"),"SOLO LINEA BASE")</f>
        <v>SOLO LINEA BASE</v>
      </c>
      <c r="K3792" s="16" t="str">
        <f t="array" ref="K3792">IFERROR(DGET('PADD-R'!$B$1:$K5618,'PADD-R'!$K$1,{'PADD-R'!$B$1;E3792}),"NO PARTICIPÓ")</f>
        <v>SOLO 2023</v>
      </c>
      <c r="L3792" s="14" t="s">
        <v>152</v>
      </c>
      <c r="M3792" s="16" t="str">
        <f t="shared" si="1"/>
        <v>14144 SANTA ROSA1 Primaria</v>
      </c>
      <c r="N3792" s="23"/>
      <c r="O3792" s="17"/>
      <c r="P3792" s="17"/>
      <c r="Q3792" s="17"/>
      <c r="R3792" s="17"/>
      <c r="S3792" s="17"/>
      <c r="T3792" s="17"/>
    </row>
    <row r="3793">
      <c r="A3793" s="18">
        <v>2796.0</v>
      </c>
      <c r="B3793" s="12" t="s">
        <v>48</v>
      </c>
      <c r="C3793" s="12" t="s">
        <v>14</v>
      </c>
      <c r="D3793" s="20" t="s">
        <v>175</v>
      </c>
      <c r="E3793" s="12" t="str">
        <f>IFERROR(__xludf.DUMMYFUNCTION("FILTER(colegios!$B$2:$B5618,colegios!$A$2:$A5618=L3793)"),"14144 SANTA ROSA")</f>
        <v>14144 SANTA ROSA</v>
      </c>
      <c r="F3793" s="14" t="s">
        <v>16</v>
      </c>
      <c r="G3793" s="20" t="s">
        <v>17</v>
      </c>
      <c r="H3793" s="14" t="s">
        <v>18</v>
      </c>
      <c r="I3793" s="15">
        <v>2022.0</v>
      </c>
      <c r="J3793" s="16" t="str">
        <f>IFERROR(__xludf.DUMMYFUNCTION("FILTER('CLASFICACIÓN'!$F$3:$F5618,'CLASFICACIÓN'!$G$3:$G5618=M3793)"),"SOLO LINEA BASE")</f>
        <v>SOLO LINEA BASE</v>
      </c>
      <c r="K3793" s="16" t="str">
        <f t="array" ref="K3793">IFERROR(DGET('PADD-R'!$B$1:$K5618,'PADD-R'!$K$1,{'PADD-R'!$B$1;E3793}),"NO PARTICIPÓ")</f>
        <v>SOLO 2023</v>
      </c>
      <c r="L3793" s="14" t="s">
        <v>152</v>
      </c>
      <c r="M3793" s="16" t="str">
        <f t="shared" si="1"/>
        <v>14144 SANTA ROSA1 Primaria</v>
      </c>
      <c r="N3793" s="23"/>
      <c r="O3793" s="17"/>
      <c r="P3793" s="17"/>
      <c r="Q3793" s="17"/>
      <c r="R3793" s="17"/>
      <c r="S3793" s="17"/>
      <c r="T3793" s="17"/>
    </row>
    <row r="3794">
      <c r="A3794" s="18">
        <v>2797.0</v>
      </c>
      <c r="B3794" s="12" t="s">
        <v>48</v>
      </c>
      <c r="C3794" s="12" t="s">
        <v>14</v>
      </c>
      <c r="D3794" s="20" t="s">
        <v>175</v>
      </c>
      <c r="E3794" s="12" t="str">
        <f>IFERROR(__xludf.DUMMYFUNCTION("FILTER(colegios!$B$2:$B5618,colegios!$A$2:$A5618=L3794)"),"14144 SANTA ROSA")</f>
        <v>14144 SANTA ROSA</v>
      </c>
      <c r="F3794" s="14" t="s">
        <v>16</v>
      </c>
      <c r="G3794" s="20" t="s">
        <v>17</v>
      </c>
      <c r="H3794" s="14" t="s">
        <v>24</v>
      </c>
      <c r="I3794" s="15">
        <v>2022.0</v>
      </c>
      <c r="J3794" s="16" t="str">
        <f>IFERROR(__xludf.DUMMYFUNCTION("FILTER('CLASFICACIÓN'!$F$3:$F5618,'CLASFICACIÓN'!$G$3:$G5618=M3794)"),"SOLO LINEA BASE")</f>
        <v>SOLO LINEA BASE</v>
      </c>
      <c r="K3794" s="16" t="str">
        <f t="array" ref="K3794">IFERROR(DGET('PADD-R'!$B$1:$K5618,'PADD-R'!$K$1,{'PADD-R'!$B$1;E3794}),"NO PARTICIPÓ")</f>
        <v>SOLO 2023</v>
      </c>
      <c r="L3794" s="14" t="s">
        <v>152</v>
      </c>
      <c r="M3794" s="16" t="str">
        <f t="shared" si="1"/>
        <v>14144 SANTA ROSA1 Primaria</v>
      </c>
      <c r="N3794" s="23"/>
      <c r="O3794" s="17"/>
      <c r="P3794" s="17"/>
      <c r="Q3794" s="17"/>
      <c r="R3794" s="17"/>
      <c r="S3794" s="17"/>
      <c r="T3794" s="17"/>
    </row>
    <row r="3795">
      <c r="A3795" s="18">
        <v>2798.0</v>
      </c>
      <c r="B3795" s="12" t="s">
        <v>48</v>
      </c>
      <c r="C3795" s="12" t="s">
        <v>14</v>
      </c>
      <c r="D3795" s="20" t="s">
        <v>175</v>
      </c>
      <c r="E3795" s="12" t="str">
        <f>IFERROR(__xludf.DUMMYFUNCTION("FILTER(colegios!$B$2:$B5618,colegios!$A$2:$A5618=L3795)"),"14144 SANTA ROSA")</f>
        <v>14144 SANTA ROSA</v>
      </c>
      <c r="F3795" s="14" t="s">
        <v>16</v>
      </c>
      <c r="G3795" s="20" t="s">
        <v>17</v>
      </c>
      <c r="H3795" s="14" t="s">
        <v>18</v>
      </c>
      <c r="I3795" s="15">
        <v>2022.0</v>
      </c>
      <c r="J3795" s="16" t="str">
        <f>IFERROR(__xludf.DUMMYFUNCTION("FILTER('CLASFICACIÓN'!$F$3:$F5618,'CLASFICACIÓN'!$G$3:$G5618=M3795)"),"SOLO LINEA BASE")</f>
        <v>SOLO LINEA BASE</v>
      </c>
      <c r="K3795" s="16" t="str">
        <f t="array" ref="K3795">IFERROR(DGET('PADD-R'!$B$1:$K5618,'PADD-R'!$K$1,{'PADD-R'!$B$1;E3795}),"NO PARTICIPÓ")</f>
        <v>SOLO 2023</v>
      </c>
      <c r="L3795" s="14" t="s">
        <v>152</v>
      </c>
      <c r="M3795" s="16" t="str">
        <f t="shared" si="1"/>
        <v>14144 SANTA ROSA1 Primaria</v>
      </c>
      <c r="N3795" s="23"/>
      <c r="O3795" s="17"/>
      <c r="P3795" s="17"/>
      <c r="Q3795" s="17"/>
      <c r="R3795" s="17"/>
      <c r="S3795" s="17"/>
      <c r="T3795" s="17"/>
    </row>
    <row r="3796">
      <c r="A3796" s="18">
        <v>2799.0</v>
      </c>
      <c r="B3796" s="12" t="s">
        <v>48</v>
      </c>
      <c r="C3796" s="12" t="s">
        <v>14</v>
      </c>
      <c r="D3796" s="20" t="s">
        <v>175</v>
      </c>
      <c r="E3796" s="12" t="str">
        <f>IFERROR(__xludf.DUMMYFUNCTION("FILTER(colegios!$B$2:$B5618,colegios!$A$2:$A5618=L3796)"),"14144 SANTA ROSA")</f>
        <v>14144 SANTA ROSA</v>
      </c>
      <c r="F3796" s="14" t="s">
        <v>16</v>
      </c>
      <c r="G3796" s="20" t="s">
        <v>17</v>
      </c>
      <c r="H3796" s="14" t="s">
        <v>18</v>
      </c>
      <c r="I3796" s="15">
        <v>2022.0</v>
      </c>
      <c r="J3796" s="16" t="str">
        <f>IFERROR(__xludf.DUMMYFUNCTION("FILTER('CLASFICACIÓN'!$F$3:$F5618,'CLASFICACIÓN'!$G$3:$G5618=M3796)"),"SOLO LINEA BASE")</f>
        <v>SOLO LINEA BASE</v>
      </c>
      <c r="K3796" s="16" t="str">
        <f t="array" ref="K3796">IFERROR(DGET('PADD-R'!$B$1:$K5618,'PADD-R'!$K$1,{'PADD-R'!$B$1;E3796}),"NO PARTICIPÓ")</f>
        <v>SOLO 2023</v>
      </c>
      <c r="L3796" s="14" t="s">
        <v>152</v>
      </c>
      <c r="M3796" s="16" t="str">
        <f t="shared" si="1"/>
        <v>14144 SANTA ROSA1 Primaria</v>
      </c>
      <c r="N3796" s="23"/>
      <c r="O3796" s="17"/>
      <c r="P3796" s="17"/>
      <c r="Q3796" s="17"/>
      <c r="R3796" s="17"/>
      <c r="S3796" s="17"/>
      <c r="T3796" s="17"/>
    </row>
    <row r="3797">
      <c r="A3797" s="18">
        <v>2800.0</v>
      </c>
      <c r="B3797" s="12" t="s">
        <v>48</v>
      </c>
      <c r="C3797" s="12" t="s">
        <v>14</v>
      </c>
      <c r="D3797" s="20" t="s">
        <v>175</v>
      </c>
      <c r="E3797" s="12" t="str">
        <f>IFERROR(__xludf.DUMMYFUNCTION("FILTER(colegios!$B$2:$B5618,colegios!$A$2:$A5618=L3797)"),"14144 SANTA ROSA")</f>
        <v>14144 SANTA ROSA</v>
      </c>
      <c r="F3797" s="14" t="s">
        <v>16</v>
      </c>
      <c r="G3797" s="20" t="s">
        <v>21</v>
      </c>
      <c r="H3797" s="14" t="s">
        <v>18</v>
      </c>
      <c r="I3797" s="15">
        <v>2022.0</v>
      </c>
      <c r="J3797" s="16" t="str">
        <f>IFERROR(__xludf.DUMMYFUNCTION("FILTER('CLASFICACIÓN'!$F$3:$F5618,'CLASFICACIÓN'!$G$3:$G5618=M3797)"),"SOLO LINEA BASE")</f>
        <v>SOLO LINEA BASE</v>
      </c>
      <c r="K3797" s="16" t="str">
        <f t="array" ref="K3797">IFERROR(DGET('PADD-R'!$B$1:$K5618,'PADD-R'!$K$1,{'PADD-R'!$B$1;E3797}),"NO PARTICIPÓ")</f>
        <v>SOLO 2023</v>
      </c>
      <c r="L3797" s="14" t="s">
        <v>152</v>
      </c>
      <c r="M3797" s="16" t="str">
        <f t="shared" si="1"/>
        <v>14144 SANTA ROSA1 Primaria</v>
      </c>
      <c r="N3797" s="23"/>
      <c r="O3797" s="17"/>
      <c r="P3797" s="17"/>
      <c r="Q3797" s="17"/>
      <c r="R3797" s="17"/>
      <c r="S3797" s="17"/>
      <c r="T3797" s="17"/>
    </row>
    <row r="3798">
      <c r="A3798" s="18">
        <v>2801.0</v>
      </c>
      <c r="B3798" s="12" t="s">
        <v>48</v>
      </c>
      <c r="C3798" s="12" t="s">
        <v>14</v>
      </c>
      <c r="D3798" s="20" t="s">
        <v>175</v>
      </c>
      <c r="E3798" s="12" t="str">
        <f>IFERROR(__xludf.DUMMYFUNCTION("FILTER(colegios!$B$2:$B5618,colegios!$A$2:$A5618=L3798)"),"14144 SANTA ROSA")</f>
        <v>14144 SANTA ROSA</v>
      </c>
      <c r="F3798" s="14" t="s">
        <v>16</v>
      </c>
      <c r="G3798" s="20" t="s">
        <v>21</v>
      </c>
      <c r="H3798" s="14" t="s">
        <v>24</v>
      </c>
      <c r="I3798" s="15">
        <v>2022.0</v>
      </c>
      <c r="J3798" s="16" t="str">
        <f>IFERROR(__xludf.DUMMYFUNCTION("FILTER('CLASFICACIÓN'!$F$3:$F5618,'CLASFICACIÓN'!$G$3:$G5618=M3798)"),"SOLO LINEA BASE")</f>
        <v>SOLO LINEA BASE</v>
      </c>
      <c r="K3798" s="16" t="str">
        <f t="array" ref="K3798">IFERROR(DGET('PADD-R'!$B$1:$K5618,'PADD-R'!$K$1,{'PADD-R'!$B$1;E3798}),"NO PARTICIPÓ")</f>
        <v>SOLO 2023</v>
      </c>
      <c r="L3798" s="14" t="s">
        <v>152</v>
      </c>
      <c r="M3798" s="16" t="str">
        <f t="shared" si="1"/>
        <v>14144 SANTA ROSA1 Primaria</v>
      </c>
      <c r="N3798" s="23"/>
      <c r="O3798" s="17"/>
      <c r="P3798" s="17"/>
      <c r="Q3798" s="17"/>
      <c r="R3798" s="17"/>
      <c r="S3798" s="17"/>
      <c r="T3798" s="17"/>
    </row>
    <row r="3799">
      <c r="A3799" s="18">
        <v>2802.0</v>
      </c>
      <c r="B3799" s="12" t="s">
        <v>48</v>
      </c>
      <c r="C3799" s="12" t="s">
        <v>14</v>
      </c>
      <c r="D3799" s="20" t="s">
        <v>175</v>
      </c>
      <c r="E3799" s="12" t="str">
        <f>IFERROR(__xludf.DUMMYFUNCTION("FILTER(colegios!$B$2:$B5618,colegios!$A$2:$A5618=L3799)"),"14144 SANTA ROSA")</f>
        <v>14144 SANTA ROSA</v>
      </c>
      <c r="F3799" s="14" t="s">
        <v>16</v>
      </c>
      <c r="G3799" s="20" t="s">
        <v>21</v>
      </c>
      <c r="H3799" s="14" t="s">
        <v>18</v>
      </c>
      <c r="I3799" s="15">
        <v>2022.0</v>
      </c>
      <c r="J3799" s="16" t="str">
        <f>IFERROR(__xludf.DUMMYFUNCTION("FILTER('CLASFICACIÓN'!$F$3:$F5618,'CLASFICACIÓN'!$G$3:$G5618=M3799)"),"SOLO LINEA BASE")</f>
        <v>SOLO LINEA BASE</v>
      </c>
      <c r="K3799" s="16" t="str">
        <f t="array" ref="K3799">IFERROR(DGET('PADD-R'!$B$1:$K5618,'PADD-R'!$K$1,{'PADD-R'!$B$1;E3799}),"NO PARTICIPÓ")</f>
        <v>SOLO 2023</v>
      </c>
      <c r="L3799" s="14" t="s">
        <v>152</v>
      </c>
      <c r="M3799" s="16" t="str">
        <f t="shared" si="1"/>
        <v>14144 SANTA ROSA1 Primaria</v>
      </c>
      <c r="N3799" s="23"/>
      <c r="O3799" s="17"/>
      <c r="P3799" s="17"/>
      <c r="Q3799" s="17"/>
      <c r="R3799" s="17"/>
      <c r="S3799" s="17"/>
      <c r="T3799" s="17"/>
    </row>
    <row r="3800">
      <c r="A3800" s="18">
        <v>2803.0</v>
      </c>
      <c r="B3800" s="12" t="s">
        <v>48</v>
      </c>
      <c r="C3800" s="12" t="s">
        <v>14</v>
      </c>
      <c r="D3800" s="20" t="s">
        <v>175</v>
      </c>
      <c r="E3800" s="12" t="str">
        <f>IFERROR(__xludf.DUMMYFUNCTION("FILTER(colegios!$B$2:$B5618,colegios!$A$2:$A5618=L3800)"),"14144 SANTA ROSA")</f>
        <v>14144 SANTA ROSA</v>
      </c>
      <c r="F3800" s="14" t="s">
        <v>16</v>
      </c>
      <c r="G3800" s="20" t="s">
        <v>17</v>
      </c>
      <c r="H3800" s="14" t="s">
        <v>18</v>
      </c>
      <c r="I3800" s="15">
        <v>2022.0</v>
      </c>
      <c r="J3800" s="16" t="str">
        <f>IFERROR(__xludf.DUMMYFUNCTION("FILTER('CLASFICACIÓN'!$F$3:$F5618,'CLASFICACIÓN'!$G$3:$G5618=M3800)"),"SOLO LINEA BASE")</f>
        <v>SOLO LINEA BASE</v>
      </c>
      <c r="K3800" s="16" t="str">
        <f t="array" ref="K3800">IFERROR(DGET('PADD-R'!$B$1:$K5618,'PADD-R'!$K$1,{'PADD-R'!$B$1;E3800}),"NO PARTICIPÓ")</f>
        <v>SOLO 2023</v>
      </c>
      <c r="L3800" s="14" t="s">
        <v>152</v>
      </c>
      <c r="M3800" s="16" t="str">
        <f t="shared" si="1"/>
        <v>14144 SANTA ROSA1 Primaria</v>
      </c>
      <c r="N3800" s="23"/>
      <c r="O3800" s="17"/>
      <c r="P3800" s="17"/>
      <c r="Q3800" s="17"/>
      <c r="R3800" s="17"/>
      <c r="S3800" s="17"/>
      <c r="T3800" s="17"/>
    </row>
    <row r="3801">
      <c r="A3801" s="18">
        <v>2804.0</v>
      </c>
      <c r="B3801" s="12" t="s">
        <v>48</v>
      </c>
      <c r="C3801" s="12" t="s">
        <v>14</v>
      </c>
      <c r="D3801" s="20" t="s">
        <v>175</v>
      </c>
      <c r="E3801" s="12" t="str">
        <f>IFERROR(__xludf.DUMMYFUNCTION("FILTER(colegios!$B$2:$B5618,colegios!$A$2:$A5618=L3801)"),"14144 SANTA ROSA")</f>
        <v>14144 SANTA ROSA</v>
      </c>
      <c r="F3801" s="14" t="s">
        <v>16</v>
      </c>
      <c r="G3801" s="20" t="s">
        <v>21</v>
      </c>
      <c r="H3801" s="14" t="s">
        <v>18</v>
      </c>
      <c r="I3801" s="15">
        <v>2022.0</v>
      </c>
      <c r="J3801" s="16" t="str">
        <f>IFERROR(__xludf.DUMMYFUNCTION("FILTER('CLASFICACIÓN'!$F$3:$F5618,'CLASFICACIÓN'!$G$3:$G5618=M3801)"),"SOLO LINEA BASE")</f>
        <v>SOLO LINEA BASE</v>
      </c>
      <c r="K3801" s="16" t="str">
        <f t="array" ref="K3801">IFERROR(DGET('PADD-R'!$B$1:$K5618,'PADD-R'!$K$1,{'PADD-R'!$B$1;E3801}),"NO PARTICIPÓ")</f>
        <v>SOLO 2023</v>
      </c>
      <c r="L3801" s="14" t="s">
        <v>152</v>
      </c>
      <c r="M3801" s="16" t="str">
        <f t="shared" si="1"/>
        <v>14144 SANTA ROSA1 Primaria</v>
      </c>
      <c r="N3801" s="23"/>
      <c r="O3801" s="17"/>
      <c r="P3801" s="17"/>
      <c r="Q3801" s="17"/>
      <c r="R3801" s="17"/>
      <c r="S3801" s="17"/>
      <c r="T3801" s="17"/>
    </row>
    <row r="3802">
      <c r="A3802" s="18">
        <v>2805.0</v>
      </c>
      <c r="B3802" s="12" t="s">
        <v>48</v>
      </c>
      <c r="C3802" s="12" t="s">
        <v>14</v>
      </c>
      <c r="D3802" s="20" t="s">
        <v>175</v>
      </c>
      <c r="E3802" s="12" t="str">
        <f>IFERROR(__xludf.DUMMYFUNCTION("FILTER(colegios!$B$2:$B5618,colegios!$A$2:$A5618=L3802)"),"14144 SANTA ROSA")</f>
        <v>14144 SANTA ROSA</v>
      </c>
      <c r="F3802" s="14" t="s">
        <v>16</v>
      </c>
      <c r="G3802" s="20" t="s">
        <v>21</v>
      </c>
      <c r="H3802" s="14" t="s">
        <v>18</v>
      </c>
      <c r="I3802" s="15">
        <v>2022.0</v>
      </c>
      <c r="J3802" s="16" t="str">
        <f>IFERROR(__xludf.DUMMYFUNCTION("FILTER('CLASFICACIÓN'!$F$3:$F5618,'CLASFICACIÓN'!$G$3:$G5618=M3802)"),"SOLO LINEA BASE")</f>
        <v>SOLO LINEA BASE</v>
      </c>
      <c r="K3802" s="16" t="str">
        <f t="array" ref="K3802">IFERROR(DGET('PADD-R'!$B$1:$K5618,'PADD-R'!$K$1,{'PADD-R'!$B$1;E3802}),"NO PARTICIPÓ")</f>
        <v>SOLO 2023</v>
      </c>
      <c r="L3802" s="14" t="s">
        <v>152</v>
      </c>
      <c r="M3802" s="16" t="str">
        <f t="shared" si="1"/>
        <v>14144 SANTA ROSA1 Primaria</v>
      </c>
      <c r="N3802" s="23"/>
      <c r="O3802" s="17"/>
      <c r="P3802" s="17"/>
      <c r="Q3802" s="17"/>
      <c r="R3802" s="17"/>
      <c r="S3802" s="17"/>
      <c r="T3802" s="17"/>
    </row>
    <row r="3803">
      <c r="A3803" s="18">
        <v>2806.0</v>
      </c>
      <c r="B3803" s="12" t="s">
        <v>48</v>
      </c>
      <c r="C3803" s="12" t="s">
        <v>14</v>
      </c>
      <c r="D3803" s="20" t="s">
        <v>175</v>
      </c>
      <c r="E3803" s="12" t="str">
        <f>IFERROR(__xludf.DUMMYFUNCTION("FILTER(colegios!$B$2:$B5618,colegios!$A$2:$A5618=L3803)"),"14144 SANTA ROSA")</f>
        <v>14144 SANTA ROSA</v>
      </c>
      <c r="F3803" s="14" t="s">
        <v>16</v>
      </c>
      <c r="G3803" s="20" t="s">
        <v>17</v>
      </c>
      <c r="H3803" s="14" t="s">
        <v>18</v>
      </c>
      <c r="I3803" s="15">
        <v>2022.0</v>
      </c>
      <c r="J3803" s="16" t="str">
        <f>IFERROR(__xludf.DUMMYFUNCTION("FILTER('CLASFICACIÓN'!$F$3:$F5618,'CLASFICACIÓN'!$G$3:$G5618=M3803)"),"SOLO LINEA BASE")</f>
        <v>SOLO LINEA BASE</v>
      </c>
      <c r="K3803" s="16" t="str">
        <f t="array" ref="K3803">IFERROR(DGET('PADD-R'!$B$1:$K5618,'PADD-R'!$K$1,{'PADD-R'!$B$1;E3803}),"NO PARTICIPÓ")</f>
        <v>SOLO 2023</v>
      </c>
      <c r="L3803" s="14" t="s">
        <v>152</v>
      </c>
      <c r="M3803" s="16" t="str">
        <f t="shared" si="1"/>
        <v>14144 SANTA ROSA1 Primaria</v>
      </c>
      <c r="N3803" s="23"/>
      <c r="O3803" s="17"/>
      <c r="P3803" s="17"/>
      <c r="Q3803" s="17"/>
      <c r="R3803" s="17"/>
      <c r="S3803" s="17"/>
      <c r="T3803" s="17"/>
    </row>
    <row r="3804">
      <c r="A3804" s="18">
        <v>2807.0</v>
      </c>
      <c r="B3804" s="12" t="s">
        <v>48</v>
      </c>
      <c r="C3804" s="12" t="s">
        <v>14</v>
      </c>
      <c r="D3804" s="20" t="s">
        <v>175</v>
      </c>
      <c r="E3804" s="12" t="str">
        <f>IFERROR(__xludf.DUMMYFUNCTION("FILTER(colegios!$B$2:$B5618,colegios!$A$2:$A5618=L3804)"),"14144 SANTA ROSA")</f>
        <v>14144 SANTA ROSA</v>
      </c>
      <c r="F3804" s="14" t="s">
        <v>16</v>
      </c>
      <c r="G3804" s="20" t="s">
        <v>21</v>
      </c>
      <c r="H3804" s="14" t="s">
        <v>18</v>
      </c>
      <c r="I3804" s="15">
        <v>2022.0</v>
      </c>
      <c r="J3804" s="16" t="str">
        <f>IFERROR(__xludf.DUMMYFUNCTION("FILTER('CLASFICACIÓN'!$F$3:$F5618,'CLASFICACIÓN'!$G$3:$G5618=M3804)"),"SOLO LINEA BASE")</f>
        <v>SOLO LINEA BASE</v>
      </c>
      <c r="K3804" s="16" t="str">
        <f t="array" ref="K3804">IFERROR(DGET('PADD-R'!$B$1:$K5618,'PADD-R'!$K$1,{'PADD-R'!$B$1;E3804}),"NO PARTICIPÓ")</f>
        <v>SOLO 2023</v>
      </c>
      <c r="L3804" s="14" t="s">
        <v>152</v>
      </c>
      <c r="M3804" s="16" t="str">
        <f t="shared" si="1"/>
        <v>14144 SANTA ROSA1 Primaria</v>
      </c>
      <c r="N3804" s="23"/>
      <c r="O3804" s="17"/>
      <c r="P3804" s="17"/>
      <c r="Q3804" s="17"/>
      <c r="R3804" s="17"/>
      <c r="S3804" s="17"/>
      <c r="T3804" s="17"/>
    </row>
    <row r="3805">
      <c r="A3805" s="18">
        <v>2808.0</v>
      </c>
      <c r="B3805" s="12" t="s">
        <v>48</v>
      </c>
      <c r="C3805" s="12" t="s">
        <v>14</v>
      </c>
      <c r="D3805" s="20" t="s">
        <v>175</v>
      </c>
      <c r="E3805" s="12" t="str">
        <f>IFERROR(__xludf.DUMMYFUNCTION("FILTER(colegios!$B$2:$B5618,colegios!$A$2:$A5618=L3805)"),"14144 SANTA ROSA")</f>
        <v>14144 SANTA ROSA</v>
      </c>
      <c r="F3805" s="14" t="s">
        <v>16</v>
      </c>
      <c r="G3805" s="20" t="s">
        <v>17</v>
      </c>
      <c r="H3805" s="14" t="s">
        <v>18</v>
      </c>
      <c r="I3805" s="15">
        <v>2022.0</v>
      </c>
      <c r="J3805" s="16" t="str">
        <f>IFERROR(__xludf.DUMMYFUNCTION("FILTER('CLASFICACIÓN'!$F$3:$F5618,'CLASFICACIÓN'!$G$3:$G5618=M3805)"),"SOLO LINEA BASE")</f>
        <v>SOLO LINEA BASE</v>
      </c>
      <c r="K3805" s="16" t="str">
        <f t="array" ref="K3805">IFERROR(DGET('PADD-R'!$B$1:$K5618,'PADD-R'!$K$1,{'PADD-R'!$B$1;E3805}),"NO PARTICIPÓ")</f>
        <v>SOLO 2023</v>
      </c>
      <c r="L3805" s="14" t="s">
        <v>152</v>
      </c>
      <c r="M3805" s="16" t="str">
        <f t="shared" si="1"/>
        <v>14144 SANTA ROSA1 Primaria</v>
      </c>
      <c r="N3805" s="23"/>
      <c r="O3805" s="17"/>
      <c r="P3805" s="17"/>
      <c r="Q3805" s="17"/>
      <c r="R3805" s="17"/>
      <c r="S3805" s="17"/>
      <c r="T3805" s="17"/>
    </row>
    <row r="3806">
      <c r="A3806" s="18">
        <v>2809.0</v>
      </c>
      <c r="B3806" s="12" t="s">
        <v>48</v>
      </c>
      <c r="C3806" s="12" t="s">
        <v>14</v>
      </c>
      <c r="D3806" s="20" t="s">
        <v>175</v>
      </c>
      <c r="E3806" s="12" t="str">
        <f>IFERROR(__xludf.DUMMYFUNCTION("FILTER(colegios!$B$2:$B5618,colegios!$A$2:$A5618=L3806)"),"14144 SANTA ROSA")</f>
        <v>14144 SANTA ROSA</v>
      </c>
      <c r="F3806" s="14" t="s">
        <v>16</v>
      </c>
      <c r="G3806" s="20" t="s">
        <v>17</v>
      </c>
      <c r="H3806" s="14" t="s">
        <v>24</v>
      </c>
      <c r="I3806" s="15">
        <v>2022.0</v>
      </c>
      <c r="J3806" s="16" t="str">
        <f>IFERROR(__xludf.DUMMYFUNCTION("FILTER('CLASFICACIÓN'!$F$3:$F5618,'CLASFICACIÓN'!$G$3:$G5618=M3806)"),"SOLO LINEA BASE")</f>
        <v>SOLO LINEA BASE</v>
      </c>
      <c r="K3806" s="16" t="str">
        <f t="array" ref="K3806">IFERROR(DGET('PADD-R'!$B$1:$K5618,'PADD-R'!$K$1,{'PADD-R'!$B$1;E3806}),"NO PARTICIPÓ")</f>
        <v>SOLO 2023</v>
      </c>
      <c r="L3806" s="14" t="s">
        <v>152</v>
      </c>
      <c r="M3806" s="16" t="str">
        <f t="shared" si="1"/>
        <v>14144 SANTA ROSA1 Primaria</v>
      </c>
      <c r="N3806" s="23"/>
      <c r="O3806" s="17"/>
      <c r="P3806" s="17"/>
      <c r="Q3806" s="17"/>
      <c r="R3806" s="17"/>
      <c r="S3806" s="17"/>
      <c r="T3806" s="17"/>
    </row>
    <row r="3807">
      <c r="A3807" s="18">
        <v>2810.0</v>
      </c>
      <c r="B3807" s="12" t="s">
        <v>48</v>
      </c>
      <c r="C3807" s="12" t="s">
        <v>14</v>
      </c>
      <c r="D3807" s="20" t="s">
        <v>175</v>
      </c>
      <c r="E3807" s="12" t="str">
        <f>IFERROR(__xludf.DUMMYFUNCTION("FILTER(colegios!$B$2:$B5618,colegios!$A$2:$A5618=L3807)"),"14144 SANTA ROSA")</f>
        <v>14144 SANTA ROSA</v>
      </c>
      <c r="F3807" s="14" t="s">
        <v>16</v>
      </c>
      <c r="G3807" s="20" t="s">
        <v>17</v>
      </c>
      <c r="H3807" s="14" t="s">
        <v>24</v>
      </c>
      <c r="I3807" s="15">
        <v>2022.0</v>
      </c>
      <c r="J3807" s="16" t="str">
        <f>IFERROR(__xludf.DUMMYFUNCTION("FILTER('CLASFICACIÓN'!$F$3:$F5618,'CLASFICACIÓN'!$G$3:$G5618=M3807)"),"SOLO LINEA BASE")</f>
        <v>SOLO LINEA BASE</v>
      </c>
      <c r="K3807" s="16" t="str">
        <f t="array" ref="K3807">IFERROR(DGET('PADD-R'!$B$1:$K5618,'PADD-R'!$K$1,{'PADD-R'!$B$1;E3807}),"NO PARTICIPÓ")</f>
        <v>SOLO 2023</v>
      </c>
      <c r="L3807" s="14" t="s">
        <v>152</v>
      </c>
      <c r="M3807" s="16" t="str">
        <f t="shared" si="1"/>
        <v>14144 SANTA ROSA1 Primaria</v>
      </c>
      <c r="N3807" s="23"/>
      <c r="O3807" s="17"/>
      <c r="P3807" s="17"/>
      <c r="Q3807" s="17"/>
      <c r="R3807" s="17"/>
      <c r="S3807" s="17"/>
      <c r="T3807" s="17"/>
    </row>
    <row r="3808">
      <c r="A3808" s="18">
        <v>2811.0</v>
      </c>
      <c r="B3808" s="12" t="s">
        <v>48</v>
      </c>
      <c r="C3808" s="12" t="s">
        <v>14</v>
      </c>
      <c r="D3808" s="20" t="s">
        <v>175</v>
      </c>
      <c r="E3808" s="12" t="str">
        <f>IFERROR(__xludf.DUMMYFUNCTION("FILTER(colegios!$B$2:$B5618,colegios!$A$2:$A5618=L3808)"),"14144 SANTA ROSA")</f>
        <v>14144 SANTA ROSA</v>
      </c>
      <c r="F3808" s="14" t="s">
        <v>16</v>
      </c>
      <c r="G3808" s="20" t="s">
        <v>17</v>
      </c>
      <c r="H3808" s="14" t="s">
        <v>18</v>
      </c>
      <c r="I3808" s="15">
        <v>2022.0</v>
      </c>
      <c r="J3808" s="16" t="str">
        <f>IFERROR(__xludf.DUMMYFUNCTION("FILTER('CLASFICACIÓN'!$F$3:$F5618,'CLASFICACIÓN'!$G$3:$G5618=M3808)"),"SOLO LINEA BASE")</f>
        <v>SOLO LINEA BASE</v>
      </c>
      <c r="K3808" s="16" t="str">
        <f t="array" ref="K3808">IFERROR(DGET('PADD-R'!$B$1:$K5618,'PADD-R'!$K$1,{'PADD-R'!$B$1;E3808}),"NO PARTICIPÓ")</f>
        <v>SOLO 2023</v>
      </c>
      <c r="L3808" s="14" t="s">
        <v>152</v>
      </c>
      <c r="M3808" s="16" t="str">
        <f t="shared" si="1"/>
        <v>14144 SANTA ROSA1 Primaria</v>
      </c>
      <c r="N3808" s="23"/>
      <c r="O3808" s="17"/>
      <c r="P3808" s="17"/>
      <c r="Q3808" s="17"/>
      <c r="R3808" s="17"/>
      <c r="S3808" s="17"/>
      <c r="T3808" s="17"/>
    </row>
    <row r="3809">
      <c r="A3809" s="18">
        <v>2812.0</v>
      </c>
      <c r="B3809" s="12" t="s">
        <v>48</v>
      </c>
      <c r="C3809" s="12" t="s">
        <v>14</v>
      </c>
      <c r="D3809" s="20" t="s">
        <v>175</v>
      </c>
      <c r="E3809" s="12" t="str">
        <f>IFERROR(__xludf.DUMMYFUNCTION("FILTER(colegios!$B$2:$B5618,colegios!$A$2:$A5618=L3809)"),"14144 SANTA ROSA")</f>
        <v>14144 SANTA ROSA</v>
      </c>
      <c r="F3809" s="14" t="s">
        <v>16</v>
      </c>
      <c r="G3809" s="20" t="s">
        <v>17</v>
      </c>
      <c r="H3809" s="14" t="s">
        <v>24</v>
      </c>
      <c r="I3809" s="15">
        <v>2022.0</v>
      </c>
      <c r="J3809" s="16" t="str">
        <f>IFERROR(__xludf.DUMMYFUNCTION("FILTER('CLASFICACIÓN'!$F$3:$F5618,'CLASFICACIÓN'!$G$3:$G5618=M3809)"),"SOLO LINEA BASE")</f>
        <v>SOLO LINEA BASE</v>
      </c>
      <c r="K3809" s="16" t="str">
        <f t="array" ref="K3809">IFERROR(DGET('PADD-R'!$B$1:$K5618,'PADD-R'!$K$1,{'PADD-R'!$B$1;E3809}),"NO PARTICIPÓ")</f>
        <v>SOLO 2023</v>
      </c>
      <c r="L3809" s="14" t="s">
        <v>152</v>
      </c>
      <c r="M3809" s="16" t="str">
        <f t="shared" si="1"/>
        <v>14144 SANTA ROSA1 Primaria</v>
      </c>
      <c r="N3809" s="23"/>
      <c r="O3809" s="17"/>
      <c r="P3809" s="17"/>
      <c r="Q3809" s="17"/>
      <c r="R3809" s="17"/>
      <c r="S3809" s="17"/>
      <c r="T3809" s="17"/>
    </row>
    <row r="3810">
      <c r="A3810" s="18">
        <v>3022.0</v>
      </c>
      <c r="B3810" s="12" t="s">
        <v>48</v>
      </c>
      <c r="C3810" s="12" t="s">
        <v>14</v>
      </c>
      <c r="D3810" s="20" t="s">
        <v>175</v>
      </c>
      <c r="E3810" s="12" t="str">
        <f>IFERROR(__xludf.DUMMYFUNCTION("FILTER(colegios!$B$2:$B5618,colegios!$A$2:$A5618=L3810)"),"14894")</f>
        <v>14894</v>
      </c>
      <c r="F3810" s="14" t="s">
        <v>16</v>
      </c>
      <c r="G3810" s="20" t="s">
        <v>17</v>
      </c>
      <c r="H3810" s="14" t="s">
        <v>18</v>
      </c>
      <c r="I3810" s="15">
        <v>2022.0</v>
      </c>
      <c r="J3810" s="16" t="str">
        <f>IFERROR(__xludf.DUMMYFUNCTION("FILTER('CLASFICACIÓN'!$F$3:$F5618,'CLASFICACIÓN'!$G$3:$G5618=M3810)"),"SOLO LINEA BASE")</f>
        <v>SOLO LINEA BASE</v>
      </c>
      <c r="K3810" s="16" t="str">
        <f t="array" ref="K3810">IFERROR(DGET('PADD-R'!$B$1:$K5618,'PADD-R'!$K$1,{'PADD-R'!$B$1;E3810}),"NO PARTICIPÓ")</f>
        <v>SOLO 2024</v>
      </c>
      <c r="L3810" s="14" t="s">
        <v>153</v>
      </c>
      <c r="M3810" s="16" t="str">
        <f t="shared" si="1"/>
        <v>148941 Primaria</v>
      </c>
      <c r="N3810" s="23"/>
      <c r="O3810" s="17"/>
      <c r="P3810" s="17"/>
      <c r="Q3810" s="17"/>
      <c r="R3810" s="17"/>
      <c r="S3810" s="17"/>
      <c r="T3810" s="17"/>
    </row>
    <row r="3811">
      <c r="A3811" s="18">
        <v>3031.0</v>
      </c>
      <c r="B3811" s="12" t="s">
        <v>64</v>
      </c>
      <c r="C3811" s="12" t="s">
        <v>14</v>
      </c>
      <c r="D3811" s="20" t="s">
        <v>175</v>
      </c>
      <c r="E3811" s="12" t="str">
        <f>IFERROR(__xludf.DUMMYFUNCTION("FILTER(colegios!$B$2:$B5618,colegios!$A$2:$A5618=L3811)"),"88225 CAPTUY")</f>
        <v>88225 CAPTUY</v>
      </c>
      <c r="F3811" s="14" t="s">
        <v>16</v>
      </c>
      <c r="G3811" s="20" t="s">
        <v>17</v>
      </c>
      <c r="H3811" s="14" t="s">
        <v>18</v>
      </c>
      <c r="I3811" s="15">
        <v>2022.0</v>
      </c>
      <c r="J3811" s="16" t="str">
        <f>IFERROR(__xludf.DUMMYFUNCTION("FILTER('CLASFICACIÓN'!$F$3:$F5618,'CLASFICACIÓN'!$G$3:$G5618=M3811)"),"SOLO LINEA BASE")</f>
        <v>SOLO LINEA BASE</v>
      </c>
      <c r="K3811" s="16" t="str">
        <f t="array" ref="K3811">IFERROR(DGET('PADD-R'!$B$1:$K5618,'PADD-R'!$K$1,{'PADD-R'!$B$1;E3811}),"NO PARTICIPÓ")</f>
        <v>NO PARTICIPÓ</v>
      </c>
      <c r="L3811" s="14" t="s">
        <v>154</v>
      </c>
      <c r="M3811" s="16" t="str">
        <f t="shared" si="1"/>
        <v>88225 CAPTUY1 Primaria</v>
      </c>
      <c r="N3811" s="23"/>
      <c r="O3811" s="17"/>
      <c r="P3811" s="17"/>
      <c r="Q3811" s="17"/>
      <c r="R3811" s="17"/>
      <c r="S3811" s="17"/>
      <c r="T3811" s="17"/>
    </row>
    <row r="3812">
      <c r="A3812" s="18">
        <v>3032.0</v>
      </c>
      <c r="B3812" s="12" t="s">
        <v>64</v>
      </c>
      <c r="C3812" s="12" t="s">
        <v>14</v>
      </c>
      <c r="D3812" s="20" t="s">
        <v>175</v>
      </c>
      <c r="E3812" s="12" t="str">
        <f>IFERROR(__xludf.DUMMYFUNCTION("FILTER(colegios!$B$2:$B5618,colegios!$A$2:$A5618=L3812)"),"88225 CAPTUY")</f>
        <v>88225 CAPTUY</v>
      </c>
      <c r="F3812" s="14" t="s">
        <v>16</v>
      </c>
      <c r="G3812" s="20" t="s">
        <v>21</v>
      </c>
      <c r="H3812" s="14" t="s">
        <v>18</v>
      </c>
      <c r="I3812" s="15">
        <v>2022.0</v>
      </c>
      <c r="J3812" s="16" t="str">
        <f>IFERROR(__xludf.DUMMYFUNCTION("FILTER('CLASFICACIÓN'!$F$3:$F5618,'CLASFICACIÓN'!$G$3:$G5618=M3812)"),"SOLO LINEA BASE")</f>
        <v>SOLO LINEA BASE</v>
      </c>
      <c r="K3812" s="16" t="str">
        <f t="array" ref="K3812">IFERROR(DGET('PADD-R'!$B$1:$K5618,'PADD-R'!$K$1,{'PADD-R'!$B$1;E3812}),"NO PARTICIPÓ")</f>
        <v>NO PARTICIPÓ</v>
      </c>
      <c r="L3812" s="14" t="s">
        <v>154</v>
      </c>
      <c r="M3812" s="16" t="str">
        <f t="shared" si="1"/>
        <v>88225 CAPTUY1 Primaria</v>
      </c>
      <c r="N3812" s="23"/>
      <c r="O3812" s="17"/>
      <c r="P3812" s="17"/>
      <c r="Q3812" s="17"/>
      <c r="R3812" s="17"/>
      <c r="S3812" s="17"/>
      <c r="T3812" s="17"/>
    </row>
    <row r="3813">
      <c r="A3813" s="18">
        <v>3639.0</v>
      </c>
      <c r="B3813" s="12" t="s">
        <v>64</v>
      </c>
      <c r="C3813" s="12" t="s">
        <v>14</v>
      </c>
      <c r="D3813" s="20" t="s">
        <v>175</v>
      </c>
      <c r="E3813" s="12" t="str">
        <f>IFERROR(__xludf.DUMMYFUNCTION("FILTER(colegios!$B$2:$B5618,colegios!$A$2:$A5618=L3813)"),"88225 CAPTUY")</f>
        <v>88225 CAPTUY</v>
      </c>
      <c r="F3813" s="14" t="s">
        <v>16</v>
      </c>
      <c r="G3813" s="20" t="s">
        <v>17</v>
      </c>
      <c r="H3813" s="14" t="s">
        <v>18</v>
      </c>
      <c r="I3813" s="15">
        <v>2022.0</v>
      </c>
      <c r="J3813" s="16" t="str">
        <f>IFERROR(__xludf.DUMMYFUNCTION("FILTER('CLASFICACIÓN'!$F$3:$F5618,'CLASFICACIÓN'!$G$3:$G5618=M3813)"),"SOLO LINEA BASE")</f>
        <v>SOLO LINEA BASE</v>
      </c>
      <c r="K3813" s="16" t="str">
        <f t="array" ref="K3813">IFERROR(DGET('PADD-R'!$B$1:$K5618,'PADD-R'!$K$1,{'PADD-R'!$B$1;E3813}),"NO PARTICIPÓ")</f>
        <v>NO PARTICIPÓ</v>
      </c>
      <c r="L3813" s="14" t="s">
        <v>154</v>
      </c>
      <c r="M3813" s="16" t="str">
        <f t="shared" si="1"/>
        <v>88225 CAPTUY1 Primaria</v>
      </c>
      <c r="N3813" s="23"/>
      <c r="O3813" s="17"/>
      <c r="P3813" s="17"/>
      <c r="Q3813" s="17"/>
      <c r="R3813" s="17"/>
      <c r="S3813" s="17"/>
      <c r="T3813" s="17"/>
    </row>
    <row r="3814">
      <c r="A3814" s="18">
        <v>3640.0</v>
      </c>
      <c r="B3814" s="12" t="s">
        <v>64</v>
      </c>
      <c r="C3814" s="12" t="s">
        <v>14</v>
      </c>
      <c r="D3814" s="20" t="s">
        <v>175</v>
      </c>
      <c r="E3814" s="12" t="str">
        <f>IFERROR(__xludf.DUMMYFUNCTION("FILTER(colegios!$B$2:$B5618,colegios!$A$2:$A5618=L3814)"),"88225 CAPTUY")</f>
        <v>88225 CAPTUY</v>
      </c>
      <c r="F3814" s="14" t="s">
        <v>16</v>
      </c>
      <c r="G3814" s="20" t="s">
        <v>21</v>
      </c>
      <c r="H3814" s="14" t="s">
        <v>18</v>
      </c>
      <c r="I3814" s="15">
        <v>2022.0</v>
      </c>
      <c r="J3814" s="16" t="str">
        <f>IFERROR(__xludf.DUMMYFUNCTION("FILTER('CLASFICACIÓN'!$F$3:$F5618,'CLASFICACIÓN'!$G$3:$G5618=M3814)"),"SOLO LINEA BASE")</f>
        <v>SOLO LINEA BASE</v>
      </c>
      <c r="K3814" s="16" t="str">
        <f t="array" ref="K3814">IFERROR(DGET('PADD-R'!$B$1:$K5618,'PADD-R'!$K$1,{'PADD-R'!$B$1;E3814}),"NO PARTICIPÓ")</f>
        <v>NO PARTICIPÓ</v>
      </c>
      <c r="L3814" s="14" t="s">
        <v>154</v>
      </c>
      <c r="M3814" s="16" t="str">
        <f t="shared" si="1"/>
        <v>88225 CAPTUY1 Primaria</v>
      </c>
      <c r="N3814" s="23"/>
      <c r="O3814" s="17"/>
      <c r="P3814" s="17"/>
      <c r="Q3814" s="17"/>
      <c r="R3814" s="17"/>
      <c r="S3814" s="17"/>
      <c r="T3814" s="17"/>
    </row>
    <row r="3815">
      <c r="A3815" s="18">
        <v>3641.0</v>
      </c>
      <c r="B3815" s="12" t="s">
        <v>64</v>
      </c>
      <c r="C3815" s="12" t="s">
        <v>14</v>
      </c>
      <c r="D3815" s="20" t="s">
        <v>175</v>
      </c>
      <c r="E3815" s="12" t="str">
        <f>IFERROR(__xludf.DUMMYFUNCTION("FILTER(colegios!$B$2:$B5618,colegios!$A$2:$A5618=L3815)"),"88225 CAPTUY")</f>
        <v>88225 CAPTUY</v>
      </c>
      <c r="F3815" s="14" t="s">
        <v>16</v>
      </c>
      <c r="G3815" s="20" t="s">
        <v>21</v>
      </c>
      <c r="H3815" s="14" t="s">
        <v>18</v>
      </c>
      <c r="I3815" s="15">
        <v>2022.0</v>
      </c>
      <c r="J3815" s="16" t="str">
        <f>IFERROR(__xludf.DUMMYFUNCTION("FILTER('CLASFICACIÓN'!$F$3:$F5618,'CLASFICACIÓN'!$G$3:$G5618=M3815)"),"SOLO LINEA BASE")</f>
        <v>SOLO LINEA BASE</v>
      </c>
      <c r="K3815" s="16" t="str">
        <f t="array" ref="K3815">IFERROR(DGET('PADD-R'!$B$1:$K5618,'PADD-R'!$K$1,{'PADD-R'!$B$1;E3815}),"NO PARTICIPÓ")</f>
        <v>NO PARTICIPÓ</v>
      </c>
      <c r="L3815" s="14" t="s">
        <v>154</v>
      </c>
      <c r="M3815" s="16" t="str">
        <f t="shared" si="1"/>
        <v>88225 CAPTUY1 Primaria</v>
      </c>
      <c r="N3815" s="23"/>
      <c r="O3815" s="17"/>
      <c r="P3815" s="17"/>
      <c r="Q3815" s="17"/>
      <c r="R3815" s="17"/>
      <c r="S3815" s="17"/>
      <c r="T3815" s="17"/>
    </row>
    <row r="3816">
      <c r="A3816" s="18">
        <v>3642.0</v>
      </c>
      <c r="B3816" s="12" t="s">
        <v>64</v>
      </c>
      <c r="C3816" s="12" t="s">
        <v>14</v>
      </c>
      <c r="D3816" s="20" t="s">
        <v>175</v>
      </c>
      <c r="E3816" s="12" t="str">
        <f>IFERROR(__xludf.DUMMYFUNCTION("FILTER(colegios!$B$2:$B5618,colegios!$A$2:$A5618=L3816)"),"88225 CAPTUY")</f>
        <v>88225 CAPTUY</v>
      </c>
      <c r="F3816" s="14" t="s">
        <v>16</v>
      </c>
      <c r="G3816" s="20" t="s">
        <v>21</v>
      </c>
      <c r="H3816" s="14" t="s">
        <v>18</v>
      </c>
      <c r="I3816" s="15">
        <v>2022.0</v>
      </c>
      <c r="J3816" s="16" t="str">
        <f>IFERROR(__xludf.DUMMYFUNCTION("FILTER('CLASFICACIÓN'!$F$3:$F5618,'CLASFICACIÓN'!$G$3:$G5618=M3816)"),"SOLO LINEA BASE")</f>
        <v>SOLO LINEA BASE</v>
      </c>
      <c r="K3816" s="16" t="str">
        <f t="array" ref="K3816">IFERROR(DGET('PADD-R'!$B$1:$K5618,'PADD-R'!$K$1,{'PADD-R'!$B$1;E3816}),"NO PARTICIPÓ")</f>
        <v>NO PARTICIPÓ</v>
      </c>
      <c r="L3816" s="14" t="s">
        <v>154</v>
      </c>
      <c r="M3816" s="16" t="str">
        <f t="shared" si="1"/>
        <v>88225 CAPTUY1 Primaria</v>
      </c>
      <c r="N3816" s="23"/>
      <c r="O3816" s="17"/>
      <c r="P3816" s="17"/>
      <c r="Q3816" s="17"/>
      <c r="R3816" s="17"/>
      <c r="S3816" s="17"/>
      <c r="T3816" s="17"/>
    </row>
    <row r="3817">
      <c r="A3817" s="18">
        <v>3643.0</v>
      </c>
      <c r="B3817" s="12" t="s">
        <v>64</v>
      </c>
      <c r="C3817" s="12" t="s">
        <v>14</v>
      </c>
      <c r="D3817" s="20" t="s">
        <v>175</v>
      </c>
      <c r="E3817" s="12" t="str">
        <f>IFERROR(__xludf.DUMMYFUNCTION("FILTER(colegios!$B$2:$B5618,colegios!$A$2:$A5618=L3817)"),"88225 CAPTUY")</f>
        <v>88225 CAPTUY</v>
      </c>
      <c r="F3817" s="14" t="s">
        <v>16</v>
      </c>
      <c r="G3817" s="20" t="s">
        <v>17</v>
      </c>
      <c r="H3817" s="14" t="s">
        <v>18</v>
      </c>
      <c r="I3817" s="15">
        <v>2022.0</v>
      </c>
      <c r="J3817" s="16" t="str">
        <f>IFERROR(__xludf.DUMMYFUNCTION("FILTER('CLASFICACIÓN'!$F$3:$F5618,'CLASFICACIÓN'!$G$3:$G5618=M3817)"),"SOLO LINEA BASE")</f>
        <v>SOLO LINEA BASE</v>
      </c>
      <c r="K3817" s="16" t="str">
        <f t="array" ref="K3817">IFERROR(DGET('PADD-R'!$B$1:$K5618,'PADD-R'!$K$1,{'PADD-R'!$B$1;E3817}),"NO PARTICIPÓ")</f>
        <v>NO PARTICIPÓ</v>
      </c>
      <c r="L3817" s="14" t="s">
        <v>154</v>
      </c>
      <c r="M3817" s="16" t="str">
        <f t="shared" si="1"/>
        <v>88225 CAPTUY1 Primaria</v>
      </c>
      <c r="N3817" s="23"/>
      <c r="O3817" s="17"/>
      <c r="P3817" s="17"/>
      <c r="Q3817" s="17"/>
      <c r="R3817" s="17"/>
      <c r="S3817" s="17"/>
      <c r="T3817" s="17"/>
    </row>
    <row r="3818">
      <c r="A3818" s="18">
        <v>3663.0</v>
      </c>
      <c r="B3818" s="12" t="s">
        <v>64</v>
      </c>
      <c r="C3818" s="12" t="s">
        <v>14</v>
      </c>
      <c r="D3818" s="20" t="s">
        <v>175</v>
      </c>
      <c r="E3818" s="12" t="str">
        <f>IFERROR(__xludf.DUMMYFUNCTION("FILTER(colegios!$B$2:$B5618,colegios!$A$2:$A5618=L3818)"),"88327")</f>
        <v>88327</v>
      </c>
      <c r="F3818" s="14" t="s">
        <v>16</v>
      </c>
      <c r="G3818" s="20" t="s">
        <v>21</v>
      </c>
      <c r="H3818" s="14" t="s">
        <v>18</v>
      </c>
      <c r="I3818" s="15">
        <v>2022.0</v>
      </c>
      <c r="J3818" s="16" t="str">
        <f>IFERROR(__xludf.DUMMYFUNCTION("FILTER('CLASFICACIÓN'!$F$3:$F5618,'CLASFICACIÓN'!$G$3:$G5618=M3818)"),"SOLO LINEA BASE")</f>
        <v>SOLO LINEA BASE</v>
      </c>
      <c r="K3818" s="16" t="str">
        <f t="array" ref="K3818">IFERROR(DGET('PADD-R'!$B$1:$K5618,'PADD-R'!$K$1,{'PADD-R'!$B$1;E3818}),"NO PARTICIPÓ")</f>
        <v>PADD 2023 Y 2024</v>
      </c>
      <c r="L3818" s="14" t="s">
        <v>67</v>
      </c>
      <c r="M3818" s="16" t="str">
        <f t="shared" si="1"/>
        <v>883271 Primaria</v>
      </c>
      <c r="N3818" s="23"/>
      <c r="O3818" s="17"/>
      <c r="P3818" s="17"/>
      <c r="Q3818" s="17"/>
      <c r="R3818" s="17"/>
      <c r="S3818" s="17"/>
      <c r="T3818" s="17"/>
    </row>
    <row r="3819">
      <c r="A3819" s="18">
        <v>3664.0</v>
      </c>
      <c r="B3819" s="12" t="s">
        <v>64</v>
      </c>
      <c r="C3819" s="12" t="s">
        <v>14</v>
      </c>
      <c r="D3819" s="20" t="s">
        <v>175</v>
      </c>
      <c r="E3819" s="12" t="str">
        <f>IFERROR(__xludf.DUMMYFUNCTION("FILTER(colegios!$B$2:$B5618,colegios!$A$2:$A5618=L3819)"),"88327")</f>
        <v>88327</v>
      </c>
      <c r="F3819" s="14" t="s">
        <v>16</v>
      </c>
      <c r="G3819" s="20" t="s">
        <v>21</v>
      </c>
      <c r="H3819" s="14" t="s">
        <v>18</v>
      </c>
      <c r="I3819" s="15">
        <v>2022.0</v>
      </c>
      <c r="J3819" s="16" t="str">
        <f>IFERROR(__xludf.DUMMYFUNCTION("FILTER('CLASFICACIÓN'!$F$3:$F5618,'CLASFICACIÓN'!$G$3:$G5618=M3819)"),"SOLO LINEA BASE")</f>
        <v>SOLO LINEA BASE</v>
      </c>
      <c r="K3819" s="16" t="str">
        <f t="array" ref="K3819">IFERROR(DGET('PADD-R'!$B$1:$K5618,'PADD-R'!$K$1,{'PADD-R'!$B$1;E3819}),"NO PARTICIPÓ")</f>
        <v>PADD 2023 Y 2024</v>
      </c>
      <c r="L3819" s="14" t="s">
        <v>67</v>
      </c>
      <c r="M3819" s="16" t="str">
        <f t="shared" si="1"/>
        <v>883271 Primaria</v>
      </c>
      <c r="N3819" s="23"/>
      <c r="O3819" s="17"/>
      <c r="P3819" s="17"/>
      <c r="Q3819" s="17"/>
      <c r="R3819" s="17"/>
      <c r="S3819" s="17"/>
      <c r="T3819" s="17"/>
    </row>
    <row r="3820">
      <c r="A3820" s="18">
        <v>3665.0</v>
      </c>
      <c r="B3820" s="12" t="s">
        <v>64</v>
      </c>
      <c r="C3820" s="12" t="s">
        <v>14</v>
      </c>
      <c r="D3820" s="20" t="s">
        <v>175</v>
      </c>
      <c r="E3820" s="12" t="str">
        <f>IFERROR(__xludf.DUMMYFUNCTION("FILTER(colegios!$B$2:$B5618,colegios!$A$2:$A5618=L3820)"),"88327")</f>
        <v>88327</v>
      </c>
      <c r="F3820" s="14" t="s">
        <v>16</v>
      </c>
      <c r="G3820" s="20" t="s">
        <v>21</v>
      </c>
      <c r="H3820" s="14" t="s">
        <v>18</v>
      </c>
      <c r="I3820" s="15">
        <v>2022.0</v>
      </c>
      <c r="J3820" s="16" t="str">
        <f>IFERROR(__xludf.DUMMYFUNCTION("FILTER('CLASFICACIÓN'!$F$3:$F5618,'CLASFICACIÓN'!$G$3:$G5618=M3820)"),"SOLO LINEA BASE")</f>
        <v>SOLO LINEA BASE</v>
      </c>
      <c r="K3820" s="16" t="str">
        <f t="array" ref="K3820">IFERROR(DGET('PADD-R'!$B$1:$K5618,'PADD-R'!$K$1,{'PADD-R'!$B$1;E3820}),"NO PARTICIPÓ")</f>
        <v>PADD 2023 Y 2024</v>
      </c>
      <c r="L3820" s="14" t="s">
        <v>67</v>
      </c>
      <c r="M3820" s="16" t="str">
        <f t="shared" si="1"/>
        <v>883271 Primaria</v>
      </c>
      <c r="N3820" s="23"/>
      <c r="O3820" s="17"/>
      <c r="P3820" s="17"/>
      <c r="Q3820" s="17"/>
      <c r="R3820" s="17"/>
      <c r="S3820" s="17"/>
      <c r="T3820" s="17"/>
    </row>
    <row r="3821">
      <c r="A3821" s="18">
        <v>3666.0</v>
      </c>
      <c r="B3821" s="12" t="s">
        <v>64</v>
      </c>
      <c r="C3821" s="12" t="s">
        <v>14</v>
      </c>
      <c r="D3821" s="20" t="s">
        <v>175</v>
      </c>
      <c r="E3821" s="12" t="str">
        <f>IFERROR(__xludf.DUMMYFUNCTION("FILTER(colegios!$B$2:$B5618,colegios!$A$2:$A5618=L3821)"),"88327")</f>
        <v>88327</v>
      </c>
      <c r="F3821" s="14" t="s">
        <v>16</v>
      </c>
      <c r="G3821" s="20" t="s">
        <v>21</v>
      </c>
      <c r="H3821" s="14" t="s">
        <v>18</v>
      </c>
      <c r="I3821" s="15">
        <v>2022.0</v>
      </c>
      <c r="J3821" s="16" t="str">
        <f>IFERROR(__xludf.DUMMYFUNCTION("FILTER('CLASFICACIÓN'!$F$3:$F5618,'CLASFICACIÓN'!$G$3:$G5618=M3821)"),"SOLO LINEA BASE")</f>
        <v>SOLO LINEA BASE</v>
      </c>
      <c r="K3821" s="16" t="str">
        <f t="array" ref="K3821">IFERROR(DGET('PADD-R'!$B$1:$K5618,'PADD-R'!$K$1,{'PADD-R'!$B$1;E3821}),"NO PARTICIPÓ")</f>
        <v>PADD 2023 Y 2024</v>
      </c>
      <c r="L3821" s="14" t="s">
        <v>67</v>
      </c>
      <c r="M3821" s="16" t="str">
        <f t="shared" si="1"/>
        <v>883271 Primaria</v>
      </c>
      <c r="N3821" s="23"/>
      <c r="O3821" s="17"/>
      <c r="P3821" s="17"/>
      <c r="Q3821" s="17"/>
      <c r="R3821" s="17"/>
      <c r="S3821" s="17"/>
      <c r="T3821" s="17"/>
    </row>
    <row r="3822">
      <c r="A3822" s="18">
        <v>3667.0</v>
      </c>
      <c r="B3822" s="12" t="s">
        <v>64</v>
      </c>
      <c r="C3822" s="12" t="s">
        <v>14</v>
      </c>
      <c r="D3822" s="20" t="s">
        <v>175</v>
      </c>
      <c r="E3822" s="12" t="str">
        <f>IFERROR(__xludf.DUMMYFUNCTION("FILTER(colegios!$B$2:$B5618,colegios!$A$2:$A5618=L3822)"),"88327")</f>
        <v>88327</v>
      </c>
      <c r="F3822" s="14" t="s">
        <v>16</v>
      </c>
      <c r="G3822" s="20" t="s">
        <v>17</v>
      </c>
      <c r="H3822" s="14" t="s">
        <v>18</v>
      </c>
      <c r="I3822" s="15">
        <v>2022.0</v>
      </c>
      <c r="J3822" s="16" t="str">
        <f>IFERROR(__xludf.DUMMYFUNCTION("FILTER('CLASFICACIÓN'!$F$3:$F5618,'CLASFICACIÓN'!$G$3:$G5618=M3822)"),"SOLO LINEA BASE")</f>
        <v>SOLO LINEA BASE</v>
      </c>
      <c r="K3822" s="16" t="str">
        <f t="array" ref="K3822">IFERROR(DGET('PADD-R'!$B$1:$K5618,'PADD-R'!$K$1,{'PADD-R'!$B$1;E3822}),"NO PARTICIPÓ")</f>
        <v>PADD 2023 Y 2024</v>
      </c>
      <c r="L3822" s="14" t="s">
        <v>67</v>
      </c>
      <c r="M3822" s="16" t="str">
        <f t="shared" si="1"/>
        <v>883271 Primaria</v>
      </c>
      <c r="N3822" s="23"/>
      <c r="O3822" s="17"/>
      <c r="P3822" s="17"/>
      <c r="Q3822" s="17"/>
      <c r="R3822" s="17"/>
      <c r="S3822" s="17"/>
      <c r="T3822" s="17"/>
    </row>
    <row r="3823">
      <c r="A3823" s="18">
        <v>3668.0</v>
      </c>
      <c r="B3823" s="12" t="s">
        <v>64</v>
      </c>
      <c r="C3823" s="12" t="s">
        <v>14</v>
      </c>
      <c r="D3823" s="20" t="s">
        <v>175</v>
      </c>
      <c r="E3823" s="12" t="str">
        <f>IFERROR(__xludf.DUMMYFUNCTION("FILTER(colegios!$B$2:$B5618,colegios!$A$2:$A5618=L3823)"),"88327")</f>
        <v>88327</v>
      </c>
      <c r="F3823" s="14" t="s">
        <v>16</v>
      </c>
      <c r="G3823" s="20" t="s">
        <v>21</v>
      </c>
      <c r="H3823" s="14" t="s">
        <v>18</v>
      </c>
      <c r="I3823" s="15">
        <v>2022.0</v>
      </c>
      <c r="J3823" s="16" t="str">
        <f>IFERROR(__xludf.DUMMYFUNCTION("FILTER('CLASFICACIÓN'!$F$3:$F5618,'CLASFICACIÓN'!$G$3:$G5618=M3823)"),"SOLO LINEA BASE")</f>
        <v>SOLO LINEA BASE</v>
      </c>
      <c r="K3823" s="16" t="str">
        <f t="array" ref="K3823">IFERROR(DGET('PADD-R'!$B$1:$K5618,'PADD-R'!$K$1,{'PADD-R'!$B$1;E3823}),"NO PARTICIPÓ")</f>
        <v>PADD 2023 Y 2024</v>
      </c>
      <c r="L3823" s="14" t="s">
        <v>67</v>
      </c>
      <c r="M3823" s="16" t="str">
        <f t="shared" si="1"/>
        <v>883271 Primaria</v>
      </c>
      <c r="N3823" s="23"/>
      <c r="O3823" s="17"/>
      <c r="P3823" s="17"/>
      <c r="Q3823" s="17"/>
      <c r="R3823" s="17"/>
      <c r="S3823" s="17"/>
      <c r="T3823" s="17"/>
    </row>
    <row r="3824">
      <c r="A3824" s="18">
        <v>3686.0</v>
      </c>
      <c r="B3824" s="12" t="s">
        <v>64</v>
      </c>
      <c r="C3824" s="12" t="s">
        <v>14</v>
      </c>
      <c r="D3824" s="20" t="s">
        <v>175</v>
      </c>
      <c r="E3824" s="12" t="str">
        <f>IFERROR(__xludf.DUMMYFUNCTION("FILTER(colegios!$B$2:$B5618,colegios!$A$2:$A5618=L3824)"),"86809")</f>
        <v>86809</v>
      </c>
      <c r="F3824" s="14" t="s">
        <v>16</v>
      </c>
      <c r="G3824" s="20" t="s">
        <v>21</v>
      </c>
      <c r="H3824" s="14" t="s">
        <v>18</v>
      </c>
      <c r="I3824" s="15">
        <v>2022.0</v>
      </c>
      <c r="J3824" s="16" t="str">
        <f>IFERROR(__xludf.DUMMYFUNCTION("FILTER('CLASFICACIÓN'!$F$3:$F5618,'CLASFICACIÓN'!$G$3:$G5618=M3824)"),"SOLO LINEA BASE")</f>
        <v>SOLO LINEA BASE</v>
      </c>
      <c r="K3824" s="16" t="str">
        <f t="array" ref="K3824">IFERROR(DGET('PADD-R'!$B$1:$K5618,'PADD-R'!$K$1,{'PADD-R'!$B$1;E3824}),"NO PARTICIPÓ")</f>
        <v>SOLO 2023</v>
      </c>
      <c r="L3824" s="14" t="s">
        <v>155</v>
      </c>
      <c r="M3824" s="16" t="str">
        <f t="shared" si="1"/>
        <v>868091 Primaria</v>
      </c>
      <c r="N3824" s="23"/>
      <c r="O3824" s="17"/>
      <c r="P3824" s="17"/>
      <c r="Q3824" s="17"/>
      <c r="R3824" s="17"/>
      <c r="S3824" s="17"/>
      <c r="T3824" s="17"/>
    </row>
    <row r="3825">
      <c r="A3825" s="18">
        <v>3687.0</v>
      </c>
      <c r="B3825" s="12" t="s">
        <v>64</v>
      </c>
      <c r="C3825" s="12" t="s">
        <v>14</v>
      </c>
      <c r="D3825" s="20" t="s">
        <v>175</v>
      </c>
      <c r="E3825" s="12" t="str">
        <f>IFERROR(__xludf.DUMMYFUNCTION("FILTER(colegios!$B$2:$B5618,colegios!$A$2:$A5618=L3825)"),"86809")</f>
        <v>86809</v>
      </c>
      <c r="F3825" s="14" t="s">
        <v>16</v>
      </c>
      <c r="G3825" s="20" t="s">
        <v>21</v>
      </c>
      <c r="H3825" s="14" t="s">
        <v>18</v>
      </c>
      <c r="I3825" s="15">
        <v>2022.0</v>
      </c>
      <c r="J3825" s="16" t="str">
        <f>IFERROR(__xludf.DUMMYFUNCTION("FILTER('CLASFICACIÓN'!$F$3:$F5618,'CLASFICACIÓN'!$G$3:$G5618=M3825)"),"SOLO LINEA BASE")</f>
        <v>SOLO LINEA BASE</v>
      </c>
      <c r="K3825" s="16" t="str">
        <f t="array" ref="K3825">IFERROR(DGET('PADD-R'!$B$1:$K5618,'PADD-R'!$K$1,{'PADD-R'!$B$1;E3825}),"NO PARTICIPÓ")</f>
        <v>SOLO 2023</v>
      </c>
      <c r="L3825" s="14" t="s">
        <v>155</v>
      </c>
      <c r="M3825" s="16" t="str">
        <f t="shared" si="1"/>
        <v>868091 Primaria</v>
      </c>
      <c r="N3825" s="23"/>
      <c r="O3825" s="17"/>
      <c r="P3825" s="17"/>
      <c r="Q3825" s="17"/>
      <c r="R3825" s="17"/>
      <c r="S3825" s="17"/>
      <c r="T3825" s="17"/>
    </row>
    <row r="3826">
      <c r="A3826" s="18">
        <v>3688.0</v>
      </c>
      <c r="B3826" s="12" t="s">
        <v>64</v>
      </c>
      <c r="C3826" s="12" t="s">
        <v>14</v>
      </c>
      <c r="D3826" s="20" t="s">
        <v>175</v>
      </c>
      <c r="E3826" s="12" t="str">
        <f>IFERROR(__xludf.DUMMYFUNCTION("FILTER(colegios!$B$2:$B5618,colegios!$A$2:$A5618=L3826)"),"86809")</f>
        <v>86809</v>
      </c>
      <c r="F3826" s="14" t="s">
        <v>16</v>
      </c>
      <c r="G3826" s="20" t="s">
        <v>17</v>
      </c>
      <c r="H3826" s="14" t="s">
        <v>18</v>
      </c>
      <c r="I3826" s="15">
        <v>2022.0</v>
      </c>
      <c r="J3826" s="16" t="str">
        <f>IFERROR(__xludf.DUMMYFUNCTION("FILTER('CLASFICACIÓN'!$F$3:$F5618,'CLASFICACIÓN'!$G$3:$G5618=M3826)"),"SOLO LINEA BASE")</f>
        <v>SOLO LINEA BASE</v>
      </c>
      <c r="K3826" s="16" t="str">
        <f t="array" ref="K3826">IFERROR(DGET('PADD-R'!$B$1:$K5618,'PADD-R'!$K$1,{'PADD-R'!$B$1;E3826}),"NO PARTICIPÓ")</f>
        <v>SOLO 2023</v>
      </c>
      <c r="L3826" s="14" t="s">
        <v>155</v>
      </c>
      <c r="M3826" s="16" t="str">
        <f t="shared" si="1"/>
        <v>868091 Primaria</v>
      </c>
      <c r="N3826" s="23"/>
      <c r="O3826" s="17"/>
      <c r="P3826" s="17"/>
      <c r="Q3826" s="17"/>
      <c r="R3826" s="17"/>
      <c r="S3826" s="17"/>
      <c r="T3826" s="17"/>
    </row>
    <row r="3827">
      <c r="A3827" s="18">
        <v>3699.0</v>
      </c>
      <c r="B3827" s="12" t="s">
        <v>64</v>
      </c>
      <c r="C3827" s="12" t="s">
        <v>14</v>
      </c>
      <c r="D3827" s="20" t="s">
        <v>175</v>
      </c>
      <c r="E3827" s="12" t="str">
        <f>IFERROR(__xludf.DUMMYFUNCTION("FILTER(colegios!$B$2:$B5618,colegios!$A$2:$A5618=L3827)"),"86769 ABRAHAM VALDELOMAR")</f>
        <v>86769 ABRAHAM VALDELOMAR</v>
      </c>
      <c r="F3827" s="14" t="s">
        <v>16</v>
      </c>
      <c r="G3827" s="20" t="s">
        <v>21</v>
      </c>
      <c r="H3827" s="14" t="s">
        <v>18</v>
      </c>
      <c r="I3827" s="15">
        <v>2022.0</v>
      </c>
      <c r="J3827" s="16" t="str">
        <f>IFERROR(__xludf.DUMMYFUNCTION("FILTER('CLASFICACIÓN'!$F$3:$F5618,'CLASFICACIÓN'!$G$3:$G5618=M3827)"),"SOLO LINEA BASE")</f>
        <v>SOLO LINEA BASE</v>
      </c>
      <c r="K3827" s="16" t="str">
        <f t="array" ref="K3827">IFERROR(DGET('PADD-R'!$B$1:$K5618,'PADD-R'!$K$1,{'PADD-R'!$B$1;E3827}),"NO PARTICIPÓ")</f>
        <v>SOLO 2024</v>
      </c>
      <c r="L3827" s="14" t="s">
        <v>156</v>
      </c>
      <c r="M3827" s="16" t="str">
        <f t="shared" si="1"/>
        <v>86769 ABRAHAM VALDELOMAR1 Primaria</v>
      </c>
      <c r="N3827" s="23"/>
      <c r="O3827" s="17"/>
      <c r="P3827" s="17"/>
      <c r="Q3827" s="17"/>
      <c r="R3827" s="17"/>
      <c r="S3827" s="17"/>
      <c r="T3827" s="17"/>
    </row>
    <row r="3828">
      <c r="A3828" s="18">
        <v>3700.0</v>
      </c>
      <c r="B3828" s="12" t="s">
        <v>64</v>
      </c>
      <c r="C3828" s="12" t="s">
        <v>14</v>
      </c>
      <c r="D3828" s="20" t="s">
        <v>175</v>
      </c>
      <c r="E3828" s="12" t="str">
        <f>IFERROR(__xludf.DUMMYFUNCTION("FILTER(colegios!$B$2:$B5618,colegios!$A$2:$A5618=L3828)"),"86769 ABRAHAM VALDELOMAR")</f>
        <v>86769 ABRAHAM VALDELOMAR</v>
      </c>
      <c r="F3828" s="14" t="s">
        <v>16</v>
      </c>
      <c r="G3828" s="20" t="s">
        <v>17</v>
      </c>
      <c r="H3828" s="14" t="s">
        <v>18</v>
      </c>
      <c r="I3828" s="15">
        <v>2022.0</v>
      </c>
      <c r="J3828" s="16" t="str">
        <f>IFERROR(__xludf.DUMMYFUNCTION("FILTER('CLASFICACIÓN'!$F$3:$F5618,'CLASFICACIÓN'!$G$3:$G5618=M3828)"),"SOLO LINEA BASE")</f>
        <v>SOLO LINEA BASE</v>
      </c>
      <c r="K3828" s="16" t="str">
        <f t="array" ref="K3828">IFERROR(DGET('PADD-R'!$B$1:$K5618,'PADD-R'!$K$1,{'PADD-R'!$B$1;E3828}),"NO PARTICIPÓ")</f>
        <v>SOLO 2024</v>
      </c>
      <c r="L3828" s="14" t="s">
        <v>156</v>
      </c>
      <c r="M3828" s="16" t="str">
        <f t="shared" si="1"/>
        <v>86769 ABRAHAM VALDELOMAR1 Primaria</v>
      </c>
      <c r="N3828" s="23"/>
      <c r="O3828" s="17"/>
      <c r="P3828" s="17"/>
      <c r="Q3828" s="17"/>
      <c r="R3828" s="17"/>
      <c r="S3828" s="17"/>
      <c r="T3828" s="17"/>
    </row>
    <row r="3829">
      <c r="A3829" s="18">
        <v>3733.0</v>
      </c>
      <c r="B3829" s="12" t="s">
        <v>64</v>
      </c>
      <c r="C3829" s="12" t="s">
        <v>14</v>
      </c>
      <c r="D3829" s="20" t="s">
        <v>175</v>
      </c>
      <c r="E3829" s="12" t="str">
        <f>IFERROR(__xludf.DUMMYFUNCTION("FILTER(colegios!$B$2:$B5618,colegios!$A$2:$A5618=L3829)"),"86548 JOSE MARIA VELAZ")</f>
        <v>86548 JOSE MARIA VELAZ</v>
      </c>
      <c r="F3829" s="14" t="s">
        <v>16</v>
      </c>
      <c r="G3829" s="20" t="s">
        <v>21</v>
      </c>
      <c r="H3829" s="14" t="s">
        <v>18</v>
      </c>
      <c r="I3829" s="15">
        <v>2022.0</v>
      </c>
      <c r="J3829" s="16" t="str">
        <f>IFERROR(__xludf.DUMMYFUNCTION("FILTER('CLASFICACIÓN'!$F$3:$F5618,'CLASFICACIÓN'!$G$3:$G5618=M3829)"),"SOLO LINEA BASE")</f>
        <v>SOLO LINEA BASE</v>
      </c>
      <c r="K3829" s="16" t="str">
        <f t="array" ref="K3829">IFERROR(DGET('PADD-R'!$B$1:$K5618,'PADD-R'!$K$1,{'PADD-R'!$B$1;E3829}),"NO PARTICIPÓ")</f>
        <v>PADD 2023 Y 2024</v>
      </c>
      <c r="L3829" s="14" t="s">
        <v>66</v>
      </c>
      <c r="M3829" s="16" t="str">
        <f t="shared" si="1"/>
        <v>86548 JOSE MARIA VELAZ1 Primaria</v>
      </c>
      <c r="N3829" s="23"/>
      <c r="O3829" s="17"/>
      <c r="P3829" s="17"/>
      <c r="Q3829" s="17"/>
      <c r="R3829" s="17"/>
      <c r="S3829" s="17"/>
      <c r="T3829" s="17"/>
    </row>
    <row r="3830">
      <c r="A3830" s="18">
        <v>3734.0</v>
      </c>
      <c r="B3830" s="12" t="s">
        <v>64</v>
      </c>
      <c r="C3830" s="12" t="s">
        <v>14</v>
      </c>
      <c r="D3830" s="20" t="s">
        <v>175</v>
      </c>
      <c r="E3830" s="12" t="str">
        <f>IFERROR(__xludf.DUMMYFUNCTION("FILTER(colegios!$B$2:$B5618,colegios!$A$2:$A5618=L3830)"),"86548 JOSE MARIA VELAZ")</f>
        <v>86548 JOSE MARIA VELAZ</v>
      </c>
      <c r="F3830" s="14" t="s">
        <v>16</v>
      </c>
      <c r="G3830" s="20" t="s">
        <v>21</v>
      </c>
      <c r="H3830" s="14" t="s">
        <v>18</v>
      </c>
      <c r="I3830" s="15">
        <v>2022.0</v>
      </c>
      <c r="J3830" s="16" t="str">
        <f>IFERROR(__xludf.DUMMYFUNCTION("FILTER('CLASFICACIÓN'!$F$3:$F5618,'CLASFICACIÓN'!$G$3:$G5618=M3830)"),"SOLO LINEA BASE")</f>
        <v>SOLO LINEA BASE</v>
      </c>
      <c r="K3830" s="16" t="str">
        <f t="array" ref="K3830">IFERROR(DGET('PADD-R'!$B$1:$K5618,'PADD-R'!$K$1,{'PADD-R'!$B$1;E3830}),"NO PARTICIPÓ")</f>
        <v>PADD 2023 Y 2024</v>
      </c>
      <c r="L3830" s="14" t="s">
        <v>66</v>
      </c>
      <c r="M3830" s="16" t="str">
        <f t="shared" si="1"/>
        <v>86548 JOSE MARIA VELAZ1 Primaria</v>
      </c>
      <c r="N3830" s="23"/>
      <c r="O3830" s="17"/>
      <c r="P3830" s="17"/>
      <c r="Q3830" s="17"/>
      <c r="R3830" s="17"/>
      <c r="S3830" s="17"/>
      <c r="T3830" s="17"/>
    </row>
    <row r="3831">
      <c r="A3831" s="18">
        <v>3735.0</v>
      </c>
      <c r="B3831" s="12" t="s">
        <v>64</v>
      </c>
      <c r="C3831" s="12" t="s">
        <v>14</v>
      </c>
      <c r="D3831" s="20" t="s">
        <v>175</v>
      </c>
      <c r="E3831" s="12" t="str">
        <f>IFERROR(__xludf.DUMMYFUNCTION("FILTER(colegios!$B$2:$B5618,colegios!$A$2:$A5618=L3831)"),"86548 JOSE MARIA VELAZ")</f>
        <v>86548 JOSE MARIA VELAZ</v>
      </c>
      <c r="F3831" s="14" t="s">
        <v>16</v>
      </c>
      <c r="G3831" s="20" t="s">
        <v>17</v>
      </c>
      <c r="H3831" s="14" t="s">
        <v>24</v>
      </c>
      <c r="I3831" s="15">
        <v>2022.0</v>
      </c>
      <c r="J3831" s="16" t="str">
        <f>IFERROR(__xludf.DUMMYFUNCTION("FILTER('CLASFICACIÓN'!$F$3:$F5618,'CLASFICACIÓN'!$G$3:$G5618=M3831)"),"SOLO LINEA BASE")</f>
        <v>SOLO LINEA BASE</v>
      </c>
      <c r="K3831" s="16" t="str">
        <f t="array" ref="K3831">IFERROR(DGET('PADD-R'!$B$1:$K5618,'PADD-R'!$K$1,{'PADD-R'!$B$1;E3831}),"NO PARTICIPÓ")</f>
        <v>PADD 2023 Y 2024</v>
      </c>
      <c r="L3831" s="14" t="s">
        <v>66</v>
      </c>
      <c r="M3831" s="16" t="str">
        <f t="shared" si="1"/>
        <v>86548 JOSE MARIA VELAZ1 Primaria</v>
      </c>
      <c r="N3831" s="23"/>
      <c r="O3831" s="17"/>
      <c r="P3831" s="17"/>
      <c r="Q3831" s="17"/>
      <c r="R3831" s="17"/>
      <c r="S3831" s="17"/>
      <c r="T3831" s="17"/>
    </row>
    <row r="3832">
      <c r="A3832" s="18">
        <v>3736.0</v>
      </c>
      <c r="B3832" s="12" t="s">
        <v>64</v>
      </c>
      <c r="C3832" s="12" t="s">
        <v>14</v>
      </c>
      <c r="D3832" s="20" t="s">
        <v>175</v>
      </c>
      <c r="E3832" s="12" t="str">
        <f>IFERROR(__xludf.DUMMYFUNCTION("FILTER(colegios!$B$2:$B5618,colegios!$A$2:$A5618=L3832)"),"86548 JOSE MARIA VELAZ")</f>
        <v>86548 JOSE MARIA VELAZ</v>
      </c>
      <c r="F3832" s="14" t="s">
        <v>16</v>
      </c>
      <c r="G3832" s="20" t="s">
        <v>17</v>
      </c>
      <c r="H3832" s="14" t="s">
        <v>18</v>
      </c>
      <c r="I3832" s="15">
        <v>2022.0</v>
      </c>
      <c r="J3832" s="16" t="str">
        <f>IFERROR(__xludf.DUMMYFUNCTION("FILTER('CLASFICACIÓN'!$F$3:$F5618,'CLASFICACIÓN'!$G$3:$G5618=M3832)"),"SOLO LINEA BASE")</f>
        <v>SOLO LINEA BASE</v>
      </c>
      <c r="K3832" s="16" t="str">
        <f t="array" ref="K3832">IFERROR(DGET('PADD-R'!$B$1:$K5618,'PADD-R'!$K$1,{'PADD-R'!$B$1;E3832}),"NO PARTICIPÓ")</f>
        <v>PADD 2023 Y 2024</v>
      </c>
      <c r="L3832" s="14" t="s">
        <v>66</v>
      </c>
      <c r="M3832" s="16" t="str">
        <f t="shared" si="1"/>
        <v>86548 JOSE MARIA VELAZ1 Primaria</v>
      </c>
      <c r="N3832" s="23"/>
      <c r="O3832" s="17"/>
      <c r="P3832" s="17"/>
      <c r="Q3832" s="17"/>
      <c r="R3832" s="17"/>
      <c r="S3832" s="17"/>
      <c r="T3832" s="17"/>
    </row>
    <row r="3833">
      <c r="A3833" s="18">
        <v>3737.0</v>
      </c>
      <c r="B3833" s="12" t="s">
        <v>64</v>
      </c>
      <c r="C3833" s="12" t="s">
        <v>14</v>
      </c>
      <c r="D3833" s="20" t="s">
        <v>175</v>
      </c>
      <c r="E3833" s="12" t="str">
        <f>IFERROR(__xludf.DUMMYFUNCTION("FILTER(colegios!$B$2:$B5618,colegios!$A$2:$A5618=L3833)"),"86548 JOSE MARIA VELAZ")</f>
        <v>86548 JOSE MARIA VELAZ</v>
      </c>
      <c r="F3833" s="14" t="s">
        <v>16</v>
      </c>
      <c r="G3833" s="20" t="s">
        <v>17</v>
      </c>
      <c r="H3833" s="14" t="s">
        <v>18</v>
      </c>
      <c r="I3833" s="15">
        <v>2022.0</v>
      </c>
      <c r="J3833" s="16" t="str">
        <f>IFERROR(__xludf.DUMMYFUNCTION("FILTER('CLASFICACIÓN'!$F$3:$F5618,'CLASFICACIÓN'!$G$3:$G5618=M3833)"),"SOLO LINEA BASE")</f>
        <v>SOLO LINEA BASE</v>
      </c>
      <c r="K3833" s="16" t="str">
        <f t="array" ref="K3833">IFERROR(DGET('PADD-R'!$B$1:$K5618,'PADD-R'!$K$1,{'PADD-R'!$B$1;E3833}),"NO PARTICIPÓ")</f>
        <v>PADD 2023 Y 2024</v>
      </c>
      <c r="L3833" s="14" t="s">
        <v>66</v>
      </c>
      <c r="M3833" s="16" t="str">
        <f t="shared" si="1"/>
        <v>86548 JOSE MARIA VELAZ1 Primaria</v>
      </c>
      <c r="N3833" s="23"/>
      <c r="O3833" s="17"/>
      <c r="P3833" s="17"/>
      <c r="Q3833" s="17"/>
      <c r="R3833" s="17"/>
      <c r="S3833" s="17"/>
      <c r="T3833" s="17"/>
    </row>
    <row r="3834">
      <c r="A3834" s="18">
        <v>3738.0</v>
      </c>
      <c r="B3834" s="12" t="s">
        <v>64</v>
      </c>
      <c r="C3834" s="12" t="s">
        <v>14</v>
      </c>
      <c r="D3834" s="20" t="s">
        <v>175</v>
      </c>
      <c r="E3834" s="12" t="str">
        <f>IFERROR(__xludf.DUMMYFUNCTION("FILTER(colegios!$B$2:$B5618,colegios!$A$2:$A5618=L3834)"),"86548 JOSE MARIA VELAZ")</f>
        <v>86548 JOSE MARIA VELAZ</v>
      </c>
      <c r="F3834" s="14" t="s">
        <v>16</v>
      </c>
      <c r="G3834" s="20" t="s">
        <v>17</v>
      </c>
      <c r="H3834" s="14" t="s">
        <v>18</v>
      </c>
      <c r="I3834" s="15">
        <v>2022.0</v>
      </c>
      <c r="J3834" s="16" t="str">
        <f>IFERROR(__xludf.DUMMYFUNCTION("FILTER('CLASFICACIÓN'!$F$3:$F5618,'CLASFICACIÓN'!$G$3:$G5618=M3834)"),"SOLO LINEA BASE")</f>
        <v>SOLO LINEA BASE</v>
      </c>
      <c r="K3834" s="16" t="str">
        <f t="array" ref="K3834">IFERROR(DGET('PADD-R'!$B$1:$K5618,'PADD-R'!$K$1,{'PADD-R'!$B$1;E3834}),"NO PARTICIPÓ")</f>
        <v>PADD 2023 Y 2024</v>
      </c>
      <c r="L3834" s="14" t="s">
        <v>66</v>
      </c>
      <c r="M3834" s="16" t="str">
        <f t="shared" si="1"/>
        <v>86548 JOSE MARIA VELAZ1 Primaria</v>
      </c>
      <c r="N3834" s="23"/>
      <c r="O3834" s="17"/>
      <c r="P3834" s="17"/>
      <c r="Q3834" s="17"/>
      <c r="R3834" s="17"/>
      <c r="S3834" s="17"/>
      <c r="T3834" s="17"/>
    </row>
    <row r="3835">
      <c r="A3835" s="18">
        <v>3739.0</v>
      </c>
      <c r="B3835" s="12" t="s">
        <v>64</v>
      </c>
      <c r="C3835" s="12" t="s">
        <v>14</v>
      </c>
      <c r="D3835" s="20" t="s">
        <v>175</v>
      </c>
      <c r="E3835" s="12" t="str">
        <f>IFERROR(__xludf.DUMMYFUNCTION("FILTER(colegios!$B$2:$B5618,colegios!$A$2:$A5618=L3835)"),"86548 JOSE MARIA VELAZ")</f>
        <v>86548 JOSE MARIA VELAZ</v>
      </c>
      <c r="F3835" s="14" t="s">
        <v>16</v>
      </c>
      <c r="G3835" s="20" t="s">
        <v>17</v>
      </c>
      <c r="H3835" s="14" t="s">
        <v>18</v>
      </c>
      <c r="I3835" s="15">
        <v>2022.0</v>
      </c>
      <c r="J3835" s="16" t="str">
        <f>IFERROR(__xludf.DUMMYFUNCTION("FILTER('CLASFICACIÓN'!$F$3:$F5618,'CLASFICACIÓN'!$G$3:$G5618=M3835)"),"SOLO LINEA BASE")</f>
        <v>SOLO LINEA BASE</v>
      </c>
      <c r="K3835" s="16" t="str">
        <f t="array" ref="K3835">IFERROR(DGET('PADD-R'!$B$1:$K5618,'PADD-R'!$K$1,{'PADD-R'!$B$1;E3835}),"NO PARTICIPÓ")</f>
        <v>PADD 2023 Y 2024</v>
      </c>
      <c r="L3835" s="14" t="s">
        <v>66</v>
      </c>
      <c r="M3835" s="16" t="str">
        <f t="shared" si="1"/>
        <v>86548 JOSE MARIA VELAZ1 Primaria</v>
      </c>
      <c r="N3835" s="23"/>
      <c r="O3835" s="17"/>
      <c r="P3835" s="17"/>
      <c r="Q3835" s="17"/>
      <c r="R3835" s="17"/>
      <c r="S3835" s="17"/>
      <c r="T3835" s="17"/>
    </row>
    <row r="3836">
      <c r="A3836" s="18">
        <v>3740.0</v>
      </c>
      <c r="B3836" s="12" t="s">
        <v>64</v>
      </c>
      <c r="C3836" s="12" t="s">
        <v>14</v>
      </c>
      <c r="D3836" s="20" t="s">
        <v>175</v>
      </c>
      <c r="E3836" s="12" t="str">
        <f>IFERROR(__xludf.DUMMYFUNCTION("FILTER(colegios!$B$2:$B5618,colegios!$A$2:$A5618=L3836)"),"86548 JOSE MARIA VELAZ")</f>
        <v>86548 JOSE MARIA VELAZ</v>
      </c>
      <c r="F3836" s="14" t="s">
        <v>16</v>
      </c>
      <c r="G3836" s="20" t="s">
        <v>21</v>
      </c>
      <c r="H3836" s="14" t="s">
        <v>18</v>
      </c>
      <c r="I3836" s="15">
        <v>2022.0</v>
      </c>
      <c r="J3836" s="16" t="str">
        <f>IFERROR(__xludf.DUMMYFUNCTION("FILTER('CLASFICACIÓN'!$F$3:$F5618,'CLASFICACIÓN'!$G$3:$G5618=M3836)"),"SOLO LINEA BASE")</f>
        <v>SOLO LINEA BASE</v>
      </c>
      <c r="K3836" s="16" t="str">
        <f t="array" ref="K3836">IFERROR(DGET('PADD-R'!$B$1:$K5618,'PADD-R'!$K$1,{'PADD-R'!$B$1;E3836}),"NO PARTICIPÓ")</f>
        <v>PADD 2023 Y 2024</v>
      </c>
      <c r="L3836" s="14" t="s">
        <v>66</v>
      </c>
      <c r="M3836" s="16" t="str">
        <f t="shared" si="1"/>
        <v>86548 JOSE MARIA VELAZ1 Primaria</v>
      </c>
      <c r="N3836" s="23"/>
      <c r="O3836" s="17"/>
      <c r="P3836" s="17"/>
      <c r="Q3836" s="17"/>
      <c r="R3836" s="17"/>
      <c r="S3836" s="17"/>
      <c r="T3836" s="17"/>
    </row>
    <row r="3837">
      <c r="A3837" s="18">
        <v>3741.0</v>
      </c>
      <c r="B3837" s="12" t="s">
        <v>64</v>
      </c>
      <c r="C3837" s="12" t="s">
        <v>14</v>
      </c>
      <c r="D3837" s="20" t="s">
        <v>175</v>
      </c>
      <c r="E3837" s="12" t="str">
        <f>IFERROR(__xludf.DUMMYFUNCTION("FILTER(colegios!$B$2:$B5618,colegios!$A$2:$A5618=L3837)"),"86548 JOSE MARIA VELAZ")</f>
        <v>86548 JOSE MARIA VELAZ</v>
      </c>
      <c r="F3837" s="14" t="s">
        <v>16</v>
      </c>
      <c r="G3837" s="20" t="s">
        <v>21</v>
      </c>
      <c r="H3837" s="14" t="s">
        <v>18</v>
      </c>
      <c r="I3837" s="15">
        <v>2022.0</v>
      </c>
      <c r="J3837" s="16" t="str">
        <f>IFERROR(__xludf.DUMMYFUNCTION("FILTER('CLASFICACIÓN'!$F$3:$F5618,'CLASFICACIÓN'!$G$3:$G5618=M3837)"),"SOLO LINEA BASE")</f>
        <v>SOLO LINEA BASE</v>
      </c>
      <c r="K3837" s="16" t="str">
        <f t="array" ref="K3837">IFERROR(DGET('PADD-R'!$B$1:$K5618,'PADD-R'!$K$1,{'PADD-R'!$B$1;E3837}),"NO PARTICIPÓ")</f>
        <v>PADD 2023 Y 2024</v>
      </c>
      <c r="L3837" s="14" t="s">
        <v>66</v>
      </c>
      <c r="M3837" s="16" t="str">
        <f t="shared" si="1"/>
        <v>86548 JOSE MARIA VELAZ1 Primaria</v>
      </c>
      <c r="N3837" s="23"/>
      <c r="O3837" s="17"/>
      <c r="P3837" s="17"/>
      <c r="Q3837" s="17"/>
      <c r="R3837" s="17"/>
      <c r="S3837" s="17"/>
      <c r="T3837" s="17"/>
    </row>
    <row r="3838">
      <c r="A3838" s="18">
        <v>3742.0</v>
      </c>
      <c r="B3838" s="12" t="s">
        <v>64</v>
      </c>
      <c r="C3838" s="12" t="s">
        <v>14</v>
      </c>
      <c r="D3838" s="20" t="s">
        <v>175</v>
      </c>
      <c r="E3838" s="12" t="str">
        <f>IFERROR(__xludf.DUMMYFUNCTION("FILTER(colegios!$B$2:$B5618,colegios!$A$2:$A5618=L3838)"),"86548 JOSE MARIA VELAZ")</f>
        <v>86548 JOSE MARIA VELAZ</v>
      </c>
      <c r="F3838" s="14" t="s">
        <v>16</v>
      </c>
      <c r="G3838" s="20" t="s">
        <v>21</v>
      </c>
      <c r="H3838" s="14" t="s">
        <v>18</v>
      </c>
      <c r="I3838" s="15">
        <v>2022.0</v>
      </c>
      <c r="J3838" s="16" t="str">
        <f>IFERROR(__xludf.DUMMYFUNCTION("FILTER('CLASFICACIÓN'!$F$3:$F5618,'CLASFICACIÓN'!$G$3:$G5618=M3838)"),"SOLO LINEA BASE")</f>
        <v>SOLO LINEA BASE</v>
      </c>
      <c r="K3838" s="16" t="str">
        <f t="array" ref="K3838">IFERROR(DGET('PADD-R'!$B$1:$K5618,'PADD-R'!$K$1,{'PADD-R'!$B$1;E3838}),"NO PARTICIPÓ")</f>
        <v>PADD 2023 Y 2024</v>
      </c>
      <c r="L3838" s="14" t="s">
        <v>66</v>
      </c>
      <c r="M3838" s="16" t="str">
        <f t="shared" si="1"/>
        <v>86548 JOSE MARIA VELAZ1 Primaria</v>
      </c>
      <c r="N3838" s="23"/>
      <c r="O3838" s="17"/>
      <c r="P3838" s="17"/>
      <c r="Q3838" s="17"/>
      <c r="R3838" s="17"/>
      <c r="S3838" s="17"/>
      <c r="T3838" s="17"/>
    </row>
    <row r="3839">
      <c r="A3839" s="18">
        <v>4327.0</v>
      </c>
      <c r="B3839" s="12" t="s">
        <v>70</v>
      </c>
      <c r="C3839" s="12" t="s">
        <v>14</v>
      </c>
      <c r="D3839" s="20" t="s">
        <v>175</v>
      </c>
      <c r="E3839" s="12" t="str">
        <f>IFERROR(__xludf.DUMMYFUNCTION("FILTER(colegios!$B$2:$B5618,colegios!$A$2:$A5618=L3839)"),"64115")</f>
        <v>64115</v>
      </c>
      <c r="F3839" s="14" t="s">
        <v>16</v>
      </c>
      <c r="G3839" s="20" t="s">
        <v>21</v>
      </c>
      <c r="H3839" s="14" t="s">
        <v>18</v>
      </c>
      <c r="I3839" s="15">
        <v>2022.0</v>
      </c>
      <c r="J3839" s="16" t="str">
        <f>IFERROR(__xludf.DUMMYFUNCTION("FILTER('CLASFICACIÓN'!$F$3:$F5618,'CLASFICACIÓN'!$G$3:$G5618=M3839)"),"SOLO LINEA BASE")</f>
        <v>SOLO LINEA BASE</v>
      </c>
      <c r="K3839" s="16" t="str">
        <f t="array" ref="K3839">IFERROR(DGET('PADD-R'!$B$1:$K5618,'PADD-R'!$K$1,{'PADD-R'!$B$1;E3839}),"NO PARTICIPÓ")</f>
        <v>SOLO 2023</v>
      </c>
      <c r="L3839" s="14" t="s">
        <v>159</v>
      </c>
      <c r="M3839" s="16" t="str">
        <f t="shared" si="1"/>
        <v>641151 Primaria</v>
      </c>
      <c r="N3839" s="23"/>
      <c r="O3839" s="17"/>
      <c r="P3839" s="17"/>
      <c r="Q3839" s="17"/>
      <c r="R3839" s="17"/>
      <c r="S3839" s="17"/>
      <c r="T3839" s="17"/>
    </row>
    <row r="3840">
      <c r="A3840" s="18">
        <v>4328.0</v>
      </c>
      <c r="B3840" s="12" t="s">
        <v>70</v>
      </c>
      <c r="C3840" s="12" t="s">
        <v>14</v>
      </c>
      <c r="D3840" s="20" t="s">
        <v>175</v>
      </c>
      <c r="E3840" s="12" t="str">
        <f>IFERROR(__xludf.DUMMYFUNCTION("FILTER(colegios!$B$2:$B5618,colegios!$A$2:$A5618=L3840)"),"64115")</f>
        <v>64115</v>
      </c>
      <c r="F3840" s="14" t="s">
        <v>16</v>
      </c>
      <c r="G3840" s="20" t="s">
        <v>21</v>
      </c>
      <c r="H3840" s="14" t="s">
        <v>18</v>
      </c>
      <c r="I3840" s="15">
        <v>2022.0</v>
      </c>
      <c r="J3840" s="16" t="str">
        <f>IFERROR(__xludf.DUMMYFUNCTION("FILTER('CLASFICACIÓN'!$F$3:$F5618,'CLASFICACIÓN'!$G$3:$G5618=M3840)"),"SOLO LINEA BASE")</f>
        <v>SOLO LINEA BASE</v>
      </c>
      <c r="K3840" s="16" t="str">
        <f t="array" ref="K3840">IFERROR(DGET('PADD-R'!$B$1:$K5618,'PADD-R'!$K$1,{'PADD-R'!$B$1;E3840}),"NO PARTICIPÓ")</f>
        <v>SOLO 2023</v>
      </c>
      <c r="L3840" s="14" t="s">
        <v>159</v>
      </c>
      <c r="M3840" s="16" t="str">
        <f t="shared" si="1"/>
        <v>641151 Primaria</v>
      </c>
      <c r="N3840" s="23"/>
      <c r="O3840" s="17"/>
      <c r="P3840" s="17"/>
      <c r="Q3840" s="17"/>
      <c r="R3840" s="17"/>
      <c r="S3840" s="17"/>
      <c r="T3840" s="17"/>
    </row>
    <row r="3841">
      <c r="A3841" s="18">
        <v>4340.0</v>
      </c>
      <c r="B3841" s="12" t="s">
        <v>70</v>
      </c>
      <c r="C3841" s="12" t="s">
        <v>14</v>
      </c>
      <c r="D3841" s="20" t="s">
        <v>175</v>
      </c>
      <c r="E3841" s="12" t="str">
        <f>IFERROR(__xludf.DUMMYFUNCTION("FILTER(colegios!$B$2:$B5618,colegios!$A$2:$A5618=L3841)"),"64028")</f>
        <v>64028</v>
      </c>
      <c r="F3841" s="14" t="s">
        <v>16</v>
      </c>
      <c r="G3841" s="20" t="s">
        <v>21</v>
      </c>
      <c r="H3841" s="14" t="s">
        <v>18</v>
      </c>
      <c r="I3841" s="15">
        <v>2022.0</v>
      </c>
      <c r="J3841" s="16" t="str">
        <f>IFERROR(__xludf.DUMMYFUNCTION("FILTER('CLASFICACIÓN'!$F$3:$F5618,'CLASFICACIÓN'!$G$3:$G5618=M3841)"),"SOLO LINEA BASE")</f>
        <v>SOLO LINEA BASE</v>
      </c>
      <c r="K3841" s="16" t="str">
        <f t="array" ref="K3841">IFERROR(DGET('PADD-R'!$B$1:$K5618,'PADD-R'!$K$1,{'PADD-R'!$B$1;E3841}),"NO PARTICIPÓ")</f>
        <v>PADD 2023 Y 2024</v>
      </c>
      <c r="L3841" s="14" t="s">
        <v>160</v>
      </c>
      <c r="M3841" s="16" t="str">
        <f t="shared" si="1"/>
        <v>640281 Primaria</v>
      </c>
      <c r="N3841" s="23"/>
      <c r="O3841" s="17"/>
      <c r="P3841" s="17"/>
      <c r="Q3841" s="17"/>
      <c r="R3841" s="17"/>
      <c r="S3841" s="17"/>
      <c r="T3841" s="17"/>
    </row>
    <row r="3842">
      <c r="A3842" s="18">
        <v>4341.0</v>
      </c>
      <c r="B3842" s="12" t="s">
        <v>70</v>
      </c>
      <c r="C3842" s="12" t="s">
        <v>14</v>
      </c>
      <c r="D3842" s="20" t="s">
        <v>175</v>
      </c>
      <c r="E3842" s="12" t="str">
        <f>IFERROR(__xludf.DUMMYFUNCTION("FILTER(colegios!$B$2:$B5618,colegios!$A$2:$A5618=L3842)"),"64028")</f>
        <v>64028</v>
      </c>
      <c r="F3842" s="14" t="s">
        <v>16</v>
      </c>
      <c r="G3842" s="20" t="s">
        <v>17</v>
      </c>
      <c r="H3842" s="14" t="s">
        <v>18</v>
      </c>
      <c r="I3842" s="15">
        <v>2022.0</v>
      </c>
      <c r="J3842" s="16" t="str">
        <f>IFERROR(__xludf.DUMMYFUNCTION("FILTER('CLASFICACIÓN'!$F$3:$F5618,'CLASFICACIÓN'!$G$3:$G5618=M3842)"),"SOLO LINEA BASE")</f>
        <v>SOLO LINEA BASE</v>
      </c>
      <c r="K3842" s="16" t="str">
        <f t="array" ref="K3842">IFERROR(DGET('PADD-R'!$B$1:$K5618,'PADD-R'!$K$1,{'PADD-R'!$B$1;E3842}),"NO PARTICIPÓ")</f>
        <v>PADD 2023 Y 2024</v>
      </c>
      <c r="L3842" s="14" t="s">
        <v>160</v>
      </c>
      <c r="M3842" s="16" t="str">
        <f t="shared" si="1"/>
        <v>640281 Primaria</v>
      </c>
      <c r="N3842" s="23"/>
      <c r="O3842" s="17"/>
      <c r="P3842" s="17"/>
      <c r="Q3842" s="17"/>
      <c r="R3842" s="17"/>
      <c r="S3842" s="17"/>
      <c r="T3842" s="17"/>
    </row>
    <row r="3843">
      <c r="A3843" s="18">
        <v>4342.0</v>
      </c>
      <c r="B3843" s="12" t="s">
        <v>70</v>
      </c>
      <c r="C3843" s="12" t="s">
        <v>14</v>
      </c>
      <c r="D3843" s="20" t="s">
        <v>175</v>
      </c>
      <c r="E3843" s="12" t="str">
        <f>IFERROR(__xludf.DUMMYFUNCTION("FILTER(colegios!$B$2:$B5618,colegios!$A$2:$A5618=L3843)"),"64028")</f>
        <v>64028</v>
      </c>
      <c r="F3843" s="14" t="s">
        <v>16</v>
      </c>
      <c r="G3843" s="20" t="s">
        <v>17</v>
      </c>
      <c r="H3843" s="14" t="s">
        <v>18</v>
      </c>
      <c r="I3843" s="15">
        <v>2022.0</v>
      </c>
      <c r="J3843" s="16" t="str">
        <f>IFERROR(__xludf.DUMMYFUNCTION("FILTER('CLASFICACIÓN'!$F$3:$F5618,'CLASFICACIÓN'!$G$3:$G5618=M3843)"),"SOLO LINEA BASE")</f>
        <v>SOLO LINEA BASE</v>
      </c>
      <c r="K3843" s="16" t="str">
        <f t="array" ref="K3843">IFERROR(DGET('PADD-R'!$B$1:$K5618,'PADD-R'!$K$1,{'PADD-R'!$B$1;E3843}),"NO PARTICIPÓ")</f>
        <v>PADD 2023 Y 2024</v>
      </c>
      <c r="L3843" s="14" t="s">
        <v>160</v>
      </c>
      <c r="M3843" s="16" t="str">
        <f t="shared" si="1"/>
        <v>640281 Primaria</v>
      </c>
      <c r="N3843" s="23"/>
      <c r="O3843" s="17"/>
      <c r="P3843" s="17"/>
      <c r="Q3843" s="17"/>
      <c r="R3843" s="17"/>
      <c r="S3843" s="17"/>
      <c r="T3843" s="17"/>
    </row>
    <row r="3844">
      <c r="A3844" s="18">
        <v>4343.0</v>
      </c>
      <c r="B3844" s="12" t="s">
        <v>70</v>
      </c>
      <c r="C3844" s="12" t="s">
        <v>14</v>
      </c>
      <c r="D3844" s="20" t="s">
        <v>175</v>
      </c>
      <c r="E3844" s="12" t="str">
        <f>IFERROR(__xludf.DUMMYFUNCTION("FILTER(colegios!$B$2:$B5618,colegios!$A$2:$A5618=L3844)"),"64028")</f>
        <v>64028</v>
      </c>
      <c r="F3844" s="14" t="s">
        <v>16</v>
      </c>
      <c r="G3844" s="20" t="s">
        <v>17</v>
      </c>
      <c r="H3844" s="14" t="s">
        <v>18</v>
      </c>
      <c r="I3844" s="15">
        <v>2022.0</v>
      </c>
      <c r="J3844" s="16" t="str">
        <f>IFERROR(__xludf.DUMMYFUNCTION("FILTER('CLASFICACIÓN'!$F$3:$F5618,'CLASFICACIÓN'!$G$3:$G5618=M3844)"),"SOLO LINEA BASE")</f>
        <v>SOLO LINEA BASE</v>
      </c>
      <c r="K3844" s="16" t="str">
        <f t="array" ref="K3844">IFERROR(DGET('PADD-R'!$B$1:$K5618,'PADD-R'!$K$1,{'PADD-R'!$B$1;E3844}),"NO PARTICIPÓ")</f>
        <v>PADD 2023 Y 2024</v>
      </c>
      <c r="L3844" s="14" t="s">
        <v>160</v>
      </c>
      <c r="M3844" s="16" t="str">
        <f t="shared" si="1"/>
        <v>640281 Primaria</v>
      </c>
      <c r="N3844" s="23"/>
      <c r="O3844" s="17"/>
      <c r="P3844" s="17"/>
      <c r="Q3844" s="17"/>
      <c r="R3844" s="17"/>
      <c r="S3844" s="17"/>
      <c r="T3844" s="17"/>
    </row>
    <row r="3845">
      <c r="A3845" s="18">
        <v>4344.0</v>
      </c>
      <c r="B3845" s="12" t="s">
        <v>70</v>
      </c>
      <c r="C3845" s="12" t="s">
        <v>14</v>
      </c>
      <c r="D3845" s="20" t="s">
        <v>175</v>
      </c>
      <c r="E3845" s="12" t="str">
        <f>IFERROR(__xludf.DUMMYFUNCTION("FILTER(colegios!$B$2:$B5618,colegios!$A$2:$A5618=L3845)"),"64028")</f>
        <v>64028</v>
      </c>
      <c r="F3845" s="14" t="s">
        <v>16</v>
      </c>
      <c r="G3845" s="20" t="s">
        <v>17</v>
      </c>
      <c r="H3845" s="14" t="s">
        <v>18</v>
      </c>
      <c r="I3845" s="15">
        <v>2022.0</v>
      </c>
      <c r="J3845" s="16" t="str">
        <f>IFERROR(__xludf.DUMMYFUNCTION("FILTER('CLASFICACIÓN'!$F$3:$F5618,'CLASFICACIÓN'!$G$3:$G5618=M3845)"),"SOLO LINEA BASE")</f>
        <v>SOLO LINEA BASE</v>
      </c>
      <c r="K3845" s="16" t="str">
        <f t="array" ref="K3845">IFERROR(DGET('PADD-R'!$B$1:$K5618,'PADD-R'!$K$1,{'PADD-R'!$B$1;E3845}),"NO PARTICIPÓ")</f>
        <v>PADD 2023 Y 2024</v>
      </c>
      <c r="L3845" s="14" t="s">
        <v>160</v>
      </c>
      <c r="M3845" s="16" t="str">
        <f t="shared" si="1"/>
        <v>640281 Primaria</v>
      </c>
      <c r="N3845" s="23"/>
      <c r="O3845" s="17"/>
      <c r="P3845" s="17"/>
      <c r="Q3845" s="17"/>
      <c r="R3845" s="17"/>
      <c r="S3845" s="17"/>
      <c r="T3845" s="17"/>
    </row>
    <row r="3846">
      <c r="A3846" s="18">
        <v>4345.0</v>
      </c>
      <c r="B3846" s="12" t="s">
        <v>70</v>
      </c>
      <c r="C3846" s="12" t="s">
        <v>14</v>
      </c>
      <c r="D3846" s="20" t="s">
        <v>175</v>
      </c>
      <c r="E3846" s="12" t="str">
        <f>IFERROR(__xludf.DUMMYFUNCTION("FILTER(colegios!$B$2:$B5618,colegios!$A$2:$A5618=L3846)"),"64028")</f>
        <v>64028</v>
      </c>
      <c r="F3846" s="14" t="s">
        <v>16</v>
      </c>
      <c r="G3846" s="20" t="s">
        <v>17</v>
      </c>
      <c r="H3846" s="14" t="s">
        <v>18</v>
      </c>
      <c r="I3846" s="15">
        <v>2022.0</v>
      </c>
      <c r="J3846" s="16" t="str">
        <f>IFERROR(__xludf.DUMMYFUNCTION("FILTER('CLASFICACIÓN'!$F$3:$F5618,'CLASFICACIÓN'!$G$3:$G5618=M3846)"),"SOLO LINEA BASE")</f>
        <v>SOLO LINEA BASE</v>
      </c>
      <c r="K3846" s="16" t="str">
        <f t="array" ref="K3846">IFERROR(DGET('PADD-R'!$B$1:$K5618,'PADD-R'!$K$1,{'PADD-R'!$B$1;E3846}),"NO PARTICIPÓ")</f>
        <v>PADD 2023 Y 2024</v>
      </c>
      <c r="L3846" s="14" t="s">
        <v>160</v>
      </c>
      <c r="M3846" s="16" t="str">
        <f t="shared" si="1"/>
        <v>640281 Primaria</v>
      </c>
      <c r="N3846" s="23"/>
      <c r="O3846" s="17"/>
      <c r="P3846" s="17"/>
      <c r="Q3846" s="17"/>
      <c r="R3846" s="17"/>
      <c r="S3846" s="17"/>
      <c r="T3846" s="17"/>
    </row>
    <row r="3847">
      <c r="A3847" s="18">
        <v>4346.0</v>
      </c>
      <c r="B3847" s="12" t="s">
        <v>70</v>
      </c>
      <c r="C3847" s="12" t="s">
        <v>14</v>
      </c>
      <c r="D3847" s="20" t="s">
        <v>175</v>
      </c>
      <c r="E3847" s="12" t="str">
        <f>IFERROR(__xludf.DUMMYFUNCTION("FILTER(colegios!$B$2:$B5618,colegios!$A$2:$A5618=L3847)"),"64028")</f>
        <v>64028</v>
      </c>
      <c r="F3847" s="14" t="s">
        <v>16</v>
      </c>
      <c r="G3847" s="20" t="s">
        <v>17</v>
      </c>
      <c r="H3847" s="14" t="s">
        <v>18</v>
      </c>
      <c r="I3847" s="15">
        <v>2022.0</v>
      </c>
      <c r="J3847" s="16" t="str">
        <f>IFERROR(__xludf.DUMMYFUNCTION("FILTER('CLASFICACIÓN'!$F$3:$F5618,'CLASFICACIÓN'!$G$3:$G5618=M3847)"),"SOLO LINEA BASE")</f>
        <v>SOLO LINEA BASE</v>
      </c>
      <c r="K3847" s="16" t="str">
        <f t="array" ref="K3847">IFERROR(DGET('PADD-R'!$B$1:$K5618,'PADD-R'!$K$1,{'PADD-R'!$B$1;E3847}),"NO PARTICIPÓ")</f>
        <v>PADD 2023 Y 2024</v>
      </c>
      <c r="L3847" s="14" t="s">
        <v>160</v>
      </c>
      <c r="M3847" s="16" t="str">
        <f t="shared" si="1"/>
        <v>640281 Primaria</v>
      </c>
      <c r="N3847" s="23"/>
      <c r="O3847" s="17"/>
      <c r="P3847" s="17"/>
      <c r="Q3847" s="17"/>
      <c r="R3847" s="17"/>
      <c r="S3847" s="17"/>
      <c r="T3847" s="17"/>
    </row>
    <row r="3848">
      <c r="A3848" s="18">
        <v>4347.0</v>
      </c>
      <c r="B3848" s="12" t="s">
        <v>70</v>
      </c>
      <c r="C3848" s="12" t="s">
        <v>14</v>
      </c>
      <c r="D3848" s="20" t="s">
        <v>175</v>
      </c>
      <c r="E3848" s="12" t="str">
        <f>IFERROR(__xludf.DUMMYFUNCTION("FILTER(colegios!$B$2:$B5618,colegios!$A$2:$A5618=L3848)"),"64028")</f>
        <v>64028</v>
      </c>
      <c r="F3848" s="14" t="s">
        <v>16</v>
      </c>
      <c r="G3848" s="20" t="s">
        <v>21</v>
      </c>
      <c r="H3848" s="14" t="s">
        <v>18</v>
      </c>
      <c r="I3848" s="15">
        <v>2022.0</v>
      </c>
      <c r="J3848" s="16" t="str">
        <f>IFERROR(__xludf.DUMMYFUNCTION("FILTER('CLASFICACIÓN'!$F$3:$F5618,'CLASFICACIÓN'!$G$3:$G5618=M3848)"),"SOLO LINEA BASE")</f>
        <v>SOLO LINEA BASE</v>
      </c>
      <c r="K3848" s="16" t="str">
        <f t="array" ref="K3848">IFERROR(DGET('PADD-R'!$B$1:$K5618,'PADD-R'!$K$1,{'PADD-R'!$B$1;E3848}),"NO PARTICIPÓ")</f>
        <v>PADD 2023 Y 2024</v>
      </c>
      <c r="L3848" s="14" t="s">
        <v>160</v>
      </c>
      <c r="M3848" s="16" t="str">
        <f t="shared" si="1"/>
        <v>640281 Primaria</v>
      </c>
      <c r="N3848" s="23"/>
      <c r="O3848" s="17"/>
      <c r="P3848" s="17"/>
      <c r="Q3848" s="17"/>
      <c r="R3848" s="17"/>
      <c r="S3848" s="17"/>
      <c r="T3848" s="17"/>
    </row>
    <row r="3849">
      <c r="A3849" s="18">
        <v>4348.0</v>
      </c>
      <c r="B3849" s="12" t="s">
        <v>70</v>
      </c>
      <c r="C3849" s="12" t="s">
        <v>14</v>
      </c>
      <c r="D3849" s="20" t="s">
        <v>175</v>
      </c>
      <c r="E3849" s="12" t="str">
        <f>IFERROR(__xludf.DUMMYFUNCTION("FILTER(colegios!$B$2:$B5618,colegios!$A$2:$A5618=L3849)"),"64028")</f>
        <v>64028</v>
      </c>
      <c r="F3849" s="14" t="s">
        <v>16</v>
      </c>
      <c r="G3849" s="20" t="s">
        <v>17</v>
      </c>
      <c r="H3849" s="14" t="s">
        <v>18</v>
      </c>
      <c r="I3849" s="15">
        <v>2022.0</v>
      </c>
      <c r="J3849" s="16" t="str">
        <f>IFERROR(__xludf.DUMMYFUNCTION("FILTER('CLASFICACIÓN'!$F$3:$F5618,'CLASFICACIÓN'!$G$3:$G5618=M3849)"),"SOLO LINEA BASE")</f>
        <v>SOLO LINEA BASE</v>
      </c>
      <c r="K3849" s="16" t="str">
        <f t="array" ref="K3849">IFERROR(DGET('PADD-R'!$B$1:$K5618,'PADD-R'!$K$1,{'PADD-R'!$B$1;E3849}),"NO PARTICIPÓ")</f>
        <v>PADD 2023 Y 2024</v>
      </c>
      <c r="L3849" s="14" t="s">
        <v>160</v>
      </c>
      <c r="M3849" s="16" t="str">
        <f t="shared" si="1"/>
        <v>640281 Primaria</v>
      </c>
      <c r="N3849" s="23"/>
      <c r="O3849" s="17"/>
      <c r="P3849" s="17"/>
      <c r="Q3849" s="17"/>
      <c r="R3849" s="17"/>
      <c r="S3849" s="17"/>
      <c r="T3849" s="17"/>
    </row>
    <row r="3850">
      <c r="A3850" s="18">
        <v>4349.0</v>
      </c>
      <c r="B3850" s="12" t="s">
        <v>70</v>
      </c>
      <c r="C3850" s="12" t="s">
        <v>14</v>
      </c>
      <c r="D3850" s="20" t="s">
        <v>175</v>
      </c>
      <c r="E3850" s="12" t="str">
        <f>IFERROR(__xludf.DUMMYFUNCTION("FILTER(colegios!$B$2:$B5618,colegios!$A$2:$A5618=L3850)"),"64028")</f>
        <v>64028</v>
      </c>
      <c r="F3850" s="14" t="s">
        <v>16</v>
      </c>
      <c r="G3850" s="20" t="s">
        <v>21</v>
      </c>
      <c r="H3850" s="14" t="s">
        <v>18</v>
      </c>
      <c r="I3850" s="15">
        <v>2022.0</v>
      </c>
      <c r="J3850" s="16" t="str">
        <f>IFERROR(__xludf.DUMMYFUNCTION("FILTER('CLASFICACIÓN'!$F$3:$F5618,'CLASFICACIÓN'!$G$3:$G5618=M3850)"),"SOLO LINEA BASE")</f>
        <v>SOLO LINEA BASE</v>
      </c>
      <c r="K3850" s="16" t="str">
        <f t="array" ref="K3850">IFERROR(DGET('PADD-R'!$B$1:$K5618,'PADD-R'!$K$1,{'PADD-R'!$B$1;E3850}),"NO PARTICIPÓ")</f>
        <v>PADD 2023 Y 2024</v>
      </c>
      <c r="L3850" s="14" t="s">
        <v>160</v>
      </c>
      <c r="M3850" s="16" t="str">
        <f t="shared" si="1"/>
        <v>640281 Primaria</v>
      </c>
      <c r="N3850" s="23"/>
      <c r="O3850" s="17"/>
      <c r="P3850" s="17"/>
      <c r="Q3850" s="17"/>
      <c r="R3850" s="17"/>
      <c r="S3850" s="17"/>
      <c r="T3850" s="17"/>
    </row>
    <row r="3851">
      <c r="A3851" s="18">
        <v>4388.0</v>
      </c>
      <c r="B3851" s="12" t="s">
        <v>70</v>
      </c>
      <c r="C3851" s="12" t="s">
        <v>14</v>
      </c>
      <c r="D3851" s="20" t="s">
        <v>175</v>
      </c>
      <c r="E3851" s="12" t="str">
        <f>IFERROR(__xludf.DUMMYFUNCTION("FILTER(colegios!$B$2:$B5618,colegios!$A$2:$A5618=L3851)"),"64829")</f>
        <v>64829</v>
      </c>
      <c r="F3851" s="14" t="s">
        <v>16</v>
      </c>
      <c r="G3851" s="20" t="s">
        <v>21</v>
      </c>
      <c r="H3851" s="14" t="s">
        <v>18</v>
      </c>
      <c r="I3851" s="15">
        <v>2022.0</v>
      </c>
      <c r="J3851" s="16" t="str">
        <f>IFERROR(__xludf.DUMMYFUNCTION("FILTER('CLASFICACIÓN'!$F$3:$F5618,'CLASFICACIÓN'!$G$3:$G5618=M3851)"),"SOLO LINEA BASE")</f>
        <v>SOLO LINEA BASE</v>
      </c>
      <c r="K3851" s="16" t="str">
        <f t="array" ref="K3851">IFERROR(DGET('PADD-R'!$B$1:$K5618,'PADD-R'!$K$1,{'PADD-R'!$B$1;E3851}),"NO PARTICIPÓ")</f>
        <v>PADD 2023 Y 2024</v>
      </c>
      <c r="L3851" s="14" t="s">
        <v>176</v>
      </c>
      <c r="M3851" s="16" t="str">
        <f t="shared" si="1"/>
        <v>648291 Primaria</v>
      </c>
      <c r="N3851" s="23"/>
      <c r="O3851" s="17"/>
      <c r="P3851" s="17"/>
      <c r="Q3851" s="17"/>
      <c r="R3851" s="17"/>
      <c r="S3851" s="17"/>
      <c r="T3851" s="17"/>
    </row>
    <row r="3852">
      <c r="A3852" s="18">
        <v>4393.0</v>
      </c>
      <c r="B3852" s="12" t="s">
        <v>84</v>
      </c>
      <c r="C3852" s="12" t="s">
        <v>14</v>
      </c>
      <c r="D3852" s="20" t="s">
        <v>175</v>
      </c>
      <c r="E3852" s="12" t="str">
        <f>IFERROR(__xludf.DUMMYFUNCTION("FILTER(colegios!$B$2:$B5618,colegios!$A$2:$A5618=L3852)"),"36161 SAN VICENTE DE PAUL")</f>
        <v>36161 SAN VICENTE DE PAUL</v>
      </c>
      <c r="F3852" s="14" t="s">
        <v>16</v>
      </c>
      <c r="G3852" s="20" t="s">
        <v>17</v>
      </c>
      <c r="H3852" s="14" t="s">
        <v>18</v>
      </c>
      <c r="I3852" s="15">
        <v>2022.0</v>
      </c>
      <c r="J3852" s="16" t="str">
        <f>IFERROR(__xludf.DUMMYFUNCTION("FILTER('CLASFICACIÓN'!$F$3:$F5618,'CLASFICACIÓN'!$G$3:$G5618=M3852)"),"SOLO LINEA BASE")</f>
        <v>SOLO LINEA BASE</v>
      </c>
      <c r="K3852" s="16" t="str">
        <f t="array" ref="K3852">IFERROR(DGET('PADD-R'!$B$1:$K5618,'PADD-R'!$K$1,{'PADD-R'!$B$1;E3852}),"NO PARTICIPÓ")</f>
        <v>NO PARTICIPÓ</v>
      </c>
      <c r="L3852" s="14" t="s">
        <v>166</v>
      </c>
      <c r="M3852" s="16" t="str">
        <f t="shared" si="1"/>
        <v>36161 SAN VICENTE DE PAUL1 Primaria</v>
      </c>
      <c r="N3852" s="23"/>
      <c r="O3852" s="17"/>
      <c r="P3852" s="17"/>
      <c r="Q3852" s="17"/>
      <c r="R3852" s="17"/>
      <c r="S3852" s="17"/>
      <c r="T3852" s="17"/>
    </row>
    <row r="3853">
      <c r="A3853" s="18">
        <v>4394.0</v>
      </c>
      <c r="B3853" s="12" t="s">
        <v>84</v>
      </c>
      <c r="C3853" s="12" t="s">
        <v>14</v>
      </c>
      <c r="D3853" s="20" t="s">
        <v>175</v>
      </c>
      <c r="E3853" s="12" t="str">
        <f>IFERROR(__xludf.DUMMYFUNCTION("FILTER(colegios!$B$2:$B5618,colegios!$A$2:$A5618=L3853)"),"36161 SAN VICENTE DE PAUL")</f>
        <v>36161 SAN VICENTE DE PAUL</v>
      </c>
      <c r="F3853" s="14" t="s">
        <v>16</v>
      </c>
      <c r="G3853" s="20" t="s">
        <v>17</v>
      </c>
      <c r="H3853" s="14" t="s">
        <v>18</v>
      </c>
      <c r="I3853" s="15">
        <v>2022.0</v>
      </c>
      <c r="J3853" s="16" t="str">
        <f>IFERROR(__xludf.DUMMYFUNCTION("FILTER('CLASFICACIÓN'!$F$3:$F5618,'CLASFICACIÓN'!$G$3:$G5618=M3853)"),"SOLO LINEA BASE")</f>
        <v>SOLO LINEA BASE</v>
      </c>
      <c r="K3853" s="16" t="str">
        <f t="array" ref="K3853">IFERROR(DGET('PADD-R'!$B$1:$K5618,'PADD-R'!$K$1,{'PADD-R'!$B$1;E3853}),"NO PARTICIPÓ")</f>
        <v>NO PARTICIPÓ</v>
      </c>
      <c r="L3853" s="14" t="s">
        <v>166</v>
      </c>
      <c r="M3853" s="16" t="str">
        <f t="shared" si="1"/>
        <v>36161 SAN VICENTE DE PAUL1 Primaria</v>
      </c>
      <c r="N3853" s="23"/>
      <c r="O3853" s="17"/>
      <c r="P3853" s="17"/>
      <c r="Q3853" s="17"/>
      <c r="R3853" s="17"/>
      <c r="S3853" s="17"/>
      <c r="T3853" s="17"/>
    </row>
    <row r="3854">
      <c r="A3854" s="18">
        <v>4582.0</v>
      </c>
      <c r="B3854" s="12" t="s">
        <v>84</v>
      </c>
      <c r="C3854" s="12" t="s">
        <v>14</v>
      </c>
      <c r="D3854" s="20" t="s">
        <v>175</v>
      </c>
      <c r="E3854" s="12" t="str">
        <f>IFERROR(__xludf.DUMMYFUNCTION("FILTER(colegios!$B$2:$B5618,colegios!$A$2:$A5618=L3854)"),"36161 SAN VICENTE DE PAUL")</f>
        <v>36161 SAN VICENTE DE PAUL</v>
      </c>
      <c r="F3854" s="14" t="s">
        <v>16</v>
      </c>
      <c r="G3854" s="20" t="s">
        <v>21</v>
      </c>
      <c r="H3854" s="14" t="s">
        <v>18</v>
      </c>
      <c r="I3854" s="15">
        <v>2022.0</v>
      </c>
      <c r="J3854" s="16" t="str">
        <f>IFERROR(__xludf.DUMMYFUNCTION("FILTER('CLASFICACIÓN'!$F$3:$F5618,'CLASFICACIÓN'!$G$3:$G5618=M3854)"),"SOLO LINEA BASE")</f>
        <v>SOLO LINEA BASE</v>
      </c>
      <c r="K3854" s="16" t="str">
        <f t="array" ref="K3854">IFERROR(DGET('PADD-R'!$B$1:$K5618,'PADD-R'!$K$1,{'PADD-R'!$B$1;E3854}),"NO PARTICIPÓ")</f>
        <v>NO PARTICIPÓ</v>
      </c>
      <c r="L3854" s="14" t="s">
        <v>166</v>
      </c>
      <c r="M3854" s="16" t="str">
        <f t="shared" si="1"/>
        <v>36161 SAN VICENTE DE PAUL1 Primaria</v>
      </c>
      <c r="N3854" s="23"/>
      <c r="O3854" s="17"/>
      <c r="P3854" s="17"/>
      <c r="Q3854" s="17"/>
      <c r="R3854" s="17"/>
      <c r="S3854" s="17"/>
      <c r="T3854" s="17"/>
    </row>
    <row r="3855">
      <c r="A3855" s="18">
        <v>4583.0</v>
      </c>
      <c r="B3855" s="12" t="s">
        <v>84</v>
      </c>
      <c r="C3855" s="12" t="s">
        <v>14</v>
      </c>
      <c r="D3855" s="20" t="s">
        <v>175</v>
      </c>
      <c r="E3855" s="12" t="str">
        <f>IFERROR(__xludf.DUMMYFUNCTION("FILTER(colegios!$B$2:$B5618,colegios!$A$2:$A5618=L3855)"),"36161 SAN VICENTE DE PAUL")</f>
        <v>36161 SAN VICENTE DE PAUL</v>
      </c>
      <c r="F3855" s="14" t="s">
        <v>16</v>
      </c>
      <c r="G3855" s="20" t="s">
        <v>21</v>
      </c>
      <c r="H3855" s="14" t="s">
        <v>18</v>
      </c>
      <c r="I3855" s="15">
        <v>2022.0</v>
      </c>
      <c r="J3855" s="16" t="str">
        <f>IFERROR(__xludf.DUMMYFUNCTION("FILTER('CLASFICACIÓN'!$F$3:$F5618,'CLASFICACIÓN'!$G$3:$G5618=M3855)"),"SOLO LINEA BASE")</f>
        <v>SOLO LINEA BASE</v>
      </c>
      <c r="K3855" s="16" t="str">
        <f t="array" ref="K3855">IFERROR(DGET('PADD-R'!$B$1:$K5618,'PADD-R'!$K$1,{'PADD-R'!$B$1;E3855}),"NO PARTICIPÓ")</f>
        <v>NO PARTICIPÓ</v>
      </c>
      <c r="L3855" s="14" t="s">
        <v>166</v>
      </c>
      <c r="M3855" s="16" t="str">
        <f t="shared" si="1"/>
        <v>36161 SAN VICENTE DE PAUL1 Primaria</v>
      </c>
      <c r="N3855" s="23"/>
      <c r="O3855" s="17"/>
      <c r="P3855" s="17"/>
      <c r="Q3855" s="17"/>
      <c r="R3855" s="17"/>
      <c r="S3855" s="17"/>
      <c r="T3855" s="17"/>
    </row>
    <row r="3856">
      <c r="A3856" s="18">
        <v>4597.0</v>
      </c>
      <c r="B3856" s="12" t="s">
        <v>84</v>
      </c>
      <c r="C3856" s="12" t="s">
        <v>14</v>
      </c>
      <c r="D3856" s="20" t="s">
        <v>175</v>
      </c>
      <c r="E3856" s="12" t="str">
        <f>IFERROR(__xludf.DUMMYFUNCTION("FILTER(colegios!$B$2:$B5618,colegios!$A$2:$A5618=L3856)"),"36166 HEROES 29 DE AGOSTO")</f>
        <v>36166 HEROES 29 DE AGOSTO</v>
      </c>
      <c r="F3856" s="14" t="s">
        <v>16</v>
      </c>
      <c r="G3856" s="20" t="s">
        <v>21</v>
      </c>
      <c r="H3856" s="14" t="s">
        <v>18</v>
      </c>
      <c r="I3856" s="15">
        <v>2022.0</v>
      </c>
      <c r="J3856" s="16" t="str">
        <f>IFERROR(__xludf.DUMMYFUNCTION("FILTER('CLASFICACIÓN'!$F$3:$F5618,'CLASFICACIÓN'!$G$3:$G5618=M3856)"),"SOLO LINEA BASE")</f>
        <v>SOLO LINEA BASE</v>
      </c>
      <c r="K3856" s="16" t="str">
        <f t="array" ref="K3856">IFERROR(DGET('PADD-R'!$B$1:$K5618,'PADD-R'!$K$1,{'PADD-R'!$B$1;E3856}),"NO PARTICIPÓ")</f>
        <v>NO PARTICIPÓ</v>
      </c>
      <c r="L3856" s="14" t="s">
        <v>167</v>
      </c>
      <c r="M3856" s="16" t="str">
        <f t="shared" si="1"/>
        <v>36166 HEROES 29 DE AGOSTO1 Primaria</v>
      </c>
      <c r="N3856" s="23"/>
      <c r="O3856" s="17"/>
      <c r="P3856" s="17"/>
      <c r="Q3856" s="17"/>
      <c r="R3856" s="17"/>
      <c r="S3856" s="17"/>
      <c r="T3856" s="17"/>
    </row>
    <row r="3857">
      <c r="A3857" s="18">
        <v>4598.0</v>
      </c>
      <c r="B3857" s="12" t="s">
        <v>84</v>
      </c>
      <c r="C3857" s="12" t="s">
        <v>14</v>
      </c>
      <c r="D3857" s="20" t="s">
        <v>175</v>
      </c>
      <c r="E3857" s="12" t="str">
        <f>IFERROR(__xludf.DUMMYFUNCTION("FILTER(colegios!$B$2:$B5618,colegios!$A$2:$A5618=L3857)"),"36166 HEROES 29 DE AGOSTO")</f>
        <v>36166 HEROES 29 DE AGOSTO</v>
      </c>
      <c r="F3857" s="14" t="s">
        <v>16</v>
      </c>
      <c r="G3857" s="20" t="s">
        <v>21</v>
      </c>
      <c r="H3857" s="14" t="s">
        <v>18</v>
      </c>
      <c r="I3857" s="15">
        <v>2022.0</v>
      </c>
      <c r="J3857" s="16" t="str">
        <f>IFERROR(__xludf.DUMMYFUNCTION("FILTER('CLASFICACIÓN'!$F$3:$F5618,'CLASFICACIÓN'!$G$3:$G5618=M3857)"),"SOLO LINEA BASE")</f>
        <v>SOLO LINEA BASE</v>
      </c>
      <c r="K3857" s="16" t="str">
        <f t="array" ref="K3857">IFERROR(DGET('PADD-R'!$B$1:$K5618,'PADD-R'!$K$1,{'PADD-R'!$B$1;E3857}),"NO PARTICIPÓ")</f>
        <v>NO PARTICIPÓ</v>
      </c>
      <c r="L3857" s="14" t="s">
        <v>167</v>
      </c>
      <c r="M3857" s="16" t="str">
        <f t="shared" si="1"/>
        <v>36166 HEROES 29 DE AGOSTO1 Primaria</v>
      </c>
      <c r="N3857" s="23"/>
      <c r="O3857" s="17"/>
      <c r="P3857" s="17"/>
      <c r="Q3857" s="17"/>
      <c r="R3857" s="17"/>
      <c r="S3857" s="17"/>
      <c r="T3857" s="17"/>
    </row>
    <row r="3858">
      <c r="A3858" s="18">
        <v>4599.0</v>
      </c>
      <c r="B3858" s="12" t="s">
        <v>84</v>
      </c>
      <c r="C3858" s="12" t="s">
        <v>14</v>
      </c>
      <c r="D3858" s="20" t="s">
        <v>175</v>
      </c>
      <c r="E3858" s="12" t="str">
        <f>IFERROR(__xludf.DUMMYFUNCTION("FILTER(colegios!$B$2:$B5618,colegios!$A$2:$A5618=L3858)"),"36166 HEROES 29 DE AGOSTO")</f>
        <v>36166 HEROES 29 DE AGOSTO</v>
      </c>
      <c r="F3858" s="14" t="s">
        <v>16</v>
      </c>
      <c r="G3858" s="20" t="s">
        <v>17</v>
      </c>
      <c r="H3858" s="14" t="s">
        <v>18</v>
      </c>
      <c r="I3858" s="15">
        <v>2022.0</v>
      </c>
      <c r="J3858" s="16" t="str">
        <f>IFERROR(__xludf.DUMMYFUNCTION("FILTER('CLASFICACIÓN'!$F$3:$F5618,'CLASFICACIÓN'!$G$3:$G5618=M3858)"),"SOLO LINEA BASE")</f>
        <v>SOLO LINEA BASE</v>
      </c>
      <c r="K3858" s="16" t="str">
        <f t="array" ref="K3858">IFERROR(DGET('PADD-R'!$B$1:$K5618,'PADD-R'!$K$1,{'PADD-R'!$B$1;E3858}),"NO PARTICIPÓ")</f>
        <v>NO PARTICIPÓ</v>
      </c>
      <c r="L3858" s="14" t="s">
        <v>167</v>
      </c>
      <c r="M3858" s="16" t="str">
        <f t="shared" si="1"/>
        <v>36166 HEROES 29 DE AGOSTO1 Primaria</v>
      </c>
      <c r="N3858" s="23"/>
      <c r="O3858" s="17"/>
      <c r="P3858" s="17"/>
      <c r="Q3858" s="17"/>
      <c r="R3858" s="17"/>
      <c r="S3858" s="17"/>
      <c r="T3858" s="17"/>
    </row>
    <row r="3859">
      <c r="A3859" s="18">
        <v>4600.0</v>
      </c>
      <c r="B3859" s="12" t="s">
        <v>84</v>
      </c>
      <c r="C3859" s="12" t="s">
        <v>14</v>
      </c>
      <c r="D3859" s="20" t="s">
        <v>175</v>
      </c>
      <c r="E3859" s="12" t="str">
        <f>IFERROR(__xludf.DUMMYFUNCTION("FILTER(colegios!$B$2:$B5618,colegios!$A$2:$A5618=L3859)"),"36166 HEROES 29 DE AGOSTO")</f>
        <v>36166 HEROES 29 DE AGOSTO</v>
      </c>
      <c r="F3859" s="14" t="s">
        <v>16</v>
      </c>
      <c r="G3859" s="20" t="s">
        <v>21</v>
      </c>
      <c r="H3859" s="14" t="s">
        <v>18</v>
      </c>
      <c r="I3859" s="15">
        <v>2022.0</v>
      </c>
      <c r="J3859" s="16" t="str">
        <f>IFERROR(__xludf.DUMMYFUNCTION("FILTER('CLASFICACIÓN'!$F$3:$F5618,'CLASFICACIÓN'!$G$3:$G5618=M3859)"),"SOLO LINEA BASE")</f>
        <v>SOLO LINEA BASE</v>
      </c>
      <c r="K3859" s="16" t="str">
        <f t="array" ref="K3859">IFERROR(DGET('PADD-R'!$B$1:$K5618,'PADD-R'!$K$1,{'PADD-R'!$B$1;E3859}),"NO PARTICIPÓ")</f>
        <v>NO PARTICIPÓ</v>
      </c>
      <c r="L3859" s="14" t="s">
        <v>167</v>
      </c>
      <c r="M3859" s="16" t="str">
        <f t="shared" si="1"/>
        <v>36166 HEROES 29 DE AGOSTO1 Primaria</v>
      </c>
      <c r="N3859" s="23"/>
      <c r="O3859" s="17"/>
      <c r="P3859" s="17"/>
      <c r="Q3859" s="17"/>
      <c r="R3859" s="17"/>
      <c r="S3859" s="17"/>
      <c r="T3859" s="17"/>
    </row>
    <row r="3860">
      <c r="A3860" s="18">
        <v>4601.0</v>
      </c>
      <c r="B3860" s="12" t="s">
        <v>84</v>
      </c>
      <c r="C3860" s="12" t="s">
        <v>14</v>
      </c>
      <c r="D3860" s="20" t="s">
        <v>175</v>
      </c>
      <c r="E3860" s="12" t="str">
        <f>IFERROR(__xludf.DUMMYFUNCTION("FILTER(colegios!$B$2:$B5618,colegios!$A$2:$A5618=L3860)"),"36166 HEROES 29 DE AGOSTO")</f>
        <v>36166 HEROES 29 DE AGOSTO</v>
      </c>
      <c r="F3860" s="14" t="s">
        <v>16</v>
      </c>
      <c r="G3860" s="20" t="s">
        <v>21</v>
      </c>
      <c r="H3860" s="14" t="s">
        <v>18</v>
      </c>
      <c r="I3860" s="15">
        <v>2022.0</v>
      </c>
      <c r="J3860" s="16" t="str">
        <f>IFERROR(__xludf.DUMMYFUNCTION("FILTER('CLASFICACIÓN'!$F$3:$F5618,'CLASFICACIÓN'!$G$3:$G5618=M3860)"),"SOLO LINEA BASE")</f>
        <v>SOLO LINEA BASE</v>
      </c>
      <c r="K3860" s="16" t="str">
        <f t="array" ref="K3860">IFERROR(DGET('PADD-R'!$B$1:$K5618,'PADD-R'!$K$1,{'PADD-R'!$B$1;E3860}),"NO PARTICIPÓ")</f>
        <v>NO PARTICIPÓ</v>
      </c>
      <c r="L3860" s="14" t="s">
        <v>167</v>
      </c>
      <c r="M3860" s="16" t="str">
        <f t="shared" si="1"/>
        <v>36166 HEROES 29 DE AGOSTO1 Primaria</v>
      </c>
      <c r="N3860" s="23"/>
      <c r="O3860" s="17"/>
      <c r="P3860" s="17"/>
      <c r="Q3860" s="17"/>
      <c r="R3860" s="17"/>
      <c r="S3860" s="17"/>
      <c r="T3860" s="17"/>
    </row>
    <row r="3861">
      <c r="A3861" s="18">
        <v>4602.0</v>
      </c>
      <c r="B3861" s="12" t="s">
        <v>84</v>
      </c>
      <c r="C3861" s="12" t="s">
        <v>14</v>
      </c>
      <c r="D3861" s="20" t="s">
        <v>175</v>
      </c>
      <c r="E3861" s="12" t="str">
        <f>IFERROR(__xludf.DUMMYFUNCTION("FILTER(colegios!$B$2:$B5618,colegios!$A$2:$A5618=L3861)"),"36166 HEROES 29 DE AGOSTO")</f>
        <v>36166 HEROES 29 DE AGOSTO</v>
      </c>
      <c r="F3861" s="14" t="s">
        <v>16</v>
      </c>
      <c r="G3861" s="20" t="s">
        <v>17</v>
      </c>
      <c r="H3861" s="14" t="s">
        <v>18</v>
      </c>
      <c r="I3861" s="15">
        <v>2022.0</v>
      </c>
      <c r="J3861" s="16" t="str">
        <f>IFERROR(__xludf.DUMMYFUNCTION("FILTER('CLASFICACIÓN'!$F$3:$F5618,'CLASFICACIÓN'!$G$3:$G5618=M3861)"),"SOLO LINEA BASE")</f>
        <v>SOLO LINEA BASE</v>
      </c>
      <c r="K3861" s="16" t="str">
        <f t="array" ref="K3861">IFERROR(DGET('PADD-R'!$B$1:$K5618,'PADD-R'!$K$1,{'PADD-R'!$B$1;E3861}),"NO PARTICIPÓ")</f>
        <v>NO PARTICIPÓ</v>
      </c>
      <c r="L3861" s="14" t="s">
        <v>167</v>
      </c>
      <c r="M3861" s="16" t="str">
        <f t="shared" si="1"/>
        <v>36166 HEROES 29 DE AGOSTO1 Primaria</v>
      </c>
      <c r="N3861" s="23"/>
      <c r="O3861" s="17"/>
      <c r="P3861" s="17"/>
      <c r="Q3861" s="17"/>
      <c r="R3861" s="17"/>
      <c r="S3861" s="17"/>
      <c r="T3861" s="17"/>
    </row>
    <row r="3862">
      <c r="A3862" s="18">
        <v>4603.0</v>
      </c>
      <c r="B3862" s="12" t="s">
        <v>84</v>
      </c>
      <c r="C3862" s="12" t="s">
        <v>14</v>
      </c>
      <c r="D3862" s="20" t="s">
        <v>175</v>
      </c>
      <c r="E3862" s="12" t="str">
        <f>IFERROR(__xludf.DUMMYFUNCTION("FILTER(colegios!$B$2:$B5618,colegios!$A$2:$A5618=L3862)"),"36166 HEROES 29 DE AGOSTO")</f>
        <v>36166 HEROES 29 DE AGOSTO</v>
      </c>
      <c r="F3862" s="14" t="s">
        <v>16</v>
      </c>
      <c r="G3862" s="20" t="s">
        <v>21</v>
      </c>
      <c r="H3862" s="14" t="s">
        <v>18</v>
      </c>
      <c r="I3862" s="15">
        <v>2022.0</v>
      </c>
      <c r="J3862" s="16" t="str">
        <f>IFERROR(__xludf.DUMMYFUNCTION("FILTER('CLASFICACIÓN'!$F$3:$F5618,'CLASFICACIÓN'!$G$3:$G5618=M3862)"),"SOLO LINEA BASE")</f>
        <v>SOLO LINEA BASE</v>
      </c>
      <c r="K3862" s="16" t="str">
        <f t="array" ref="K3862">IFERROR(DGET('PADD-R'!$B$1:$K5618,'PADD-R'!$K$1,{'PADD-R'!$B$1;E3862}),"NO PARTICIPÓ")</f>
        <v>NO PARTICIPÓ</v>
      </c>
      <c r="L3862" s="14" t="s">
        <v>167</v>
      </c>
      <c r="M3862" s="16" t="str">
        <f t="shared" si="1"/>
        <v>36166 HEROES 29 DE AGOSTO1 Primaria</v>
      </c>
      <c r="N3862" s="23"/>
      <c r="O3862" s="17"/>
      <c r="P3862" s="17"/>
      <c r="Q3862" s="17"/>
      <c r="R3862" s="17"/>
      <c r="S3862" s="17"/>
      <c r="T3862" s="17"/>
    </row>
    <row r="3863">
      <c r="A3863" s="18">
        <v>4604.0</v>
      </c>
      <c r="B3863" s="12" t="s">
        <v>84</v>
      </c>
      <c r="C3863" s="12" t="s">
        <v>14</v>
      </c>
      <c r="D3863" s="20" t="s">
        <v>175</v>
      </c>
      <c r="E3863" s="12" t="str">
        <f>IFERROR(__xludf.DUMMYFUNCTION("FILTER(colegios!$B$2:$B5618,colegios!$A$2:$A5618=L3863)"),"36166 HEROES 29 DE AGOSTO")</f>
        <v>36166 HEROES 29 DE AGOSTO</v>
      </c>
      <c r="F3863" s="14" t="s">
        <v>16</v>
      </c>
      <c r="G3863" s="20" t="s">
        <v>21</v>
      </c>
      <c r="H3863" s="14" t="s">
        <v>18</v>
      </c>
      <c r="I3863" s="15">
        <v>2022.0</v>
      </c>
      <c r="J3863" s="16" t="str">
        <f>IFERROR(__xludf.DUMMYFUNCTION("FILTER('CLASFICACIÓN'!$F$3:$F5618,'CLASFICACIÓN'!$G$3:$G5618=M3863)"),"SOLO LINEA BASE")</f>
        <v>SOLO LINEA BASE</v>
      </c>
      <c r="K3863" s="16" t="str">
        <f t="array" ref="K3863">IFERROR(DGET('PADD-R'!$B$1:$K5618,'PADD-R'!$K$1,{'PADD-R'!$B$1;E3863}),"NO PARTICIPÓ")</f>
        <v>NO PARTICIPÓ</v>
      </c>
      <c r="L3863" s="14" t="s">
        <v>167</v>
      </c>
      <c r="M3863" s="16" t="str">
        <f t="shared" si="1"/>
        <v>36166 HEROES 29 DE AGOSTO1 Primaria</v>
      </c>
      <c r="N3863" s="23"/>
      <c r="O3863" s="17"/>
      <c r="P3863" s="17"/>
      <c r="Q3863" s="17"/>
      <c r="R3863" s="17"/>
      <c r="S3863" s="17"/>
      <c r="T3863" s="17"/>
    </row>
    <row r="3864">
      <c r="A3864" s="18">
        <v>4605.0</v>
      </c>
      <c r="B3864" s="12" t="s">
        <v>84</v>
      </c>
      <c r="C3864" s="12" t="s">
        <v>14</v>
      </c>
      <c r="D3864" s="20" t="s">
        <v>175</v>
      </c>
      <c r="E3864" s="12" t="str">
        <f>IFERROR(__xludf.DUMMYFUNCTION("FILTER(colegios!$B$2:$B5618,colegios!$A$2:$A5618=L3864)"),"36166 HEROES 29 DE AGOSTO")</f>
        <v>36166 HEROES 29 DE AGOSTO</v>
      </c>
      <c r="F3864" s="14" t="s">
        <v>16</v>
      </c>
      <c r="G3864" s="20" t="s">
        <v>17</v>
      </c>
      <c r="H3864" s="14" t="s">
        <v>18</v>
      </c>
      <c r="I3864" s="15">
        <v>2022.0</v>
      </c>
      <c r="J3864" s="16" t="str">
        <f>IFERROR(__xludf.DUMMYFUNCTION("FILTER('CLASFICACIÓN'!$F$3:$F5618,'CLASFICACIÓN'!$G$3:$G5618=M3864)"),"SOLO LINEA BASE")</f>
        <v>SOLO LINEA BASE</v>
      </c>
      <c r="K3864" s="16" t="str">
        <f t="array" ref="K3864">IFERROR(DGET('PADD-R'!$B$1:$K5618,'PADD-R'!$K$1,{'PADD-R'!$B$1;E3864}),"NO PARTICIPÓ")</f>
        <v>NO PARTICIPÓ</v>
      </c>
      <c r="L3864" s="14" t="s">
        <v>167</v>
      </c>
      <c r="M3864" s="16" t="str">
        <f t="shared" si="1"/>
        <v>36166 HEROES 29 DE AGOSTO1 Primaria</v>
      </c>
      <c r="N3864" s="23"/>
      <c r="O3864" s="17"/>
      <c r="P3864" s="17"/>
      <c r="Q3864" s="17"/>
      <c r="R3864" s="17"/>
      <c r="S3864" s="17"/>
      <c r="T3864" s="17"/>
    </row>
    <row r="3865">
      <c r="A3865" s="18">
        <v>4606.0</v>
      </c>
      <c r="B3865" s="12" t="s">
        <v>84</v>
      </c>
      <c r="C3865" s="12" t="s">
        <v>14</v>
      </c>
      <c r="D3865" s="20" t="s">
        <v>175</v>
      </c>
      <c r="E3865" s="12" t="str">
        <f>IFERROR(__xludf.DUMMYFUNCTION("FILTER(colegios!$B$2:$B5618,colegios!$A$2:$A5618=L3865)"),"36166 HEROES 29 DE AGOSTO")</f>
        <v>36166 HEROES 29 DE AGOSTO</v>
      </c>
      <c r="F3865" s="14" t="s">
        <v>16</v>
      </c>
      <c r="G3865" s="20" t="s">
        <v>17</v>
      </c>
      <c r="H3865" s="14" t="s">
        <v>18</v>
      </c>
      <c r="I3865" s="15">
        <v>2022.0</v>
      </c>
      <c r="J3865" s="16" t="str">
        <f>IFERROR(__xludf.DUMMYFUNCTION("FILTER('CLASFICACIÓN'!$F$3:$F5618,'CLASFICACIÓN'!$G$3:$G5618=M3865)"),"SOLO LINEA BASE")</f>
        <v>SOLO LINEA BASE</v>
      </c>
      <c r="K3865" s="16" t="str">
        <f t="array" ref="K3865">IFERROR(DGET('PADD-R'!$B$1:$K5618,'PADD-R'!$K$1,{'PADD-R'!$B$1;E3865}),"NO PARTICIPÓ")</f>
        <v>NO PARTICIPÓ</v>
      </c>
      <c r="L3865" s="14" t="s">
        <v>167</v>
      </c>
      <c r="M3865" s="16" t="str">
        <f t="shared" si="1"/>
        <v>36166 HEROES 29 DE AGOSTO1 Primaria</v>
      </c>
      <c r="N3865" s="23"/>
      <c r="O3865" s="17"/>
      <c r="P3865" s="17"/>
      <c r="Q3865" s="17"/>
      <c r="R3865" s="17"/>
      <c r="S3865" s="17"/>
      <c r="T3865" s="17"/>
    </row>
    <row r="3866">
      <c r="A3866" s="18">
        <v>4607.0</v>
      </c>
      <c r="B3866" s="12" t="s">
        <v>84</v>
      </c>
      <c r="C3866" s="12" t="s">
        <v>14</v>
      </c>
      <c r="D3866" s="20" t="s">
        <v>175</v>
      </c>
      <c r="E3866" s="12" t="str">
        <f>IFERROR(__xludf.DUMMYFUNCTION("FILTER(colegios!$B$2:$B5618,colegios!$A$2:$A5618=L3866)"),"36166 HEROES 29 DE AGOSTO")</f>
        <v>36166 HEROES 29 DE AGOSTO</v>
      </c>
      <c r="F3866" s="14" t="s">
        <v>16</v>
      </c>
      <c r="G3866" s="20" t="s">
        <v>17</v>
      </c>
      <c r="H3866" s="14" t="s">
        <v>18</v>
      </c>
      <c r="I3866" s="15">
        <v>2022.0</v>
      </c>
      <c r="J3866" s="16" t="str">
        <f>IFERROR(__xludf.DUMMYFUNCTION("FILTER('CLASFICACIÓN'!$F$3:$F5618,'CLASFICACIÓN'!$G$3:$G5618=M3866)"),"SOLO LINEA BASE")</f>
        <v>SOLO LINEA BASE</v>
      </c>
      <c r="K3866" s="16" t="str">
        <f t="array" ref="K3866">IFERROR(DGET('PADD-R'!$B$1:$K5618,'PADD-R'!$K$1,{'PADD-R'!$B$1;E3866}),"NO PARTICIPÓ")</f>
        <v>NO PARTICIPÓ</v>
      </c>
      <c r="L3866" s="14" t="s">
        <v>167</v>
      </c>
      <c r="M3866" s="16" t="str">
        <f t="shared" si="1"/>
        <v>36166 HEROES 29 DE AGOSTO1 Primaria</v>
      </c>
      <c r="N3866" s="23"/>
      <c r="O3866" s="17"/>
      <c r="P3866" s="17"/>
      <c r="Q3866" s="17"/>
      <c r="R3866" s="17"/>
      <c r="S3866" s="17"/>
      <c r="T3866" s="17"/>
    </row>
    <row r="3867">
      <c r="A3867" s="18">
        <v>4639.0</v>
      </c>
      <c r="B3867" s="12" t="s">
        <v>84</v>
      </c>
      <c r="C3867" s="12" t="s">
        <v>14</v>
      </c>
      <c r="D3867" s="20" t="s">
        <v>175</v>
      </c>
      <c r="E3867" s="12" t="str">
        <f>IFERROR(__xludf.DUMMYFUNCTION("FILTER(colegios!$B$2:$B5618,colegios!$A$2:$A5618=L3867)"),"36207")</f>
        <v>36207</v>
      </c>
      <c r="F3867" s="14" t="s">
        <v>16</v>
      </c>
      <c r="G3867" s="20" t="s">
        <v>17</v>
      </c>
      <c r="H3867" s="14" t="s">
        <v>18</v>
      </c>
      <c r="I3867" s="15">
        <v>2022.0</v>
      </c>
      <c r="J3867" s="16" t="str">
        <f>IFERROR(__xludf.DUMMYFUNCTION("FILTER('CLASFICACIÓN'!$F$3:$F5618,'CLASFICACIÓN'!$G$3:$G5618=M3867)"),"SOLO 2022 Y 2024")</f>
        <v>SOLO 2022 Y 2024</v>
      </c>
      <c r="K3867" s="16" t="str">
        <f t="array" ref="K3867">IFERROR(DGET('PADD-R'!$B$1:$K5618,'PADD-R'!$K$1,{'PADD-R'!$B$1;E3867}),"NO PARTICIPÓ")</f>
        <v>PADD 2023 Y 2024</v>
      </c>
      <c r="L3867" s="14" t="s">
        <v>88</v>
      </c>
      <c r="M3867" s="16" t="str">
        <f t="shared" si="1"/>
        <v>362071 Primaria</v>
      </c>
      <c r="N3867" s="23"/>
      <c r="O3867" s="17"/>
      <c r="P3867" s="17"/>
      <c r="Q3867" s="17"/>
      <c r="R3867" s="17"/>
      <c r="S3867" s="17"/>
      <c r="T3867" s="17"/>
    </row>
    <row r="3868">
      <c r="A3868" s="18">
        <v>4640.0</v>
      </c>
      <c r="B3868" s="12" t="s">
        <v>84</v>
      </c>
      <c r="C3868" s="12" t="s">
        <v>14</v>
      </c>
      <c r="D3868" s="20" t="s">
        <v>175</v>
      </c>
      <c r="E3868" s="12" t="str">
        <f>IFERROR(__xludf.DUMMYFUNCTION("FILTER(colegios!$B$2:$B5618,colegios!$A$2:$A5618=L3868)"),"36207")</f>
        <v>36207</v>
      </c>
      <c r="F3868" s="14" t="s">
        <v>16</v>
      </c>
      <c r="G3868" s="20" t="s">
        <v>21</v>
      </c>
      <c r="H3868" s="14" t="s">
        <v>18</v>
      </c>
      <c r="I3868" s="15">
        <v>2022.0</v>
      </c>
      <c r="J3868" s="16" t="str">
        <f>IFERROR(__xludf.DUMMYFUNCTION("FILTER('CLASFICACIÓN'!$F$3:$F5618,'CLASFICACIÓN'!$G$3:$G5618=M3868)"),"SOLO 2022 Y 2024")</f>
        <v>SOLO 2022 Y 2024</v>
      </c>
      <c r="K3868" s="16" t="str">
        <f t="array" ref="K3868">IFERROR(DGET('PADD-R'!$B$1:$K5618,'PADD-R'!$K$1,{'PADD-R'!$B$1;E3868}),"NO PARTICIPÓ")</f>
        <v>PADD 2023 Y 2024</v>
      </c>
      <c r="L3868" s="14" t="s">
        <v>88</v>
      </c>
      <c r="M3868" s="16" t="str">
        <f t="shared" si="1"/>
        <v>362071 Primaria</v>
      </c>
      <c r="N3868" s="23"/>
      <c r="O3868" s="17"/>
      <c r="P3868" s="17"/>
      <c r="Q3868" s="17"/>
      <c r="R3868" s="17"/>
      <c r="S3868" s="17"/>
      <c r="T3868" s="17"/>
    </row>
    <row r="3869">
      <c r="A3869" s="18">
        <v>4641.0</v>
      </c>
      <c r="B3869" s="12" t="s">
        <v>84</v>
      </c>
      <c r="C3869" s="12" t="s">
        <v>14</v>
      </c>
      <c r="D3869" s="20" t="s">
        <v>175</v>
      </c>
      <c r="E3869" s="12" t="str">
        <f>IFERROR(__xludf.DUMMYFUNCTION("FILTER(colegios!$B$2:$B5618,colegios!$A$2:$A5618=L3869)"),"36207")</f>
        <v>36207</v>
      </c>
      <c r="F3869" s="14" t="s">
        <v>16</v>
      </c>
      <c r="G3869" s="20" t="s">
        <v>17</v>
      </c>
      <c r="H3869" s="14" t="s">
        <v>18</v>
      </c>
      <c r="I3869" s="15">
        <v>2022.0</v>
      </c>
      <c r="J3869" s="16" t="str">
        <f>IFERROR(__xludf.DUMMYFUNCTION("FILTER('CLASFICACIÓN'!$F$3:$F5618,'CLASFICACIÓN'!$G$3:$G5618=M3869)"),"SOLO 2022 Y 2024")</f>
        <v>SOLO 2022 Y 2024</v>
      </c>
      <c r="K3869" s="16" t="str">
        <f t="array" ref="K3869">IFERROR(DGET('PADD-R'!$B$1:$K5618,'PADD-R'!$K$1,{'PADD-R'!$B$1;E3869}),"NO PARTICIPÓ")</f>
        <v>PADD 2023 Y 2024</v>
      </c>
      <c r="L3869" s="14" t="s">
        <v>88</v>
      </c>
      <c r="M3869" s="16" t="str">
        <f t="shared" si="1"/>
        <v>362071 Primaria</v>
      </c>
      <c r="N3869" s="23"/>
      <c r="O3869" s="17"/>
      <c r="P3869" s="17"/>
      <c r="Q3869" s="17"/>
      <c r="R3869" s="17"/>
      <c r="S3869" s="17"/>
      <c r="T3869" s="17"/>
    </row>
    <row r="3870">
      <c r="A3870" s="18">
        <v>4642.0</v>
      </c>
      <c r="B3870" s="12" t="s">
        <v>84</v>
      </c>
      <c r="C3870" s="12" t="s">
        <v>14</v>
      </c>
      <c r="D3870" s="20" t="s">
        <v>175</v>
      </c>
      <c r="E3870" s="12" t="str">
        <f>IFERROR(__xludf.DUMMYFUNCTION("FILTER(colegios!$B$2:$B5618,colegios!$A$2:$A5618=L3870)"),"36207")</f>
        <v>36207</v>
      </c>
      <c r="F3870" s="14" t="s">
        <v>16</v>
      </c>
      <c r="G3870" s="20" t="s">
        <v>17</v>
      </c>
      <c r="H3870" s="14" t="s">
        <v>18</v>
      </c>
      <c r="I3870" s="15">
        <v>2022.0</v>
      </c>
      <c r="J3870" s="16" t="str">
        <f>IFERROR(__xludf.DUMMYFUNCTION("FILTER('CLASFICACIÓN'!$F$3:$F5618,'CLASFICACIÓN'!$G$3:$G5618=M3870)"),"SOLO 2022 Y 2024")</f>
        <v>SOLO 2022 Y 2024</v>
      </c>
      <c r="K3870" s="16" t="str">
        <f t="array" ref="K3870">IFERROR(DGET('PADD-R'!$B$1:$K5618,'PADD-R'!$K$1,{'PADD-R'!$B$1;E3870}),"NO PARTICIPÓ")</f>
        <v>PADD 2023 Y 2024</v>
      </c>
      <c r="L3870" s="14" t="s">
        <v>88</v>
      </c>
      <c r="M3870" s="16" t="str">
        <f t="shared" si="1"/>
        <v>362071 Primaria</v>
      </c>
      <c r="N3870" s="23"/>
      <c r="O3870" s="17"/>
      <c r="P3870" s="17"/>
      <c r="Q3870" s="17"/>
      <c r="R3870" s="17"/>
      <c r="S3870" s="17"/>
      <c r="T3870" s="17"/>
    </row>
    <row r="3871">
      <c r="A3871" s="18">
        <v>4643.0</v>
      </c>
      <c r="B3871" s="12" t="s">
        <v>84</v>
      </c>
      <c r="C3871" s="12" t="s">
        <v>14</v>
      </c>
      <c r="D3871" s="20" t="s">
        <v>175</v>
      </c>
      <c r="E3871" s="12" t="str">
        <f>IFERROR(__xludf.DUMMYFUNCTION("FILTER(colegios!$B$2:$B5618,colegios!$A$2:$A5618=L3871)"),"36207")</f>
        <v>36207</v>
      </c>
      <c r="F3871" s="14" t="s">
        <v>16</v>
      </c>
      <c r="G3871" s="20" t="s">
        <v>21</v>
      </c>
      <c r="H3871" s="14" t="s">
        <v>18</v>
      </c>
      <c r="I3871" s="15">
        <v>2022.0</v>
      </c>
      <c r="J3871" s="16" t="str">
        <f>IFERROR(__xludf.DUMMYFUNCTION("FILTER('CLASFICACIÓN'!$F$3:$F5618,'CLASFICACIÓN'!$G$3:$G5618=M3871)"),"SOLO 2022 Y 2024")</f>
        <v>SOLO 2022 Y 2024</v>
      </c>
      <c r="K3871" s="16" t="str">
        <f t="array" ref="K3871">IFERROR(DGET('PADD-R'!$B$1:$K5618,'PADD-R'!$K$1,{'PADD-R'!$B$1;E3871}),"NO PARTICIPÓ")</f>
        <v>PADD 2023 Y 2024</v>
      </c>
      <c r="L3871" s="14" t="s">
        <v>88</v>
      </c>
      <c r="M3871" s="16" t="str">
        <f t="shared" si="1"/>
        <v>362071 Primaria</v>
      </c>
      <c r="N3871" s="23"/>
      <c r="O3871" s="17"/>
      <c r="P3871" s="17"/>
      <c r="Q3871" s="17"/>
      <c r="R3871" s="17"/>
      <c r="S3871" s="17"/>
      <c r="T3871" s="17"/>
    </row>
    <row r="3872">
      <c r="A3872" s="18">
        <v>4644.0</v>
      </c>
      <c r="B3872" s="12" t="s">
        <v>84</v>
      </c>
      <c r="C3872" s="12" t="s">
        <v>14</v>
      </c>
      <c r="D3872" s="20" t="s">
        <v>175</v>
      </c>
      <c r="E3872" s="12" t="str">
        <f>IFERROR(__xludf.DUMMYFUNCTION("FILTER(colegios!$B$2:$B5618,colegios!$A$2:$A5618=L3872)"),"36207")</f>
        <v>36207</v>
      </c>
      <c r="F3872" s="14" t="s">
        <v>16</v>
      </c>
      <c r="G3872" s="20" t="s">
        <v>17</v>
      </c>
      <c r="H3872" s="14" t="s">
        <v>18</v>
      </c>
      <c r="I3872" s="15">
        <v>2022.0</v>
      </c>
      <c r="J3872" s="16" t="str">
        <f>IFERROR(__xludf.DUMMYFUNCTION("FILTER('CLASFICACIÓN'!$F$3:$F5618,'CLASFICACIÓN'!$G$3:$G5618=M3872)"),"SOLO 2022 Y 2024")</f>
        <v>SOLO 2022 Y 2024</v>
      </c>
      <c r="K3872" s="16" t="str">
        <f t="array" ref="K3872">IFERROR(DGET('PADD-R'!$B$1:$K5618,'PADD-R'!$K$1,{'PADD-R'!$B$1;E3872}),"NO PARTICIPÓ")</f>
        <v>PADD 2023 Y 2024</v>
      </c>
      <c r="L3872" s="14" t="s">
        <v>88</v>
      </c>
      <c r="M3872" s="16" t="str">
        <f t="shared" si="1"/>
        <v>362071 Primaria</v>
      </c>
      <c r="N3872" s="23"/>
      <c r="O3872" s="17"/>
      <c r="P3872" s="17"/>
      <c r="Q3872" s="17"/>
      <c r="R3872" s="17"/>
      <c r="S3872" s="17"/>
      <c r="T3872" s="17"/>
    </row>
    <row r="3873">
      <c r="A3873" s="21">
        <v>1.0</v>
      </c>
      <c r="B3873" s="14" t="s">
        <v>90</v>
      </c>
      <c r="C3873" s="14" t="s">
        <v>14</v>
      </c>
      <c r="D3873" s="20" t="s">
        <v>15</v>
      </c>
      <c r="E3873" s="12" t="str">
        <f>IFERROR(__xludf.DUMMYFUNCTION("FILTER(colegios!$B$2:$B5618,colegios!$A$2:$A5618=L3873)"),"50547")</f>
        <v>50547</v>
      </c>
      <c r="F3873" s="14" t="s">
        <v>16</v>
      </c>
      <c r="G3873" s="20" t="s">
        <v>17</v>
      </c>
      <c r="H3873" s="14" t="s">
        <v>18</v>
      </c>
      <c r="I3873" s="22">
        <v>2022.0</v>
      </c>
      <c r="J3873" s="16" t="str">
        <f>IFERROR(__xludf.DUMMYFUNCTION("FILTER('CLASFICACIÓN'!$F$3:$F5618,'CLASFICACIÓN'!$G$3:$G5618=M3873)"),"LOS 3 AÑOS")</f>
        <v>LOS 3 AÑOS</v>
      </c>
      <c r="K3873" s="16"/>
      <c r="L3873" s="14" t="s">
        <v>177</v>
      </c>
      <c r="M3873" s="16" t="str">
        <f t="shared" si="1"/>
        <v>505472 Primaria</v>
      </c>
      <c r="N3873" s="23"/>
      <c r="O3873" s="17"/>
      <c r="P3873" s="17"/>
      <c r="Q3873" s="17"/>
      <c r="R3873" s="17"/>
      <c r="S3873" s="17"/>
      <c r="T3873" s="17"/>
    </row>
    <row r="3874">
      <c r="A3874" s="21">
        <v>2.0</v>
      </c>
      <c r="B3874" s="14" t="s">
        <v>90</v>
      </c>
      <c r="C3874" s="14" t="s">
        <v>14</v>
      </c>
      <c r="D3874" s="20" t="s">
        <v>15</v>
      </c>
      <c r="E3874" s="12" t="str">
        <f>IFERROR(__xludf.DUMMYFUNCTION("FILTER(colegios!$B$2:$B5618,colegios!$A$2:$A5618=L3874)"),"50547")</f>
        <v>50547</v>
      </c>
      <c r="F3874" s="14" t="s">
        <v>16</v>
      </c>
      <c r="G3874" s="20" t="s">
        <v>17</v>
      </c>
      <c r="H3874" s="14" t="s">
        <v>18</v>
      </c>
      <c r="I3874" s="22">
        <v>2022.0</v>
      </c>
      <c r="J3874" s="16" t="str">
        <f>IFERROR(__xludf.DUMMYFUNCTION("FILTER('CLASFICACIÓN'!$F$3:$F5618,'CLASFICACIÓN'!$G$3:$G5618=M3874)"),"LOS 3 AÑOS")</f>
        <v>LOS 3 AÑOS</v>
      </c>
      <c r="K3874" s="16"/>
      <c r="L3874" s="14" t="s">
        <v>177</v>
      </c>
      <c r="M3874" s="16" t="str">
        <f t="shared" si="1"/>
        <v>505472 Primaria</v>
      </c>
      <c r="N3874" s="23"/>
      <c r="O3874" s="17"/>
      <c r="P3874" s="17"/>
      <c r="Q3874" s="17"/>
      <c r="R3874" s="17"/>
      <c r="S3874" s="17"/>
      <c r="T3874" s="17"/>
    </row>
    <row r="3875">
      <c r="A3875" s="21">
        <v>3.0</v>
      </c>
      <c r="B3875" s="14" t="s">
        <v>90</v>
      </c>
      <c r="C3875" s="14" t="s">
        <v>14</v>
      </c>
      <c r="D3875" s="20" t="s">
        <v>15</v>
      </c>
      <c r="E3875" s="12" t="str">
        <f>IFERROR(__xludf.DUMMYFUNCTION("FILTER(colegios!$B$2:$B5618,colegios!$A$2:$A5618=L3875)"),"50547")</f>
        <v>50547</v>
      </c>
      <c r="F3875" s="14" t="s">
        <v>16</v>
      </c>
      <c r="G3875" s="20" t="s">
        <v>21</v>
      </c>
      <c r="H3875" s="14" t="s">
        <v>18</v>
      </c>
      <c r="I3875" s="22">
        <v>2022.0</v>
      </c>
      <c r="J3875" s="16" t="str">
        <f>IFERROR(__xludf.DUMMYFUNCTION("FILTER('CLASFICACIÓN'!$F$3:$F5618,'CLASFICACIÓN'!$G$3:$G5618=M3875)"),"LOS 3 AÑOS")</f>
        <v>LOS 3 AÑOS</v>
      </c>
      <c r="K3875" s="16"/>
      <c r="L3875" s="14" t="s">
        <v>177</v>
      </c>
      <c r="M3875" s="16" t="str">
        <f t="shared" si="1"/>
        <v>505472 Primaria</v>
      </c>
      <c r="N3875" s="23"/>
      <c r="O3875" s="17"/>
      <c r="P3875" s="17"/>
      <c r="Q3875" s="17"/>
      <c r="R3875" s="17"/>
      <c r="S3875" s="17"/>
      <c r="T3875" s="17"/>
    </row>
    <row r="3876">
      <c r="A3876" s="21">
        <v>4.0</v>
      </c>
      <c r="B3876" s="14" t="s">
        <v>90</v>
      </c>
      <c r="C3876" s="14" t="s">
        <v>14</v>
      </c>
      <c r="D3876" s="20" t="s">
        <v>15</v>
      </c>
      <c r="E3876" s="12" t="str">
        <f>IFERROR(__xludf.DUMMYFUNCTION("FILTER(colegios!$B$2:$B5618,colegios!$A$2:$A5618=L3876)"),"50547")</f>
        <v>50547</v>
      </c>
      <c r="F3876" s="14" t="s">
        <v>16</v>
      </c>
      <c r="G3876" s="20" t="s">
        <v>21</v>
      </c>
      <c r="H3876" s="14" t="s">
        <v>18</v>
      </c>
      <c r="I3876" s="22">
        <v>2022.0</v>
      </c>
      <c r="J3876" s="16" t="str">
        <f>IFERROR(__xludf.DUMMYFUNCTION("FILTER('CLASFICACIÓN'!$F$3:$F5618,'CLASFICACIÓN'!$G$3:$G5618=M3876)"),"LOS 3 AÑOS")</f>
        <v>LOS 3 AÑOS</v>
      </c>
      <c r="K3876" s="16"/>
      <c r="L3876" s="14" t="s">
        <v>177</v>
      </c>
      <c r="M3876" s="16" t="str">
        <f t="shared" si="1"/>
        <v>505472 Primaria</v>
      </c>
      <c r="N3876" s="23"/>
      <c r="O3876" s="17"/>
      <c r="P3876" s="17"/>
      <c r="Q3876" s="17"/>
      <c r="R3876" s="17"/>
      <c r="S3876" s="17"/>
      <c r="T3876" s="17"/>
    </row>
    <row r="3877">
      <c r="A3877" s="21">
        <v>5.0</v>
      </c>
      <c r="B3877" s="14" t="s">
        <v>90</v>
      </c>
      <c r="C3877" s="14" t="s">
        <v>14</v>
      </c>
      <c r="D3877" s="20" t="s">
        <v>15</v>
      </c>
      <c r="E3877" s="12" t="str">
        <f>IFERROR(__xludf.DUMMYFUNCTION("FILTER(colegios!$B$2:$B5618,colegios!$A$2:$A5618=L3877)"),"50547")</f>
        <v>50547</v>
      </c>
      <c r="F3877" s="14" t="s">
        <v>16</v>
      </c>
      <c r="G3877" s="20" t="s">
        <v>17</v>
      </c>
      <c r="H3877" s="14" t="s">
        <v>18</v>
      </c>
      <c r="I3877" s="22">
        <v>2022.0</v>
      </c>
      <c r="J3877" s="16" t="str">
        <f>IFERROR(__xludf.DUMMYFUNCTION("FILTER('CLASFICACIÓN'!$F$3:$F5618,'CLASFICACIÓN'!$G$3:$G5618=M3877)"),"LOS 3 AÑOS")</f>
        <v>LOS 3 AÑOS</v>
      </c>
      <c r="K3877" s="16"/>
      <c r="L3877" s="14" t="s">
        <v>177</v>
      </c>
      <c r="M3877" s="16" t="str">
        <f t="shared" si="1"/>
        <v>505472 Primaria</v>
      </c>
      <c r="N3877" s="23"/>
      <c r="O3877" s="17"/>
      <c r="P3877" s="17"/>
      <c r="Q3877" s="17"/>
      <c r="R3877" s="17"/>
      <c r="S3877" s="17"/>
      <c r="T3877" s="17"/>
    </row>
    <row r="3878">
      <c r="A3878" s="21">
        <v>6.0</v>
      </c>
      <c r="B3878" s="14" t="s">
        <v>90</v>
      </c>
      <c r="C3878" s="14" t="s">
        <v>14</v>
      </c>
      <c r="D3878" s="20" t="s">
        <v>15</v>
      </c>
      <c r="E3878" s="12" t="str">
        <f>IFERROR(__xludf.DUMMYFUNCTION("FILTER(colegios!$B$2:$B5618,colegios!$A$2:$A5618=L3878)"),"50547")</f>
        <v>50547</v>
      </c>
      <c r="F3878" s="14" t="s">
        <v>16</v>
      </c>
      <c r="G3878" s="20" t="s">
        <v>17</v>
      </c>
      <c r="H3878" s="14" t="s">
        <v>18</v>
      </c>
      <c r="I3878" s="22">
        <v>2022.0</v>
      </c>
      <c r="J3878" s="16" t="str">
        <f>IFERROR(__xludf.DUMMYFUNCTION("FILTER('CLASFICACIÓN'!$F$3:$F5618,'CLASFICACIÓN'!$G$3:$G5618=M3878)"),"LOS 3 AÑOS")</f>
        <v>LOS 3 AÑOS</v>
      </c>
      <c r="K3878" s="16"/>
      <c r="L3878" s="14" t="s">
        <v>177</v>
      </c>
      <c r="M3878" s="16" t="str">
        <f t="shared" si="1"/>
        <v>505472 Primaria</v>
      </c>
      <c r="N3878" s="23"/>
      <c r="O3878" s="17"/>
      <c r="P3878" s="17"/>
      <c r="Q3878" s="17"/>
      <c r="R3878" s="17"/>
      <c r="S3878" s="17"/>
      <c r="T3878" s="17"/>
    </row>
    <row r="3879">
      <c r="A3879" s="21">
        <v>7.0</v>
      </c>
      <c r="B3879" s="14" t="s">
        <v>90</v>
      </c>
      <c r="C3879" s="14" t="s">
        <v>14</v>
      </c>
      <c r="D3879" s="20" t="s">
        <v>15</v>
      </c>
      <c r="E3879" s="12" t="str">
        <f>IFERROR(__xludf.DUMMYFUNCTION("FILTER(colegios!$B$2:$B5618,colegios!$A$2:$A5618=L3879)"),"50547")</f>
        <v>50547</v>
      </c>
      <c r="F3879" s="14" t="s">
        <v>16</v>
      </c>
      <c r="G3879" s="20" t="s">
        <v>17</v>
      </c>
      <c r="H3879" s="14" t="s">
        <v>18</v>
      </c>
      <c r="I3879" s="22">
        <v>2022.0</v>
      </c>
      <c r="J3879" s="16" t="str">
        <f>IFERROR(__xludf.DUMMYFUNCTION("FILTER('CLASFICACIÓN'!$F$3:$F5618,'CLASFICACIÓN'!$G$3:$G5618=M3879)"),"LOS 3 AÑOS")</f>
        <v>LOS 3 AÑOS</v>
      </c>
      <c r="K3879" s="16"/>
      <c r="L3879" s="14" t="s">
        <v>177</v>
      </c>
      <c r="M3879" s="16" t="str">
        <f t="shared" si="1"/>
        <v>505472 Primaria</v>
      </c>
      <c r="N3879" s="23"/>
      <c r="O3879" s="17"/>
      <c r="P3879" s="17"/>
      <c r="Q3879" s="17"/>
      <c r="R3879" s="17"/>
      <c r="S3879" s="17"/>
      <c r="T3879" s="17"/>
    </row>
    <row r="3880">
      <c r="A3880" s="21">
        <v>8.0</v>
      </c>
      <c r="B3880" s="14" t="s">
        <v>90</v>
      </c>
      <c r="C3880" s="14" t="s">
        <v>14</v>
      </c>
      <c r="D3880" s="20" t="s">
        <v>15</v>
      </c>
      <c r="E3880" s="12" t="str">
        <f>IFERROR(__xludf.DUMMYFUNCTION("FILTER(colegios!$B$2:$B5618,colegios!$A$2:$A5618=L3880)"),"50547")</f>
        <v>50547</v>
      </c>
      <c r="F3880" s="14" t="s">
        <v>16</v>
      </c>
      <c r="G3880" s="20" t="s">
        <v>21</v>
      </c>
      <c r="H3880" s="14" t="s">
        <v>18</v>
      </c>
      <c r="I3880" s="22">
        <v>2022.0</v>
      </c>
      <c r="J3880" s="16" t="str">
        <f>IFERROR(__xludf.DUMMYFUNCTION("FILTER('CLASFICACIÓN'!$F$3:$F5618,'CLASFICACIÓN'!$G$3:$G5618=M3880)"),"LOS 3 AÑOS")</f>
        <v>LOS 3 AÑOS</v>
      </c>
      <c r="K3880" s="16"/>
      <c r="L3880" s="14" t="s">
        <v>177</v>
      </c>
      <c r="M3880" s="16" t="str">
        <f t="shared" si="1"/>
        <v>505472 Primaria</v>
      </c>
      <c r="N3880" s="23"/>
      <c r="O3880" s="17"/>
      <c r="P3880" s="17"/>
      <c r="Q3880" s="17"/>
      <c r="R3880" s="17"/>
      <c r="S3880" s="17"/>
      <c r="T3880" s="17"/>
    </row>
    <row r="3881">
      <c r="A3881" s="21">
        <v>9.0</v>
      </c>
      <c r="B3881" s="14" t="s">
        <v>90</v>
      </c>
      <c r="C3881" s="14" t="s">
        <v>14</v>
      </c>
      <c r="D3881" s="20" t="s">
        <v>15</v>
      </c>
      <c r="E3881" s="12" t="str">
        <f>IFERROR(__xludf.DUMMYFUNCTION("FILTER(colegios!$B$2:$B5618,colegios!$A$2:$A5618=L3881)"),"50547")</f>
        <v>50547</v>
      </c>
      <c r="F3881" s="14" t="s">
        <v>16</v>
      </c>
      <c r="G3881" s="20" t="s">
        <v>17</v>
      </c>
      <c r="H3881" s="14" t="s">
        <v>18</v>
      </c>
      <c r="I3881" s="22">
        <v>2022.0</v>
      </c>
      <c r="J3881" s="16" t="str">
        <f>IFERROR(__xludf.DUMMYFUNCTION("FILTER('CLASFICACIÓN'!$F$3:$F5618,'CLASFICACIÓN'!$G$3:$G5618=M3881)"),"LOS 3 AÑOS")</f>
        <v>LOS 3 AÑOS</v>
      </c>
      <c r="K3881" s="16"/>
      <c r="L3881" s="14" t="s">
        <v>177</v>
      </c>
      <c r="M3881" s="16" t="str">
        <f t="shared" si="1"/>
        <v>505472 Primaria</v>
      </c>
      <c r="N3881" s="23"/>
      <c r="O3881" s="17"/>
      <c r="P3881" s="17"/>
      <c r="Q3881" s="17"/>
      <c r="R3881" s="17"/>
      <c r="S3881" s="17"/>
      <c r="T3881" s="17"/>
    </row>
    <row r="3882">
      <c r="A3882" s="21">
        <v>10.0</v>
      </c>
      <c r="B3882" s="14" t="s">
        <v>90</v>
      </c>
      <c r="C3882" s="14" t="s">
        <v>14</v>
      </c>
      <c r="D3882" s="20" t="s">
        <v>15</v>
      </c>
      <c r="E3882" s="12" t="str">
        <f>IFERROR(__xludf.DUMMYFUNCTION("FILTER(colegios!$B$2:$B5618,colegios!$A$2:$A5618=L3882)"),"50547")</f>
        <v>50547</v>
      </c>
      <c r="F3882" s="14" t="s">
        <v>16</v>
      </c>
      <c r="G3882" s="20" t="s">
        <v>17</v>
      </c>
      <c r="H3882" s="14" t="s">
        <v>18</v>
      </c>
      <c r="I3882" s="22">
        <v>2022.0</v>
      </c>
      <c r="J3882" s="16" t="str">
        <f>IFERROR(__xludf.DUMMYFUNCTION("FILTER('CLASFICACIÓN'!$F$3:$F5618,'CLASFICACIÓN'!$G$3:$G5618=M3882)"),"LOS 3 AÑOS")</f>
        <v>LOS 3 AÑOS</v>
      </c>
      <c r="K3882" s="16"/>
      <c r="L3882" s="14" t="s">
        <v>177</v>
      </c>
      <c r="M3882" s="16" t="str">
        <f t="shared" si="1"/>
        <v>505472 Primaria</v>
      </c>
      <c r="N3882" s="23"/>
      <c r="O3882" s="17"/>
      <c r="P3882" s="17"/>
      <c r="Q3882" s="17"/>
      <c r="R3882" s="17"/>
      <c r="S3882" s="17"/>
      <c r="T3882" s="17"/>
    </row>
    <row r="3883">
      <c r="A3883" s="21">
        <v>11.0</v>
      </c>
      <c r="B3883" s="14" t="s">
        <v>90</v>
      </c>
      <c r="C3883" s="14" t="s">
        <v>14</v>
      </c>
      <c r="D3883" s="20" t="s">
        <v>15</v>
      </c>
      <c r="E3883" s="12" t="str">
        <f>IFERROR(__xludf.DUMMYFUNCTION("FILTER(colegios!$B$2:$B5618,colegios!$A$2:$A5618=L3883)"),"50547")</f>
        <v>50547</v>
      </c>
      <c r="F3883" s="14" t="s">
        <v>16</v>
      </c>
      <c r="G3883" s="20" t="s">
        <v>21</v>
      </c>
      <c r="H3883" s="14" t="s">
        <v>18</v>
      </c>
      <c r="I3883" s="22">
        <v>2022.0</v>
      </c>
      <c r="J3883" s="16" t="str">
        <f>IFERROR(__xludf.DUMMYFUNCTION("FILTER('CLASFICACIÓN'!$F$3:$F5618,'CLASFICACIÓN'!$G$3:$G5618=M3883)"),"LOS 3 AÑOS")</f>
        <v>LOS 3 AÑOS</v>
      </c>
      <c r="K3883" s="16"/>
      <c r="L3883" s="14" t="s">
        <v>177</v>
      </c>
      <c r="M3883" s="16" t="str">
        <f t="shared" si="1"/>
        <v>505472 Primaria</v>
      </c>
      <c r="N3883" s="23"/>
      <c r="O3883" s="17"/>
      <c r="P3883" s="17"/>
      <c r="Q3883" s="17"/>
      <c r="R3883" s="17"/>
      <c r="S3883" s="17"/>
      <c r="T3883" s="17"/>
    </row>
    <row r="3884">
      <c r="A3884" s="21">
        <v>12.0</v>
      </c>
      <c r="B3884" s="14" t="s">
        <v>90</v>
      </c>
      <c r="C3884" s="14" t="s">
        <v>14</v>
      </c>
      <c r="D3884" s="20" t="s">
        <v>15</v>
      </c>
      <c r="E3884" s="12" t="str">
        <f>IFERROR(__xludf.DUMMYFUNCTION("FILTER(colegios!$B$2:$B5618,colegios!$A$2:$A5618=L3884)"),"50547")</f>
        <v>50547</v>
      </c>
      <c r="F3884" s="14" t="s">
        <v>16</v>
      </c>
      <c r="G3884" s="20" t="s">
        <v>17</v>
      </c>
      <c r="H3884" s="14" t="s">
        <v>18</v>
      </c>
      <c r="I3884" s="22">
        <v>2022.0</v>
      </c>
      <c r="J3884" s="16" t="str">
        <f>IFERROR(__xludf.DUMMYFUNCTION("FILTER('CLASFICACIÓN'!$F$3:$F5618,'CLASFICACIÓN'!$G$3:$G5618=M3884)"),"LOS 3 AÑOS")</f>
        <v>LOS 3 AÑOS</v>
      </c>
      <c r="K3884" s="16"/>
      <c r="L3884" s="14" t="s">
        <v>177</v>
      </c>
      <c r="M3884" s="16" t="str">
        <f t="shared" si="1"/>
        <v>505472 Primaria</v>
      </c>
      <c r="N3884" s="23"/>
      <c r="O3884" s="17"/>
      <c r="P3884" s="17"/>
      <c r="Q3884" s="17"/>
      <c r="R3884" s="17"/>
      <c r="S3884" s="17"/>
      <c r="T3884" s="17"/>
    </row>
    <row r="3885">
      <c r="A3885" s="21">
        <v>13.0</v>
      </c>
      <c r="B3885" s="14" t="s">
        <v>90</v>
      </c>
      <c r="C3885" s="14" t="s">
        <v>14</v>
      </c>
      <c r="D3885" s="20" t="s">
        <v>15</v>
      </c>
      <c r="E3885" s="12" t="str">
        <f>IFERROR(__xludf.DUMMYFUNCTION("FILTER(colegios!$B$2:$B5618,colegios!$A$2:$A5618=L3885)"),"50547")</f>
        <v>50547</v>
      </c>
      <c r="F3885" s="14" t="s">
        <v>16</v>
      </c>
      <c r="G3885" s="20" t="s">
        <v>21</v>
      </c>
      <c r="H3885" s="14" t="s">
        <v>18</v>
      </c>
      <c r="I3885" s="22">
        <v>2022.0</v>
      </c>
      <c r="J3885" s="16" t="str">
        <f>IFERROR(__xludf.DUMMYFUNCTION("FILTER('CLASFICACIÓN'!$F$3:$F5618,'CLASFICACIÓN'!$G$3:$G5618=M3885)"),"LOS 3 AÑOS")</f>
        <v>LOS 3 AÑOS</v>
      </c>
      <c r="K3885" s="16"/>
      <c r="L3885" s="14" t="s">
        <v>177</v>
      </c>
      <c r="M3885" s="16" t="str">
        <f t="shared" si="1"/>
        <v>505472 Primaria</v>
      </c>
      <c r="N3885" s="23"/>
      <c r="O3885" s="17"/>
      <c r="P3885" s="17"/>
      <c r="Q3885" s="17"/>
      <c r="R3885" s="17"/>
      <c r="S3885" s="17"/>
      <c r="T3885" s="17"/>
    </row>
    <row r="3886">
      <c r="A3886" s="21">
        <v>14.0</v>
      </c>
      <c r="B3886" s="14" t="s">
        <v>90</v>
      </c>
      <c r="C3886" s="14" t="s">
        <v>14</v>
      </c>
      <c r="D3886" s="20" t="s">
        <v>15</v>
      </c>
      <c r="E3886" s="12" t="str">
        <f>IFERROR(__xludf.DUMMYFUNCTION("FILTER(colegios!$B$2:$B5618,colegios!$A$2:$A5618=L3886)"),"50547")</f>
        <v>50547</v>
      </c>
      <c r="F3886" s="14" t="s">
        <v>16</v>
      </c>
      <c r="G3886" s="20" t="s">
        <v>17</v>
      </c>
      <c r="H3886" s="14" t="s">
        <v>18</v>
      </c>
      <c r="I3886" s="22">
        <v>2022.0</v>
      </c>
      <c r="J3886" s="16" t="str">
        <f>IFERROR(__xludf.DUMMYFUNCTION("FILTER('CLASFICACIÓN'!$F$3:$F5618,'CLASFICACIÓN'!$G$3:$G5618=M3886)"),"LOS 3 AÑOS")</f>
        <v>LOS 3 AÑOS</v>
      </c>
      <c r="K3886" s="16"/>
      <c r="L3886" s="14" t="s">
        <v>177</v>
      </c>
      <c r="M3886" s="16" t="str">
        <f t="shared" si="1"/>
        <v>505472 Primaria</v>
      </c>
      <c r="N3886" s="23"/>
      <c r="O3886" s="17"/>
      <c r="P3886" s="17"/>
      <c r="Q3886" s="17"/>
      <c r="R3886" s="17"/>
      <c r="S3886" s="17"/>
      <c r="T3886" s="17"/>
    </row>
    <row r="3887">
      <c r="A3887" s="21">
        <v>15.0</v>
      </c>
      <c r="B3887" s="14" t="s">
        <v>90</v>
      </c>
      <c r="C3887" s="14" t="s">
        <v>14</v>
      </c>
      <c r="D3887" s="20" t="s">
        <v>15</v>
      </c>
      <c r="E3887" s="12" t="str">
        <f>IFERROR(__xludf.DUMMYFUNCTION("FILTER(colegios!$B$2:$B5618,colegios!$A$2:$A5618=L3887)"),"50547")</f>
        <v>50547</v>
      </c>
      <c r="F3887" s="14" t="s">
        <v>16</v>
      </c>
      <c r="G3887" s="20" t="s">
        <v>17</v>
      </c>
      <c r="H3887" s="14" t="s">
        <v>18</v>
      </c>
      <c r="I3887" s="22">
        <v>2022.0</v>
      </c>
      <c r="J3887" s="16" t="str">
        <f>IFERROR(__xludf.DUMMYFUNCTION("FILTER('CLASFICACIÓN'!$F$3:$F5618,'CLASFICACIÓN'!$G$3:$G5618=M3887)"),"LOS 3 AÑOS")</f>
        <v>LOS 3 AÑOS</v>
      </c>
      <c r="K3887" s="16"/>
      <c r="L3887" s="14" t="s">
        <v>177</v>
      </c>
      <c r="M3887" s="16" t="str">
        <f t="shared" si="1"/>
        <v>505472 Primaria</v>
      </c>
      <c r="N3887" s="23"/>
      <c r="O3887" s="17"/>
      <c r="P3887" s="17"/>
      <c r="Q3887" s="17"/>
      <c r="R3887" s="17"/>
      <c r="S3887" s="17"/>
      <c r="T3887" s="17"/>
    </row>
    <row r="3888">
      <c r="A3888" s="21">
        <v>16.0</v>
      </c>
      <c r="B3888" s="14" t="s">
        <v>90</v>
      </c>
      <c r="C3888" s="14" t="s">
        <v>14</v>
      </c>
      <c r="D3888" s="20" t="s">
        <v>15</v>
      </c>
      <c r="E3888" s="12" t="str">
        <f>IFERROR(__xludf.DUMMYFUNCTION("FILTER(colegios!$B$2:$B5618,colegios!$A$2:$A5618=L3888)"),"50547")</f>
        <v>50547</v>
      </c>
      <c r="F3888" s="14" t="s">
        <v>16</v>
      </c>
      <c r="G3888" s="20" t="s">
        <v>21</v>
      </c>
      <c r="H3888" s="14" t="s">
        <v>18</v>
      </c>
      <c r="I3888" s="22">
        <v>2022.0</v>
      </c>
      <c r="J3888" s="16" t="str">
        <f>IFERROR(__xludf.DUMMYFUNCTION("FILTER('CLASFICACIÓN'!$F$3:$F5618,'CLASFICACIÓN'!$G$3:$G5618=M3888)"),"LOS 3 AÑOS")</f>
        <v>LOS 3 AÑOS</v>
      </c>
      <c r="K3888" s="16"/>
      <c r="L3888" s="14" t="s">
        <v>177</v>
      </c>
      <c r="M3888" s="16" t="str">
        <f t="shared" si="1"/>
        <v>505472 Primaria</v>
      </c>
      <c r="N3888" s="23"/>
      <c r="O3888" s="17"/>
      <c r="P3888" s="17"/>
      <c r="Q3888" s="17"/>
      <c r="R3888" s="17"/>
      <c r="S3888" s="17"/>
      <c r="T3888" s="17"/>
    </row>
    <row r="3889">
      <c r="A3889" s="21">
        <v>17.0</v>
      </c>
      <c r="B3889" s="14" t="s">
        <v>90</v>
      </c>
      <c r="C3889" s="14" t="s">
        <v>14</v>
      </c>
      <c r="D3889" s="20" t="s">
        <v>15</v>
      </c>
      <c r="E3889" s="12" t="str">
        <f>IFERROR(__xludf.DUMMYFUNCTION("FILTER(colegios!$B$2:$B5618,colegios!$A$2:$A5618=L3889)"),"50547")</f>
        <v>50547</v>
      </c>
      <c r="F3889" s="14" t="s">
        <v>16</v>
      </c>
      <c r="G3889" s="20" t="s">
        <v>17</v>
      </c>
      <c r="H3889" s="14" t="s">
        <v>18</v>
      </c>
      <c r="I3889" s="22">
        <v>2022.0</v>
      </c>
      <c r="J3889" s="16" t="str">
        <f>IFERROR(__xludf.DUMMYFUNCTION("FILTER('CLASFICACIÓN'!$F$3:$F5618,'CLASFICACIÓN'!$G$3:$G5618=M3889)"),"LOS 3 AÑOS")</f>
        <v>LOS 3 AÑOS</v>
      </c>
      <c r="K3889" s="16"/>
      <c r="L3889" s="14" t="s">
        <v>177</v>
      </c>
      <c r="M3889" s="16" t="str">
        <f t="shared" si="1"/>
        <v>505472 Primaria</v>
      </c>
      <c r="N3889" s="23"/>
      <c r="O3889" s="17"/>
      <c r="P3889" s="17"/>
      <c r="Q3889" s="17"/>
      <c r="R3889" s="17"/>
      <c r="S3889" s="17"/>
      <c r="T3889" s="17"/>
    </row>
    <row r="3890">
      <c r="A3890" s="21">
        <v>18.0</v>
      </c>
      <c r="B3890" s="14" t="s">
        <v>90</v>
      </c>
      <c r="C3890" s="14" t="s">
        <v>14</v>
      </c>
      <c r="D3890" s="20" t="s">
        <v>15</v>
      </c>
      <c r="E3890" s="12" t="str">
        <f>IFERROR(__xludf.DUMMYFUNCTION("FILTER(colegios!$B$2:$B5618,colegios!$A$2:$A5618=L3890)"),"50547")</f>
        <v>50547</v>
      </c>
      <c r="F3890" s="14" t="s">
        <v>16</v>
      </c>
      <c r="G3890" s="20" t="s">
        <v>21</v>
      </c>
      <c r="H3890" s="14" t="s">
        <v>18</v>
      </c>
      <c r="I3890" s="22">
        <v>2022.0</v>
      </c>
      <c r="J3890" s="16" t="str">
        <f>IFERROR(__xludf.DUMMYFUNCTION("FILTER('CLASFICACIÓN'!$F$3:$F5618,'CLASFICACIÓN'!$G$3:$G5618=M3890)"),"LOS 3 AÑOS")</f>
        <v>LOS 3 AÑOS</v>
      </c>
      <c r="K3890" s="16"/>
      <c r="L3890" s="14" t="s">
        <v>177</v>
      </c>
      <c r="M3890" s="16" t="str">
        <f t="shared" si="1"/>
        <v>505472 Primaria</v>
      </c>
      <c r="N3890" s="23"/>
      <c r="O3890" s="17"/>
      <c r="P3890" s="17"/>
      <c r="Q3890" s="17"/>
      <c r="R3890" s="17"/>
      <c r="S3890" s="17"/>
      <c r="T3890" s="17"/>
    </row>
    <row r="3891">
      <c r="A3891" s="21">
        <v>19.0</v>
      </c>
      <c r="B3891" s="14" t="s">
        <v>90</v>
      </c>
      <c r="C3891" s="14" t="s">
        <v>14</v>
      </c>
      <c r="D3891" s="20" t="s">
        <v>15</v>
      </c>
      <c r="E3891" s="12" t="str">
        <f>IFERROR(__xludf.DUMMYFUNCTION("FILTER(colegios!$B$2:$B5618,colegios!$A$2:$A5618=L3891)"),"50547")</f>
        <v>50547</v>
      </c>
      <c r="F3891" s="14" t="s">
        <v>16</v>
      </c>
      <c r="G3891" s="20" t="s">
        <v>21</v>
      </c>
      <c r="H3891" s="14" t="s">
        <v>18</v>
      </c>
      <c r="I3891" s="22">
        <v>2022.0</v>
      </c>
      <c r="J3891" s="16" t="str">
        <f>IFERROR(__xludf.DUMMYFUNCTION("FILTER('CLASFICACIÓN'!$F$3:$F5618,'CLASFICACIÓN'!$G$3:$G5618=M3891)"),"LOS 3 AÑOS")</f>
        <v>LOS 3 AÑOS</v>
      </c>
      <c r="K3891" s="16"/>
      <c r="L3891" s="14" t="s">
        <v>177</v>
      </c>
      <c r="M3891" s="16" t="str">
        <f t="shared" si="1"/>
        <v>505472 Primaria</v>
      </c>
      <c r="N3891" s="23"/>
      <c r="O3891" s="17"/>
      <c r="P3891" s="17"/>
      <c r="Q3891" s="17"/>
      <c r="R3891" s="17"/>
      <c r="S3891" s="17"/>
      <c r="T3891" s="17"/>
    </row>
    <row r="3892">
      <c r="A3892" s="21">
        <v>20.0</v>
      </c>
      <c r="B3892" s="14" t="s">
        <v>90</v>
      </c>
      <c r="C3892" s="14" t="s">
        <v>14</v>
      </c>
      <c r="D3892" s="20" t="s">
        <v>15</v>
      </c>
      <c r="E3892" s="12" t="str">
        <f>IFERROR(__xludf.DUMMYFUNCTION("FILTER(colegios!$B$2:$B5618,colegios!$A$2:$A5618=L3892)"),"50547")</f>
        <v>50547</v>
      </c>
      <c r="F3892" s="14" t="s">
        <v>16</v>
      </c>
      <c r="G3892" s="20" t="s">
        <v>17</v>
      </c>
      <c r="H3892" s="14" t="s">
        <v>18</v>
      </c>
      <c r="I3892" s="22">
        <v>2022.0</v>
      </c>
      <c r="J3892" s="16" t="str">
        <f>IFERROR(__xludf.DUMMYFUNCTION("FILTER('CLASFICACIÓN'!$F$3:$F5618,'CLASFICACIÓN'!$G$3:$G5618=M3892)"),"LOS 3 AÑOS")</f>
        <v>LOS 3 AÑOS</v>
      </c>
      <c r="K3892" s="16"/>
      <c r="L3892" s="14" t="s">
        <v>177</v>
      </c>
      <c r="M3892" s="16" t="str">
        <f t="shared" si="1"/>
        <v>505472 Primaria</v>
      </c>
      <c r="N3892" s="23"/>
      <c r="O3892" s="17"/>
      <c r="P3892" s="17"/>
      <c r="Q3892" s="17"/>
      <c r="R3892" s="17"/>
      <c r="S3892" s="17"/>
      <c r="T3892" s="17"/>
    </row>
    <row r="3893">
      <c r="A3893" s="21">
        <v>21.0</v>
      </c>
      <c r="B3893" s="14" t="s">
        <v>90</v>
      </c>
      <c r="C3893" s="14" t="s">
        <v>14</v>
      </c>
      <c r="D3893" s="20" t="s">
        <v>15</v>
      </c>
      <c r="E3893" s="12" t="str">
        <f>IFERROR(__xludf.DUMMYFUNCTION("FILTER(colegios!$B$2:$B5618,colegios!$A$2:$A5618=L3893)"),"50547")</f>
        <v>50547</v>
      </c>
      <c r="F3893" s="14" t="s">
        <v>16</v>
      </c>
      <c r="G3893" s="20" t="s">
        <v>21</v>
      </c>
      <c r="H3893" s="14" t="s">
        <v>18</v>
      </c>
      <c r="I3893" s="22">
        <v>2022.0</v>
      </c>
      <c r="J3893" s="16" t="str">
        <f>IFERROR(__xludf.DUMMYFUNCTION("FILTER('CLASFICACIÓN'!$F$3:$F5618,'CLASFICACIÓN'!$G$3:$G5618=M3893)"),"LOS 3 AÑOS")</f>
        <v>LOS 3 AÑOS</v>
      </c>
      <c r="K3893" s="16"/>
      <c r="L3893" s="14" t="s">
        <v>177</v>
      </c>
      <c r="M3893" s="16" t="str">
        <f t="shared" si="1"/>
        <v>505472 Primaria</v>
      </c>
      <c r="N3893" s="23"/>
      <c r="O3893" s="17"/>
      <c r="P3893" s="17"/>
      <c r="Q3893" s="17"/>
      <c r="R3893" s="17"/>
      <c r="S3893" s="17"/>
      <c r="T3893" s="17"/>
    </row>
    <row r="3894">
      <c r="A3894" s="21">
        <v>22.0</v>
      </c>
      <c r="B3894" s="14" t="s">
        <v>90</v>
      </c>
      <c r="C3894" s="14" t="s">
        <v>14</v>
      </c>
      <c r="D3894" s="20" t="s">
        <v>15</v>
      </c>
      <c r="E3894" s="12" t="str">
        <f>IFERROR(__xludf.DUMMYFUNCTION("FILTER(colegios!$B$2:$B5618,colegios!$A$2:$A5618=L3894)"),"50547")</f>
        <v>50547</v>
      </c>
      <c r="F3894" s="14" t="s">
        <v>16</v>
      </c>
      <c r="G3894" s="20" t="s">
        <v>17</v>
      </c>
      <c r="H3894" s="14" t="s">
        <v>18</v>
      </c>
      <c r="I3894" s="22">
        <v>2022.0</v>
      </c>
      <c r="J3894" s="16" t="str">
        <f>IFERROR(__xludf.DUMMYFUNCTION("FILTER('CLASFICACIÓN'!$F$3:$F5618,'CLASFICACIÓN'!$G$3:$G5618=M3894)"),"LOS 3 AÑOS")</f>
        <v>LOS 3 AÑOS</v>
      </c>
      <c r="K3894" s="16"/>
      <c r="L3894" s="14" t="s">
        <v>177</v>
      </c>
      <c r="M3894" s="16" t="str">
        <f t="shared" si="1"/>
        <v>505472 Primaria</v>
      </c>
      <c r="N3894" s="23"/>
      <c r="O3894" s="17"/>
      <c r="P3894" s="17"/>
      <c r="Q3894" s="17"/>
      <c r="R3894" s="17"/>
      <c r="S3894" s="17"/>
      <c r="T3894" s="17"/>
    </row>
    <row r="3895">
      <c r="A3895" s="21">
        <v>23.0</v>
      </c>
      <c r="B3895" s="14" t="s">
        <v>90</v>
      </c>
      <c r="C3895" s="14" t="s">
        <v>14</v>
      </c>
      <c r="D3895" s="20" t="s">
        <v>15</v>
      </c>
      <c r="E3895" s="12" t="str">
        <f>IFERROR(__xludf.DUMMYFUNCTION("FILTER(colegios!$B$2:$B5618,colegios!$A$2:$A5618=L3895)"),"50547")</f>
        <v>50547</v>
      </c>
      <c r="F3895" s="14" t="s">
        <v>16</v>
      </c>
      <c r="G3895" s="20" t="s">
        <v>17</v>
      </c>
      <c r="H3895" s="14" t="s">
        <v>18</v>
      </c>
      <c r="I3895" s="22">
        <v>2022.0</v>
      </c>
      <c r="J3895" s="16" t="str">
        <f>IFERROR(__xludf.DUMMYFUNCTION("FILTER('CLASFICACIÓN'!$F$3:$F5618,'CLASFICACIÓN'!$G$3:$G5618=M3895)"),"LOS 3 AÑOS")</f>
        <v>LOS 3 AÑOS</v>
      </c>
      <c r="K3895" s="16"/>
      <c r="L3895" s="14" t="s">
        <v>177</v>
      </c>
      <c r="M3895" s="16" t="str">
        <f t="shared" si="1"/>
        <v>505472 Primaria</v>
      </c>
      <c r="N3895" s="23"/>
      <c r="O3895" s="17"/>
      <c r="P3895" s="17"/>
      <c r="Q3895" s="17"/>
      <c r="R3895" s="17"/>
      <c r="S3895" s="17"/>
      <c r="T3895" s="17"/>
    </row>
    <row r="3896">
      <c r="A3896" s="21">
        <v>24.0</v>
      </c>
      <c r="B3896" s="14" t="s">
        <v>90</v>
      </c>
      <c r="C3896" s="14" t="s">
        <v>14</v>
      </c>
      <c r="D3896" s="20" t="s">
        <v>15</v>
      </c>
      <c r="E3896" s="12" t="str">
        <f>IFERROR(__xludf.DUMMYFUNCTION("FILTER(colegios!$B$2:$B5618,colegios!$A$2:$A5618=L3896)"),"50547")</f>
        <v>50547</v>
      </c>
      <c r="F3896" s="14" t="s">
        <v>16</v>
      </c>
      <c r="G3896" s="20" t="s">
        <v>17</v>
      </c>
      <c r="H3896" s="14" t="s">
        <v>18</v>
      </c>
      <c r="I3896" s="22">
        <v>2022.0</v>
      </c>
      <c r="J3896" s="16" t="str">
        <f>IFERROR(__xludf.DUMMYFUNCTION("FILTER('CLASFICACIÓN'!$F$3:$F5618,'CLASFICACIÓN'!$G$3:$G5618=M3896)"),"LOS 3 AÑOS")</f>
        <v>LOS 3 AÑOS</v>
      </c>
      <c r="K3896" s="16"/>
      <c r="L3896" s="14" t="s">
        <v>177</v>
      </c>
      <c r="M3896" s="16" t="str">
        <f t="shared" si="1"/>
        <v>505472 Primaria</v>
      </c>
      <c r="N3896" s="23"/>
      <c r="O3896" s="17"/>
      <c r="P3896" s="17"/>
      <c r="Q3896" s="17"/>
      <c r="R3896" s="17"/>
      <c r="S3896" s="17"/>
      <c r="T3896" s="17"/>
    </row>
    <row r="3897">
      <c r="A3897" s="21">
        <v>25.0</v>
      </c>
      <c r="B3897" s="14" t="s">
        <v>90</v>
      </c>
      <c r="C3897" s="14" t="s">
        <v>14</v>
      </c>
      <c r="D3897" s="20" t="s">
        <v>15</v>
      </c>
      <c r="E3897" s="12" t="str">
        <f>IFERROR(__xludf.DUMMYFUNCTION("FILTER(colegios!$B$2:$B5618,colegios!$A$2:$A5618=L3897)"),"50547")</f>
        <v>50547</v>
      </c>
      <c r="F3897" s="14" t="s">
        <v>16</v>
      </c>
      <c r="G3897" s="20" t="s">
        <v>17</v>
      </c>
      <c r="H3897" s="14" t="s">
        <v>18</v>
      </c>
      <c r="I3897" s="22">
        <v>2022.0</v>
      </c>
      <c r="J3897" s="16" t="str">
        <f>IFERROR(__xludf.DUMMYFUNCTION("FILTER('CLASFICACIÓN'!$F$3:$F5618,'CLASFICACIÓN'!$G$3:$G5618=M3897)"),"LOS 3 AÑOS")</f>
        <v>LOS 3 AÑOS</v>
      </c>
      <c r="K3897" s="16"/>
      <c r="L3897" s="14" t="s">
        <v>177</v>
      </c>
      <c r="M3897" s="16" t="str">
        <f t="shared" si="1"/>
        <v>505472 Primaria</v>
      </c>
      <c r="N3897" s="23"/>
      <c r="O3897" s="17"/>
      <c r="P3897" s="17"/>
      <c r="Q3897" s="17"/>
      <c r="R3897" s="17"/>
      <c r="S3897" s="17"/>
      <c r="T3897" s="17"/>
    </row>
    <row r="3898">
      <c r="A3898" s="21">
        <v>26.0</v>
      </c>
      <c r="B3898" s="14" t="s">
        <v>90</v>
      </c>
      <c r="C3898" s="14" t="s">
        <v>14</v>
      </c>
      <c r="D3898" s="20" t="s">
        <v>15</v>
      </c>
      <c r="E3898" s="12" t="str">
        <f>IFERROR(__xludf.DUMMYFUNCTION("FILTER(colegios!$B$2:$B5618,colegios!$A$2:$A5618=L3898)"),"50547")</f>
        <v>50547</v>
      </c>
      <c r="F3898" s="14" t="s">
        <v>16</v>
      </c>
      <c r="G3898" s="20" t="s">
        <v>17</v>
      </c>
      <c r="H3898" s="14" t="s">
        <v>18</v>
      </c>
      <c r="I3898" s="22">
        <v>2022.0</v>
      </c>
      <c r="J3898" s="16" t="str">
        <f>IFERROR(__xludf.DUMMYFUNCTION("FILTER('CLASFICACIÓN'!$F$3:$F5618,'CLASFICACIÓN'!$G$3:$G5618=M3898)"),"LOS 3 AÑOS")</f>
        <v>LOS 3 AÑOS</v>
      </c>
      <c r="K3898" s="16"/>
      <c r="L3898" s="14" t="s">
        <v>177</v>
      </c>
      <c r="M3898" s="16" t="str">
        <f t="shared" si="1"/>
        <v>505472 Primaria</v>
      </c>
      <c r="N3898" s="23"/>
      <c r="O3898" s="17"/>
      <c r="P3898" s="17"/>
      <c r="Q3898" s="17"/>
      <c r="R3898" s="17"/>
      <c r="S3898" s="17"/>
      <c r="T3898" s="17"/>
    </row>
    <row r="3899">
      <c r="A3899" s="21">
        <v>27.0</v>
      </c>
      <c r="B3899" s="14" t="s">
        <v>90</v>
      </c>
      <c r="C3899" s="14" t="s">
        <v>14</v>
      </c>
      <c r="D3899" s="20" t="s">
        <v>15</v>
      </c>
      <c r="E3899" s="12" t="str">
        <f>IFERROR(__xludf.DUMMYFUNCTION("FILTER(colegios!$B$2:$B5618,colegios!$A$2:$A5618=L3899)"),"50547")</f>
        <v>50547</v>
      </c>
      <c r="F3899" s="14" t="s">
        <v>16</v>
      </c>
      <c r="G3899" s="20" t="s">
        <v>21</v>
      </c>
      <c r="H3899" s="14" t="s">
        <v>18</v>
      </c>
      <c r="I3899" s="22">
        <v>2022.0</v>
      </c>
      <c r="J3899" s="16" t="str">
        <f>IFERROR(__xludf.DUMMYFUNCTION("FILTER('CLASFICACIÓN'!$F$3:$F5618,'CLASFICACIÓN'!$G$3:$G5618=M3899)"),"LOS 3 AÑOS")</f>
        <v>LOS 3 AÑOS</v>
      </c>
      <c r="K3899" s="16"/>
      <c r="L3899" s="14" t="s">
        <v>177</v>
      </c>
      <c r="M3899" s="16" t="str">
        <f t="shared" si="1"/>
        <v>505472 Primaria</v>
      </c>
      <c r="N3899" s="23"/>
      <c r="O3899" s="17"/>
      <c r="P3899" s="17"/>
      <c r="Q3899" s="17"/>
      <c r="R3899" s="17"/>
      <c r="S3899" s="17"/>
      <c r="T3899" s="17"/>
    </row>
    <row r="3900">
      <c r="A3900" s="21">
        <v>28.0</v>
      </c>
      <c r="B3900" s="14" t="s">
        <v>90</v>
      </c>
      <c r="C3900" s="14" t="s">
        <v>14</v>
      </c>
      <c r="D3900" s="20" t="s">
        <v>15</v>
      </c>
      <c r="E3900" s="12" t="str">
        <f>IFERROR(__xludf.DUMMYFUNCTION("FILTER(colegios!$B$2:$B5618,colegios!$A$2:$A5618=L3900)"),"50547")</f>
        <v>50547</v>
      </c>
      <c r="F3900" s="14" t="s">
        <v>16</v>
      </c>
      <c r="G3900" s="20" t="s">
        <v>17</v>
      </c>
      <c r="H3900" s="14" t="s">
        <v>18</v>
      </c>
      <c r="I3900" s="22">
        <v>2022.0</v>
      </c>
      <c r="J3900" s="16" t="str">
        <f>IFERROR(__xludf.DUMMYFUNCTION("FILTER('CLASFICACIÓN'!$F$3:$F5618,'CLASFICACIÓN'!$G$3:$G5618=M3900)"),"LOS 3 AÑOS")</f>
        <v>LOS 3 AÑOS</v>
      </c>
      <c r="K3900" s="16"/>
      <c r="L3900" s="14" t="s">
        <v>177</v>
      </c>
      <c r="M3900" s="16" t="str">
        <f t="shared" si="1"/>
        <v>505472 Primaria</v>
      </c>
      <c r="N3900" s="23"/>
      <c r="O3900" s="17"/>
      <c r="P3900" s="17"/>
      <c r="Q3900" s="17"/>
      <c r="R3900" s="17"/>
      <c r="S3900" s="17"/>
      <c r="T3900" s="17"/>
    </row>
    <row r="3901">
      <c r="A3901" s="21">
        <v>29.0</v>
      </c>
      <c r="B3901" s="14" t="s">
        <v>90</v>
      </c>
      <c r="C3901" s="14" t="s">
        <v>14</v>
      </c>
      <c r="D3901" s="20" t="s">
        <v>15</v>
      </c>
      <c r="E3901" s="12" t="str">
        <f>IFERROR(__xludf.DUMMYFUNCTION("FILTER(colegios!$B$2:$B5618,colegios!$A$2:$A5618=L3901)"),"50547")</f>
        <v>50547</v>
      </c>
      <c r="F3901" s="14" t="s">
        <v>16</v>
      </c>
      <c r="G3901" s="20" t="s">
        <v>17</v>
      </c>
      <c r="H3901" s="14" t="s">
        <v>18</v>
      </c>
      <c r="I3901" s="22">
        <v>2022.0</v>
      </c>
      <c r="J3901" s="16" t="str">
        <f>IFERROR(__xludf.DUMMYFUNCTION("FILTER('CLASFICACIÓN'!$F$3:$F5618,'CLASFICACIÓN'!$G$3:$G5618=M3901)"),"LOS 3 AÑOS")</f>
        <v>LOS 3 AÑOS</v>
      </c>
      <c r="K3901" s="16"/>
      <c r="L3901" s="14" t="s">
        <v>177</v>
      </c>
      <c r="M3901" s="16" t="str">
        <f t="shared" si="1"/>
        <v>505472 Primaria</v>
      </c>
      <c r="N3901" s="23"/>
      <c r="O3901" s="17"/>
      <c r="P3901" s="17"/>
      <c r="Q3901" s="17"/>
      <c r="R3901" s="17"/>
      <c r="S3901" s="17"/>
      <c r="T3901" s="17"/>
    </row>
    <row r="3902">
      <c r="A3902" s="21">
        <v>30.0</v>
      </c>
      <c r="B3902" s="14" t="s">
        <v>90</v>
      </c>
      <c r="C3902" s="14" t="s">
        <v>14</v>
      </c>
      <c r="D3902" s="20" t="s">
        <v>15</v>
      </c>
      <c r="E3902" s="12" t="str">
        <f>IFERROR(__xludf.DUMMYFUNCTION("FILTER(colegios!$B$2:$B5618,colegios!$A$2:$A5618=L3902)"),"50547")</f>
        <v>50547</v>
      </c>
      <c r="F3902" s="14" t="s">
        <v>16</v>
      </c>
      <c r="G3902" s="20" t="s">
        <v>17</v>
      </c>
      <c r="H3902" s="14" t="s">
        <v>18</v>
      </c>
      <c r="I3902" s="22">
        <v>2022.0</v>
      </c>
      <c r="J3902" s="16" t="str">
        <f>IFERROR(__xludf.DUMMYFUNCTION("FILTER('CLASFICACIÓN'!$F$3:$F5618,'CLASFICACIÓN'!$G$3:$G5618=M3902)"),"LOS 3 AÑOS")</f>
        <v>LOS 3 AÑOS</v>
      </c>
      <c r="K3902" s="16"/>
      <c r="L3902" s="14" t="s">
        <v>177</v>
      </c>
      <c r="M3902" s="16" t="str">
        <f t="shared" si="1"/>
        <v>505472 Primaria</v>
      </c>
      <c r="N3902" s="23"/>
      <c r="O3902" s="17"/>
      <c r="P3902" s="17"/>
      <c r="Q3902" s="17"/>
      <c r="R3902" s="17"/>
      <c r="S3902" s="17"/>
      <c r="T3902" s="17"/>
    </row>
    <row r="3903">
      <c r="A3903" s="21">
        <v>31.0</v>
      </c>
      <c r="B3903" s="14" t="s">
        <v>90</v>
      </c>
      <c r="C3903" s="14" t="s">
        <v>14</v>
      </c>
      <c r="D3903" s="20" t="s">
        <v>15</v>
      </c>
      <c r="E3903" s="12" t="str">
        <f>IFERROR(__xludf.DUMMYFUNCTION("FILTER(colegios!$B$2:$B5618,colegios!$A$2:$A5618=L3903)"),"50547")</f>
        <v>50547</v>
      </c>
      <c r="F3903" s="14" t="s">
        <v>16</v>
      </c>
      <c r="G3903" s="20" t="s">
        <v>17</v>
      </c>
      <c r="H3903" s="14" t="s">
        <v>18</v>
      </c>
      <c r="I3903" s="22">
        <v>2022.0</v>
      </c>
      <c r="J3903" s="16" t="str">
        <f>IFERROR(__xludf.DUMMYFUNCTION("FILTER('CLASFICACIÓN'!$F$3:$F5618,'CLASFICACIÓN'!$G$3:$G5618=M3903)"),"LOS 3 AÑOS")</f>
        <v>LOS 3 AÑOS</v>
      </c>
      <c r="K3903" s="16"/>
      <c r="L3903" s="14" t="s">
        <v>177</v>
      </c>
      <c r="M3903" s="16" t="str">
        <f t="shared" si="1"/>
        <v>505472 Primaria</v>
      </c>
      <c r="N3903" s="23"/>
      <c r="O3903" s="17"/>
      <c r="P3903" s="17"/>
      <c r="Q3903" s="17"/>
      <c r="R3903" s="17"/>
      <c r="S3903" s="17"/>
      <c r="T3903" s="17"/>
    </row>
    <row r="3904">
      <c r="A3904" s="21">
        <v>32.0</v>
      </c>
      <c r="B3904" s="14" t="s">
        <v>90</v>
      </c>
      <c r="C3904" s="14" t="s">
        <v>14</v>
      </c>
      <c r="D3904" s="20" t="s">
        <v>15</v>
      </c>
      <c r="E3904" s="12" t="str">
        <f>IFERROR(__xludf.DUMMYFUNCTION("FILTER(colegios!$B$2:$B5618,colegios!$A$2:$A5618=L3904)"),"50547")</f>
        <v>50547</v>
      </c>
      <c r="F3904" s="14" t="s">
        <v>16</v>
      </c>
      <c r="G3904" s="20" t="s">
        <v>21</v>
      </c>
      <c r="H3904" s="14" t="s">
        <v>18</v>
      </c>
      <c r="I3904" s="22">
        <v>2022.0</v>
      </c>
      <c r="J3904" s="16" t="str">
        <f>IFERROR(__xludf.DUMMYFUNCTION("FILTER('CLASFICACIÓN'!$F$3:$F5618,'CLASFICACIÓN'!$G$3:$G5618=M3904)"),"LOS 3 AÑOS")</f>
        <v>LOS 3 AÑOS</v>
      </c>
      <c r="K3904" s="16"/>
      <c r="L3904" s="14" t="s">
        <v>177</v>
      </c>
      <c r="M3904" s="16" t="str">
        <f t="shared" si="1"/>
        <v>505472 Primaria</v>
      </c>
      <c r="N3904" s="23"/>
      <c r="O3904" s="17"/>
      <c r="P3904" s="17"/>
      <c r="Q3904" s="17"/>
      <c r="R3904" s="17"/>
      <c r="S3904" s="17"/>
      <c r="T3904" s="17"/>
    </row>
    <row r="3905">
      <c r="A3905" s="21">
        <v>33.0</v>
      </c>
      <c r="B3905" s="14" t="s">
        <v>90</v>
      </c>
      <c r="C3905" s="14" t="s">
        <v>14</v>
      </c>
      <c r="D3905" s="20" t="s">
        <v>15</v>
      </c>
      <c r="E3905" s="12" t="str">
        <f>IFERROR(__xludf.DUMMYFUNCTION("FILTER(colegios!$B$2:$B5618,colegios!$A$2:$A5618=L3905)"),"50547")</f>
        <v>50547</v>
      </c>
      <c r="F3905" s="14" t="s">
        <v>16</v>
      </c>
      <c r="G3905" s="20" t="s">
        <v>17</v>
      </c>
      <c r="H3905" s="14" t="s">
        <v>18</v>
      </c>
      <c r="I3905" s="22">
        <v>2022.0</v>
      </c>
      <c r="J3905" s="16" t="str">
        <f>IFERROR(__xludf.DUMMYFUNCTION("FILTER('CLASFICACIÓN'!$F$3:$F5618,'CLASFICACIÓN'!$G$3:$G5618=M3905)"),"LOS 3 AÑOS")</f>
        <v>LOS 3 AÑOS</v>
      </c>
      <c r="K3905" s="16"/>
      <c r="L3905" s="14" t="s">
        <v>177</v>
      </c>
      <c r="M3905" s="16" t="str">
        <f t="shared" si="1"/>
        <v>505472 Primaria</v>
      </c>
      <c r="N3905" s="23"/>
      <c r="O3905" s="17"/>
      <c r="P3905" s="17"/>
      <c r="Q3905" s="17"/>
      <c r="R3905" s="17"/>
      <c r="S3905" s="17"/>
      <c r="T3905" s="17"/>
    </row>
    <row r="3906">
      <c r="A3906" s="21">
        <v>34.0</v>
      </c>
      <c r="B3906" s="14" t="s">
        <v>90</v>
      </c>
      <c r="C3906" s="14" t="s">
        <v>14</v>
      </c>
      <c r="D3906" s="20" t="s">
        <v>15</v>
      </c>
      <c r="E3906" s="12" t="str">
        <f>IFERROR(__xludf.DUMMYFUNCTION("FILTER(colegios!$B$2:$B5618,colegios!$A$2:$A5618=L3906)"),"50547")</f>
        <v>50547</v>
      </c>
      <c r="F3906" s="14" t="s">
        <v>16</v>
      </c>
      <c r="G3906" s="20" t="s">
        <v>17</v>
      </c>
      <c r="H3906" s="14" t="s">
        <v>18</v>
      </c>
      <c r="I3906" s="22">
        <v>2022.0</v>
      </c>
      <c r="J3906" s="16" t="str">
        <f>IFERROR(__xludf.DUMMYFUNCTION("FILTER('CLASFICACIÓN'!$F$3:$F5618,'CLASFICACIÓN'!$G$3:$G5618=M3906)"),"LOS 3 AÑOS")</f>
        <v>LOS 3 AÑOS</v>
      </c>
      <c r="K3906" s="16"/>
      <c r="L3906" s="14" t="s">
        <v>177</v>
      </c>
      <c r="M3906" s="16" t="str">
        <f t="shared" si="1"/>
        <v>505472 Primaria</v>
      </c>
      <c r="N3906" s="23"/>
      <c r="O3906" s="17"/>
      <c r="P3906" s="17"/>
      <c r="Q3906" s="17"/>
      <c r="R3906" s="17"/>
      <c r="S3906" s="17"/>
      <c r="T3906" s="17"/>
    </row>
    <row r="3907">
      <c r="A3907" s="21">
        <v>35.0</v>
      </c>
      <c r="B3907" s="14" t="s">
        <v>90</v>
      </c>
      <c r="C3907" s="14" t="s">
        <v>14</v>
      </c>
      <c r="D3907" s="20" t="s">
        <v>15</v>
      </c>
      <c r="E3907" s="12" t="str">
        <f>IFERROR(__xludf.DUMMYFUNCTION("FILTER(colegios!$B$2:$B5618,colegios!$A$2:$A5618=L3907)"),"50547")</f>
        <v>50547</v>
      </c>
      <c r="F3907" s="14" t="s">
        <v>16</v>
      </c>
      <c r="G3907" s="20" t="s">
        <v>17</v>
      </c>
      <c r="H3907" s="14" t="s">
        <v>18</v>
      </c>
      <c r="I3907" s="22">
        <v>2022.0</v>
      </c>
      <c r="J3907" s="16" t="str">
        <f>IFERROR(__xludf.DUMMYFUNCTION("FILTER('CLASFICACIÓN'!$F$3:$F5618,'CLASFICACIÓN'!$G$3:$G5618=M3907)"),"LOS 3 AÑOS")</f>
        <v>LOS 3 AÑOS</v>
      </c>
      <c r="K3907" s="16"/>
      <c r="L3907" s="14" t="s">
        <v>177</v>
      </c>
      <c r="M3907" s="16" t="str">
        <f t="shared" si="1"/>
        <v>505472 Primaria</v>
      </c>
      <c r="N3907" s="23"/>
      <c r="O3907" s="17"/>
      <c r="P3907" s="17"/>
      <c r="Q3907" s="17"/>
      <c r="R3907" s="17"/>
      <c r="S3907" s="17"/>
      <c r="T3907" s="17"/>
    </row>
    <row r="3908">
      <c r="A3908" s="21">
        <v>36.0</v>
      </c>
      <c r="B3908" s="14" t="s">
        <v>90</v>
      </c>
      <c r="C3908" s="14" t="s">
        <v>14</v>
      </c>
      <c r="D3908" s="20" t="s">
        <v>15</v>
      </c>
      <c r="E3908" s="12" t="str">
        <f>IFERROR(__xludf.DUMMYFUNCTION("FILTER(colegios!$B$2:$B5618,colegios!$A$2:$A5618=L3908)"),"50547")</f>
        <v>50547</v>
      </c>
      <c r="F3908" s="14" t="s">
        <v>16</v>
      </c>
      <c r="G3908" s="20" t="s">
        <v>21</v>
      </c>
      <c r="H3908" s="14" t="s">
        <v>18</v>
      </c>
      <c r="I3908" s="22">
        <v>2022.0</v>
      </c>
      <c r="J3908" s="16" t="str">
        <f>IFERROR(__xludf.DUMMYFUNCTION("FILTER('CLASFICACIÓN'!$F$3:$F5618,'CLASFICACIÓN'!$G$3:$G5618=M3908)"),"LOS 3 AÑOS")</f>
        <v>LOS 3 AÑOS</v>
      </c>
      <c r="K3908" s="16"/>
      <c r="L3908" s="14" t="s">
        <v>177</v>
      </c>
      <c r="M3908" s="16" t="str">
        <f t="shared" si="1"/>
        <v>505472 Primaria</v>
      </c>
      <c r="N3908" s="23"/>
      <c r="O3908" s="17"/>
      <c r="P3908" s="17"/>
      <c r="Q3908" s="17"/>
      <c r="R3908" s="17"/>
      <c r="S3908" s="17"/>
      <c r="T3908" s="17"/>
    </row>
    <row r="3909">
      <c r="A3909" s="21">
        <v>37.0</v>
      </c>
      <c r="B3909" s="14" t="s">
        <v>90</v>
      </c>
      <c r="C3909" s="14" t="s">
        <v>14</v>
      </c>
      <c r="D3909" s="20" t="s">
        <v>15</v>
      </c>
      <c r="E3909" s="12" t="str">
        <f>IFERROR(__xludf.DUMMYFUNCTION("FILTER(colegios!$B$2:$B5618,colegios!$A$2:$A5618=L3909)"),"50547")</f>
        <v>50547</v>
      </c>
      <c r="F3909" s="14" t="s">
        <v>16</v>
      </c>
      <c r="G3909" s="20" t="s">
        <v>21</v>
      </c>
      <c r="H3909" s="14" t="s">
        <v>18</v>
      </c>
      <c r="I3909" s="22">
        <v>2022.0</v>
      </c>
      <c r="J3909" s="16" t="str">
        <f>IFERROR(__xludf.DUMMYFUNCTION("FILTER('CLASFICACIÓN'!$F$3:$F5618,'CLASFICACIÓN'!$G$3:$G5618=M3909)"),"LOS 3 AÑOS")</f>
        <v>LOS 3 AÑOS</v>
      </c>
      <c r="K3909" s="16"/>
      <c r="L3909" s="14" t="s">
        <v>177</v>
      </c>
      <c r="M3909" s="16" t="str">
        <f t="shared" si="1"/>
        <v>505472 Primaria</v>
      </c>
      <c r="N3909" s="23"/>
      <c r="O3909" s="17"/>
      <c r="P3909" s="17"/>
      <c r="Q3909" s="17"/>
      <c r="R3909" s="17"/>
      <c r="S3909" s="17"/>
      <c r="T3909" s="17"/>
    </row>
    <row r="3910">
      <c r="A3910" s="21">
        <v>38.0</v>
      </c>
      <c r="B3910" s="14" t="s">
        <v>90</v>
      </c>
      <c r="C3910" s="14" t="s">
        <v>14</v>
      </c>
      <c r="D3910" s="20" t="s">
        <v>15</v>
      </c>
      <c r="E3910" s="12" t="str">
        <f>IFERROR(__xludf.DUMMYFUNCTION("FILTER(colegios!$B$2:$B5618,colegios!$A$2:$A5618=L3910)"),"50547")</f>
        <v>50547</v>
      </c>
      <c r="F3910" s="14" t="s">
        <v>16</v>
      </c>
      <c r="G3910" s="20" t="s">
        <v>17</v>
      </c>
      <c r="H3910" s="14" t="s">
        <v>18</v>
      </c>
      <c r="I3910" s="22">
        <v>2022.0</v>
      </c>
      <c r="J3910" s="16" t="str">
        <f>IFERROR(__xludf.DUMMYFUNCTION("FILTER('CLASFICACIÓN'!$F$3:$F5618,'CLASFICACIÓN'!$G$3:$G5618=M3910)"),"LOS 3 AÑOS")</f>
        <v>LOS 3 AÑOS</v>
      </c>
      <c r="K3910" s="16"/>
      <c r="L3910" s="14" t="s">
        <v>177</v>
      </c>
      <c r="M3910" s="16" t="str">
        <f t="shared" si="1"/>
        <v>505472 Primaria</v>
      </c>
      <c r="N3910" s="23"/>
      <c r="O3910" s="17"/>
      <c r="P3910" s="17"/>
      <c r="Q3910" s="17"/>
      <c r="R3910" s="17"/>
      <c r="S3910" s="17"/>
      <c r="T3910" s="17"/>
    </row>
    <row r="3911">
      <c r="A3911" s="21">
        <v>39.0</v>
      </c>
      <c r="B3911" s="14" t="s">
        <v>90</v>
      </c>
      <c r="C3911" s="14" t="s">
        <v>14</v>
      </c>
      <c r="D3911" s="20" t="s">
        <v>15</v>
      </c>
      <c r="E3911" s="12" t="str">
        <f>IFERROR(__xludf.DUMMYFUNCTION("FILTER(colegios!$B$2:$B5618,colegios!$A$2:$A5618=L3911)"),"50547")</f>
        <v>50547</v>
      </c>
      <c r="F3911" s="14" t="s">
        <v>16</v>
      </c>
      <c r="G3911" s="20" t="s">
        <v>17</v>
      </c>
      <c r="H3911" s="14" t="s">
        <v>18</v>
      </c>
      <c r="I3911" s="22">
        <v>2022.0</v>
      </c>
      <c r="J3911" s="16" t="str">
        <f>IFERROR(__xludf.DUMMYFUNCTION("FILTER('CLASFICACIÓN'!$F$3:$F5618,'CLASFICACIÓN'!$G$3:$G5618=M3911)"),"LOS 3 AÑOS")</f>
        <v>LOS 3 AÑOS</v>
      </c>
      <c r="K3911" s="16"/>
      <c r="L3911" s="14" t="s">
        <v>177</v>
      </c>
      <c r="M3911" s="16" t="str">
        <f t="shared" si="1"/>
        <v>505472 Primaria</v>
      </c>
      <c r="N3911" s="23"/>
      <c r="O3911" s="17"/>
      <c r="P3911" s="17"/>
      <c r="Q3911" s="17"/>
      <c r="R3911" s="17"/>
      <c r="S3911" s="17"/>
      <c r="T3911" s="17"/>
    </row>
    <row r="3912">
      <c r="A3912" s="21">
        <v>40.0</v>
      </c>
      <c r="B3912" s="14" t="s">
        <v>90</v>
      </c>
      <c r="C3912" s="14" t="s">
        <v>14</v>
      </c>
      <c r="D3912" s="20" t="s">
        <v>15</v>
      </c>
      <c r="E3912" s="12" t="str">
        <f>IFERROR(__xludf.DUMMYFUNCTION("FILTER(colegios!$B$2:$B5618,colegios!$A$2:$A5618=L3912)"),"50547")</f>
        <v>50547</v>
      </c>
      <c r="F3912" s="14" t="s">
        <v>16</v>
      </c>
      <c r="G3912" s="20" t="s">
        <v>17</v>
      </c>
      <c r="H3912" s="14" t="s">
        <v>24</v>
      </c>
      <c r="I3912" s="22">
        <v>2022.0</v>
      </c>
      <c r="J3912" s="16" t="str">
        <f>IFERROR(__xludf.DUMMYFUNCTION("FILTER('CLASFICACIÓN'!$F$3:$F5618,'CLASFICACIÓN'!$G$3:$G5618=M3912)"),"LOS 3 AÑOS")</f>
        <v>LOS 3 AÑOS</v>
      </c>
      <c r="K3912" s="16"/>
      <c r="L3912" s="14" t="s">
        <v>177</v>
      </c>
      <c r="M3912" s="16" t="str">
        <f t="shared" si="1"/>
        <v>505472 Primaria</v>
      </c>
      <c r="N3912" s="23"/>
      <c r="O3912" s="17"/>
      <c r="P3912" s="17"/>
      <c r="Q3912" s="17"/>
      <c r="R3912" s="17"/>
      <c r="S3912" s="17"/>
      <c r="T3912" s="17"/>
    </row>
    <row r="3913">
      <c r="A3913" s="21">
        <v>41.0</v>
      </c>
      <c r="B3913" s="14" t="s">
        <v>90</v>
      </c>
      <c r="C3913" s="14" t="s">
        <v>14</v>
      </c>
      <c r="D3913" s="20" t="s">
        <v>15</v>
      </c>
      <c r="E3913" s="12" t="str">
        <f>IFERROR(__xludf.DUMMYFUNCTION("FILTER(colegios!$B$2:$B5618,colegios!$A$2:$A5618=L3913)"),"50547")</f>
        <v>50547</v>
      </c>
      <c r="F3913" s="14" t="s">
        <v>16</v>
      </c>
      <c r="G3913" s="20" t="s">
        <v>17</v>
      </c>
      <c r="H3913" s="14" t="s">
        <v>24</v>
      </c>
      <c r="I3913" s="22">
        <v>2022.0</v>
      </c>
      <c r="J3913" s="16" t="str">
        <f>IFERROR(__xludf.DUMMYFUNCTION("FILTER('CLASFICACIÓN'!$F$3:$F5618,'CLASFICACIÓN'!$G$3:$G5618=M3913)"),"LOS 3 AÑOS")</f>
        <v>LOS 3 AÑOS</v>
      </c>
      <c r="K3913" s="16"/>
      <c r="L3913" s="14" t="s">
        <v>177</v>
      </c>
      <c r="M3913" s="16" t="str">
        <f t="shared" si="1"/>
        <v>505472 Primaria</v>
      </c>
      <c r="N3913" s="23"/>
      <c r="O3913" s="17"/>
      <c r="P3913" s="17"/>
      <c r="Q3913" s="17"/>
      <c r="R3913" s="17"/>
      <c r="S3913" s="17"/>
      <c r="T3913" s="17"/>
    </row>
    <row r="3914">
      <c r="A3914" s="21">
        <v>42.0</v>
      </c>
      <c r="B3914" s="14" t="s">
        <v>90</v>
      </c>
      <c r="C3914" s="14" t="s">
        <v>14</v>
      </c>
      <c r="D3914" s="20" t="s">
        <v>15</v>
      </c>
      <c r="E3914" s="12" t="str">
        <f>IFERROR(__xludf.DUMMYFUNCTION("FILTER(colegios!$B$2:$B5618,colegios!$A$2:$A5618=L3914)"),"50547")</f>
        <v>50547</v>
      </c>
      <c r="F3914" s="14" t="s">
        <v>16</v>
      </c>
      <c r="G3914" s="20" t="s">
        <v>17</v>
      </c>
      <c r="H3914" s="14" t="s">
        <v>24</v>
      </c>
      <c r="I3914" s="22">
        <v>2022.0</v>
      </c>
      <c r="J3914" s="16" t="str">
        <f>IFERROR(__xludf.DUMMYFUNCTION("FILTER('CLASFICACIÓN'!$F$3:$F5618,'CLASFICACIÓN'!$G$3:$G5618=M3914)"),"LOS 3 AÑOS")</f>
        <v>LOS 3 AÑOS</v>
      </c>
      <c r="K3914" s="16"/>
      <c r="L3914" s="14" t="s">
        <v>177</v>
      </c>
      <c r="M3914" s="16" t="str">
        <f t="shared" si="1"/>
        <v>505472 Primaria</v>
      </c>
      <c r="N3914" s="23"/>
      <c r="O3914" s="17"/>
      <c r="P3914" s="17"/>
      <c r="Q3914" s="17"/>
      <c r="R3914" s="17"/>
      <c r="S3914" s="17"/>
      <c r="T3914" s="17"/>
    </row>
    <row r="3915">
      <c r="A3915" s="21">
        <v>43.0</v>
      </c>
      <c r="B3915" s="14" t="s">
        <v>90</v>
      </c>
      <c r="C3915" s="14" t="s">
        <v>14</v>
      </c>
      <c r="D3915" s="20" t="s">
        <v>15</v>
      </c>
      <c r="E3915" s="12" t="str">
        <f>IFERROR(__xludf.DUMMYFUNCTION("FILTER(colegios!$B$2:$B5618,colegios!$A$2:$A5618=L3915)"),"50547")</f>
        <v>50547</v>
      </c>
      <c r="F3915" s="14" t="s">
        <v>16</v>
      </c>
      <c r="G3915" s="20" t="s">
        <v>17</v>
      </c>
      <c r="H3915" s="14" t="s">
        <v>24</v>
      </c>
      <c r="I3915" s="22">
        <v>2022.0</v>
      </c>
      <c r="J3915" s="16" t="str">
        <f>IFERROR(__xludf.DUMMYFUNCTION("FILTER('CLASFICACIÓN'!$F$3:$F5618,'CLASFICACIÓN'!$G$3:$G5618=M3915)"),"LOS 3 AÑOS")</f>
        <v>LOS 3 AÑOS</v>
      </c>
      <c r="K3915" s="16"/>
      <c r="L3915" s="14" t="s">
        <v>177</v>
      </c>
      <c r="M3915" s="16" t="str">
        <f t="shared" si="1"/>
        <v>505472 Primaria</v>
      </c>
      <c r="N3915" s="23"/>
      <c r="O3915" s="17"/>
      <c r="P3915" s="17"/>
      <c r="Q3915" s="17"/>
      <c r="R3915" s="17"/>
      <c r="S3915" s="17"/>
      <c r="T3915" s="17"/>
    </row>
    <row r="3916">
      <c r="A3916" s="21">
        <v>44.0</v>
      </c>
      <c r="B3916" s="14" t="s">
        <v>90</v>
      </c>
      <c r="C3916" s="14" t="s">
        <v>14</v>
      </c>
      <c r="D3916" s="20" t="s">
        <v>15</v>
      </c>
      <c r="E3916" s="12" t="str">
        <f>IFERROR(__xludf.DUMMYFUNCTION("FILTER(colegios!$B$2:$B5618,colegios!$A$2:$A5618=L3916)"),"50547")</f>
        <v>50547</v>
      </c>
      <c r="F3916" s="14" t="s">
        <v>16</v>
      </c>
      <c r="G3916" s="20" t="s">
        <v>21</v>
      </c>
      <c r="H3916" s="14" t="s">
        <v>24</v>
      </c>
      <c r="I3916" s="22">
        <v>2022.0</v>
      </c>
      <c r="J3916" s="16" t="str">
        <f>IFERROR(__xludf.DUMMYFUNCTION("FILTER('CLASFICACIÓN'!$F$3:$F5618,'CLASFICACIÓN'!$G$3:$G5618=M3916)"),"LOS 3 AÑOS")</f>
        <v>LOS 3 AÑOS</v>
      </c>
      <c r="K3916" s="16"/>
      <c r="L3916" s="14" t="s">
        <v>177</v>
      </c>
      <c r="M3916" s="16" t="str">
        <f t="shared" si="1"/>
        <v>505472 Primaria</v>
      </c>
      <c r="N3916" s="23"/>
      <c r="O3916" s="17"/>
      <c r="P3916" s="17"/>
      <c r="Q3916" s="17"/>
      <c r="R3916" s="17"/>
      <c r="S3916" s="17"/>
      <c r="T3916" s="17"/>
    </row>
    <row r="3917">
      <c r="A3917" s="21">
        <v>45.0</v>
      </c>
      <c r="B3917" s="14" t="s">
        <v>90</v>
      </c>
      <c r="C3917" s="14" t="s">
        <v>14</v>
      </c>
      <c r="D3917" s="20" t="s">
        <v>15</v>
      </c>
      <c r="E3917" s="12" t="str">
        <f>IFERROR(__xludf.DUMMYFUNCTION("FILTER(colegios!$B$2:$B5618,colegios!$A$2:$A5618=L3917)"),"50547")</f>
        <v>50547</v>
      </c>
      <c r="F3917" s="14" t="s">
        <v>16</v>
      </c>
      <c r="G3917" s="20" t="s">
        <v>21</v>
      </c>
      <c r="H3917" s="14" t="s">
        <v>24</v>
      </c>
      <c r="I3917" s="22">
        <v>2022.0</v>
      </c>
      <c r="J3917" s="16" t="str">
        <f>IFERROR(__xludf.DUMMYFUNCTION("FILTER('CLASFICACIÓN'!$F$3:$F5618,'CLASFICACIÓN'!$G$3:$G5618=M3917)"),"LOS 3 AÑOS")</f>
        <v>LOS 3 AÑOS</v>
      </c>
      <c r="K3917" s="16"/>
      <c r="L3917" s="14" t="s">
        <v>177</v>
      </c>
      <c r="M3917" s="16" t="str">
        <f t="shared" si="1"/>
        <v>505472 Primaria</v>
      </c>
      <c r="N3917" s="23"/>
      <c r="O3917" s="17"/>
      <c r="P3917" s="17"/>
      <c r="Q3917" s="17"/>
      <c r="R3917" s="17"/>
      <c r="S3917" s="17"/>
      <c r="T3917" s="17"/>
    </row>
    <row r="3918">
      <c r="A3918" s="21">
        <v>46.0</v>
      </c>
      <c r="B3918" s="14" t="s">
        <v>90</v>
      </c>
      <c r="C3918" s="14" t="s">
        <v>14</v>
      </c>
      <c r="D3918" s="20" t="s">
        <v>15</v>
      </c>
      <c r="E3918" s="12" t="str">
        <f>IFERROR(__xludf.DUMMYFUNCTION("FILTER(colegios!$B$2:$B5618,colegios!$A$2:$A5618=L3918)"),"50547")</f>
        <v>50547</v>
      </c>
      <c r="F3918" s="14" t="s">
        <v>16</v>
      </c>
      <c r="G3918" s="20" t="s">
        <v>21</v>
      </c>
      <c r="H3918" s="14" t="s">
        <v>24</v>
      </c>
      <c r="I3918" s="22">
        <v>2022.0</v>
      </c>
      <c r="J3918" s="16" t="str">
        <f>IFERROR(__xludf.DUMMYFUNCTION("FILTER('CLASFICACIÓN'!$F$3:$F5618,'CLASFICACIÓN'!$G$3:$G5618=M3918)"),"LOS 3 AÑOS")</f>
        <v>LOS 3 AÑOS</v>
      </c>
      <c r="K3918" s="16"/>
      <c r="L3918" s="14" t="s">
        <v>177</v>
      </c>
      <c r="M3918" s="16" t="str">
        <f t="shared" si="1"/>
        <v>505472 Primaria</v>
      </c>
      <c r="N3918" s="23"/>
      <c r="O3918" s="17"/>
      <c r="P3918" s="17"/>
      <c r="Q3918" s="17"/>
      <c r="R3918" s="17"/>
      <c r="S3918" s="17"/>
      <c r="T3918" s="17"/>
    </row>
    <row r="3919">
      <c r="A3919" s="21">
        <v>47.0</v>
      </c>
      <c r="B3919" s="14" t="s">
        <v>90</v>
      </c>
      <c r="C3919" s="14" t="s">
        <v>14</v>
      </c>
      <c r="D3919" s="20" t="s">
        <v>15</v>
      </c>
      <c r="E3919" s="12" t="str">
        <f>IFERROR(__xludf.DUMMYFUNCTION("FILTER(colegios!$B$2:$B5618,colegios!$A$2:$A5618=L3919)"),"50547")</f>
        <v>50547</v>
      </c>
      <c r="F3919" s="14" t="s">
        <v>16</v>
      </c>
      <c r="G3919" s="20" t="s">
        <v>17</v>
      </c>
      <c r="H3919" s="14" t="s">
        <v>24</v>
      </c>
      <c r="I3919" s="22">
        <v>2022.0</v>
      </c>
      <c r="J3919" s="16" t="str">
        <f>IFERROR(__xludf.DUMMYFUNCTION("FILTER('CLASFICACIÓN'!$F$3:$F5618,'CLASFICACIÓN'!$G$3:$G5618=M3919)"),"LOS 3 AÑOS")</f>
        <v>LOS 3 AÑOS</v>
      </c>
      <c r="K3919" s="16"/>
      <c r="L3919" s="14" t="s">
        <v>177</v>
      </c>
      <c r="M3919" s="16" t="str">
        <f t="shared" si="1"/>
        <v>505472 Primaria</v>
      </c>
      <c r="N3919" s="23"/>
      <c r="O3919" s="17"/>
      <c r="P3919" s="17"/>
      <c r="Q3919" s="17"/>
      <c r="R3919" s="17"/>
      <c r="S3919" s="17"/>
      <c r="T3919" s="17"/>
    </row>
    <row r="3920">
      <c r="A3920" s="21">
        <v>48.0</v>
      </c>
      <c r="B3920" s="14" t="s">
        <v>90</v>
      </c>
      <c r="C3920" s="14" t="s">
        <v>14</v>
      </c>
      <c r="D3920" s="20" t="s">
        <v>15</v>
      </c>
      <c r="E3920" s="12" t="str">
        <f>IFERROR(__xludf.DUMMYFUNCTION("FILTER(colegios!$B$2:$B5618,colegios!$A$2:$A5618=L3920)"),"50547")</f>
        <v>50547</v>
      </c>
      <c r="F3920" s="14" t="s">
        <v>16</v>
      </c>
      <c r="G3920" s="20" t="s">
        <v>17</v>
      </c>
      <c r="H3920" s="14" t="s">
        <v>24</v>
      </c>
      <c r="I3920" s="22">
        <v>2022.0</v>
      </c>
      <c r="J3920" s="16" t="str">
        <f>IFERROR(__xludf.DUMMYFUNCTION("FILTER('CLASFICACIÓN'!$F$3:$F5618,'CLASFICACIÓN'!$G$3:$G5618=M3920)"),"LOS 3 AÑOS")</f>
        <v>LOS 3 AÑOS</v>
      </c>
      <c r="K3920" s="16"/>
      <c r="L3920" s="14" t="s">
        <v>177</v>
      </c>
      <c r="M3920" s="16" t="str">
        <f t="shared" si="1"/>
        <v>505472 Primaria</v>
      </c>
      <c r="N3920" s="23"/>
      <c r="O3920" s="17"/>
      <c r="P3920" s="17"/>
      <c r="Q3920" s="17"/>
      <c r="R3920" s="17"/>
      <c r="S3920" s="17"/>
      <c r="T3920" s="17"/>
    </row>
    <row r="3921">
      <c r="A3921" s="21">
        <v>49.0</v>
      </c>
      <c r="B3921" s="14" t="s">
        <v>90</v>
      </c>
      <c r="C3921" s="14" t="s">
        <v>14</v>
      </c>
      <c r="D3921" s="20" t="s">
        <v>15</v>
      </c>
      <c r="E3921" s="12" t="str">
        <f>IFERROR(__xludf.DUMMYFUNCTION("FILTER(colegios!$B$2:$B5618,colegios!$A$2:$A5618=L3921)"),"50547")</f>
        <v>50547</v>
      </c>
      <c r="F3921" s="14" t="s">
        <v>16</v>
      </c>
      <c r="G3921" s="20" t="s">
        <v>21</v>
      </c>
      <c r="H3921" s="14" t="s">
        <v>24</v>
      </c>
      <c r="I3921" s="22">
        <v>2022.0</v>
      </c>
      <c r="J3921" s="16" t="str">
        <f>IFERROR(__xludf.DUMMYFUNCTION("FILTER('CLASFICACIÓN'!$F$3:$F5618,'CLASFICACIÓN'!$G$3:$G5618=M3921)"),"LOS 3 AÑOS")</f>
        <v>LOS 3 AÑOS</v>
      </c>
      <c r="K3921" s="16"/>
      <c r="L3921" s="14" t="s">
        <v>177</v>
      </c>
      <c r="M3921" s="16" t="str">
        <f t="shared" si="1"/>
        <v>505472 Primaria</v>
      </c>
      <c r="N3921" s="23"/>
      <c r="O3921" s="17"/>
      <c r="P3921" s="17"/>
      <c r="Q3921" s="17"/>
      <c r="R3921" s="17"/>
      <c r="S3921" s="17"/>
      <c r="T3921" s="17"/>
    </row>
    <row r="3922">
      <c r="A3922" s="21">
        <v>50.0</v>
      </c>
      <c r="B3922" s="14" t="s">
        <v>90</v>
      </c>
      <c r="C3922" s="14" t="s">
        <v>14</v>
      </c>
      <c r="D3922" s="20" t="s">
        <v>15</v>
      </c>
      <c r="E3922" s="12" t="str">
        <f>IFERROR(__xludf.DUMMYFUNCTION("FILTER(colegios!$B$2:$B5618,colegios!$A$2:$A5618=L3922)"),"50547")</f>
        <v>50547</v>
      </c>
      <c r="F3922" s="14" t="s">
        <v>16</v>
      </c>
      <c r="G3922" s="20" t="s">
        <v>17</v>
      </c>
      <c r="H3922" s="14" t="s">
        <v>24</v>
      </c>
      <c r="I3922" s="22">
        <v>2022.0</v>
      </c>
      <c r="J3922" s="16" t="str">
        <f>IFERROR(__xludf.DUMMYFUNCTION("FILTER('CLASFICACIÓN'!$F$3:$F5618,'CLASFICACIÓN'!$G$3:$G5618=M3922)"),"LOS 3 AÑOS")</f>
        <v>LOS 3 AÑOS</v>
      </c>
      <c r="K3922" s="16"/>
      <c r="L3922" s="14" t="s">
        <v>177</v>
      </c>
      <c r="M3922" s="16" t="str">
        <f t="shared" si="1"/>
        <v>505472 Primaria</v>
      </c>
      <c r="N3922" s="23"/>
      <c r="O3922" s="17"/>
      <c r="P3922" s="17"/>
      <c r="Q3922" s="17"/>
      <c r="R3922" s="17"/>
      <c r="S3922" s="17"/>
      <c r="T3922" s="17"/>
    </row>
    <row r="3923">
      <c r="A3923" s="21">
        <v>51.0</v>
      </c>
      <c r="B3923" s="14" t="s">
        <v>90</v>
      </c>
      <c r="C3923" s="14" t="s">
        <v>14</v>
      </c>
      <c r="D3923" s="20" t="s">
        <v>15</v>
      </c>
      <c r="E3923" s="12" t="str">
        <f>IFERROR(__xludf.DUMMYFUNCTION("FILTER(colegios!$B$2:$B5618,colegios!$A$2:$A5618=L3923)"),"50977")</f>
        <v>50977</v>
      </c>
      <c r="F3923" s="14" t="s">
        <v>16</v>
      </c>
      <c r="G3923" s="20" t="s">
        <v>17</v>
      </c>
      <c r="H3923" s="14" t="s">
        <v>18</v>
      </c>
      <c r="I3923" s="22">
        <v>2022.0</v>
      </c>
      <c r="J3923" s="16" t="str">
        <f>IFERROR(__xludf.DUMMYFUNCTION("FILTER('CLASFICACIÓN'!$F$3:$F5618,'CLASFICACIÓN'!$G$3:$G5618=M3923)"),"LOS 3 AÑOS")</f>
        <v>LOS 3 AÑOS</v>
      </c>
      <c r="K3923" s="16"/>
      <c r="L3923" s="14" t="s">
        <v>178</v>
      </c>
      <c r="M3923" s="16" t="str">
        <f t="shared" si="1"/>
        <v>509772 Primaria</v>
      </c>
      <c r="N3923" s="23"/>
      <c r="O3923" s="17"/>
      <c r="P3923" s="17"/>
      <c r="Q3923" s="17"/>
      <c r="R3923" s="17"/>
      <c r="S3923" s="17"/>
      <c r="T3923" s="17"/>
    </row>
    <row r="3924">
      <c r="A3924" s="21">
        <v>52.0</v>
      </c>
      <c r="B3924" s="14" t="s">
        <v>90</v>
      </c>
      <c r="C3924" s="14" t="s">
        <v>14</v>
      </c>
      <c r="D3924" s="20" t="s">
        <v>15</v>
      </c>
      <c r="E3924" s="12" t="str">
        <f>IFERROR(__xludf.DUMMYFUNCTION("FILTER(colegios!$B$2:$B5618,colegios!$A$2:$A5618=L3924)"),"50977")</f>
        <v>50977</v>
      </c>
      <c r="F3924" s="14" t="s">
        <v>16</v>
      </c>
      <c r="G3924" s="20" t="s">
        <v>17</v>
      </c>
      <c r="H3924" s="14" t="s">
        <v>18</v>
      </c>
      <c r="I3924" s="22">
        <v>2022.0</v>
      </c>
      <c r="J3924" s="16" t="str">
        <f>IFERROR(__xludf.DUMMYFUNCTION("FILTER('CLASFICACIÓN'!$F$3:$F5618,'CLASFICACIÓN'!$G$3:$G5618=M3924)"),"LOS 3 AÑOS")</f>
        <v>LOS 3 AÑOS</v>
      </c>
      <c r="K3924" s="16"/>
      <c r="L3924" s="14" t="s">
        <v>178</v>
      </c>
      <c r="M3924" s="16" t="str">
        <f t="shared" si="1"/>
        <v>509772 Primaria</v>
      </c>
      <c r="N3924" s="23"/>
      <c r="O3924" s="17"/>
      <c r="P3924" s="17"/>
      <c r="Q3924" s="17"/>
      <c r="R3924" s="17"/>
      <c r="S3924" s="17"/>
      <c r="T3924" s="17"/>
    </row>
    <row r="3925">
      <c r="A3925" s="21">
        <v>53.0</v>
      </c>
      <c r="B3925" s="14" t="s">
        <v>90</v>
      </c>
      <c r="C3925" s="14" t="s">
        <v>14</v>
      </c>
      <c r="D3925" s="20" t="s">
        <v>15</v>
      </c>
      <c r="E3925" s="12" t="str">
        <f>IFERROR(__xludf.DUMMYFUNCTION("FILTER(colegios!$B$2:$B5618,colegios!$A$2:$A5618=L3925)"),"50977")</f>
        <v>50977</v>
      </c>
      <c r="F3925" s="14" t="s">
        <v>16</v>
      </c>
      <c r="G3925" s="20" t="s">
        <v>21</v>
      </c>
      <c r="H3925" s="14" t="s">
        <v>18</v>
      </c>
      <c r="I3925" s="22">
        <v>2022.0</v>
      </c>
      <c r="J3925" s="16" t="str">
        <f>IFERROR(__xludf.DUMMYFUNCTION("FILTER('CLASFICACIÓN'!$F$3:$F5618,'CLASFICACIÓN'!$G$3:$G5618=M3925)"),"LOS 3 AÑOS")</f>
        <v>LOS 3 AÑOS</v>
      </c>
      <c r="K3925" s="16"/>
      <c r="L3925" s="14" t="s">
        <v>178</v>
      </c>
      <c r="M3925" s="16" t="str">
        <f t="shared" si="1"/>
        <v>509772 Primaria</v>
      </c>
      <c r="N3925" s="23"/>
      <c r="O3925" s="17"/>
      <c r="P3925" s="17"/>
      <c r="Q3925" s="17"/>
      <c r="R3925" s="17"/>
      <c r="S3925" s="17"/>
      <c r="T3925" s="17"/>
    </row>
    <row r="3926">
      <c r="A3926" s="21">
        <v>54.0</v>
      </c>
      <c r="B3926" s="14" t="s">
        <v>90</v>
      </c>
      <c r="C3926" s="14" t="s">
        <v>14</v>
      </c>
      <c r="D3926" s="20" t="s">
        <v>15</v>
      </c>
      <c r="E3926" s="12" t="str">
        <f>IFERROR(__xludf.DUMMYFUNCTION("FILTER(colegios!$B$2:$B5618,colegios!$A$2:$A5618=L3926)"),"50977")</f>
        <v>50977</v>
      </c>
      <c r="F3926" s="14" t="s">
        <v>16</v>
      </c>
      <c r="G3926" s="20" t="s">
        <v>21</v>
      </c>
      <c r="H3926" s="14" t="s">
        <v>18</v>
      </c>
      <c r="I3926" s="22">
        <v>2022.0</v>
      </c>
      <c r="J3926" s="16" t="str">
        <f>IFERROR(__xludf.DUMMYFUNCTION("FILTER('CLASFICACIÓN'!$F$3:$F5618,'CLASFICACIÓN'!$G$3:$G5618=M3926)"),"LOS 3 AÑOS")</f>
        <v>LOS 3 AÑOS</v>
      </c>
      <c r="K3926" s="16"/>
      <c r="L3926" s="14" t="s">
        <v>178</v>
      </c>
      <c r="M3926" s="16" t="str">
        <f t="shared" si="1"/>
        <v>509772 Primaria</v>
      </c>
      <c r="N3926" s="23"/>
      <c r="O3926" s="17"/>
      <c r="P3926" s="17"/>
      <c r="Q3926" s="17"/>
      <c r="R3926" s="17"/>
      <c r="S3926" s="17"/>
      <c r="T3926" s="17"/>
    </row>
    <row r="3927">
      <c r="A3927" s="21">
        <v>55.0</v>
      </c>
      <c r="B3927" s="14" t="s">
        <v>90</v>
      </c>
      <c r="C3927" s="14" t="s">
        <v>14</v>
      </c>
      <c r="D3927" s="20" t="s">
        <v>15</v>
      </c>
      <c r="E3927" s="12" t="str">
        <f>IFERROR(__xludf.DUMMYFUNCTION("FILTER(colegios!$B$2:$B5618,colegios!$A$2:$A5618=L3927)"),"50977")</f>
        <v>50977</v>
      </c>
      <c r="F3927" s="14" t="s">
        <v>16</v>
      </c>
      <c r="G3927" s="20" t="s">
        <v>17</v>
      </c>
      <c r="H3927" s="14" t="s">
        <v>18</v>
      </c>
      <c r="I3927" s="22">
        <v>2022.0</v>
      </c>
      <c r="J3927" s="16" t="str">
        <f>IFERROR(__xludf.DUMMYFUNCTION("FILTER('CLASFICACIÓN'!$F$3:$F5618,'CLASFICACIÓN'!$G$3:$G5618=M3927)"),"LOS 3 AÑOS")</f>
        <v>LOS 3 AÑOS</v>
      </c>
      <c r="K3927" s="16"/>
      <c r="L3927" s="14" t="s">
        <v>178</v>
      </c>
      <c r="M3927" s="16" t="str">
        <f t="shared" si="1"/>
        <v>509772 Primaria</v>
      </c>
      <c r="N3927" s="23"/>
      <c r="O3927" s="17"/>
      <c r="P3927" s="17"/>
      <c r="Q3927" s="17"/>
      <c r="R3927" s="17"/>
      <c r="S3927" s="17"/>
      <c r="T3927" s="17"/>
    </row>
    <row r="3928">
      <c r="A3928" s="21">
        <v>56.0</v>
      </c>
      <c r="B3928" s="14" t="s">
        <v>90</v>
      </c>
      <c r="C3928" s="14" t="s">
        <v>14</v>
      </c>
      <c r="D3928" s="20" t="s">
        <v>15</v>
      </c>
      <c r="E3928" s="12" t="str">
        <f>IFERROR(__xludf.DUMMYFUNCTION("FILTER(colegios!$B$2:$B5618,colegios!$A$2:$A5618=L3928)"),"50977")</f>
        <v>50977</v>
      </c>
      <c r="F3928" s="14" t="s">
        <v>16</v>
      </c>
      <c r="G3928" s="20" t="s">
        <v>21</v>
      </c>
      <c r="H3928" s="14" t="s">
        <v>18</v>
      </c>
      <c r="I3928" s="22">
        <v>2022.0</v>
      </c>
      <c r="J3928" s="16" t="str">
        <f>IFERROR(__xludf.DUMMYFUNCTION("FILTER('CLASFICACIÓN'!$F$3:$F5618,'CLASFICACIÓN'!$G$3:$G5618=M3928)"),"LOS 3 AÑOS")</f>
        <v>LOS 3 AÑOS</v>
      </c>
      <c r="K3928" s="16"/>
      <c r="L3928" s="14" t="s">
        <v>178</v>
      </c>
      <c r="M3928" s="16" t="str">
        <f t="shared" si="1"/>
        <v>509772 Primaria</v>
      </c>
      <c r="N3928" s="23"/>
      <c r="O3928" s="17"/>
      <c r="P3928" s="17"/>
      <c r="Q3928" s="17"/>
      <c r="R3928" s="17"/>
      <c r="S3928" s="17"/>
      <c r="T3928" s="17"/>
    </row>
    <row r="3929">
      <c r="A3929" s="21">
        <v>57.0</v>
      </c>
      <c r="B3929" s="14" t="s">
        <v>90</v>
      </c>
      <c r="C3929" s="14" t="s">
        <v>14</v>
      </c>
      <c r="D3929" s="20" t="s">
        <v>15</v>
      </c>
      <c r="E3929" s="12" t="str">
        <f>IFERROR(__xludf.DUMMYFUNCTION("FILTER(colegios!$B$2:$B5618,colegios!$A$2:$A5618=L3929)"),"50977")</f>
        <v>50977</v>
      </c>
      <c r="F3929" s="14" t="s">
        <v>16</v>
      </c>
      <c r="G3929" s="20" t="s">
        <v>21</v>
      </c>
      <c r="H3929" s="14" t="s">
        <v>18</v>
      </c>
      <c r="I3929" s="22">
        <v>2022.0</v>
      </c>
      <c r="J3929" s="16" t="str">
        <f>IFERROR(__xludf.DUMMYFUNCTION("FILTER('CLASFICACIÓN'!$F$3:$F5618,'CLASFICACIÓN'!$G$3:$G5618=M3929)"),"LOS 3 AÑOS")</f>
        <v>LOS 3 AÑOS</v>
      </c>
      <c r="K3929" s="16"/>
      <c r="L3929" s="14" t="s">
        <v>178</v>
      </c>
      <c r="M3929" s="16" t="str">
        <f t="shared" si="1"/>
        <v>509772 Primaria</v>
      </c>
      <c r="N3929" s="23"/>
      <c r="O3929" s="17"/>
      <c r="P3929" s="17"/>
      <c r="Q3929" s="17"/>
      <c r="R3929" s="17"/>
      <c r="S3929" s="17"/>
      <c r="T3929" s="17"/>
    </row>
    <row r="3930">
      <c r="A3930" s="21">
        <v>58.0</v>
      </c>
      <c r="B3930" s="14" t="s">
        <v>90</v>
      </c>
      <c r="C3930" s="14" t="s">
        <v>14</v>
      </c>
      <c r="D3930" s="20" t="s">
        <v>15</v>
      </c>
      <c r="E3930" s="12" t="str">
        <f>IFERROR(__xludf.DUMMYFUNCTION("FILTER(colegios!$B$2:$B5618,colegios!$A$2:$A5618=L3930)"),"50977")</f>
        <v>50977</v>
      </c>
      <c r="F3930" s="14" t="s">
        <v>16</v>
      </c>
      <c r="G3930" s="20" t="s">
        <v>21</v>
      </c>
      <c r="H3930" s="14" t="s">
        <v>18</v>
      </c>
      <c r="I3930" s="22">
        <v>2022.0</v>
      </c>
      <c r="J3930" s="16" t="str">
        <f>IFERROR(__xludf.DUMMYFUNCTION("FILTER('CLASFICACIÓN'!$F$3:$F5618,'CLASFICACIÓN'!$G$3:$G5618=M3930)"),"LOS 3 AÑOS")</f>
        <v>LOS 3 AÑOS</v>
      </c>
      <c r="K3930" s="16"/>
      <c r="L3930" s="14" t="s">
        <v>178</v>
      </c>
      <c r="M3930" s="16" t="str">
        <f t="shared" si="1"/>
        <v>509772 Primaria</v>
      </c>
      <c r="N3930" s="23"/>
      <c r="O3930" s="17"/>
      <c r="P3930" s="17"/>
      <c r="Q3930" s="17"/>
      <c r="R3930" s="17"/>
      <c r="S3930" s="17"/>
      <c r="T3930" s="17"/>
    </row>
    <row r="3931">
      <c r="A3931" s="21">
        <v>59.0</v>
      </c>
      <c r="B3931" s="14" t="s">
        <v>90</v>
      </c>
      <c r="C3931" s="14" t="s">
        <v>14</v>
      </c>
      <c r="D3931" s="20" t="s">
        <v>15</v>
      </c>
      <c r="E3931" s="12" t="str">
        <f>IFERROR(__xludf.DUMMYFUNCTION("FILTER(colegios!$B$2:$B5618,colegios!$A$2:$A5618=L3931)"),"50977")</f>
        <v>50977</v>
      </c>
      <c r="F3931" s="14" t="s">
        <v>16</v>
      </c>
      <c r="G3931" s="20" t="s">
        <v>21</v>
      </c>
      <c r="H3931" s="14" t="s">
        <v>18</v>
      </c>
      <c r="I3931" s="22">
        <v>2022.0</v>
      </c>
      <c r="J3931" s="16" t="str">
        <f>IFERROR(__xludf.DUMMYFUNCTION("FILTER('CLASFICACIÓN'!$F$3:$F5618,'CLASFICACIÓN'!$G$3:$G5618=M3931)"),"LOS 3 AÑOS")</f>
        <v>LOS 3 AÑOS</v>
      </c>
      <c r="K3931" s="16"/>
      <c r="L3931" s="14" t="s">
        <v>178</v>
      </c>
      <c r="M3931" s="16" t="str">
        <f t="shared" si="1"/>
        <v>509772 Primaria</v>
      </c>
      <c r="N3931" s="23"/>
      <c r="O3931" s="17"/>
      <c r="P3931" s="17"/>
      <c r="Q3931" s="17"/>
      <c r="R3931" s="17"/>
      <c r="S3931" s="17"/>
      <c r="T3931" s="17"/>
    </row>
    <row r="3932">
      <c r="A3932" s="21">
        <v>60.0</v>
      </c>
      <c r="B3932" s="14" t="s">
        <v>90</v>
      </c>
      <c r="C3932" s="14" t="s">
        <v>14</v>
      </c>
      <c r="D3932" s="20" t="s">
        <v>15</v>
      </c>
      <c r="E3932" s="12" t="str">
        <f>IFERROR(__xludf.DUMMYFUNCTION("FILTER(colegios!$B$2:$B5618,colegios!$A$2:$A5618=L3932)"),"50977")</f>
        <v>50977</v>
      </c>
      <c r="F3932" s="14" t="s">
        <v>16</v>
      </c>
      <c r="G3932" s="20" t="s">
        <v>21</v>
      </c>
      <c r="H3932" s="14" t="s">
        <v>18</v>
      </c>
      <c r="I3932" s="22">
        <v>2022.0</v>
      </c>
      <c r="J3932" s="16" t="str">
        <f>IFERROR(__xludf.DUMMYFUNCTION("FILTER('CLASFICACIÓN'!$F$3:$F5618,'CLASFICACIÓN'!$G$3:$G5618=M3932)"),"LOS 3 AÑOS")</f>
        <v>LOS 3 AÑOS</v>
      </c>
      <c r="K3932" s="16"/>
      <c r="L3932" s="14" t="s">
        <v>178</v>
      </c>
      <c r="M3932" s="16" t="str">
        <f t="shared" si="1"/>
        <v>509772 Primaria</v>
      </c>
      <c r="N3932" s="23"/>
      <c r="O3932" s="17"/>
      <c r="P3932" s="17"/>
      <c r="Q3932" s="17"/>
      <c r="R3932" s="17"/>
      <c r="S3932" s="17"/>
      <c r="T3932" s="17"/>
    </row>
    <row r="3933">
      <c r="A3933" s="21">
        <v>61.0</v>
      </c>
      <c r="B3933" s="14" t="s">
        <v>90</v>
      </c>
      <c r="C3933" s="14" t="s">
        <v>14</v>
      </c>
      <c r="D3933" s="20" t="s">
        <v>15</v>
      </c>
      <c r="E3933" s="12" t="str">
        <f>IFERROR(__xludf.DUMMYFUNCTION("FILTER(colegios!$B$2:$B5618,colegios!$A$2:$A5618=L3933)"),"50977")</f>
        <v>50977</v>
      </c>
      <c r="F3933" s="14" t="s">
        <v>16</v>
      </c>
      <c r="G3933" s="20" t="s">
        <v>21</v>
      </c>
      <c r="H3933" s="14" t="s">
        <v>18</v>
      </c>
      <c r="I3933" s="22">
        <v>2022.0</v>
      </c>
      <c r="J3933" s="16" t="str">
        <f>IFERROR(__xludf.DUMMYFUNCTION("FILTER('CLASFICACIÓN'!$F$3:$F5618,'CLASFICACIÓN'!$G$3:$G5618=M3933)"),"LOS 3 AÑOS")</f>
        <v>LOS 3 AÑOS</v>
      </c>
      <c r="K3933" s="16"/>
      <c r="L3933" s="14" t="s">
        <v>178</v>
      </c>
      <c r="M3933" s="16" t="str">
        <f t="shared" si="1"/>
        <v>509772 Primaria</v>
      </c>
      <c r="N3933" s="23"/>
      <c r="O3933" s="17"/>
      <c r="P3933" s="17"/>
      <c r="Q3933" s="17"/>
      <c r="R3933" s="17"/>
      <c r="S3933" s="17"/>
      <c r="T3933" s="17"/>
    </row>
    <row r="3934">
      <c r="A3934" s="21">
        <v>62.0</v>
      </c>
      <c r="B3934" s="14" t="s">
        <v>90</v>
      </c>
      <c r="C3934" s="14" t="s">
        <v>14</v>
      </c>
      <c r="D3934" s="20" t="s">
        <v>15</v>
      </c>
      <c r="E3934" s="12" t="str">
        <f>IFERROR(__xludf.DUMMYFUNCTION("FILTER(colegios!$B$2:$B5618,colegios!$A$2:$A5618=L3934)"),"50977")</f>
        <v>50977</v>
      </c>
      <c r="F3934" s="14" t="s">
        <v>16</v>
      </c>
      <c r="G3934" s="20" t="s">
        <v>21</v>
      </c>
      <c r="H3934" s="14" t="s">
        <v>18</v>
      </c>
      <c r="I3934" s="22">
        <v>2022.0</v>
      </c>
      <c r="J3934" s="16" t="str">
        <f>IFERROR(__xludf.DUMMYFUNCTION("FILTER('CLASFICACIÓN'!$F$3:$F5618,'CLASFICACIÓN'!$G$3:$G5618=M3934)"),"LOS 3 AÑOS")</f>
        <v>LOS 3 AÑOS</v>
      </c>
      <c r="K3934" s="16"/>
      <c r="L3934" s="14" t="s">
        <v>178</v>
      </c>
      <c r="M3934" s="16" t="str">
        <f t="shared" si="1"/>
        <v>509772 Primaria</v>
      </c>
      <c r="N3934" s="23"/>
      <c r="O3934" s="17"/>
      <c r="P3934" s="17"/>
      <c r="Q3934" s="17"/>
      <c r="R3934" s="17"/>
      <c r="S3934" s="17"/>
      <c r="T3934" s="17"/>
    </row>
    <row r="3935">
      <c r="A3935" s="21">
        <v>63.0</v>
      </c>
      <c r="B3935" s="14" t="s">
        <v>90</v>
      </c>
      <c r="C3935" s="14" t="s">
        <v>14</v>
      </c>
      <c r="D3935" s="20" t="s">
        <v>15</v>
      </c>
      <c r="E3935" s="12" t="str">
        <f>IFERROR(__xludf.DUMMYFUNCTION("FILTER(colegios!$B$2:$B5618,colegios!$A$2:$A5618=L3935)"),"50977")</f>
        <v>50977</v>
      </c>
      <c r="F3935" s="14" t="s">
        <v>16</v>
      </c>
      <c r="G3935" s="20" t="s">
        <v>21</v>
      </c>
      <c r="H3935" s="14" t="s">
        <v>18</v>
      </c>
      <c r="I3935" s="22">
        <v>2022.0</v>
      </c>
      <c r="J3935" s="16" t="str">
        <f>IFERROR(__xludf.DUMMYFUNCTION("FILTER('CLASFICACIÓN'!$F$3:$F5618,'CLASFICACIÓN'!$G$3:$G5618=M3935)"),"LOS 3 AÑOS")</f>
        <v>LOS 3 AÑOS</v>
      </c>
      <c r="K3935" s="16"/>
      <c r="L3935" s="14" t="s">
        <v>178</v>
      </c>
      <c r="M3935" s="16" t="str">
        <f t="shared" si="1"/>
        <v>509772 Primaria</v>
      </c>
      <c r="N3935" s="23"/>
      <c r="O3935" s="17"/>
      <c r="P3935" s="17"/>
      <c r="Q3935" s="17"/>
      <c r="R3935" s="17"/>
      <c r="S3935" s="17"/>
      <c r="T3935" s="17"/>
    </row>
    <row r="3936">
      <c r="A3936" s="21">
        <v>64.0</v>
      </c>
      <c r="B3936" s="14" t="s">
        <v>90</v>
      </c>
      <c r="C3936" s="14" t="s">
        <v>14</v>
      </c>
      <c r="D3936" s="20" t="s">
        <v>15</v>
      </c>
      <c r="E3936" s="12" t="str">
        <f>IFERROR(__xludf.DUMMYFUNCTION("FILTER(colegios!$B$2:$B5618,colegios!$A$2:$A5618=L3936)"),"50977")</f>
        <v>50977</v>
      </c>
      <c r="F3936" s="14" t="s">
        <v>16</v>
      </c>
      <c r="G3936" s="20" t="s">
        <v>21</v>
      </c>
      <c r="H3936" s="14" t="s">
        <v>18</v>
      </c>
      <c r="I3936" s="22">
        <v>2022.0</v>
      </c>
      <c r="J3936" s="16" t="str">
        <f>IFERROR(__xludf.DUMMYFUNCTION("FILTER('CLASFICACIÓN'!$F$3:$F5618,'CLASFICACIÓN'!$G$3:$G5618=M3936)"),"LOS 3 AÑOS")</f>
        <v>LOS 3 AÑOS</v>
      </c>
      <c r="K3936" s="16"/>
      <c r="L3936" s="14" t="s">
        <v>178</v>
      </c>
      <c r="M3936" s="16" t="str">
        <f t="shared" si="1"/>
        <v>509772 Primaria</v>
      </c>
      <c r="N3936" s="23"/>
      <c r="O3936" s="17"/>
      <c r="P3936" s="17"/>
      <c r="Q3936" s="17"/>
      <c r="R3936" s="17"/>
      <c r="S3936" s="17"/>
      <c r="T3936" s="17"/>
    </row>
    <row r="3937">
      <c r="A3937" s="21">
        <v>65.0</v>
      </c>
      <c r="B3937" s="14" t="s">
        <v>90</v>
      </c>
      <c r="C3937" s="14" t="s">
        <v>14</v>
      </c>
      <c r="D3937" s="20" t="s">
        <v>15</v>
      </c>
      <c r="E3937" s="12" t="str">
        <f>IFERROR(__xludf.DUMMYFUNCTION("FILTER(colegios!$B$2:$B5618,colegios!$A$2:$A5618=L3937)"),"50977")</f>
        <v>50977</v>
      </c>
      <c r="F3937" s="14" t="s">
        <v>16</v>
      </c>
      <c r="G3937" s="20" t="s">
        <v>17</v>
      </c>
      <c r="H3937" s="14" t="s">
        <v>18</v>
      </c>
      <c r="I3937" s="22">
        <v>2022.0</v>
      </c>
      <c r="J3937" s="16" t="str">
        <f>IFERROR(__xludf.DUMMYFUNCTION("FILTER('CLASFICACIÓN'!$F$3:$F5618,'CLASFICACIÓN'!$G$3:$G5618=M3937)"),"LOS 3 AÑOS")</f>
        <v>LOS 3 AÑOS</v>
      </c>
      <c r="K3937" s="16"/>
      <c r="L3937" s="14" t="s">
        <v>178</v>
      </c>
      <c r="M3937" s="16" t="str">
        <f t="shared" si="1"/>
        <v>509772 Primaria</v>
      </c>
      <c r="N3937" s="23"/>
      <c r="O3937" s="17"/>
      <c r="P3937" s="17"/>
      <c r="Q3937" s="17"/>
      <c r="R3937" s="17"/>
      <c r="S3937" s="17"/>
      <c r="T3937" s="17"/>
    </row>
    <row r="3938">
      <c r="A3938" s="21">
        <v>66.0</v>
      </c>
      <c r="B3938" s="14" t="s">
        <v>90</v>
      </c>
      <c r="C3938" s="14" t="s">
        <v>14</v>
      </c>
      <c r="D3938" s="20" t="s">
        <v>15</v>
      </c>
      <c r="E3938" s="12" t="str">
        <f>IFERROR(__xludf.DUMMYFUNCTION("FILTER(colegios!$B$2:$B5618,colegios!$A$2:$A5618=L3938)"),"50977")</f>
        <v>50977</v>
      </c>
      <c r="F3938" s="14" t="s">
        <v>16</v>
      </c>
      <c r="G3938" s="20" t="s">
        <v>21</v>
      </c>
      <c r="H3938" s="14" t="s">
        <v>18</v>
      </c>
      <c r="I3938" s="22">
        <v>2022.0</v>
      </c>
      <c r="J3938" s="16" t="str">
        <f>IFERROR(__xludf.DUMMYFUNCTION("FILTER('CLASFICACIÓN'!$F$3:$F5618,'CLASFICACIÓN'!$G$3:$G5618=M3938)"),"LOS 3 AÑOS")</f>
        <v>LOS 3 AÑOS</v>
      </c>
      <c r="K3938" s="16"/>
      <c r="L3938" s="14" t="s">
        <v>178</v>
      </c>
      <c r="M3938" s="16" t="str">
        <f t="shared" si="1"/>
        <v>509772 Primaria</v>
      </c>
      <c r="N3938" s="23"/>
      <c r="O3938" s="17"/>
      <c r="P3938" s="17"/>
      <c r="Q3938" s="17"/>
      <c r="R3938" s="17"/>
      <c r="S3938" s="17"/>
      <c r="T3938" s="17"/>
    </row>
    <row r="3939">
      <c r="A3939" s="21">
        <v>67.0</v>
      </c>
      <c r="B3939" s="14" t="s">
        <v>90</v>
      </c>
      <c r="C3939" s="14" t="s">
        <v>14</v>
      </c>
      <c r="D3939" s="20" t="s">
        <v>15</v>
      </c>
      <c r="E3939" s="12" t="str">
        <f>IFERROR(__xludf.DUMMYFUNCTION("FILTER(colegios!$B$2:$B5618,colegios!$A$2:$A5618=L3939)"),"50977")</f>
        <v>50977</v>
      </c>
      <c r="F3939" s="14" t="s">
        <v>16</v>
      </c>
      <c r="G3939" s="20" t="s">
        <v>17</v>
      </c>
      <c r="H3939" s="14" t="s">
        <v>18</v>
      </c>
      <c r="I3939" s="22">
        <v>2022.0</v>
      </c>
      <c r="J3939" s="16" t="str">
        <f>IFERROR(__xludf.DUMMYFUNCTION("FILTER('CLASFICACIÓN'!$F$3:$F5618,'CLASFICACIÓN'!$G$3:$G5618=M3939)"),"LOS 3 AÑOS")</f>
        <v>LOS 3 AÑOS</v>
      </c>
      <c r="K3939" s="16"/>
      <c r="L3939" s="14" t="s">
        <v>178</v>
      </c>
      <c r="M3939" s="16" t="str">
        <f t="shared" si="1"/>
        <v>509772 Primaria</v>
      </c>
      <c r="N3939" s="23"/>
      <c r="O3939" s="17"/>
      <c r="P3939" s="17"/>
      <c r="Q3939" s="17"/>
      <c r="R3939" s="17"/>
      <c r="S3939" s="17"/>
      <c r="T3939" s="17"/>
    </row>
    <row r="3940">
      <c r="A3940" s="21">
        <v>68.0</v>
      </c>
      <c r="B3940" s="14" t="s">
        <v>90</v>
      </c>
      <c r="C3940" s="14" t="s">
        <v>14</v>
      </c>
      <c r="D3940" s="20" t="s">
        <v>15</v>
      </c>
      <c r="E3940" s="12" t="str">
        <f>IFERROR(__xludf.DUMMYFUNCTION("FILTER(colegios!$B$2:$B5618,colegios!$A$2:$A5618=L3940)"),"50977")</f>
        <v>50977</v>
      </c>
      <c r="F3940" s="14" t="s">
        <v>16</v>
      </c>
      <c r="G3940" s="20" t="s">
        <v>17</v>
      </c>
      <c r="H3940" s="14" t="s">
        <v>18</v>
      </c>
      <c r="I3940" s="22">
        <v>2022.0</v>
      </c>
      <c r="J3940" s="16" t="str">
        <f>IFERROR(__xludf.DUMMYFUNCTION("FILTER('CLASFICACIÓN'!$F$3:$F5618,'CLASFICACIÓN'!$G$3:$G5618=M3940)"),"LOS 3 AÑOS")</f>
        <v>LOS 3 AÑOS</v>
      </c>
      <c r="K3940" s="16"/>
      <c r="L3940" s="14" t="s">
        <v>178</v>
      </c>
      <c r="M3940" s="16" t="str">
        <f t="shared" si="1"/>
        <v>509772 Primaria</v>
      </c>
      <c r="N3940" s="23"/>
      <c r="O3940" s="17"/>
      <c r="P3940" s="17"/>
      <c r="Q3940" s="17"/>
      <c r="R3940" s="17"/>
      <c r="S3940" s="17"/>
      <c r="T3940" s="17"/>
    </row>
    <row r="3941">
      <c r="A3941" s="21">
        <v>69.0</v>
      </c>
      <c r="B3941" s="14" t="s">
        <v>90</v>
      </c>
      <c r="C3941" s="14" t="s">
        <v>14</v>
      </c>
      <c r="D3941" s="20" t="s">
        <v>15</v>
      </c>
      <c r="E3941" s="12" t="str">
        <f>IFERROR(__xludf.DUMMYFUNCTION("FILTER(colegios!$B$2:$B5618,colegios!$A$2:$A5618=L3941)"),"50977")</f>
        <v>50977</v>
      </c>
      <c r="F3941" s="14" t="s">
        <v>16</v>
      </c>
      <c r="G3941" s="20" t="s">
        <v>21</v>
      </c>
      <c r="H3941" s="14" t="s">
        <v>18</v>
      </c>
      <c r="I3941" s="22">
        <v>2022.0</v>
      </c>
      <c r="J3941" s="16" t="str">
        <f>IFERROR(__xludf.DUMMYFUNCTION("FILTER('CLASFICACIÓN'!$F$3:$F5618,'CLASFICACIÓN'!$G$3:$G5618=M3941)"),"LOS 3 AÑOS")</f>
        <v>LOS 3 AÑOS</v>
      </c>
      <c r="K3941" s="16"/>
      <c r="L3941" s="14" t="s">
        <v>178</v>
      </c>
      <c r="M3941" s="16" t="str">
        <f t="shared" si="1"/>
        <v>509772 Primaria</v>
      </c>
      <c r="N3941" s="23"/>
      <c r="O3941" s="17"/>
      <c r="P3941" s="17"/>
      <c r="Q3941" s="17"/>
      <c r="R3941" s="17"/>
      <c r="S3941" s="17"/>
      <c r="T3941" s="17"/>
    </row>
    <row r="3942">
      <c r="A3942" s="21">
        <v>70.0</v>
      </c>
      <c r="B3942" s="14" t="s">
        <v>90</v>
      </c>
      <c r="C3942" s="14" t="s">
        <v>14</v>
      </c>
      <c r="D3942" s="20" t="s">
        <v>15</v>
      </c>
      <c r="E3942" s="12" t="str">
        <f>IFERROR(__xludf.DUMMYFUNCTION("FILTER(colegios!$B$2:$B5618,colegios!$A$2:$A5618=L3942)"),"50977")</f>
        <v>50977</v>
      </c>
      <c r="F3942" s="14" t="s">
        <v>16</v>
      </c>
      <c r="G3942" s="20" t="s">
        <v>17</v>
      </c>
      <c r="H3942" s="14" t="s">
        <v>18</v>
      </c>
      <c r="I3942" s="22">
        <v>2022.0</v>
      </c>
      <c r="J3942" s="16" t="str">
        <f>IFERROR(__xludf.DUMMYFUNCTION("FILTER('CLASFICACIÓN'!$F$3:$F5618,'CLASFICACIÓN'!$G$3:$G5618=M3942)"),"LOS 3 AÑOS")</f>
        <v>LOS 3 AÑOS</v>
      </c>
      <c r="K3942" s="16"/>
      <c r="L3942" s="14" t="s">
        <v>178</v>
      </c>
      <c r="M3942" s="16" t="str">
        <f t="shared" si="1"/>
        <v>509772 Primaria</v>
      </c>
      <c r="N3942" s="23"/>
      <c r="O3942" s="17"/>
      <c r="P3942" s="17"/>
      <c r="Q3942" s="17"/>
      <c r="R3942" s="17"/>
      <c r="S3942" s="17"/>
      <c r="T3942" s="17"/>
    </row>
    <row r="3943">
      <c r="A3943" s="21">
        <v>71.0</v>
      </c>
      <c r="B3943" s="14" t="s">
        <v>90</v>
      </c>
      <c r="C3943" s="14" t="s">
        <v>14</v>
      </c>
      <c r="D3943" s="20" t="s">
        <v>15</v>
      </c>
      <c r="E3943" s="12" t="str">
        <f>IFERROR(__xludf.DUMMYFUNCTION("FILTER(colegios!$B$2:$B5618,colegios!$A$2:$A5618=L3943)"),"50977")</f>
        <v>50977</v>
      </c>
      <c r="F3943" s="14" t="s">
        <v>16</v>
      </c>
      <c r="G3943" s="20" t="s">
        <v>17</v>
      </c>
      <c r="H3943" s="14" t="s">
        <v>18</v>
      </c>
      <c r="I3943" s="22">
        <v>2022.0</v>
      </c>
      <c r="J3943" s="16" t="str">
        <f>IFERROR(__xludf.DUMMYFUNCTION("FILTER('CLASFICACIÓN'!$F$3:$F5618,'CLASFICACIÓN'!$G$3:$G5618=M3943)"),"LOS 3 AÑOS")</f>
        <v>LOS 3 AÑOS</v>
      </c>
      <c r="K3943" s="16"/>
      <c r="L3943" s="14" t="s">
        <v>178</v>
      </c>
      <c r="M3943" s="16" t="str">
        <f t="shared" si="1"/>
        <v>509772 Primaria</v>
      </c>
      <c r="N3943" s="23"/>
      <c r="O3943" s="17"/>
      <c r="P3943" s="17"/>
      <c r="Q3943" s="17"/>
      <c r="R3943" s="17"/>
      <c r="S3943" s="17"/>
      <c r="T3943" s="17"/>
    </row>
    <row r="3944">
      <c r="A3944" s="21">
        <v>72.0</v>
      </c>
      <c r="B3944" s="14" t="s">
        <v>90</v>
      </c>
      <c r="C3944" s="14" t="s">
        <v>14</v>
      </c>
      <c r="D3944" s="20" t="s">
        <v>15</v>
      </c>
      <c r="E3944" s="12" t="str">
        <f>IFERROR(__xludf.DUMMYFUNCTION("FILTER(colegios!$B$2:$B5618,colegios!$A$2:$A5618=L3944)"),"50977")</f>
        <v>50977</v>
      </c>
      <c r="F3944" s="14" t="s">
        <v>16</v>
      </c>
      <c r="G3944" s="20" t="s">
        <v>17</v>
      </c>
      <c r="H3944" s="14" t="s">
        <v>18</v>
      </c>
      <c r="I3944" s="22">
        <v>2022.0</v>
      </c>
      <c r="J3944" s="16" t="str">
        <f>IFERROR(__xludf.DUMMYFUNCTION("FILTER('CLASFICACIÓN'!$F$3:$F5618,'CLASFICACIÓN'!$G$3:$G5618=M3944)"),"LOS 3 AÑOS")</f>
        <v>LOS 3 AÑOS</v>
      </c>
      <c r="K3944" s="16"/>
      <c r="L3944" s="14" t="s">
        <v>178</v>
      </c>
      <c r="M3944" s="16" t="str">
        <f t="shared" si="1"/>
        <v>509772 Primaria</v>
      </c>
      <c r="N3944" s="23"/>
      <c r="O3944" s="17"/>
      <c r="P3944" s="17"/>
      <c r="Q3944" s="17"/>
      <c r="R3944" s="17"/>
      <c r="S3944" s="17"/>
      <c r="T3944" s="17"/>
    </row>
    <row r="3945">
      <c r="A3945" s="21">
        <v>73.0</v>
      </c>
      <c r="B3945" s="14" t="s">
        <v>90</v>
      </c>
      <c r="C3945" s="14" t="s">
        <v>14</v>
      </c>
      <c r="D3945" s="20" t="s">
        <v>15</v>
      </c>
      <c r="E3945" s="12" t="str">
        <f>IFERROR(__xludf.DUMMYFUNCTION("FILTER(colegios!$B$2:$B5618,colegios!$A$2:$A5618=L3945)"),"50977")</f>
        <v>50977</v>
      </c>
      <c r="F3945" s="14" t="s">
        <v>16</v>
      </c>
      <c r="G3945" s="20" t="s">
        <v>21</v>
      </c>
      <c r="H3945" s="14" t="s">
        <v>18</v>
      </c>
      <c r="I3945" s="22">
        <v>2022.0</v>
      </c>
      <c r="J3945" s="16" t="str">
        <f>IFERROR(__xludf.DUMMYFUNCTION("FILTER('CLASFICACIÓN'!$F$3:$F5618,'CLASFICACIÓN'!$G$3:$G5618=M3945)"),"LOS 3 AÑOS")</f>
        <v>LOS 3 AÑOS</v>
      </c>
      <c r="K3945" s="16"/>
      <c r="L3945" s="14" t="s">
        <v>178</v>
      </c>
      <c r="M3945" s="16" t="str">
        <f t="shared" si="1"/>
        <v>509772 Primaria</v>
      </c>
      <c r="N3945" s="23"/>
      <c r="O3945" s="17"/>
      <c r="P3945" s="17"/>
      <c r="Q3945" s="17"/>
      <c r="R3945" s="17"/>
      <c r="S3945" s="17"/>
      <c r="T3945" s="17"/>
    </row>
    <row r="3946">
      <c r="A3946" s="21">
        <v>74.0</v>
      </c>
      <c r="B3946" s="14" t="s">
        <v>90</v>
      </c>
      <c r="C3946" s="14" t="s">
        <v>14</v>
      </c>
      <c r="D3946" s="20" t="s">
        <v>15</v>
      </c>
      <c r="E3946" s="12" t="str">
        <f>IFERROR(__xludf.DUMMYFUNCTION("FILTER(colegios!$B$2:$B5618,colegios!$A$2:$A5618=L3946)"),"50977")</f>
        <v>50977</v>
      </c>
      <c r="F3946" s="14" t="s">
        <v>16</v>
      </c>
      <c r="G3946" s="20" t="s">
        <v>21</v>
      </c>
      <c r="H3946" s="14" t="s">
        <v>18</v>
      </c>
      <c r="I3946" s="22">
        <v>2022.0</v>
      </c>
      <c r="J3946" s="16" t="str">
        <f>IFERROR(__xludf.DUMMYFUNCTION("FILTER('CLASFICACIÓN'!$F$3:$F5618,'CLASFICACIÓN'!$G$3:$G5618=M3946)"),"LOS 3 AÑOS")</f>
        <v>LOS 3 AÑOS</v>
      </c>
      <c r="K3946" s="16"/>
      <c r="L3946" s="14" t="s">
        <v>178</v>
      </c>
      <c r="M3946" s="16" t="str">
        <f t="shared" si="1"/>
        <v>509772 Primaria</v>
      </c>
      <c r="N3946" s="23"/>
      <c r="O3946" s="17"/>
      <c r="P3946" s="17"/>
      <c r="Q3946" s="17"/>
      <c r="R3946" s="17"/>
      <c r="S3946" s="17"/>
      <c r="T3946" s="17"/>
    </row>
    <row r="3947">
      <c r="A3947" s="21">
        <v>75.0</v>
      </c>
      <c r="B3947" s="14" t="s">
        <v>90</v>
      </c>
      <c r="C3947" s="14" t="s">
        <v>14</v>
      </c>
      <c r="D3947" s="20" t="s">
        <v>15</v>
      </c>
      <c r="E3947" s="12" t="str">
        <f>IFERROR(__xludf.DUMMYFUNCTION("FILTER(colegios!$B$2:$B5618,colegios!$A$2:$A5618=L3947)"),"50977")</f>
        <v>50977</v>
      </c>
      <c r="F3947" s="14" t="s">
        <v>16</v>
      </c>
      <c r="G3947" s="20" t="s">
        <v>17</v>
      </c>
      <c r="H3947" s="14" t="s">
        <v>18</v>
      </c>
      <c r="I3947" s="22">
        <v>2022.0</v>
      </c>
      <c r="J3947" s="16" t="str">
        <f>IFERROR(__xludf.DUMMYFUNCTION("FILTER('CLASFICACIÓN'!$F$3:$F5618,'CLASFICACIÓN'!$G$3:$G5618=M3947)"),"LOS 3 AÑOS")</f>
        <v>LOS 3 AÑOS</v>
      </c>
      <c r="K3947" s="16"/>
      <c r="L3947" s="14" t="s">
        <v>178</v>
      </c>
      <c r="M3947" s="16" t="str">
        <f t="shared" si="1"/>
        <v>509772 Primaria</v>
      </c>
      <c r="N3947" s="23"/>
      <c r="O3947" s="17"/>
      <c r="P3947" s="17"/>
      <c r="Q3947" s="17"/>
      <c r="R3947" s="17"/>
      <c r="S3947" s="17"/>
      <c r="T3947" s="17"/>
    </row>
    <row r="3948">
      <c r="A3948" s="21">
        <v>76.0</v>
      </c>
      <c r="B3948" s="14" t="s">
        <v>90</v>
      </c>
      <c r="C3948" s="14" t="s">
        <v>14</v>
      </c>
      <c r="D3948" s="20" t="s">
        <v>15</v>
      </c>
      <c r="E3948" s="12" t="str">
        <f>IFERROR(__xludf.DUMMYFUNCTION("FILTER(colegios!$B$2:$B5618,colegios!$A$2:$A5618=L3948)"),"50977")</f>
        <v>50977</v>
      </c>
      <c r="F3948" s="14" t="s">
        <v>16</v>
      </c>
      <c r="G3948" s="20" t="s">
        <v>21</v>
      </c>
      <c r="H3948" s="14" t="s">
        <v>18</v>
      </c>
      <c r="I3948" s="22">
        <v>2022.0</v>
      </c>
      <c r="J3948" s="16" t="str">
        <f>IFERROR(__xludf.DUMMYFUNCTION("FILTER('CLASFICACIÓN'!$F$3:$F5618,'CLASFICACIÓN'!$G$3:$G5618=M3948)"),"LOS 3 AÑOS")</f>
        <v>LOS 3 AÑOS</v>
      </c>
      <c r="K3948" s="16"/>
      <c r="L3948" s="14" t="s">
        <v>178</v>
      </c>
      <c r="M3948" s="16" t="str">
        <f t="shared" si="1"/>
        <v>509772 Primaria</v>
      </c>
      <c r="N3948" s="23"/>
      <c r="O3948" s="17"/>
      <c r="P3948" s="17"/>
      <c r="Q3948" s="17"/>
      <c r="R3948" s="17"/>
      <c r="S3948" s="17"/>
      <c r="T3948" s="17"/>
    </row>
    <row r="3949">
      <c r="A3949" s="21">
        <v>77.0</v>
      </c>
      <c r="B3949" s="14" t="s">
        <v>90</v>
      </c>
      <c r="C3949" s="14" t="s">
        <v>14</v>
      </c>
      <c r="D3949" s="20" t="s">
        <v>15</v>
      </c>
      <c r="E3949" s="12" t="str">
        <f>IFERROR(__xludf.DUMMYFUNCTION("FILTER(colegios!$B$2:$B5618,colegios!$A$2:$A5618=L3949)"),"50977")</f>
        <v>50977</v>
      </c>
      <c r="F3949" s="14" t="s">
        <v>16</v>
      </c>
      <c r="G3949" s="20" t="s">
        <v>21</v>
      </c>
      <c r="H3949" s="14" t="s">
        <v>18</v>
      </c>
      <c r="I3949" s="22">
        <v>2022.0</v>
      </c>
      <c r="J3949" s="16" t="str">
        <f>IFERROR(__xludf.DUMMYFUNCTION("FILTER('CLASFICACIÓN'!$F$3:$F5618,'CLASFICACIÓN'!$G$3:$G5618=M3949)"),"LOS 3 AÑOS")</f>
        <v>LOS 3 AÑOS</v>
      </c>
      <c r="K3949" s="16"/>
      <c r="L3949" s="14" t="s">
        <v>178</v>
      </c>
      <c r="M3949" s="16" t="str">
        <f t="shared" si="1"/>
        <v>509772 Primaria</v>
      </c>
      <c r="N3949" s="23"/>
      <c r="O3949" s="17"/>
      <c r="P3949" s="17"/>
      <c r="Q3949" s="17"/>
      <c r="R3949" s="17"/>
      <c r="S3949" s="17"/>
      <c r="T3949" s="17"/>
    </row>
    <row r="3950">
      <c r="A3950" s="21">
        <v>78.0</v>
      </c>
      <c r="B3950" s="14" t="s">
        <v>90</v>
      </c>
      <c r="C3950" s="14" t="s">
        <v>14</v>
      </c>
      <c r="D3950" s="20" t="s">
        <v>15</v>
      </c>
      <c r="E3950" s="12" t="str">
        <f>IFERROR(__xludf.DUMMYFUNCTION("FILTER(colegios!$B$2:$B5618,colegios!$A$2:$A5618=L3950)"),"50977")</f>
        <v>50977</v>
      </c>
      <c r="F3950" s="14" t="s">
        <v>16</v>
      </c>
      <c r="G3950" s="20" t="s">
        <v>17</v>
      </c>
      <c r="H3950" s="14" t="s">
        <v>18</v>
      </c>
      <c r="I3950" s="22">
        <v>2022.0</v>
      </c>
      <c r="J3950" s="16" t="str">
        <f>IFERROR(__xludf.DUMMYFUNCTION("FILTER('CLASFICACIÓN'!$F$3:$F5618,'CLASFICACIÓN'!$G$3:$G5618=M3950)"),"LOS 3 AÑOS")</f>
        <v>LOS 3 AÑOS</v>
      </c>
      <c r="K3950" s="16"/>
      <c r="L3950" s="14" t="s">
        <v>178</v>
      </c>
      <c r="M3950" s="16" t="str">
        <f t="shared" si="1"/>
        <v>509772 Primaria</v>
      </c>
      <c r="N3950" s="23"/>
      <c r="O3950" s="17"/>
      <c r="P3950" s="17"/>
      <c r="Q3950" s="17"/>
      <c r="R3950" s="17"/>
      <c r="S3950" s="17"/>
      <c r="T3950" s="17"/>
    </row>
    <row r="3951">
      <c r="A3951" s="21">
        <v>79.0</v>
      </c>
      <c r="B3951" s="14" t="s">
        <v>90</v>
      </c>
      <c r="C3951" s="14" t="s">
        <v>14</v>
      </c>
      <c r="D3951" s="20" t="s">
        <v>15</v>
      </c>
      <c r="E3951" s="12" t="str">
        <f>IFERROR(__xludf.DUMMYFUNCTION("FILTER(colegios!$B$2:$B5618,colegios!$A$2:$A5618=L3951)"),"50977")</f>
        <v>50977</v>
      </c>
      <c r="F3951" s="14" t="s">
        <v>16</v>
      </c>
      <c r="G3951" s="20" t="s">
        <v>21</v>
      </c>
      <c r="H3951" s="14" t="s">
        <v>18</v>
      </c>
      <c r="I3951" s="22">
        <v>2022.0</v>
      </c>
      <c r="J3951" s="16" t="str">
        <f>IFERROR(__xludf.DUMMYFUNCTION("FILTER('CLASFICACIÓN'!$F$3:$F5618,'CLASFICACIÓN'!$G$3:$G5618=M3951)"),"LOS 3 AÑOS")</f>
        <v>LOS 3 AÑOS</v>
      </c>
      <c r="K3951" s="16"/>
      <c r="L3951" s="14" t="s">
        <v>178</v>
      </c>
      <c r="M3951" s="16" t="str">
        <f t="shared" si="1"/>
        <v>509772 Primaria</v>
      </c>
      <c r="N3951" s="23"/>
      <c r="O3951" s="17"/>
      <c r="P3951" s="17"/>
      <c r="Q3951" s="17"/>
      <c r="R3951" s="17"/>
      <c r="S3951" s="17"/>
      <c r="T3951" s="17"/>
    </row>
    <row r="3952">
      <c r="A3952" s="21">
        <v>80.0</v>
      </c>
      <c r="B3952" s="14" t="s">
        <v>90</v>
      </c>
      <c r="C3952" s="14" t="s">
        <v>14</v>
      </c>
      <c r="D3952" s="20" t="s">
        <v>15</v>
      </c>
      <c r="E3952" s="12" t="str">
        <f>IFERROR(__xludf.DUMMYFUNCTION("FILTER(colegios!$B$2:$B5618,colegios!$A$2:$A5618=L3952)"),"50977")</f>
        <v>50977</v>
      </c>
      <c r="F3952" s="14" t="s">
        <v>16</v>
      </c>
      <c r="G3952" s="20" t="s">
        <v>21</v>
      </c>
      <c r="H3952" s="14" t="s">
        <v>18</v>
      </c>
      <c r="I3952" s="22">
        <v>2022.0</v>
      </c>
      <c r="J3952" s="16" t="str">
        <f>IFERROR(__xludf.DUMMYFUNCTION("FILTER('CLASFICACIÓN'!$F$3:$F5618,'CLASFICACIÓN'!$G$3:$G5618=M3952)"),"LOS 3 AÑOS")</f>
        <v>LOS 3 AÑOS</v>
      </c>
      <c r="K3952" s="16"/>
      <c r="L3952" s="14" t="s">
        <v>178</v>
      </c>
      <c r="M3952" s="16" t="str">
        <f t="shared" si="1"/>
        <v>509772 Primaria</v>
      </c>
      <c r="N3952" s="23"/>
      <c r="O3952" s="17"/>
      <c r="P3952" s="17"/>
      <c r="Q3952" s="17"/>
      <c r="R3952" s="17"/>
      <c r="S3952" s="17"/>
      <c r="T3952" s="17"/>
    </row>
    <row r="3953">
      <c r="A3953" s="21">
        <v>81.0</v>
      </c>
      <c r="B3953" s="14" t="s">
        <v>90</v>
      </c>
      <c r="C3953" s="14" t="s">
        <v>14</v>
      </c>
      <c r="D3953" s="20" t="s">
        <v>15</v>
      </c>
      <c r="E3953" s="12" t="str">
        <f>IFERROR(__xludf.DUMMYFUNCTION("FILTER(colegios!$B$2:$B5618,colegios!$A$2:$A5618=L3953)"),"50977")</f>
        <v>50977</v>
      </c>
      <c r="F3953" s="14" t="s">
        <v>16</v>
      </c>
      <c r="G3953" s="20" t="s">
        <v>17</v>
      </c>
      <c r="H3953" s="14" t="s">
        <v>18</v>
      </c>
      <c r="I3953" s="22">
        <v>2022.0</v>
      </c>
      <c r="J3953" s="16" t="str">
        <f>IFERROR(__xludf.DUMMYFUNCTION("FILTER('CLASFICACIÓN'!$F$3:$F5618,'CLASFICACIÓN'!$G$3:$G5618=M3953)"),"LOS 3 AÑOS")</f>
        <v>LOS 3 AÑOS</v>
      </c>
      <c r="K3953" s="16"/>
      <c r="L3953" s="14" t="s">
        <v>178</v>
      </c>
      <c r="M3953" s="16" t="str">
        <f t="shared" si="1"/>
        <v>509772 Primaria</v>
      </c>
      <c r="N3953" s="23"/>
      <c r="O3953" s="17"/>
      <c r="P3953" s="17"/>
      <c r="Q3953" s="17"/>
      <c r="R3953" s="17"/>
      <c r="S3953" s="17"/>
      <c r="T3953" s="17"/>
    </row>
    <row r="3954">
      <c r="A3954" s="21">
        <v>82.0</v>
      </c>
      <c r="B3954" s="14" t="s">
        <v>90</v>
      </c>
      <c r="C3954" s="14" t="s">
        <v>14</v>
      </c>
      <c r="D3954" s="20" t="s">
        <v>15</v>
      </c>
      <c r="E3954" s="12" t="str">
        <f>IFERROR(__xludf.DUMMYFUNCTION("FILTER(colegios!$B$2:$B5618,colegios!$A$2:$A5618=L3954)"),"50977")</f>
        <v>50977</v>
      </c>
      <c r="F3954" s="14" t="s">
        <v>16</v>
      </c>
      <c r="G3954" s="20" t="s">
        <v>17</v>
      </c>
      <c r="H3954" s="14" t="s">
        <v>18</v>
      </c>
      <c r="I3954" s="22">
        <v>2022.0</v>
      </c>
      <c r="J3954" s="16" t="str">
        <f>IFERROR(__xludf.DUMMYFUNCTION("FILTER('CLASFICACIÓN'!$F$3:$F5618,'CLASFICACIÓN'!$G$3:$G5618=M3954)"),"LOS 3 AÑOS")</f>
        <v>LOS 3 AÑOS</v>
      </c>
      <c r="K3954" s="16"/>
      <c r="L3954" s="14" t="s">
        <v>178</v>
      </c>
      <c r="M3954" s="16" t="str">
        <f t="shared" si="1"/>
        <v>509772 Primaria</v>
      </c>
      <c r="N3954" s="23"/>
      <c r="O3954" s="17"/>
      <c r="P3954" s="17"/>
      <c r="Q3954" s="17"/>
      <c r="R3954" s="17"/>
      <c r="S3954" s="17"/>
      <c r="T3954" s="17"/>
    </row>
    <row r="3955">
      <c r="A3955" s="21">
        <v>83.0</v>
      </c>
      <c r="B3955" s="14" t="s">
        <v>90</v>
      </c>
      <c r="C3955" s="14" t="s">
        <v>14</v>
      </c>
      <c r="D3955" s="20" t="s">
        <v>15</v>
      </c>
      <c r="E3955" s="12" t="str">
        <f>IFERROR(__xludf.DUMMYFUNCTION("FILTER(colegios!$B$2:$B5618,colegios!$A$2:$A5618=L3955)"),"50977")</f>
        <v>50977</v>
      </c>
      <c r="F3955" s="14" t="s">
        <v>16</v>
      </c>
      <c r="G3955" s="20" t="s">
        <v>17</v>
      </c>
      <c r="H3955" s="14" t="s">
        <v>18</v>
      </c>
      <c r="I3955" s="22">
        <v>2022.0</v>
      </c>
      <c r="J3955" s="16" t="str">
        <f>IFERROR(__xludf.DUMMYFUNCTION("FILTER('CLASFICACIÓN'!$F$3:$F5618,'CLASFICACIÓN'!$G$3:$G5618=M3955)"),"LOS 3 AÑOS")</f>
        <v>LOS 3 AÑOS</v>
      </c>
      <c r="K3955" s="16"/>
      <c r="L3955" s="14" t="s">
        <v>178</v>
      </c>
      <c r="M3955" s="16" t="str">
        <f t="shared" si="1"/>
        <v>509772 Primaria</v>
      </c>
      <c r="N3955" s="23"/>
      <c r="O3955" s="17"/>
      <c r="P3955" s="17"/>
      <c r="Q3955" s="17"/>
      <c r="R3955" s="17"/>
      <c r="S3955" s="17"/>
      <c r="T3955" s="17"/>
    </row>
    <row r="3956">
      <c r="A3956" s="21">
        <v>84.0</v>
      </c>
      <c r="B3956" s="14" t="s">
        <v>90</v>
      </c>
      <c r="C3956" s="14" t="s">
        <v>14</v>
      </c>
      <c r="D3956" s="20" t="s">
        <v>15</v>
      </c>
      <c r="E3956" s="12" t="str">
        <f>IFERROR(__xludf.DUMMYFUNCTION("FILTER(colegios!$B$2:$B5618,colegios!$A$2:$A5618=L3956)"),"50977")</f>
        <v>50977</v>
      </c>
      <c r="F3956" s="14" t="s">
        <v>16</v>
      </c>
      <c r="G3956" s="20" t="s">
        <v>17</v>
      </c>
      <c r="H3956" s="14" t="s">
        <v>18</v>
      </c>
      <c r="I3956" s="22">
        <v>2022.0</v>
      </c>
      <c r="J3956" s="16" t="str">
        <f>IFERROR(__xludf.DUMMYFUNCTION("FILTER('CLASFICACIÓN'!$F$3:$F5618,'CLASFICACIÓN'!$G$3:$G5618=M3956)"),"LOS 3 AÑOS")</f>
        <v>LOS 3 AÑOS</v>
      </c>
      <c r="K3956" s="16"/>
      <c r="L3956" s="14" t="s">
        <v>178</v>
      </c>
      <c r="M3956" s="16" t="str">
        <f t="shared" si="1"/>
        <v>509772 Primaria</v>
      </c>
      <c r="N3956" s="23"/>
      <c r="O3956" s="17"/>
      <c r="P3956" s="17"/>
      <c r="Q3956" s="17"/>
      <c r="R3956" s="17"/>
      <c r="S3956" s="17"/>
      <c r="T3956" s="17"/>
    </row>
    <row r="3957">
      <c r="A3957" s="21">
        <v>85.0</v>
      </c>
      <c r="B3957" s="14" t="s">
        <v>90</v>
      </c>
      <c r="C3957" s="14" t="s">
        <v>14</v>
      </c>
      <c r="D3957" s="20" t="s">
        <v>15</v>
      </c>
      <c r="E3957" s="12" t="str">
        <f>IFERROR(__xludf.DUMMYFUNCTION("FILTER(colegios!$B$2:$B5618,colegios!$A$2:$A5618=L3957)"),"50977")</f>
        <v>50977</v>
      </c>
      <c r="F3957" s="14" t="s">
        <v>16</v>
      </c>
      <c r="G3957" s="20" t="s">
        <v>21</v>
      </c>
      <c r="H3957" s="14" t="s">
        <v>18</v>
      </c>
      <c r="I3957" s="22">
        <v>2022.0</v>
      </c>
      <c r="J3957" s="16" t="str">
        <f>IFERROR(__xludf.DUMMYFUNCTION("FILTER('CLASFICACIÓN'!$F$3:$F5618,'CLASFICACIÓN'!$G$3:$G5618=M3957)"),"LOS 3 AÑOS")</f>
        <v>LOS 3 AÑOS</v>
      </c>
      <c r="K3957" s="16"/>
      <c r="L3957" s="14" t="s">
        <v>178</v>
      </c>
      <c r="M3957" s="16" t="str">
        <f t="shared" si="1"/>
        <v>509772 Primaria</v>
      </c>
      <c r="N3957" s="23"/>
      <c r="O3957" s="17"/>
      <c r="P3957" s="17"/>
      <c r="Q3957" s="17"/>
      <c r="R3957" s="17"/>
      <c r="S3957" s="17"/>
      <c r="T3957" s="17"/>
    </row>
    <row r="3958">
      <c r="A3958" s="21">
        <v>86.0</v>
      </c>
      <c r="B3958" s="14" t="s">
        <v>90</v>
      </c>
      <c r="C3958" s="14" t="s">
        <v>14</v>
      </c>
      <c r="D3958" s="20" t="s">
        <v>15</v>
      </c>
      <c r="E3958" s="12" t="str">
        <f>IFERROR(__xludf.DUMMYFUNCTION("FILTER(colegios!$B$2:$B5618,colegios!$A$2:$A5618=L3958)"),"50977")</f>
        <v>50977</v>
      </c>
      <c r="F3958" s="14" t="s">
        <v>16</v>
      </c>
      <c r="G3958" s="20" t="s">
        <v>21</v>
      </c>
      <c r="H3958" s="14" t="s">
        <v>18</v>
      </c>
      <c r="I3958" s="22">
        <v>2022.0</v>
      </c>
      <c r="J3958" s="16" t="str">
        <f>IFERROR(__xludf.DUMMYFUNCTION("FILTER('CLASFICACIÓN'!$F$3:$F5618,'CLASFICACIÓN'!$G$3:$G5618=M3958)"),"LOS 3 AÑOS")</f>
        <v>LOS 3 AÑOS</v>
      </c>
      <c r="K3958" s="16"/>
      <c r="L3958" s="14" t="s">
        <v>178</v>
      </c>
      <c r="M3958" s="16" t="str">
        <f t="shared" si="1"/>
        <v>509772 Primaria</v>
      </c>
      <c r="N3958" s="23"/>
      <c r="O3958" s="17"/>
      <c r="P3958" s="17"/>
      <c r="Q3958" s="17"/>
      <c r="R3958" s="17"/>
      <c r="S3958" s="17"/>
      <c r="T3958" s="17"/>
    </row>
    <row r="3959">
      <c r="A3959" s="21">
        <v>87.0</v>
      </c>
      <c r="B3959" s="14" t="s">
        <v>90</v>
      </c>
      <c r="C3959" s="14" t="s">
        <v>14</v>
      </c>
      <c r="D3959" s="20" t="s">
        <v>15</v>
      </c>
      <c r="E3959" s="12" t="str">
        <f>IFERROR(__xludf.DUMMYFUNCTION("FILTER(colegios!$B$2:$B5618,colegios!$A$2:$A5618=L3959)"),"50977")</f>
        <v>50977</v>
      </c>
      <c r="F3959" s="14" t="s">
        <v>16</v>
      </c>
      <c r="G3959" s="20" t="s">
        <v>21</v>
      </c>
      <c r="H3959" s="14" t="s">
        <v>18</v>
      </c>
      <c r="I3959" s="22">
        <v>2022.0</v>
      </c>
      <c r="J3959" s="16" t="str">
        <f>IFERROR(__xludf.DUMMYFUNCTION("FILTER('CLASFICACIÓN'!$F$3:$F5618,'CLASFICACIÓN'!$G$3:$G5618=M3959)"),"LOS 3 AÑOS")</f>
        <v>LOS 3 AÑOS</v>
      </c>
      <c r="K3959" s="16"/>
      <c r="L3959" s="14" t="s">
        <v>178</v>
      </c>
      <c r="M3959" s="16" t="str">
        <f t="shared" si="1"/>
        <v>509772 Primaria</v>
      </c>
      <c r="N3959" s="23"/>
      <c r="O3959" s="17"/>
      <c r="P3959" s="17"/>
      <c r="Q3959" s="17"/>
      <c r="R3959" s="17"/>
      <c r="S3959" s="17"/>
      <c r="T3959" s="17"/>
    </row>
    <row r="3960">
      <c r="A3960" s="21">
        <v>88.0</v>
      </c>
      <c r="B3960" s="14" t="s">
        <v>90</v>
      </c>
      <c r="C3960" s="14" t="s">
        <v>14</v>
      </c>
      <c r="D3960" s="20" t="s">
        <v>15</v>
      </c>
      <c r="E3960" s="12" t="str">
        <f>IFERROR(__xludf.DUMMYFUNCTION("FILTER(colegios!$B$2:$B5618,colegios!$A$2:$A5618=L3960)"),"50977")</f>
        <v>50977</v>
      </c>
      <c r="F3960" s="14" t="s">
        <v>16</v>
      </c>
      <c r="G3960" s="20" t="s">
        <v>17</v>
      </c>
      <c r="H3960" s="14" t="s">
        <v>18</v>
      </c>
      <c r="I3960" s="22">
        <v>2022.0</v>
      </c>
      <c r="J3960" s="16" t="str">
        <f>IFERROR(__xludf.DUMMYFUNCTION("FILTER('CLASFICACIÓN'!$F$3:$F5618,'CLASFICACIÓN'!$G$3:$G5618=M3960)"),"LOS 3 AÑOS")</f>
        <v>LOS 3 AÑOS</v>
      </c>
      <c r="K3960" s="16"/>
      <c r="L3960" s="14" t="s">
        <v>178</v>
      </c>
      <c r="M3960" s="16" t="str">
        <f t="shared" si="1"/>
        <v>509772 Primaria</v>
      </c>
      <c r="N3960" s="23"/>
      <c r="O3960" s="17"/>
      <c r="P3960" s="17"/>
      <c r="Q3960" s="17"/>
      <c r="R3960" s="17"/>
      <c r="S3960" s="17"/>
      <c r="T3960" s="17"/>
    </row>
    <row r="3961">
      <c r="A3961" s="21">
        <v>89.0</v>
      </c>
      <c r="B3961" s="14" t="s">
        <v>90</v>
      </c>
      <c r="C3961" s="14" t="s">
        <v>14</v>
      </c>
      <c r="D3961" s="20" t="s">
        <v>15</v>
      </c>
      <c r="E3961" s="12" t="str">
        <f>IFERROR(__xludf.DUMMYFUNCTION("FILTER(colegios!$B$2:$B5618,colegios!$A$2:$A5618=L3961)"),"50977")</f>
        <v>50977</v>
      </c>
      <c r="F3961" s="14" t="s">
        <v>16</v>
      </c>
      <c r="G3961" s="20" t="s">
        <v>17</v>
      </c>
      <c r="H3961" s="14" t="s">
        <v>18</v>
      </c>
      <c r="I3961" s="22">
        <v>2022.0</v>
      </c>
      <c r="J3961" s="16" t="str">
        <f>IFERROR(__xludf.DUMMYFUNCTION("FILTER('CLASFICACIÓN'!$F$3:$F5618,'CLASFICACIÓN'!$G$3:$G5618=M3961)"),"LOS 3 AÑOS")</f>
        <v>LOS 3 AÑOS</v>
      </c>
      <c r="K3961" s="16"/>
      <c r="L3961" s="14" t="s">
        <v>178</v>
      </c>
      <c r="M3961" s="16" t="str">
        <f t="shared" si="1"/>
        <v>509772 Primaria</v>
      </c>
      <c r="N3961" s="23"/>
      <c r="O3961" s="17"/>
      <c r="P3961" s="17"/>
      <c r="Q3961" s="17"/>
      <c r="R3961" s="17"/>
      <c r="S3961" s="17"/>
      <c r="T3961" s="17"/>
    </row>
    <row r="3962">
      <c r="A3962" s="21">
        <v>90.0</v>
      </c>
      <c r="B3962" s="14" t="s">
        <v>90</v>
      </c>
      <c r="C3962" s="14" t="s">
        <v>14</v>
      </c>
      <c r="D3962" s="20" t="s">
        <v>15</v>
      </c>
      <c r="E3962" s="12" t="str">
        <f>IFERROR(__xludf.DUMMYFUNCTION("FILTER(colegios!$B$2:$B5618,colegios!$A$2:$A5618=L3962)"),"50977")</f>
        <v>50977</v>
      </c>
      <c r="F3962" s="14" t="s">
        <v>16</v>
      </c>
      <c r="G3962" s="20" t="s">
        <v>17</v>
      </c>
      <c r="H3962" s="14" t="s">
        <v>18</v>
      </c>
      <c r="I3962" s="22">
        <v>2022.0</v>
      </c>
      <c r="J3962" s="16" t="str">
        <f>IFERROR(__xludf.DUMMYFUNCTION("FILTER('CLASFICACIÓN'!$F$3:$F5618,'CLASFICACIÓN'!$G$3:$G5618=M3962)"),"LOS 3 AÑOS")</f>
        <v>LOS 3 AÑOS</v>
      </c>
      <c r="K3962" s="16"/>
      <c r="L3962" s="14" t="s">
        <v>178</v>
      </c>
      <c r="M3962" s="16" t="str">
        <f t="shared" si="1"/>
        <v>509772 Primaria</v>
      </c>
      <c r="N3962" s="23"/>
      <c r="O3962" s="17"/>
      <c r="P3962" s="17"/>
      <c r="Q3962" s="17"/>
      <c r="R3962" s="17"/>
      <c r="S3962" s="17"/>
      <c r="T3962" s="17"/>
    </row>
    <row r="3963">
      <c r="A3963" s="21">
        <v>91.0</v>
      </c>
      <c r="B3963" s="14" t="s">
        <v>90</v>
      </c>
      <c r="C3963" s="14" t="s">
        <v>14</v>
      </c>
      <c r="D3963" s="20" t="s">
        <v>15</v>
      </c>
      <c r="E3963" s="12" t="str">
        <f>IFERROR(__xludf.DUMMYFUNCTION("FILTER(colegios!$B$2:$B5618,colegios!$A$2:$A5618=L3963)"),"50977")</f>
        <v>50977</v>
      </c>
      <c r="F3963" s="14" t="s">
        <v>16</v>
      </c>
      <c r="G3963" s="20" t="s">
        <v>17</v>
      </c>
      <c r="H3963" s="14" t="s">
        <v>18</v>
      </c>
      <c r="I3963" s="22">
        <v>2022.0</v>
      </c>
      <c r="J3963" s="16" t="str">
        <f>IFERROR(__xludf.DUMMYFUNCTION("FILTER('CLASFICACIÓN'!$F$3:$F5618,'CLASFICACIÓN'!$G$3:$G5618=M3963)"),"LOS 3 AÑOS")</f>
        <v>LOS 3 AÑOS</v>
      </c>
      <c r="K3963" s="16"/>
      <c r="L3963" s="14" t="s">
        <v>178</v>
      </c>
      <c r="M3963" s="16" t="str">
        <f t="shared" si="1"/>
        <v>509772 Primaria</v>
      </c>
      <c r="N3963" s="23"/>
      <c r="O3963" s="17"/>
      <c r="P3963" s="17"/>
      <c r="Q3963" s="17"/>
      <c r="R3963" s="17"/>
      <c r="S3963" s="17"/>
      <c r="T3963" s="17"/>
    </row>
    <row r="3964">
      <c r="A3964" s="21">
        <v>92.0</v>
      </c>
      <c r="B3964" s="14" t="s">
        <v>90</v>
      </c>
      <c r="C3964" s="14" t="s">
        <v>14</v>
      </c>
      <c r="D3964" s="20" t="s">
        <v>15</v>
      </c>
      <c r="E3964" s="12" t="str">
        <f>IFERROR(__xludf.DUMMYFUNCTION("FILTER(colegios!$B$2:$B5618,colegios!$A$2:$A5618=L3964)"),"50977")</f>
        <v>50977</v>
      </c>
      <c r="F3964" s="14" t="s">
        <v>16</v>
      </c>
      <c r="G3964" s="20" t="s">
        <v>17</v>
      </c>
      <c r="H3964" s="14" t="s">
        <v>18</v>
      </c>
      <c r="I3964" s="22">
        <v>2022.0</v>
      </c>
      <c r="J3964" s="16" t="str">
        <f>IFERROR(__xludf.DUMMYFUNCTION("FILTER('CLASFICACIÓN'!$F$3:$F5618,'CLASFICACIÓN'!$G$3:$G5618=M3964)"),"LOS 3 AÑOS")</f>
        <v>LOS 3 AÑOS</v>
      </c>
      <c r="K3964" s="16"/>
      <c r="L3964" s="14" t="s">
        <v>178</v>
      </c>
      <c r="M3964" s="16" t="str">
        <f t="shared" si="1"/>
        <v>509772 Primaria</v>
      </c>
      <c r="N3964" s="23"/>
      <c r="O3964" s="17"/>
      <c r="P3964" s="17"/>
      <c r="Q3964" s="17"/>
      <c r="R3964" s="17"/>
      <c r="S3964" s="17"/>
      <c r="T3964" s="17"/>
    </row>
    <row r="3965">
      <c r="A3965" s="21">
        <v>93.0</v>
      </c>
      <c r="B3965" s="14" t="s">
        <v>90</v>
      </c>
      <c r="C3965" s="14" t="s">
        <v>14</v>
      </c>
      <c r="D3965" s="20" t="s">
        <v>15</v>
      </c>
      <c r="E3965" s="12" t="str">
        <f>IFERROR(__xludf.DUMMYFUNCTION("FILTER(colegios!$B$2:$B5618,colegios!$A$2:$A5618=L3965)"),"50977")</f>
        <v>50977</v>
      </c>
      <c r="F3965" s="14" t="s">
        <v>16</v>
      </c>
      <c r="G3965" s="20" t="s">
        <v>21</v>
      </c>
      <c r="H3965" s="14" t="s">
        <v>18</v>
      </c>
      <c r="I3965" s="22">
        <v>2022.0</v>
      </c>
      <c r="J3965" s="16" t="str">
        <f>IFERROR(__xludf.DUMMYFUNCTION("FILTER('CLASFICACIÓN'!$F$3:$F5618,'CLASFICACIÓN'!$G$3:$G5618=M3965)"),"LOS 3 AÑOS")</f>
        <v>LOS 3 AÑOS</v>
      </c>
      <c r="K3965" s="16"/>
      <c r="L3965" s="14" t="s">
        <v>178</v>
      </c>
      <c r="M3965" s="16" t="str">
        <f t="shared" si="1"/>
        <v>509772 Primaria</v>
      </c>
      <c r="N3965" s="23"/>
      <c r="O3965" s="17"/>
      <c r="P3965" s="17"/>
      <c r="Q3965" s="17"/>
      <c r="R3965" s="17"/>
      <c r="S3965" s="17"/>
      <c r="T3965" s="17"/>
    </row>
    <row r="3966">
      <c r="A3966" s="21">
        <v>94.0</v>
      </c>
      <c r="B3966" s="14" t="s">
        <v>90</v>
      </c>
      <c r="C3966" s="14" t="s">
        <v>14</v>
      </c>
      <c r="D3966" s="20" t="s">
        <v>15</v>
      </c>
      <c r="E3966" s="12" t="str">
        <f>IFERROR(__xludf.DUMMYFUNCTION("FILTER(colegios!$B$2:$B5618,colegios!$A$2:$A5618=L3966)"),"50977")</f>
        <v>50977</v>
      </c>
      <c r="F3966" s="14" t="s">
        <v>16</v>
      </c>
      <c r="G3966" s="20" t="s">
        <v>21</v>
      </c>
      <c r="H3966" s="14" t="s">
        <v>18</v>
      </c>
      <c r="I3966" s="22">
        <v>2022.0</v>
      </c>
      <c r="J3966" s="16" t="str">
        <f>IFERROR(__xludf.DUMMYFUNCTION("FILTER('CLASFICACIÓN'!$F$3:$F5618,'CLASFICACIÓN'!$G$3:$G5618=M3966)"),"LOS 3 AÑOS")</f>
        <v>LOS 3 AÑOS</v>
      </c>
      <c r="K3966" s="16"/>
      <c r="L3966" s="14" t="s">
        <v>178</v>
      </c>
      <c r="M3966" s="16" t="str">
        <f t="shared" si="1"/>
        <v>509772 Primaria</v>
      </c>
      <c r="N3966" s="23"/>
      <c r="O3966" s="17"/>
      <c r="P3966" s="17"/>
      <c r="Q3966" s="17"/>
      <c r="R3966" s="17"/>
      <c r="S3966" s="17"/>
      <c r="T3966" s="17"/>
    </row>
    <row r="3967">
      <c r="A3967" s="21">
        <v>95.0</v>
      </c>
      <c r="B3967" s="14" t="s">
        <v>90</v>
      </c>
      <c r="C3967" s="14" t="s">
        <v>14</v>
      </c>
      <c r="D3967" s="20" t="s">
        <v>15</v>
      </c>
      <c r="E3967" s="12" t="str">
        <f>IFERROR(__xludf.DUMMYFUNCTION("FILTER(colegios!$B$2:$B5618,colegios!$A$2:$A5618=L3967)"),"50977")</f>
        <v>50977</v>
      </c>
      <c r="F3967" s="14" t="s">
        <v>16</v>
      </c>
      <c r="G3967" s="20" t="s">
        <v>21</v>
      </c>
      <c r="H3967" s="14" t="s">
        <v>18</v>
      </c>
      <c r="I3967" s="22">
        <v>2022.0</v>
      </c>
      <c r="J3967" s="16" t="str">
        <f>IFERROR(__xludf.DUMMYFUNCTION("FILTER('CLASFICACIÓN'!$F$3:$F5618,'CLASFICACIÓN'!$G$3:$G5618=M3967)"),"LOS 3 AÑOS")</f>
        <v>LOS 3 AÑOS</v>
      </c>
      <c r="K3967" s="16"/>
      <c r="L3967" s="14" t="s">
        <v>178</v>
      </c>
      <c r="M3967" s="16" t="str">
        <f t="shared" si="1"/>
        <v>509772 Primaria</v>
      </c>
      <c r="N3967" s="23"/>
      <c r="O3967" s="17"/>
      <c r="P3967" s="17"/>
      <c r="Q3967" s="17"/>
      <c r="R3967" s="17"/>
      <c r="S3967" s="17"/>
      <c r="T3967" s="17"/>
    </row>
    <row r="3968">
      <c r="A3968" s="21">
        <v>96.0</v>
      </c>
      <c r="B3968" s="14" t="s">
        <v>90</v>
      </c>
      <c r="C3968" s="14" t="s">
        <v>14</v>
      </c>
      <c r="D3968" s="20" t="s">
        <v>15</v>
      </c>
      <c r="E3968" s="12" t="str">
        <f>IFERROR(__xludf.DUMMYFUNCTION("FILTER(colegios!$B$2:$B5618,colegios!$A$2:$A5618=L3968)"),"50977")</f>
        <v>50977</v>
      </c>
      <c r="F3968" s="14" t="s">
        <v>16</v>
      </c>
      <c r="G3968" s="20" t="s">
        <v>17</v>
      </c>
      <c r="H3968" s="14" t="s">
        <v>18</v>
      </c>
      <c r="I3968" s="22">
        <v>2022.0</v>
      </c>
      <c r="J3968" s="16" t="str">
        <f>IFERROR(__xludf.DUMMYFUNCTION("FILTER('CLASFICACIÓN'!$F$3:$F5618,'CLASFICACIÓN'!$G$3:$G5618=M3968)"),"LOS 3 AÑOS")</f>
        <v>LOS 3 AÑOS</v>
      </c>
      <c r="K3968" s="16"/>
      <c r="L3968" s="14" t="s">
        <v>178</v>
      </c>
      <c r="M3968" s="16" t="str">
        <f t="shared" si="1"/>
        <v>509772 Primaria</v>
      </c>
      <c r="N3968" s="23"/>
      <c r="O3968" s="17"/>
      <c r="P3968" s="17"/>
      <c r="Q3968" s="17"/>
      <c r="R3968" s="17"/>
      <c r="S3968" s="17"/>
      <c r="T3968" s="17"/>
    </row>
    <row r="3969">
      <c r="A3969" s="21">
        <v>97.0</v>
      </c>
      <c r="B3969" s="14" t="s">
        <v>90</v>
      </c>
      <c r="C3969" s="14" t="s">
        <v>14</v>
      </c>
      <c r="D3969" s="20" t="s">
        <v>15</v>
      </c>
      <c r="E3969" s="12" t="str">
        <f>IFERROR(__xludf.DUMMYFUNCTION("FILTER(colegios!$B$2:$B5618,colegios!$A$2:$A5618=L3969)"),"50977")</f>
        <v>50977</v>
      </c>
      <c r="F3969" s="14" t="s">
        <v>16</v>
      </c>
      <c r="G3969" s="20" t="s">
        <v>21</v>
      </c>
      <c r="H3969" s="14" t="s">
        <v>18</v>
      </c>
      <c r="I3969" s="22">
        <v>2022.0</v>
      </c>
      <c r="J3969" s="16" t="str">
        <f>IFERROR(__xludf.DUMMYFUNCTION("FILTER('CLASFICACIÓN'!$F$3:$F5618,'CLASFICACIÓN'!$G$3:$G5618=M3969)"),"LOS 3 AÑOS")</f>
        <v>LOS 3 AÑOS</v>
      </c>
      <c r="K3969" s="16"/>
      <c r="L3969" s="14" t="s">
        <v>178</v>
      </c>
      <c r="M3969" s="16" t="str">
        <f t="shared" si="1"/>
        <v>509772 Primaria</v>
      </c>
      <c r="N3969" s="23"/>
      <c r="O3969" s="17"/>
      <c r="P3969" s="17"/>
      <c r="Q3969" s="17"/>
      <c r="R3969" s="17"/>
      <c r="S3969" s="17"/>
      <c r="T3969" s="17"/>
    </row>
    <row r="3970">
      <c r="A3970" s="21">
        <v>98.0</v>
      </c>
      <c r="B3970" s="14" t="s">
        <v>90</v>
      </c>
      <c r="C3970" s="14" t="s">
        <v>14</v>
      </c>
      <c r="D3970" s="20" t="s">
        <v>15</v>
      </c>
      <c r="E3970" s="12" t="str">
        <f>IFERROR(__xludf.DUMMYFUNCTION("FILTER(colegios!$B$2:$B5618,colegios!$A$2:$A5618=L3970)"),"50977")</f>
        <v>50977</v>
      </c>
      <c r="F3970" s="14" t="s">
        <v>16</v>
      </c>
      <c r="G3970" s="20" t="s">
        <v>17</v>
      </c>
      <c r="H3970" s="14" t="s">
        <v>18</v>
      </c>
      <c r="I3970" s="22">
        <v>2022.0</v>
      </c>
      <c r="J3970" s="16" t="str">
        <f>IFERROR(__xludf.DUMMYFUNCTION("FILTER('CLASFICACIÓN'!$F$3:$F5618,'CLASFICACIÓN'!$G$3:$G5618=M3970)"),"LOS 3 AÑOS")</f>
        <v>LOS 3 AÑOS</v>
      </c>
      <c r="K3970" s="16"/>
      <c r="L3970" s="14" t="s">
        <v>178</v>
      </c>
      <c r="M3970" s="16" t="str">
        <f t="shared" si="1"/>
        <v>509772 Primaria</v>
      </c>
      <c r="N3970" s="23"/>
      <c r="O3970" s="17"/>
      <c r="P3970" s="17"/>
      <c r="Q3970" s="17"/>
      <c r="R3970" s="17"/>
      <c r="S3970" s="17"/>
      <c r="T3970" s="17"/>
    </row>
    <row r="3971">
      <c r="A3971" s="21">
        <v>99.0</v>
      </c>
      <c r="B3971" s="14" t="s">
        <v>90</v>
      </c>
      <c r="C3971" s="14" t="s">
        <v>14</v>
      </c>
      <c r="D3971" s="20" t="s">
        <v>15</v>
      </c>
      <c r="E3971" s="12" t="str">
        <f>IFERROR(__xludf.DUMMYFUNCTION("FILTER(colegios!$B$2:$B5618,colegios!$A$2:$A5618=L3971)"),"50977")</f>
        <v>50977</v>
      </c>
      <c r="F3971" s="14" t="s">
        <v>16</v>
      </c>
      <c r="G3971" s="20" t="s">
        <v>21</v>
      </c>
      <c r="H3971" s="14" t="s">
        <v>18</v>
      </c>
      <c r="I3971" s="22">
        <v>2022.0</v>
      </c>
      <c r="J3971" s="16" t="str">
        <f>IFERROR(__xludf.DUMMYFUNCTION("FILTER('CLASFICACIÓN'!$F$3:$F5618,'CLASFICACIÓN'!$G$3:$G5618=M3971)"),"LOS 3 AÑOS")</f>
        <v>LOS 3 AÑOS</v>
      </c>
      <c r="K3971" s="16"/>
      <c r="L3971" s="14" t="s">
        <v>178</v>
      </c>
      <c r="M3971" s="16" t="str">
        <f t="shared" si="1"/>
        <v>509772 Primaria</v>
      </c>
      <c r="N3971" s="23"/>
      <c r="O3971" s="17"/>
      <c r="P3971" s="17"/>
      <c r="Q3971" s="17"/>
      <c r="R3971" s="17"/>
      <c r="S3971" s="17"/>
      <c r="T3971" s="17"/>
    </row>
    <row r="3972">
      <c r="A3972" s="21">
        <v>100.0</v>
      </c>
      <c r="B3972" s="14" t="s">
        <v>90</v>
      </c>
      <c r="C3972" s="14" t="s">
        <v>14</v>
      </c>
      <c r="D3972" s="20" t="s">
        <v>15</v>
      </c>
      <c r="E3972" s="12" t="str">
        <f>IFERROR(__xludf.DUMMYFUNCTION("FILTER(colegios!$B$2:$B5618,colegios!$A$2:$A5618=L3972)"),"50977")</f>
        <v>50977</v>
      </c>
      <c r="F3972" s="14" t="s">
        <v>16</v>
      </c>
      <c r="G3972" s="20" t="s">
        <v>17</v>
      </c>
      <c r="H3972" s="14" t="s">
        <v>18</v>
      </c>
      <c r="I3972" s="22">
        <v>2022.0</v>
      </c>
      <c r="J3972" s="16" t="str">
        <f>IFERROR(__xludf.DUMMYFUNCTION("FILTER('CLASFICACIÓN'!$F$3:$F5618,'CLASFICACIÓN'!$G$3:$G5618=M3972)"),"LOS 3 AÑOS")</f>
        <v>LOS 3 AÑOS</v>
      </c>
      <c r="K3972" s="16"/>
      <c r="L3972" s="14" t="s">
        <v>178</v>
      </c>
      <c r="M3972" s="16" t="str">
        <f t="shared" si="1"/>
        <v>509772 Primaria</v>
      </c>
      <c r="N3972" s="23"/>
      <c r="O3972" s="17"/>
      <c r="P3972" s="17"/>
      <c r="Q3972" s="17"/>
      <c r="R3972" s="17"/>
      <c r="S3972" s="17"/>
      <c r="T3972" s="17"/>
    </row>
    <row r="3973">
      <c r="A3973" s="21">
        <v>101.0</v>
      </c>
      <c r="B3973" s="14" t="s">
        <v>90</v>
      </c>
      <c r="C3973" s="14" t="s">
        <v>14</v>
      </c>
      <c r="D3973" s="20" t="s">
        <v>15</v>
      </c>
      <c r="E3973" s="12" t="str">
        <f>IFERROR(__xludf.DUMMYFUNCTION("FILTER(colegios!$B$2:$B5618,colegios!$A$2:$A5618=L3973)"),"50977")</f>
        <v>50977</v>
      </c>
      <c r="F3973" s="14" t="s">
        <v>16</v>
      </c>
      <c r="G3973" s="20" t="s">
        <v>17</v>
      </c>
      <c r="H3973" s="14" t="s">
        <v>18</v>
      </c>
      <c r="I3973" s="22">
        <v>2022.0</v>
      </c>
      <c r="J3973" s="16" t="str">
        <f>IFERROR(__xludf.DUMMYFUNCTION("FILTER('CLASFICACIÓN'!$F$3:$F5618,'CLASFICACIÓN'!$G$3:$G5618=M3973)"),"LOS 3 AÑOS")</f>
        <v>LOS 3 AÑOS</v>
      </c>
      <c r="K3973" s="16"/>
      <c r="L3973" s="14" t="s">
        <v>178</v>
      </c>
      <c r="M3973" s="16" t="str">
        <f t="shared" si="1"/>
        <v>509772 Primaria</v>
      </c>
      <c r="N3973" s="23"/>
      <c r="O3973" s="17"/>
      <c r="P3973" s="17"/>
      <c r="Q3973" s="17"/>
      <c r="R3973" s="17"/>
      <c r="S3973" s="17"/>
      <c r="T3973" s="17"/>
    </row>
    <row r="3974">
      <c r="A3974" s="21">
        <v>102.0</v>
      </c>
      <c r="B3974" s="14" t="s">
        <v>90</v>
      </c>
      <c r="C3974" s="14" t="s">
        <v>14</v>
      </c>
      <c r="D3974" s="20" t="s">
        <v>15</v>
      </c>
      <c r="E3974" s="12" t="str">
        <f>IFERROR(__xludf.DUMMYFUNCTION("FILTER(colegios!$B$2:$B5618,colegios!$A$2:$A5618=L3974)"),"50977")</f>
        <v>50977</v>
      </c>
      <c r="F3974" s="14" t="s">
        <v>16</v>
      </c>
      <c r="G3974" s="20" t="s">
        <v>21</v>
      </c>
      <c r="H3974" s="14" t="s">
        <v>18</v>
      </c>
      <c r="I3974" s="22">
        <v>2022.0</v>
      </c>
      <c r="J3974" s="16" t="str">
        <f>IFERROR(__xludf.DUMMYFUNCTION("FILTER('CLASFICACIÓN'!$F$3:$F5618,'CLASFICACIÓN'!$G$3:$G5618=M3974)"),"LOS 3 AÑOS")</f>
        <v>LOS 3 AÑOS</v>
      </c>
      <c r="K3974" s="16"/>
      <c r="L3974" s="14" t="s">
        <v>178</v>
      </c>
      <c r="M3974" s="16" t="str">
        <f t="shared" si="1"/>
        <v>509772 Primaria</v>
      </c>
      <c r="N3974" s="23"/>
      <c r="O3974" s="17"/>
      <c r="P3974" s="17"/>
      <c r="Q3974" s="17"/>
      <c r="R3974" s="17"/>
      <c r="S3974" s="17"/>
      <c r="T3974" s="17"/>
    </row>
    <row r="3975">
      <c r="A3975" s="21">
        <v>103.0</v>
      </c>
      <c r="B3975" s="14" t="s">
        <v>90</v>
      </c>
      <c r="C3975" s="14" t="s">
        <v>14</v>
      </c>
      <c r="D3975" s="20" t="s">
        <v>15</v>
      </c>
      <c r="E3975" s="12" t="str">
        <f>IFERROR(__xludf.DUMMYFUNCTION("FILTER(colegios!$B$2:$B5618,colegios!$A$2:$A5618=L3975)"),"50977")</f>
        <v>50977</v>
      </c>
      <c r="F3975" s="14" t="s">
        <v>16</v>
      </c>
      <c r="G3975" s="20" t="s">
        <v>21</v>
      </c>
      <c r="H3975" s="14" t="s">
        <v>18</v>
      </c>
      <c r="I3975" s="22">
        <v>2022.0</v>
      </c>
      <c r="J3975" s="16" t="str">
        <f>IFERROR(__xludf.DUMMYFUNCTION("FILTER('CLASFICACIÓN'!$F$3:$F5618,'CLASFICACIÓN'!$G$3:$G5618=M3975)"),"LOS 3 AÑOS")</f>
        <v>LOS 3 AÑOS</v>
      </c>
      <c r="K3975" s="16"/>
      <c r="L3975" s="14" t="s">
        <v>178</v>
      </c>
      <c r="M3975" s="16" t="str">
        <f t="shared" si="1"/>
        <v>509772 Primaria</v>
      </c>
      <c r="N3975" s="23"/>
      <c r="O3975" s="17"/>
      <c r="P3975" s="17"/>
      <c r="Q3975" s="17"/>
      <c r="R3975" s="17"/>
      <c r="S3975" s="17"/>
      <c r="T3975" s="17"/>
    </row>
    <row r="3976">
      <c r="A3976" s="21">
        <v>104.0</v>
      </c>
      <c r="B3976" s="14" t="s">
        <v>90</v>
      </c>
      <c r="C3976" s="14" t="s">
        <v>14</v>
      </c>
      <c r="D3976" s="20" t="s">
        <v>15</v>
      </c>
      <c r="E3976" s="12" t="str">
        <f>IFERROR(__xludf.DUMMYFUNCTION("FILTER(colegios!$B$2:$B5618,colegios!$A$2:$A5618=L3976)"),"50977")</f>
        <v>50977</v>
      </c>
      <c r="F3976" s="14" t="s">
        <v>16</v>
      </c>
      <c r="G3976" s="20" t="s">
        <v>17</v>
      </c>
      <c r="H3976" s="14" t="s">
        <v>18</v>
      </c>
      <c r="I3976" s="22">
        <v>2022.0</v>
      </c>
      <c r="J3976" s="16" t="str">
        <f>IFERROR(__xludf.DUMMYFUNCTION("FILTER('CLASFICACIÓN'!$F$3:$F5618,'CLASFICACIÓN'!$G$3:$G5618=M3976)"),"LOS 3 AÑOS")</f>
        <v>LOS 3 AÑOS</v>
      </c>
      <c r="K3976" s="16"/>
      <c r="L3976" s="14" t="s">
        <v>178</v>
      </c>
      <c r="M3976" s="16" t="str">
        <f t="shared" si="1"/>
        <v>509772 Primaria</v>
      </c>
      <c r="N3976" s="23"/>
      <c r="O3976" s="17"/>
      <c r="P3976" s="17"/>
      <c r="Q3976" s="17"/>
      <c r="R3976" s="17"/>
      <c r="S3976" s="17"/>
      <c r="T3976" s="17"/>
    </row>
    <row r="3977">
      <c r="A3977" s="21">
        <v>105.0</v>
      </c>
      <c r="B3977" s="14" t="s">
        <v>90</v>
      </c>
      <c r="C3977" s="14" t="s">
        <v>14</v>
      </c>
      <c r="D3977" s="20" t="s">
        <v>15</v>
      </c>
      <c r="E3977" s="12" t="str">
        <f>IFERROR(__xludf.DUMMYFUNCTION("FILTER(colegios!$B$2:$B5618,colegios!$A$2:$A5618=L3977)"),"50977")</f>
        <v>50977</v>
      </c>
      <c r="F3977" s="14" t="s">
        <v>16</v>
      </c>
      <c r="G3977" s="20" t="s">
        <v>21</v>
      </c>
      <c r="H3977" s="14" t="s">
        <v>18</v>
      </c>
      <c r="I3977" s="22">
        <v>2022.0</v>
      </c>
      <c r="J3977" s="16" t="str">
        <f>IFERROR(__xludf.DUMMYFUNCTION("FILTER('CLASFICACIÓN'!$F$3:$F5618,'CLASFICACIÓN'!$G$3:$G5618=M3977)"),"LOS 3 AÑOS")</f>
        <v>LOS 3 AÑOS</v>
      </c>
      <c r="K3977" s="16"/>
      <c r="L3977" s="14" t="s">
        <v>178</v>
      </c>
      <c r="M3977" s="16" t="str">
        <f t="shared" si="1"/>
        <v>509772 Primaria</v>
      </c>
      <c r="N3977" s="23"/>
      <c r="O3977" s="17"/>
      <c r="P3977" s="17"/>
      <c r="Q3977" s="17"/>
      <c r="R3977" s="17"/>
      <c r="S3977" s="17"/>
      <c r="T3977" s="17"/>
    </row>
    <row r="3978">
      <c r="A3978" s="21">
        <v>106.0</v>
      </c>
      <c r="B3978" s="14" t="s">
        <v>90</v>
      </c>
      <c r="C3978" s="14" t="s">
        <v>14</v>
      </c>
      <c r="D3978" s="20" t="s">
        <v>15</v>
      </c>
      <c r="E3978" s="12" t="str">
        <f>IFERROR(__xludf.DUMMYFUNCTION("FILTER(colegios!$B$2:$B5618,colegios!$A$2:$A5618=L3978)"),"50977")</f>
        <v>50977</v>
      </c>
      <c r="F3978" s="14" t="s">
        <v>16</v>
      </c>
      <c r="G3978" s="20" t="s">
        <v>17</v>
      </c>
      <c r="H3978" s="14" t="s">
        <v>18</v>
      </c>
      <c r="I3978" s="22">
        <v>2022.0</v>
      </c>
      <c r="J3978" s="16" t="str">
        <f>IFERROR(__xludf.DUMMYFUNCTION("FILTER('CLASFICACIÓN'!$F$3:$F5618,'CLASFICACIÓN'!$G$3:$G5618=M3978)"),"LOS 3 AÑOS")</f>
        <v>LOS 3 AÑOS</v>
      </c>
      <c r="K3978" s="16"/>
      <c r="L3978" s="14" t="s">
        <v>178</v>
      </c>
      <c r="M3978" s="16" t="str">
        <f t="shared" si="1"/>
        <v>509772 Primaria</v>
      </c>
      <c r="N3978" s="23"/>
      <c r="O3978" s="17"/>
      <c r="P3978" s="17"/>
      <c r="Q3978" s="17"/>
      <c r="R3978" s="17"/>
      <c r="S3978" s="17"/>
      <c r="T3978" s="17"/>
    </row>
    <row r="3979">
      <c r="A3979" s="21">
        <v>107.0</v>
      </c>
      <c r="B3979" s="14" t="s">
        <v>90</v>
      </c>
      <c r="C3979" s="14" t="s">
        <v>14</v>
      </c>
      <c r="D3979" s="20" t="s">
        <v>15</v>
      </c>
      <c r="E3979" s="12" t="str">
        <f>IFERROR(__xludf.DUMMYFUNCTION("FILTER(colegios!$B$2:$B5618,colegios!$A$2:$A5618=L3979)"),"50977")</f>
        <v>50977</v>
      </c>
      <c r="F3979" s="14" t="s">
        <v>16</v>
      </c>
      <c r="G3979" s="20" t="s">
        <v>21</v>
      </c>
      <c r="H3979" s="14" t="s">
        <v>18</v>
      </c>
      <c r="I3979" s="22">
        <v>2022.0</v>
      </c>
      <c r="J3979" s="16" t="str">
        <f>IFERROR(__xludf.DUMMYFUNCTION("FILTER('CLASFICACIÓN'!$F$3:$F5618,'CLASFICACIÓN'!$G$3:$G5618=M3979)"),"LOS 3 AÑOS")</f>
        <v>LOS 3 AÑOS</v>
      </c>
      <c r="K3979" s="16"/>
      <c r="L3979" s="14" t="s">
        <v>178</v>
      </c>
      <c r="M3979" s="16" t="str">
        <f t="shared" si="1"/>
        <v>509772 Primaria</v>
      </c>
      <c r="N3979" s="23"/>
      <c r="O3979" s="17"/>
      <c r="P3979" s="17"/>
      <c r="Q3979" s="17"/>
      <c r="R3979" s="17"/>
      <c r="S3979" s="17"/>
      <c r="T3979" s="17"/>
    </row>
    <row r="3980">
      <c r="A3980" s="21">
        <v>108.0</v>
      </c>
      <c r="B3980" s="14" t="s">
        <v>90</v>
      </c>
      <c r="C3980" s="14" t="s">
        <v>14</v>
      </c>
      <c r="D3980" s="20" t="s">
        <v>15</v>
      </c>
      <c r="E3980" s="12" t="str">
        <f>IFERROR(__xludf.DUMMYFUNCTION("FILTER(colegios!$B$2:$B5618,colegios!$A$2:$A5618=L3980)"),"50977")</f>
        <v>50977</v>
      </c>
      <c r="F3980" s="14" t="s">
        <v>16</v>
      </c>
      <c r="G3980" s="20" t="s">
        <v>21</v>
      </c>
      <c r="H3980" s="14" t="s">
        <v>18</v>
      </c>
      <c r="I3980" s="22">
        <v>2022.0</v>
      </c>
      <c r="J3980" s="16" t="str">
        <f>IFERROR(__xludf.DUMMYFUNCTION("FILTER('CLASFICACIÓN'!$F$3:$F5618,'CLASFICACIÓN'!$G$3:$G5618=M3980)"),"LOS 3 AÑOS")</f>
        <v>LOS 3 AÑOS</v>
      </c>
      <c r="K3980" s="16"/>
      <c r="L3980" s="14" t="s">
        <v>178</v>
      </c>
      <c r="M3980" s="16" t="str">
        <f t="shared" si="1"/>
        <v>509772 Primaria</v>
      </c>
      <c r="N3980" s="23"/>
      <c r="O3980" s="17"/>
      <c r="P3980" s="17"/>
      <c r="Q3980" s="17"/>
      <c r="R3980" s="17"/>
      <c r="S3980" s="17"/>
      <c r="T3980" s="17"/>
    </row>
    <row r="3981">
      <c r="A3981" s="21">
        <v>109.0</v>
      </c>
      <c r="B3981" s="14" t="s">
        <v>90</v>
      </c>
      <c r="C3981" s="14" t="s">
        <v>14</v>
      </c>
      <c r="D3981" s="20" t="s">
        <v>15</v>
      </c>
      <c r="E3981" s="12" t="str">
        <f>IFERROR(__xludf.DUMMYFUNCTION("FILTER(colegios!$B$2:$B5618,colegios!$A$2:$A5618=L3981)"),"50977")</f>
        <v>50977</v>
      </c>
      <c r="F3981" s="14" t="s">
        <v>16</v>
      </c>
      <c r="G3981" s="20" t="s">
        <v>17</v>
      </c>
      <c r="H3981" s="14" t="s">
        <v>18</v>
      </c>
      <c r="I3981" s="22">
        <v>2022.0</v>
      </c>
      <c r="J3981" s="16" t="str">
        <f>IFERROR(__xludf.DUMMYFUNCTION("FILTER('CLASFICACIÓN'!$F$3:$F5618,'CLASFICACIÓN'!$G$3:$G5618=M3981)"),"LOS 3 AÑOS")</f>
        <v>LOS 3 AÑOS</v>
      </c>
      <c r="K3981" s="16"/>
      <c r="L3981" s="14" t="s">
        <v>178</v>
      </c>
      <c r="M3981" s="16" t="str">
        <f t="shared" si="1"/>
        <v>509772 Primaria</v>
      </c>
      <c r="N3981" s="23"/>
      <c r="O3981" s="17"/>
      <c r="P3981" s="17"/>
      <c r="Q3981" s="17"/>
      <c r="R3981" s="17"/>
      <c r="S3981" s="17"/>
      <c r="T3981" s="17"/>
    </row>
    <row r="3982">
      <c r="A3982" s="21">
        <v>110.0</v>
      </c>
      <c r="B3982" s="14" t="s">
        <v>90</v>
      </c>
      <c r="C3982" s="14" t="s">
        <v>14</v>
      </c>
      <c r="D3982" s="20" t="s">
        <v>15</v>
      </c>
      <c r="E3982" s="12" t="str">
        <f>IFERROR(__xludf.DUMMYFUNCTION("FILTER(colegios!$B$2:$B5618,colegios!$A$2:$A5618=L3982)"),"50977")</f>
        <v>50977</v>
      </c>
      <c r="F3982" s="14" t="s">
        <v>16</v>
      </c>
      <c r="G3982" s="20" t="s">
        <v>17</v>
      </c>
      <c r="H3982" s="14" t="s">
        <v>18</v>
      </c>
      <c r="I3982" s="22">
        <v>2022.0</v>
      </c>
      <c r="J3982" s="16" t="str">
        <f>IFERROR(__xludf.DUMMYFUNCTION("FILTER('CLASFICACIÓN'!$F$3:$F5618,'CLASFICACIÓN'!$G$3:$G5618=M3982)"),"LOS 3 AÑOS")</f>
        <v>LOS 3 AÑOS</v>
      </c>
      <c r="K3982" s="16"/>
      <c r="L3982" s="14" t="s">
        <v>178</v>
      </c>
      <c r="M3982" s="16" t="str">
        <f t="shared" si="1"/>
        <v>509772 Primaria</v>
      </c>
      <c r="N3982" s="23"/>
      <c r="O3982" s="17"/>
      <c r="P3982" s="17"/>
      <c r="Q3982" s="17"/>
      <c r="R3982" s="17"/>
      <c r="S3982" s="17"/>
      <c r="T3982" s="17"/>
    </row>
    <row r="3983">
      <c r="A3983" s="21">
        <v>111.0</v>
      </c>
      <c r="B3983" s="14" t="s">
        <v>90</v>
      </c>
      <c r="C3983" s="14" t="s">
        <v>14</v>
      </c>
      <c r="D3983" s="20" t="s">
        <v>15</v>
      </c>
      <c r="E3983" s="12" t="str">
        <f>IFERROR(__xludf.DUMMYFUNCTION("FILTER(colegios!$B$2:$B5618,colegios!$A$2:$A5618=L3983)"),"50977")</f>
        <v>50977</v>
      </c>
      <c r="F3983" s="14" t="s">
        <v>16</v>
      </c>
      <c r="G3983" s="20" t="s">
        <v>17</v>
      </c>
      <c r="H3983" s="14" t="s">
        <v>18</v>
      </c>
      <c r="I3983" s="22">
        <v>2022.0</v>
      </c>
      <c r="J3983" s="16" t="str">
        <f>IFERROR(__xludf.DUMMYFUNCTION("FILTER('CLASFICACIÓN'!$F$3:$F5618,'CLASFICACIÓN'!$G$3:$G5618=M3983)"),"LOS 3 AÑOS")</f>
        <v>LOS 3 AÑOS</v>
      </c>
      <c r="K3983" s="16"/>
      <c r="L3983" s="14" t="s">
        <v>178</v>
      </c>
      <c r="M3983" s="16" t="str">
        <f t="shared" si="1"/>
        <v>509772 Primaria</v>
      </c>
      <c r="N3983" s="23"/>
      <c r="O3983" s="17"/>
      <c r="P3983" s="17"/>
      <c r="Q3983" s="17"/>
      <c r="R3983" s="17"/>
      <c r="S3983" s="17"/>
      <c r="T3983" s="17"/>
    </row>
    <row r="3984">
      <c r="A3984" s="21">
        <v>112.0</v>
      </c>
      <c r="B3984" s="14" t="s">
        <v>90</v>
      </c>
      <c r="C3984" s="14" t="s">
        <v>14</v>
      </c>
      <c r="D3984" s="20" t="s">
        <v>15</v>
      </c>
      <c r="E3984" s="12" t="str">
        <f>IFERROR(__xludf.DUMMYFUNCTION("FILTER(colegios!$B$2:$B5618,colegios!$A$2:$A5618=L3984)"),"50977")</f>
        <v>50977</v>
      </c>
      <c r="F3984" s="14" t="s">
        <v>16</v>
      </c>
      <c r="G3984" s="20" t="s">
        <v>17</v>
      </c>
      <c r="H3984" s="14" t="s">
        <v>18</v>
      </c>
      <c r="I3984" s="22">
        <v>2022.0</v>
      </c>
      <c r="J3984" s="16" t="str">
        <f>IFERROR(__xludf.DUMMYFUNCTION("FILTER('CLASFICACIÓN'!$F$3:$F5618,'CLASFICACIÓN'!$G$3:$G5618=M3984)"),"LOS 3 AÑOS")</f>
        <v>LOS 3 AÑOS</v>
      </c>
      <c r="K3984" s="16"/>
      <c r="L3984" s="14" t="s">
        <v>178</v>
      </c>
      <c r="M3984" s="16" t="str">
        <f t="shared" si="1"/>
        <v>509772 Primaria</v>
      </c>
      <c r="N3984" s="23"/>
      <c r="O3984" s="17"/>
      <c r="P3984" s="17"/>
      <c r="Q3984" s="17"/>
      <c r="R3984" s="17"/>
      <c r="S3984" s="17"/>
      <c r="T3984" s="17"/>
    </row>
    <row r="3985">
      <c r="A3985" s="21">
        <v>113.0</v>
      </c>
      <c r="B3985" s="14" t="s">
        <v>90</v>
      </c>
      <c r="C3985" s="14" t="s">
        <v>14</v>
      </c>
      <c r="D3985" s="20" t="s">
        <v>15</v>
      </c>
      <c r="E3985" s="12" t="str">
        <f>IFERROR(__xludf.DUMMYFUNCTION("FILTER(colegios!$B$2:$B5618,colegios!$A$2:$A5618=L3985)"),"50977")</f>
        <v>50977</v>
      </c>
      <c r="F3985" s="14" t="s">
        <v>16</v>
      </c>
      <c r="G3985" s="20" t="s">
        <v>21</v>
      </c>
      <c r="H3985" s="14" t="s">
        <v>18</v>
      </c>
      <c r="I3985" s="22">
        <v>2022.0</v>
      </c>
      <c r="J3985" s="16" t="str">
        <f>IFERROR(__xludf.DUMMYFUNCTION("FILTER('CLASFICACIÓN'!$F$3:$F5618,'CLASFICACIÓN'!$G$3:$G5618=M3985)"),"LOS 3 AÑOS")</f>
        <v>LOS 3 AÑOS</v>
      </c>
      <c r="K3985" s="16"/>
      <c r="L3985" s="14" t="s">
        <v>178</v>
      </c>
      <c r="M3985" s="16" t="str">
        <f t="shared" si="1"/>
        <v>509772 Primaria</v>
      </c>
      <c r="N3985" s="23"/>
      <c r="O3985" s="17"/>
      <c r="P3985" s="17"/>
      <c r="Q3985" s="17"/>
      <c r="R3985" s="17"/>
      <c r="S3985" s="17"/>
      <c r="T3985" s="17"/>
    </row>
    <row r="3986">
      <c r="A3986" s="21">
        <v>114.0</v>
      </c>
      <c r="B3986" s="14" t="s">
        <v>90</v>
      </c>
      <c r="C3986" s="14" t="s">
        <v>14</v>
      </c>
      <c r="D3986" s="20" t="s">
        <v>15</v>
      </c>
      <c r="E3986" s="12" t="str">
        <f>IFERROR(__xludf.DUMMYFUNCTION("FILTER(colegios!$B$2:$B5618,colegios!$A$2:$A5618=L3986)"),"50977")</f>
        <v>50977</v>
      </c>
      <c r="F3986" s="14" t="s">
        <v>16</v>
      </c>
      <c r="G3986" s="20" t="s">
        <v>21</v>
      </c>
      <c r="H3986" s="14" t="s">
        <v>18</v>
      </c>
      <c r="I3986" s="22">
        <v>2022.0</v>
      </c>
      <c r="J3986" s="16" t="str">
        <f>IFERROR(__xludf.DUMMYFUNCTION("FILTER('CLASFICACIÓN'!$F$3:$F5618,'CLASFICACIÓN'!$G$3:$G5618=M3986)"),"LOS 3 AÑOS")</f>
        <v>LOS 3 AÑOS</v>
      </c>
      <c r="K3986" s="16"/>
      <c r="L3986" s="14" t="s">
        <v>178</v>
      </c>
      <c r="M3986" s="16" t="str">
        <f t="shared" si="1"/>
        <v>509772 Primaria</v>
      </c>
      <c r="N3986" s="23"/>
      <c r="O3986" s="17"/>
      <c r="P3986" s="17"/>
      <c r="Q3986" s="17"/>
      <c r="R3986" s="17"/>
      <c r="S3986" s="17"/>
      <c r="T3986" s="17"/>
    </row>
    <row r="3987">
      <c r="A3987" s="21">
        <v>115.0</v>
      </c>
      <c r="B3987" s="14" t="s">
        <v>90</v>
      </c>
      <c r="C3987" s="14" t="s">
        <v>14</v>
      </c>
      <c r="D3987" s="20" t="s">
        <v>15</v>
      </c>
      <c r="E3987" s="12" t="str">
        <f>IFERROR(__xludf.DUMMYFUNCTION("FILTER(colegios!$B$2:$B5618,colegios!$A$2:$A5618=L3987)"),"50977")</f>
        <v>50977</v>
      </c>
      <c r="F3987" s="14" t="s">
        <v>16</v>
      </c>
      <c r="G3987" s="20" t="s">
        <v>17</v>
      </c>
      <c r="H3987" s="14" t="s">
        <v>18</v>
      </c>
      <c r="I3987" s="22">
        <v>2022.0</v>
      </c>
      <c r="J3987" s="16" t="str">
        <f>IFERROR(__xludf.DUMMYFUNCTION("FILTER('CLASFICACIÓN'!$F$3:$F5618,'CLASFICACIÓN'!$G$3:$G5618=M3987)"),"LOS 3 AÑOS")</f>
        <v>LOS 3 AÑOS</v>
      </c>
      <c r="K3987" s="16"/>
      <c r="L3987" s="14" t="s">
        <v>178</v>
      </c>
      <c r="M3987" s="16" t="str">
        <f t="shared" si="1"/>
        <v>509772 Primaria</v>
      </c>
      <c r="N3987" s="23"/>
      <c r="O3987" s="17"/>
      <c r="P3987" s="17"/>
      <c r="Q3987" s="17"/>
      <c r="R3987" s="17"/>
      <c r="S3987" s="17"/>
      <c r="T3987" s="17"/>
    </row>
    <row r="3988">
      <c r="A3988" s="21">
        <v>116.0</v>
      </c>
      <c r="B3988" s="14" t="s">
        <v>90</v>
      </c>
      <c r="C3988" s="14" t="s">
        <v>14</v>
      </c>
      <c r="D3988" s="20" t="s">
        <v>15</v>
      </c>
      <c r="E3988" s="12" t="str">
        <f>IFERROR(__xludf.DUMMYFUNCTION("FILTER(colegios!$B$2:$B5618,colegios!$A$2:$A5618=L3988)"),"50977")</f>
        <v>50977</v>
      </c>
      <c r="F3988" s="14" t="s">
        <v>16</v>
      </c>
      <c r="G3988" s="20" t="s">
        <v>17</v>
      </c>
      <c r="H3988" s="14" t="s">
        <v>18</v>
      </c>
      <c r="I3988" s="22">
        <v>2022.0</v>
      </c>
      <c r="J3988" s="16" t="str">
        <f>IFERROR(__xludf.DUMMYFUNCTION("FILTER('CLASFICACIÓN'!$F$3:$F5618,'CLASFICACIÓN'!$G$3:$G5618=M3988)"),"LOS 3 AÑOS")</f>
        <v>LOS 3 AÑOS</v>
      </c>
      <c r="K3988" s="16"/>
      <c r="L3988" s="14" t="s">
        <v>178</v>
      </c>
      <c r="M3988" s="16" t="str">
        <f t="shared" si="1"/>
        <v>509772 Primaria</v>
      </c>
      <c r="N3988" s="23"/>
      <c r="O3988" s="17"/>
      <c r="P3988" s="17"/>
      <c r="Q3988" s="17"/>
      <c r="R3988" s="17"/>
      <c r="S3988" s="17"/>
      <c r="T3988" s="17"/>
    </row>
    <row r="3989">
      <c r="A3989" s="21">
        <v>117.0</v>
      </c>
      <c r="B3989" s="14" t="s">
        <v>90</v>
      </c>
      <c r="C3989" s="14" t="s">
        <v>14</v>
      </c>
      <c r="D3989" s="20" t="s">
        <v>15</v>
      </c>
      <c r="E3989" s="12" t="str">
        <f>IFERROR(__xludf.DUMMYFUNCTION("FILTER(colegios!$B$2:$B5618,colegios!$A$2:$A5618=L3989)"),"50977")</f>
        <v>50977</v>
      </c>
      <c r="F3989" s="14" t="s">
        <v>16</v>
      </c>
      <c r="G3989" s="20" t="s">
        <v>17</v>
      </c>
      <c r="H3989" s="14" t="s">
        <v>18</v>
      </c>
      <c r="I3989" s="22">
        <v>2022.0</v>
      </c>
      <c r="J3989" s="16" t="str">
        <f>IFERROR(__xludf.DUMMYFUNCTION("FILTER('CLASFICACIÓN'!$F$3:$F5618,'CLASFICACIÓN'!$G$3:$G5618=M3989)"),"LOS 3 AÑOS")</f>
        <v>LOS 3 AÑOS</v>
      </c>
      <c r="K3989" s="16"/>
      <c r="L3989" s="14" t="s">
        <v>178</v>
      </c>
      <c r="M3989" s="16" t="str">
        <f t="shared" si="1"/>
        <v>509772 Primaria</v>
      </c>
      <c r="N3989" s="23"/>
      <c r="O3989" s="17"/>
      <c r="P3989" s="17"/>
      <c r="Q3989" s="17"/>
      <c r="R3989" s="17"/>
      <c r="S3989" s="17"/>
      <c r="T3989" s="17"/>
    </row>
    <row r="3990">
      <c r="A3990" s="21">
        <v>118.0</v>
      </c>
      <c r="B3990" s="14" t="s">
        <v>90</v>
      </c>
      <c r="C3990" s="14" t="s">
        <v>14</v>
      </c>
      <c r="D3990" s="20" t="s">
        <v>15</v>
      </c>
      <c r="E3990" s="12" t="str">
        <f>IFERROR(__xludf.DUMMYFUNCTION("FILTER(colegios!$B$2:$B5618,colegios!$A$2:$A5618=L3990)"),"50977")</f>
        <v>50977</v>
      </c>
      <c r="F3990" s="14" t="s">
        <v>16</v>
      </c>
      <c r="G3990" s="20" t="s">
        <v>21</v>
      </c>
      <c r="H3990" s="14" t="s">
        <v>18</v>
      </c>
      <c r="I3990" s="22">
        <v>2022.0</v>
      </c>
      <c r="J3990" s="16" t="str">
        <f>IFERROR(__xludf.DUMMYFUNCTION("FILTER('CLASFICACIÓN'!$F$3:$F5618,'CLASFICACIÓN'!$G$3:$G5618=M3990)"),"LOS 3 AÑOS")</f>
        <v>LOS 3 AÑOS</v>
      </c>
      <c r="K3990" s="16"/>
      <c r="L3990" s="14" t="s">
        <v>178</v>
      </c>
      <c r="M3990" s="16" t="str">
        <f t="shared" si="1"/>
        <v>509772 Primaria</v>
      </c>
      <c r="N3990" s="23"/>
      <c r="O3990" s="17"/>
      <c r="P3990" s="17"/>
      <c r="Q3990" s="17"/>
      <c r="R3990" s="17"/>
      <c r="S3990" s="17"/>
      <c r="T3990" s="17"/>
    </row>
    <row r="3991">
      <c r="A3991" s="21">
        <v>119.0</v>
      </c>
      <c r="B3991" s="14" t="s">
        <v>90</v>
      </c>
      <c r="C3991" s="14" t="s">
        <v>14</v>
      </c>
      <c r="D3991" s="20" t="s">
        <v>15</v>
      </c>
      <c r="E3991" s="12" t="str">
        <f>IFERROR(__xludf.DUMMYFUNCTION("FILTER(colegios!$B$2:$B5618,colegios!$A$2:$A5618=L3991)"),"50977")</f>
        <v>50977</v>
      </c>
      <c r="F3991" s="14" t="s">
        <v>16</v>
      </c>
      <c r="G3991" s="20" t="s">
        <v>21</v>
      </c>
      <c r="H3991" s="14" t="s">
        <v>18</v>
      </c>
      <c r="I3991" s="22">
        <v>2022.0</v>
      </c>
      <c r="J3991" s="16" t="str">
        <f>IFERROR(__xludf.DUMMYFUNCTION("FILTER('CLASFICACIÓN'!$F$3:$F5618,'CLASFICACIÓN'!$G$3:$G5618=M3991)"),"LOS 3 AÑOS")</f>
        <v>LOS 3 AÑOS</v>
      </c>
      <c r="K3991" s="16"/>
      <c r="L3991" s="14" t="s">
        <v>178</v>
      </c>
      <c r="M3991" s="16" t="str">
        <f t="shared" si="1"/>
        <v>509772 Primaria</v>
      </c>
      <c r="N3991" s="23"/>
      <c r="O3991" s="17"/>
      <c r="P3991" s="17"/>
      <c r="Q3991" s="17"/>
      <c r="R3991" s="17"/>
      <c r="S3991" s="17"/>
      <c r="T3991" s="17"/>
    </row>
    <row r="3992">
      <c r="A3992" s="21">
        <v>120.0</v>
      </c>
      <c r="B3992" s="14" t="s">
        <v>90</v>
      </c>
      <c r="C3992" s="14" t="s">
        <v>14</v>
      </c>
      <c r="D3992" s="20" t="s">
        <v>15</v>
      </c>
      <c r="E3992" s="12" t="str">
        <f>IFERROR(__xludf.DUMMYFUNCTION("FILTER(colegios!$B$2:$B5618,colegios!$A$2:$A5618=L3992)"),"50977")</f>
        <v>50977</v>
      </c>
      <c r="F3992" s="14" t="s">
        <v>16</v>
      </c>
      <c r="G3992" s="20" t="s">
        <v>21</v>
      </c>
      <c r="H3992" s="14" t="s">
        <v>18</v>
      </c>
      <c r="I3992" s="22">
        <v>2022.0</v>
      </c>
      <c r="J3992" s="16" t="str">
        <f>IFERROR(__xludf.DUMMYFUNCTION("FILTER('CLASFICACIÓN'!$F$3:$F5618,'CLASFICACIÓN'!$G$3:$G5618=M3992)"),"LOS 3 AÑOS")</f>
        <v>LOS 3 AÑOS</v>
      </c>
      <c r="K3992" s="16"/>
      <c r="L3992" s="14" t="s">
        <v>178</v>
      </c>
      <c r="M3992" s="16" t="str">
        <f t="shared" si="1"/>
        <v>509772 Primaria</v>
      </c>
      <c r="N3992" s="23"/>
      <c r="O3992" s="17"/>
      <c r="P3992" s="17"/>
      <c r="Q3992" s="17"/>
      <c r="R3992" s="17"/>
      <c r="S3992" s="17"/>
      <c r="T3992" s="17"/>
    </row>
    <row r="3993">
      <c r="A3993" s="21">
        <v>121.0</v>
      </c>
      <c r="B3993" s="14" t="s">
        <v>90</v>
      </c>
      <c r="C3993" s="14" t="s">
        <v>14</v>
      </c>
      <c r="D3993" s="20" t="s">
        <v>15</v>
      </c>
      <c r="E3993" s="12" t="str">
        <f>IFERROR(__xludf.DUMMYFUNCTION("FILTER(colegios!$B$2:$B5618,colegios!$A$2:$A5618=L3993)"),"50977")</f>
        <v>50977</v>
      </c>
      <c r="F3993" s="14" t="s">
        <v>16</v>
      </c>
      <c r="G3993" s="20" t="s">
        <v>21</v>
      </c>
      <c r="H3993" s="14" t="s">
        <v>18</v>
      </c>
      <c r="I3993" s="22">
        <v>2022.0</v>
      </c>
      <c r="J3993" s="16" t="str">
        <f>IFERROR(__xludf.DUMMYFUNCTION("FILTER('CLASFICACIÓN'!$F$3:$F5618,'CLASFICACIÓN'!$G$3:$G5618=M3993)"),"LOS 3 AÑOS")</f>
        <v>LOS 3 AÑOS</v>
      </c>
      <c r="K3993" s="16"/>
      <c r="L3993" s="14" t="s">
        <v>178</v>
      </c>
      <c r="M3993" s="16" t="str">
        <f t="shared" si="1"/>
        <v>509772 Primaria</v>
      </c>
      <c r="N3993" s="23"/>
      <c r="O3993" s="17"/>
      <c r="P3993" s="17"/>
      <c r="Q3993" s="17"/>
      <c r="R3993" s="17"/>
      <c r="S3993" s="17"/>
      <c r="T3993" s="17"/>
    </row>
    <row r="3994">
      <c r="A3994" s="21">
        <v>122.0</v>
      </c>
      <c r="B3994" s="14" t="s">
        <v>90</v>
      </c>
      <c r="C3994" s="14" t="s">
        <v>14</v>
      </c>
      <c r="D3994" s="20" t="s">
        <v>15</v>
      </c>
      <c r="E3994" s="12" t="str">
        <f>IFERROR(__xludf.DUMMYFUNCTION("FILTER(colegios!$B$2:$B5618,colegios!$A$2:$A5618=L3994)"),"50977")</f>
        <v>50977</v>
      </c>
      <c r="F3994" s="14" t="s">
        <v>16</v>
      </c>
      <c r="G3994" s="20" t="s">
        <v>21</v>
      </c>
      <c r="H3994" s="14" t="s">
        <v>24</v>
      </c>
      <c r="I3994" s="22">
        <v>2022.0</v>
      </c>
      <c r="J3994" s="16" t="str">
        <f>IFERROR(__xludf.DUMMYFUNCTION("FILTER('CLASFICACIÓN'!$F$3:$F5618,'CLASFICACIÓN'!$G$3:$G5618=M3994)"),"LOS 3 AÑOS")</f>
        <v>LOS 3 AÑOS</v>
      </c>
      <c r="K3994" s="16"/>
      <c r="L3994" s="14" t="s">
        <v>178</v>
      </c>
      <c r="M3994" s="16" t="str">
        <f t="shared" si="1"/>
        <v>509772 Primaria</v>
      </c>
      <c r="N3994" s="23"/>
      <c r="O3994" s="17"/>
      <c r="P3994" s="17"/>
      <c r="Q3994" s="17"/>
      <c r="R3994" s="17"/>
      <c r="S3994" s="17"/>
      <c r="T3994" s="17"/>
    </row>
    <row r="3995">
      <c r="A3995" s="21">
        <v>123.0</v>
      </c>
      <c r="B3995" s="14" t="s">
        <v>90</v>
      </c>
      <c r="C3995" s="14" t="s">
        <v>14</v>
      </c>
      <c r="D3995" s="20" t="s">
        <v>15</v>
      </c>
      <c r="E3995" s="12" t="str">
        <f>IFERROR(__xludf.DUMMYFUNCTION("FILTER(colegios!$B$2:$B5618,colegios!$A$2:$A5618=L3995)"),"50977")</f>
        <v>50977</v>
      </c>
      <c r="F3995" s="14" t="s">
        <v>16</v>
      </c>
      <c r="G3995" s="20" t="s">
        <v>21</v>
      </c>
      <c r="H3995" s="14" t="s">
        <v>24</v>
      </c>
      <c r="I3995" s="22">
        <v>2022.0</v>
      </c>
      <c r="J3995" s="16" t="str">
        <f>IFERROR(__xludf.DUMMYFUNCTION("FILTER('CLASFICACIÓN'!$F$3:$F5618,'CLASFICACIÓN'!$G$3:$G5618=M3995)"),"LOS 3 AÑOS")</f>
        <v>LOS 3 AÑOS</v>
      </c>
      <c r="K3995" s="16"/>
      <c r="L3995" s="14" t="s">
        <v>178</v>
      </c>
      <c r="M3995" s="16" t="str">
        <f t="shared" si="1"/>
        <v>509772 Primaria</v>
      </c>
      <c r="N3995" s="23"/>
      <c r="O3995" s="17"/>
      <c r="P3995" s="17"/>
      <c r="Q3995" s="17"/>
      <c r="R3995" s="17"/>
      <c r="S3995" s="17"/>
      <c r="T3995" s="17"/>
    </row>
    <row r="3996">
      <c r="A3996" s="21">
        <v>124.0</v>
      </c>
      <c r="B3996" s="14" t="s">
        <v>90</v>
      </c>
      <c r="C3996" s="14" t="s">
        <v>14</v>
      </c>
      <c r="D3996" s="20" t="s">
        <v>15</v>
      </c>
      <c r="E3996" s="12" t="str">
        <f>IFERROR(__xludf.DUMMYFUNCTION("FILTER(colegios!$B$2:$B5618,colegios!$A$2:$A5618=L3996)"),"50977")</f>
        <v>50977</v>
      </c>
      <c r="F3996" s="14" t="s">
        <v>16</v>
      </c>
      <c r="G3996" s="20" t="s">
        <v>21</v>
      </c>
      <c r="H3996" s="14" t="s">
        <v>24</v>
      </c>
      <c r="I3996" s="22">
        <v>2022.0</v>
      </c>
      <c r="J3996" s="16" t="str">
        <f>IFERROR(__xludf.DUMMYFUNCTION("FILTER('CLASFICACIÓN'!$F$3:$F5618,'CLASFICACIÓN'!$G$3:$G5618=M3996)"),"LOS 3 AÑOS")</f>
        <v>LOS 3 AÑOS</v>
      </c>
      <c r="K3996" s="16"/>
      <c r="L3996" s="14" t="s">
        <v>178</v>
      </c>
      <c r="M3996" s="16" t="str">
        <f t="shared" si="1"/>
        <v>509772 Primaria</v>
      </c>
      <c r="N3996" s="23"/>
      <c r="O3996" s="17"/>
      <c r="P3996" s="17"/>
      <c r="Q3996" s="17"/>
      <c r="R3996" s="17"/>
      <c r="S3996" s="17"/>
      <c r="T3996" s="17"/>
    </row>
    <row r="3997">
      <c r="A3997" s="21">
        <v>125.0</v>
      </c>
      <c r="B3997" s="14" t="s">
        <v>90</v>
      </c>
      <c r="C3997" s="14" t="s">
        <v>14</v>
      </c>
      <c r="D3997" s="20" t="s">
        <v>15</v>
      </c>
      <c r="E3997" s="12" t="str">
        <f>IFERROR(__xludf.DUMMYFUNCTION("FILTER(colegios!$B$2:$B5618,colegios!$A$2:$A5618=L3997)"),"50977")</f>
        <v>50977</v>
      </c>
      <c r="F3997" s="14" t="s">
        <v>16</v>
      </c>
      <c r="G3997" s="20" t="s">
        <v>21</v>
      </c>
      <c r="H3997" s="14" t="s">
        <v>24</v>
      </c>
      <c r="I3997" s="22">
        <v>2022.0</v>
      </c>
      <c r="J3997" s="16" t="str">
        <f>IFERROR(__xludf.DUMMYFUNCTION("FILTER('CLASFICACIÓN'!$F$3:$F5618,'CLASFICACIÓN'!$G$3:$G5618=M3997)"),"LOS 3 AÑOS")</f>
        <v>LOS 3 AÑOS</v>
      </c>
      <c r="K3997" s="16"/>
      <c r="L3997" s="14" t="s">
        <v>178</v>
      </c>
      <c r="M3997" s="16" t="str">
        <f t="shared" si="1"/>
        <v>509772 Primaria</v>
      </c>
      <c r="N3997" s="23"/>
      <c r="O3997" s="17"/>
      <c r="P3997" s="17"/>
      <c r="Q3997" s="17"/>
      <c r="R3997" s="17"/>
      <c r="S3997" s="17"/>
      <c r="T3997" s="17"/>
    </row>
    <row r="3998">
      <c r="A3998" s="21">
        <v>126.0</v>
      </c>
      <c r="B3998" s="14" t="s">
        <v>90</v>
      </c>
      <c r="C3998" s="14" t="s">
        <v>14</v>
      </c>
      <c r="D3998" s="20" t="s">
        <v>15</v>
      </c>
      <c r="E3998" s="12" t="str">
        <f>IFERROR(__xludf.DUMMYFUNCTION("FILTER(colegios!$B$2:$B5618,colegios!$A$2:$A5618=L3998)"),"50977")</f>
        <v>50977</v>
      </c>
      <c r="F3998" s="14" t="s">
        <v>16</v>
      </c>
      <c r="G3998" s="20" t="s">
        <v>17</v>
      </c>
      <c r="H3998" s="14" t="s">
        <v>24</v>
      </c>
      <c r="I3998" s="22">
        <v>2022.0</v>
      </c>
      <c r="J3998" s="16" t="str">
        <f>IFERROR(__xludf.DUMMYFUNCTION("FILTER('CLASFICACIÓN'!$F$3:$F5618,'CLASFICACIÓN'!$G$3:$G5618=M3998)"),"LOS 3 AÑOS")</f>
        <v>LOS 3 AÑOS</v>
      </c>
      <c r="K3998" s="16"/>
      <c r="L3998" s="14" t="s">
        <v>178</v>
      </c>
      <c r="M3998" s="16" t="str">
        <f t="shared" si="1"/>
        <v>509772 Primaria</v>
      </c>
      <c r="N3998" s="23"/>
      <c r="O3998" s="17"/>
      <c r="P3998" s="17"/>
      <c r="Q3998" s="17"/>
      <c r="R3998" s="17"/>
      <c r="S3998" s="17"/>
      <c r="T3998" s="17"/>
    </row>
    <row r="3999">
      <c r="A3999" s="21">
        <v>127.0</v>
      </c>
      <c r="B3999" s="14" t="s">
        <v>90</v>
      </c>
      <c r="C3999" s="14" t="s">
        <v>14</v>
      </c>
      <c r="D3999" s="20" t="s">
        <v>15</v>
      </c>
      <c r="E3999" s="12" t="str">
        <f>IFERROR(__xludf.DUMMYFUNCTION("FILTER(colegios!$B$2:$B5618,colegios!$A$2:$A5618=L3999)"),"50977")</f>
        <v>50977</v>
      </c>
      <c r="F3999" s="14" t="s">
        <v>16</v>
      </c>
      <c r="G3999" s="20" t="s">
        <v>17</v>
      </c>
      <c r="H3999" s="14" t="s">
        <v>24</v>
      </c>
      <c r="I3999" s="22">
        <v>2022.0</v>
      </c>
      <c r="J3999" s="16" t="str">
        <f>IFERROR(__xludf.DUMMYFUNCTION("FILTER('CLASFICACIÓN'!$F$3:$F5618,'CLASFICACIÓN'!$G$3:$G5618=M3999)"),"LOS 3 AÑOS")</f>
        <v>LOS 3 AÑOS</v>
      </c>
      <c r="K3999" s="16"/>
      <c r="L3999" s="14" t="s">
        <v>178</v>
      </c>
      <c r="M3999" s="16" t="str">
        <f t="shared" si="1"/>
        <v>509772 Primaria</v>
      </c>
      <c r="N3999" s="23"/>
      <c r="O3999" s="17"/>
      <c r="P3999" s="17"/>
      <c r="Q3999" s="17"/>
      <c r="R3999" s="17"/>
      <c r="S3999" s="17"/>
      <c r="T3999" s="17"/>
    </row>
    <row r="4000">
      <c r="A4000" s="21">
        <v>128.0</v>
      </c>
      <c r="B4000" s="14" t="s">
        <v>90</v>
      </c>
      <c r="C4000" s="14" t="s">
        <v>14</v>
      </c>
      <c r="D4000" s="20" t="s">
        <v>15</v>
      </c>
      <c r="E4000" s="12" t="str">
        <f>IFERROR(__xludf.DUMMYFUNCTION("FILTER(colegios!$B$2:$B5618,colegios!$A$2:$A5618=L4000)"),"50977")</f>
        <v>50977</v>
      </c>
      <c r="F4000" s="14" t="s">
        <v>16</v>
      </c>
      <c r="G4000" s="20" t="s">
        <v>17</v>
      </c>
      <c r="H4000" s="14" t="s">
        <v>24</v>
      </c>
      <c r="I4000" s="22">
        <v>2022.0</v>
      </c>
      <c r="J4000" s="16" t="str">
        <f>IFERROR(__xludf.DUMMYFUNCTION("FILTER('CLASFICACIÓN'!$F$3:$F5618,'CLASFICACIÓN'!$G$3:$G5618=M4000)"),"LOS 3 AÑOS")</f>
        <v>LOS 3 AÑOS</v>
      </c>
      <c r="K4000" s="16"/>
      <c r="L4000" s="14" t="s">
        <v>178</v>
      </c>
      <c r="M4000" s="16" t="str">
        <f t="shared" si="1"/>
        <v>509772 Primaria</v>
      </c>
      <c r="N4000" s="23"/>
      <c r="O4000" s="17"/>
      <c r="P4000" s="17"/>
      <c r="Q4000" s="17"/>
      <c r="R4000" s="17"/>
      <c r="S4000" s="17"/>
      <c r="T4000" s="17"/>
    </row>
    <row r="4001">
      <c r="A4001" s="21">
        <v>129.0</v>
      </c>
      <c r="B4001" s="14" t="s">
        <v>90</v>
      </c>
      <c r="C4001" s="14" t="s">
        <v>14</v>
      </c>
      <c r="D4001" s="20" t="s">
        <v>15</v>
      </c>
      <c r="E4001" s="12" t="str">
        <f>IFERROR(__xludf.DUMMYFUNCTION("FILTER(colegios!$B$2:$B5618,colegios!$A$2:$A5618=L4001)"),"50977")</f>
        <v>50977</v>
      </c>
      <c r="F4001" s="14" t="s">
        <v>16</v>
      </c>
      <c r="G4001" s="20" t="s">
        <v>21</v>
      </c>
      <c r="H4001" s="14" t="s">
        <v>24</v>
      </c>
      <c r="I4001" s="22">
        <v>2022.0</v>
      </c>
      <c r="J4001" s="16" t="str">
        <f>IFERROR(__xludf.DUMMYFUNCTION("FILTER('CLASFICACIÓN'!$F$3:$F5618,'CLASFICACIÓN'!$G$3:$G5618=M4001)"),"LOS 3 AÑOS")</f>
        <v>LOS 3 AÑOS</v>
      </c>
      <c r="K4001" s="16"/>
      <c r="L4001" s="14" t="s">
        <v>178</v>
      </c>
      <c r="M4001" s="16" t="str">
        <f t="shared" si="1"/>
        <v>509772 Primaria</v>
      </c>
      <c r="N4001" s="23"/>
      <c r="O4001" s="17"/>
      <c r="P4001" s="17"/>
      <c r="Q4001" s="17"/>
      <c r="R4001" s="17"/>
      <c r="S4001" s="17"/>
      <c r="T4001" s="17"/>
    </row>
    <row r="4002">
      <c r="A4002" s="21">
        <v>130.0</v>
      </c>
      <c r="B4002" s="14" t="s">
        <v>90</v>
      </c>
      <c r="C4002" s="14" t="s">
        <v>14</v>
      </c>
      <c r="D4002" s="20" t="s">
        <v>15</v>
      </c>
      <c r="E4002" s="12" t="str">
        <f>IFERROR(__xludf.DUMMYFUNCTION("FILTER(colegios!$B$2:$B5618,colegios!$A$2:$A5618=L4002)"),"50977")</f>
        <v>50977</v>
      </c>
      <c r="F4002" s="14" t="s">
        <v>16</v>
      </c>
      <c r="G4002" s="20" t="s">
        <v>17</v>
      </c>
      <c r="H4002" s="14" t="s">
        <v>24</v>
      </c>
      <c r="I4002" s="22">
        <v>2022.0</v>
      </c>
      <c r="J4002" s="16" t="str">
        <f>IFERROR(__xludf.DUMMYFUNCTION("FILTER('CLASFICACIÓN'!$F$3:$F5618,'CLASFICACIÓN'!$G$3:$G5618=M4002)"),"LOS 3 AÑOS")</f>
        <v>LOS 3 AÑOS</v>
      </c>
      <c r="K4002" s="16"/>
      <c r="L4002" s="14" t="s">
        <v>178</v>
      </c>
      <c r="M4002" s="16" t="str">
        <f t="shared" si="1"/>
        <v>509772 Primaria</v>
      </c>
      <c r="N4002" s="23"/>
      <c r="O4002" s="17"/>
      <c r="P4002" s="17"/>
      <c r="Q4002" s="17"/>
      <c r="R4002" s="17"/>
      <c r="S4002" s="17"/>
      <c r="T4002" s="17"/>
    </row>
    <row r="4003">
      <c r="A4003" s="21">
        <v>131.0</v>
      </c>
      <c r="B4003" s="14" t="s">
        <v>90</v>
      </c>
      <c r="C4003" s="14" t="s">
        <v>14</v>
      </c>
      <c r="D4003" s="20" t="s">
        <v>15</v>
      </c>
      <c r="E4003" s="12" t="str">
        <f>IFERROR(__xludf.DUMMYFUNCTION("FILTER(colegios!$B$2:$B5618,colegios!$A$2:$A5618=L4003)"),"50977")</f>
        <v>50977</v>
      </c>
      <c r="F4003" s="14" t="s">
        <v>16</v>
      </c>
      <c r="G4003" s="20" t="s">
        <v>21</v>
      </c>
      <c r="H4003" s="14" t="s">
        <v>24</v>
      </c>
      <c r="I4003" s="22">
        <v>2022.0</v>
      </c>
      <c r="J4003" s="16" t="str">
        <f>IFERROR(__xludf.DUMMYFUNCTION("FILTER('CLASFICACIÓN'!$F$3:$F5618,'CLASFICACIÓN'!$G$3:$G5618=M4003)"),"LOS 3 AÑOS")</f>
        <v>LOS 3 AÑOS</v>
      </c>
      <c r="K4003" s="16"/>
      <c r="L4003" s="14" t="s">
        <v>178</v>
      </c>
      <c r="M4003" s="16" t="str">
        <f t="shared" si="1"/>
        <v>509772 Primaria</v>
      </c>
      <c r="N4003" s="23"/>
      <c r="O4003" s="17"/>
      <c r="P4003" s="17"/>
      <c r="Q4003" s="17"/>
      <c r="R4003" s="17"/>
      <c r="S4003" s="17"/>
      <c r="T4003" s="17"/>
    </row>
    <row r="4004">
      <c r="A4004" s="21">
        <v>132.0</v>
      </c>
      <c r="B4004" s="14" t="s">
        <v>90</v>
      </c>
      <c r="C4004" s="14" t="s">
        <v>14</v>
      </c>
      <c r="D4004" s="20" t="s">
        <v>15</v>
      </c>
      <c r="E4004" s="12" t="str">
        <f>IFERROR(__xludf.DUMMYFUNCTION("FILTER(colegios!$B$2:$B5618,colegios!$A$2:$A5618=L4004)"),"50977")</f>
        <v>50977</v>
      </c>
      <c r="F4004" s="14" t="s">
        <v>16</v>
      </c>
      <c r="G4004" s="20" t="s">
        <v>17</v>
      </c>
      <c r="H4004" s="14" t="s">
        <v>24</v>
      </c>
      <c r="I4004" s="22">
        <v>2022.0</v>
      </c>
      <c r="J4004" s="16" t="str">
        <f>IFERROR(__xludf.DUMMYFUNCTION("FILTER('CLASFICACIÓN'!$F$3:$F5618,'CLASFICACIÓN'!$G$3:$G5618=M4004)"),"LOS 3 AÑOS")</f>
        <v>LOS 3 AÑOS</v>
      </c>
      <c r="K4004" s="16"/>
      <c r="L4004" s="14" t="s">
        <v>178</v>
      </c>
      <c r="M4004" s="16" t="str">
        <f t="shared" si="1"/>
        <v>509772 Primaria</v>
      </c>
      <c r="N4004" s="23"/>
      <c r="O4004" s="17"/>
      <c r="P4004" s="17"/>
      <c r="Q4004" s="17"/>
      <c r="R4004" s="17"/>
      <c r="S4004" s="17"/>
      <c r="T4004" s="17"/>
    </row>
    <row r="4005">
      <c r="A4005" s="21">
        <v>133.0</v>
      </c>
      <c r="B4005" s="14" t="s">
        <v>90</v>
      </c>
      <c r="C4005" s="14" t="s">
        <v>14</v>
      </c>
      <c r="D4005" s="20" t="s">
        <v>15</v>
      </c>
      <c r="E4005" s="12" t="str">
        <f>IFERROR(__xludf.DUMMYFUNCTION("FILTER(colegios!$B$2:$B5618,colegios!$A$2:$A5618=L4005)"),"50977")</f>
        <v>50977</v>
      </c>
      <c r="F4005" s="14" t="s">
        <v>16</v>
      </c>
      <c r="G4005" s="20" t="s">
        <v>17</v>
      </c>
      <c r="H4005" s="14" t="s">
        <v>24</v>
      </c>
      <c r="I4005" s="22">
        <v>2022.0</v>
      </c>
      <c r="J4005" s="16" t="str">
        <f>IFERROR(__xludf.DUMMYFUNCTION("FILTER('CLASFICACIÓN'!$F$3:$F5618,'CLASFICACIÓN'!$G$3:$G5618=M4005)"),"LOS 3 AÑOS")</f>
        <v>LOS 3 AÑOS</v>
      </c>
      <c r="K4005" s="16"/>
      <c r="L4005" s="14" t="s">
        <v>178</v>
      </c>
      <c r="M4005" s="16" t="str">
        <f t="shared" si="1"/>
        <v>509772 Primaria</v>
      </c>
      <c r="N4005" s="23"/>
      <c r="O4005" s="17"/>
      <c r="P4005" s="17"/>
      <c r="Q4005" s="17"/>
      <c r="R4005" s="17"/>
      <c r="S4005" s="17"/>
      <c r="T4005" s="17"/>
    </row>
    <row r="4006">
      <c r="A4006" s="21">
        <v>134.0</v>
      </c>
      <c r="B4006" s="14" t="s">
        <v>90</v>
      </c>
      <c r="C4006" s="14" t="s">
        <v>14</v>
      </c>
      <c r="D4006" s="20" t="s">
        <v>15</v>
      </c>
      <c r="E4006" s="12" t="str">
        <f>IFERROR(__xludf.DUMMYFUNCTION("FILTER(colegios!$B$2:$B5618,colegios!$A$2:$A5618=L4006)"),"50977")</f>
        <v>50977</v>
      </c>
      <c r="F4006" s="14" t="s">
        <v>16</v>
      </c>
      <c r="G4006" s="20" t="s">
        <v>21</v>
      </c>
      <c r="H4006" s="14" t="s">
        <v>24</v>
      </c>
      <c r="I4006" s="22">
        <v>2022.0</v>
      </c>
      <c r="J4006" s="16" t="str">
        <f>IFERROR(__xludf.DUMMYFUNCTION("FILTER('CLASFICACIÓN'!$F$3:$F5618,'CLASFICACIÓN'!$G$3:$G5618=M4006)"),"LOS 3 AÑOS")</f>
        <v>LOS 3 AÑOS</v>
      </c>
      <c r="K4006" s="16"/>
      <c r="L4006" s="14" t="s">
        <v>178</v>
      </c>
      <c r="M4006" s="16" t="str">
        <f t="shared" si="1"/>
        <v>509772 Primaria</v>
      </c>
      <c r="N4006" s="23"/>
      <c r="O4006" s="17"/>
      <c r="P4006" s="17"/>
      <c r="Q4006" s="17"/>
      <c r="R4006" s="17"/>
      <c r="S4006" s="17"/>
      <c r="T4006" s="17"/>
    </row>
    <row r="4007">
      <c r="A4007" s="21">
        <v>135.0</v>
      </c>
      <c r="B4007" s="14" t="s">
        <v>90</v>
      </c>
      <c r="C4007" s="14" t="s">
        <v>14</v>
      </c>
      <c r="D4007" s="20" t="s">
        <v>15</v>
      </c>
      <c r="E4007" s="12" t="str">
        <f>IFERROR(__xludf.DUMMYFUNCTION("FILTER(colegios!$B$2:$B5618,colegios!$A$2:$A5618=L4007)"),"50977")</f>
        <v>50977</v>
      </c>
      <c r="F4007" s="14" t="s">
        <v>16</v>
      </c>
      <c r="G4007" s="20" t="s">
        <v>17</v>
      </c>
      <c r="H4007" s="14" t="s">
        <v>24</v>
      </c>
      <c r="I4007" s="22">
        <v>2022.0</v>
      </c>
      <c r="J4007" s="16" t="str">
        <f>IFERROR(__xludf.DUMMYFUNCTION("FILTER('CLASFICACIÓN'!$F$3:$F5618,'CLASFICACIÓN'!$G$3:$G5618=M4007)"),"LOS 3 AÑOS")</f>
        <v>LOS 3 AÑOS</v>
      </c>
      <c r="K4007" s="16"/>
      <c r="L4007" s="14" t="s">
        <v>178</v>
      </c>
      <c r="M4007" s="16" t="str">
        <f t="shared" si="1"/>
        <v>509772 Primaria</v>
      </c>
      <c r="N4007" s="23"/>
      <c r="O4007" s="17"/>
      <c r="P4007" s="17"/>
      <c r="Q4007" s="17"/>
      <c r="R4007" s="17"/>
      <c r="S4007" s="17"/>
      <c r="T4007" s="17"/>
    </row>
    <row r="4008">
      <c r="A4008" s="21">
        <v>136.0</v>
      </c>
      <c r="B4008" s="14" t="s">
        <v>90</v>
      </c>
      <c r="C4008" s="14" t="s">
        <v>14</v>
      </c>
      <c r="D4008" s="20" t="s">
        <v>15</v>
      </c>
      <c r="E4008" s="12" t="str">
        <f>IFERROR(__xludf.DUMMYFUNCTION("FILTER(colegios!$B$2:$B5618,colegios!$A$2:$A5618=L4008)"),"50977")</f>
        <v>50977</v>
      </c>
      <c r="F4008" s="14" t="s">
        <v>16</v>
      </c>
      <c r="G4008" s="20" t="s">
        <v>21</v>
      </c>
      <c r="H4008" s="14" t="s">
        <v>24</v>
      </c>
      <c r="I4008" s="22">
        <v>2022.0</v>
      </c>
      <c r="J4008" s="16" t="str">
        <f>IFERROR(__xludf.DUMMYFUNCTION("FILTER('CLASFICACIÓN'!$F$3:$F5618,'CLASFICACIÓN'!$G$3:$G5618=M4008)"),"LOS 3 AÑOS")</f>
        <v>LOS 3 AÑOS</v>
      </c>
      <c r="K4008" s="16"/>
      <c r="L4008" s="14" t="s">
        <v>178</v>
      </c>
      <c r="M4008" s="16" t="str">
        <f t="shared" si="1"/>
        <v>509772 Primaria</v>
      </c>
      <c r="N4008" s="23"/>
      <c r="O4008" s="17"/>
      <c r="P4008" s="17"/>
      <c r="Q4008" s="17"/>
      <c r="R4008" s="17"/>
      <c r="S4008" s="17"/>
      <c r="T4008" s="17"/>
    </row>
    <row r="4009">
      <c r="A4009" s="21">
        <v>137.0</v>
      </c>
      <c r="B4009" s="14" t="s">
        <v>90</v>
      </c>
      <c r="C4009" s="14" t="s">
        <v>14</v>
      </c>
      <c r="D4009" s="20" t="s">
        <v>15</v>
      </c>
      <c r="E4009" s="12" t="str">
        <f>IFERROR(__xludf.DUMMYFUNCTION("FILTER(colegios!$B$2:$B5618,colegios!$A$2:$A5618=L4009)"),"50977")</f>
        <v>50977</v>
      </c>
      <c r="F4009" s="14" t="s">
        <v>16</v>
      </c>
      <c r="G4009" s="20" t="s">
        <v>17</v>
      </c>
      <c r="H4009" s="14" t="s">
        <v>24</v>
      </c>
      <c r="I4009" s="22">
        <v>2022.0</v>
      </c>
      <c r="J4009" s="16" t="str">
        <f>IFERROR(__xludf.DUMMYFUNCTION("FILTER('CLASFICACIÓN'!$F$3:$F5618,'CLASFICACIÓN'!$G$3:$G5618=M4009)"),"LOS 3 AÑOS")</f>
        <v>LOS 3 AÑOS</v>
      </c>
      <c r="K4009" s="16"/>
      <c r="L4009" s="14" t="s">
        <v>178</v>
      </c>
      <c r="M4009" s="16" t="str">
        <f t="shared" si="1"/>
        <v>509772 Primaria</v>
      </c>
      <c r="N4009" s="23"/>
      <c r="O4009" s="17"/>
      <c r="P4009" s="17"/>
      <c r="Q4009" s="17"/>
      <c r="R4009" s="17"/>
      <c r="S4009" s="17"/>
      <c r="T4009" s="17"/>
    </row>
    <row r="4010">
      <c r="A4010" s="21">
        <v>138.0</v>
      </c>
      <c r="B4010" s="14" t="s">
        <v>90</v>
      </c>
      <c r="C4010" s="14" t="s">
        <v>14</v>
      </c>
      <c r="D4010" s="20" t="s">
        <v>15</v>
      </c>
      <c r="E4010" s="12" t="str">
        <f>IFERROR(__xludf.DUMMYFUNCTION("FILTER(colegios!$B$2:$B5618,colegios!$A$2:$A5618=L4010)"),"50977")</f>
        <v>50977</v>
      </c>
      <c r="F4010" s="14" t="s">
        <v>16</v>
      </c>
      <c r="G4010" s="20" t="s">
        <v>17</v>
      </c>
      <c r="H4010" s="14" t="s">
        <v>24</v>
      </c>
      <c r="I4010" s="22">
        <v>2022.0</v>
      </c>
      <c r="J4010" s="16" t="str">
        <f>IFERROR(__xludf.DUMMYFUNCTION("FILTER('CLASFICACIÓN'!$F$3:$F5618,'CLASFICACIÓN'!$G$3:$G5618=M4010)"),"LOS 3 AÑOS")</f>
        <v>LOS 3 AÑOS</v>
      </c>
      <c r="K4010" s="16"/>
      <c r="L4010" s="14" t="s">
        <v>178</v>
      </c>
      <c r="M4010" s="16" t="str">
        <f t="shared" si="1"/>
        <v>509772 Primaria</v>
      </c>
      <c r="N4010" s="23"/>
      <c r="O4010" s="17"/>
      <c r="P4010" s="17"/>
      <c r="Q4010" s="17"/>
      <c r="R4010" s="17"/>
      <c r="S4010" s="17"/>
      <c r="T4010" s="17"/>
    </row>
    <row r="4011">
      <c r="A4011" s="21">
        <v>139.0</v>
      </c>
      <c r="B4011" s="14" t="s">
        <v>90</v>
      </c>
      <c r="C4011" s="14" t="s">
        <v>14</v>
      </c>
      <c r="D4011" s="20" t="s">
        <v>15</v>
      </c>
      <c r="E4011" s="12" t="str">
        <f>IFERROR(__xludf.DUMMYFUNCTION("FILTER(colegios!$B$2:$B5618,colegios!$A$2:$A5618=L4011)"),"50977")</f>
        <v>50977</v>
      </c>
      <c r="F4011" s="14" t="s">
        <v>16</v>
      </c>
      <c r="G4011" s="20" t="s">
        <v>21</v>
      </c>
      <c r="H4011" s="14" t="s">
        <v>24</v>
      </c>
      <c r="I4011" s="22">
        <v>2022.0</v>
      </c>
      <c r="J4011" s="16" t="str">
        <f>IFERROR(__xludf.DUMMYFUNCTION("FILTER('CLASFICACIÓN'!$F$3:$F5618,'CLASFICACIÓN'!$G$3:$G5618=M4011)"),"LOS 3 AÑOS")</f>
        <v>LOS 3 AÑOS</v>
      </c>
      <c r="K4011" s="16"/>
      <c r="L4011" s="14" t="s">
        <v>178</v>
      </c>
      <c r="M4011" s="16" t="str">
        <f t="shared" si="1"/>
        <v>509772 Primaria</v>
      </c>
      <c r="N4011" s="23"/>
      <c r="O4011" s="17"/>
      <c r="P4011" s="17"/>
      <c r="Q4011" s="17"/>
      <c r="R4011" s="17"/>
      <c r="S4011" s="17"/>
      <c r="T4011" s="17"/>
    </row>
    <row r="4012">
      <c r="A4012" s="21">
        <v>140.0</v>
      </c>
      <c r="B4012" s="14" t="s">
        <v>90</v>
      </c>
      <c r="C4012" s="14" t="s">
        <v>14</v>
      </c>
      <c r="D4012" s="20" t="s">
        <v>15</v>
      </c>
      <c r="E4012" s="12" t="str">
        <f>IFERROR(__xludf.DUMMYFUNCTION("FILTER(colegios!$B$2:$B5618,colegios!$A$2:$A5618=L4012)"),"50977")</f>
        <v>50977</v>
      </c>
      <c r="F4012" s="14" t="s">
        <v>16</v>
      </c>
      <c r="G4012" s="20" t="s">
        <v>17</v>
      </c>
      <c r="H4012" s="14" t="s">
        <v>24</v>
      </c>
      <c r="I4012" s="22">
        <v>2022.0</v>
      </c>
      <c r="J4012" s="16" t="str">
        <f>IFERROR(__xludf.DUMMYFUNCTION("FILTER('CLASFICACIÓN'!$F$3:$F5618,'CLASFICACIÓN'!$G$3:$G5618=M4012)"),"LOS 3 AÑOS")</f>
        <v>LOS 3 AÑOS</v>
      </c>
      <c r="K4012" s="16"/>
      <c r="L4012" s="14" t="s">
        <v>178</v>
      </c>
      <c r="M4012" s="16" t="str">
        <f t="shared" si="1"/>
        <v>509772 Primaria</v>
      </c>
      <c r="N4012" s="23"/>
      <c r="O4012" s="17"/>
      <c r="P4012" s="17"/>
      <c r="Q4012" s="17"/>
      <c r="R4012" s="17"/>
      <c r="S4012" s="17"/>
      <c r="T4012" s="17"/>
    </row>
    <row r="4013">
      <c r="A4013" s="21">
        <v>141.0</v>
      </c>
      <c r="B4013" s="14" t="s">
        <v>90</v>
      </c>
      <c r="C4013" s="14" t="s">
        <v>14</v>
      </c>
      <c r="D4013" s="20" t="s">
        <v>15</v>
      </c>
      <c r="E4013" s="12" t="str">
        <f>IFERROR(__xludf.DUMMYFUNCTION("FILTER(colegios!$B$2:$B5618,colegios!$A$2:$A5618=L4013)"),"50977")</f>
        <v>50977</v>
      </c>
      <c r="F4013" s="14" t="s">
        <v>16</v>
      </c>
      <c r="G4013" s="20" t="s">
        <v>17</v>
      </c>
      <c r="H4013" s="14" t="s">
        <v>24</v>
      </c>
      <c r="I4013" s="22">
        <v>2022.0</v>
      </c>
      <c r="J4013" s="16" t="str">
        <f>IFERROR(__xludf.DUMMYFUNCTION("FILTER('CLASFICACIÓN'!$F$3:$F5618,'CLASFICACIÓN'!$G$3:$G5618=M4013)"),"LOS 3 AÑOS")</f>
        <v>LOS 3 AÑOS</v>
      </c>
      <c r="K4013" s="16"/>
      <c r="L4013" s="14" t="s">
        <v>178</v>
      </c>
      <c r="M4013" s="16" t="str">
        <f t="shared" si="1"/>
        <v>509772 Primaria</v>
      </c>
      <c r="N4013" s="23"/>
      <c r="O4013" s="17"/>
      <c r="P4013" s="17"/>
      <c r="Q4013" s="17"/>
      <c r="R4013" s="17"/>
      <c r="S4013" s="17"/>
      <c r="T4013" s="17"/>
    </row>
    <row r="4014">
      <c r="A4014" s="21">
        <v>142.0</v>
      </c>
      <c r="B4014" s="14" t="s">
        <v>90</v>
      </c>
      <c r="C4014" s="14" t="s">
        <v>14</v>
      </c>
      <c r="D4014" s="20" t="s">
        <v>15</v>
      </c>
      <c r="E4014" s="12" t="str">
        <f>IFERROR(__xludf.DUMMYFUNCTION("FILTER(colegios!$B$2:$B5618,colegios!$A$2:$A5618=L4014)"),"50977")</f>
        <v>50977</v>
      </c>
      <c r="F4014" s="14" t="s">
        <v>16</v>
      </c>
      <c r="G4014" s="20" t="s">
        <v>17</v>
      </c>
      <c r="H4014" s="14" t="s">
        <v>24</v>
      </c>
      <c r="I4014" s="22">
        <v>2022.0</v>
      </c>
      <c r="J4014" s="16" t="str">
        <f>IFERROR(__xludf.DUMMYFUNCTION("FILTER('CLASFICACIÓN'!$F$3:$F5618,'CLASFICACIÓN'!$G$3:$G5618=M4014)"),"LOS 3 AÑOS")</f>
        <v>LOS 3 AÑOS</v>
      </c>
      <c r="K4014" s="16"/>
      <c r="L4014" s="14" t="s">
        <v>178</v>
      </c>
      <c r="M4014" s="16" t="str">
        <f t="shared" si="1"/>
        <v>509772 Primaria</v>
      </c>
      <c r="N4014" s="23"/>
      <c r="O4014" s="17"/>
      <c r="P4014" s="17"/>
      <c r="Q4014" s="17"/>
      <c r="R4014" s="17"/>
      <c r="S4014" s="17"/>
      <c r="T4014" s="17"/>
    </row>
    <row r="4015">
      <c r="A4015" s="21">
        <v>143.0</v>
      </c>
      <c r="B4015" s="14" t="s">
        <v>90</v>
      </c>
      <c r="C4015" s="14" t="s">
        <v>14</v>
      </c>
      <c r="D4015" s="20" t="s">
        <v>15</v>
      </c>
      <c r="E4015" s="12" t="str">
        <f>IFERROR(__xludf.DUMMYFUNCTION("FILTER(colegios!$B$2:$B5618,colegios!$A$2:$A5618=L4015)"),"50977")</f>
        <v>50977</v>
      </c>
      <c r="F4015" s="14" t="s">
        <v>16</v>
      </c>
      <c r="G4015" s="20" t="s">
        <v>21</v>
      </c>
      <c r="H4015" s="14" t="s">
        <v>24</v>
      </c>
      <c r="I4015" s="22">
        <v>2022.0</v>
      </c>
      <c r="J4015" s="16" t="str">
        <f>IFERROR(__xludf.DUMMYFUNCTION("FILTER('CLASFICACIÓN'!$F$3:$F5618,'CLASFICACIÓN'!$G$3:$G5618=M4015)"),"LOS 3 AÑOS")</f>
        <v>LOS 3 AÑOS</v>
      </c>
      <c r="K4015" s="16"/>
      <c r="L4015" s="14" t="s">
        <v>178</v>
      </c>
      <c r="M4015" s="16" t="str">
        <f t="shared" si="1"/>
        <v>509772 Primaria</v>
      </c>
      <c r="N4015" s="23"/>
      <c r="O4015" s="17"/>
      <c r="P4015" s="17"/>
      <c r="Q4015" s="17"/>
      <c r="R4015" s="17"/>
      <c r="S4015" s="17"/>
      <c r="T4015" s="17"/>
    </row>
    <row r="4016">
      <c r="A4016" s="21">
        <v>144.0</v>
      </c>
      <c r="B4016" s="14" t="s">
        <v>90</v>
      </c>
      <c r="C4016" s="14" t="s">
        <v>14</v>
      </c>
      <c r="D4016" s="20" t="s">
        <v>15</v>
      </c>
      <c r="E4016" s="12" t="str">
        <f>IFERROR(__xludf.DUMMYFUNCTION("FILTER(colegios!$B$2:$B5618,colegios!$A$2:$A5618=L4016)"),"50977")</f>
        <v>50977</v>
      </c>
      <c r="F4016" s="14" t="s">
        <v>16</v>
      </c>
      <c r="G4016" s="20" t="s">
        <v>21</v>
      </c>
      <c r="H4016" s="14" t="s">
        <v>24</v>
      </c>
      <c r="I4016" s="22">
        <v>2022.0</v>
      </c>
      <c r="J4016" s="16" t="str">
        <f>IFERROR(__xludf.DUMMYFUNCTION("FILTER('CLASFICACIÓN'!$F$3:$F5618,'CLASFICACIÓN'!$G$3:$G5618=M4016)"),"LOS 3 AÑOS")</f>
        <v>LOS 3 AÑOS</v>
      </c>
      <c r="K4016" s="16"/>
      <c r="L4016" s="14" t="s">
        <v>178</v>
      </c>
      <c r="M4016" s="16" t="str">
        <f t="shared" si="1"/>
        <v>509772 Primaria</v>
      </c>
      <c r="N4016" s="23"/>
      <c r="O4016" s="17"/>
      <c r="P4016" s="17"/>
      <c r="Q4016" s="17"/>
      <c r="R4016" s="17"/>
      <c r="S4016" s="17"/>
      <c r="T4016" s="17"/>
    </row>
    <row r="4017">
      <c r="A4017" s="21">
        <v>145.0</v>
      </c>
      <c r="B4017" s="14" t="s">
        <v>90</v>
      </c>
      <c r="C4017" s="14" t="s">
        <v>14</v>
      </c>
      <c r="D4017" s="20" t="s">
        <v>15</v>
      </c>
      <c r="E4017" s="12" t="str">
        <f>IFERROR(__xludf.DUMMYFUNCTION("FILTER(colegios!$B$2:$B5618,colegios!$A$2:$A5618=L4017)"),"50977")</f>
        <v>50977</v>
      </c>
      <c r="F4017" s="14" t="s">
        <v>16</v>
      </c>
      <c r="G4017" s="20" t="s">
        <v>21</v>
      </c>
      <c r="H4017" s="14" t="s">
        <v>24</v>
      </c>
      <c r="I4017" s="22">
        <v>2022.0</v>
      </c>
      <c r="J4017" s="16" t="str">
        <f>IFERROR(__xludf.DUMMYFUNCTION("FILTER('CLASFICACIÓN'!$F$3:$F5618,'CLASFICACIÓN'!$G$3:$G5618=M4017)"),"LOS 3 AÑOS")</f>
        <v>LOS 3 AÑOS</v>
      </c>
      <c r="K4017" s="16"/>
      <c r="L4017" s="14" t="s">
        <v>178</v>
      </c>
      <c r="M4017" s="16" t="str">
        <f t="shared" si="1"/>
        <v>509772 Primaria</v>
      </c>
      <c r="N4017" s="23"/>
      <c r="O4017" s="17"/>
      <c r="P4017" s="17"/>
      <c r="Q4017" s="17"/>
      <c r="R4017" s="17"/>
      <c r="S4017" s="17"/>
      <c r="T4017" s="17"/>
    </row>
    <row r="4018">
      <c r="A4018" s="21">
        <v>146.0</v>
      </c>
      <c r="B4018" s="14" t="s">
        <v>90</v>
      </c>
      <c r="C4018" s="14" t="s">
        <v>14</v>
      </c>
      <c r="D4018" s="20" t="s">
        <v>15</v>
      </c>
      <c r="E4018" s="12" t="str">
        <f>IFERROR(__xludf.DUMMYFUNCTION("FILTER(colegios!$B$2:$B5618,colegios!$A$2:$A5618=L4018)"),"50977")</f>
        <v>50977</v>
      </c>
      <c r="F4018" s="14" t="s">
        <v>16</v>
      </c>
      <c r="G4018" s="20" t="s">
        <v>21</v>
      </c>
      <c r="H4018" s="14" t="s">
        <v>24</v>
      </c>
      <c r="I4018" s="22">
        <v>2022.0</v>
      </c>
      <c r="J4018" s="16" t="str">
        <f>IFERROR(__xludf.DUMMYFUNCTION("FILTER('CLASFICACIÓN'!$F$3:$F5618,'CLASFICACIÓN'!$G$3:$G5618=M4018)"),"LOS 3 AÑOS")</f>
        <v>LOS 3 AÑOS</v>
      </c>
      <c r="K4018" s="16"/>
      <c r="L4018" s="14" t="s">
        <v>178</v>
      </c>
      <c r="M4018" s="16" t="str">
        <f t="shared" si="1"/>
        <v>509772 Primaria</v>
      </c>
      <c r="N4018" s="23"/>
      <c r="O4018" s="17"/>
      <c r="P4018" s="17"/>
      <c r="Q4018" s="17"/>
      <c r="R4018" s="17"/>
      <c r="S4018" s="17"/>
      <c r="T4018" s="17"/>
    </row>
    <row r="4019">
      <c r="A4019" s="21">
        <v>147.0</v>
      </c>
      <c r="B4019" s="14" t="s">
        <v>90</v>
      </c>
      <c r="C4019" s="14" t="s">
        <v>14</v>
      </c>
      <c r="D4019" s="20" t="s">
        <v>15</v>
      </c>
      <c r="E4019" s="12" t="str">
        <f>IFERROR(__xludf.DUMMYFUNCTION("FILTER(colegios!$B$2:$B5618,colegios!$A$2:$A5618=L4019)"),"50977")</f>
        <v>50977</v>
      </c>
      <c r="F4019" s="14" t="s">
        <v>16</v>
      </c>
      <c r="G4019" s="20" t="s">
        <v>17</v>
      </c>
      <c r="H4019" s="14" t="s">
        <v>24</v>
      </c>
      <c r="I4019" s="22">
        <v>2022.0</v>
      </c>
      <c r="J4019" s="16" t="str">
        <f>IFERROR(__xludf.DUMMYFUNCTION("FILTER('CLASFICACIÓN'!$F$3:$F5618,'CLASFICACIÓN'!$G$3:$G5618=M4019)"),"LOS 3 AÑOS")</f>
        <v>LOS 3 AÑOS</v>
      </c>
      <c r="K4019" s="16"/>
      <c r="L4019" s="14" t="s">
        <v>178</v>
      </c>
      <c r="M4019" s="16" t="str">
        <f t="shared" si="1"/>
        <v>509772 Primaria</v>
      </c>
      <c r="N4019" s="23"/>
      <c r="O4019" s="17"/>
      <c r="P4019" s="17"/>
      <c r="Q4019" s="17"/>
      <c r="R4019" s="17"/>
      <c r="S4019" s="17"/>
      <c r="T4019" s="17"/>
    </row>
    <row r="4020">
      <c r="A4020" s="21">
        <v>148.0</v>
      </c>
      <c r="B4020" s="14" t="s">
        <v>90</v>
      </c>
      <c r="C4020" s="14" t="s">
        <v>14</v>
      </c>
      <c r="D4020" s="20" t="s">
        <v>15</v>
      </c>
      <c r="E4020" s="12" t="str">
        <f>IFERROR(__xludf.DUMMYFUNCTION("FILTER(colegios!$B$2:$B5618,colegios!$A$2:$A5618=L4020)"),"50977")</f>
        <v>50977</v>
      </c>
      <c r="F4020" s="14" t="s">
        <v>16</v>
      </c>
      <c r="G4020" s="20" t="s">
        <v>21</v>
      </c>
      <c r="H4020" s="14" t="s">
        <v>24</v>
      </c>
      <c r="I4020" s="22">
        <v>2022.0</v>
      </c>
      <c r="J4020" s="16" t="str">
        <f>IFERROR(__xludf.DUMMYFUNCTION("FILTER('CLASFICACIÓN'!$F$3:$F5618,'CLASFICACIÓN'!$G$3:$G5618=M4020)"),"LOS 3 AÑOS")</f>
        <v>LOS 3 AÑOS</v>
      </c>
      <c r="K4020" s="16"/>
      <c r="L4020" s="14" t="s">
        <v>178</v>
      </c>
      <c r="M4020" s="16" t="str">
        <f t="shared" si="1"/>
        <v>509772 Primaria</v>
      </c>
      <c r="N4020" s="23"/>
      <c r="O4020" s="17"/>
      <c r="P4020" s="17"/>
      <c r="Q4020" s="17"/>
      <c r="R4020" s="17"/>
      <c r="S4020" s="17"/>
      <c r="T4020" s="17"/>
    </row>
    <row r="4021">
      <c r="A4021" s="21">
        <v>149.0</v>
      </c>
      <c r="B4021" s="14" t="s">
        <v>90</v>
      </c>
      <c r="C4021" s="14" t="s">
        <v>14</v>
      </c>
      <c r="D4021" s="20" t="s">
        <v>15</v>
      </c>
      <c r="E4021" s="12" t="str">
        <f>IFERROR(__xludf.DUMMYFUNCTION("FILTER(colegios!$B$2:$B5618,colegios!$A$2:$A5618=L4021)"),"50977")</f>
        <v>50977</v>
      </c>
      <c r="F4021" s="14" t="s">
        <v>16</v>
      </c>
      <c r="G4021" s="20" t="s">
        <v>21</v>
      </c>
      <c r="H4021" s="14" t="s">
        <v>24</v>
      </c>
      <c r="I4021" s="22">
        <v>2022.0</v>
      </c>
      <c r="J4021" s="16" t="str">
        <f>IFERROR(__xludf.DUMMYFUNCTION("FILTER('CLASFICACIÓN'!$F$3:$F5618,'CLASFICACIÓN'!$G$3:$G5618=M4021)"),"LOS 3 AÑOS")</f>
        <v>LOS 3 AÑOS</v>
      </c>
      <c r="K4021" s="16"/>
      <c r="L4021" s="14" t="s">
        <v>178</v>
      </c>
      <c r="M4021" s="16" t="str">
        <f t="shared" si="1"/>
        <v>509772 Primaria</v>
      </c>
      <c r="N4021" s="23"/>
      <c r="O4021" s="17"/>
      <c r="P4021" s="17"/>
      <c r="Q4021" s="17"/>
      <c r="R4021" s="17"/>
      <c r="S4021" s="17"/>
      <c r="T4021" s="17"/>
    </row>
    <row r="4022">
      <c r="A4022" s="21">
        <v>150.0</v>
      </c>
      <c r="B4022" s="14" t="s">
        <v>90</v>
      </c>
      <c r="C4022" s="14" t="s">
        <v>14</v>
      </c>
      <c r="D4022" s="20" t="s">
        <v>15</v>
      </c>
      <c r="E4022" s="12" t="str">
        <f>IFERROR(__xludf.DUMMYFUNCTION("FILTER(colegios!$B$2:$B5618,colegios!$A$2:$A5618=L4022)"),"50977")</f>
        <v>50977</v>
      </c>
      <c r="F4022" s="14" t="s">
        <v>16</v>
      </c>
      <c r="G4022" s="20" t="s">
        <v>21</v>
      </c>
      <c r="H4022" s="14" t="s">
        <v>24</v>
      </c>
      <c r="I4022" s="22">
        <v>2022.0</v>
      </c>
      <c r="J4022" s="16" t="str">
        <f>IFERROR(__xludf.DUMMYFUNCTION("FILTER('CLASFICACIÓN'!$F$3:$F5618,'CLASFICACIÓN'!$G$3:$G5618=M4022)"),"LOS 3 AÑOS")</f>
        <v>LOS 3 AÑOS</v>
      </c>
      <c r="K4022" s="16"/>
      <c r="L4022" s="14" t="s">
        <v>178</v>
      </c>
      <c r="M4022" s="16" t="str">
        <f t="shared" si="1"/>
        <v>509772 Primaria</v>
      </c>
      <c r="N4022" s="23"/>
      <c r="O4022" s="17"/>
      <c r="P4022" s="17"/>
      <c r="Q4022" s="17"/>
      <c r="R4022" s="17"/>
      <c r="S4022" s="17"/>
      <c r="T4022" s="17"/>
    </row>
    <row r="4023">
      <c r="A4023" s="21">
        <v>151.0</v>
      </c>
      <c r="B4023" s="14" t="s">
        <v>90</v>
      </c>
      <c r="C4023" s="14" t="s">
        <v>14</v>
      </c>
      <c r="D4023" s="20" t="s">
        <v>15</v>
      </c>
      <c r="E4023" s="12" t="str">
        <f>IFERROR(__xludf.DUMMYFUNCTION("FILTER(colegios!$B$2:$B5618,colegios!$A$2:$A5618=L4023)"),"501344")</f>
        <v>501344</v>
      </c>
      <c r="F4023" s="14" t="s">
        <v>16</v>
      </c>
      <c r="G4023" s="20" t="s">
        <v>21</v>
      </c>
      <c r="H4023" s="14" t="s">
        <v>18</v>
      </c>
      <c r="I4023" s="22">
        <v>2022.0</v>
      </c>
      <c r="J4023" s="16" t="str">
        <f>IFERROR(__xludf.DUMMYFUNCTION("FILTER('CLASFICACIÓN'!$F$3:$F5618,'CLASFICACIÓN'!$G$3:$G5618=M4023)"),"SOLO LINEA BASE")</f>
        <v>SOLO LINEA BASE</v>
      </c>
      <c r="K4023" s="16"/>
      <c r="L4023" s="14" t="s">
        <v>179</v>
      </c>
      <c r="M4023" s="16" t="str">
        <f t="shared" si="1"/>
        <v>5013442 Primaria</v>
      </c>
      <c r="N4023" s="23"/>
      <c r="O4023" s="17"/>
      <c r="P4023" s="17"/>
      <c r="Q4023" s="17"/>
      <c r="R4023" s="17"/>
      <c r="S4023" s="17"/>
      <c r="T4023" s="17"/>
    </row>
    <row r="4024">
      <c r="A4024" s="21">
        <v>152.0</v>
      </c>
      <c r="B4024" s="14" t="s">
        <v>90</v>
      </c>
      <c r="C4024" s="14" t="s">
        <v>14</v>
      </c>
      <c r="D4024" s="20" t="s">
        <v>15</v>
      </c>
      <c r="E4024" s="12" t="str">
        <f>IFERROR(__xludf.DUMMYFUNCTION("FILTER(colegios!$B$2:$B5618,colegios!$A$2:$A5618=L4024)"),"501344")</f>
        <v>501344</v>
      </c>
      <c r="F4024" s="14" t="s">
        <v>16</v>
      </c>
      <c r="G4024" s="20" t="s">
        <v>21</v>
      </c>
      <c r="H4024" s="14" t="s">
        <v>18</v>
      </c>
      <c r="I4024" s="22">
        <v>2022.0</v>
      </c>
      <c r="J4024" s="16" t="str">
        <f>IFERROR(__xludf.DUMMYFUNCTION("FILTER('CLASFICACIÓN'!$F$3:$F5618,'CLASFICACIÓN'!$G$3:$G5618=M4024)"),"SOLO LINEA BASE")</f>
        <v>SOLO LINEA BASE</v>
      </c>
      <c r="K4024" s="16"/>
      <c r="L4024" s="14" t="s">
        <v>179</v>
      </c>
      <c r="M4024" s="16" t="str">
        <f t="shared" si="1"/>
        <v>5013442 Primaria</v>
      </c>
      <c r="N4024" s="23"/>
      <c r="O4024" s="17"/>
      <c r="P4024" s="17"/>
      <c r="Q4024" s="17"/>
      <c r="R4024" s="17"/>
      <c r="S4024" s="17"/>
      <c r="T4024" s="17"/>
    </row>
    <row r="4025">
      <c r="A4025" s="21">
        <v>153.0</v>
      </c>
      <c r="B4025" s="14" t="s">
        <v>90</v>
      </c>
      <c r="C4025" s="14" t="s">
        <v>14</v>
      </c>
      <c r="D4025" s="20" t="s">
        <v>15</v>
      </c>
      <c r="E4025" s="12" t="str">
        <f>IFERROR(__xludf.DUMMYFUNCTION("FILTER(colegios!$B$2:$B5618,colegios!$A$2:$A5618=L4025)"),"501344")</f>
        <v>501344</v>
      </c>
      <c r="F4025" s="14" t="s">
        <v>16</v>
      </c>
      <c r="G4025" s="20" t="s">
        <v>21</v>
      </c>
      <c r="H4025" s="14" t="s">
        <v>18</v>
      </c>
      <c r="I4025" s="22">
        <v>2022.0</v>
      </c>
      <c r="J4025" s="16" t="str">
        <f>IFERROR(__xludf.DUMMYFUNCTION("FILTER('CLASFICACIÓN'!$F$3:$F5618,'CLASFICACIÓN'!$G$3:$G5618=M4025)"),"SOLO LINEA BASE")</f>
        <v>SOLO LINEA BASE</v>
      </c>
      <c r="K4025" s="16"/>
      <c r="L4025" s="14" t="s">
        <v>179</v>
      </c>
      <c r="M4025" s="16" t="str">
        <f t="shared" si="1"/>
        <v>5013442 Primaria</v>
      </c>
      <c r="N4025" s="23"/>
      <c r="O4025" s="17"/>
      <c r="P4025" s="17"/>
      <c r="Q4025" s="17"/>
      <c r="R4025" s="17"/>
      <c r="S4025" s="17"/>
      <c r="T4025" s="17"/>
    </row>
    <row r="4026">
      <c r="A4026" s="21">
        <v>154.0</v>
      </c>
      <c r="B4026" s="14" t="s">
        <v>90</v>
      </c>
      <c r="C4026" s="14" t="s">
        <v>14</v>
      </c>
      <c r="D4026" s="20" t="s">
        <v>15</v>
      </c>
      <c r="E4026" s="12" t="str">
        <f>IFERROR(__xludf.DUMMYFUNCTION("FILTER(colegios!$B$2:$B5618,colegios!$A$2:$A5618=L4026)"),"501344")</f>
        <v>501344</v>
      </c>
      <c r="F4026" s="14" t="s">
        <v>16</v>
      </c>
      <c r="G4026" s="20" t="s">
        <v>17</v>
      </c>
      <c r="H4026" s="14" t="s">
        <v>18</v>
      </c>
      <c r="I4026" s="22">
        <v>2022.0</v>
      </c>
      <c r="J4026" s="16" t="str">
        <f>IFERROR(__xludf.DUMMYFUNCTION("FILTER('CLASFICACIÓN'!$F$3:$F5618,'CLASFICACIÓN'!$G$3:$G5618=M4026)"),"SOLO LINEA BASE")</f>
        <v>SOLO LINEA BASE</v>
      </c>
      <c r="K4026" s="16"/>
      <c r="L4026" s="14" t="s">
        <v>179</v>
      </c>
      <c r="M4026" s="16" t="str">
        <f t="shared" si="1"/>
        <v>5013442 Primaria</v>
      </c>
      <c r="N4026" s="23"/>
      <c r="O4026" s="17"/>
      <c r="P4026" s="17"/>
      <c r="Q4026" s="17"/>
      <c r="R4026" s="17"/>
      <c r="S4026" s="17"/>
      <c r="T4026" s="17"/>
    </row>
    <row r="4027">
      <c r="A4027" s="21">
        <v>155.0</v>
      </c>
      <c r="B4027" s="14" t="s">
        <v>90</v>
      </c>
      <c r="C4027" s="14" t="s">
        <v>14</v>
      </c>
      <c r="D4027" s="20" t="s">
        <v>15</v>
      </c>
      <c r="E4027" s="12" t="str">
        <f>IFERROR(__xludf.DUMMYFUNCTION("FILTER(colegios!$B$2:$B5618,colegios!$A$2:$A5618=L4027)"),"501344")</f>
        <v>501344</v>
      </c>
      <c r="F4027" s="14" t="s">
        <v>16</v>
      </c>
      <c r="G4027" s="20" t="s">
        <v>17</v>
      </c>
      <c r="H4027" s="14" t="s">
        <v>18</v>
      </c>
      <c r="I4027" s="22">
        <v>2022.0</v>
      </c>
      <c r="J4027" s="16" t="str">
        <f>IFERROR(__xludf.DUMMYFUNCTION("FILTER('CLASFICACIÓN'!$F$3:$F5618,'CLASFICACIÓN'!$G$3:$G5618=M4027)"),"SOLO LINEA BASE")</f>
        <v>SOLO LINEA BASE</v>
      </c>
      <c r="K4027" s="16"/>
      <c r="L4027" s="14" t="s">
        <v>179</v>
      </c>
      <c r="M4027" s="16" t="str">
        <f t="shared" si="1"/>
        <v>5013442 Primaria</v>
      </c>
      <c r="N4027" s="23"/>
      <c r="O4027" s="17"/>
      <c r="P4027" s="17"/>
      <c r="Q4027" s="17"/>
      <c r="R4027" s="17"/>
      <c r="S4027" s="17"/>
      <c r="T4027" s="17"/>
    </row>
    <row r="4028">
      <c r="A4028" s="21">
        <v>156.0</v>
      </c>
      <c r="B4028" s="14" t="s">
        <v>90</v>
      </c>
      <c r="C4028" s="14" t="s">
        <v>14</v>
      </c>
      <c r="D4028" s="20" t="s">
        <v>15</v>
      </c>
      <c r="E4028" s="12" t="str">
        <f>IFERROR(__xludf.DUMMYFUNCTION("FILTER(colegios!$B$2:$B5618,colegios!$A$2:$A5618=L4028)"),"501344")</f>
        <v>501344</v>
      </c>
      <c r="F4028" s="14" t="s">
        <v>16</v>
      </c>
      <c r="G4028" s="20" t="s">
        <v>21</v>
      </c>
      <c r="H4028" s="14" t="s">
        <v>18</v>
      </c>
      <c r="I4028" s="22">
        <v>2022.0</v>
      </c>
      <c r="J4028" s="16" t="str">
        <f>IFERROR(__xludf.DUMMYFUNCTION("FILTER('CLASFICACIÓN'!$F$3:$F5618,'CLASFICACIÓN'!$G$3:$G5618=M4028)"),"SOLO LINEA BASE")</f>
        <v>SOLO LINEA BASE</v>
      </c>
      <c r="K4028" s="16"/>
      <c r="L4028" s="14" t="s">
        <v>179</v>
      </c>
      <c r="M4028" s="16" t="str">
        <f t="shared" si="1"/>
        <v>5013442 Primaria</v>
      </c>
      <c r="N4028" s="23"/>
      <c r="O4028" s="17"/>
      <c r="P4028" s="17"/>
      <c r="Q4028" s="17"/>
      <c r="R4028" s="17"/>
      <c r="S4028" s="17"/>
      <c r="T4028" s="17"/>
    </row>
    <row r="4029">
      <c r="A4029" s="21">
        <v>157.0</v>
      </c>
      <c r="B4029" s="14" t="s">
        <v>90</v>
      </c>
      <c r="C4029" s="14" t="s">
        <v>14</v>
      </c>
      <c r="D4029" s="20" t="s">
        <v>15</v>
      </c>
      <c r="E4029" s="12" t="str">
        <f>IFERROR(__xludf.DUMMYFUNCTION("FILTER(colegios!$B$2:$B5618,colegios!$A$2:$A5618=L4029)"),"501344")</f>
        <v>501344</v>
      </c>
      <c r="F4029" s="14" t="s">
        <v>16</v>
      </c>
      <c r="G4029" s="20" t="s">
        <v>17</v>
      </c>
      <c r="H4029" s="14" t="s">
        <v>18</v>
      </c>
      <c r="I4029" s="22">
        <v>2022.0</v>
      </c>
      <c r="J4029" s="16" t="str">
        <f>IFERROR(__xludf.DUMMYFUNCTION("FILTER('CLASFICACIÓN'!$F$3:$F5618,'CLASFICACIÓN'!$G$3:$G5618=M4029)"),"SOLO LINEA BASE")</f>
        <v>SOLO LINEA BASE</v>
      </c>
      <c r="K4029" s="16"/>
      <c r="L4029" s="14" t="s">
        <v>179</v>
      </c>
      <c r="M4029" s="16" t="str">
        <f t="shared" si="1"/>
        <v>5013442 Primaria</v>
      </c>
      <c r="N4029" s="23"/>
      <c r="O4029" s="17"/>
      <c r="P4029" s="17"/>
      <c r="Q4029" s="17"/>
      <c r="R4029" s="17"/>
      <c r="S4029" s="17"/>
      <c r="T4029" s="17"/>
    </row>
    <row r="4030">
      <c r="A4030" s="21">
        <v>158.0</v>
      </c>
      <c r="B4030" s="14" t="s">
        <v>90</v>
      </c>
      <c r="C4030" s="14" t="s">
        <v>14</v>
      </c>
      <c r="D4030" s="20" t="s">
        <v>15</v>
      </c>
      <c r="E4030" s="12" t="str">
        <f>IFERROR(__xludf.DUMMYFUNCTION("FILTER(colegios!$B$2:$B5618,colegios!$A$2:$A5618=L4030)"),"501344")</f>
        <v>501344</v>
      </c>
      <c r="F4030" s="14" t="s">
        <v>16</v>
      </c>
      <c r="G4030" s="20" t="s">
        <v>21</v>
      </c>
      <c r="H4030" s="14" t="s">
        <v>18</v>
      </c>
      <c r="I4030" s="22">
        <v>2022.0</v>
      </c>
      <c r="J4030" s="16" t="str">
        <f>IFERROR(__xludf.DUMMYFUNCTION("FILTER('CLASFICACIÓN'!$F$3:$F5618,'CLASFICACIÓN'!$G$3:$G5618=M4030)"),"SOLO LINEA BASE")</f>
        <v>SOLO LINEA BASE</v>
      </c>
      <c r="K4030" s="16"/>
      <c r="L4030" s="14" t="s">
        <v>179</v>
      </c>
      <c r="M4030" s="16" t="str">
        <f t="shared" si="1"/>
        <v>5013442 Primaria</v>
      </c>
      <c r="N4030" s="23"/>
      <c r="O4030" s="17"/>
      <c r="P4030" s="17"/>
      <c r="Q4030" s="17"/>
      <c r="R4030" s="17"/>
      <c r="S4030" s="17"/>
      <c r="T4030" s="17"/>
    </row>
    <row r="4031">
      <c r="A4031" s="21">
        <v>159.0</v>
      </c>
      <c r="B4031" s="14" t="s">
        <v>90</v>
      </c>
      <c r="C4031" s="14" t="s">
        <v>14</v>
      </c>
      <c r="D4031" s="20" t="s">
        <v>15</v>
      </c>
      <c r="E4031" s="12" t="str">
        <f>IFERROR(__xludf.DUMMYFUNCTION("FILTER(colegios!$B$2:$B5618,colegios!$A$2:$A5618=L4031)"),"501344")</f>
        <v>501344</v>
      </c>
      <c r="F4031" s="14" t="s">
        <v>16</v>
      </c>
      <c r="G4031" s="20" t="s">
        <v>17</v>
      </c>
      <c r="H4031" s="14" t="s">
        <v>18</v>
      </c>
      <c r="I4031" s="22">
        <v>2022.0</v>
      </c>
      <c r="J4031" s="16" t="str">
        <f>IFERROR(__xludf.DUMMYFUNCTION("FILTER('CLASFICACIÓN'!$F$3:$F5618,'CLASFICACIÓN'!$G$3:$G5618=M4031)"),"SOLO LINEA BASE")</f>
        <v>SOLO LINEA BASE</v>
      </c>
      <c r="K4031" s="16"/>
      <c r="L4031" s="14" t="s">
        <v>179</v>
      </c>
      <c r="M4031" s="16" t="str">
        <f t="shared" si="1"/>
        <v>5013442 Primaria</v>
      </c>
      <c r="N4031" s="23"/>
      <c r="O4031" s="17"/>
      <c r="P4031" s="17"/>
      <c r="Q4031" s="17"/>
      <c r="R4031" s="17"/>
      <c r="S4031" s="17"/>
      <c r="T4031" s="17"/>
    </row>
    <row r="4032">
      <c r="A4032" s="21">
        <v>160.0</v>
      </c>
      <c r="B4032" s="14" t="s">
        <v>90</v>
      </c>
      <c r="C4032" s="14" t="s">
        <v>14</v>
      </c>
      <c r="D4032" s="20" t="s">
        <v>15</v>
      </c>
      <c r="E4032" s="12" t="str">
        <f>IFERROR(__xludf.DUMMYFUNCTION("FILTER(colegios!$B$2:$B5618,colegios!$A$2:$A5618=L4032)"),"501344")</f>
        <v>501344</v>
      </c>
      <c r="F4032" s="14" t="s">
        <v>16</v>
      </c>
      <c r="G4032" s="20" t="s">
        <v>17</v>
      </c>
      <c r="H4032" s="14" t="s">
        <v>18</v>
      </c>
      <c r="I4032" s="22">
        <v>2022.0</v>
      </c>
      <c r="J4032" s="16" t="str">
        <f>IFERROR(__xludf.DUMMYFUNCTION("FILTER('CLASFICACIÓN'!$F$3:$F5618,'CLASFICACIÓN'!$G$3:$G5618=M4032)"),"SOLO LINEA BASE")</f>
        <v>SOLO LINEA BASE</v>
      </c>
      <c r="K4032" s="16"/>
      <c r="L4032" s="14" t="s">
        <v>179</v>
      </c>
      <c r="M4032" s="16" t="str">
        <f t="shared" si="1"/>
        <v>5013442 Primaria</v>
      </c>
      <c r="N4032" s="23"/>
      <c r="O4032" s="17"/>
      <c r="P4032" s="17"/>
      <c r="Q4032" s="17"/>
      <c r="R4032" s="17"/>
      <c r="S4032" s="17"/>
      <c r="T4032" s="17"/>
    </row>
    <row r="4033">
      <c r="A4033" s="21">
        <v>161.0</v>
      </c>
      <c r="B4033" s="14" t="s">
        <v>90</v>
      </c>
      <c r="C4033" s="14" t="s">
        <v>14</v>
      </c>
      <c r="D4033" s="20" t="s">
        <v>15</v>
      </c>
      <c r="E4033" s="12" t="str">
        <f>IFERROR(__xludf.DUMMYFUNCTION("FILTER(colegios!$B$2:$B5618,colegios!$A$2:$A5618=L4033)"),"501344")</f>
        <v>501344</v>
      </c>
      <c r="F4033" s="14" t="s">
        <v>16</v>
      </c>
      <c r="G4033" s="20" t="s">
        <v>17</v>
      </c>
      <c r="H4033" s="14" t="s">
        <v>18</v>
      </c>
      <c r="I4033" s="22">
        <v>2022.0</v>
      </c>
      <c r="J4033" s="16" t="str">
        <f>IFERROR(__xludf.DUMMYFUNCTION("FILTER('CLASFICACIÓN'!$F$3:$F5618,'CLASFICACIÓN'!$G$3:$G5618=M4033)"),"SOLO LINEA BASE")</f>
        <v>SOLO LINEA BASE</v>
      </c>
      <c r="K4033" s="16"/>
      <c r="L4033" s="14" t="s">
        <v>179</v>
      </c>
      <c r="M4033" s="16" t="str">
        <f t="shared" si="1"/>
        <v>5013442 Primaria</v>
      </c>
      <c r="N4033" s="23"/>
      <c r="O4033" s="17"/>
      <c r="P4033" s="17"/>
      <c r="Q4033" s="17"/>
      <c r="R4033" s="17"/>
      <c r="S4033" s="17"/>
      <c r="T4033" s="17"/>
    </row>
    <row r="4034">
      <c r="A4034" s="21">
        <v>162.0</v>
      </c>
      <c r="B4034" s="14" t="s">
        <v>90</v>
      </c>
      <c r="C4034" s="14" t="s">
        <v>14</v>
      </c>
      <c r="D4034" s="20" t="s">
        <v>15</v>
      </c>
      <c r="E4034" s="12" t="str">
        <f>IFERROR(__xludf.DUMMYFUNCTION("FILTER(colegios!$B$2:$B5618,colegios!$A$2:$A5618=L4034)"),"501344")</f>
        <v>501344</v>
      </c>
      <c r="F4034" s="14" t="s">
        <v>16</v>
      </c>
      <c r="G4034" s="20" t="s">
        <v>21</v>
      </c>
      <c r="H4034" s="14" t="s">
        <v>18</v>
      </c>
      <c r="I4034" s="22">
        <v>2022.0</v>
      </c>
      <c r="J4034" s="16" t="str">
        <f>IFERROR(__xludf.DUMMYFUNCTION("FILTER('CLASFICACIÓN'!$F$3:$F5618,'CLASFICACIÓN'!$G$3:$G5618=M4034)"),"SOLO LINEA BASE")</f>
        <v>SOLO LINEA BASE</v>
      </c>
      <c r="K4034" s="16"/>
      <c r="L4034" s="14" t="s">
        <v>179</v>
      </c>
      <c r="M4034" s="16" t="str">
        <f t="shared" si="1"/>
        <v>5013442 Primaria</v>
      </c>
      <c r="N4034" s="23"/>
      <c r="O4034" s="17"/>
      <c r="P4034" s="17"/>
      <c r="Q4034" s="17"/>
      <c r="R4034" s="17"/>
      <c r="S4034" s="17"/>
      <c r="T4034" s="17"/>
    </row>
    <row r="4035">
      <c r="A4035" s="21">
        <v>163.0</v>
      </c>
      <c r="B4035" s="14" t="s">
        <v>90</v>
      </c>
      <c r="C4035" s="14" t="s">
        <v>14</v>
      </c>
      <c r="D4035" s="20" t="s">
        <v>15</v>
      </c>
      <c r="E4035" s="12" t="str">
        <f>IFERROR(__xludf.DUMMYFUNCTION("FILTER(colegios!$B$2:$B5618,colegios!$A$2:$A5618=L4035)"),"501344")</f>
        <v>501344</v>
      </c>
      <c r="F4035" s="14" t="s">
        <v>16</v>
      </c>
      <c r="G4035" s="20" t="s">
        <v>17</v>
      </c>
      <c r="H4035" s="14" t="s">
        <v>18</v>
      </c>
      <c r="I4035" s="22">
        <v>2022.0</v>
      </c>
      <c r="J4035" s="16" t="str">
        <f>IFERROR(__xludf.DUMMYFUNCTION("FILTER('CLASFICACIÓN'!$F$3:$F5618,'CLASFICACIÓN'!$G$3:$G5618=M4035)"),"SOLO LINEA BASE")</f>
        <v>SOLO LINEA BASE</v>
      </c>
      <c r="K4035" s="16"/>
      <c r="L4035" s="14" t="s">
        <v>179</v>
      </c>
      <c r="M4035" s="16" t="str">
        <f t="shared" si="1"/>
        <v>5013442 Primaria</v>
      </c>
      <c r="N4035" s="23"/>
      <c r="O4035" s="17"/>
      <c r="P4035" s="17"/>
      <c r="Q4035" s="17"/>
      <c r="R4035" s="17"/>
      <c r="S4035" s="17"/>
      <c r="T4035" s="17"/>
    </row>
    <row r="4036">
      <c r="A4036" s="21">
        <v>164.0</v>
      </c>
      <c r="B4036" s="14" t="s">
        <v>90</v>
      </c>
      <c r="C4036" s="14" t="s">
        <v>14</v>
      </c>
      <c r="D4036" s="20" t="s">
        <v>15</v>
      </c>
      <c r="E4036" s="12" t="str">
        <f>IFERROR(__xludf.DUMMYFUNCTION("FILTER(colegios!$B$2:$B5618,colegios!$A$2:$A5618=L4036)"),"501344")</f>
        <v>501344</v>
      </c>
      <c r="F4036" s="14" t="s">
        <v>16</v>
      </c>
      <c r="G4036" s="20" t="s">
        <v>17</v>
      </c>
      <c r="H4036" s="14" t="s">
        <v>18</v>
      </c>
      <c r="I4036" s="22">
        <v>2022.0</v>
      </c>
      <c r="J4036" s="16" t="str">
        <f>IFERROR(__xludf.DUMMYFUNCTION("FILTER('CLASFICACIÓN'!$F$3:$F5618,'CLASFICACIÓN'!$G$3:$G5618=M4036)"),"SOLO LINEA BASE")</f>
        <v>SOLO LINEA BASE</v>
      </c>
      <c r="K4036" s="16"/>
      <c r="L4036" s="14" t="s">
        <v>179</v>
      </c>
      <c r="M4036" s="16" t="str">
        <f t="shared" si="1"/>
        <v>5013442 Primaria</v>
      </c>
      <c r="N4036" s="23"/>
      <c r="O4036" s="17"/>
      <c r="P4036" s="17"/>
      <c r="Q4036" s="17"/>
      <c r="R4036" s="17"/>
      <c r="S4036" s="17"/>
      <c r="T4036" s="17"/>
    </row>
    <row r="4037">
      <c r="A4037" s="21">
        <v>165.0</v>
      </c>
      <c r="B4037" s="14" t="s">
        <v>90</v>
      </c>
      <c r="C4037" s="14" t="s">
        <v>14</v>
      </c>
      <c r="D4037" s="20" t="s">
        <v>15</v>
      </c>
      <c r="E4037" s="12" t="str">
        <f>IFERROR(__xludf.DUMMYFUNCTION("FILTER(colegios!$B$2:$B5618,colegios!$A$2:$A5618=L4037)"),"501344")</f>
        <v>501344</v>
      </c>
      <c r="F4037" s="14" t="s">
        <v>16</v>
      </c>
      <c r="G4037" s="20" t="s">
        <v>17</v>
      </c>
      <c r="H4037" s="14" t="s">
        <v>18</v>
      </c>
      <c r="I4037" s="22">
        <v>2022.0</v>
      </c>
      <c r="J4037" s="16" t="str">
        <f>IFERROR(__xludf.DUMMYFUNCTION("FILTER('CLASFICACIÓN'!$F$3:$F5618,'CLASFICACIÓN'!$G$3:$G5618=M4037)"),"SOLO LINEA BASE")</f>
        <v>SOLO LINEA BASE</v>
      </c>
      <c r="K4037" s="16"/>
      <c r="L4037" s="14" t="s">
        <v>179</v>
      </c>
      <c r="M4037" s="16" t="str">
        <f t="shared" si="1"/>
        <v>5013442 Primaria</v>
      </c>
      <c r="N4037" s="23"/>
      <c r="O4037" s="17"/>
      <c r="P4037" s="17"/>
      <c r="Q4037" s="17"/>
      <c r="R4037" s="17"/>
      <c r="S4037" s="17"/>
      <c r="T4037" s="17"/>
    </row>
    <row r="4038">
      <c r="A4038" s="21">
        <v>166.0</v>
      </c>
      <c r="B4038" s="14" t="s">
        <v>90</v>
      </c>
      <c r="C4038" s="14" t="s">
        <v>14</v>
      </c>
      <c r="D4038" s="20" t="s">
        <v>15</v>
      </c>
      <c r="E4038" s="12" t="str">
        <f>IFERROR(__xludf.DUMMYFUNCTION("FILTER(colegios!$B$2:$B5618,colegios!$A$2:$A5618=L4038)"),"501344")</f>
        <v>501344</v>
      </c>
      <c r="F4038" s="14" t="s">
        <v>16</v>
      </c>
      <c r="G4038" s="20" t="s">
        <v>21</v>
      </c>
      <c r="H4038" s="14" t="s">
        <v>18</v>
      </c>
      <c r="I4038" s="22">
        <v>2022.0</v>
      </c>
      <c r="J4038" s="16" t="str">
        <f>IFERROR(__xludf.DUMMYFUNCTION("FILTER('CLASFICACIÓN'!$F$3:$F5618,'CLASFICACIÓN'!$G$3:$G5618=M4038)"),"SOLO LINEA BASE")</f>
        <v>SOLO LINEA BASE</v>
      </c>
      <c r="K4038" s="16"/>
      <c r="L4038" s="14" t="s">
        <v>179</v>
      </c>
      <c r="M4038" s="16" t="str">
        <f t="shared" si="1"/>
        <v>5013442 Primaria</v>
      </c>
      <c r="N4038" s="23"/>
      <c r="O4038" s="17"/>
      <c r="P4038" s="17"/>
      <c r="Q4038" s="17"/>
      <c r="R4038" s="17"/>
      <c r="S4038" s="17"/>
      <c r="T4038" s="17"/>
    </row>
    <row r="4039">
      <c r="A4039" s="21">
        <v>167.0</v>
      </c>
      <c r="B4039" s="14" t="s">
        <v>90</v>
      </c>
      <c r="C4039" s="14" t="s">
        <v>14</v>
      </c>
      <c r="D4039" s="20" t="s">
        <v>15</v>
      </c>
      <c r="E4039" s="12" t="str">
        <f>IFERROR(__xludf.DUMMYFUNCTION("FILTER(colegios!$B$2:$B5618,colegios!$A$2:$A5618=L4039)"),"501344")</f>
        <v>501344</v>
      </c>
      <c r="F4039" s="14" t="s">
        <v>16</v>
      </c>
      <c r="G4039" s="20" t="s">
        <v>17</v>
      </c>
      <c r="H4039" s="14" t="s">
        <v>18</v>
      </c>
      <c r="I4039" s="22">
        <v>2022.0</v>
      </c>
      <c r="J4039" s="16" t="str">
        <f>IFERROR(__xludf.DUMMYFUNCTION("FILTER('CLASFICACIÓN'!$F$3:$F5618,'CLASFICACIÓN'!$G$3:$G5618=M4039)"),"SOLO LINEA BASE")</f>
        <v>SOLO LINEA BASE</v>
      </c>
      <c r="K4039" s="16"/>
      <c r="L4039" s="14" t="s">
        <v>179</v>
      </c>
      <c r="M4039" s="16" t="str">
        <f t="shared" si="1"/>
        <v>5013442 Primaria</v>
      </c>
      <c r="N4039" s="23"/>
      <c r="O4039" s="17"/>
      <c r="P4039" s="17"/>
      <c r="Q4039" s="17"/>
      <c r="R4039" s="17"/>
      <c r="S4039" s="17"/>
      <c r="T4039" s="17"/>
    </row>
    <row r="4040">
      <c r="A4040" s="21">
        <v>168.0</v>
      </c>
      <c r="B4040" s="14" t="s">
        <v>90</v>
      </c>
      <c r="C4040" s="14" t="s">
        <v>14</v>
      </c>
      <c r="D4040" s="20" t="s">
        <v>15</v>
      </c>
      <c r="E4040" s="12" t="str">
        <f>IFERROR(__xludf.DUMMYFUNCTION("FILTER(colegios!$B$2:$B5618,colegios!$A$2:$A5618=L4040)"),"501344")</f>
        <v>501344</v>
      </c>
      <c r="F4040" s="14" t="s">
        <v>16</v>
      </c>
      <c r="G4040" s="20" t="s">
        <v>21</v>
      </c>
      <c r="H4040" s="14" t="s">
        <v>18</v>
      </c>
      <c r="I4040" s="22">
        <v>2022.0</v>
      </c>
      <c r="J4040" s="16" t="str">
        <f>IFERROR(__xludf.DUMMYFUNCTION("FILTER('CLASFICACIÓN'!$F$3:$F5618,'CLASFICACIÓN'!$G$3:$G5618=M4040)"),"SOLO LINEA BASE")</f>
        <v>SOLO LINEA BASE</v>
      </c>
      <c r="K4040" s="16"/>
      <c r="L4040" s="14" t="s">
        <v>179</v>
      </c>
      <c r="M4040" s="16" t="str">
        <f t="shared" si="1"/>
        <v>5013442 Primaria</v>
      </c>
      <c r="N4040" s="23"/>
      <c r="O4040" s="17"/>
      <c r="P4040" s="17"/>
      <c r="Q4040" s="17"/>
      <c r="R4040" s="17"/>
      <c r="S4040" s="17"/>
      <c r="T4040" s="17"/>
    </row>
    <row r="4041">
      <c r="A4041" s="21">
        <v>169.0</v>
      </c>
      <c r="B4041" s="14" t="s">
        <v>90</v>
      </c>
      <c r="C4041" s="14" t="s">
        <v>14</v>
      </c>
      <c r="D4041" s="20" t="s">
        <v>15</v>
      </c>
      <c r="E4041" s="12" t="str">
        <f>IFERROR(__xludf.DUMMYFUNCTION("FILTER(colegios!$B$2:$B5618,colegios!$A$2:$A5618=L4041)"),"501344")</f>
        <v>501344</v>
      </c>
      <c r="F4041" s="14" t="s">
        <v>16</v>
      </c>
      <c r="G4041" s="20" t="s">
        <v>21</v>
      </c>
      <c r="H4041" s="14" t="s">
        <v>18</v>
      </c>
      <c r="I4041" s="22">
        <v>2022.0</v>
      </c>
      <c r="J4041" s="16" t="str">
        <f>IFERROR(__xludf.DUMMYFUNCTION("FILTER('CLASFICACIÓN'!$F$3:$F5618,'CLASFICACIÓN'!$G$3:$G5618=M4041)"),"SOLO LINEA BASE")</f>
        <v>SOLO LINEA BASE</v>
      </c>
      <c r="K4041" s="16"/>
      <c r="L4041" s="14" t="s">
        <v>179</v>
      </c>
      <c r="M4041" s="16" t="str">
        <f t="shared" si="1"/>
        <v>5013442 Primaria</v>
      </c>
      <c r="N4041" s="23"/>
      <c r="O4041" s="17"/>
      <c r="P4041" s="17"/>
      <c r="Q4041" s="17"/>
      <c r="R4041" s="17"/>
      <c r="S4041" s="17"/>
      <c r="T4041" s="17"/>
    </row>
    <row r="4042">
      <c r="A4042" s="21">
        <v>170.0</v>
      </c>
      <c r="B4042" s="14" t="s">
        <v>90</v>
      </c>
      <c r="C4042" s="14" t="s">
        <v>14</v>
      </c>
      <c r="D4042" s="20" t="s">
        <v>15</v>
      </c>
      <c r="E4042" s="12" t="str">
        <f>IFERROR(__xludf.DUMMYFUNCTION("FILTER(colegios!$B$2:$B5618,colegios!$A$2:$A5618=L4042)"),"501344")</f>
        <v>501344</v>
      </c>
      <c r="F4042" s="14" t="s">
        <v>16</v>
      </c>
      <c r="G4042" s="20" t="s">
        <v>21</v>
      </c>
      <c r="H4042" s="14" t="s">
        <v>18</v>
      </c>
      <c r="I4042" s="22">
        <v>2022.0</v>
      </c>
      <c r="J4042" s="16" t="str">
        <f>IFERROR(__xludf.DUMMYFUNCTION("FILTER('CLASFICACIÓN'!$F$3:$F5618,'CLASFICACIÓN'!$G$3:$G5618=M4042)"),"SOLO LINEA BASE")</f>
        <v>SOLO LINEA BASE</v>
      </c>
      <c r="K4042" s="16"/>
      <c r="L4042" s="14" t="s">
        <v>179</v>
      </c>
      <c r="M4042" s="16" t="str">
        <f t="shared" si="1"/>
        <v>5013442 Primaria</v>
      </c>
      <c r="N4042" s="23"/>
      <c r="O4042" s="17"/>
      <c r="P4042" s="17"/>
      <c r="Q4042" s="17"/>
      <c r="R4042" s="17"/>
      <c r="S4042" s="17"/>
      <c r="T4042" s="17"/>
    </row>
    <row r="4043">
      <c r="A4043" s="21">
        <v>171.0</v>
      </c>
      <c r="B4043" s="14" t="s">
        <v>90</v>
      </c>
      <c r="C4043" s="14" t="s">
        <v>14</v>
      </c>
      <c r="D4043" s="20" t="s">
        <v>15</v>
      </c>
      <c r="E4043" s="12" t="str">
        <f>IFERROR(__xludf.DUMMYFUNCTION("FILTER(colegios!$B$2:$B5618,colegios!$A$2:$A5618=L4043)"),"501344")</f>
        <v>501344</v>
      </c>
      <c r="F4043" s="14" t="s">
        <v>16</v>
      </c>
      <c r="G4043" s="20" t="s">
        <v>17</v>
      </c>
      <c r="H4043" s="14" t="s">
        <v>18</v>
      </c>
      <c r="I4043" s="22">
        <v>2022.0</v>
      </c>
      <c r="J4043" s="16" t="str">
        <f>IFERROR(__xludf.DUMMYFUNCTION("FILTER('CLASFICACIÓN'!$F$3:$F5618,'CLASFICACIÓN'!$G$3:$G5618=M4043)"),"SOLO LINEA BASE")</f>
        <v>SOLO LINEA BASE</v>
      </c>
      <c r="K4043" s="16"/>
      <c r="L4043" s="14" t="s">
        <v>179</v>
      </c>
      <c r="M4043" s="16" t="str">
        <f t="shared" si="1"/>
        <v>5013442 Primaria</v>
      </c>
      <c r="N4043" s="23"/>
      <c r="O4043" s="17"/>
      <c r="P4043" s="17"/>
      <c r="Q4043" s="17"/>
      <c r="R4043" s="17"/>
      <c r="S4043" s="17"/>
      <c r="T4043" s="17"/>
    </row>
    <row r="4044">
      <c r="A4044" s="21">
        <v>172.0</v>
      </c>
      <c r="B4044" s="14" t="s">
        <v>90</v>
      </c>
      <c r="C4044" s="14" t="s">
        <v>14</v>
      </c>
      <c r="D4044" s="20" t="s">
        <v>15</v>
      </c>
      <c r="E4044" s="12" t="str">
        <f>IFERROR(__xludf.DUMMYFUNCTION("FILTER(colegios!$B$2:$B5618,colegios!$A$2:$A5618=L4044)"),"501344")</f>
        <v>501344</v>
      </c>
      <c r="F4044" s="14" t="s">
        <v>16</v>
      </c>
      <c r="G4044" s="20" t="s">
        <v>21</v>
      </c>
      <c r="H4044" s="14" t="s">
        <v>18</v>
      </c>
      <c r="I4044" s="22">
        <v>2022.0</v>
      </c>
      <c r="J4044" s="16" t="str">
        <f>IFERROR(__xludf.DUMMYFUNCTION("FILTER('CLASFICACIÓN'!$F$3:$F5618,'CLASFICACIÓN'!$G$3:$G5618=M4044)"),"SOLO LINEA BASE")</f>
        <v>SOLO LINEA BASE</v>
      </c>
      <c r="K4044" s="16"/>
      <c r="L4044" s="14" t="s">
        <v>179</v>
      </c>
      <c r="M4044" s="16" t="str">
        <f t="shared" si="1"/>
        <v>5013442 Primaria</v>
      </c>
      <c r="N4044" s="23"/>
      <c r="O4044" s="17"/>
      <c r="P4044" s="17"/>
      <c r="Q4044" s="17"/>
      <c r="R4044" s="17"/>
      <c r="S4044" s="17"/>
      <c r="T4044" s="17"/>
    </row>
    <row r="4045">
      <c r="A4045" s="21">
        <v>173.0</v>
      </c>
      <c r="B4045" s="14" t="s">
        <v>90</v>
      </c>
      <c r="C4045" s="14" t="s">
        <v>14</v>
      </c>
      <c r="D4045" s="20" t="s">
        <v>15</v>
      </c>
      <c r="E4045" s="12" t="str">
        <f>IFERROR(__xludf.DUMMYFUNCTION("FILTER(colegios!$B$2:$B5618,colegios!$A$2:$A5618=L4045)"),"501344")</f>
        <v>501344</v>
      </c>
      <c r="F4045" s="14" t="s">
        <v>16</v>
      </c>
      <c r="G4045" s="20" t="s">
        <v>17</v>
      </c>
      <c r="H4045" s="14" t="s">
        <v>18</v>
      </c>
      <c r="I4045" s="22">
        <v>2022.0</v>
      </c>
      <c r="J4045" s="16" t="str">
        <f>IFERROR(__xludf.DUMMYFUNCTION("FILTER('CLASFICACIÓN'!$F$3:$F5618,'CLASFICACIÓN'!$G$3:$G5618=M4045)"),"SOLO LINEA BASE")</f>
        <v>SOLO LINEA BASE</v>
      </c>
      <c r="K4045" s="16"/>
      <c r="L4045" s="14" t="s">
        <v>179</v>
      </c>
      <c r="M4045" s="16" t="str">
        <f t="shared" si="1"/>
        <v>5013442 Primaria</v>
      </c>
      <c r="N4045" s="23"/>
      <c r="O4045" s="17"/>
      <c r="P4045" s="17"/>
      <c r="Q4045" s="17"/>
      <c r="R4045" s="17"/>
      <c r="S4045" s="17"/>
      <c r="T4045" s="17"/>
    </row>
    <row r="4046">
      <c r="A4046" s="21">
        <v>174.0</v>
      </c>
      <c r="B4046" s="14" t="s">
        <v>90</v>
      </c>
      <c r="C4046" s="14" t="s">
        <v>14</v>
      </c>
      <c r="D4046" s="20" t="s">
        <v>15</v>
      </c>
      <c r="E4046" s="12" t="str">
        <f>IFERROR(__xludf.DUMMYFUNCTION("FILTER(colegios!$B$2:$B5618,colegios!$A$2:$A5618=L4046)"),"501344")</f>
        <v>501344</v>
      </c>
      <c r="F4046" s="14" t="s">
        <v>16</v>
      </c>
      <c r="G4046" s="20" t="s">
        <v>21</v>
      </c>
      <c r="H4046" s="14" t="s">
        <v>18</v>
      </c>
      <c r="I4046" s="22">
        <v>2022.0</v>
      </c>
      <c r="J4046" s="16" t="str">
        <f>IFERROR(__xludf.DUMMYFUNCTION("FILTER('CLASFICACIÓN'!$F$3:$F5618,'CLASFICACIÓN'!$G$3:$G5618=M4046)"),"SOLO LINEA BASE")</f>
        <v>SOLO LINEA BASE</v>
      </c>
      <c r="K4046" s="16"/>
      <c r="L4046" s="14" t="s">
        <v>179</v>
      </c>
      <c r="M4046" s="16" t="str">
        <f t="shared" si="1"/>
        <v>5013442 Primaria</v>
      </c>
      <c r="N4046" s="23"/>
      <c r="O4046" s="17"/>
      <c r="P4046" s="17"/>
      <c r="Q4046" s="17"/>
      <c r="R4046" s="17"/>
      <c r="S4046" s="17"/>
      <c r="T4046" s="17"/>
    </row>
    <row r="4047">
      <c r="A4047" s="21">
        <v>175.0</v>
      </c>
      <c r="B4047" s="14" t="s">
        <v>90</v>
      </c>
      <c r="C4047" s="14" t="s">
        <v>14</v>
      </c>
      <c r="D4047" s="20" t="s">
        <v>15</v>
      </c>
      <c r="E4047" s="12" t="str">
        <f>IFERROR(__xludf.DUMMYFUNCTION("FILTER(colegios!$B$2:$B5618,colegios!$A$2:$A5618=L4047)"),"501344")</f>
        <v>501344</v>
      </c>
      <c r="F4047" s="14" t="s">
        <v>16</v>
      </c>
      <c r="G4047" s="20" t="s">
        <v>21</v>
      </c>
      <c r="H4047" s="14" t="s">
        <v>18</v>
      </c>
      <c r="I4047" s="22">
        <v>2022.0</v>
      </c>
      <c r="J4047" s="16" t="str">
        <f>IFERROR(__xludf.DUMMYFUNCTION("FILTER('CLASFICACIÓN'!$F$3:$F5618,'CLASFICACIÓN'!$G$3:$G5618=M4047)"),"SOLO LINEA BASE")</f>
        <v>SOLO LINEA BASE</v>
      </c>
      <c r="K4047" s="16"/>
      <c r="L4047" s="14" t="s">
        <v>179</v>
      </c>
      <c r="M4047" s="16" t="str">
        <f t="shared" si="1"/>
        <v>5013442 Primaria</v>
      </c>
      <c r="N4047" s="23"/>
      <c r="O4047" s="17"/>
      <c r="P4047" s="17"/>
      <c r="Q4047" s="17"/>
      <c r="R4047" s="17"/>
      <c r="S4047" s="17"/>
      <c r="T4047" s="17"/>
    </row>
    <row r="4048">
      <c r="A4048" s="21">
        <v>176.0</v>
      </c>
      <c r="B4048" s="14" t="s">
        <v>90</v>
      </c>
      <c r="C4048" s="14" t="s">
        <v>14</v>
      </c>
      <c r="D4048" s="20" t="s">
        <v>15</v>
      </c>
      <c r="E4048" s="12" t="str">
        <f>IFERROR(__xludf.DUMMYFUNCTION("FILTER(colegios!$B$2:$B5618,colegios!$A$2:$A5618=L4048)"),"501344")</f>
        <v>501344</v>
      </c>
      <c r="F4048" s="14" t="s">
        <v>16</v>
      </c>
      <c r="G4048" s="20" t="s">
        <v>17</v>
      </c>
      <c r="H4048" s="14" t="s">
        <v>18</v>
      </c>
      <c r="I4048" s="22">
        <v>2022.0</v>
      </c>
      <c r="J4048" s="16" t="str">
        <f>IFERROR(__xludf.DUMMYFUNCTION("FILTER('CLASFICACIÓN'!$F$3:$F5618,'CLASFICACIÓN'!$G$3:$G5618=M4048)"),"SOLO LINEA BASE")</f>
        <v>SOLO LINEA BASE</v>
      </c>
      <c r="K4048" s="16"/>
      <c r="L4048" s="14" t="s">
        <v>179</v>
      </c>
      <c r="M4048" s="16" t="str">
        <f t="shared" si="1"/>
        <v>5013442 Primaria</v>
      </c>
      <c r="N4048" s="23"/>
      <c r="O4048" s="17"/>
      <c r="P4048" s="17"/>
      <c r="Q4048" s="17"/>
      <c r="R4048" s="17"/>
      <c r="S4048" s="17"/>
      <c r="T4048" s="17"/>
    </row>
    <row r="4049">
      <c r="A4049" s="21">
        <v>177.0</v>
      </c>
      <c r="B4049" s="14" t="s">
        <v>90</v>
      </c>
      <c r="C4049" s="14" t="s">
        <v>14</v>
      </c>
      <c r="D4049" s="20" t="s">
        <v>15</v>
      </c>
      <c r="E4049" s="12" t="str">
        <f>IFERROR(__xludf.DUMMYFUNCTION("FILTER(colegios!$B$2:$B5618,colegios!$A$2:$A5618=L4049)"),"501344")</f>
        <v>501344</v>
      </c>
      <c r="F4049" s="14" t="s">
        <v>16</v>
      </c>
      <c r="G4049" s="20" t="s">
        <v>17</v>
      </c>
      <c r="H4049" s="14" t="s">
        <v>18</v>
      </c>
      <c r="I4049" s="22">
        <v>2022.0</v>
      </c>
      <c r="J4049" s="16" t="str">
        <f>IFERROR(__xludf.DUMMYFUNCTION("FILTER('CLASFICACIÓN'!$F$3:$F5618,'CLASFICACIÓN'!$G$3:$G5618=M4049)"),"SOLO LINEA BASE")</f>
        <v>SOLO LINEA BASE</v>
      </c>
      <c r="K4049" s="16"/>
      <c r="L4049" s="14" t="s">
        <v>179</v>
      </c>
      <c r="M4049" s="16" t="str">
        <f t="shared" si="1"/>
        <v>5013442 Primaria</v>
      </c>
      <c r="N4049" s="23"/>
      <c r="O4049" s="17"/>
      <c r="P4049" s="17"/>
      <c r="Q4049" s="17"/>
      <c r="R4049" s="17"/>
      <c r="S4049" s="17"/>
      <c r="T4049" s="17"/>
    </row>
    <row r="4050">
      <c r="A4050" s="21">
        <v>178.0</v>
      </c>
      <c r="B4050" s="14" t="s">
        <v>90</v>
      </c>
      <c r="C4050" s="14" t="s">
        <v>14</v>
      </c>
      <c r="D4050" s="20" t="s">
        <v>15</v>
      </c>
      <c r="E4050" s="12" t="str">
        <f>IFERROR(__xludf.DUMMYFUNCTION("FILTER(colegios!$B$2:$B5618,colegios!$A$2:$A5618=L4050)"),"501344")</f>
        <v>501344</v>
      </c>
      <c r="F4050" s="14" t="s">
        <v>16</v>
      </c>
      <c r="G4050" s="20" t="s">
        <v>17</v>
      </c>
      <c r="H4050" s="14" t="s">
        <v>18</v>
      </c>
      <c r="I4050" s="22">
        <v>2022.0</v>
      </c>
      <c r="J4050" s="16" t="str">
        <f>IFERROR(__xludf.DUMMYFUNCTION("FILTER('CLASFICACIÓN'!$F$3:$F5618,'CLASFICACIÓN'!$G$3:$G5618=M4050)"),"SOLO LINEA BASE")</f>
        <v>SOLO LINEA BASE</v>
      </c>
      <c r="K4050" s="16"/>
      <c r="L4050" s="14" t="s">
        <v>179</v>
      </c>
      <c r="M4050" s="16" t="str">
        <f t="shared" si="1"/>
        <v>5013442 Primaria</v>
      </c>
      <c r="N4050" s="23"/>
      <c r="O4050" s="17"/>
      <c r="P4050" s="17"/>
      <c r="Q4050" s="17"/>
      <c r="R4050" s="17"/>
      <c r="S4050" s="17"/>
      <c r="T4050" s="17"/>
    </row>
    <row r="4051">
      <c r="A4051" s="21">
        <v>179.0</v>
      </c>
      <c r="B4051" s="14" t="s">
        <v>90</v>
      </c>
      <c r="C4051" s="14" t="s">
        <v>14</v>
      </c>
      <c r="D4051" s="20" t="s">
        <v>15</v>
      </c>
      <c r="E4051" s="12" t="str">
        <f>IFERROR(__xludf.DUMMYFUNCTION("FILTER(colegios!$B$2:$B5618,colegios!$A$2:$A5618=L4051)"),"501344")</f>
        <v>501344</v>
      </c>
      <c r="F4051" s="14" t="s">
        <v>16</v>
      </c>
      <c r="G4051" s="20" t="s">
        <v>21</v>
      </c>
      <c r="H4051" s="14" t="s">
        <v>18</v>
      </c>
      <c r="I4051" s="22">
        <v>2022.0</v>
      </c>
      <c r="J4051" s="16" t="str">
        <f>IFERROR(__xludf.DUMMYFUNCTION("FILTER('CLASFICACIÓN'!$F$3:$F5618,'CLASFICACIÓN'!$G$3:$G5618=M4051)"),"SOLO LINEA BASE")</f>
        <v>SOLO LINEA BASE</v>
      </c>
      <c r="K4051" s="16"/>
      <c r="L4051" s="14" t="s">
        <v>179</v>
      </c>
      <c r="M4051" s="16" t="str">
        <f t="shared" si="1"/>
        <v>5013442 Primaria</v>
      </c>
      <c r="N4051" s="23"/>
      <c r="O4051" s="17"/>
      <c r="P4051" s="17"/>
      <c r="Q4051" s="17"/>
      <c r="R4051" s="17"/>
      <c r="S4051" s="17"/>
      <c r="T4051" s="17"/>
    </row>
    <row r="4052">
      <c r="A4052" s="21">
        <v>180.0</v>
      </c>
      <c r="B4052" s="14" t="s">
        <v>90</v>
      </c>
      <c r="C4052" s="14" t="s">
        <v>14</v>
      </c>
      <c r="D4052" s="20" t="s">
        <v>15</v>
      </c>
      <c r="E4052" s="12" t="str">
        <f>IFERROR(__xludf.DUMMYFUNCTION("FILTER(colegios!$B$2:$B5618,colegios!$A$2:$A5618=L4052)"),"501344")</f>
        <v>501344</v>
      </c>
      <c r="F4052" s="14" t="s">
        <v>16</v>
      </c>
      <c r="G4052" s="20" t="s">
        <v>17</v>
      </c>
      <c r="H4052" s="14" t="s">
        <v>18</v>
      </c>
      <c r="I4052" s="22">
        <v>2022.0</v>
      </c>
      <c r="J4052" s="16" t="str">
        <f>IFERROR(__xludf.DUMMYFUNCTION("FILTER('CLASFICACIÓN'!$F$3:$F5618,'CLASFICACIÓN'!$G$3:$G5618=M4052)"),"SOLO LINEA BASE")</f>
        <v>SOLO LINEA BASE</v>
      </c>
      <c r="K4052" s="16"/>
      <c r="L4052" s="14" t="s">
        <v>179</v>
      </c>
      <c r="M4052" s="16" t="str">
        <f t="shared" si="1"/>
        <v>5013442 Primaria</v>
      </c>
      <c r="N4052" s="23"/>
      <c r="O4052" s="17"/>
      <c r="P4052" s="17"/>
      <c r="Q4052" s="17"/>
      <c r="R4052" s="17"/>
      <c r="S4052" s="17"/>
      <c r="T4052" s="17"/>
    </row>
    <row r="4053">
      <c r="A4053" s="21">
        <v>181.0</v>
      </c>
      <c r="B4053" s="14" t="s">
        <v>90</v>
      </c>
      <c r="C4053" s="14" t="s">
        <v>14</v>
      </c>
      <c r="D4053" s="20" t="s">
        <v>15</v>
      </c>
      <c r="E4053" s="12" t="str">
        <f>IFERROR(__xludf.DUMMYFUNCTION("FILTER(colegios!$B$2:$B5618,colegios!$A$2:$A5618=L4053)"),"501344")</f>
        <v>501344</v>
      </c>
      <c r="F4053" s="14" t="s">
        <v>16</v>
      </c>
      <c r="G4053" s="20" t="s">
        <v>17</v>
      </c>
      <c r="H4053" s="14" t="s">
        <v>18</v>
      </c>
      <c r="I4053" s="22">
        <v>2022.0</v>
      </c>
      <c r="J4053" s="16" t="str">
        <f>IFERROR(__xludf.DUMMYFUNCTION("FILTER('CLASFICACIÓN'!$F$3:$F5618,'CLASFICACIÓN'!$G$3:$G5618=M4053)"),"SOLO LINEA BASE")</f>
        <v>SOLO LINEA BASE</v>
      </c>
      <c r="K4053" s="16"/>
      <c r="L4053" s="14" t="s">
        <v>179</v>
      </c>
      <c r="M4053" s="16" t="str">
        <f t="shared" si="1"/>
        <v>5013442 Primaria</v>
      </c>
      <c r="N4053" s="23"/>
      <c r="O4053" s="17"/>
      <c r="P4053" s="17"/>
      <c r="Q4053" s="17"/>
      <c r="R4053" s="17"/>
      <c r="S4053" s="17"/>
      <c r="T4053" s="17"/>
    </row>
    <row r="4054">
      <c r="A4054" s="21">
        <v>182.0</v>
      </c>
      <c r="B4054" s="14" t="s">
        <v>90</v>
      </c>
      <c r="C4054" s="14" t="s">
        <v>14</v>
      </c>
      <c r="D4054" s="20" t="s">
        <v>15</v>
      </c>
      <c r="E4054" s="12" t="str">
        <f>IFERROR(__xludf.DUMMYFUNCTION("FILTER(colegios!$B$2:$B5618,colegios!$A$2:$A5618=L4054)"),"501344")</f>
        <v>501344</v>
      </c>
      <c r="F4054" s="14" t="s">
        <v>16</v>
      </c>
      <c r="G4054" s="20" t="s">
        <v>21</v>
      </c>
      <c r="H4054" s="14" t="s">
        <v>18</v>
      </c>
      <c r="I4054" s="22">
        <v>2022.0</v>
      </c>
      <c r="J4054" s="16" t="str">
        <f>IFERROR(__xludf.DUMMYFUNCTION("FILTER('CLASFICACIÓN'!$F$3:$F5618,'CLASFICACIÓN'!$G$3:$G5618=M4054)"),"SOLO LINEA BASE")</f>
        <v>SOLO LINEA BASE</v>
      </c>
      <c r="K4054" s="16"/>
      <c r="L4054" s="14" t="s">
        <v>179</v>
      </c>
      <c r="M4054" s="16" t="str">
        <f t="shared" si="1"/>
        <v>5013442 Primaria</v>
      </c>
      <c r="N4054" s="23"/>
      <c r="O4054" s="17"/>
      <c r="P4054" s="17"/>
      <c r="Q4054" s="17"/>
      <c r="R4054" s="17"/>
      <c r="S4054" s="17"/>
      <c r="T4054" s="17"/>
    </row>
    <row r="4055">
      <c r="A4055" s="21">
        <v>183.0</v>
      </c>
      <c r="B4055" s="14" t="s">
        <v>90</v>
      </c>
      <c r="C4055" s="14" t="s">
        <v>14</v>
      </c>
      <c r="D4055" s="20" t="s">
        <v>15</v>
      </c>
      <c r="E4055" s="12" t="str">
        <f>IFERROR(__xludf.DUMMYFUNCTION("FILTER(colegios!$B$2:$B5618,colegios!$A$2:$A5618=L4055)"),"501344")</f>
        <v>501344</v>
      </c>
      <c r="F4055" s="14" t="s">
        <v>16</v>
      </c>
      <c r="G4055" s="20" t="s">
        <v>21</v>
      </c>
      <c r="H4055" s="14" t="s">
        <v>18</v>
      </c>
      <c r="I4055" s="22">
        <v>2022.0</v>
      </c>
      <c r="J4055" s="16" t="str">
        <f>IFERROR(__xludf.DUMMYFUNCTION("FILTER('CLASFICACIÓN'!$F$3:$F5618,'CLASFICACIÓN'!$G$3:$G5618=M4055)"),"SOLO LINEA BASE")</f>
        <v>SOLO LINEA BASE</v>
      </c>
      <c r="K4055" s="16"/>
      <c r="L4055" s="14" t="s">
        <v>179</v>
      </c>
      <c r="M4055" s="16" t="str">
        <f t="shared" si="1"/>
        <v>5013442 Primaria</v>
      </c>
      <c r="N4055" s="23"/>
      <c r="O4055" s="17"/>
      <c r="P4055" s="17"/>
      <c r="Q4055" s="17"/>
      <c r="R4055" s="17"/>
      <c r="S4055" s="17"/>
      <c r="T4055" s="17"/>
    </row>
    <row r="4056">
      <c r="A4056" s="21">
        <v>184.0</v>
      </c>
      <c r="B4056" s="14" t="s">
        <v>90</v>
      </c>
      <c r="C4056" s="14" t="s">
        <v>14</v>
      </c>
      <c r="D4056" s="20" t="s">
        <v>15</v>
      </c>
      <c r="E4056" s="12" t="str">
        <f>IFERROR(__xludf.DUMMYFUNCTION("FILTER(colegios!$B$2:$B5618,colegios!$A$2:$A5618=L4056)"),"501344")</f>
        <v>501344</v>
      </c>
      <c r="F4056" s="14" t="s">
        <v>16</v>
      </c>
      <c r="G4056" s="20" t="s">
        <v>17</v>
      </c>
      <c r="H4056" s="14" t="s">
        <v>18</v>
      </c>
      <c r="I4056" s="22">
        <v>2022.0</v>
      </c>
      <c r="J4056" s="16" t="str">
        <f>IFERROR(__xludf.DUMMYFUNCTION("FILTER('CLASFICACIÓN'!$F$3:$F5618,'CLASFICACIÓN'!$G$3:$G5618=M4056)"),"SOLO LINEA BASE")</f>
        <v>SOLO LINEA BASE</v>
      </c>
      <c r="K4056" s="16"/>
      <c r="L4056" s="14" t="s">
        <v>179</v>
      </c>
      <c r="M4056" s="16" t="str">
        <f t="shared" si="1"/>
        <v>5013442 Primaria</v>
      </c>
      <c r="N4056" s="23"/>
      <c r="O4056" s="17"/>
      <c r="P4056" s="17"/>
      <c r="Q4056" s="17"/>
      <c r="R4056" s="17"/>
      <c r="S4056" s="17"/>
      <c r="T4056" s="17"/>
    </row>
    <row r="4057">
      <c r="A4057" s="21">
        <v>185.0</v>
      </c>
      <c r="B4057" s="14" t="s">
        <v>90</v>
      </c>
      <c r="C4057" s="14" t="s">
        <v>14</v>
      </c>
      <c r="D4057" s="20" t="s">
        <v>15</v>
      </c>
      <c r="E4057" s="12" t="str">
        <f>IFERROR(__xludf.DUMMYFUNCTION("FILTER(colegios!$B$2:$B5618,colegios!$A$2:$A5618=L4057)"),"501344")</f>
        <v>501344</v>
      </c>
      <c r="F4057" s="14" t="s">
        <v>16</v>
      </c>
      <c r="G4057" s="20" t="s">
        <v>17</v>
      </c>
      <c r="H4057" s="14" t="s">
        <v>18</v>
      </c>
      <c r="I4057" s="22">
        <v>2022.0</v>
      </c>
      <c r="J4057" s="16" t="str">
        <f>IFERROR(__xludf.DUMMYFUNCTION("FILTER('CLASFICACIÓN'!$F$3:$F5618,'CLASFICACIÓN'!$G$3:$G5618=M4057)"),"SOLO LINEA BASE")</f>
        <v>SOLO LINEA BASE</v>
      </c>
      <c r="K4057" s="16"/>
      <c r="L4057" s="14" t="s">
        <v>179</v>
      </c>
      <c r="M4057" s="16" t="str">
        <f t="shared" si="1"/>
        <v>5013442 Primaria</v>
      </c>
      <c r="N4057" s="23"/>
      <c r="O4057" s="17"/>
      <c r="P4057" s="17"/>
      <c r="Q4057" s="17"/>
      <c r="R4057" s="17"/>
      <c r="S4057" s="17"/>
      <c r="T4057" s="17"/>
    </row>
    <row r="4058">
      <c r="A4058" s="21">
        <v>186.0</v>
      </c>
      <c r="B4058" s="14" t="s">
        <v>90</v>
      </c>
      <c r="C4058" s="14" t="s">
        <v>14</v>
      </c>
      <c r="D4058" s="20" t="s">
        <v>15</v>
      </c>
      <c r="E4058" s="12" t="str">
        <f>IFERROR(__xludf.DUMMYFUNCTION("FILTER(colegios!$B$2:$B5618,colegios!$A$2:$A5618=L4058)"),"501344")</f>
        <v>501344</v>
      </c>
      <c r="F4058" s="14" t="s">
        <v>16</v>
      </c>
      <c r="G4058" s="20" t="s">
        <v>21</v>
      </c>
      <c r="H4058" s="14" t="s">
        <v>18</v>
      </c>
      <c r="I4058" s="22">
        <v>2022.0</v>
      </c>
      <c r="J4058" s="16" t="str">
        <f>IFERROR(__xludf.DUMMYFUNCTION("FILTER('CLASFICACIÓN'!$F$3:$F5618,'CLASFICACIÓN'!$G$3:$G5618=M4058)"),"SOLO LINEA BASE")</f>
        <v>SOLO LINEA BASE</v>
      </c>
      <c r="K4058" s="16"/>
      <c r="L4058" s="14" t="s">
        <v>179</v>
      </c>
      <c r="M4058" s="16" t="str">
        <f t="shared" si="1"/>
        <v>5013442 Primaria</v>
      </c>
      <c r="N4058" s="23"/>
      <c r="O4058" s="17"/>
      <c r="P4058" s="17"/>
      <c r="Q4058" s="17"/>
      <c r="R4058" s="17"/>
      <c r="S4058" s="17"/>
      <c r="T4058" s="17"/>
    </row>
    <row r="4059">
      <c r="A4059" s="21">
        <v>187.0</v>
      </c>
      <c r="B4059" s="14" t="s">
        <v>90</v>
      </c>
      <c r="C4059" s="14" t="s">
        <v>14</v>
      </c>
      <c r="D4059" s="20" t="s">
        <v>15</v>
      </c>
      <c r="E4059" s="12" t="str">
        <f>IFERROR(__xludf.DUMMYFUNCTION("FILTER(colegios!$B$2:$B5618,colegios!$A$2:$A5618=L4059)"),"501344")</f>
        <v>501344</v>
      </c>
      <c r="F4059" s="14" t="s">
        <v>16</v>
      </c>
      <c r="G4059" s="20" t="s">
        <v>21</v>
      </c>
      <c r="H4059" s="14" t="s">
        <v>18</v>
      </c>
      <c r="I4059" s="22">
        <v>2022.0</v>
      </c>
      <c r="J4059" s="16" t="str">
        <f>IFERROR(__xludf.DUMMYFUNCTION("FILTER('CLASFICACIÓN'!$F$3:$F5618,'CLASFICACIÓN'!$G$3:$G5618=M4059)"),"SOLO LINEA BASE")</f>
        <v>SOLO LINEA BASE</v>
      </c>
      <c r="K4059" s="16"/>
      <c r="L4059" s="14" t="s">
        <v>179</v>
      </c>
      <c r="M4059" s="16" t="str">
        <f t="shared" si="1"/>
        <v>5013442 Primaria</v>
      </c>
      <c r="N4059" s="23"/>
      <c r="O4059" s="17"/>
      <c r="P4059" s="17"/>
      <c r="Q4059" s="17"/>
      <c r="R4059" s="17"/>
      <c r="S4059" s="17"/>
      <c r="T4059" s="17"/>
    </row>
    <row r="4060">
      <c r="A4060" s="21">
        <v>188.0</v>
      </c>
      <c r="B4060" s="14" t="s">
        <v>90</v>
      </c>
      <c r="C4060" s="14" t="s">
        <v>14</v>
      </c>
      <c r="D4060" s="20" t="s">
        <v>15</v>
      </c>
      <c r="E4060" s="12" t="str">
        <f>IFERROR(__xludf.DUMMYFUNCTION("FILTER(colegios!$B$2:$B5618,colegios!$A$2:$A5618=L4060)"),"501344")</f>
        <v>501344</v>
      </c>
      <c r="F4060" s="14" t="s">
        <v>16</v>
      </c>
      <c r="G4060" s="20" t="s">
        <v>17</v>
      </c>
      <c r="H4060" s="14" t="s">
        <v>18</v>
      </c>
      <c r="I4060" s="22">
        <v>2022.0</v>
      </c>
      <c r="J4060" s="16" t="str">
        <f>IFERROR(__xludf.DUMMYFUNCTION("FILTER('CLASFICACIÓN'!$F$3:$F5618,'CLASFICACIÓN'!$G$3:$G5618=M4060)"),"SOLO LINEA BASE")</f>
        <v>SOLO LINEA BASE</v>
      </c>
      <c r="K4060" s="16"/>
      <c r="L4060" s="14" t="s">
        <v>179</v>
      </c>
      <c r="M4060" s="16" t="str">
        <f t="shared" si="1"/>
        <v>5013442 Primaria</v>
      </c>
      <c r="N4060" s="23"/>
      <c r="O4060" s="17"/>
      <c r="P4060" s="17"/>
      <c r="Q4060" s="17"/>
      <c r="R4060" s="17"/>
      <c r="S4060" s="17"/>
      <c r="T4060" s="17"/>
    </row>
    <row r="4061">
      <c r="A4061" s="21">
        <v>189.0</v>
      </c>
      <c r="B4061" s="14" t="s">
        <v>90</v>
      </c>
      <c r="C4061" s="14" t="s">
        <v>14</v>
      </c>
      <c r="D4061" s="20" t="s">
        <v>15</v>
      </c>
      <c r="E4061" s="12" t="str">
        <f>IFERROR(__xludf.DUMMYFUNCTION("FILTER(colegios!$B$2:$B5618,colegios!$A$2:$A5618=L4061)"),"501344")</f>
        <v>501344</v>
      </c>
      <c r="F4061" s="14" t="s">
        <v>16</v>
      </c>
      <c r="G4061" s="20" t="s">
        <v>21</v>
      </c>
      <c r="H4061" s="14" t="s">
        <v>18</v>
      </c>
      <c r="I4061" s="22">
        <v>2022.0</v>
      </c>
      <c r="J4061" s="16" t="str">
        <f>IFERROR(__xludf.DUMMYFUNCTION("FILTER('CLASFICACIÓN'!$F$3:$F5618,'CLASFICACIÓN'!$G$3:$G5618=M4061)"),"SOLO LINEA BASE")</f>
        <v>SOLO LINEA BASE</v>
      </c>
      <c r="K4061" s="16"/>
      <c r="L4061" s="14" t="s">
        <v>179</v>
      </c>
      <c r="M4061" s="16" t="str">
        <f t="shared" si="1"/>
        <v>5013442 Primaria</v>
      </c>
      <c r="N4061" s="23"/>
      <c r="O4061" s="17"/>
      <c r="P4061" s="17"/>
      <c r="Q4061" s="17"/>
      <c r="R4061" s="17"/>
      <c r="S4061" s="17"/>
      <c r="T4061" s="17"/>
    </row>
    <row r="4062">
      <c r="A4062" s="21">
        <v>190.0</v>
      </c>
      <c r="B4062" s="14" t="s">
        <v>90</v>
      </c>
      <c r="C4062" s="14" t="s">
        <v>14</v>
      </c>
      <c r="D4062" s="20" t="s">
        <v>15</v>
      </c>
      <c r="E4062" s="12" t="str">
        <f>IFERROR(__xludf.DUMMYFUNCTION("FILTER(colegios!$B$2:$B5618,colegios!$A$2:$A5618=L4062)"),"501344")</f>
        <v>501344</v>
      </c>
      <c r="F4062" s="14" t="s">
        <v>16</v>
      </c>
      <c r="G4062" s="20" t="s">
        <v>17</v>
      </c>
      <c r="H4062" s="14" t="s">
        <v>18</v>
      </c>
      <c r="I4062" s="22">
        <v>2022.0</v>
      </c>
      <c r="J4062" s="16" t="str">
        <f>IFERROR(__xludf.DUMMYFUNCTION("FILTER('CLASFICACIÓN'!$F$3:$F5618,'CLASFICACIÓN'!$G$3:$G5618=M4062)"),"SOLO LINEA BASE")</f>
        <v>SOLO LINEA BASE</v>
      </c>
      <c r="K4062" s="16"/>
      <c r="L4062" s="14" t="s">
        <v>179</v>
      </c>
      <c r="M4062" s="16" t="str">
        <f t="shared" si="1"/>
        <v>5013442 Primaria</v>
      </c>
      <c r="N4062" s="23"/>
      <c r="O4062" s="17"/>
      <c r="P4062" s="17"/>
      <c r="Q4062" s="17"/>
      <c r="R4062" s="17"/>
      <c r="S4062" s="17"/>
      <c r="T4062" s="17"/>
    </row>
    <row r="4063">
      <c r="A4063" s="21">
        <v>191.0</v>
      </c>
      <c r="B4063" s="14" t="s">
        <v>90</v>
      </c>
      <c r="C4063" s="14" t="s">
        <v>14</v>
      </c>
      <c r="D4063" s="20" t="s">
        <v>15</v>
      </c>
      <c r="E4063" s="12" t="str">
        <f>IFERROR(__xludf.DUMMYFUNCTION("FILTER(colegios!$B$2:$B5618,colegios!$A$2:$A5618=L4063)"),"501344")</f>
        <v>501344</v>
      </c>
      <c r="F4063" s="14" t="s">
        <v>16</v>
      </c>
      <c r="G4063" s="20" t="s">
        <v>17</v>
      </c>
      <c r="H4063" s="14" t="s">
        <v>18</v>
      </c>
      <c r="I4063" s="22">
        <v>2022.0</v>
      </c>
      <c r="J4063" s="16" t="str">
        <f>IFERROR(__xludf.DUMMYFUNCTION("FILTER('CLASFICACIÓN'!$F$3:$F5618,'CLASFICACIÓN'!$G$3:$G5618=M4063)"),"SOLO LINEA BASE")</f>
        <v>SOLO LINEA BASE</v>
      </c>
      <c r="K4063" s="16"/>
      <c r="L4063" s="14" t="s">
        <v>179</v>
      </c>
      <c r="M4063" s="16" t="str">
        <f t="shared" si="1"/>
        <v>5013442 Primaria</v>
      </c>
      <c r="N4063" s="23"/>
      <c r="O4063" s="17"/>
      <c r="P4063" s="17"/>
      <c r="Q4063" s="17"/>
      <c r="R4063" s="17"/>
      <c r="S4063" s="17"/>
      <c r="T4063" s="17"/>
    </row>
    <row r="4064">
      <c r="A4064" s="21">
        <v>192.0</v>
      </c>
      <c r="B4064" s="14" t="s">
        <v>90</v>
      </c>
      <c r="C4064" s="14" t="s">
        <v>14</v>
      </c>
      <c r="D4064" s="20" t="s">
        <v>15</v>
      </c>
      <c r="E4064" s="12" t="str">
        <f>IFERROR(__xludf.DUMMYFUNCTION("FILTER(colegios!$B$2:$B5618,colegios!$A$2:$A5618=L4064)"),"501344")</f>
        <v>501344</v>
      </c>
      <c r="F4064" s="14" t="s">
        <v>16</v>
      </c>
      <c r="G4064" s="20" t="s">
        <v>17</v>
      </c>
      <c r="H4064" s="14" t="s">
        <v>18</v>
      </c>
      <c r="I4064" s="22">
        <v>2022.0</v>
      </c>
      <c r="J4064" s="16" t="str">
        <f>IFERROR(__xludf.DUMMYFUNCTION("FILTER('CLASFICACIÓN'!$F$3:$F5618,'CLASFICACIÓN'!$G$3:$G5618=M4064)"),"SOLO LINEA BASE")</f>
        <v>SOLO LINEA BASE</v>
      </c>
      <c r="K4064" s="16"/>
      <c r="L4064" s="14" t="s">
        <v>179</v>
      </c>
      <c r="M4064" s="16" t="str">
        <f t="shared" si="1"/>
        <v>5013442 Primaria</v>
      </c>
      <c r="N4064" s="23"/>
      <c r="O4064" s="17"/>
      <c r="P4064" s="17"/>
      <c r="Q4064" s="17"/>
      <c r="R4064" s="17"/>
      <c r="S4064" s="17"/>
      <c r="T4064" s="17"/>
    </row>
    <row r="4065">
      <c r="A4065" s="21">
        <v>193.0</v>
      </c>
      <c r="B4065" s="14" t="s">
        <v>90</v>
      </c>
      <c r="C4065" s="14" t="s">
        <v>14</v>
      </c>
      <c r="D4065" s="20" t="s">
        <v>15</v>
      </c>
      <c r="E4065" s="12" t="str">
        <f>IFERROR(__xludf.DUMMYFUNCTION("FILTER(colegios!$B$2:$B5618,colegios!$A$2:$A5618=L4065)"),"501344")</f>
        <v>501344</v>
      </c>
      <c r="F4065" s="14" t="s">
        <v>16</v>
      </c>
      <c r="G4065" s="20" t="s">
        <v>17</v>
      </c>
      <c r="H4065" s="14" t="s">
        <v>18</v>
      </c>
      <c r="I4065" s="22">
        <v>2022.0</v>
      </c>
      <c r="J4065" s="16" t="str">
        <f>IFERROR(__xludf.DUMMYFUNCTION("FILTER('CLASFICACIÓN'!$F$3:$F5618,'CLASFICACIÓN'!$G$3:$G5618=M4065)"),"SOLO LINEA BASE")</f>
        <v>SOLO LINEA BASE</v>
      </c>
      <c r="K4065" s="16"/>
      <c r="L4065" s="14" t="s">
        <v>179</v>
      </c>
      <c r="M4065" s="16" t="str">
        <f t="shared" si="1"/>
        <v>5013442 Primaria</v>
      </c>
      <c r="N4065" s="23"/>
      <c r="O4065" s="17"/>
      <c r="P4065" s="17"/>
      <c r="Q4065" s="17"/>
      <c r="R4065" s="17"/>
      <c r="S4065" s="17"/>
      <c r="T4065" s="17"/>
    </row>
    <row r="4066">
      <c r="A4066" s="21">
        <v>194.0</v>
      </c>
      <c r="B4066" s="14" t="s">
        <v>90</v>
      </c>
      <c r="C4066" s="14" t="s">
        <v>14</v>
      </c>
      <c r="D4066" s="20" t="s">
        <v>15</v>
      </c>
      <c r="E4066" s="12" t="str">
        <f>IFERROR(__xludf.DUMMYFUNCTION("FILTER(colegios!$B$2:$B5618,colegios!$A$2:$A5618=L4066)"),"501344")</f>
        <v>501344</v>
      </c>
      <c r="F4066" s="14" t="s">
        <v>16</v>
      </c>
      <c r="G4066" s="20" t="s">
        <v>17</v>
      </c>
      <c r="H4066" s="14" t="s">
        <v>18</v>
      </c>
      <c r="I4066" s="22">
        <v>2022.0</v>
      </c>
      <c r="J4066" s="16" t="str">
        <f>IFERROR(__xludf.DUMMYFUNCTION("FILTER('CLASFICACIÓN'!$F$3:$F5618,'CLASFICACIÓN'!$G$3:$G5618=M4066)"),"SOLO LINEA BASE")</f>
        <v>SOLO LINEA BASE</v>
      </c>
      <c r="K4066" s="16"/>
      <c r="L4066" s="14" t="s">
        <v>179</v>
      </c>
      <c r="M4066" s="16" t="str">
        <f t="shared" si="1"/>
        <v>5013442 Primaria</v>
      </c>
      <c r="N4066" s="23"/>
      <c r="O4066" s="17"/>
      <c r="P4066" s="17"/>
      <c r="Q4066" s="17"/>
      <c r="R4066" s="17"/>
      <c r="S4066" s="17"/>
      <c r="T4066" s="17"/>
    </row>
    <row r="4067">
      <c r="A4067" s="21">
        <v>195.0</v>
      </c>
      <c r="B4067" s="14" t="s">
        <v>90</v>
      </c>
      <c r="C4067" s="14" t="s">
        <v>14</v>
      </c>
      <c r="D4067" s="20" t="s">
        <v>15</v>
      </c>
      <c r="E4067" s="12" t="str">
        <f>IFERROR(__xludf.DUMMYFUNCTION("FILTER(colegios!$B$2:$B5618,colegios!$A$2:$A5618=L4067)"),"501344")</f>
        <v>501344</v>
      </c>
      <c r="F4067" s="14" t="s">
        <v>16</v>
      </c>
      <c r="G4067" s="20" t="s">
        <v>21</v>
      </c>
      <c r="H4067" s="14" t="s">
        <v>18</v>
      </c>
      <c r="I4067" s="22">
        <v>2022.0</v>
      </c>
      <c r="J4067" s="16" t="str">
        <f>IFERROR(__xludf.DUMMYFUNCTION("FILTER('CLASFICACIÓN'!$F$3:$F5618,'CLASFICACIÓN'!$G$3:$G5618=M4067)"),"SOLO LINEA BASE")</f>
        <v>SOLO LINEA BASE</v>
      </c>
      <c r="K4067" s="16"/>
      <c r="L4067" s="14" t="s">
        <v>179</v>
      </c>
      <c r="M4067" s="16" t="str">
        <f t="shared" si="1"/>
        <v>5013442 Primaria</v>
      </c>
      <c r="N4067" s="23"/>
      <c r="O4067" s="17"/>
      <c r="P4067" s="17"/>
      <c r="Q4067" s="17"/>
      <c r="R4067" s="17"/>
      <c r="S4067" s="17"/>
      <c r="T4067" s="17"/>
    </row>
    <row r="4068">
      <c r="A4068" s="21">
        <v>196.0</v>
      </c>
      <c r="B4068" s="14" t="s">
        <v>90</v>
      </c>
      <c r="C4068" s="14" t="s">
        <v>14</v>
      </c>
      <c r="D4068" s="20" t="s">
        <v>15</v>
      </c>
      <c r="E4068" s="12" t="str">
        <f>IFERROR(__xludf.DUMMYFUNCTION("FILTER(colegios!$B$2:$B5618,colegios!$A$2:$A5618=L4068)"),"501344")</f>
        <v>501344</v>
      </c>
      <c r="F4068" s="14" t="s">
        <v>16</v>
      </c>
      <c r="G4068" s="20" t="s">
        <v>17</v>
      </c>
      <c r="H4068" s="14" t="s">
        <v>18</v>
      </c>
      <c r="I4068" s="22">
        <v>2022.0</v>
      </c>
      <c r="J4068" s="16" t="str">
        <f>IFERROR(__xludf.DUMMYFUNCTION("FILTER('CLASFICACIÓN'!$F$3:$F5618,'CLASFICACIÓN'!$G$3:$G5618=M4068)"),"SOLO LINEA BASE")</f>
        <v>SOLO LINEA BASE</v>
      </c>
      <c r="K4068" s="16"/>
      <c r="L4068" s="14" t="s">
        <v>179</v>
      </c>
      <c r="M4068" s="16" t="str">
        <f t="shared" si="1"/>
        <v>5013442 Primaria</v>
      </c>
      <c r="N4068" s="23"/>
      <c r="O4068" s="17"/>
      <c r="P4068" s="17"/>
      <c r="Q4068" s="17"/>
      <c r="R4068" s="17"/>
      <c r="S4068" s="17"/>
      <c r="T4068" s="17"/>
    </row>
    <row r="4069">
      <c r="A4069" s="21">
        <v>197.0</v>
      </c>
      <c r="B4069" s="14" t="s">
        <v>90</v>
      </c>
      <c r="C4069" s="14" t="s">
        <v>14</v>
      </c>
      <c r="D4069" s="20" t="s">
        <v>15</v>
      </c>
      <c r="E4069" s="12" t="str">
        <f>IFERROR(__xludf.DUMMYFUNCTION("FILTER(colegios!$B$2:$B5618,colegios!$A$2:$A5618=L4069)"),"501344")</f>
        <v>501344</v>
      </c>
      <c r="F4069" s="14" t="s">
        <v>16</v>
      </c>
      <c r="G4069" s="20" t="s">
        <v>17</v>
      </c>
      <c r="H4069" s="14" t="s">
        <v>18</v>
      </c>
      <c r="I4069" s="22">
        <v>2022.0</v>
      </c>
      <c r="J4069" s="16" t="str">
        <f>IFERROR(__xludf.DUMMYFUNCTION("FILTER('CLASFICACIÓN'!$F$3:$F5618,'CLASFICACIÓN'!$G$3:$G5618=M4069)"),"SOLO LINEA BASE")</f>
        <v>SOLO LINEA BASE</v>
      </c>
      <c r="K4069" s="16"/>
      <c r="L4069" s="14" t="s">
        <v>179</v>
      </c>
      <c r="M4069" s="16" t="str">
        <f t="shared" si="1"/>
        <v>5013442 Primaria</v>
      </c>
      <c r="N4069" s="23"/>
      <c r="O4069" s="17"/>
      <c r="P4069" s="17"/>
      <c r="Q4069" s="17"/>
      <c r="R4069" s="17"/>
      <c r="S4069" s="17"/>
      <c r="T4069" s="17"/>
    </row>
    <row r="4070">
      <c r="A4070" s="21">
        <v>198.0</v>
      </c>
      <c r="B4070" s="14" t="s">
        <v>90</v>
      </c>
      <c r="C4070" s="14" t="s">
        <v>14</v>
      </c>
      <c r="D4070" s="20" t="s">
        <v>15</v>
      </c>
      <c r="E4070" s="12" t="str">
        <f>IFERROR(__xludf.DUMMYFUNCTION("FILTER(colegios!$B$2:$B5618,colegios!$A$2:$A5618=L4070)"),"501344")</f>
        <v>501344</v>
      </c>
      <c r="F4070" s="14" t="s">
        <v>16</v>
      </c>
      <c r="G4070" s="20" t="s">
        <v>21</v>
      </c>
      <c r="H4070" s="14" t="s">
        <v>18</v>
      </c>
      <c r="I4070" s="22">
        <v>2022.0</v>
      </c>
      <c r="J4070" s="16" t="str">
        <f>IFERROR(__xludf.DUMMYFUNCTION("FILTER('CLASFICACIÓN'!$F$3:$F5618,'CLASFICACIÓN'!$G$3:$G5618=M4070)"),"SOLO LINEA BASE")</f>
        <v>SOLO LINEA BASE</v>
      </c>
      <c r="K4070" s="16"/>
      <c r="L4070" s="14" t="s">
        <v>179</v>
      </c>
      <c r="M4070" s="16" t="str">
        <f t="shared" si="1"/>
        <v>5013442 Primaria</v>
      </c>
      <c r="N4070" s="23"/>
      <c r="O4070" s="17"/>
      <c r="P4070" s="17"/>
      <c r="Q4070" s="17"/>
      <c r="R4070" s="17"/>
      <c r="S4070" s="17"/>
      <c r="T4070" s="17"/>
    </row>
    <row r="4071">
      <c r="A4071" s="21">
        <v>199.0</v>
      </c>
      <c r="B4071" s="14" t="s">
        <v>90</v>
      </c>
      <c r="C4071" s="14" t="s">
        <v>14</v>
      </c>
      <c r="D4071" s="20" t="s">
        <v>15</v>
      </c>
      <c r="E4071" s="12" t="str">
        <f>IFERROR(__xludf.DUMMYFUNCTION("FILTER(colegios!$B$2:$B5618,colegios!$A$2:$A5618=L4071)"),"501344")</f>
        <v>501344</v>
      </c>
      <c r="F4071" s="14" t="s">
        <v>16</v>
      </c>
      <c r="G4071" s="20" t="s">
        <v>17</v>
      </c>
      <c r="H4071" s="14" t="s">
        <v>18</v>
      </c>
      <c r="I4071" s="22">
        <v>2022.0</v>
      </c>
      <c r="J4071" s="16" t="str">
        <f>IFERROR(__xludf.DUMMYFUNCTION("FILTER('CLASFICACIÓN'!$F$3:$F5618,'CLASFICACIÓN'!$G$3:$G5618=M4071)"),"SOLO LINEA BASE")</f>
        <v>SOLO LINEA BASE</v>
      </c>
      <c r="K4071" s="16"/>
      <c r="L4071" s="14" t="s">
        <v>179</v>
      </c>
      <c r="M4071" s="16" t="str">
        <f t="shared" si="1"/>
        <v>5013442 Primaria</v>
      </c>
      <c r="N4071" s="23"/>
      <c r="O4071" s="17"/>
      <c r="P4071" s="17"/>
      <c r="Q4071" s="17"/>
      <c r="R4071" s="17"/>
      <c r="S4071" s="17"/>
      <c r="T4071" s="17"/>
    </row>
    <row r="4072">
      <c r="A4072" s="21">
        <v>200.0</v>
      </c>
      <c r="B4072" s="14" t="s">
        <v>90</v>
      </c>
      <c r="C4072" s="14" t="s">
        <v>14</v>
      </c>
      <c r="D4072" s="20" t="s">
        <v>15</v>
      </c>
      <c r="E4072" s="12" t="str">
        <f>IFERROR(__xludf.DUMMYFUNCTION("FILTER(colegios!$B$2:$B5618,colegios!$A$2:$A5618=L4072)"),"501344")</f>
        <v>501344</v>
      </c>
      <c r="F4072" s="14" t="s">
        <v>16</v>
      </c>
      <c r="G4072" s="20" t="s">
        <v>17</v>
      </c>
      <c r="H4072" s="14" t="s">
        <v>18</v>
      </c>
      <c r="I4072" s="22">
        <v>2022.0</v>
      </c>
      <c r="J4072" s="16" t="str">
        <f>IFERROR(__xludf.DUMMYFUNCTION("FILTER('CLASFICACIÓN'!$F$3:$F5618,'CLASFICACIÓN'!$G$3:$G5618=M4072)"),"SOLO LINEA BASE")</f>
        <v>SOLO LINEA BASE</v>
      </c>
      <c r="K4072" s="16"/>
      <c r="L4072" s="14" t="s">
        <v>179</v>
      </c>
      <c r="M4072" s="16" t="str">
        <f t="shared" si="1"/>
        <v>5013442 Primaria</v>
      </c>
      <c r="N4072" s="23"/>
      <c r="O4072" s="17"/>
      <c r="P4072" s="17"/>
      <c r="Q4072" s="17"/>
      <c r="R4072" s="17"/>
      <c r="S4072" s="17"/>
      <c r="T4072" s="17"/>
    </row>
    <row r="4073">
      <c r="A4073" s="21">
        <v>201.0</v>
      </c>
      <c r="B4073" s="14" t="s">
        <v>90</v>
      </c>
      <c r="C4073" s="14" t="s">
        <v>14</v>
      </c>
      <c r="D4073" s="20" t="s">
        <v>15</v>
      </c>
      <c r="E4073" s="12" t="str">
        <f>IFERROR(__xludf.DUMMYFUNCTION("FILTER(colegios!$B$2:$B5618,colegios!$A$2:$A5618=L4073)"),"501344")</f>
        <v>501344</v>
      </c>
      <c r="F4073" s="14" t="s">
        <v>16</v>
      </c>
      <c r="G4073" s="20" t="s">
        <v>21</v>
      </c>
      <c r="H4073" s="14" t="s">
        <v>18</v>
      </c>
      <c r="I4073" s="22">
        <v>2022.0</v>
      </c>
      <c r="J4073" s="16" t="str">
        <f>IFERROR(__xludf.DUMMYFUNCTION("FILTER('CLASFICACIÓN'!$F$3:$F5618,'CLASFICACIÓN'!$G$3:$G5618=M4073)"),"SOLO LINEA BASE")</f>
        <v>SOLO LINEA BASE</v>
      </c>
      <c r="K4073" s="16"/>
      <c r="L4073" s="14" t="s">
        <v>179</v>
      </c>
      <c r="M4073" s="16" t="str">
        <f t="shared" si="1"/>
        <v>5013442 Primaria</v>
      </c>
      <c r="N4073" s="23"/>
      <c r="O4073" s="17"/>
      <c r="P4073" s="17"/>
      <c r="Q4073" s="17"/>
      <c r="R4073" s="17"/>
      <c r="S4073" s="17"/>
      <c r="T4073" s="17"/>
    </row>
    <row r="4074">
      <c r="A4074" s="21">
        <v>202.0</v>
      </c>
      <c r="B4074" s="14" t="s">
        <v>90</v>
      </c>
      <c r="C4074" s="14" t="s">
        <v>14</v>
      </c>
      <c r="D4074" s="20" t="s">
        <v>15</v>
      </c>
      <c r="E4074" s="12" t="str">
        <f>IFERROR(__xludf.DUMMYFUNCTION("FILTER(colegios!$B$2:$B5618,colegios!$A$2:$A5618=L4074)"),"501344")</f>
        <v>501344</v>
      </c>
      <c r="F4074" s="14" t="s">
        <v>16</v>
      </c>
      <c r="G4074" s="20" t="s">
        <v>17</v>
      </c>
      <c r="H4074" s="14" t="s">
        <v>18</v>
      </c>
      <c r="I4074" s="22">
        <v>2022.0</v>
      </c>
      <c r="J4074" s="16" t="str">
        <f>IFERROR(__xludf.DUMMYFUNCTION("FILTER('CLASFICACIÓN'!$F$3:$F5618,'CLASFICACIÓN'!$G$3:$G5618=M4074)"),"SOLO LINEA BASE")</f>
        <v>SOLO LINEA BASE</v>
      </c>
      <c r="K4074" s="16"/>
      <c r="L4074" s="14" t="s">
        <v>179</v>
      </c>
      <c r="M4074" s="16" t="str">
        <f t="shared" si="1"/>
        <v>5013442 Primaria</v>
      </c>
      <c r="N4074" s="23"/>
      <c r="O4074" s="17"/>
      <c r="P4074" s="17"/>
      <c r="Q4074" s="17"/>
      <c r="R4074" s="17"/>
      <c r="S4074" s="17"/>
      <c r="T4074" s="17"/>
    </row>
    <row r="4075">
      <c r="A4075" s="21">
        <v>203.0</v>
      </c>
      <c r="B4075" s="14" t="s">
        <v>90</v>
      </c>
      <c r="C4075" s="14" t="s">
        <v>14</v>
      </c>
      <c r="D4075" s="20" t="s">
        <v>15</v>
      </c>
      <c r="E4075" s="12" t="str">
        <f>IFERROR(__xludf.DUMMYFUNCTION("FILTER(colegios!$B$2:$B5618,colegios!$A$2:$A5618=L4075)"),"501344")</f>
        <v>501344</v>
      </c>
      <c r="F4075" s="14" t="s">
        <v>16</v>
      </c>
      <c r="G4075" s="20" t="s">
        <v>21</v>
      </c>
      <c r="H4075" s="14" t="s">
        <v>18</v>
      </c>
      <c r="I4075" s="22">
        <v>2022.0</v>
      </c>
      <c r="J4075" s="16" t="str">
        <f>IFERROR(__xludf.DUMMYFUNCTION("FILTER('CLASFICACIÓN'!$F$3:$F5618,'CLASFICACIÓN'!$G$3:$G5618=M4075)"),"SOLO LINEA BASE")</f>
        <v>SOLO LINEA BASE</v>
      </c>
      <c r="K4075" s="16"/>
      <c r="L4075" s="14" t="s">
        <v>179</v>
      </c>
      <c r="M4075" s="16" t="str">
        <f t="shared" si="1"/>
        <v>5013442 Primaria</v>
      </c>
      <c r="N4075" s="23"/>
      <c r="O4075" s="17"/>
      <c r="P4075" s="17"/>
      <c r="Q4075" s="17"/>
      <c r="R4075" s="17"/>
      <c r="S4075" s="17"/>
      <c r="T4075" s="17"/>
    </row>
    <row r="4076">
      <c r="A4076" s="21">
        <v>204.0</v>
      </c>
      <c r="B4076" s="14" t="s">
        <v>90</v>
      </c>
      <c r="C4076" s="14" t="s">
        <v>14</v>
      </c>
      <c r="D4076" s="20" t="s">
        <v>15</v>
      </c>
      <c r="E4076" s="12" t="str">
        <f>IFERROR(__xludf.DUMMYFUNCTION("FILTER(colegios!$B$2:$B5618,colegios!$A$2:$A5618=L4076)"),"501344")</f>
        <v>501344</v>
      </c>
      <c r="F4076" s="14" t="s">
        <v>16</v>
      </c>
      <c r="G4076" s="20" t="s">
        <v>17</v>
      </c>
      <c r="H4076" s="14" t="s">
        <v>18</v>
      </c>
      <c r="I4076" s="22">
        <v>2022.0</v>
      </c>
      <c r="J4076" s="16" t="str">
        <f>IFERROR(__xludf.DUMMYFUNCTION("FILTER('CLASFICACIÓN'!$F$3:$F5618,'CLASFICACIÓN'!$G$3:$G5618=M4076)"),"SOLO LINEA BASE")</f>
        <v>SOLO LINEA BASE</v>
      </c>
      <c r="K4076" s="16"/>
      <c r="L4076" s="14" t="s">
        <v>179</v>
      </c>
      <c r="M4076" s="16" t="str">
        <f t="shared" si="1"/>
        <v>5013442 Primaria</v>
      </c>
      <c r="N4076" s="23"/>
      <c r="O4076" s="17"/>
      <c r="P4076" s="17"/>
      <c r="Q4076" s="17"/>
      <c r="R4076" s="17"/>
      <c r="S4076" s="17"/>
      <c r="T4076" s="17"/>
    </row>
    <row r="4077">
      <c r="A4077" s="21">
        <v>205.0</v>
      </c>
      <c r="B4077" s="14" t="s">
        <v>90</v>
      </c>
      <c r="C4077" s="14" t="s">
        <v>14</v>
      </c>
      <c r="D4077" s="20" t="s">
        <v>15</v>
      </c>
      <c r="E4077" s="12" t="str">
        <f>IFERROR(__xludf.DUMMYFUNCTION("FILTER(colegios!$B$2:$B5618,colegios!$A$2:$A5618=L4077)"),"501344")</f>
        <v>501344</v>
      </c>
      <c r="F4077" s="14" t="s">
        <v>16</v>
      </c>
      <c r="G4077" s="20" t="s">
        <v>17</v>
      </c>
      <c r="H4077" s="14" t="s">
        <v>18</v>
      </c>
      <c r="I4077" s="22">
        <v>2022.0</v>
      </c>
      <c r="J4077" s="16" t="str">
        <f>IFERROR(__xludf.DUMMYFUNCTION("FILTER('CLASFICACIÓN'!$F$3:$F5618,'CLASFICACIÓN'!$G$3:$G5618=M4077)"),"SOLO LINEA BASE")</f>
        <v>SOLO LINEA BASE</v>
      </c>
      <c r="K4077" s="16"/>
      <c r="L4077" s="14" t="s">
        <v>179</v>
      </c>
      <c r="M4077" s="16" t="str">
        <f t="shared" si="1"/>
        <v>5013442 Primaria</v>
      </c>
      <c r="N4077" s="23"/>
      <c r="O4077" s="17"/>
      <c r="P4077" s="17"/>
      <c r="Q4077" s="17"/>
      <c r="R4077" s="17"/>
      <c r="S4077" s="17"/>
      <c r="T4077" s="17"/>
    </row>
    <row r="4078">
      <c r="A4078" s="21">
        <v>206.0</v>
      </c>
      <c r="B4078" s="14" t="s">
        <v>90</v>
      </c>
      <c r="C4078" s="14" t="s">
        <v>14</v>
      </c>
      <c r="D4078" s="20" t="s">
        <v>15</v>
      </c>
      <c r="E4078" s="12" t="str">
        <f>IFERROR(__xludf.DUMMYFUNCTION("FILTER(colegios!$B$2:$B5618,colegios!$A$2:$A5618=L4078)"),"501344")</f>
        <v>501344</v>
      </c>
      <c r="F4078" s="14" t="s">
        <v>16</v>
      </c>
      <c r="G4078" s="20" t="s">
        <v>21</v>
      </c>
      <c r="H4078" s="14" t="s">
        <v>18</v>
      </c>
      <c r="I4078" s="22">
        <v>2022.0</v>
      </c>
      <c r="J4078" s="16" t="str">
        <f>IFERROR(__xludf.DUMMYFUNCTION("FILTER('CLASFICACIÓN'!$F$3:$F5618,'CLASFICACIÓN'!$G$3:$G5618=M4078)"),"SOLO LINEA BASE")</f>
        <v>SOLO LINEA BASE</v>
      </c>
      <c r="K4078" s="16"/>
      <c r="L4078" s="14" t="s">
        <v>179</v>
      </c>
      <c r="M4078" s="16" t="str">
        <f t="shared" si="1"/>
        <v>5013442 Primaria</v>
      </c>
      <c r="N4078" s="23"/>
      <c r="O4078" s="17"/>
      <c r="P4078" s="17"/>
      <c r="Q4078" s="17"/>
      <c r="R4078" s="17"/>
      <c r="S4078" s="17"/>
      <c r="T4078" s="17"/>
    </row>
    <row r="4079">
      <c r="A4079" s="21">
        <v>207.0</v>
      </c>
      <c r="B4079" s="14" t="s">
        <v>90</v>
      </c>
      <c r="C4079" s="14" t="s">
        <v>14</v>
      </c>
      <c r="D4079" s="20" t="s">
        <v>15</v>
      </c>
      <c r="E4079" s="12" t="str">
        <f>IFERROR(__xludf.DUMMYFUNCTION("FILTER(colegios!$B$2:$B5618,colegios!$A$2:$A5618=L4079)"),"501344")</f>
        <v>501344</v>
      </c>
      <c r="F4079" s="14" t="s">
        <v>16</v>
      </c>
      <c r="G4079" s="20" t="s">
        <v>17</v>
      </c>
      <c r="H4079" s="14" t="s">
        <v>18</v>
      </c>
      <c r="I4079" s="22">
        <v>2022.0</v>
      </c>
      <c r="J4079" s="16" t="str">
        <f>IFERROR(__xludf.DUMMYFUNCTION("FILTER('CLASFICACIÓN'!$F$3:$F5618,'CLASFICACIÓN'!$G$3:$G5618=M4079)"),"SOLO LINEA BASE")</f>
        <v>SOLO LINEA BASE</v>
      </c>
      <c r="K4079" s="16"/>
      <c r="L4079" s="14" t="s">
        <v>179</v>
      </c>
      <c r="M4079" s="16" t="str">
        <f t="shared" si="1"/>
        <v>5013442 Primaria</v>
      </c>
      <c r="N4079" s="23"/>
      <c r="O4079" s="17"/>
      <c r="P4079" s="17"/>
      <c r="Q4079" s="17"/>
      <c r="R4079" s="17"/>
      <c r="S4079" s="17"/>
      <c r="T4079" s="17"/>
    </row>
    <row r="4080">
      <c r="A4080" s="21">
        <v>208.0</v>
      </c>
      <c r="B4080" s="14" t="s">
        <v>90</v>
      </c>
      <c r="C4080" s="14" t="s">
        <v>14</v>
      </c>
      <c r="D4080" s="20" t="s">
        <v>15</v>
      </c>
      <c r="E4080" s="12" t="str">
        <f>IFERROR(__xludf.DUMMYFUNCTION("FILTER(colegios!$B$2:$B5618,colegios!$A$2:$A5618=L4080)"),"501344")</f>
        <v>501344</v>
      </c>
      <c r="F4080" s="14" t="s">
        <v>16</v>
      </c>
      <c r="G4080" s="20" t="s">
        <v>17</v>
      </c>
      <c r="H4080" s="14" t="s">
        <v>24</v>
      </c>
      <c r="I4080" s="22">
        <v>2022.0</v>
      </c>
      <c r="J4080" s="16" t="str">
        <f>IFERROR(__xludf.DUMMYFUNCTION("FILTER('CLASFICACIÓN'!$F$3:$F5618,'CLASFICACIÓN'!$G$3:$G5618=M4080)"),"SOLO LINEA BASE")</f>
        <v>SOLO LINEA BASE</v>
      </c>
      <c r="K4080" s="16"/>
      <c r="L4080" s="14" t="s">
        <v>179</v>
      </c>
      <c r="M4080" s="16" t="str">
        <f t="shared" si="1"/>
        <v>5013442 Primaria</v>
      </c>
      <c r="N4080" s="23"/>
      <c r="O4080" s="17"/>
      <c r="P4080" s="17"/>
      <c r="Q4080" s="17"/>
      <c r="R4080" s="17"/>
      <c r="S4080" s="17"/>
      <c r="T4080" s="17"/>
    </row>
    <row r="4081">
      <c r="A4081" s="21">
        <v>209.0</v>
      </c>
      <c r="B4081" s="14" t="s">
        <v>90</v>
      </c>
      <c r="C4081" s="14" t="s">
        <v>14</v>
      </c>
      <c r="D4081" s="20" t="s">
        <v>15</v>
      </c>
      <c r="E4081" s="12" t="str">
        <f>IFERROR(__xludf.DUMMYFUNCTION("FILTER(colegios!$B$2:$B5618,colegios!$A$2:$A5618=L4081)"),"501344")</f>
        <v>501344</v>
      </c>
      <c r="F4081" s="14" t="s">
        <v>16</v>
      </c>
      <c r="G4081" s="20" t="s">
        <v>21</v>
      </c>
      <c r="H4081" s="14" t="s">
        <v>24</v>
      </c>
      <c r="I4081" s="22">
        <v>2022.0</v>
      </c>
      <c r="J4081" s="16" t="str">
        <f>IFERROR(__xludf.DUMMYFUNCTION("FILTER('CLASFICACIÓN'!$F$3:$F5618,'CLASFICACIÓN'!$G$3:$G5618=M4081)"),"SOLO LINEA BASE")</f>
        <v>SOLO LINEA BASE</v>
      </c>
      <c r="K4081" s="16"/>
      <c r="L4081" s="14" t="s">
        <v>179</v>
      </c>
      <c r="M4081" s="16" t="str">
        <f t="shared" si="1"/>
        <v>5013442 Primaria</v>
      </c>
      <c r="N4081" s="23"/>
      <c r="O4081" s="17"/>
      <c r="P4081" s="17"/>
      <c r="Q4081" s="17"/>
      <c r="R4081" s="17"/>
      <c r="S4081" s="17"/>
      <c r="T4081" s="17"/>
    </row>
    <row r="4082">
      <c r="A4082" s="21">
        <v>210.0</v>
      </c>
      <c r="B4082" s="14" t="s">
        <v>90</v>
      </c>
      <c r="C4082" s="14" t="s">
        <v>14</v>
      </c>
      <c r="D4082" s="20" t="s">
        <v>15</v>
      </c>
      <c r="E4082" s="12" t="str">
        <f>IFERROR(__xludf.DUMMYFUNCTION("FILTER(colegios!$B$2:$B5618,colegios!$A$2:$A5618=L4082)"),"501344")</f>
        <v>501344</v>
      </c>
      <c r="F4082" s="14" t="s">
        <v>16</v>
      </c>
      <c r="G4082" s="20" t="s">
        <v>17</v>
      </c>
      <c r="H4082" s="14" t="s">
        <v>24</v>
      </c>
      <c r="I4082" s="22">
        <v>2022.0</v>
      </c>
      <c r="J4082" s="16" t="str">
        <f>IFERROR(__xludf.DUMMYFUNCTION("FILTER('CLASFICACIÓN'!$F$3:$F5618,'CLASFICACIÓN'!$G$3:$G5618=M4082)"),"SOLO LINEA BASE")</f>
        <v>SOLO LINEA BASE</v>
      </c>
      <c r="K4082" s="16"/>
      <c r="L4082" s="14" t="s">
        <v>179</v>
      </c>
      <c r="M4082" s="16" t="str">
        <f t="shared" si="1"/>
        <v>5013442 Primaria</v>
      </c>
      <c r="N4082" s="23"/>
      <c r="O4082" s="17"/>
      <c r="P4082" s="17"/>
      <c r="Q4082" s="17"/>
      <c r="R4082" s="17"/>
      <c r="S4082" s="17"/>
      <c r="T4082" s="17"/>
    </row>
    <row r="4083">
      <c r="A4083" s="21">
        <v>211.0</v>
      </c>
      <c r="B4083" s="14" t="s">
        <v>90</v>
      </c>
      <c r="C4083" s="14" t="s">
        <v>14</v>
      </c>
      <c r="D4083" s="20" t="s">
        <v>15</v>
      </c>
      <c r="E4083" s="12" t="str">
        <f>IFERROR(__xludf.DUMMYFUNCTION("FILTER(colegios!$B$2:$B5618,colegios!$A$2:$A5618=L4083)"),"501344")</f>
        <v>501344</v>
      </c>
      <c r="F4083" s="14" t="s">
        <v>16</v>
      </c>
      <c r="G4083" s="20" t="s">
        <v>21</v>
      </c>
      <c r="H4083" s="14" t="s">
        <v>24</v>
      </c>
      <c r="I4083" s="22">
        <v>2022.0</v>
      </c>
      <c r="J4083" s="16" t="str">
        <f>IFERROR(__xludf.DUMMYFUNCTION("FILTER('CLASFICACIÓN'!$F$3:$F5618,'CLASFICACIÓN'!$G$3:$G5618=M4083)"),"SOLO LINEA BASE")</f>
        <v>SOLO LINEA BASE</v>
      </c>
      <c r="K4083" s="16"/>
      <c r="L4083" s="14" t="s">
        <v>179</v>
      </c>
      <c r="M4083" s="16" t="str">
        <f t="shared" si="1"/>
        <v>5013442 Primaria</v>
      </c>
      <c r="N4083" s="23"/>
      <c r="O4083" s="17"/>
      <c r="P4083" s="17"/>
      <c r="Q4083" s="17"/>
      <c r="R4083" s="17"/>
      <c r="S4083" s="17"/>
      <c r="T4083" s="17"/>
    </row>
    <row r="4084">
      <c r="A4084" s="21">
        <v>212.0</v>
      </c>
      <c r="B4084" s="14" t="s">
        <v>90</v>
      </c>
      <c r="C4084" s="14" t="s">
        <v>14</v>
      </c>
      <c r="D4084" s="20" t="s">
        <v>15</v>
      </c>
      <c r="E4084" s="12" t="str">
        <f>IFERROR(__xludf.DUMMYFUNCTION("FILTER(colegios!$B$2:$B5618,colegios!$A$2:$A5618=L4084)"),"501344")</f>
        <v>501344</v>
      </c>
      <c r="F4084" s="14" t="s">
        <v>16</v>
      </c>
      <c r="G4084" s="20" t="s">
        <v>17</v>
      </c>
      <c r="H4084" s="14" t="s">
        <v>24</v>
      </c>
      <c r="I4084" s="22">
        <v>2022.0</v>
      </c>
      <c r="J4084" s="16" t="str">
        <f>IFERROR(__xludf.DUMMYFUNCTION("FILTER('CLASFICACIÓN'!$F$3:$F5618,'CLASFICACIÓN'!$G$3:$G5618=M4084)"),"SOLO LINEA BASE")</f>
        <v>SOLO LINEA BASE</v>
      </c>
      <c r="K4084" s="16"/>
      <c r="L4084" s="14" t="s">
        <v>179</v>
      </c>
      <c r="M4084" s="16" t="str">
        <f t="shared" si="1"/>
        <v>5013442 Primaria</v>
      </c>
      <c r="N4084" s="23"/>
      <c r="O4084" s="17"/>
      <c r="P4084" s="17"/>
      <c r="Q4084" s="17"/>
      <c r="R4084" s="17"/>
      <c r="S4084" s="17"/>
      <c r="T4084" s="17"/>
    </row>
    <row r="4085">
      <c r="A4085" s="21">
        <v>213.0</v>
      </c>
      <c r="B4085" s="14" t="s">
        <v>90</v>
      </c>
      <c r="C4085" s="14" t="s">
        <v>14</v>
      </c>
      <c r="D4085" s="20" t="s">
        <v>15</v>
      </c>
      <c r="E4085" s="12" t="str">
        <f>IFERROR(__xludf.DUMMYFUNCTION("FILTER(colegios!$B$2:$B5618,colegios!$A$2:$A5618=L4085)"),"501344")</f>
        <v>501344</v>
      </c>
      <c r="F4085" s="14" t="s">
        <v>16</v>
      </c>
      <c r="G4085" s="20" t="s">
        <v>17</v>
      </c>
      <c r="H4085" s="14" t="s">
        <v>24</v>
      </c>
      <c r="I4085" s="22">
        <v>2022.0</v>
      </c>
      <c r="J4085" s="16" t="str">
        <f>IFERROR(__xludf.DUMMYFUNCTION("FILTER('CLASFICACIÓN'!$F$3:$F5618,'CLASFICACIÓN'!$G$3:$G5618=M4085)"),"SOLO LINEA BASE")</f>
        <v>SOLO LINEA BASE</v>
      </c>
      <c r="K4085" s="16"/>
      <c r="L4085" s="14" t="s">
        <v>179</v>
      </c>
      <c r="M4085" s="16" t="str">
        <f t="shared" si="1"/>
        <v>5013442 Primaria</v>
      </c>
      <c r="N4085" s="23"/>
      <c r="O4085" s="17"/>
      <c r="P4085" s="17"/>
      <c r="Q4085" s="17"/>
      <c r="R4085" s="17"/>
      <c r="S4085" s="17"/>
      <c r="T4085" s="17"/>
    </row>
    <row r="4086">
      <c r="A4086" s="21">
        <v>214.0</v>
      </c>
      <c r="B4086" s="14" t="s">
        <v>90</v>
      </c>
      <c r="C4086" s="14" t="s">
        <v>14</v>
      </c>
      <c r="D4086" s="20" t="s">
        <v>15</v>
      </c>
      <c r="E4086" s="12" t="str">
        <f>IFERROR(__xludf.DUMMYFUNCTION("FILTER(colegios!$B$2:$B5618,colegios!$A$2:$A5618=L4086)"),"501344")</f>
        <v>501344</v>
      </c>
      <c r="F4086" s="14" t="s">
        <v>16</v>
      </c>
      <c r="G4086" s="20" t="s">
        <v>17</v>
      </c>
      <c r="H4086" s="14" t="s">
        <v>24</v>
      </c>
      <c r="I4086" s="22">
        <v>2022.0</v>
      </c>
      <c r="J4086" s="16" t="str">
        <f>IFERROR(__xludf.DUMMYFUNCTION("FILTER('CLASFICACIÓN'!$F$3:$F5618,'CLASFICACIÓN'!$G$3:$G5618=M4086)"),"SOLO LINEA BASE")</f>
        <v>SOLO LINEA BASE</v>
      </c>
      <c r="K4086" s="16"/>
      <c r="L4086" s="14" t="s">
        <v>179</v>
      </c>
      <c r="M4086" s="16" t="str">
        <f t="shared" si="1"/>
        <v>5013442 Primaria</v>
      </c>
      <c r="N4086" s="23"/>
      <c r="O4086" s="17"/>
      <c r="P4086" s="17"/>
      <c r="Q4086" s="17"/>
      <c r="R4086" s="17"/>
      <c r="S4086" s="17"/>
      <c r="T4086" s="17"/>
    </row>
    <row r="4087">
      <c r="A4087" s="21">
        <v>215.0</v>
      </c>
      <c r="B4087" s="14" t="s">
        <v>90</v>
      </c>
      <c r="C4087" s="14" t="s">
        <v>14</v>
      </c>
      <c r="D4087" s="20" t="s">
        <v>15</v>
      </c>
      <c r="E4087" s="12" t="str">
        <f>IFERROR(__xludf.DUMMYFUNCTION("FILTER(colegios!$B$2:$B5618,colegios!$A$2:$A5618=L4087)"),"501344")</f>
        <v>501344</v>
      </c>
      <c r="F4087" s="14" t="s">
        <v>16</v>
      </c>
      <c r="G4087" s="20" t="s">
        <v>21</v>
      </c>
      <c r="H4087" s="14" t="s">
        <v>24</v>
      </c>
      <c r="I4087" s="22">
        <v>2022.0</v>
      </c>
      <c r="J4087" s="16" t="str">
        <f>IFERROR(__xludf.DUMMYFUNCTION("FILTER('CLASFICACIÓN'!$F$3:$F5618,'CLASFICACIÓN'!$G$3:$G5618=M4087)"),"SOLO LINEA BASE")</f>
        <v>SOLO LINEA BASE</v>
      </c>
      <c r="K4087" s="16"/>
      <c r="L4087" s="14" t="s">
        <v>179</v>
      </c>
      <c r="M4087" s="16" t="str">
        <f t="shared" si="1"/>
        <v>5013442 Primaria</v>
      </c>
      <c r="N4087" s="23"/>
      <c r="O4087" s="17"/>
      <c r="P4087" s="17"/>
      <c r="Q4087" s="17"/>
      <c r="R4087" s="17"/>
      <c r="S4087" s="17"/>
      <c r="T4087" s="17"/>
    </row>
    <row r="4088">
      <c r="A4088" s="21">
        <v>216.0</v>
      </c>
      <c r="B4088" s="14" t="s">
        <v>90</v>
      </c>
      <c r="C4088" s="14" t="s">
        <v>14</v>
      </c>
      <c r="D4088" s="20" t="s">
        <v>15</v>
      </c>
      <c r="E4088" s="12" t="str">
        <f>IFERROR(__xludf.DUMMYFUNCTION("FILTER(colegios!$B$2:$B5618,colegios!$A$2:$A5618=L4088)"),"501344")</f>
        <v>501344</v>
      </c>
      <c r="F4088" s="14" t="s">
        <v>16</v>
      </c>
      <c r="G4088" s="20" t="s">
        <v>21</v>
      </c>
      <c r="H4088" s="14" t="s">
        <v>24</v>
      </c>
      <c r="I4088" s="22">
        <v>2022.0</v>
      </c>
      <c r="J4088" s="16" t="str">
        <f>IFERROR(__xludf.DUMMYFUNCTION("FILTER('CLASFICACIÓN'!$F$3:$F5618,'CLASFICACIÓN'!$G$3:$G5618=M4088)"),"SOLO LINEA BASE")</f>
        <v>SOLO LINEA BASE</v>
      </c>
      <c r="K4088" s="16"/>
      <c r="L4088" s="14" t="s">
        <v>179</v>
      </c>
      <c r="M4088" s="16" t="str">
        <f t="shared" si="1"/>
        <v>5013442 Primaria</v>
      </c>
      <c r="N4088" s="23"/>
      <c r="O4088" s="17"/>
      <c r="P4088" s="17"/>
      <c r="Q4088" s="17"/>
      <c r="R4088" s="17"/>
      <c r="S4088" s="17"/>
      <c r="T4088" s="17"/>
    </row>
    <row r="4089">
      <c r="A4089" s="21">
        <v>217.0</v>
      </c>
      <c r="B4089" s="14" t="s">
        <v>90</v>
      </c>
      <c r="C4089" s="14" t="s">
        <v>14</v>
      </c>
      <c r="D4089" s="20" t="s">
        <v>15</v>
      </c>
      <c r="E4089" s="12" t="str">
        <f>IFERROR(__xludf.DUMMYFUNCTION("FILTER(colegios!$B$2:$B5618,colegios!$A$2:$A5618=L4089)"),"501344")</f>
        <v>501344</v>
      </c>
      <c r="F4089" s="14" t="s">
        <v>16</v>
      </c>
      <c r="G4089" s="20" t="s">
        <v>21</v>
      </c>
      <c r="H4089" s="14" t="s">
        <v>24</v>
      </c>
      <c r="I4089" s="22">
        <v>2022.0</v>
      </c>
      <c r="J4089" s="16" t="str">
        <f>IFERROR(__xludf.DUMMYFUNCTION("FILTER('CLASFICACIÓN'!$F$3:$F5618,'CLASFICACIÓN'!$G$3:$G5618=M4089)"),"SOLO LINEA BASE")</f>
        <v>SOLO LINEA BASE</v>
      </c>
      <c r="K4089" s="16"/>
      <c r="L4089" s="14" t="s">
        <v>179</v>
      </c>
      <c r="M4089" s="16" t="str">
        <f t="shared" si="1"/>
        <v>5013442 Primaria</v>
      </c>
      <c r="N4089" s="23"/>
      <c r="O4089" s="17"/>
      <c r="P4089" s="17"/>
      <c r="Q4089" s="17"/>
      <c r="R4089" s="17"/>
      <c r="S4089" s="17"/>
      <c r="T4089" s="17"/>
    </row>
    <row r="4090">
      <c r="A4090" s="21">
        <v>218.0</v>
      </c>
      <c r="B4090" s="14" t="s">
        <v>90</v>
      </c>
      <c r="C4090" s="14" t="s">
        <v>14</v>
      </c>
      <c r="D4090" s="20" t="s">
        <v>15</v>
      </c>
      <c r="E4090" s="12" t="str">
        <f>IFERROR(__xludf.DUMMYFUNCTION("FILTER(colegios!$B$2:$B5618,colegios!$A$2:$A5618=L4090)"),"501344")</f>
        <v>501344</v>
      </c>
      <c r="F4090" s="14" t="s">
        <v>16</v>
      </c>
      <c r="G4090" s="20" t="s">
        <v>21</v>
      </c>
      <c r="H4090" s="14" t="s">
        <v>24</v>
      </c>
      <c r="I4090" s="22">
        <v>2022.0</v>
      </c>
      <c r="J4090" s="16" t="str">
        <f>IFERROR(__xludf.DUMMYFUNCTION("FILTER('CLASFICACIÓN'!$F$3:$F5618,'CLASFICACIÓN'!$G$3:$G5618=M4090)"),"SOLO LINEA BASE")</f>
        <v>SOLO LINEA BASE</v>
      </c>
      <c r="K4090" s="16"/>
      <c r="L4090" s="14" t="s">
        <v>179</v>
      </c>
      <c r="M4090" s="16" t="str">
        <f t="shared" si="1"/>
        <v>5013442 Primaria</v>
      </c>
      <c r="N4090" s="23"/>
      <c r="O4090" s="17"/>
      <c r="P4090" s="17"/>
      <c r="Q4090" s="17"/>
      <c r="R4090" s="17"/>
      <c r="S4090" s="17"/>
      <c r="T4090" s="17"/>
    </row>
    <row r="4091">
      <c r="A4091" s="21">
        <v>219.0</v>
      </c>
      <c r="B4091" s="14" t="s">
        <v>90</v>
      </c>
      <c r="C4091" s="14" t="s">
        <v>14</v>
      </c>
      <c r="D4091" s="20" t="s">
        <v>15</v>
      </c>
      <c r="E4091" s="12" t="str">
        <f>IFERROR(__xludf.DUMMYFUNCTION("FILTER(colegios!$B$2:$B5618,colegios!$A$2:$A5618=L4091)"),"501344")</f>
        <v>501344</v>
      </c>
      <c r="F4091" s="14" t="s">
        <v>16</v>
      </c>
      <c r="G4091" s="20" t="s">
        <v>21</v>
      </c>
      <c r="H4091" s="14" t="s">
        <v>24</v>
      </c>
      <c r="I4091" s="22">
        <v>2022.0</v>
      </c>
      <c r="J4091" s="16" t="str">
        <f>IFERROR(__xludf.DUMMYFUNCTION("FILTER('CLASFICACIÓN'!$F$3:$F5618,'CLASFICACIÓN'!$G$3:$G5618=M4091)"),"SOLO LINEA BASE")</f>
        <v>SOLO LINEA BASE</v>
      </c>
      <c r="K4091" s="16"/>
      <c r="L4091" s="14" t="s">
        <v>179</v>
      </c>
      <c r="M4091" s="16" t="str">
        <f t="shared" si="1"/>
        <v>5013442 Primaria</v>
      </c>
      <c r="N4091" s="23"/>
      <c r="O4091" s="17"/>
      <c r="P4091" s="17"/>
      <c r="Q4091" s="17"/>
      <c r="R4091" s="17"/>
      <c r="S4091" s="17"/>
      <c r="T4091" s="17"/>
    </row>
    <row r="4092">
      <c r="A4092" s="21">
        <v>220.0</v>
      </c>
      <c r="B4092" s="14" t="s">
        <v>90</v>
      </c>
      <c r="C4092" s="14" t="s">
        <v>14</v>
      </c>
      <c r="D4092" s="20" t="s">
        <v>15</v>
      </c>
      <c r="E4092" s="12" t="str">
        <f>IFERROR(__xludf.DUMMYFUNCTION("FILTER(colegios!$B$2:$B5618,colegios!$A$2:$A5618=L4092)"),"501344")</f>
        <v>501344</v>
      </c>
      <c r="F4092" s="14" t="s">
        <v>16</v>
      </c>
      <c r="G4092" s="20" t="s">
        <v>17</v>
      </c>
      <c r="H4092" s="14" t="s">
        <v>24</v>
      </c>
      <c r="I4092" s="22">
        <v>2022.0</v>
      </c>
      <c r="J4092" s="16" t="str">
        <f>IFERROR(__xludf.DUMMYFUNCTION("FILTER('CLASFICACIÓN'!$F$3:$F5618,'CLASFICACIÓN'!$G$3:$G5618=M4092)"),"SOLO LINEA BASE")</f>
        <v>SOLO LINEA BASE</v>
      </c>
      <c r="K4092" s="16"/>
      <c r="L4092" s="14" t="s">
        <v>179</v>
      </c>
      <c r="M4092" s="16" t="str">
        <f t="shared" si="1"/>
        <v>5013442 Primaria</v>
      </c>
      <c r="N4092" s="23"/>
      <c r="O4092" s="17"/>
      <c r="P4092" s="17"/>
      <c r="Q4092" s="17"/>
      <c r="R4092" s="17"/>
      <c r="S4092" s="17"/>
      <c r="T4092" s="17"/>
    </row>
    <row r="4093">
      <c r="A4093" s="21">
        <v>221.0</v>
      </c>
      <c r="B4093" s="14" t="s">
        <v>90</v>
      </c>
      <c r="C4093" s="14" t="s">
        <v>14</v>
      </c>
      <c r="D4093" s="20" t="s">
        <v>15</v>
      </c>
      <c r="E4093" s="12" t="str">
        <f>IFERROR(__xludf.DUMMYFUNCTION("FILTER(colegios!$B$2:$B5618,colegios!$A$2:$A5618=L4093)"),"501344")</f>
        <v>501344</v>
      </c>
      <c r="F4093" s="14" t="s">
        <v>16</v>
      </c>
      <c r="G4093" s="20" t="s">
        <v>17</v>
      </c>
      <c r="H4093" s="14" t="s">
        <v>24</v>
      </c>
      <c r="I4093" s="22">
        <v>2022.0</v>
      </c>
      <c r="J4093" s="16" t="str">
        <f>IFERROR(__xludf.DUMMYFUNCTION("FILTER('CLASFICACIÓN'!$F$3:$F5618,'CLASFICACIÓN'!$G$3:$G5618=M4093)"),"SOLO LINEA BASE")</f>
        <v>SOLO LINEA BASE</v>
      </c>
      <c r="K4093" s="16"/>
      <c r="L4093" s="14" t="s">
        <v>179</v>
      </c>
      <c r="M4093" s="16" t="str">
        <f t="shared" si="1"/>
        <v>5013442 Primaria</v>
      </c>
      <c r="N4093" s="23"/>
      <c r="O4093" s="17"/>
      <c r="P4093" s="17"/>
      <c r="Q4093" s="17"/>
      <c r="R4093" s="17"/>
      <c r="S4093" s="17"/>
      <c r="T4093" s="17"/>
    </row>
    <row r="4094">
      <c r="A4094" s="21">
        <v>222.0</v>
      </c>
      <c r="B4094" s="14" t="s">
        <v>90</v>
      </c>
      <c r="C4094" s="14" t="s">
        <v>14</v>
      </c>
      <c r="D4094" s="20" t="s">
        <v>15</v>
      </c>
      <c r="E4094" s="12" t="str">
        <f>IFERROR(__xludf.DUMMYFUNCTION("FILTER(colegios!$B$2:$B5618,colegios!$A$2:$A5618=L4094)"),"501344")</f>
        <v>501344</v>
      </c>
      <c r="F4094" s="14" t="s">
        <v>16</v>
      </c>
      <c r="G4094" s="20" t="s">
        <v>17</v>
      </c>
      <c r="H4094" s="14" t="s">
        <v>24</v>
      </c>
      <c r="I4094" s="22">
        <v>2022.0</v>
      </c>
      <c r="J4094" s="16" t="str">
        <f>IFERROR(__xludf.DUMMYFUNCTION("FILTER('CLASFICACIÓN'!$F$3:$F5618,'CLASFICACIÓN'!$G$3:$G5618=M4094)"),"SOLO LINEA BASE")</f>
        <v>SOLO LINEA BASE</v>
      </c>
      <c r="K4094" s="16"/>
      <c r="L4094" s="14" t="s">
        <v>179</v>
      </c>
      <c r="M4094" s="16" t="str">
        <f t="shared" si="1"/>
        <v>5013442 Primaria</v>
      </c>
      <c r="N4094" s="23"/>
      <c r="O4094" s="17"/>
      <c r="P4094" s="17"/>
      <c r="Q4094" s="17"/>
      <c r="R4094" s="17"/>
      <c r="S4094" s="17"/>
      <c r="T4094" s="17"/>
    </row>
    <row r="4095">
      <c r="A4095" s="21">
        <v>223.0</v>
      </c>
      <c r="B4095" s="14" t="s">
        <v>90</v>
      </c>
      <c r="C4095" s="14" t="s">
        <v>14</v>
      </c>
      <c r="D4095" s="20" t="s">
        <v>15</v>
      </c>
      <c r="E4095" s="12" t="str">
        <f>IFERROR(__xludf.DUMMYFUNCTION("FILTER(colegios!$B$2:$B5618,colegios!$A$2:$A5618=L4095)"),"501344")</f>
        <v>501344</v>
      </c>
      <c r="F4095" s="14" t="s">
        <v>16</v>
      </c>
      <c r="G4095" s="20" t="s">
        <v>17</v>
      </c>
      <c r="H4095" s="14" t="s">
        <v>24</v>
      </c>
      <c r="I4095" s="22">
        <v>2022.0</v>
      </c>
      <c r="J4095" s="16" t="str">
        <f>IFERROR(__xludf.DUMMYFUNCTION("FILTER('CLASFICACIÓN'!$F$3:$F5618,'CLASFICACIÓN'!$G$3:$G5618=M4095)"),"SOLO LINEA BASE")</f>
        <v>SOLO LINEA BASE</v>
      </c>
      <c r="K4095" s="16"/>
      <c r="L4095" s="14" t="s">
        <v>179</v>
      </c>
      <c r="M4095" s="16" t="str">
        <f t="shared" si="1"/>
        <v>5013442 Primaria</v>
      </c>
      <c r="N4095" s="23"/>
      <c r="O4095" s="17"/>
      <c r="P4095" s="17"/>
      <c r="Q4095" s="17"/>
      <c r="R4095" s="17"/>
      <c r="S4095" s="17"/>
      <c r="T4095" s="17"/>
    </row>
    <row r="4096">
      <c r="A4096" s="21">
        <v>224.0</v>
      </c>
      <c r="B4096" s="14" t="s">
        <v>90</v>
      </c>
      <c r="C4096" s="14" t="s">
        <v>14</v>
      </c>
      <c r="D4096" s="20" t="s">
        <v>15</v>
      </c>
      <c r="E4096" s="12" t="str">
        <f>IFERROR(__xludf.DUMMYFUNCTION("FILTER(colegios!$B$2:$B5618,colegios!$A$2:$A5618=L4096)"),"501344")</f>
        <v>501344</v>
      </c>
      <c r="F4096" s="14" t="s">
        <v>16</v>
      </c>
      <c r="G4096" s="20" t="s">
        <v>17</v>
      </c>
      <c r="H4096" s="14" t="s">
        <v>24</v>
      </c>
      <c r="I4096" s="22">
        <v>2022.0</v>
      </c>
      <c r="J4096" s="16" t="str">
        <f>IFERROR(__xludf.DUMMYFUNCTION("FILTER('CLASFICACIÓN'!$F$3:$F5618,'CLASFICACIÓN'!$G$3:$G5618=M4096)"),"SOLO LINEA BASE")</f>
        <v>SOLO LINEA BASE</v>
      </c>
      <c r="K4096" s="16"/>
      <c r="L4096" s="14" t="s">
        <v>179</v>
      </c>
      <c r="M4096" s="16" t="str">
        <f t="shared" si="1"/>
        <v>5013442 Primaria</v>
      </c>
      <c r="N4096" s="23"/>
      <c r="O4096" s="17"/>
      <c r="P4096" s="17"/>
      <c r="Q4096" s="17"/>
      <c r="R4096" s="17"/>
      <c r="S4096" s="17"/>
      <c r="T4096" s="17"/>
    </row>
    <row r="4097">
      <c r="A4097" s="21">
        <v>225.0</v>
      </c>
      <c r="B4097" s="14" t="s">
        <v>90</v>
      </c>
      <c r="C4097" s="14" t="s">
        <v>14</v>
      </c>
      <c r="D4097" s="20" t="s">
        <v>15</v>
      </c>
      <c r="E4097" s="12" t="str">
        <f>IFERROR(__xludf.DUMMYFUNCTION("FILTER(colegios!$B$2:$B5618,colegios!$A$2:$A5618=L4097)"),"501344")</f>
        <v>501344</v>
      </c>
      <c r="F4097" s="14" t="s">
        <v>16</v>
      </c>
      <c r="G4097" s="20" t="s">
        <v>17</v>
      </c>
      <c r="H4097" s="14" t="s">
        <v>24</v>
      </c>
      <c r="I4097" s="22">
        <v>2022.0</v>
      </c>
      <c r="J4097" s="16" t="str">
        <f>IFERROR(__xludf.DUMMYFUNCTION("FILTER('CLASFICACIÓN'!$F$3:$F5618,'CLASFICACIÓN'!$G$3:$G5618=M4097)"),"SOLO LINEA BASE")</f>
        <v>SOLO LINEA BASE</v>
      </c>
      <c r="K4097" s="16"/>
      <c r="L4097" s="14" t="s">
        <v>179</v>
      </c>
      <c r="M4097" s="16" t="str">
        <f t="shared" si="1"/>
        <v>5013442 Primaria</v>
      </c>
      <c r="N4097" s="23"/>
      <c r="O4097" s="17"/>
      <c r="P4097" s="17"/>
      <c r="Q4097" s="17"/>
      <c r="R4097" s="17"/>
      <c r="S4097" s="17"/>
      <c r="T4097" s="17"/>
    </row>
    <row r="4098">
      <c r="A4098" s="21">
        <v>226.0</v>
      </c>
      <c r="B4098" s="14" t="s">
        <v>90</v>
      </c>
      <c r="C4098" s="14" t="s">
        <v>14</v>
      </c>
      <c r="D4098" s="20" t="s">
        <v>15</v>
      </c>
      <c r="E4098" s="12" t="str">
        <f>IFERROR(__xludf.DUMMYFUNCTION("FILTER(colegios!$B$2:$B5618,colegios!$A$2:$A5618=L4098)"),"501344")</f>
        <v>501344</v>
      </c>
      <c r="F4098" s="14" t="s">
        <v>16</v>
      </c>
      <c r="G4098" s="20" t="s">
        <v>17</v>
      </c>
      <c r="H4098" s="14" t="s">
        <v>24</v>
      </c>
      <c r="I4098" s="22">
        <v>2022.0</v>
      </c>
      <c r="J4098" s="16" t="str">
        <f>IFERROR(__xludf.DUMMYFUNCTION("FILTER('CLASFICACIÓN'!$F$3:$F5618,'CLASFICACIÓN'!$G$3:$G5618=M4098)"),"SOLO LINEA BASE")</f>
        <v>SOLO LINEA BASE</v>
      </c>
      <c r="K4098" s="16"/>
      <c r="L4098" s="14" t="s">
        <v>179</v>
      </c>
      <c r="M4098" s="16" t="str">
        <f t="shared" si="1"/>
        <v>5013442 Primaria</v>
      </c>
      <c r="N4098" s="23"/>
      <c r="O4098" s="17"/>
      <c r="P4098" s="17"/>
      <c r="Q4098" s="17"/>
      <c r="R4098" s="17"/>
      <c r="S4098" s="17"/>
      <c r="T4098" s="17"/>
    </row>
    <row r="4099">
      <c r="A4099" s="21">
        <v>227.0</v>
      </c>
      <c r="B4099" s="14" t="s">
        <v>90</v>
      </c>
      <c r="C4099" s="14" t="s">
        <v>14</v>
      </c>
      <c r="D4099" s="20" t="s">
        <v>15</v>
      </c>
      <c r="E4099" s="12" t="str">
        <f>IFERROR(__xludf.DUMMYFUNCTION("FILTER(colegios!$B$2:$B5618,colegios!$A$2:$A5618=L4099)"),"501344")</f>
        <v>501344</v>
      </c>
      <c r="F4099" s="14" t="s">
        <v>16</v>
      </c>
      <c r="G4099" s="20" t="s">
        <v>17</v>
      </c>
      <c r="H4099" s="14" t="s">
        <v>24</v>
      </c>
      <c r="I4099" s="22">
        <v>2022.0</v>
      </c>
      <c r="J4099" s="16" t="str">
        <f>IFERROR(__xludf.DUMMYFUNCTION("FILTER('CLASFICACIÓN'!$F$3:$F5618,'CLASFICACIÓN'!$G$3:$G5618=M4099)"),"SOLO LINEA BASE")</f>
        <v>SOLO LINEA BASE</v>
      </c>
      <c r="K4099" s="16"/>
      <c r="L4099" s="14" t="s">
        <v>179</v>
      </c>
      <c r="M4099" s="16" t="str">
        <f t="shared" si="1"/>
        <v>5013442 Primaria</v>
      </c>
      <c r="N4099" s="23"/>
      <c r="O4099" s="17"/>
      <c r="P4099" s="17"/>
      <c r="Q4099" s="17"/>
      <c r="R4099" s="17"/>
      <c r="S4099" s="17"/>
      <c r="T4099" s="17"/>
    </row>
    <row r="4100">
      <c r="A4100" s="21">
        <v>228.0</v>
      </c>
      <c r="B4100" s="14" t="s">
        <v>90</v>
      </c>
      <c r="C4100" s="14" t="s">
        <v>14</v>
      </c>
      <c r="D4100" s="20" t="s">
        <v>15</v>
      </c>
      <c r="E4100" s="12" t="str">
        <f>IFERROR(__xludf.DUMMYFUNCTION("FILTER(colegios!$B$2:$B5618,colegios!$A$2:$A5618=L4100)"),"501344")</f>
        <v>501344</v>
      </c>
      <c r="F4100" s="14" t="s">
        <v>16</v>
      </c>
      <c r="G4100" s="20" t="s">
        <v>17</v>
      </c>
      <c r="H4100" s="14" t="s">
        <v>24</v>
      </c>
      <c r="I4100" s="22">
        <v>2022.0</v>
      </c>
      <c r="J4100" s="16" t="str">
        <f>IFERROR(__xludf.DUMMYFUNCTION("FILTER('CLASFICACIÓN'!$F$3:$F5618,'CLASFICACIÓN'!$G$3:$G5618=M4100)"),"SOLO LINEA BASE")</f>
        <v>SOLO LINEA BASE</v>
      </c>
      <c r="K4100" s="16"/>
      <c r="L4100" s="14" t="s">
        <v>179</v>
      </c>
      <c r="M4100" s="16" t="str">
        <f t="shared" si="1"/>
        <v>5013442 Primaria</v>
      </c>
      <c r="N4100" s="23"/>
      <c r="O4100" s="17"/>
      <c r="P4100" s="17"/>
      <c r="Q4100" s="17"/>
      <c r="R4100" s="17"/>
      <c r="S4100" s="17"/>
      <c r="T4100" s="17"/>
    </row>
    <row r="4101">
      <c r="A4101" s="21">
        <v>229.0</v>
      </c>
      <c r="B4101" s="14" t="s">
        <v>90</v>
      </c>
      <c r="C4101" s="14" t="s">
        <v>14</v>
      </c>
      <c r="D4101" s="20" t="s">
        <v>15</v>
      </c>
      <c r="E4101" s="12" t="str">
        <f>IFERROR(__xludf.DUMMYFUNCTION("FILTER(colegios!$B$2:$B5618,colegios!$A$2:$A5618=L4101)"),"501344")</f>
        <v>501344</v>
      </c>
      <c r="F4101" s="14" t="s">
        <v>16</v>
      </c>
      <c r="G4101" s="20" t="s">
        <v>17</v>
      </c>
      <c r="H4101" s="14" t="s">
        <v>24</v>
      </c>
      <c r="I4101" s="22">
        <v>2022.0</v>
      </c>
      <c r="J4101" s="16" t="str">
        <f>IFERROR(__xludf.DUMMYFUNCTION("FILTER('CLASFICACIÓN'!$F$3:$F5618,'CLASFICACIÓN'!$G$3:$G5618=M4101)"),"SOLO LINEA BASE")</f>
        <v>SOLO LINEA BASE</v>
      </c>
      <c r="K4101" s="16"/>
      <c r="L4101" s="14" t="s">
        <v>179</v>
      </c>
      <c r="M4101" s="16" t="str">
        <f t="shared" si="1"/>
        <v>5013442 Primaria</v>
      </c>
      <c r="N4101" s="23"/>
      <c r="O4101" s="17"/>
      <c r="P4101" s="17"/>
      <c r="Q4101" s="17"/>
      <c r="R4101" s="17"/>
      <c r="S4101" s="17"/>
      <c r="T4101" s="17"/>
    </row>
    <row r="4102">
      <c r="A4102" s="21">
        <v>230.0</v>
      </c>
      <c r="B4102" s="14" t="s">
        <v>90</v>
      </c>
      <c r="C4102" s="14" t="s">
        <v>14</v>
      </c>
      <c r="D4102" s="20" t="s">
        <v>15</v>
      </c>
      <c r="E4102" s="12" t="str">
        <f>IFERROR(__xludf.DUMMYFUNCTION("FILTER(colegios!$B$2:$B5618,colegios!$A$2:$A5618=L4102)"),"501344")</f>
        <v>501344</v>
      </c>
      <c r="F4102" s="14" t="s">
        <v>16</v>
      </c>
      <c r="G4102" s="20" t="s">
        <v>17</v>
      </c>
      <c r="H4102" s="14" t="s">
        <v>24</v>
      </c>
      <c r="I4102" s="22">
        <v>2022.0</v>
      </c>
      <c r="J4102" s="16" t="str">
        <f>IFERROR(__xludf.DUMMYFUNCTION("FILTER('CLASFICACIÓN'!$F$3:$F5618,'CLASFICACIÓN'!$G$3:$G5618=M4102)"),"SOLO LINEA BASE")</f>
        <v>SOLO LINEA BASE</v>
      </c>
      <c r="K4102" s="16"/>
      <c r="L4102" s="14" t="s">
        <v>179</v>
      </c>
      <c r="M4102" s="16" t="str">
        <f t="shared" si="1"/>
        <v>5013442 Primaria</v>
      </c>
      <c r="N4102" s="23"/>
      <c r="O4102" s="17"/>
      <c r="P4102" s="17"/>
      <c r="Q4102" s="17"/>
      <c r="R4102" s="17"/>
      <c r="S4102" s="17"/>
      <c r="T4102" s="17"/>
    </row>
    <row r="4103">
      <c r="A4103" s="21">
        <v>231.0</v>
      </c>
      <c r="B4103" s="14" t="s">
        <v>90</v>
      </c>
      <c r="C4103" s="14" t="s">
        <v>14</v>
      </c>
      <c r="D4103" s="20" t="s">
        <v>15</v>
      </c>
      <c r="E4103" s="12" t="str">
        <f>IFERROR(__xludf.DUMMYFUNCTION("FILTER(colegios!$B$2:$B5618,colegios!$A$2:$A5618=L4103)"),"501344")</f>
        <v>501344</v>
      </c>
      <c r="F4103" s="14" t="s">
        <v>16</v>
      </c>
      <c r="G4103" s="20" t="s">
        <v>21</v>
      </c>
      <c r="H4103" s="14" t="s">
        <v>24</v>
      </c>
      <c r="I4103" s="22">
        <v>2022.0</v>
      </c>
      <c r="J4103" s="16" t="str">
        <f>IFERROR(__xludf.DUMMYFUNCTION("FILTER('CLASFICACIÓN'!$F$3:$F5618,'CLASFICACIÓN'!$G$3:$G5618=M4103)"),"SOLO LINEA BASE")</f>
        <v>SOLO LINEA BASE</v>
      </c>
      <c r="K4103" s="16"/>
      <c r="L4103" s="14" t="s">
        <v>179</v>
      </c>
      <c r="M4103" s="16" t="str">
        <f t="shared" si="1"/>
        <v>5013442 Primaria</v>
      </c>
      <c r="N4103" s="23"/>
      <c r="O4103" s="17"/>
      <c r="P4103" s="17"/>
      <c r="Q4103" s="17"/>
      <c r="R4103" s="17"/>
      <c r="S4103" s="17"/>
      <c r="T4103" s="17"/>
    </row>
    <row r="4104">
      <c r="A4104" s="21">
        <v>232.0</v>
      </c>
      <c r="B4104" s="14" t="s">
        <v>90</v>
      </c>
      <c r="C4104" s="14" t="s">
        <v>14</v>
      </c>
      <c r="D4104" s="20" t="s">
        <v>15</v>
      </c>
      <c r="E4104" s="12" t="str">
        <f>IFERROR(__xludf.DUMMYFUNCTION("FILTER(colegios!$B$2:$B5618,colegios!$A$2:$A5618=L4104)"),"501344")</f>
        <v>501344</v>
      </c>
      <c r="F4104" s="14" t="s">
        <v>16</v>
      </c>
      <c r="G4104" s="20" t="s">
        <v>17</v>
      </c>
      <c r="H4104" s="14" t="s">
        <v>24</v>
      </c>
      <c r="I4104" s="22">
        <v>2022.0</v>
      </c>
      <c r="J4104" s="16" t="str">
        <f>IFERROR(__xludf.DUMMYFUNCTION("FILTER('CLASFICACIÓN'!$F$3:$F5618,'CLASFICACIÓN'!$G$3:$G5618=M4104)"),"SOLO LINEA BASE")</f>
        <v>SOLO LINEA BASE</v>
      </c>
      <c r="K4104" s="16"/>
      <c r="L4104" s="14" t="s">
        <v>179</v>
      </c>
      <c r="M4104" s="16" t="str">
        <f t="shared" si="1"/>
        <v>5013442 Primaria</v>
      </c>
      <c r="N4104" s="23"/>
      <c r="O4104" s="17"/>
      <c r="P4104" s="17"/>
      <c r="Q4104" s="17"/>
      <c r="R4104" s="17"/>
      <c r="S4104" s="17"/>
      <c r="T4104" s="17"/>
    </row>
    <row r="4105">
      <c r="A4105" s="21">
        <v>233.0</v>
      </c>
      <c r="B4105" s="14" t="s">
        <v>90</v>
      </c>
      <c r="C4105" s="14" t="s">
        <v>14</v>
      </c>
      <c r="D4105" s="20" t="s">
        <v>15</v>
      </c>
      <c r="E4105" s="12" t="str">
        <f>IFERROR(__xludf.DUMMYFUNCTION("FILTER(colegios!$B$2:$B5618,colegios!$A$2:$A5618=L4105)"),"501344")</f>
        <v>501344</v>
      </c>
      <c r="F4105" s="14" t="s">
        <v>16</v>
      </c>
      <c r="G4105" s="20" t="s">
        <v>21</v>
      </c>
      <c r="H4105" s="14" t="s">
        <v>24</v>
      </c>
      <c r="I4105" s="22">
        <v>2022.0</v>
      </c>
      <c r="J4105" s="16" t="str">
        <f>IFERROR(__xludf.DUMMYFUNCTION("FILTER('CLASFICACIÓN'!$F$3:$F5618,'CLASFICACIÓN'!$G$3:$G5618=M4105)"),"SOLO LINEA BASE")</f>
        <v>SOLO LINEA BASE</v>
      </c>
      <c r="K4105" s="16"/>
      <c r="L4105" s="14" t="s">
        <v>179</v>
      </c>
      <c r="M4105" s="16" t="str">
        <f t="shared" si="1"/>
        <v>5013442 Primaria</v>
      </c>
      <c r="N4105" s="23"/>
      <c r="O4105" s="17"/>
      <c r="P4105" s="17"/>
      <c r="Q4105" s="17"/>
      <c r="R4105" s="17"/>
      <c r="S4105" s="17"/>
      <c r="T4105" s="17"/>
    </row>
    <row r="4106">
      <c r="A4106" s="21">
        <v>234.0</v>
      </c>
      <c r="B4106" s="14" t="s">
        <v>90</v>
      </c>
      <c r="C4106" s="14" t="s">
        <v>14</v>
      </c>
      <c r="D4106" s="20" t="s">
        <v>15</v>
      </c>
      <c r="E4106" s="12" t="str">
        <f>IFERROR(__xludf.DUMMYFUNCTION("FILTER(colegios!$B$2:$B5618,colegios!$A$2:$A5618=L4106)"),"501344")</f>
        <v>501344</v>
      </c>
      <c r="F4106" s="14" t="s">
        <v>16</v>
      </c>
      <c r="G4106" s="20" t="s">
        <v>21</v>
      </c>
      <c r="H4106" s="14" t="s">
        <v>24</v>
      </c>
      <c r="I4106" s="22">
        <v>2022.0</v>
      </c>
      <c r="J4106" s="16" t="str">
        <f>IFERROR(__xludf.DUMMYFUNCTION("FILTER('CLASFICACIÓN'!$F$3:$F5618,'CLASFICACIÓN'!$G$3:$G5618=M4106)"),"SOLO LINEA BASE")</f>
        <v>SOLO LINEA BASE</v>
      </c>
      <c r="K4106" s="16"/>
      <c r="L4106" s="14" t="s">
        <v>179</v>
      </c>
      <c r="M4106" s="16" t="str">
        <f t="shared" si="1"/>
        <v>5013442 Primaria</v>
      </c>
      <c r="N4106" s="23"/>
      <c r="O4106" s="17"/>
      <c r="P4106" s="17"/>
      <c r="Q4106" s="17"/>
      <c r="R4106" s="17"/>
      <c r="S4106" s="17"/>
      <c r="T4106" s="17"/>
    </row>
    <row r="4107">
      <c r="A4107" s="21">
        <v>235.0</v>
      </c>
      <c r="B4107" s="14" t="s">
        <v>90</v>
      </c>
      <c r="C4107" s="14" t="s">
        <v>14</v>
      </c>
      <c r="D4107" s="20" t="s">
        <v>15</v>
      </c>
      <c r="E4107" s="12" t="str">
        <f>IFERROR(__xludf.DUMMYFUNCTION("FILTER(colegios!$B$2:$B5618,colegios!$A$2:$A5618=L4107)"),"501344")</f>
        <v>501344</v>
      </c>
      <c r="F4107" s="14" t="s">
        <v>16</v>
      </c>
      <c r="G4107" s="20" t="s">
        <v>21</v>
      </c>
      <c r="H4107" s="14" t="s">
        <v>24</v>
      </c>
      <c r="I4107" s="22">
        <v>2022.0</v>
      </c>
      <c r="J4107" s="16" t="str">
        <f>IFERROR(__xludf.DUMMYFUNCTION("FILTER('CLASFICACIÓN'!$F$3:$F5618,'CLASFICACIÓN'!$G$3:$G5618=M4107)"),"SOLO LINEA BASE")</f>
        <v>SOLO LINEA BASE</v>
      </c>
      <c r="K4107" s="16"/>
      <c r="L4107" s="14" t="s">
        <v>179</v>
      </c>
      <c r="M4107" s="16" t="str">
        <f t="shared" si="1"/>
        <v>5013442 Primaria</v>
      </c>
      <c r="N4107" s="23"/>
      <c r="O4107" s="17"/>
      <c r="P4107" s="17"/>
      <c r="Q4107" s="17"/>
      <c r="R4107" s="17"/>
      <c r="S4107" s="17"/>
      <c r="T4107" s="17"/>
    </row>
    <row r="4108">
      <c r="A4108" s="21">
        <v>236.0</v>
      </c>
      <c r="B4108" s="14" t="s">
        <v>90</v>
      </c>
      <c r="C4108" s="14" t="s">
        <v>14</v>
      </c>
      <c r="D4108" s="20" t="s">
        <v>15</v>
      </c>
      <c r="E4108" s="12" t="str">
        <f>IFERROR(__xludf.DUMMYFUNCTION("FILTER(colegios!$B$2:$B5618,colegios!$A$2:$A5618=L4108)"),"501344")</f>
        <v>501344</v>
      </c>
      <c r="F4108" s="14" t="s">
        <v>16</v>
      </c>
      <c r="G4108" s="20" t="s">
        <v>21</v>
      </c>
      <c r="H4108" s="14" t="s">
        <v>24</v>
      </c>
      <c r="I4108" s="22">
        <v>2022.0</v>
      </c>
      <c r="J4108" s="16" t="str">
        <f>IFERROR(__xludf.DUMMYFUNCTION("FILTER('CLASFICACIÓN'!$F$3:$F5618,'CLASFICACIÓN'!$G$3:$G5618=M4108)"),"SOLO LINEA BASE")</f>
        <v>SOLO LINEA BASE</v>
      </c>
      <c r="K4108" s="16"/>
      <c r="L4108" s="14" t="s">
        <v>179</v>
      </c>
      <c r="M4108" s="16" t="str">
        <f t="shared" si="1"/>
        <v>5013442 Primaria</v>
      </c>
      <c r="N4108" s="23"/>
      <c r="O4108" s="17"/>
      <c r="P4108" s="17"/>
      <c r="Q4108" s="17"/>
      <c r="R4108" s="17"/>
      <c r="S4108" s="17"/>
      <c r="T4108" s="17"/>
    </row>
    <row r="4109">
      <c r="A4109" s="21">
        <v>237.0</v>
      </c>
      <c r="B4109" s="14" t="s">
        <v>90</v>
      </c>
      <c r="C4109" s="14" t="s">
        <v>14</v>
      </c>
      <c r="D4109" s="20" t="s">
        <v>15</v>
      </c>
      <c r="E4109" s="12" t="str">
        <f>IFERROR(__xludf.DUMMYFUNCTION("FILTER(colegios!$B$2:$B5618,colegios!$A$2:$A5618=L4109)"),"501344")</f>
        <v>501344</v>
      </c>
      <c r="F4109" s="14" t="s">
        <v>16</v>
      </c>
      <c r="G4109" s="20" t="s">
        <v>21</v>
      </c>
      <c r="H4109" s="14" t="s">
        <v>24</v>
      </c>
      <c r="I4109" s="22">
        <v>2022.0</v>
      </c>
      <c r="J4109" s="16" t="str">
        <f>IFERROR(__xludf.DUMMYFUNCTION("FILTER('CLASFICACIÓN'!$F$3:$F5618,'CLASFICACIÓN'!$G$3:$G5618=M4109)"),"SOLO LINEA BASE")</f>
        <v>SOLO LINEA BASE</v>
      </c>
      <c r="K4109" s="16"/>
      <c r="L4109" s="14" t="s">
        <v>179</v>
      </c>
      <c r="M4109" s="16" t="str">
        <f t="shared" si="1"/>
        <v>5013442 Primaria</v>
      </c>
      <c r="N4109" s="23"/>
      <c r="O4109" s="17"/>
      <c r="P4109" s="17"/>
      <c r="Q4109" s="17"/>
      <c r="R4109" s="17"/>
      <c r="S4109" s="17"/>
      <c r="T4109" s="17"/>
    </row>
    <row r="4110">
      <c r="A4110" s="21">
        <v>238.0</v>
      </c>
      <c r="B4110" s="14" t="s">
        <v>90</v>
      </c>
      <c r="C4110" s="14" t="s">
        <v>14</v>
      </c>
      <c r="D4110" s="20" t="s">
        <v>15</v>
      </c>
      <c r="E4110" s="12" t="str">
        <f>IFERROR(__xludf.DUMMYFUNCTION("FILTER(colegios!$B$2:$B5618,colegios!$A$2:$A5618=L4110)"),"501344")</f>
        <v>501344</v>
      </c>
      <c r="F4110" s="14" t="s">
        <v>16</v>
      </c>
      <c r="G4110" s="20" t="s">
        <v>21</v>
      </c>
      <c r="H4110" s="14" t="s">
        <v>24</v>
      </c>
      <c r="I4110" s="22">
        <v>2022.0</v>
      </c>
      <c r="J4110" s="16" t="str">
        <f>IFERROR(__xludf.DUMMYFUNCTION("FILTER('CLASFICACIÓN'!$F$3:$F5618,'CLASFICACIÓN'!$G$3:$G5618=M4110)"),"SOLO LINEA BASE")</f>
        <v>SOLO LINEA BASE</v>
      </c>
      <c r="K4110" s="16"/>
      <c r="L4110" s="14" t="s">
        <v>179</v>
      </c>
      <c r="M4110" s="16" t="str">
        <f t="shared" si="1"/>
        <v>5013442 Primaria</v>
      </c>
      <c r="N4110" s="23"/>
      <c r="O4110" s="17"/>
      <c r="P4110" s="17"/>
      <c r="Q4110" s="17"/>
      <c r="R4110" s="17"/>
      <c r="S4110" s="17"/>
      <c r="T4110" s="17"/>
    </row>
    <row r="4111">
      <c r="A4111" s="21">
        <v>239.0</v>
      </c>
      <c r="B4111" s="14" t="s">
        <v>90</v>
      </c>
      <c r="C4111" s="14" t="s">
        <v>14</v>
      </c>
      <c r="D4111" s="20" t="s">
        <v>15</v>
      </c>
      <c r="E4111" s="12" t="str">
        <f>IFERROR(__xludf.DUMMYFUNCTION("FILTER(colegios!$B$2:$B5618,colegios!$A$2:$A5618=L4111)"),"501344")</f>
        <v>501344</v>
      </c>
      <c r="F4111" s="14" t="s">
        <v>16</v>
      </c>
      <c r="G4111" s="20" t="s">
        <v>17</v>
      </c>
      <c r="H4111" s="14" t="s">
        <v>24</v>
      </c>
      <c r="I4111" s="22">
        <v>2022.0</v>
      </c>
      <c r="J4111" s="16" t="str">
        <f>IFERROR(__xludf.DUMMYFUNCTION("FILTER('CLASFICACIÓN'!$F$3:$F5618,'CLASFICACIÓN'!$G$3:$G5618=M4111)"),"SOLO LINEA BASE")</f>
        <v>SOLO LINEA BASE</v>
      </c>
      <c r="K4111" s="16"/>
      <c r="L4111" s="14" t="s">
        <v>179</v>
      </c>
      <c r="M4111" s="16" t="str">
        <f t="shared" si="1"/>
        <v>5013442 Primaria</v>
      </c>
      <c r="N4111" s="23"/>
      <c r="O4111" s="17"/>
      <c r="P4111" s="17"/>
      <c r="Q4111" s="17"/>
      <c r="R4111" s="17"/>
      <c r="S4111" s="17"/>
      <c r="T4111" s="17"/>
    </row>
    <row r="4112">
      <c r="A4112" s="21">
        <v>240.0</v>
      </c>
      <c r="B4112" s="14" t="s">
        <v>90</v>
      </c>
      <c r="C4112" s="14" t="s">
        <v>14</v>
      </c>
      <c r="D4112" s="20" t="s">
        <v>15</v>
      </c>
      <c r="E4112" s="12" t="str">
        <f>IFERROR(__xludf.DUMMYFUNCTION("FILTER(colegios!$B$2:$B5618,colegios!$A$2:$A5618=L4112)"),"501344")</f>
        <v>501344</v>
      </c>
      <c r="F4112" s="14" t="s">
        <v>16</v>
      </c>
      <c r="G4112" s="20" t="s">
        <v>21</v>
      </c>
      <c r="H4112" s="14" t="s">
        <v>24</v>
      </c>
      <c r="I4112" s="22">
        <v>2022.0</v>
      </c>
      <c r="J4112" s="16" t="str">
        <f>IFERROR(__xludf.DUMMYFUNCTION("FILTER('CLASFICACIÓN'!$F$3:$F5618,'CLASFICACIÓN'!$G$3:$G5618=M4112)"),"SOLO LINEA BASE")</f>
        <v>SOLO LINEA BASE</v>
      </c>
      <c r="K4112" s="16"/>
      <c r="L4112" s="14" t="s">
        <v>179</v>
      </c>
      <c r="M4112" s="16" t="str">
        <f t="shared" si="1"/>
        <v>5013442 Primaria</v>
      </c>
      <c r="N4112" s="23"/>
      <c r="O4112" s="17"/>
      <c r="P4112" s="17"/>
      <c r="Q4112" s="17"/>
      <c r="R4112" s="17"/>
      <c r="S4112" s="17"/>
      <c r="T4112" s="17"/>
    </row>
    <row r="4113">
      <c r="A4113" s="21">
        <v>241.0</v>
      </c>
      <c r="B4113" s="14" t="s">
        <v>90</v>
      </c>
      <c r="C4113" s="14" t="s">
        <v>14</v>
      </c>
      <c r="D4113" s="20" t="s">
        <v>15</v>
      </c>
      <c r="E4113" s="12" t="str">
        <f>IFERROR(__xludf.DUMMYFUNCTION("FILTER(colegios!$B$2:$B5618,colegios!$A$2:$A5618=L4113)"),"501344")</f>
        <v>501344</v>
      </c>
      <c r="F4113" s="14" t="s">
        <v>16</v>
      </c>
      <c r="G4113" s="20" t="s">
        <v>21</v>
      </c>
      <c r="H4113" s="14" t="s">
        <v>24</v>
      </c>
      <c r="I4113" s="22">
        <v>2022.0</v>
      </c>
      <c r="J4113" s="16" t="str">
        <f>IFERROR(__xludf.DUMMYFUNCTION("FILTER('CLASFICACIÓN'!$F$3:$F5618,'CLASFICACIÓN'!$G$3:$G5618=M4113)"),"SOLO LINEA BASE")</f>
        <v>SOLO LINEA BASE</v>
      </c>
      <c r="K4113" s="16"/>
      <c r="L4113" s="14" t="s">
        <v>179</v>
      </c>
      <c r="M4113" s="16" t="str">
        <f t="shared" si="1"/>
        <v>5013442 Primaria</v>
      </c>
      <c r="N4113" s="23"/>
      <c r="O4113" s="17"/>
      <c r="P4113" s="17"/>
      <c r="Q4113" s="17"/>
      <c r="R4113" s="17"/>
      <c r="S4113" s="17"/>
      <c r="T4113" s="17"/>
    </row>
    <row r="4114">
      <c r="A4114" s="21">
        <v>242.0</v>
      </c>
      <c r="B4114" s="14" t="s">
        <v>90</v>
      </c>
      <c r="C4114" s="14" t="s">
        <v>14</v>
      </c>
      <c r="D4114" s="20" t="s">
        <v>15</v>
      </c>
      <c r="E4114" s="12" t="str">
        <f>IFERROR(__xludf.DUMMYFUNCTION("FILTER(colegios!$B$2:$B5618,colegios!$A$2:$A5618=L4114)"),"501344")</f>
        <v>501344</v>
      </c>
      <c r="F4114" s="14" t="s">
        <v>16</v>
      </c>
      <c r="G4114" s="20" t="s">
        <v>17</v>
      </c>
      <c r="H4114" s="14" t="s">
        <v>24</v>
      </c>
      <c r="I4114" s="22">
        <v>2022.0</v>
      </c>
      <c r="J4114" s="16" t="str">
        <f>IFERROR(__xludf.DUMMYFUNCTION("FILTER('CLASFICACIÓN'!$F$3:$F5618,'CLASFICACIÓN'!$G$3:$G5618=M4114)"),"SOLO LINEA BASE")</f>
        <v>SOLO LINEA BASE</v>
      </c>
      <c r="K4114" s="16"/>
      <c r="L4114" s="14" t="s">
        <v>179</v>
      </c>
      <c r="M4114" s="16" t="str">
        <f t="shared" si="1"/>
        <v>5013442 Primaria</v>
      </c>
      <c r="N4114" s="23"/>
      <c r="O4114" s="17"/>
      <c r="P4114" s="17"/>
      <c r="Q4114" s="17"/>
      <c r="R4114" s="17"/>
      <c r="S4114" s="17"/>
      <c r="T4114" s="17"/>
    </row>
    <row r="4115">
      <c r="A4115" s="21">
        <v>243.0</v>
      </c>
      <c r="B4115" s="14" t="s">
        <v>90</v>
      </c>
      <c r="C4115" s="14" t="s">
        <v>14</v>
      </c>
      <c r="D4115" s="20" t="s">
        <v>15</v>
      </c>
      <c r="E4115" s="12" t="str">
        <f>IFERROR(__xludf.DUMMYFUNCTION("FILTER(colegios!$B$2:$B5618,colegios!$A$2:$A5618=L4115)"),"501344")</f>
        <v>501344</v>
      </c>
      <c r="F4115" s="14" t="s">
        <v>16</v>
      </c>
      <c r="G4115" s="20" t="s">
        <v>21</v>
      </c>
      <c r="H4115" s="14" t="s">
        <v>24</v>
      </c>
      <c r="I4115" s="22">
        <v>2022.0</v>
      </c>
      <c r="J4115" s="16" t="str">
        <f>IFERROR(__xludf.DUMMYFUNCTION("FILTER('CLASFICACIÓN'!$F$3:$F5618,'CLASFICACIÓN'!$G$3:$G5618=M4115)"),"SOLO LINEA BASE")</f>
        <v>SOLO LINEA BASE</v>
      </c>
      <c r="K4115" s="16"/>
      <c r="L4115" s="14" t="s">
        <v>179</v>
      </c>
      <c r="M4115" s="16" t="str">
        <f t="shared" si="1"/>
        <v>5013442 Primaria</v>
      </c>
      <c r="N4115" s="23"/>
      <c r="O4115" s="17"/>
      <c r="P4115" s="17"/>
      <c r="Q4115" s="17"/>
      <c r="R4115" s="17"/>
      <c r="S4115" s="17"/>
      <c r="T4115" s="17"/>
    </row>
    <row r="4116">
      <c r="A4116" s="21">
        <v>244.0</v>
      </c>
      <c r="B4116" s="14" t="s">
        <v>90</v>
      </c>
      <c r="C4116" s="14" t="s">
        <v>14</v>
      </c>
      <c r="D4116" s="20" t="s">
        <v>15</v>
      </c>
      <c r="E4116" s="12" t="str">
        <f>IFERROR(__xludf.DUMMYFUNCTION("FILTER(colegios!$B$2:$B5618,colegios!$A$2:$A5618=L4116)"),"501344")</f>
        <v>501344</v>
      </c>
      <c r="F4116" s="14" t="s">
        <v>16</v>
      </c>
      <c r="G4116" s="20" t="s">
        <v>17</v>
      </c>
      <c r="H4116" s="14" t="s">
        <v>24</v>
      </c>
      <c r="I4116" s="22">
        <v>2022.0</v>
      </c>
      <c r="J4116" s="16" t="str">
        <f>IFERROR(__xludf.DUMMYFUNCTION("FILTER('CLASFICACIÓN'!$F$3:$F5618,'CLASFICACIÓN'!$G$3:$G5618=M4116)"),"SOLO LINEA BASE")</f>
        <v>SOLO LINEA BASE</v>
      </c>
      <c r="K4116" s="16"/>
      <c r="L4116" s="14" t="s">
        <v>179</v>
      </c>
      <c r="M4116" s="16" t="str">
        <f t="shared" si="1"/>
        <v>5013442 Primaria</v>
      </c>
      <c r="N4116" s="23"/>
      <c r="O4116" s="17"/>
      <c r="P4116" s="17"/>
      <c r="Q4116" s="17"/>
      <c r="R4116" s="17"/>
      <c r="S4116" s="17"/>
      <c r="T4116" s="17"/>
    </row>
    <row r="4117">
      <c r="A4117" s="21">
        <v>245.0</v>
      </c>
      <c r="B4117" s="14" t="s">
        <v>90</v>
      </c>
      <c r="C4117" s="14" t="s">
        <v>14</v>
      </c>
      <c r="D4117" s="20" t="s">
        <v>15</v>
      </c>
      <c r="E4117" s="12" t="str">
        <f>IFERROR(__xludf.DUMMYFUNCTION("FILTER(colegios!$B$2:$B5618,colegios!$A$2:$A5618=L4117)"),"501344")</f>
        <v>501344</v>
      </c>
      <c r="F4117" s="14" t="s">
        <v>16</v>
      </c>
      <c r="G4117" s="20" t="s">
        <v>17</v>
      </c>
      <c r="H4117" s="14" t="s">
        <v>24</v>
      </c>
      <c r="I4117" s="22">
        <v>2022.0</v>
      </c>
      <c r="J4117" s="16" t="str">
        <f>IFERROR(__xludf.DUMMYFUNCTION("FILTER('CLASFICACIÓN'!$F$3:$F5618,'CLASFICACIÓN'!$G$3:$G5618=M4117)"),"SOLO LINEA BASE")</f>
        <v>SOLO LINEA BASE</v>
      </c>
      <c r="K4117" s="16"/>
      <c r="L4117" s="14" t="s">
        <v>179</v>
      </c>
      <c r="M4117" s="16" t="str">
        <f t="shared" si="1"/>
        <v>5013442 Primaria</v>
      </c>
      <c r="N4117" s="23"/>
      <c r="O4117" s="17"/>
      <c r="P4117" s="17"/>
      <c r="Q4117" s="17"/>
      <c r="R4117" s="17"/>
      <c r="S4117" s="17"/>
      <c r="T4117" s="17"/>
    </row>
    <row r="4118">
      <c r="A4118" s="21">
        <v>246.0</v>
      </c>
      <c r="B4118" s="14" t="s">
        <v>90</v>
      </c>
      <c r="C4118" s="14" t="s">
        <v>14</v>
      </c>
      <c r="D4118" s="20" t="s">
        <v>15</v>
      </c>
      <c r="E4118" s="12" t="str">
        <f>IFERROR(__xludf.DUMMYFUNCTION("FILTER(colegios!$B$2:$B5618,colegios!$A$2:$A5618=L4118)"),"501344")</f>
        <v>501344</v>
      </c>
      <c r="F4118" s="14" t="s">
        <v>16</v>
      </c>
      <c r="G4118" s="20" t="s">
        <v>21</v>
      </c>
      <c r="H4118" s="14" t="s">
        <v>24</v>
      </c>
      <c r="I4118" s="22">
        <v>2022.0</v>
      </c>
      <c r="J4118" s="16" t="str">
        <f>IFERROR(__xludf.DUMMYFUNCTION("FILTER('CLASFICACIÓN'!$F$3:$F5618,'CLASFICACIÓN'!$G$3:$G5618=M4118)"),"SOLO LINEA BASE")</f>
        <v>SOLO LINEA BASE</v>
      </c>
      <c r="K4118" s="16"/>
      <c r="L4118" s="14" t="s">
        <v>179</v>
      </c>
      <c r="M4118" s="16" t="str">
        <f t="shared" si="1"/>
        <v>5013442 Primaria</v>
      </c>
      <c r="N4118" s="23"/>
      <c r="O4118" s="17"/>
      <c r="P4118" s="17"/>
      <c r="Q4118" s="17"/>
      <c r="R4118" s="17"/>
      <c r="S4118" s="17"/>
      <c r="T4118" s="17"/>
    </row>
    <row r="4119">
      <c r="A4119" s="21">
        <v>247.0</v>
      </c>
      <c r="B4119" s="14" t="s">
        <v>90</v>
      </c>
      <c r="C4119" s="14" t="s">
        <v>14</v>
      </c>
      <c r="D4119" s="20" t="s">
        <v>15</v>
      </c>
      <c r="E4119" s="12" t="str">
        <f>IFERROR(__xludf.DUMMYFUNCTION("FILTER(colegios!$B$2:$B5618,colegios!$A$2:$A5618=L4119)"),"501344")</f>
        <v>501344</v>
      </c>
      <c r="F4119" s="14" t="s">
        <v>16</v>
      </c>
      <c r="G4119" s="20" t="s">
        <v>17</v>
      </c>
      <c r="H4119" s="14" t="s">
        <v>24</v>
      </c>
      <c r="I4119" s="22">
        <v>2022.0</v>
      </c>
      <c r="J4119" s="16" t="str">
        <f>IFERROR(__xludf.DUMMYFUNCTION("FILTER('CLASFICACIÓN'!$F$3:$F5618,'CLASFICACIÓN'!$G$3:$G5618=M4119)"),"SOLO LINEA BASE")</f>
        <v>SOLO LINEA BASE</v>
      </c>
      <c r="K4119" s="16"/>
      <c r="L4119" s="14" t="s">
        <v>179</v>
      </c>
      <c r="M4119" s="16" t="str">
        <f t="shared" si="1"/>
        <v>5013442 Primaria</v>
      </c>
      <c r="N4119" s="23"/>
      <c r="O4119" s="17"/>
      <c r="P4119" s="17"/>
      <c r="Q4119" s="17"/>
      <c r="R4119" s="17"/>
      <c r="S4119" s="17"/>
      <c r="T4119" s="17"/>
    </row>
    <row r="4120">
      <c r="A4120" s="21">
        <v>248.0</v>
      </c>
      <c r="B4120" s="14" t="s">
        <v>90</v>
      </c>
      <c r="C4120" s="14" t="s">
        <v>14</v>
      </c>
      <c r="D4120" s="20" t="s">
        <v>15</v>
      </c>
      <c r="E4120" s="12" t="str">
        <f>IFERROR(__xludf.DUMMYFUNCTION("FILTER(colegios!$B$2:$B5618,colegios!$A$2:$A5618=L4120)"),"501344")</f>
        <v>501344</v>
      </c>
      <c r="F4120" s="14" t="s">
        <v>16</v>
      </c>
      <c r="G4120" s="20" t="s">
        <v>17</v>
      </c>
      <c r="H4120" s="14" t="s">
        <v>24</v>
      </c>
      <c r="I4120" s="22">
        <v>2022.0</v>
      </c>
      <c r="J4120" s="16" t="str">
        <f>IFERROR(__xludf.DUMMYFUNCTION("FILTER('CLASFICACIÓN'!$F$3:$F5618,'CLASFICACIÓN'!$G$3:$G5618=M4120)"),"SOLO LINEA BASE")</f>
        <v>SOLO LINEA BASE</v>
      </c>
      <c r="K4120" s="16"/>
      <c r="L4120" s="14" t="s">
        <v>179</v>
      </c>
      <c r="M4120" s="16" t="str">
        <f t="shared" si="1"/>
        <v>5013442 Primaria</v>
      </c>
      <c r="N4120" s="23"/>
      <c r="O4120" s="17"/>
      <c r="P4120" s="17"/>
      <c r="Q4120" s="17"/>
      <c r="R4120" s="17"/>
      <c r="S4120" s="17"/>
      <c r="T4120" s="17"/>
    </row>
    <row r="4121">
      <c r="A4121" s="21">
        <v>249.0</v>
      </c>
      <c r="B4121" s="14" t="s">
        <v>90</v>
      </c>
      <c r="C4121" s="14" t="s">
        <v>14</v>
      </c>
      <c r="D4121" s="20" t="s">
        <v>15</v>
      </c>
      <c r="E4121" s="12" t="str">
        <f>IFERROR(__xludf.DUMMYFUNCTION("FILTER(colegios!$B$2:$B5618,colegios!$A$2:$A5618=L4121)"),"501344")</f>
        <v>501344</v>
      </c>
      <c r="F4121" s="14" t="s">
        <v>16</v>
      </c>
      <c r="G4121" s="20" t="s">
        <v>21</v>
      </c>
      <c r="H4121" s="14" t="s">
        <v>24</v>
      </c>
      <c r="I4121" s="22">
        <v>2022.0</v>
      </c>
      <c r="J4121" s="16" t="str">
        <f>IFERROR(__xludf.DUMMYFUNCTION("FILTER('CLASFICACIÓN'!$F$3:$F5618,'CLASFICACIÓN'!$G$3:$G5618=M4121)"),"SOLO LINEA BASE")</f>
        <v>SOLO LINEA BASE</v>
      </c>
      <c r="K4121" s="16"/>
      <c r="L4121" s="14" t="s">
        <v>179</v>
      </c>
      <c r="M4121" s="16" t="str">
        <f t="shared" si="1"/>
        <v>5013442 Primaria</v>
      </c>
      <c r="N4121" s="23"/>
      <c r="O4121" s="17"/>
      <c r="P4121" s="17"/>
      <c r="Q4121" s="17"/>
      <c r="R4121" s="17"/>
      <c r="S4121" s="17"/>
      <c r="T4121" s="17"/>
    </row>
    <row r="4122">
      <c r="A4122" s="21">
        <v>250.0</v>
      </c>
      <c r="B4122" s="14" t="s">
        <v>90</v>
      </c>
      <c r="C4122" s="14" t="s">
        <v>14</v>
      </c>
      <c r="D4122" s="20" t="s">
        <v>15</v>
      </c>
      <c r="E4122" s="12" t="str">
        <f>IFERROR(__xludf.DUMMYFUNCTION("FILTER(colegios!$B$2:$B5618,colegios!$A$2:$A5618=L4122)"),"501344")</f>
        <v>501344</v>
      </c>
      <c r="F4122" s="14" t="s">
        <v>16</v>
      </c>
      <c r="G4122" s="20" t="s">
        <v>21</v>
      </c>
      <c r="H4122" s="14" t="s">
        <v>24</v>
      </c>
      <c r="I4122" s="22">
        <v>2022.0</v>
      </c>
      <c r="J4122" s="16" t="str">
        <f>IFERROR(__xludf.DUMMYFUNCTION("FILTER('CLASFICACIÓN'!$F$3:$F5618,'CLASFICACIÓN'!$G$3:$G5618=M4122)"),"SOLO LINEA BASE")</f>
        <v>SOLO LINEA BASE</v>
      </c>
      <c r="K4122" s="16"/>
      <c r="L4122" s="14" t="s">
        <v>179</v>
      </c>
      <c r="M4122" s="16" t="str">
        <f t="shared" si="1"/>
        <v>5013442 Primaria</v>
      </c>
      <c r="N4122" s="23"/>
      <c r="O4122" s="17"/>
      <c r="P4122" s="17"/>
      <c r="Q4122" s="17"/>
      <c r="R4122" s="17"/>
      <c r="S4122" s="17"/>
      <c r="T4122" s="17"/>
    </row>
    <row r="4123">
      <c r="A4123" s="21">
        <v>251.0</v>
      </c>
      <c r="B4123" s="14" t="s">
        <v>90</v>
      </c>
      <c r="C4123" s="14" t="s">
        <v>14</v>
      </c>
      <c r="D4123" s="20" t="s">
        <v>15</v>
      </c>
      <c r="E4123" s="12" t="str">
        <f>IFERROR(__xludf.DUMMYFUNCTION("FILTER(colegios!$B$2:$B5618,colegios!$A$2:$A5618=L4123)"),"50495")</f>
        <v>50495</v>
      </c>
      <c r="F4123" s="14" t="s">
        <v>16</v>
      </c>
      <c r="G4123" s="20" t="s">
        <v>21</v>
      </c>
      <c r="H4123" s="14" t="s">
        <v>18</v>
      </c>
      <c r="I4123" s="22">
        <v>2022.0</v>
      </c>
      <c r="J4123" s="16" t="str">
        <f>IFERROR(__xludf.DUMMYFUNCTION("FILTER('CLASFICACIÓN'!$F$3:$F5618,'CLASFICACIÓN'!$G$3:$G5618=M4123)"),"LOS 3 AÑOS")</f>
        <v>LOS 3 AÑOS</v>
      </c>
      <c r="K4123" s="16"/>
      <c r="L4123" s="14" t="s">
        <v>180</v>
      </c>
      <c r="M4123" s="16" t="str">
        <f t="shared" si="1"/>
        <v>504952 Primaria</v>
      </c>
      <c r="N4123" s="23"/>
      <c r="O4123" s="17"/>
      <c r="P4123" s="17"/>
      <c r="Q4123" s="17"/>
      <c r="R4123" s="17"/>
      <c r="S4123" s="17"/>
      <c r="T4123" s="17"/>
    </row>
    <row r="4124">
      <c r="A4124" s="21">
        <v>252.0</v>
      </c>
      <c r="B4124" s="14" t="s">
        <v>90</v>
      </c>
      <c r="C4124" s="14" t="s">
        <v>14</v>
      </c>
      <c r="D4124" s="20" t="s">
        <v>15</v>
      </c>
      <c r="E4124" s="12" t="str">
        <f>IFERROR(__xludf.DUMMYFUNCTION("FILTER(colegios!$B$2:$B5618,colegios!$A$2:$A5618=L4124)"),"50536")</f>
        <v>50536</v>
      </c>
      <c r="F4124" s="14" t="s">
        <v>16</v>
      </c>
      <c r="G4124" s="20" t="s">
        <v>17</v>
      </c>
      <c r="H4124" s="14" t="s">
        <v>18</v>
      </c>
      <c r="I4124" s="22">
        <v>2022.0</v>
      </c>
      <c r="J4124" s="16" t="str">
        <f>IFERROR(__xludf.DUMMYFUNCTION("FILTER('CLASFICACIÓN'!$F$3:$F5618,'CLASFICACIÓN'!$G$3:$G5618=M4124)"),"SOLO LINEA BASE")</f>
        <v>SOLO LINEA BASE</v>
      </c>
      <c r="K4124" s="16"/>
      <c r="L4124" s="14" t="s">
        <v>181</v>
      </c>
      <c r="M4124" s="16" t="str">
        <f t="shared" si="1"/>
        <v>505362 Primaria</v>
      </c>
      <c r="N4124" s="23"/>
      <c r="O4124" s="17"/>
      <c r="P4124" s="17"/>
      <c r="Q4124" s="17"/>
      <c r="R4124" s="17"/>
      <c r="S4124" s="17"/>
      <c r="T4124" s="17"/>
    </row>
    <row r="4125">
      <c r="A4125" s="21">
        <v>253.0</v>
      </c>
      <c r="B4125" s="14" t="s">
        <v>90</v>
      </c>
      <c r="C4125" s="14" t="s">
        <v>14</v>
      </c>
      <c r="D4125" s="20" t="s">
        <v>15</v>
      </c>
      <c r="E4125" s="12" t="str">
        <f>IFERROR(__xludf.DUMMYFUNCTION("FILTER(colegios!$B$2:$B5618,colegios!$A$2:$A5618=L4125)"),"50536")</f>
        <v>50536</v>
      </c>
      <c r="F4125" s="14" t="s">
        <v>16</v>
      </c>
      <c r="G4125" s="20" t="s">
        <v>21</v>
      </c>
      <c r="H4125" s="14" t="s">
        <v>24</v>
      </c>
      <c r="I4125" s="22">
        <v>2022.0</v>
      </c>
      <c r="J4125" s="16" t="str">
        <f>IFERROR(__xludf.DUMMYFUNCTION("FILTER('CLASFICACIÓN'!$F$3:$F5618,'CLASFICACIÓN'!$G$3:$G5618=M4125)"),"SOLO LINEA BASE")</f>
        <v>SOLO LINEA BASE</v>
      </c>
      <c r="K4125" s="16"/>
      <c r="L4125" s="14" t="s">
        <v>181</v>
      </c>
      <c r="M4125" s="16" t="str">
        <f t="shared" si="1"/>
        <v>505362 Primaria</v>
      </c>
      <c r="N4125" s="23"/>
      <c r="O4125" s="17"/>
      <c r="P4125" s="17"/>
      <c r="Q4125" s="17"/>
      <c r="R4125" s="17"/>
      <c r="S4125" s="17"/>
      <c r="T4125" s="17"/>
    </row>
    <row r="4126">
      <c r="A4126" s="21">
        <v>254.0</v>
      </c>
      <c r="B4126" s="14" t="s">
        <v>90</v>
      </c>
      <c r="C4126" s="14" t="s">
        <v>14</v>
      </c>
      <c r="D4126" s="20" t="s">
        <v>15</v>
      </c>
      <c r="E4126" s="12" t="str">
        <f>IFERROR(__xludf.DUMMYFUNCTION("FILTER(colegios!$B$2:$B5618,colegios!$A$2:$A5618=L4126)"),"50912")</f>
        <v>50912</v>
      </c>
      <c r="F4126" s="14" t="s">
        <v>16</v>
      </c>
      <c r="G4126" s="20" t="s">
        <v>21</v>
      </c>
      <c r="H4126" s="14" t="s">
        <v>18</v>
      </c>
      <c r="I4126" s="22">
        <v>2022.0</v>
      </c>
      <c r="J4126" s="16" t="str">
        <f>IFERROR(__xludf.DUMMYFUNCTION("FILTER('CLASFICACIÓN'!$F$3:$F5618,'CLASFICACIÓN'!$G$3:$G5618=M4126)"),"SOLO LINEA BASE")</f>
        <v>SOLO LINEA BASE</v>
      </c>
      <c r="K4126" s="16"/>
      <c r="L4126" s="14" t="s">
        <v>182</v>
      </c>
      <c r="M4126" s="16" t="str">
        <f t="shared" si="1"/>
        <v>509122 Primaria</v>
      </c>
      <c r="N4126" s="23"/>
      <c r="O4126" s="17"/>
      <c r="P4126" s="17"/>
      <c r="Q4126" s="17"/>
      <c r="R4126" s="17"/>
      <c r="S4126" s="17"/>
      <c r="T4126" s="17"/>
    </row>
    <row r="4127">
      <c r="A4127" s="21">
        <v>255.0</v>
      </c>
      <c r="B4127" s="14" t="s">
        <v>90</v>
      </c>
      <c r="C4127" s="14" t="s">
        <v>14</v>
      </c>
      <c r="D4127" s="20" t="s">
        <v>15</v>
      </c>
      <c r="E4127" s="12" t="str">
        <f>IFERROR(__xludf.DUMMYFUNCTION("FILTER(colegios!$B$2:$B5618,colegios!$A$2:$A5618=L4127)"),"50912")</f>
        <v>50912</v>
      </c>
      <c r="F4127" s="14" t="s">
        <v>16</v>
      </c>
      <c r="G4127" s="20" t="s">
        <v>21</v>
      </c>
      <c r="H4127" s="14" t="s">
        <v>24</v>
      </c>
      <c r="I4127" s="22">
        <v>2022.0</v>
      </c>
      <c r="J4127" s="16" t="str">
        <f>IFERROR(__xludf.DUMMYFUNCTION("FILTER('CLASFICACIÓN'!$F$3:$F5618,'CLASFICACIÓN'!$G$3:$G5618=M4127)"),"SOLO LINEA BASE")</f>
        <v>SOLO LINEA BASE</v>
      </c>
      <c r="K4127" s="16"/>
      <c r="L4127" s="14" t="s">
        <v>182</v>
      </c>
      <c r="M4127" s="16" t="str">
        <f t="shared" si="1"/>
        <v>509122 Primaria</v>
      </c>
      <c r="N4127" s="23"/>
      <c r="O4127" s="17"/>
      <c r="P4127" s="17"/>
      <c r="Q4127" s="17"/>
      <c r="R4127" s="17"/>
      <c r="S4127" s="17"/>
      <c r="T4127" s="17"/>
    </row>
    <row r="4128">
      <c r="A4128" s="21">
        <v>256.0</v>
      </c>
      <c r="B4128" s="14" t="s">
        <v>90</v>
      </c>
      <c r="C4128" s="14" t="s">
        <v>14</v>
      </c>
      <c r="D4128" s="20" t="s">
        <v>15</v>
      </c>
      <c r="E4128" s="12" t="str">
        <f>IFERROR(__xludf.DUMMYFUNCTION("FILTER(colegios!$B$2:$B5618,colegios!$A$2:$A5618=L4128)"),"50552 TUPAC AMARU II")</f>
        <v>50552 TUPAC AMARU II</v>
      </c>
      <c r="F4128" s="14" t="s">
        <v>16</v>
      </c>
      <c r="G4128" s="20" t="s">
        <v>21</v>
      </c>
      <c r="H4128" s="14" t="s">
        <v>18</v>
      </c>
      <c r="I4128" s="22">
        <v>2022.0</v>
      </c>
      <c r="J4128" s="16" t="str">
        <f>IFERROR(__xludf.DUMMYFUNCTION("FILTER('CLASFICACIÓN'!$F$3:$F5618,'CLASFICACIÓN'!$G$3:$G5618=M4128)"),"SOLO 2022 Y 2024")</f>
        <v>SOLO 2022 Y 2024</v>
      </c>
      <c r="K4128" s="16"/>
      <c r="L4128" s="14" t="s">
        <v>183</v>
      </c>
      <c r="M4128" s="16" t="str">
        <f t="shared" si="1"/>
        <v>50552 TUPAC AMARU II2 Primaria</v>
      </c>
      <c r="N4128" s="23"/>
      <c r="O4128" s="17"/>
      <c r="P4128" s="17"/>
      <c r="Q4128" s="17"/>
      <c r="R4128" s="17"/>
      <c r="S4128" s="17"/>
      <c r="T4128" s="17"/>
    </row>
    <row r="4129">
      <c r="A4129" s="21">
        <v>257.0</v>
      </c>
      <c r="B4129" s="14" t="s">
        <v>90</v>
      </c>
      <c r="C4129" s="14" t="s">
        <v>14</v>
      </c>
      <c r="D4129" s="20" t="s">
        <v>15</v>
      </c>
      <c r="E4129" s="12" t="str">
        <f>IFERROR(__xludf.DUMMYFUNCTION("FILTER(colegios!$B$2:$B5618,colegios!$A$2:$A5618=L4129)"),"50552 TUPAC AMARU II")</f>
        <v>50552 TUPAC AMARU II</v>
      </c>
      <c r="F4129" s="14" t="s">
        <v>16</v>
      </c>
      <c r="G4129" s="20" t="s">
        <v>21</v>
      </c>
      <c r="H4129" s="14" t="s">
        <v>18</v>
      </c>
      <c r="I4129" s="22">
        <v>2022.0</v>
      </c>
      <c r="J4129" s="16" t="str">
        <f>IFERROR(__xludf.DUMMYFUNCTION("FILTER('CLASFICACIÓN'!$F$3:$F5618,'CLASFICACIÓN'!$G$3:$G5618=M4129)"),"SOLO 2022 Y 2024")</f>
        <v>SOLO 2022 Y 2024</v>
      </c>
      <c r="K4129" s="16"/>
      <c r="L4129" s="14" t="s">
        <v>183</v>
      </c>
      <c r="M4129" s="16" t="str">
        <f t="shared" si="1"/>
        <v>50552 TUPAC AMARU II2 Primaria</v>
      </c>
      <c r="N4129" s="23"/>
      <c r="O4129" s="17"/>
      <c r="P4129" s="17"/>
      <c r="Q4129" s="17"/>
      <c r="R4129" s="17"/>
      <c r="S4129" s="17"/>
      <c r="T4129" s="17"/>
    </row>
    <row r="4130">
      <c r="A4130" s="21">
        <v>258.0</v>
      </c>
      <c r="B4130" s="14" t="s">
        <v>90</v>
      </c>
      <c r="C4130" s="14" t="s">
        <v>14</v>
      </c>
      <c r="D4130" s="20" t="s">
        <v>15</v>
      </c>
      <c r="E4130" s="12" t="str">
        <f>IFERROR(__xludf.DUMMYFUNCTION("FILTER(colegios!$B$2:$B5618,colegios!$A$2:$A5618=L4130)"),"50552 TUPAC AMARU II")</f>
        <v>50552 TUPAC AMARU II</v>
      </c>
      <c r="F4130" s="14" t="s">
        <v>16</v>
      </c>
      <c r="G4130" s="20" t="s">
        <v>17</v>
      </c>
      <c r="H4130" s="14" t="s">
        <v>18</v>
      </c>
      <c r="I4130" s="22">
        <v>2022.0</v>
      </c>
      <c r="J4130" s="16" t="str">
        <f>IFERROR(__xludf.DUMMYFUNCTION("FILTER('CLASFICACIÓN'!$F$3:$F5618,'CLASFICACIÓN'!$G$3:$G5618=M4130)"),"SOLO 2022 Y 2024")</f>
        <v>SOLO 2022 Y 2024</v>
      </c>
      <c r="K4130" s="16"/>
      <c r="L4130" s="14" t="s">
        <v>183</v>
      </c>
      <c r="M4130" s="16" t="str">
        <f t="shared" si="1"/>
        <v>50552 TUPAC AMARU II2 Primaria</v>
      </c>
      <c r="N4130" s="23"/>
      <c r="O4130" s="17"/>
      <c r="P4130" s="17"/>
      <c r="Q4130" s="17"/>
      <c r="R4130" s="17"/>
      <c r="S4130" s="17"/>
      <c r="T4130" s="17"/>
    </row>
    <row r="4131">
      <c r="A4131" s="21">
        <v>259.0</v>
      </c>
      <c r="B4131" s="14" t="s">
        <v>90</v>
      </c>
      <c r="C4131" s="14" t="s">
        <v>14</v>
      </c>
      <c r="D4131" s="20" t="s">
        <v>15</v>
      </c>
      <c r="E4131" s="12" t="str">
        <f>IFERROR(__xludf.DUMMYFUNCTION("FILTER(colegios!$B$2:$B5618,colegios!$A$2:$A5618=L4131)"),"50552 TUPAC AMARU II")</f>
        <v>50552 TUPAC AMARU II</v>
      </c>
      <c r="F4131" s="14" t="s">
        <v>16</v>
      </c>
      <c r="G4131" s="20" t="s">
        <v>21</v>
      </c>
      <c r="H4131" s="14" t="s">
        <v>18</v>
      </c>
      <c r="I4131" s="22">
        <v>2022.0</v>
      </c>
      <c r="J4131" s="16" t="str">
        <f>IFERROR(__xludf.DUMMYFUNCTION("FILTER('CLASFICACIÓN'!$F$3:$F5618,'CLASFICACIÓN'!$G$3:$G5618=M4131)"),"SOLO 2022 Y 2024")</f>
        <v>SOLO 2022 Y 2024</v>
      </c>
      <c r="K4131" s="16"/>
      <c r="L4131" s="14" t="s">
        <v>183</v>
      </c>
      <c r="M4131" s="16" t="str">
        <f t="shared" si="1"/>
        <v>50552 TUPAC AMARU II2 Primaria</v>
      </c>
      <c r="N4131" s="23"/>
      <c r="O4131" s="17"/>
      <c r="P4131" s="17"/>
      <c r="Q4131" s="17"/>
      <c r="R4131" s="17"/>
      <c r="S4131" s="17"/>
      <c r="T4131" s="17"/>
    </row>
    <row r="4132">
      <c r="A4132" s="21">
        <v>260.0</v>
      </c>
      <c r="B4132" s="14" t="s">
        <v>90</v>
      </c>
      <c r="C4132" s="14" t="s">
        <v>14</v>
      </c>
      <c r="D4132" s="20" t="s">
        <v>15</v>
      </c>
      <c r="E4132" s="12" t="str">
        <f>IFERROR(__xludf.DUMMYFUNCTION("FILTER(colegios!$B$2:$B5618,colegios!$A$2:$A5618=L4132)"),"50552 TUPAC AMARU II")</f>
        <v>50552 TUPAC AMARU II</v>
      </c>
      <c r="F4132" s="14" t="s">
        <v>16</v>
      </c>
      <c r="G4132" s="20" t="s">
        <v>21</v>
      </c>
      <c r="H4132" s="14" t="s">
        <v>18</v>
      </c>
      <c r="I4132" s="22">
        <v>2022.0</v>
      </c>
      <c r="J4132" s="16" t="str">
        <f>IFERROR(__xludf.DUMMYFUNCTION("FILTER('CLASFICACIÓN'!$F$3:$F5618,'CLASFICACIÓN'!$G$3:$G5618=M4132)"),"SOLO 2022 Y 2024")</f>
        <v>SOLO 2022 Y 2024</v>
      </c>
      <c r="K4132" s="16"/>
      <c r="L4132" s="14" t="s">
        <v>183</v>
      </c>
      <c r="M4132" s="16" t="str">
        <f t="shared" si="1"/>
        <v>50552 TUPAC AMARU II2 Primaria</v>
      </c>
      <c r="N4132" s="23"/>
      <c r="O4132" s="17"/>
      <c r="P4132" s="17"/>
      <c r="Q4132" s="17"/>
      <c r="R4132" s="17"/>
      <c r="S4132" s="17"/>
      <c r="T4132" s="17"/>
    </row>
    <row r="4133">
      <c r="A4133" s="21">
        <v>261.0</v>
      </c>
      <c r="B4133" s="14" t="s">
        <v>90</v>
      </c>
      <c r="C4133" s="14" t="s">
        <v>14</v>
      </c>
      <c r="D4133" s="20" t="s">
        <v>15</v>
      </c>
      <c r="E4133" s="12" t="str">
        <f>IFERROR(__xludf.DUMMYFUNCTION("FILTER(colegios!$B$2:$B5618,colegios!$A$2:$A5618=L4133)"),"50552 TUPAC AMARU II")</f>
        <v>50552 TUPAC AMARU II</v>
      </c>
      <c r="F4133" s="14" t="s">
        <v>16</v>
      </c>
      <c r="G4133" s="20" t="s">
        <v>17</v>
      </c>
      <c r="H4133" s="14" t="s">
        <v>18</v>
      </c>
      <c r="I4133" s="22">
        <v>2022.0</v>
      </c>
      <c r="J4133" s="16" t="str">
        <f>IFERROR(__xludf.DUMMYFUNCTION("FILTER('CLASFICACIÓN'!$F$3:$F5618,'CLASFICACIÓN'!$G$3:$G5618=M4133)"),"SOLO 2022 Y 2024")</f>
        <v>SOLO 2022 Y 2024</v>
      </c>
      <c r="K4133" s="16"/>
      <c r="L4133" s="14" t="s">
        <v>183</v>
      </c>
      <c r="M4133" s="16" t="str">
        <f t="shared" si="1"/>
        <v>50552 TUPAC AMARU II2 Primaria</v>
      </c>
      <c r="N4133" s="23"/>
      <c r="O4133" s="17"/>
      <c r="P4133" s="17"/>
      <c r="Q4133" s="17"/>
      <c r="R4133" s="17"/>
      <c r="S4133" s="17"/>
      <c r="T4133" s="17"/>
    </row>
    <row r="4134">
      <c r="A4134" s="21">
        <v>262.0</v>
      </c>
      <c r="B4134" s="14" t="s">
        <v>90</v>
      </c>
      <c r="C4134" s="14" t="s">
        <v>14</v>
      </c>
      <c r="D4134" s="20" t="s">
        <v>15</v>
      </c>
      <c r="E4134" s="12" t="str">
        <f>IFERROR(__xludf.DUMMYFUNCTION("FILTER(colegios!$B$2:$B5618,colegios!$A$2:$A5618=L4134)"),"50552 TUPAC AMARU II")</f>
        <v>50552 TUPAC AMARU II</v>
      </c>
      <c r="F4134" s="14" t="s">
        <v>16</v>
      </c>
      <c r="G4134" s="20" t="s">
        <v>21</v>
      </c>
      <c r="H4134" s="14" t="s">
        <v>18</v>
      </c>
      <c r="I4134" s="22">
        <v>2022.0</v>
      </c>
      <c r="J4134" s="16" t="str">
        <f>IFERROR(__xludf.DUMMYFUNCTION("FILTER('CLASFICACIÓN'!$F$3:$F5618,'CLASFICACIÓN'!$G$3:$G5618=M4134)"),"SOLO 2022 Y 2024")</f>
        <v>SOLO 2022 Y 2024</v>
      </c>
      <c r="K4134" s="16"/>
      <c r="L4134" s="14" t="s">
        <v>183</v>
      </c>
      <c r="M4134" s="16" t="str">
        <f t="shared" si="1"/>
        <v>50552 TUPAC AMARU II2 Primaria</v>
      </c>
      <c r="N4134" s="23"/>
      <c r="O4134" s="17"/>
      <c r="P4134" s="17"/>
      <c r="Q4134" s="17"/>
      <c r="R4134" s="17"/>
      <c r="S4134" s="17"/>
      <c r="T4134" s="17"/>
    </row>
    <row r="4135">
      <c r="A4135" s="21">
        <v>263.0</v>
      </c>
      <c r="B4135" s="14" t="s">
        <v>90</v>
      </c>
      <c r="C4135" s="14" t="s">
        <v>14</v>
      </c>
      <c r="D4135" s="20" t="s">
        <v>15</v>
      </c>
      <c r="E4135" s="12" t="str">
        <f>IFERROR(__xludf.DUMMYFUNCTION("FILTER(colegios!$B$2:$B5618,colegios!$A$2:$A5618=L4135)"),"50552 TUPAC AMARU II")</f>
        <v>50552 TUPAC AMARU II</v>
      </c>
      <c r="F4135" s="14" t="s">
        <v>16</v>
      </c>
      <c r="G4135" s="20" t="s">
        <v>21</v>
      </c>
      <c r="H4135" s="14" t="s">
        <v>18</v>
      </c>
      <c r="I4135" s="22">
        <v>2022.0</v>
      </c>
      <c r="J4135" s="16" t="str">
        <f>IFERROR(__xludf.DUMMYFUNCTION("FILTER('CLASFICACIÓN'!$F$3:$F5618,'CLASFICACIÓN'!$G$3:$G5618=M4135)"),"SOLO 2022 Y 2024")</f>
        <v>SOLO 2022 Y 2024</v>
      </c>
      <c r="K4135" s="16"/>
      <c r="L4135" s="14" t="s">
        <v>183</v>
      </c>
      <c r="M4135" s="16" t="str">
        <f t="shared" si="1"/>
        <v>50552 TUPAC AMARU II2 Primaria</v>
      </c>
      <c r="N4135" s="23"/>
      <c r="O4135" s="17"/>
      <c r="P4135" s="17"/>
      <c r="Q4135" s="17"/>
      <c r="R4135" s="17"/>
      <c r="S4135" s="17"/>
      <c r="T4135" s="17"/>
    </row>
    <row r="4136">
      <c r="A4136" s="21">
        <v>264.0</v>
      </c>
      <c r="B4136" s="14" t="s">
        <v>90</v>
      </c>
      <c r="C4136" s="14" t="s">
        <v>14</v>
      </c>
      <c r="D4136" s="20" t="s">
        <v>15</v>
      </c>
      <c r="E4136" s="12" t="str">
        <f>IFERROR(__xludf.DUMMYFUNCTION("FILTER(colegios!$B$2:$B5618,colegios!$A$2:$A5618=L4136)"),"50552 TUPAC AMARU II")</f>
        <v>50552 TUPAC AMARU II</v>
      </c>
      <c r="F4136" s="14" t="s">
        <v>16</v>
      </c>
      <c r="G4136" s="20" t="s">
        <v>17</v>
      </c>
      <c r="H4136" s="14" t="s">
        <v>18</v>
      </c>
      <c r="I4136" s="22">
        <v>2022.0</v>
      </c>
      <c r="J4136" s="16" t="str">
        <f>IFERROR(__xludf.DUMMYFUNCTION("FILTER('CLASFICACIÓN'!$F$3:$F5618,'CLASFICACIÓN'!$G$3:$G5618=M4136)"),"SOLO 2022 Y 2024")</f>
        <v>SOLO 2022 Y 2024</v>
      </c>
      <c r="K4136" s="16"/>
      <c r="L4136" s="14" t="s">
        <v>183</v>
      </c>
      <c r="M4136" s="16" t="str">
        <f t="shared" si="1"/>
        <v>50552 TUPAC AMARU II2 Primaria</v>
      </c>
      <c r="N4136" s="23"/>
      <c r="O4136" s="17"/>
      <c r="P4136" s="17"/>
      <c r="Q4136" s="17"/>
      <c r="R4136" s="17"/>
      <c r="S4136" s="17"/>
      <c r="T4136" s="17"/>
    </row>
    <row r="4137">
      <c r="A4137" s="21">
        <v>265.0</v>
      </c>
      <c r="B4137" s="14" t="s">
        <v>90</v>
      </c>
      <c r="C4137" s="14" t="s">
        <v>14</v>
      </c>
      <c r="D4137" s="20" t="s">
        <v>15</v>
      </c>
      <c r="E4137" s="12" t="str">
        <f>IFERROR(__xludf.DUMMYFUNCTION("FILTER(colegios!$B$2:$B5618,colegios!$A$2:$A5618=L4137)"),"50552 TUPAC AMARU II")</f>
        <v>50552 TUPAC AMARU II</v>
      </c>
      <c r="F4137" s="14" t="s">
        <v>16</v>
      </c>
      <c r="G4137" s="20" t="s">
        <v>21</v>
      </c>
      <c r="H4137" s="14" t="s">
        <v>18</v>
      </c>
      <c r="I4137" s="22">
        <v>2022.0</v>
      </c>
      <c r="J4137" s="16" t="str">
        <f>IFERROR(__xludf.DUMMYFUNCTION("FILTER('CLASFICACIÓN'!$F$3:$F5618,'CLASFICACIÓN'!$G$3:$G5618=M4137)"),"SOLO 2022 Y 2024")</f>
        <v>SOLO 2022 Y 2024</v>
      </c>
      <c r="K4137" s="16"/>
      <c r="L4137" s="14" t="s">
        <v>183</v>
      </c>
      <c r="M4137" s="16" t="str">
        <f t="shared" si="1"/>
        <v>50552 TUPAC AMARU II2 Primaria</v>
      </c>
      <c r="N4137" s="23"/>
      <c r="O4137" s="17"/>
      <c r="P4137" s="17"/>
      <c r="Q4137" s="17"/>
      <c r="R4137" s="17"/>
      <c r="S4137" s="17"/>
      <c r="T4137" s="17"/>
    </row>
    <row r="4138">
      <c r="A4138" s="21">
        <v>266.0</v>
      </c>
      <c r="B4138" s="14" t="s">
        <v>90</v>
      </c>
      <c r="C4138" s="14" t="s">
        <v>14</v>
      </c>
      <c r="D4138" s="20" t="s">
        <v>15</v>
      </c>
      <c r="E4138" s="12" t="str">
        <f>IFERROR(__xludf.DUMMYFUNCTION("FILTER(colegios!$B$2:$B5618,colegios!$A$2:$A5618=L4138)"),"50552 TUPAC AMARU II")</f>
        <v>50552 TUPAC AMARU II</v>
      </c>
      <c r="F4138" s="14" t="s">
        <v>16</v>
      </c>
      <c r="G4138" s="20" t="s">
        <v>17</v>
      </c>
      <c r="H4138" s="14" t="s">
        <v>18</v>
      </c>
      <c r="I4138" s="22">
        <v>2022.0</v>
      </c>
      <c r="J4138" s="16" t="str">
        <f>IFERROR(__xludf.DUMMYFUNCTION("FILTER('CLASFICACIÓN'!$F$3:$F5618,'CLASFICACIÓN'!$G$3:$G5618=M4138)"),"SOLO 2022 Y 2024")</f>
        <v>SOLO 2022 Y 2024</v>
      </c>
      <c r="K4138" s="16"/>
      <c r="L4138" s="14" t="s">
        <v>183</v>
      </c>
      <c r="M4138" s="16" t="str">
        <f t="shared" si="1"/>
        <v>50552 TUPAC AMARU II2 Primaria</v>
      </c>
      <c r="N4138" s="23"/>
      <c r="O4138" s="17"/>
      <c r="P4138" s="17"/>
      <c r="Q4138" s="17"/>
      <c r="R4138" s="17"/>
      <c r="S4138" s="17"/>
      <c r="T4138" s="17"/>
    </row>
    <row r="4139">
      <c r="A4139" s="21">
        <v>267.0</v>
      </c>
      <c r="B4139" s="14" t="s">
        <v>90</v>
      </c>
      <c r="C4139" s="14" t="s">
        <v>14</v>
      </c>
      <c r="D4139" s="20" t="s">
        <v>15</v>
      </c>
      <c r="E4139" s="12" t="str">
        <f>IFERROR(__xludf.DUMMYFUNCTION("FILTER(colegios!$B$2:$B5618,colegios!$A$2:$A5618=L4139)"),"50552 TUPAC AMARU II")</f>
        <v>50552 TUPAC AMARU II</v>
      </c>
      <c r="F4139" s="14" t="s">
        <v>16</v>
      </c>
      <c r="G4139" s="20" t="s">
        <v>17</v>
      </c>
      <c r="H4139" s="14" t="s">
        <v>18</v>
      </c>
      <c r="I4139" s="22">
        <v>2022.0</v>
      </c>
      <c r="J4139" s="16" t="str">
        <f>IFERROR(__xludf.DUMMYFUNCTION("FILTER('CLASFICACIÓN'!$F$3:$F5618,'CLASFICACIÓN'!$G$3:$G5618=M4139)"),"SOLO 2022 Y 2024")</f>
        <v>SOLO 2022 Y 2024</v>
      </c>
      <c r="K4139" s="16"/>
      <c r="L4139" s="14" t="s">
        <v>183</v>
      </c>
      <c r="M4139" s="16" t="str">
        <f t="shared" si="1"/>
        <v>50552 TUPAC AMARU II2 Primaria</v>
      </c>
      <c r="N4139" s="23"/>
      <c r="O4139" s="17"/>
      <c r="P4139" s="17"/>
      <c r="Q4139" s="17"/>
      <c r="R4139" s="17"/>
      <c r="S4139" s="17"/>
      <c r="T4139" s="17"/>
    </row>
    <row r="4140">
      <c r="A4140" s="21">
        <v>268.0</v>
      </c>
      <c r="B4140" s="14" t="s">
        <v>90</v>
      </c>
      <c r="C4140" s="14" t="s">
        <v>14</v>
      </c>
      <c r="D4140" s="20" t="s">
        <v>15</v>
      </c>
      <c r="E4140" s="12" t="str">
        <f>IFERROR(__xludf.DUMMYFUNCTION("FILTER(colegios!$B$2:$B5618,colegios!$A$2:$A5618=L4140)"),"50552 TUPAC AMARU II")</f>
        <v>50552 TUPAC AMARU II</v>
      </c>
      <c r="F4140" s="14" t="s">
        <v>16</v>
      </c>
      <c r="G4140" s="20" t="s">
        <v>17</v>
      </c>
      <c r="H4140" s="14" t="s">
        <v>18</v>
      </c>
      <c r="I4140" s="22">
        <v>2022.0</v>
      </c>
      <c r="J4140" s="16" t="str">
        <f>IFERROR(__xludf.DUMMYFUNCTION("FILTER('CLASFICACIÓN'!$F$3:$F5618,'CLASFICACIÓN'!$G$3:$G5618=M4140)"),"SOLO 2022 Y 2024")</f>
        <v>SOLO 2022 Y 2024</v>
      </c>
      <c r="K4140" s="16"/>
      <c r="L4140" s="14" t="s">
        <v>183</v>
      </c>
      <c r="M4140" s="16" t="str">
        <f t="shared" si="1"/>
        <v>50552 TUPAC AMARU II2 Primaria</v>
      </c>
      <c r="N4140" s="23"/>
      <c r="O4140" s="17"/>
      <c r="P4140" s="17"/>
      <c r="Q4140" s="17"/>
      <c r="R4140" s="17"/>
      <c r="S4140" s="17"/>
      <c r="T4140" s="17"/>
    </row>
    <row r="4141">
      <c r="A4141" s="21">
        <v>269.0</v>
      </c>
      <c r="B4141" s="14" t="s">
        <v>90</v>
      </c>
      <c r="C4141" s="14" t="s">
        <v>14</v>
      </c>
      <c r="D4141" s="20" t="s">
        <v>15</v>
      </c>
      <c r="E4141" s="12" t="str">
        <f>IFERROR(__xludf.DUMMYFUNCTION("FILTER(colegios!$B$2:$B5618,colegios!$A$2:$A5618=L4141)"),"50552 TUPAC AMARU II")</f>
        <v>50552 TUPAC AMARU II</v>
      </c>
      <c r="F4141" s="14" t="s">
        <v>16</v>
      </c>
      <c r="G4141" s="20" t="s">
        <v>21</v>
      </c>
      <c r="H4141" s="14" t="s">
        <v>18</v>
      </c>
      <c r="I4141" s="22">
        <v>2022.0</v>
      </c>
      <c r="J4141" s="16" t="str">
        <f>IFERROR(__xludf.DUMMYFUNCTION("FILTER('CLASFICACIÓN'!$F$3:$F5618,'CLASFICACIÓN'!$G$3:$G5618=M4141)"),"SOLO 2022 Y 2024")</f>
        <v>SOLO 2022 Y 2024</v>
      </c>
      <c r="K4141" s="16"/>
      <c r="L4141" s="14" t="s">
        <v>183</v>
      </c>
      <c r="M4141" s="16" t="str">
        <f t="shared" si="1"/>
        <v>50552 TUPAC AMARU II2 Primaria</v>
      </c>
      <c r="N4141" s="23"/>
      <c r="O4141" s="17"/>
      <c r="P4141" s="17"/>
      <c r="Q4141" s="17"/>
      <c r="R4141" s="17"/>
      <c r="S4141" s="17"/>
      <c r="T4141" s="17"/>
    </row>
    <row r="4142">
      <c r="A4142" s="21">
        <v>270.0</v>
      </c>
      <c r="B4142" s="14" t="s">
        <v>90</v>
      </c>
      <c r="C4142" s="14" t="s">
        <v>14</v>
      </c>
      <c r="D4142" s="20" t="s">
        <v>15</v>
      </c>
      <c r="E4142" s="12" t="str">
        <f>IFERROR(__xludf.DUMMYFUNCTION("FILTER(colegios!$B$2:$B5618,colegios!$A$2:$A5618=L4142)"),"50552 TUPAC AMARU II")</f>
        <v>50552 TUPAC AMARU II</v>
      </c>
      <c r="F4142" s="14" t="s">
        <v>16</v>
      </c>
      <c r="G4142" s="20" t="s">
        <v>17</v>
      </c>
      <c r="H4142" s="14" t="s">
        <v>18</v>
      </c>
      <c r="I4142" s="22">
        <v>2022.0</v>
      </c>
      <c r="J4142" s="16" t="str">
        <f>IFERROR(__xludf.DUMMYFUNCTION("FILTER('CLASFICACIÓN'!$F$3:$F5618,'CLASFICACIÓN'!$G$3:$G5618=M4142)"),"SOLO 2022 Y 2024")</f>
        <v>SOLO 2022 Y 2024</v>
      </c>
      <c r="K4142" s="16"/>
      <c r="L4142" s="14" t="s">
        <v>183</v>
      </c>
      <c r="M4142" s="16" t="str">
        <f t="shared" si="1"/>
        <v>50552 TUPAC AMARU II2 Primaria</v>
      </c>
      <c r="N4142" s="23"/>
      <c r="O4142" s="17"/>
      <c r="P4142" s="17"/>
      <c r="Q4142" s="17"/>
      <c r="R4142" s="17"/>
      <c r="S4142" s="17"/>
      <c r="T4142" s="17"/>
    </row>
    <row r="4143">
      <c r="A4143" s="21">
        <v>271.0</v>
      </c>
      <c r="B4143" s="14" t="s">
        <v>90</v>
      </c>
      <c r="C4143" s="14" t="s">
        <v>14</v>
      </c>
      <c r="D4143" s="20" t="s">
        <v>15</v>
      </c>
      <c r="E4143" s="12" t="str">
        <f>IFERROR(__xludf.DUMMYFUNCTION("FILTER(colegios!$B$2:$B5618,colegios!$A$2:$A5618=L4143)"),"50552 TUPAC AMARU II")</f>
        <v>50552 TUPAC AMARU II</v>
      </c>
      <c r="F4143" s="14" t="s">
        <v>16</v>
      </c>
      <c r="G4143" s="20" t="s">
        <v>21</v>
      </c>
      <c r="H4143" s="14" t="s">
        <v>18</v>
      </c>
      <c r="I4143" s="22">
        <v>2022.0</v>
      </c>
      <c r="J4143" s="16" t="str">
        <f>IFERROR(__xludf.DUMMYFUNCTION("FILTER('CLASFICACIÓN'!$F$3:$F5618,'CLASFICACIÓN'!$G$3:$G5618=M4143)"),"SOLO 2022 Y 2024")</f>
        <v>SOLO 2022 Y 2024</v>
      </c>
      <c r="K4143" s="16"/>
      <c r="L4143" s="14" t="s">
        <v>183</v>
      </c>
      <c r="M4143" s="16" t="str">
        <f t="shared" si="1"/>
        <v>50552 TUPAC AMARU II2 Primaria</v>
      </c>
      <c r="N4143" s="23"/>
      <c r="O4143" s="17"/>
      <c r="P4143" s="17"/>
      <c r="Q4143" s="17"/>
      <c r="R4143" s="17"/>
      <c r="S4143" s="17"/>
      <c r="T4143" s="17"/>
    </row>
    <row r="4144">
      <c r="A4144" s="21">
        <v>272.0</v>
      </c>
      <c r="B4144" s="14" t="s">
        <v>90</v>
      </c>
      <c r="C4144" s="14" t="s">
        <v>14</v>
      </c>
      <c r="D4144" s="20" t="s">
        <v>15</v>
      </c>
      <c r="E4144" s="12" t="str">
        <f>IFERROR(__xludf.DUMMYFUNCTION("FILTER(colegios!$B$2:$B5618,colegios!$A$2:$A5618=L4144)"),"50552 TUPAC AMARU II")</f>
        <v>50552 TUPAC AMARU II</v>
      </c>
      <c r="F4144" s="14" t="s">
        <v>16</v>
      </c>
      <c r="G4144" s="20" t="s">
        <v>17</v>
      </c>
      <c r="H4144" s="14" t="s">
        <v>18</v>
      </c>
      <c r="I4144" s="22">
        <v>2022.0</v>
      </c>
      <c r="J4144" s="16" t="str">
        <f>IFERROR(__xludf.DUMMYFUNCTION("FILTER('CLASFICACIÓN'!$F$3:$F5618,'CLASFICACIÓN'!$G$3:$G5618=M4144)"),"SOLO 2022 Y 2024")</f>
        <v>SOLO 2022 Y 2024</v>
      </c>
      <c r="K4144" s="16"/>
      <c r="L4144" s="14" t="s">
        <v>183</v>
      </c>
      <c r="M4144" s="16" t="str">
        <f t="shared" si="1"/>
        <v>50552 TUPAC AMARU II2 Primaria</v>
      </c>
      <c r="N4144" s="23"/>
      <c r="O4144" s="17"/>
      <c r="P4144" s="17"/>
      <c r="Q4144" s="17"/>
      <c r="R4144" s="17"/>
      <c r="S4144" s="17"/>
      <c r="T4144" s="17"/>
    </row>
    <row r="4145">
      <c r="A4145" s="21">
        <v>273.0</v>
      </c>
      <c r="B4145" s="14" t="s">
        <v>90</v>
      </c>
      <c r="C4145" s="14" t="s">
        <v>14</v>
      </c>
      <c r="D4145" s="20" t="s">
        <v>15</v>
      </c>
      <c r="E4145" s="12" t="str">
        <f>IFERROR(__xludf.DUMMYFUNCTION("FILTER(colegios!$B$2:$B5618,colegios!$A$2:$A5618=L4145)"),"50552 TUPAC AMARU II")</f>
        <v>50552 TUPAC AMARU II</v>
      </c>
      <c r="F4145" s="14" t="s">
        <v>16</v>
      </c>
      <c r="G4145" s="20" t="s">
        <v>21</v>
      </c>
      <c r="H4145" s="14" t="s">
        <v>18</v>
      </c>
      <c r="I4145" s="22">
        <v>2022.0</v>
      </c>
      <c r="J4145" s="16" t="str">
        <f>IFERROR(__xludf.DUMMYFUNCTION("FILTER('CLASFICACIÓN'!$F$3:$F5618,'CLASFICACIÓN'!$G$3:$G5618=M4145)"),"SOLO 2022 Y 2024")</f>
        <v>SOLO 2022 Y 2024</v>
      </c>
      <c r="K4145" s="16"/>
      <c r="L4145" s="14" t="s">
        <v>183</v>
      </c>
      <c r="M4145" s="16" t="str">
        <f t="shared" si="1"/>
        <v>50552 TUPAC AMARU II2 Primaria</v>
      </c>
      <c r="N4145" s="23"/>
      <c r="O4145" s="17"/>
      <c r="P4145" s="17"/>
      <c r="Q4145" s="17"/>
      <c r="R4145" s="17"/>
      <c r="S4145" s="17"/>
      <c r="T4145" s="17"/>
    </row>
    <row r="4146">
      <c r="A4146" s="21">
        <v>274.0</v>
      </c>
      <c r="B4146" s="14" t="s">
        <v>90</v>
      </c>
      <c r="C4146" s="14" t="s">
        <v>14</v>
      </c>
      <c r="D4146" s="20" t="s">
        <v>15</v>
      </c>
      <c r="E4146" s="12" t="str">
        <f>IFERROR(__xludf.DUMMYFUNCTION("FILTER(colegios!$B$2:$B5618,colegios!$A$2:$A5618=L4146)"),"50552 TUPAC AMARU II")</f>
        <v>50552 TUPAC AMARU II</v>
      </c>
      <c r="F4146" s="14" t="s">
        <v>16</v>
      </c>
      <c r="G4146" s="20" t="s">
        <v>17</v>
      </c>
      <c r="H4146" s="14" t="s">
        <v>18</v>
      </c>
      <c r="I4146" s="22">
        <v>2022.0</v>
      </c>
      <c r="J4146" s="16" t="str">
        <f>IFERROR(__xludf.DUMMYFUNCTION("FILTER('CLASFICACIÓN'!$F$3:$F5618,'CLASFICACIÓN'!$G$3:$G5618=M4146)"),"SOLO 2022 Y 2024")</f>
        <v>SOLO 2022 Y 2024</v>
      </c>
      <c r="K4146" s="16"/>
      <c r="L4146" s="14" t="s">
        <v>183</v>
      </c>
      <c r="M4146" s="16" t="str">
        <f t="shared" si="1"/>
        <v>50552 TUPAC AMARU II2 Primaria</v>
      </c>
      <c r="N4146" s="23"/>
      <c r="O4146" s="17"/>
      <c r="P4146" s="17"/>
      <c r="Q4146" s="17"/>
      <c r="R4146" s="17"/>
      <c r="S4146" s="17"/>
      <c r="T4146" s="17"/>
    </row>
    <row r="4147">
      <c r="A4147" s="21">
        <v>275.0</v>
      </c>
      <c r="B4147" s="14" t="s">
        <v>90</v>
      </c>
      <c r="C4147" s="14" t="s">
        <v>14</v>
      </c>
      <c r="D4147" s="20" t="s">
        <v>15</v>
      </c>
      <c r="E4147" s="12" t="str">
        <f>IFERROR(__xludf.DUMMYFUNCTION("FILTER(colegios!$B$2:$B5618,colegios!$A$2:$A5618=L4147)"),"50552 TUPAC AMARU II")</f>
        <v>50552 TUPAC AMARU II</v>
      </c>
      <c r="F4147" s="14" t="s">
        <v>16</v>
      </c>
      <c r="G4147" s="20" t="s">
        <v>17</v>
      </c>
      <c r="H4147" s="14" t="s">
        <v>18</v>
      </c>
      <c r="I4147" s="22">
        <v>2022.0</v>
      </c>
      <c r="J4147" s="16" t="str">
        <f>IFERROR(__xludf.DUMMYFUNCTION("FILTER('CLASFICACIÓN'!$F$3:$F5618,'CLASFICACIÓN'!$G$3:$G5618=M4147)"),"SOLO 2022 Y 2024")</f>
        <v>SOLO 2022 Y 2024</v>
      </c>
      <c r="K4147" s="16"/>
      <c r="L4147" s="14" t="s">
        <v>183</v>
      </c>
      <c r="M4147" s="16" t="str">
        <f t="shared" si="1"/>
        <v>50552 TUPAC AMARU II2 Primaria</v>
      </c>
      <c r="N4147" s="23"/>
      <c r="O4147" s="17"/>
      <c r="P4147" s="17"/>
      <c r="Q4147" s="17"/>
      <c r="R4147" s="17"/>
      <c r="S4147" s="17"/>
      <c r="T4147" s="17"/>
    </row>
    <row r="4148">
      <c r="A4148" s="21">
        <v>276.0</v>
      </c>
      <c r="B4148" s="14" t="s">
        <v>90</v>
      </c>
      <c r="C4148" s="14" t="s">
        <v>14</v>
      </c>
      <c r="D4148" s="20" t="s">
        <v>15</v>
      </c>
      <c r="E4148" s="12" t="str">
        <f>IFERROR(__xludf.DUMMYFUNCTION("FILTER(colegios!$B$2:$B5618,colegios!$A$2:$A5618=L4148)"),"50552 TUPAC AMARU II")</f>
        <v>50552 TUPAC AMARU II</v>
      </c>
      <c r="F4148" s="14" t="s">
        <v>16</v>
      </c>
      <c r="G4148" s="20" t="s">
        <v>21</v>
      </c>
      <c r="H4148" s="14" t="s">
        <v>18</v>
      </c>
      <c r="I4148" s="22">
        <v>2022.0</v>
      </c>
      <c r="J4148" s="16" t="str">
        <f>IFERROR(__xludf.DUMMYFUNCTION("FILTER('CLASFICACIÓN'!$F$3:$F5618,'CLASFICACIÓN'!$G$3:$G5618=M4148)"),"SOLO 2022 Y 2024")</f>
        <v>SOLO 2022 Y 2024</v>
      </c>
      <c r="K4148" s="16"/>
      <c r="L4148" s="14" t="s">
        <v>183</v>
      </c>
      <c r="M4148" s="16" t="str">
        <f t="shared" si="1"/>
        <v>50552 TUPAC AMARU II2 Primaria</v>
      </c>
      <c r="N4148" s="23"/>
      <c r="O4148" s="17"/>
      <c r="P4148" s="17"/>
      <c r="Q4148" s="17"/>
      <c r="R4148" s="17"/>
      <c r="S4148" s="17"/>
      <c r="T4148" s="17"/>
    </row>
    <row r="4149">
      <c r="A4149" s="21">
        <v>277.0</v>
      </c>
      <c r="B4149" s="14" t="s">
        <v>90</v>
      </c>
      <c r="C4149" s="14" t="s">
        <v>14</v>
      </c>
      <c r="D4149" s="20" t="s">
        <v>15</v>
      </c>
      <c r="E4149" s="12" t="str">
        <f>IFERROR(__xludf.DUMMYFUNCTION("FILTER(colegios!$B$2:$B5618,colegios!$A$2:$A5618=L4149)"),"50552 TUPAC AMARU II")</f>
        <v>50552 TUPAC AMARU II</v>
      </c>
      <c r="F4149" s="14" t="s">
        <v>16</v>
      </c>
      <c r="G4149" s="20" t="s">
        <v>21</v>
      </c>
      <c r="H4149" s="14" t="s">
        <v>18</v>
      </c>
      <c r="I4149" s="22">
        <v>2022.0</v>
      </c>
      <c r="J4149" s="16" t="str">
        <f>IFERROR(__xludf.DUMMYFUNCTION("FILTER('CLASFICACIÓN'!$F$3:$F5618,'CLASFICACIÓN'!$G$3:$G5618=M4149)"),"SOLO 2022 Y 2024")</f>
        <v>SOLO 2022 Y 2024</v>
      </c>
      <c r="K4149" s="16"/>
      <c r="L4149" s="14" t="s">
        <v>183</v>
      </c>
      <c r="M4149" s="16" t="str">
        <f t="shared" si="1"/>
        <v>50552 TUPAC AMARU II2 Primaria</v>
      </c>
      <c r="N4149" s="23"/>
      <c r="O4149" s="17"/>
      <c r="P4149" s="17"/>
      <c r="Q4149" s="17"/>
      <c r="R4149" s="17"/>
      <c r="S4149" s="17"/>
      <c r="T4149" s="17"/>
    </row>
    <row r="4150">
      <c r="A4150" s="21">
        <v>278.0</v>
      </c>
      <c r="B4150" s="14" t="s">
        <v>90</v>
      </c>
      <c r="C4150" s="14" t="s">
        <v>14</v>
      </c>
      <c r="D4150" s="20" t="s">
        <v>15</v>
      </c>
      <c r="E4150" s="12" t="str">
        <f>IFERROR(__xludf.DUMMYFUNCTION("FILTER(colegios!$B$2:$B5618,colegios!$A$2:$A5618=L4150)"),"50552 TUPAC AMARU II")</f>
        <v>50552 TUPAC AMARU II</v>
      </c>
      <c r="F4150" s="14" t="s">
        <v>16</v>
      </c>
      <c r="G4150" s="20" t="s">
        <v>21</v>
      </c>
      <c r="H4150" s="14" t="s">
        <v>18</v>
      </c>
      <c r="I4150" s="22">
        <v>2022.0</v>
      </c>
      <c r="J4150" s="16" t="str">
        <f>IFERROR(__xludf.DUMMYFUNCTION("FILTER('CLASFICACIÓN'!$F$3:$F5618,'CLASFICACIÓN'!$G$3:$G5618=M4150)"),"SOLO 2022 Y 2024")</f>
        <v>SOLO 2022 Y 2024</v>
      </c>
      <c r="K4150" s="16"/>
      <c r="L4150" s="14" t="s">
        <v>183</v>
      </c>
      <c r="M4150" s="16" t="str">
        <f t="shared" si="1"/>
        <v>50552 TUPAC AMARU II2 Primaria</v>
      </c>
      <c r="N4150" s="23"/>
      <c r="O4150" s="17"/>
      <c r="P4150" s="17"/>
      <c r="Q4150" s="17"/>
      <c r="R4150" s="17"/>
      <c r="S4150" s="17"/>
      <c r="T4150" s="17"/>
    </row>
    <row r="4151">
      <c r="A4151" s="21">
        <v>279.0</v>
      </c>
      <c r="B4151" s="14" t="s">
        <v>90</v>
      </c>
      <c r="C4151" s="14" t="s">
        <v>14</v>
      </c>
      <c r="D4151" s="20" t="s">
        <v>15</v>
      </c>
      <c r="E4151" s="12" t="str">
        <f>IFERROR(__xludf.DUMMYFUNCTION("FILTER(colegios!$B$2:$B5618,colegios!$A$2:$A5618=L4151)"),"50552 TUPAC AMARU II")</f>
        <v>50552 TUPAC AMARU II</v>
      </c>
      <c r="F4151" s="14" t="s">
        <v>16</v>
      </c>
      <c r="G4151" s="20" t="s">
        <v>21</v>
      </c>
      <c r="H4151" s="14" t="s">
        <v>18</v>
      </c>
      <c r="I4151" s="22">
        <v>2022.0</v>
      </c>
      <c r="J4151" s="16" t="str">
        <f>IFERROR(__xludf.DUMMYFUNCTION("FILTER('CLASFICACIÓN'!$F$3:$F5618,'CLASFICACIÓN'!$G$3:$G5618=M4151)"),"SOLO 2022 Y 2024")</f>
        <v>SOLO 2022 Y 2024</v>
      </c>
      <c r="K4151" s="16"/>
      <c r="L4151" s="14" t="s">
        <v>183</v>
      </c>
      <c r="M4151" s="16" t="str">
        <f t="shared" si="1"/>
        <v>50552 TUPAC AMARU II2 Primaria</v>
      </c>
      <c r="N4151" s="23"/>
      <c r="O4151" s="17"/>
      <c r="P4151" s="17"/>
      <c r="Q4151" s="17"/>
      <c r="R4151" s="17"/>
      <c r="S4151" s="17"/>
      <c r="T4151" s="17"/>
    </row>
    <row r="4152">
      <c r="A4152" s="21">
        <v>280.0</v>
      </c>
      <c r="B4152" s="14" t="s">
        <v>90</v>
      </c>
      <c r="C4152" s="14" t="s">
        <v>14</v>
      </c>
      <c r="D4152" s="20" t="s">
        <v>15</v>
      </c>
      <c r="E4152" s="12" t="str">
        <f>IFERROR(__xludf.DUMMYFUNCTION("FILTER(colegios!$B$2:$B5618,colegios!$A$2:$A5618=L4152)"),"50552 TUPAC AMARU II")</f>
        <v>50552 TUPAC AMARU II</v>
      </c>
      <c r="F4152" s="14" t="s">
        <v>16</v>
      </c>
      <c r="G4152" s="20" t="s">
        <v>21</v>
      </c>
      <c r="H4152" s="14" t="s">
        <v>18</v>
      </c>
      <c r="I4152" s="22">
        <v>2022.0</v>
      </c>
      <c r="J4152" s="16" t="str">
        <f>IFERROR(__xludf.DUMMYFUNCTION("FILTER('CLASFICACIÓN'!$F$3:$F5618,'CLASFICACIÓN'!$G$3:$G5618=M4152)"),"SOLO 2022 Y 2024")</f>
        <v>SOLO 2022 Y 2024</v>
      </c>
      <c r="K4152" s="16"/>
      <c r="L4152" s="14" t="s">
        <v>183</v>
      </c>
      <c r="M4152" s="16" t="str">
        <f t="shared" si="1"/>
        <v>50552 TUPAC AMARU II2 Primaria</v>
      </c>
      <c r="N4152" s="23"/>
      <c r="O4152" s="17"/>
      <c r="P4152" s="17"/>
      <c r="Q4152" s="17"/>
      <c r="R4152" s="17"/>
      <c r="S4152" s="17"/>
      <c r="T4152" s="17"/>
    </row>
    <row r="4153">
      <c r="A4153" s="21">
        <v>281.0</v>
      </c>
      <c r="B4153" s="14" t="s">
        <v>90</v>
      </c>
      <c r="C4153" s="14" t="s">
        <v>14</v>
      </c>
      <c r="D4153" s="20" t="s">
        <v>15</v>
      </c>
      <c r="E4153" s="12" t="str">
        <f>IFERROR(__xludf.DUMMYFUNCTION("FILTER(colegios!$B$2:$B5618,colegios!$A$2:$A5618=L4153)"),"50552 TUPAC AMARU II")</f>
        <v>50552 TUPAC AMARU II</v>
      </c>
      <c r="F4153" s="14" t="s">
        <v>16</v>
      </c>
      <c r="G4153" s="20" t="s">
        <v>21</v>
      </c>
      <c r="H4153" s="14" t="s">
        <v>18</v>
      </c>
      <c r="I4153" s="22">
        <v>2022.0</v>
      </c>
      <c r="J4153" s="16" t="str">
        <f>IFERROR(__xludf.DUMMYFUNCTION("FILTER('CLASFICACIÓN'!$F$3:$F5618,'CLASFICACIÓN'!$G$3:$G5618=M4153)"),"SOLO 2022 Y 2024")</f>
        <v>SOLO 2022 Y 2024</v>
      </c>
      <c r="K4153" s="16"/>
      <c r="L4153" s="14" t="s">
        <v>183</v>
      </c>
      <c r="M4153" s="16" t="str">
        <f t="shared" si="1"/>
        <v>50552 TUPAC AMARU II2 Primaria</v>
      </c>
      <c r="N4153" s="23"/>
      <c r="O4153" s="17"/>
      <c r="P4153" s="17"/>
      <c r="Q4153" s="17"/>
      <c r="R4153" s="17"/>
      <c r="S4153" s="17"/>
      <c r="T4153" s="17"/>
    </row>
    <row r="4154">
      <c r="A4154" s="21">
        <v>282.0</v>
      </c>
      <c r="B4154" s="14" t="s">
        <v>90</v>
      </c>
      <c r="C4154" s="14" t="s">
        <v>14</v>
      </c>
      <c r="D4154" s="20" t="s">
        <v>15</v>
      </c>
      <c r="E4154" s="12" t="str">
        <f>IFERROR(__xludf.DUMMYFUNCTION("FILTER(colegios!$B$2:$B5618,colegios!$A$2:$A5618=L4154)"),"50552 TUPAC AMARU II")</f>
        <v>50552 TUPAC AMARU II</v>
      </c>
      <c r="F4154" s="14" t="s">
        <v>16</v>
      </c>
      <c r="G4154" s="20" t="s">
        <v>21</v>
      </c>
      <c r="H4154" s="14" t="s">
        <v>18</v>
      </c>
      <c r="I4154" s="22">
        <v>2022.0</v>
      </c>
      <c r="J4154" s="16" t="str">
        <f>IFERROR(__xludf.DUMMYFUNCTION("FILTER('CLASFICACIÓN'!$F$3:$F5618,'CLASFICACIÓN'!$G$3:$G5618=M4154)"),"SOLO 2022 Y 2024")</f>
        <v>SOLO 2022 Y 2024</v>
      </c>
      <c r="K4154" s="16"/>
      <c r="L4154" s="14" t="s">
        <v>183</v>
      </c>
      <c r="M4154" s="16" t="str">
        <f t="shared" si="1"/>
        <v>50552 TUPAC AMARU II2 Primaria</v>
      </c>
      <c r="N4154" s="23"/>
      <c r="O4154" s="17"/>
      <c r="P4154" s="17"/>
      <c r="Q4154" s="17"/>
      <c r="R4154" s="17"/>
      <c r="S4154" s="17"/>
      <c r="T4154" s="17"/>
    </row>
    <row r="4155">
      <c r="A4155" s="21">
        <v>283.0</v>
      </c>
      <c r="B4155" s="14" t="s">
        <v>90</v>
      </c>
      <c r="C4155" s="14" t="s">
        <v>14</v>
      </c>
      <c r="D4155" s="20" t="s">
        <v>15</v>
      </c>
      <c r="E4155" s="12" t="str">
        <f>IFERROR(__xludf.DUMMYFUNCTION("FILTER(colegios!$B$2:$B5618,colegios!$A$2:$A5618=L4155)"),"50552 TUPAC AMARU II")</f>
        <v>50552 TUPAC AMARU II</v>
      </c>
      <c r="F4155" s="14" t="s">
        <v>16</v>
      </c>
      <c r="G4155" s="20" t="s">
        <v>21</v>
      </c>
      <c r="H4155" s="14" t="s">
        <v>18</v>
      </c>
      <c r="I4155" s="22">
        <v>2022.0</v>
      </c>
      <c r="J4155" s="16" t="str">
        <f>IFERROR(__xludf.DUMMYFUNCTION("FILTER('CLASFICACIÓN'!$F$3:$F5618,'CLASFICACIÓN'!$G$3:$G5618=M4155)"),"SOLO 2022 Y 2024")</f>
        <v>SOLO 2022 Y 2024</v>
      </c>
      <c r="K4155" s="16"/>
      <c r="L4155" s="14" t="s">
        <v>183</v>
      </c>
      <c r="M4155" s="16" t="str">
        <f t="shared" si="1"/>
        <v>50552 TUPAC AMARU II2 Primaria</v>
      </c>
      <c r="N4155" s="23"/>
      <c r="O4155" s="17"/>
      <c r="P4155" s="17"/>
      <c r="Q4155" s="17"/>
      <c r="R4155" s="17"/>
      <c r="S4155" s="17"/>
      <c r="T4155" s="17"/>
    </row>
    <row r="4156">
      <c r="A4156" s="21">
        <v>284.0</v>
      </c>
      <c r="B4156" s="14" t="s">
        <v>90</v>
      </c>
      <c r="C4156" s="14" t="s">
        <v>14</v>
      </c>
      <c r="D4156" s="20" t="s">
        <v>15</v>
      </c>
      <c r="E4156" s="12" t="str">
        <f>IFERROR(__xludf.DUMMYFUNCTION("FILTER(colegios!$B$2:$B5618,colegios!$A$2:$A5618=L4156)"),"50552 TUPAC AMARU II")</f>
        <v>50552 TUPAC AMARU II</v>
      </c>
      <c r="F4156" s="14" t="s">
        <v>16</v>
      </c>
      <c r="G4156" s="20" t="s">
        <v>21</v>
      </c>
      <c r="H4156" s="14" t="s">
        <v>18</v>
      </c>
      <c r="I4156" s="22">
        <v>2022.0</v>
      </c>
      <c r="J4156" s="16" t="str">
        <f>IFERROR(__xludf.DUMMYFUNCTION("FILTER('CLASFICACIÓN'!$F$3:$F5618,'CLASFICACIÓN'!$G$3:$G5618=M4156)"),"SOLO 2022 Y 2024")</f>
        <v>SOLO 2022 Y 2024</v>
      </c>
      <c r="K4156" s="16"/>
      <c r="L4156" s="14" t="s">
        <v>183</v>
      </c>
      <c r="M4156" s="16" t="str">
        <f t="shared" si="1"/>
        <v>50552 TUPAC AMARU II2 Primaria</v>
      </c>
      <c r="N4156" s="23"/>
      <c r="O4156" s="17"/>
      <c r="P4156" s="17"/>
      <c r="Q4156" s="17"/>
      <c r="R4156" s="17"/>
      <c r="S4156" s="17"/>
      <c r="T4156" s="17"/>
    </row>
    <row r="4157">
      <c r="A4157" s="21">
        <v>285.0</v>
      </c>
      <c r="B4157" s="14" t="s">
        <v>90</v>
      </c>
      <c r="C4157" s="14" t="s">
        <v>14</v>
      </c>
      <c r="D4157" s="20" t="s">
        <v>15</v>
      </c>
      <c r="E4157" s="12" t="str">
        <f>IFERROR(__xludf.DUMMYFUNCTION("FILTER(colegios!$B$2:$B5618,colegios!$A$2:$A5618=L4157)"),"50552 TUPAC AMARU II")</f>
        <v>50552 TUPAC AMARU II</v>
      </c>
      <c r="F4157" s="14" t="s">
        <v>16</v>
      </c>
      <c r="G4157" s="20" t="s">
        <v>17</v>
      </c>
      <c r="H4157" s="14" t="s">
        <v>18</v>
      </c>
      <c r="I4157" s="22">
        <v>2022.0</v>
      </c>
      <c r="J4157" s="16" t="str">
        <f>IFERROR(__xludf.DUMMYFUNCTION("FILTER('CLASFICACIÓN'!$F$3:$F5618,'CLASFICACIÓN'!$G$3:$G5618=M4157)"),"SOLO 2022 Y 2024")</f>
        <v>SOLO 2022 Y 2024</v>
      </c>
      <c r="K4157" s="16"/>
      <c r="L4157" s="14" t="s">
        <v>183</v>
      </c>
      <c r="M4157" s="16" t="str">
        <f t="shared" si="1"/>
        <v>50552 TUPAC AMARU II2 Primaria</v>
      </c>
      <c r="N4157" s="23"/>
      <c r="O4157" s="17"/>
      <c r="P4157" s="17"/>
      <c r="Q4157" s="17"/>
      <c r="R4157" s="17"/>
      <c r="S4157" s="17"/>
      <c r="T4157" s="17"/>
    </row>
    <row r="4158">
      <c r="A4158" s="21">
        <v>286.0</v>
      </c>
      <c r="B4158" s="14" t="s">
        <v>90</v>
      </c>
      <c r="C4158" s="14" t="s">
        <v>14</v>
      </c>
      <c r="D4158" s="20" t="s">
        <v>15</v>
      </c>
      <c r="E4158" s="12" t="str">
        <f>IFERROR(__xludf.DUMMYFUNCTION("FILTER(colegios!$B$2:$B5618,colegios!$A$2:$A5618=L4158)"),"50552 TUPAC AMARU II")</f>
        <v>50552 TUPAC AMARU II</v>
      </c>
      <c r="F4158" s="14" t="s">
        <v>16</v>
      </c>
      <c r="G4158" s="20" t="s">
        <v>17</v>
      </c>
      <c r="H4158" s="14" t="s">
        <v>18</v>
      </c>
      <c r="I4158" s="22">
        <v>2022.0</v>
      </c>
      <c r="J4158" s="16" t="str">
        <f>IFERROR(__xludf.DUMMYFUNCTION("FILTER('CLASFICACIÓN'!$F$3:$F5618,'CLASFICACIÓN'!$G$3:$G5618=M4158)"),"SOLO 2022 Y 2024")</f>
        <v>SOLO 2022 Y 2024</v>
      </c>
      <c r="K4158" s="16"/>
      <c r="L4158" s="14" t="s">
        <v>183</v>
      </c>
      <c r="M4158" s="16" t="str">
        <f t="shared" si="1"/>
        <v>50552 TUPAC AMARU II2 Primaria</v>
      </c>
      <c r="N4158" s="23"/>
      <c r="O4158" s="17"/>
      <c r="P4158" s="17"/>
      <c r="Q4158" s="17"/>
      <c r="R4158" s="17"/>
      <c r="S4158" s="17"/>
      <c r="T4158" s="17"/>
    </row>
    <row r="4159">
      <c r="A4159" s="21">
        <v>287.0</v>
      </c>
      <c r="B4159" s="14" t="s">
        <v>90</v>
      </c>
      <c r="C4159" s="14" t="s">
        <v>14</v>
      </c>
      <c r="D4159" s="20" t="s">
        <v>15</v>
      </c>
      <c r="E4159" s="12" t="str">
        <f>IFERROR(__xludf.DUMMYFUNCTION("FILTER(colegios!$B$2:$B5618,colegios!$A$2:$A5618=L4159)"),"50552 TUPAC AMARU II")</f>
        <v>50552 TUPAC AMARU II</v>
      </c>
      <c r="F4159" s="14" t="s">
        <v>16</v>
      </c>
      <c r="G4159" s="20" t="s">
        <v>21</v>
      </c>
      <c r="H4159" s="14" t="s">
        <v>18</v>
      </c>
      <c r="I4159" s="22">
        <v>2022.0</v>
      </c>
      <c r="J4159" s="16" t="str">
        <f>IFERROR(__xludf.DUMMYFUNCTION("FILTER('CLASFICACIÓN'!$F$3:$F5618,'CLASFICACIÓN'!$G$3:$G5618=M4159)"),"SOLO 2022 Y 2024")</f>
        <v>SOLO 2022 Y 2024</v>
      </c>
      <c r="K4159" s="16"/>
      <c r="L4159" s="14" t="s">
        <v>183</v>
      </c>
      <c r="M4159" s="16" t="str">
        <f t="shared" si="1"/>
        <v>50552 TUPAC AMARU II2 Primaria</v>
      </c>
      <c r="N4159" s="23"/>
      <c r="O4159" s="17"/>
      <c r="P4159" s="17"/>
      <c r="Q4159" s="17"/>
      <c r="R4159" s="17"/>
      <c r="S4159" s="17"/>
      <c r="T4159" s="17"/>
    </row>
    <row r="4160">
      <c r="A4160" s="21">
        <v>288.0</v>
      </c>
      <c r="B4160" s="14" t="s">
        <v>90</v>
      </c>
      <c r="C4160" s="14" t="s">
        <v>14</v>
      </c>
      <c r="D4160" s="20" t="s">
        <v>15</v>
      </c>
      <c r="E4160" s="12" t="str">
        <f>IFERROR(__xludf.DUMMYFUNCTION("FILTER(colegios!$B$2:$B5618,colegios!$A$2:$A5618=L4160)"),"50552 TUPAC AMARU II")</f>
        <v>50552 TUPAC AMARU II</v>
      </c>
      <c r="F4160" s="14" t="s">
        <v>16</v>
      </c>
      <c r="G4160" s="20" t="s">
        <v>21</v>
      </c>
      <c r="H4160" s="14" t="s">
        <v>18</v>
      </c>
      <c r="I4160" s="22">
        <v>2022.0</v>
      </c>
      <c r="J4160" s="16" t="str">
        <f>IFERROR(__xludf.DUMMYFUNCTION("FILTER('CLASFICACIÓN'!$F$3:$F5618,'CLASFICACIÓN'!$G$3:$G5618=M4160)"),"SOLO 2022 Y 2024")</f>
        <v>SOLO 2022 Y 2024</v>
      </c>
      <c r="K4160" s="16"/>
      <c r="L4160" s="14" t="s">
        <v>183</v>
      </c>
      <c r="M4160" s="16" t="str">
        <f t="shared" si="1"/>
        <v>50552 TUPAC AMARU II2 Primaria</v>
      </c>
      <c r="N4160" s="23"/>
      <c r="O4160" s="17"/>
      <c r="P4160" s="17"/>
      <c r="Q4160" s="17"/>
      <c r="R4160" s="17"/>
      <c r="S4160" s="17"/>
      <c r="T4160" s="17"/>
    </row>
    <row r="4161">
      <c r="A4161" s="21">
        <v>289.0</v>
      </c>
      <c r="B4161" s="14" t="s">
        <v>90</v>
      </c>
      <c r="C4161" s="14" t="s">
        <v>14</v>
      </c>
      <c r="D4161" s="20" t="s">
        <v>15</v>
      </c>
      <c r="E4161" s="12" t="str">
        <f>IFERROR(__xludf.DUMMYFUNCTION("FILTER(colegios!$B$2:$B5618,colegios!$A$2:$A5618=L4161)"),"50552 TUPAC AMARU II")</f>
        <v>50552 TUPAC AMARU II</v>
      </c>
      <c r="F4161" s="14" t="s">
        <v>16</v>
      </c>
      <c r="G4161" s="20" t="s">
        <v>21</v>
      </c>
      <c r="H4161" s="14" t="s">
        <v>18</v>
      </c>
      <c r="I4161" s="22">
        <v>2022.0</v>
      </c>
      <c r="J4161" s="16" t="str">
        <f>IFERROR(__xludf.DUMMYFUNCTION("FILTER('CLASFICACIÓN'!$F$3:$F5618,'CLASFICACIÓN'!$G$3:$G5618=M4161)"),"SOLO 2022 Y 2024")</f>
        <v>SOLO 2022 Y 2024</v>
      </c>
      <c r="K4161" s="16"/>
      <c r="L4161" s="14" t="s">
        <v>183</v>
      </c>
      <c r="M4161" s="16" t="str">
        <f t="shared" si="1"/>
        <v>50552 TUPAC AMARU II2 Primaria</v>
      </c>
      <c r="N4161" s="23"/>
      <c r="O4161" s="17"/>
      <c r="P4161" s="17"/>
      <c r="Q4161" s="17"/>
      <c r="R4161" s="17"/>
      <c r="S4161" s="17"/>
      <c r="T4161" s="17"/>
    </row>
    <row r="4162">
      <c r="A4162" s="21">
        <v>290.0</v>
      </c>
      <c r="B4162" s="14" t="s">
        <v>90</v>
      </c>
      <c r="C4162" s="14" t="s">
        <v>14</v>
      </c>
      <c r="D4162" s="20" t="s">
        <v>15</v>
      </c>
      <c r="E4162" s="12" t="str">
        <f>IFERROR(__xludf.DUMMYFUNCTION("FILTER(colegios!$B$2:$B5618,colegios!$A$2:$A5618=L4162)"),"50552 TUPAC AMARU II")</f>
        <v>50552 TUPAC AMARU II</v>
      </c>
      <c r="F4162" s="14" t="s">
        <v>16</v>
      </c>
      <c r="G4162" s="20" t="s">
        <v>17</v>
      </c>
      <c r="H4162" s="14" t="s">
        <v>18</v>
      </c>
      <c r="I4162" s="22">
        <v>2022.0</v>
      </c>
      <c r="J4162" s="16" t="str">
        <f>IFERROR(__xludf.DUMMYFUNCTION("FILTER('CLASFICACIÓN'!$F$3:$F5618,'CLASFICACIÓN'!$G$3:$G5618=M4162)"),"SOLO 2022 Y 2024")</f>
        <v>SOLO 2022 Y 2024</v>
      </c>
      <c r="K4162" s="16"/>
      <c r="L4162" s="14" t="s">
        <v>183</v>
      </c>
      <c r="M4162" s="16" t="str">
        <f t="shared" si="1"/>
        <v>50552 TUPAC AMARU II2 Primaria</v>
      </c>
      <c r="N4162" s="23"/>
      <c r="O4162" s="17"/>
      <c r="P4162" s="17"/>
      <c r="Q4162" s="17"/>
      <c r="R4162" s="17"/>
      <c r="S4162" s="17"/>
      <c r="T4162" s="17"/>
    </row>
    <row r="4163">
      <c r="A4163" s="21">
        <v>291.0</v>
      </c>
      <c r="B4163" s="14" t="s">
        <v>90</v>
      </c>
      <c r="C4163" s="14" t="s">
        <v>14</v>
      </c>
      <c r="D4163" s="20" t="s">
        <v>15</v>
      </c>
      <c r="E4163" s="12" t="str">
        <f>IFERROR(__xludf.DUMMYFUNCTION("FILTER(colegios!$B$2:$B5618,colegios!$A$2:$A5618=L4163)"),"50552 TUPAC AMARU II")</f>
        <v>50552 TUPAC AMARU II</v>
      </c>
      <c r="F4163" s="14" t="s">
        <v>16</v>
      </c>
      <c r="G4163" s="20" t="s">
        <v>17</v>
      </c>
      <c r="H4163" s="14" t="s">
        <v>18</v>
      </c>
      <c r="I4163" s="22">
        <v>2022.0</v>
      </c>
      <c r="J4163" s="16" t="str">
        <f>IFERROR(__xludf.DUMMYFUNCTION("FILTER('CLASFICACIÓN'!$F$3:$F5618,'CLASFICACIÓN'!$G$3:$G5618=M4163)"),"SOLO 2022 Y 2024")</f>
        <v>SOLO 2022 Y 2024</v>
      </c>
      <c r="K4163" s="16"/>
      <c r="L4163" s="14" t="s">
        <v>183</v>
      </c>
      <c r="M4163" s="16" t="str">
        <f t="shared" si="1"/>
        <v>50552 TUPAC AMARU II2 Primaria</v>
      </c>
      <c r="N4163" s="23"/>
      <c r="O4163" s="17"/>
      <c r="P4163" s="17"/>
      <c r="Q4163" s="17"/>
      <c r="R4163" s="17"/>
      <c r="S4163" s="17"/>
      <c r="T4163" s="17"/>
    </row>
    <row r="4164">
      <c r="A4164" s="21">
        <v>292.0</v>
      </c>
      <c r="B4164" s="14" t="s">
        <v>90</v>
      </c>
      <c r="C4164" s="14" t="s">
        <v>14</v>
      </c>
      <c r="D4164" s="20" t="s">
        <v>15</v>
      </c>
      <c r="E4164" s="12" t="str">
        <f>IFERROR(__xludf.DUMMYFUNCTION("FILTER(colegios!$B$2:$B5618,colegios!$A$2:$A5618=L4164)"),"50552 TUPAC AMARU II")</f>
        <v>50552 TUPAC AMARU II</v>
      </c>
      <c r="F4164" s="14" t="s">
        <v>16</v>
      </c>
      <c r="G4164" s="20" t="s">
        <v>21</v>
      </c>
      <c r="H4164" s="14" t="s">
        <v>18</v>
      </c>
      <c r="I4164" s="22">
        <v>2022.0</v>
      </c>
      <c r="J4164" s="16" t="str">
        <f>IFERROR(__xludf.DUMMYFUNCTION("FILTER('CLASFICACIÓN'!$F$3:$F5618,'CLASFICACIÓN'!$G$3:$G5618=M4164)"),"SOLO 2022 Y 2024")</f>
        <v>SOLO 2022 Y 2024</v>
      </c>
      <c r="K4164" s="16"/>
      <c r="L4164" s="14" t="s">
        <v>183</v>
      </c>
      <c r="M4164" s="16" t="str">
        <f t="shared" si="1"/>
        <v>50552 TUPAC AMARU II2 Primaria</v>
      </c>
      <c r="N4164" s="23"/>
      <c r="O4164" s="17"/>
      <c r="P4164" s="17"/>
      <c r="Q4164" s="17"/>
      <c r="R4164" s="17"/>
      <c r="S4164" s="17"/>
      <c r="T4164" s="17"/>
    </row>
    <row r="4165">
      <c r="A4165" s="21">
        <v>293.0</v>
      </c>
      <c r="B4165" s="14" t="s">
        <v>90</v>
      </c>
      <c r="C4165" s="14" t="s">
        <v>14</v>
      </c>
      <c r="D4165" s="20" t="s">
        <v>15</v>
      </c>
      <c r="E4165" s="12" t="str">
        <f>IFERROR(__xludf.DUMMYFUNCTION("FILTER(colegios!$B$2:$B5618,colegios!$A$2:$A5618=L4165)"),"50552 TUPAC AMARU II")</f>
        <v>50552 TUPAC AMARU II</v>
      </c>
      <c r="F4165" s="14" t="s">
        <v>16</v>
      </c>
      <c r="G4165" s="20" t="s">
        <v>17</v>
      </c>
      <c r="H4165" s="14" t="s">
        <v>18</v>
      </c>
      <c r="I4165" s="22">
        <v>2022.0</v>
      </c>
      <c r="J4165" s="16" t="str">
        <f>IFERROR(__xludf.DUMMYFUNCTION("FILTER('CLASFICACIÓN'!$F$3:$F5618,'CLASFICACIÓN'!$G$3:$G5618=M4165)"),"SOLO 2022 Y 2024")</f>
        <v>SOLO 2022 Y 2024</v>
      </c>
      <c r="K4165" s="16"/>
      <c r="L4165" s="14" t="s">
        <v>183</v>
      </c>
      <c r="M4165" s="16" t="str">
        <f t="shared" si="1"/>
        <v>50552 TUPAC AMARU II2 Primaria</v>
      </c>
      <c r="N4165" s="23"/>
      <c r="O4165" s="17"/>
      <c r="P4165" s="17"/>
      <c r="Q4165" s="17"/>
      <c r="R4165" s="17"/>
      <c r="S4165" s="17"/>
      <c r="T4165" s="17"/>
    </row>
    <row r="4166">
      <c r="A4166" s="21">
        <v>294.0</v>
      </c>
      <c r="B4166" s="14" t="s">
        <v>90</v>
      </c>
      <c r="C4166" s="14" t="s">
        <v>14</v>
      </c>
      <c r="D4166" s="20" t="s">
        <v>15</v>
      </c>
      <c r="E4166" s="12" t="str">
        <f>IFERROR(__xludf.DUMMYFUNCTION("FILTER(colegios!$B$2:$B5618,colegios!$A$2:$A5618=L4166)"),"50552 TUPAC AMARU II")</f>
        <v>50552 TUPAC AMARU II</v>
      </c>
      <c r="F4166" s="14" t="s">
        <v>16</v>
      </c>
      <c r="G4166" s="20" t="s">
        <v>21</v>
      </c>
      <c r="H4166" s="14" t="s">
        <v>18</v>
      </c>
      <c r="I4166" s="22">
        <v>2022.0</v>
      </c>
      <c r="J4166" s="16" t="str">
        <f>IFERROR(__xludf.DUMMYFUNCTION("FILTER('CLASFICACIÓN'!$F$3:$F5618,'CLASFICACIÓN'!$G$3:$G5618=M4166)"),"SOLO 2022 Y 2024")</f>
        <v>SOLO 2022 Y 2024</v>
      </c>
      <c r="K4166" s="16"/>
      <c r="L4166" s="14" t="s">
        <v>183</v>
      </c>
      <c r="M4166" s="16" t="str">
        <f t="shared" si="1"/>
        <v>50552 TUPAC AMARU II2 Primaria</v>
      </c>
      <c r="N4166" s="23"/>
      <c r="O4166" s="17"/>
      <c r="P4166" s="17"/>
      <c r="Q4166" s="17"/>
      <c r="R4166" s="17"/>
      <c r="S4166" s="17"/>
      <c r="T4166" s="17"/>
    </row>
    <row r="4167">
      <c r="A4167" s="21">
        <v>295.0</v>
      </c>
      <c r="B4167" s="14" t="s">
        <v>90</v>
      </c>
      <c r="C4167" s="14" t="s">
        <v>14</v>
      </c>
      <c r="D4167" s="20" t="s">
        <v>15</v>
      </c>
      <c r="E4167" s="12" t="str">
        <f>IFERROR(__xludf.DUMMYFUNCTION("FILTER(colegios!$B$2:$B5618,colegios!$A$2:$A5618=L4167)"),"50552 TUPAC AMARU II")</f>
        <v>50552 TUPAC AMARU II</v>
      </c>
      <c r="F4167" s="14" t="s">
        <v>16</v>
      </c>
      <c r="G4167" s="20" t="s">
        <v>21</v>
      </c>
      <c r="H4167" s="14" t="s">
        <v>18</v>
      </c>
      <c r="I4167" s="22">
        <v>2022.0</v>
      </c>
      <c r="J4167" s="16" t="str">
        <f>IFERROR(__xludf.DUMMYFUNCTION("FILTER('CLASFICACIÓN'!$F$3:$F5618,'CLASFICACIÓN'!$G$3:$G5618=M4167)"),"SOLO 2022 Y 2024")</f>
        <v>SOLO 2022 Y 2024</v>
      </c>
      <c r="K4167" s="16"/>
      <c r="L4167" s="14" t="s">
        <v>183</v>
      </c>
      <c r="M4167" s="16" t="str">
        <f t="shared" si="1"/>
        <v>50552 TUPAC AMARU II2 Primaria</v>
      </c>
      <c r="N4167" s="23"/>
      <c r="O4167" s="17"/>
      <c r="P4167" s="17"/>
      <c r="Q4167" s="17"/>
      <c r="R4167" s="17"/>
      <c r="S4167" s="17"/>
      <c r="T4167" s="17"/>
    </row>
    <row r="4168">
      <c r="A4168" s="21">
        <v>296.0</v>
      </c>
      <c r="B4168" s="14" t="s">
        <v>90</v>
      </c>
      <c r="C4168" s="14" t="s">
        <v>14</v>
      </c>
      <c r="D4168" s="20" t="s">
        <v>15</v>
      </c>
      <c r="E4168" s="12" t="str">
        <f>IFERROR(__xludf.DUMMYFUNCTION("FILTER(colegios!$B$2:$B5618,colegios!$A$2:$A5618=L4168)"),"50552 TUPAC AMARU II")</f>
        <v>50552 TUPAC AMARU II</v>
      </c>
      <c r="F4168" s="14" t="s">
        <v>16</v>
      </c>
      <c r="G4168" s="20" t="s">
        <v>17</v>
      </c>
      <c r="H4168" s="14" t="s">
        <v>18</v>
      </c>
      <c r="I4168" s="22">
        <v>2022.0</v>
      </c>
      <c r="J4168" s="16" t="str">
        <f>IFERROR(__xludf.DUMMYFUNCTION("FILTER('CLASFICACIÓN'!$F$3:$F5618,'CLASFICACIÓN'!$G$3:$G5618=M4168)"),"SOLO 2022 Y 2024")</f>
        <v>SOLO 2022 Y 2024</v>
      </c>
      <c r="K4168" s="16"/>
      <c r="L4168" s="14" t="s">
        <v>183</v>
      </c>
      <c r="M4168" s="16" t="str">
        <f t="shared" si="1"/>
        <v>50552 TUPAC AMARU II2 Primaria</v>
      </c>
      <c r="N4168" s="23"/>
      <c r="O4168" s="17"/>
      <c r="P4168" s="17"/>
      <c r="Q4168" s="17"/>
      <c r="R4168" s="17"/>
      <c r="S4168" s="17"/>
      <c r="T4168" s="17"/>
    </row>
    <row r="4169">
      <c r="A4169" s="21">
        <v>297.0</v>
      </c>
      <c r="B4169" s="14" t="s">
        <v>90</v>
      </c>
      <c r="C4169" s="14" t="s">
        <v>14</v>
      </c>
      <c r="D4169" s="20" t="s">
        <v>15</v>
      </c>
      <c r="E4169" s="12" t="str">
        <f>IFERROR(__xludf.DUMMYFUNCTION("FILTER(colegios!$B$2:$B5618,colegios!$A$2:$A5618=L4169)"),"50552 TUPAC AMARU II")</f>
        <v>50552 TUPAC AMARU II</v>
      </c>
      <c r="F4169" s="14" t="s">
        <v>16</v>
      </c>
      <c r="G4169" s="20" t="s">
        <v>21</v>
      </c>
      <c r="H4169" s="14" t="s">
        <v>18</v>
      </c>
      <c r="I4169" s="22">
        <v>2022.0</v>
      </c>
      <c r="J4169" s="16" t="str">
        <f>IFERROR(__xludf.DUMMYFUNCTION("FILTER('CLASFICACIÓN'!$F$3:$F5618,'CLASFICACIÓN'!$G$3:$G5618=M4169)"),"SOLO 2022 Y 2024")</f>
        <v>SOLO 2022 Y 2024</v>
      </c>
      <c r="K4169" s="16"/>
      <c r="L4169" s="14" t="s">
        <v>183</v>
      </c>
      <c r="M4169" s="16" t="str">
        <f t="shared" si="1"/>
        <v>50552 TUPAC AMARU II2 Primaria</v>
      </c>
      <c r="N4169" s="23"/>
      <c r="O4169" s="17"/>
      <c r="P4169" s="17"/>
      <c r="Q4169" s="17"/>
      <c r="R4169" s="17"/>
      <c r="S4169" s="17"/>
      <c r="T4169" s="17"/>
    </row>
    <row r="4170">
      <c r="A4170" s="21">
        <v>298.0</v>
      </c>
      <c r="B4170" s="14" t="s">
        <v>90</v>
      </c>
      <c r="C4170" s="14" t="s">
        <v>14</v>
      </c>
      <c r="D4170" s="20" t="s">
        <v>15</v>
      </c>
      <c r="E4170" s="12" t="str">
        <f>IFERROR(__xludf.DUMMYFUNCTION("FILTER(colegios!$B$2:$B5618,colegios!$A$2:$A5618=L4170)"),"50552 TUPAC AMARU II")</f>
        <v>50552 TUPAC AMARU II</v>
      </c>
      <c r="F4170" s="14" t="s">
        <v>16</v>
      </c>
      <c r="G4170" s="20" t="s">
        <v>17</v>
      </c>
      <c r="H4170" s="14" t="s">
        <v>18</v>
      </c>
      <c r="I4170" s="22">
        <v>2022.0</v>
      </c>
      <c r="J4170" s="16" t="str">
        <f>IFERROR(__xludf.DUMMYFUNCTION("FILTER('CLASFICACIÓN'!$F$3:$F5618,'CLASFICACIÓN'!$G$3:$G5618=M4170)"),"SOLO 2022 Y 2024")</f>
        <v>SOLO 2022 Y 2024</v>
      </c>
      <c r="K4170" s="16"/>
      <c r="L4170" s="14" t="s">
        <v>183</v>
      </c>
      <c r="M4170" s="16" t="str">
        <f t="shared" si="1"/>
        <v>50552 TUPAC AMARU II2 Primaria</v>
      </c>
      <c r="N4170" s="23"/>
      <c r="O4170" s="17"/>
      <c r="P4170" s="17"/>
      <c r="Q4170" s="17"/>
      <c r="R4170" s="17"/>
      <c r="S4170" s="17"/>
      <c r="T4170" s="17"/>
    </row>
    <row r="4171">
      <c r="A4171" s="21">
        <v>299.0</v>
      </c>
      <c r="B4171" s="14" t="s">
        <v>90</v>
      </c>
      <c r="C4171" s="14" t="s">
        <v>14</v>
      </c>
      <c r="D4171" s="20" t="s">
        <v>15</v>
      </c>
      <c r="E4171" s="12" t="str">
        <f>IFERROR(__xludf.DUMMYFUNCTION("FILTER(colegios!$B$2:$B5618,colegios!$A$2:$A5618=L4171)"),"50552 TUPAC AMARU II")</f>
        <v>50552 TUPAC AMARU II</v>
      </c>
      <c r="F4171" s="14" t="s">
        <v>16</v>
      </c>
      <c r="G4171" s="20" t="s">
        <v>17</v>
      </c>
      <c r="H4171" s="14" t="s">
        <v>18</v>
      </c>
      <c r="I4171" s="22">
        <v>2022.0</v>
      </c>
      <c r="J4171" s="16" t="str">
        <f>IFERROR(__xludf.DUMMYFUNCTION("FILTER('CLASFICACIÓN'!$F$3:$F5618,'CLASFICACIÓN'!$G$3:$G5618=M4171)"),"SOLO 2022 Y 2024")</f>
        <v>SOLO 2022 Y 2024</v>
      </c>
      <c r="K4171" s="16"/>
      <c r="L4171" s="14" t="s">
        <v>183</v>
      </c>
      <c r="M4171" s="16" t="str">
        <f t="shared" si="1"/>
        <v>50552 TUPAC AMARU II2 Primaria</v>
      </c>
      <c r="N4171" s="23"/>
      <c r="O4171" s="17"/>
      <c r="P4171" s="17"/>
      <c r="Q4171" s="17"/>
      <c r="R4171" s="17"/>
      <c r="S4171" s="17"/>
      <c r="T4171" s="17"/>
    </row>
    <row r="4172">
      <c r="A4172" s="21">
        <v>300.0</v>
      </c>
      <c r="B4172" s="14" t="s">
        <v>90</v>
      </c>
      <c r="C4172" s="14" t="s">
        <v>14</v>
      </c>
      <c r="D4172" s="20" t="s">
        <v>15</v>
      </c>
      <c r="E4172" s="12" t="str">
        <f>IFERROR(__xludf.DUMMYFUNCTION("FILTER(colegios!$B$2:$B5618,colegios!$A$2:$A5618=L4172)"),"50552 TUPAC AMARU II")</f>
        <v>50552 TUPAC AMARU II</v>
      </c>
      <c r="F4172" s="14" t="s">
        <v>16</v>
      </c>
      <c r="G4172" s="20" t="s">
        <v>17</v>
      </c>
      <c r="H4172" s="14" t="s">
        <v>18</v>
      </c>
      <c r="I4172" s="22">
        <v>2022.0</v>
      </c>
      <c r="J4172" s="16" t="str">
        <f>IFERROR(__xludf.DUMMYFUNCTION("FILTER('CLASFICACIÓN'!$F$3:$F5618,'CLASFICACIÓN'!$G$3:$G5618=M4172)"),"SOLO 2022 Y 2024")</f>
        <v>SOLO 2022 Y 2024</v>
      </c>
      <c r="K4172" s="16"/>
      <c r="L4172" s="14" t="s">
        <v>183</v>
      </c>
      <c r="M4172" s="16" t="str">
        <f t="shared" si="1"/>
        <v>50552 TUPAC AMARU II2 Primaria</v>
      </c>
      <c r="N4172" s="23"/>
      <c r="O4172" s="17"/>
      <c r="P4172" s="17"/>
      <c r="Q4172" s="17"/>
      <c r="R4172" s="17"/>
      <c r="S4172" s="17"/>
      <c r="T4172" s="17"/>
    </row>
    <row r="4173">
      <c r="A4173" s="21">
        <v>301.0</v>
      </c>
      <c r="B4173" s="14" t="s">
        <v>90</v>
      </c>
      <c r="C4173" s="14" t="s">
        <v>14</v>
      </c>
      <c r="D4173" s="20" t="s">
        <v>15</v>
      </c>
      <c r="E4173" s="12" t="str">
        <f>IFERROR(__xludf.DUMMYFUNCTION("FILTER(colegios!$B$2:$B5618,colegios!$A$2:$A5618=L4173)"),"50552 TUPAC AMARU II")</f>
        <v>50552 TUPAC AMARU II</v>
      </c>
      <c r="F4173" s="14" t="s">
        <v>16</v>
      </c>
      <c r="G4173" s="20" t="s">
        <v>21</v>
      </c>
      <c r="H4173" s="14" t="s">
        <v>18</v>
      </c>
      <c r="I4173" s="22">
        <v>2022.0</v>
      </c>
      <c r="J4173" s="16" t="str">
        <f>IFERROR(__xludf.DUMMYFUNCTION("FILTER('CLASFICACIÓN'!$F$3:$F5618,'CLASFICACIÓN'!$G$3:$G5618=M4173)"),"SOLO 2022 Y 2024")</f>
        <v>SOLO 2022 Y 2024</v>
      </c>
      <c r="K4173" s="16"/>
      <c r="L4173" s="14" t="s">
        <v>183</v>
      </c>
      <c r="M4173" s="16" t="str">
        <f t="shared" si="1"/>
        <v>50552 TUPAC AMARU II2 Primaria</v>
      </c>
      <c r="N4173" s="23"/>
      <c r="O4173" s="17"/>
      <c r="P4173" s="17"/>
      <c r="Q4173" s="17"/>
      <c r="R4173" s="17"/>
      <c r="S4173" s="17"/>
      <c r="T4173" s="17"/>
    </row>
    <row r="4174">
      <c r="A4174" s="21">
        <v>302.0</v>
      </c>
      <c r="B4174" s="14" t="s">
        <v>90</v>
      </c>
      <c r="C4174" s="14" t="s">
        <v>14</v>
      </c>
      <c r="D4174" s="20" t="s">
        <v>15</v>
      </c>
      <c r="E4174" s="12" t="str">
        <f>IFERROR(__xludf.DUMMYFUNCTION("FILTER(colegios!$B$2:$B5618,colegios!$A$2:$A5618=L4174)"),"50552 TUPAC AMARU II")</f>
        <v>50552 TUPAC AMARU II</v>
      </c>
      <c r="F4174" s="14" t="s">
        <v>16</v>
      </c>
      <c r="G4174" s="20" t="s">
        <v>17</v>
      </c>
      <c r="H4174" s="14" t="s">
        <v>18</v>
      </c>
      <c r="I4174" s="22">
        <v>2022.0</v>
      </c>
      <c r="J4174" s="16" t="str">
        <f>IFERROR(__xludf.DUMMYFUNCTION("FILTER('CLASFICACIÓN'!$F$3:$F5618,'CLASFICACIÓN'!$G$3:$G5618=M4174)"),"SOLO 2022 Y 2024")</f>
        <v>SOLO 2022 Y 2024</v>
      </c>
      <c r="K4174" s="16"/>
      <c r="L4174" s="14" t="s">
        <v>183</v>
      </c>
      <c r="M4174" s="16" t="str">
        <f t="shared" si="1"/>
        <v>50552 TUPAC AMARU II2 Primaria</v>
      </c>
      <c r="N4174" s="23"/>
      <c r="O4174" s="17"/>
      <c r="P4174" s="17"/>
      <c r="Q4174" s="17"/>
      <c r="R4174" s="17"/>
      <c r="S4174" s="17"/>
      <c r="T4174" s="17"/>
    </row>
    <row r="4175">
      <c r="A4175" s="21">
        <v>303.0</v>
      </c>
      <c r="B4175" s="14" t="s">
        <v>90</v>
      </c>
      <c r="C4175" s="14" t="s">
        <v>14</v>
      </c>
      <c r="D4175" s="20" t="s">
        <v>15</v>
      </c>
      <c r="E4175" s="12" t="str">
        <f>IFERROR(__xludf.DUMMYFUNCTION("FILTER(colegios!$B$2:$B5618,colegios!$A$2:$A5618=L4175)"),"50552 TUPAC AMARU II")</f>
        <v>50552 TUPAC AMARU II</v>
      </c>
      <c r="F4175" s="14" t="s">
        <v>16</v>
      </c>
      <c r="G4175" s="20" t="s">
        <v>17</v>
      </c>
      <c r="H4175" s="14" t="s">
        <v>18</v>
      </c>
      <c r="I4175" s="22">
        <v>2022.0</v>
      </c>
      <c r="J4175" s="16" t="str">
        <f>IFERROR(__xludf.DUMMYFUNCTION("FILTER('CLASFICACIÓN'!$F$3:$F5618,'CLASFICACIÓN'!$G$3:$G5618=M4175)"),"SOLO 2022 Y 2024")</f>
        <v>SOLO 2022 Y 2024</v>
      </c>
      <c r="K4175" s="16"/>
      <c r="L4175" s="14" t="s">
        <v>183</v>
      </c>
      <c r="M4175" s="16" t="str">
        <f t="shared" si="1"/>
        <v>50552 TUPAC AMARU II2 Primaria</v>
      </c>
      <c r="N4175" s="23"/>
      <c r="O4175" s="17"/>
      <c r="P4175" s="17"/>
      <c r="Q4175" s="17"/>
      <c r="R4175" s="17"/>
      <c r="S4175" s="17"/>
      <c r="T4175" s="17"/>
    </row>
    <row r="4176">
      <c r="A4176" s="21">
        <v>304.0</v>
      </c>
      <c r="B4176" s="14" t="s">
        <v>90</v>
      </c>
      <c r="C4176" s="14" t="s">
        <v>14</v>
      </c>
      <c r="D4176" s="20" t="s">
        <v>15</v>
      </c>
      <c r="E4176" s="12" t="str">
        <f>IFERROR(__xludf.DUMMYFUNCTION("FILTER(colegios!$B$2:$B5618,colegios!$A$2:$A5618=L4176)"),"50552 TUPAC AMARU II")</f>
        <v>50552 TUPAC AMARU II</v>
      </c>
      <c r="F4176" s="14" t="s">
        <v>16</v>
      </c>
      <c r="G4176" s="20" t="s">
        <v>17</v>
      </c>
      <c r="H4176" s="14" t="s">
        <v>18</v>
      </c>
      <c r="I4176" s="22">
        <v>2022.0</v>
      </c>
      <c r="J4176" s="16" t="str">
        <f>IFERROR(__xludf.DUMMYFUNCTION("FILTER('CLASFICACIÓN'!$F$3:$F5618,'CLASFICACIÓN'!$G$3:$G5618=M4176)"),"SOLO 2022 Y 2024")</f>
        <v>SOLO 2022 Y 2024</v>
      </c>
      <c r="K4176" s="16"/>
      <c r="L4176" s="14" t="s">
        <v>183</v>
      </c>
      <c r="M4176" s="16" t="str">
        <f t="shared" si="1"/>
        <v>50552 TUPAC AMARU II2 Primaria</v>
      </c>
      <c r="N4176" s="23"/>
      <c r="O4176" s="17"/>
      <c r="P4176" s="17"/>
      <c r="Q4176" s="17"/>
      <c r="R4176" s="17"/>
      <c r="S4176" s="17"/>
      <c r="T4176" s="17"/>
    </row>
    <row r="4177">
      <c r="A4177" s="21">
        <v>305.0</v>
      </c>
      <c r="B4177" s="14" t="s">
        <v>90</v>
      </c>
      <c r="C4177" s="14" t="s">
        <v>14</v>
      </c>
      <c r="D4177" s="20" t="s">
        <v>15</v>
      </c>
      <c r="E4177" s="12" t="str">
        <f>IFERROR(__xludf.DUMMYFUNCTION("FILTER(colegios!$B$2:$B5618,colegios!$A$2:$A5618=L4177)"),"50552 TUPAC AMARU II")</f>
        <v>50552 TUPAC AMARU II</v>
      </c>
      <c r="F4177" s="14" t="s">
        <v>16</v>
      </c>
      <c r="G4177" s="20" t="s">
        <v>21</v>
      </c>
      <c r="H4177" s="14" t="s">
        <v>18</v>
      </c>
      <c r="I4177" s="22">
        <v>2022.0</v>
      </c>
      <c r="J4177" s="16" t="str">
        <f>IFERROR(__xludf.DUMMYFUNCTION("FILTER('CLASFICACIÓN'!$F$3:$F5618,'CLASFICACIÓN'!$G$3:$G5618=M4177)"),"SOLO 2022 Y 2024")</f>
        <v>SOLO 2022 Y 2024</v>
      </c>
      <c r="K4177" s="16"/>
      <c r="L4177" s="14" t="s">
        <v>183</v>
      </c>
      <c r="M4177" s="16" t="str">
        <f t="shared" si="1"/>
        <v>50552 TUPAC AMARU II2 Primaria</v>
      </c>
      <c r="N4177" s="23"/>
      <c r="O4177" s="17"/>
      <c r="P4177" s="17"/>
      <c r="Q4177" s="17"/>
      <c r="R4177" s="17"/>
      <c r="S4177" s="17"/>
      <c r="T4177" s="17"/>
    </row>
    <row r="4178">
      <c r="A4178" s="21">
        <v>306.0</v>
      </c>
      <c r="B4178" s="14" t="s">
        <v>90</v>
      </c>
      <c r="C4178" s="14" t="s">
        <v>14</v>
      </c>
      <c r="D4178" s="20" t="s">
        <v>15</v>
      </c>
      <c r="E4178" s="12" t="str">
        <f>IFERROR(__xludf.DUMMYFUNCTION("FILTER(colegios!$B$2:$B5618,colegios!$A$2:$A5618=L4178)"),"50552 TUPAC AMARU II")</f>
        <v>50552 TUPAC AMARU II</v>
      </c>
      <c r="F4178" s="14" t="s">
        <v>16</v>
      </c>
      <c r="G4178" s="20" t="s">
        <v>17</v>
      </c>
      <c r="H4178" s="14" t="s">
        <v>18</v>
      </c>
      <c r="I4178" s="22">
        <v>2022.0</v>
      </c>
      <c r="J4178" s="16" t="str">
        <f>IFERROR(__xludf.DUMMYFUNCTION("FILTER('CLASFICACIÓN'!$F$3:$F5618,'CLASFICACIÓN'!$G$3:$G5618=M4178)"),"SOLO 2022 Y 2024")</f>
        <v>SOLO 2022 Y 2024</v>
      </c>
      <c r="K4178" s="16"/>
      <c r="L4178" s="14" t="s">
        <v>183</v>
      </c>
      <c r="M4178" s="16" t="str">
        <f t="shared" si="1"/>
        <v>50552 TUPAC AMARU II2 Primaria</v>
      </c>
      <c r="N4178" s="23"/>
      <c r="O4178" s="17"/>
      <c r="P4178" s="17"/>
      <c r="Q4178" s="17"/>
      <c r="R4178" s="17"/>
      <c r="S4178" s="17"/>
      <c r="T4178" s="17"/>
    </row>
    <row r="4179">
      <c r="A4179" s="21">
        <v>307.0</v>
      </c>
      <c r="B4179" s="14" t="s">
        <v>90</v>
      </c>
      <c r="C4179" s="14" t="s">
        <v>14</v>
      </c>
      <c r="D4179" s="20" t="s">
        <v>15</v>
      </c>
      <c r="E4179" s="12" t="str">
        <f>IFERROR(__xludf.DUMMYFUNCTION("FILTER(colegios!$B$2:$B5618,colegios!$A$2:$A5618=L4179)"),"50552 TUPAC AMARU II")</f>
        <v>50552 TUPAC AMARU II</v>
      </c>
      <c r="F4179" s="14" t="s">
        <v>16</v>
      </c>
      <c r="G4179" s="20" t="s">
        <v>21</v>
      </c>
      <c r="H4179" s="14" t="s">
        <v>18</v>
      </c>
      <c r="I4179" s="22">
        <v>2022.0</v>
      </c>
      <c r="J4179" s="16" t="str">
        <f>IFERROR(__xludf.DUMMYFUNCTION("FILTER('CLASFICACIÓN'!$F$3:$F5618,'CLASFICACIÓN'!$G$3:$G5618=M4179)"),"SOLO 2022 Y 2024")</f>
        <v>SOLO 2022 Y 2024</v>
      </c>
      <c r="K4179" s="16"/>
      <c r="L4179" s="14" t="s">
        <v>183</v>
      </c>
      <c r="M4179" s="16" t="str">
        <f t="shared" si="1"/>
        <v>50552 TUPAC AMARU II2 Primaria</v>
      </c>
      <c r="N4179" s="23"/>
      <c r="O4179" s="17"/>
      <c r="P4179" s="17"/>
      <c r="Q4179" s="17"/>
      <c r="R4179" s="17"/>
      <c r="S4179" s="17"/>
      <c r="T4179" s="17"/>
    </row>
    <row r="4180">
      <c r="A4180" s="21">
        <v>308.0</v>
      </c>
      <c r="B4180" s="14" t="s">
        <v>90</v>
      </c>
      <c r="C4180" s="14" t="s">
        <v>14</v>
      </c>
      <c r="D4180" s="20" t="s">
        <v>15</v>
      </c>
      <c r="E4180" s="12" t="str">
        <f>IFERROR(__xludf.DUMMYFUNCTION("FILTER(colegios!$B$2:$B5618,colegios!$A$2:$A5618=L4180)"),"50552 TUPAC AMARU II")</f>
        <v>50552 TUPAC AMARU II</v>
      </c>
      <c r="F4180" s="14" t="s">
        <v>16</v>
      </c>
      <c r="G4180" s="20" t="s">
        <v>21</v>
      </c>
      <c r="H4180" s="14" t="s">
        <v>18</v>
      </c>
      <c r="I4180" s="22">
        <v>2022.0</v>
      </c>
      <c r="J4180" s="16" t="str">
        <f>IFERROR(__xludf.DUMMYFUNCTION("FILTER('CLASFICACIÓN'!$F$3:$F5618,'CLASFICACIÓN'!$G$3:$G5618=M4180)"),"SOLO 2022 Y 2024")</f>
        <v>SOLO 2022 Y 2024</v>
      </c>
      <c r="K4180" s="16"/>
      <c r="L4180" s="14" t="s">
        <v>183</v>
      </c>
      <c r="M4180" s="16" t="str">
        <f t="shared" si="1"/>
        <v>50552 TUPAC AMARU II2 Primaria</v>
      </c>
      <c r="N4180" s="23"/>
      <c r="O4180" s="17"/>
      <c r="P4180" s="17"/>
      <c r="Q4180" s="17"/>
      <c r="R4180" s="17"/>
      <c r="S4180" s="17"/>
      <c r="T4180" s="17"/>
    </row>
    <row r="4181">
      <c r="A4181" s="21">
        <v>309.0</v>
      </c>
      <c r="B4181" s="14" t="s">
        <v>90</v>
      </c>
      <c r="C4181" s="14" t="s">
        <v>14</v>
      </c>
      <c r="D4181" s="20" t="s">
        <v>15</v>
      </c>
      <c r="E4181" s="12" t="str">
        <f>IFERROR(__xludf.DUMMYFUNCTION("FILTER(colegios!$B$2:$B5618,colegios!$A$2:$A5618=L4181)"),"50552 TUPAC AMARU II")</f>
        <v>50552 TUPAC AMARU II</v>
      </c>
      <c r="F4181" s="14" t="s">
        <v>16</v>
      </c>
      <c r="G4181" s="20" t="s">
        <v>21</v>
      </c>
      <c r="H4181" s="14" t="s">
        <v>18</v>
      </c>
      <c r="I4181" s="22">
        <v>2022.0</v>
      </c>
      <c r="J4181" s="16" t="str">
        <f>IFERROR(__xludf.DUMMYFUNCTION("FILTER('CLASFICACIÓN'!$F$3:$F5618,'CLASFICACIÓN'!$G$3:$G5618=M4181)"),"SOLO 2022 Y 2024")</f>
        <v>SOLO 2022 Y 2024</v>
      </c>
      <c r="K4181" s="16"/>
      <c r="L4181" s="14" t="s">
        <v>183</v>
      </c>
      <c r="M4181" s="16" t="str">
        <f t="shared" si="1"/>
        <v>50552 TUPAC AMARU II2 Primaria</v>
      </c>
      <c r="N4181" s="23"/>
      <c r="O4181" s="17"/>
      <c r="P4181" s="17"/>
      <c r="Q4181" s="17"/>
      <c r="R4181" s="17"/>
      <c r="S4181" s="17"/>
      <c r="T4181" s="17"/>
    </row>
    <row r="4182">
      <c r="A4182" s="21">
        <v>310.0</v>
      </c>
      <c r="B4182" s="14" t="s">
        <v>90</v>
      </c>
      <c r="C4182" s="14" t="s">
        <v>14</v>
      </c>
      <c r="D4182" s="20" t="s">
        <v>15</v>
      </c>
      <c r="E4182" s="12" t="str">
        <f>IFERROR(__xludf.DUMMYFUNCTION("FILTER(colegios!$B$2:$B5618,colegios!$A$2:$A5618=L4182)"),"50552 TUPAC AMARU II")</f>
        <v>50552 TUPAC AMARU II</v>
      </c>
      <c r="F4182" s="14" t="s">
        <v>16</v>
      </c>
      <c r="G4182" s="20" t="s">
        <v>21</v>
      </c>
      <c r="H4182" s="14" t="s">
        <v>18</v>
      </c>
      <c r="I4182" s="22">
        <v>2022.0</v>
      </c>
      <c r="J4182" s="16" t="str">
        <f>IFERROR(__xludf.DUMMYFUNCTION("FILTER('CLASFICACIÓN'!$F$3:$F5618,'CLASFICACIÓN'!$G$3:$G5618=M4182)"),"SOLO 2022 Y 2024")</f>
        <v>SOLO 2022 Y 2024</v>
      </c>
      <c r="K4182" s="16"/>
      <c r="L4182" s="14" t="s">
        <v>183</v>
      </c>
      <c r="M4182" s="16" t="str">
        <f t="shared" si="1"/>
        <v>50552 TUPAC AMARU II2 Primaria</v>
      </c>
      <c r="N4182" s="23"/>
      <c r="O4182" s="17"/>
      <c r="P4182" s="17"/>
      <c r="Q4182" s="17"/>
      <c r="R4182" s="17"/>
      <c r="S4182" s="17"/>
      <c r="T4182" s="17"/>
    </row>
    <row r="4183">
      <c r="A4183" s="21">
        <v>311.0</v>
      </c>
      <c r="B4183" s="14" t="s">
        <v>90</v>
      </c>
      <c r="C4183" s="14" t="s">
        <v>14</v>
      </c>
      <c r="D4183" s="20" t="s">
        <v>15</v>
      </c>
      <c r="E4183" s="12" t="str">
        <f>IFERROR(__xludf.DUMMYFUNCTION("FILTER(colegios!$B$2:$B5618,colegios!$A$2:$A5618=L4183)"),"50552 TUPAC AMARU II")</f>
        <v>50552 TUPAC AMARU II</v>
      </c>
      <c r="F4183" s="14" t="s">
        <v>16</v>
      </c>
      <c r="G4183" s="20" t="s">
        <v>17</v>
      </c>
      <c r="H4183" s="14" t="s">
        <v>18</v>
      </c>
      <c r="I4183" s="22">
        <v>2022.0</v>
      </c>
      <c r="J4183" s="16" t="str">
        <f>IFERROR(__xludf.DUMMYFUNCTION("FILTER('CLASFICACIÓN'!$F$3:$F5618,'CLASFICACIÓN'!$G$3:$G5618=M4183)"),"SOLO 2022 Y 2024")</f>
        <v>SOLO 2022 Y 2024</v>
      </c>
      <c r="K4183" s="16"/>
      <c r="L4183" s="14" t="s">
        <v>183</v>
      </c>
      <c r="M4183" s="16" t="str">
        <f t="shared" si="1"/>
        <v>50552 TUPAC AMARU II2 Primaria</v>
      </c>
      <c r="N4183" s="23"/>
      <c r="O4183" s="17"/>
      <c r="P4183" s="17"/>
      <c r="Q4183" s="17"/>
      <c r="R4183" s="17"/>
      <c r="S4183" s="17"/>
      <c r="T4183" s="17"/>
    </row>
    <row r="4184">
      <c r="A4184" s="21">
        <v>312.0</v>
      </c>
      <c r="B4184" s="14" t="s">
        <v>90</v>
      </c>
      <c r="C4184" s="14" t="s">
        <v>14</v>
      </c>
      <c r="D4184" s="20" t="s">
        <v>15</v>
      </c>
      <c r="E4184" s="12" t="str">
        <f>IFERROR(__xludf.DUMMYFUNCTION("FILTER(colegios!$B$2:$B5618,colegios!$A$2:$A5618=L4184)"),"50552 TUPAC AMARU II")</f>
        <v>50552 TUPAC AMARU II</v>
      </c>
      <c r="F4184" s="14" t="s">
        <v>16</v>
      </c>
      <c r="G4184" s="20" t="s">
        <v>21</v>
      </c>
      <c r="H4184" s="14" t="s">
        <v>18</v>
      </c>
      <c r="I4184" s="22">
        <v>2022.0</v>
      </c>
      <c r="J4184" s="16" t="str">
        <f>IFERROR(__xludf.DUMMYFUNCTION("FILTER('CLASFICACIÓN'!$F$3:$F5618,'CLASFICACIÓN'!$G$3:$G5618=M4184)"),"SOLO 2022 Y 2024")</f>
        <v>SOLO 2022 Y 2024</v>
      </c>
      <c r="K4184" s="16"/>
      <c r="L4184" s="14" t="s">
        <v>183</v>
      </c>
      <c r="M4184" s="16" t="str">
        <f t="shared" si="1"/>
        <v>50552 TUPAC AMARU II2 Primaria</v>
      </c>
      <c r="N4184" s="23"/>
      <c r="O4184" s="17"/>
      <c r="P4184" s="17"/>
      <c r="Q4184" s="17"/>
      <c r="R4184" s="17"/>
      <c r="S4184" s="17"/>
      <c r="T4184" s="17"/>
    </row>
    <row r="4185">
      <c r="A4185" s="21">
        <v>313.0</v>
      </c>
      <c r="B4185" s="14" t="s">
        <v>90</v>
      </c>
      <c r="C4185" s="14" t="s">
        <v>14</v>
      </c>
      <c r="D4185" s="20" t="s">
        <v>15</v>
      </c>
      <c r="E4185" s="12" t="str">
        <f>IFERROR(__xludf.DUMMYFUNCTION("FILTER(colegios!$B$2:$B5618,colegios!$A$2:$A5618=L4185)"),"50552 TUPAC AMARU II")</f>
        <v>50552 TUPAC AMARU II</v>
      </c>
      <c r="F4185" s="14" t="s">
        <v>16</v>
      </c>
      <c r="G4185" s="20" t="s">
        <v>17</v>
      </c>
      <c r="H4185" s="14" t="s">
        <v>24</v>
      </c>
      <c r="I4185" s="22">
        <v>2022.0</v>
      </c>
      <c r="J4185" s="16" t="str">
        <f>IFERROR(__xludf.DUMMYFUNCTION("FILTER('CLASFICACIÓN'!$F$3:$F5618,'CLASFICACIÓN'!$G$3:$G5618=M4185)"),"SOLO 2022 Y 2024")</f>
        <v>SOLO 2022 Y 2024</v>
      </c>
      <c r="K4185" s="16"/>
      <c r="L4185" s="14" t="s">
        <v>183</v>
      </c>
      <c r="M4185" s="16" t="str">
        <f t="shared" si="1"/>
        <v>50552 TUPAC AMARU II2 Primaria</v>
      </c>
      <c r="N4185" s="23"/>
      <c r="O4185" s="17"/>
      <c r="P4185" s="17"/>
      <c r="Q4185" s="17"/>
      <c r="R4185" s="17"/>
      <c r="S4185" s="17"/>
      <c r="T4185" s="17"/>
    </row>
    <row r="4186">
      <c r="A4186" s="21">
        <v>314.0</v>
      </c>
      <c r="B4186" s="14" t="s">
        <v>90</v>
      </c>
      <c r="C4186" s="14" t="s">
        <v>14</v>
      </c>
      <c r="D4186" s="20" t="s">
        <v>15</v>
      </c>
      <c r="E4186" s="12" t="str">
        <f>IFERROR(__xludf.DUMMYFUNCTION("FILTER(colegios!$B$2:$B5618,colegios!$A$2:$A5618=L4186)"),"50552 TUPAC AMARU II")</f>
        <v>50552 TUPAC AMARU II</v>
      </c>
      <c r="F4186" s="14" t="s">
        <v>16</v>
      </c>
      <c r="G4186" s="20" t="s">
        <v>21</v>
      </c>
      <c r="H4186" s="14" t="s">
        <v>24</v>
      </c>
      <c r="I4186" s="22">
        <v>2022.0</v>
      </c>
      <c r="J4186" s="16" t="str">
        <f>IFERROR(__xludf.DUMMYFUNCTION("FILTER('CLASFICACIÓN'!$F$3:$F5618,'CLASFICACIÓN'!$G$3:$G5618=M4186)"),"SOLO 2022 Y 2024")</f>
        <v>SOLO 2022 Y 2024</v>
      </c>
      <c r="K4186" s="16"/>
      <c r="L4186" s="14" t="s">
        <v>183</v>
      </c>
      <c r="M4186" s="16" t="str">
        <f t="shared" si="1"/>
        <v>50552 TUPAC AMARU II2 Primaria</v>
      </c>
      <c r="N4186" s="23"/>
      <c r="O4186" s="17"/>
      <c r="P4186" s="17"/>
      <c r="Q4186" s="17"/>
      <c r="R4186" s="17"/>
      <c r="S4186" s="17"/>
      <c r="T4186" s="17"/>
    </row>
    <row r="4187">
      <c r="A4187" s="21">
        <v>315.0</v>
      </c>
      <c r="B4187" s="14" t="s">
        <v>90</v>
      </c>
      <c r="C4187" s="14" t="s">
        <v>14</v>
      </c>
      <c r="D4187" s="20" t="s">
        <v>15</v>
      </c>
      <c r="E4187" s="12" t="str">
        <f>IFERROR(__xludf.DUMMYFUNCTION("FILTER(colegios!$B$2:$B5618,colegios!$A$2:$A5618=L4187)"),"50552 TUPAC AMARU II")</f>
        <v>50552 TUPAC AMARU II</v>
      </c>
      <c r="F4187" s="14" t="s">
        <v>16</v>
      </c>
      <c r="G4187" s="20" t="s">
        <v>17</v>
      </c>
      <c r="H4187" s="14" t="s">
        <v>24</v>
      </c>
      <c r="I4187" s="22">
        <v>2022.0</v>
      </c>
      <c r="J4187" s="16" t="str">
        <f>IFERROR(__xludf.DUMMYFUNCTION("FILTER('CLASFICACIÓN'!$F$3:$F5618,'CLASFICACIÓN'!$G$3:$G5618=M4187)"),"SOLO 2022 Y 2024")</f>
        <v>SOLO 2022 Y 2024</v>
      </c>
      <c r="K4187" s="16"/>
      <c r="L4187" s="14" t="s">
        <v>183</v>
      </c>
      <c r="M4187" s="16" t="str">
        <f t="shared" si="1"/>
        <v>50552 TUPAC AMARU II2 Primaria</v>
      </c>
      <c r="N4187" s="23"/>
      <c r="O4187" s="17"/>
      <c r="P4187" s="17"/>
      <c r="Q4187" s="17"/>
      <c r="R4187" s="17"/>
      <c r="S4187" s="17"/>
      <c r="T4187" s="17"/>
    </row>
    <row r="4188">
      <c r="A4188" s="21">
        <v>316.0</v>
      </c>
      <c r="B4188" s="14" t="s">
        <v>90</v>
      </c>
      <c r="C4188" s="14" t="s">
        <v>14</v>
      </c>
      <c r="D4188" s="20" t="s">
        <v>15</v>
      </c>
      <c r="E4188" s="12" t="str">
        <f>IFERROR(__xludf.DUMMYFUNCTION("FILTER(colegios!$B$2:$B5618,colegios!$A$2:$A5618=L4188)"),"50552 TUPAC AMARU II")</f>
        <v>50552 TUPAC AMARU II</v>
      </c>
      <c r="F4188" s="14" t="s">
        <v>16</v>
      </c>
      <c r="G4188" s="20" t="s">
        <v>17</v>
      </c>
      <c r="H4188" s="14" t="s">
        <v>24</v>
      </c>
      <c r="I4188" s="22">
        <v>2022.0</v>
      </c>
      <c r="J4188" s="16" t="str">
        <f>IFERROR(__xludf.DUMMYFUNCTION("FILTER('CLASFICACIÓN'!$F$3:$F5618,'CLASFICACIÓN'!$G$3:$G5618=M4188)"),"SOLO 2022 Y 2024")</f>
        <v>SOLO 2022 Y 2024</v>
      </c>
      <c r="K4188" s="16"/>
      <c r="L4188" s="14" t="s">
        <v>183</v>
      </c>
      <c r="M4188" s="16" t="str">
        <f t="shared" si="1"/>
        <v>50552 TUPAC AMARU II2 Primaria</v>
      </c>
      <c r="N4188" s="23"/>
      <c r="O4188" s="17"/>
      <c r="P4188" s="17"/>
      <c r="Q4188" s="17"/>
      <c r="R4188" s="17"/>
      <c r="S4188" s="17"/>
      <c r="T4188" s="17"/>
    </row>
    <row r="4189">
      <c r="A4189" s="21">
        <v>317.0</v>
      </c>
      <c r="B4189" s="14" t="s">
        <v>90</v>
      </c>
      <c r="C4189" s="14" t="s">
        <v>14</v>
      </c>
      <c r="D4189" s="20" t="s">
        <v>15</v>
      </c>
      <c r="E4189" s="12" t="str">
        <f>IFERROR(__xludf.DUMMYFUNCTION("FILTER(colegios!$B$2:$B5618,colegios!$A$2:$A5618=L4189)"),"50552 TUPAC AMARU II")</f>
        <v>50552 TUPAC AMARU II</v>
      </c>
      <c r="F4189" s="14" t="s">
        <v>16</v>
      </c>
      <c r="G4189" s="20" t="s">
        <v>17</v>
      </c>
      <c r="H4189" s="14" t="s">
        <v>24</v>
      </c>
      <c r="I4189" s="22">
        <v>2022.0</v>
      </c>
      <c r="J4189" s="16" t="str">
        <f>IFERROR(__xludf.DUMMYFUNCTION("FILTER('CLASFICACIÓN'!$F$3:$F5618,'CLASFICACIÓN'!$G$3:$G5618=M4189)"),"SOLO 2022 Y 2024")</f>
        <v>SOLO 2022 Y 2024</v>
      </c>
      <c r="K4189" s="16"/>
      <c r="L4189" s="14" t="s">
        <v>183</v>
      </c>
      <c r="M4189" s="16" t="str">
        <f t="shared" si="1"/>
        <v>50552 TUPAC AMARU II2 Primaria</v>
      </c>
      <c r="N4189" s="23"/>
      <c r="O4189" s="17"/>
      <c r="P4189" s="17"/>
      <c r="Q4189" s="17"/>
      <c r="R4189" s="17"/>
      <c r="S4189" s="17"/>
      <c r="T4189" s="17"/>
    </row>
    <row r="4190">
      <c r="A4190" s="21">
        <v>318.0</v>
      </c>
      <c r="B4190" s="14" t="s">
        <v>90</v>
      </c>
      <c r="C4190" s="14" t="s">
        <v>14</v>
      </c>
      <c r="D4190" s="20" t="s">
        <v>15</v>
      </c>
      <c r="E4190" s="12" t="str">
        <f>IFERROR(__xludf.DUMMYFUNCTION("FILTER(colegios!$B$2:$B5618,colegios!$A$2:$A5618=L4190)"),"50552 TUPAC AMARU II")</f>
        <v>50552 TUPAC AMARU II</v>
      </c>
      <c r="F4190" s="14" t="s">
        <v>16</v>
      </c>
      <c r="G4190" s="20" t="s">
        <v>21</v>
      </c>
      <c r="H4190" s="14" t="s">
        <v>24</v>
      </c>
      <c r="I4190" s="22">
        <v>2022.0</v>
      </c>
      <c r="J4190" s="16" t="str">
        <f>IFERROR(__xludf.DUMMYFUNCTION("FILTER('CLASFICACIÓN'!$F$3:$F5618,'CLASFICACIÓN'!$G$3:$G5618=M4190)"),"SOLO 2022 Y 2024")</f>
        <v>SOLO 2022 Y 2024</v>
      </c>
      <c r="K4190" s="16"/>
      <c r="L4190" s="14" t="s">
        <v>183</v>
      </c>
      <c r="M4190" s="16" t="str">
        <f t="shared" si="1"/>
        <v>50552 TUPAC AMARU II2 Primaria</v>
      </c>
      <c r="N4190" s="23"/>
      <c r="O4190" s="17"/>
      <c r="P4190" s="17"/>
      <c r="Q4190" s="17"/>
      <c r="R4190" s="17"/>
      <c r="S4190" s="17"/>
      <c r="T4190" s="17"/>
    </row>
    <row r="4191">
      <c r="A4191" s="21">
        <v>319.0</v>
      </c>
      <c r="B4191" s="14" t="s">
        <v>90</v>
      </c>
      <c r="C4191" s="14" t="s">
        <v>14</v>
      </c>
      <c r="D4191" s="20" t="s">
        <v>15</v>
      </c>
      <c r="E4191" s="12" t="str">
        <f>IFERROR(__xludf.DUMMYFUNCTION("FILTER(colegios!$B$2:$B5618,colegios!$A$2:$A5618=L4191)"),"50552 TUPAC AMARU II")</f>
        <v>50552 TUPAC AMARU II</v>
      </c>
      <c r="F4191" s="14" t="s">
        <v>16</v>
      </c>
      <c r="G4191" s="20" t="s">
        <v>21</v>
      </c>
      <c r="H4191" s="14" t="s">
        <v>24</v>
      </c>
      <c r="I4191" s="22">
        <v>2022.0</v>
      </c>
      <c r="J4191" s="16" t="str">
        <f>IFERROR(__xludf.DUMMYFUNCTION("FILTER('CLASFICACIÓN'!$F$3:$F5618,'CLASFICACIÓN'!$G$3:$G5618=M4191)"),"SOLO 2022 Y 2024")</f>
        <v>SOLO 2022 Y 2024</v>
      </c>
      <c r="K4191" s="16"/>
      <c r="L4191" s="14" t="s">
        <v>183</v>
      </c>
      <c r="M4191" s="16" t="str">
        <f t="shared" si="1"/>
        <v>50552 TUPAC AMARU II2 Primaria</v>
      </c>
      <c r="N4191" s="23"/>
      <c r="O4191" s="17"/>
      <c r="P4191" s="17"/>
      <c r="Q4191" s="17"/>
      <c r="R4191" s="17"/>
      <c r="S4191" s="17"/>
      <c r="T4191" s="17"/>
    </row>
    <row r="4192">
      <c r="A4192" s="21">
        <v>320.0</v>
      </c>
      <c r="B4192" s="14" t="s">
        <v>90</v>
      </c>
      <c r="C4192" s="14" t="s">
        <v>14</v>
      </c>
      <c r="D4192" s="20" t="s">
        <v>15</v>
      </c>
      <c r="E4192" s="12" t="str">
        <f>IFERROR(__xludf.DUMMYFUNCTION("FILTER(colegios!$B$2:$B5618,colegios!$A$2:$A5618=L4192)"),"50552 TUPAC AMARU II")</f>
        <v>50552 TUPAC AMARU II</v>
      </c>
      <c r="F4192" s="14" t="s">
        <v>16</v>
      </c>
      <c r="G4192" s="20" t="s">
        <v>21</v>
      </c>
      <c r="H4192" s="14" t="s">
        <v>24</v>
      </c>
      <c r="I4192" s="22">
        <v>2022.0</v>
      </c>
      <c r="J4192" s="16" t="str">
        <f>IFERROR(__xludf.DUMMYFUNCTION("FILTER('CLASFICACIÓN'!$F$3:$F5618,'CLASFICACIÓN'!$G$3:$G5618=M4192)"),"SOLO 2022 Y 2024")</f>
        <v>SOLO 2022 Y 2024</v>
      </c>
      <c r="K4192" s="16"/>
      <c r="L4192" s="14" t="s">
        <v>183</v>
      </c>
      <c r="M4192" s="16" t="str">
        <f t="shared" si="1"/>
        <v>50552 TUPAC AMARU II2 Primaria</v>
      </c>
      <c r="N4192" s="23"/>
      <c r="O4192" s="17"/>
      <c r="P4192" s="17"/>
      <c r="Q4192" s="17"/>
      <c r="R4192" s="17"/>
      <c r="S4192" s="17"/>
      <c r="T4192" s="17"/>
    </row>
    <row r="4193">
      <c r="A4193" s="21">
        <v>321.0</v>
      </c>
      <c r="B4193" s="14" t="s">
        <v>90</v>
      </c>
      <c r="C4193" s="14" t="s">
        <v>14</v>
      </c>
      <c r="D4193" s="20" t="s">
        <v>15</v>
      </c>
      <c r="E4193" s="12" t="str">
        <f>IFERROR(__xludf.DUMMYFUNCTION("FILTER(colegios!$B$2:$B5618,colegios!$A$2:$A5618=L4193)"),"50552 TUPAC AMARU II")</f>
        <v>50552 TUPAC AMARU II</v>
      </c>
      <c r="F4193" s="14" t="s">
        <v>16</v>
      </c>
      <c r="G4193" s="20" t="s">
        <v>21</v>
      </c>
      <c r="H4193" s="14" t="s">
        <v>24</v>
      </c>
      <c r="I4193" s="22">
        <v>2022.0</v>
      </c>
      <c r="J4193" s="16" t="str">
        <f>IFERROR(__xludf.DUMMYFUNCTION("FILTER('CLASFICACIÓN'!$F$3:$F5618,'CLASFICACIÓN'!$G$3:$G5618=M4193)"),"SOLO 2022 Y 2024")</f>
        <v>SOLO 2022 Y 2024</v>
      </c>
      <c r="K4193" s="16"/>
      <c r="L4193" s="14" t="s">
        <v>183</v>
      </c>
      <c r="M4193" s="16" t="str">
        <f t="shared" si="1"/>
        <v>50552 TUPAC AMARU II2 Primaria</v>
      </c>
      <c r="N4193" s="23"/>
      <c r="O4193" s="17"/>
      <c r="P4193" s="17"/>
      <c r="Q4193" s="17"/>
      <c r="R4193" s="17"/>
      <c r="S4193" s="17"/>
      <c r="T4193" s="17"/>
    </row>
    <row r="4194">
      <c r="A4194" s="21">
        <v>322.0</v>
      </c>
      <c r="B4194" s="14" t="s">
        <v>90</v>
      </c>
      <c r="C4194" s="14" t="s">
        <v>14</v>
      </c>
      <c r="D4194" s="20" t="s">
        <v>15</v>
      </c>
      <c r="E4194" s="12" t="str">
        <f>IFERROR(__xludf.DUMMYFUNCTION("FILTER(colegios!$B$2:$B5618,colegios!$A$2:$A5618=L4194)"),"50552 TUPAC AMARU II")</f>
        <v>50552 TUPAC AMARU II</v>
      </c>
      <c r="F4194" s="14" t="s">
        <v>16</v>
      </c>
      <c r="G4194" s="20" t="s">
        <v>21</v>
      </c>
      <c r="H4194" s="14" t="s">
        <v>24</v>
      </c>
      <c r="I4194" s="22">
        <v>2022.0</v>
      </c>
      <c r="J4194" s="16" t="str">
        <f>IFERROR(__xludf.DUMMYFUNCTION("FILTER('CLASFICACIÓN'!$F$3:$F5618,'CLASFICACIÓN'!$G$3:$G5618=M4194)"),"SOLO 2022 Y 2024")</f>
        <v>SOLO 2022 Y 2024</v>
      </c>
      <c r="K4194" s="16"/>
      <c r="L4194" s="14" t="s">
        <v>183</v>
      </c>
      <c r="M4194" s="16" t="str">
        <f t="shared" si="1"/>
        <v>50552 TUPAC AMARU II2 Primaria</v>
      </c>
      <c r="N4194" s="23"/>
      <c r="O4194" s="17"/>
      <c r="P4194" s="17"/>
      <c r="Q4194" s="17"/>
      <c r="R4194" s="17"/>
      <c r="S4194" s="17"/>
      <c r="T4194" s="17"/>
    </row>
    <row r="4195">
      <c r="A4195" s="21">
        <v>323.0</v>
      </c>
      <c r="B4195" s="14" t="s">
        <v>90</v>
      </c>
      <c r="C4195" s="14" t="s">
        <v>14</v>
      </c>
      <c r="D4195" s="20" t="s">
        <v>15</v>
      </c>
      <c r="E4195" s="12" t="str">
        <f>IFERROR(__xludf.DUMMYFUNCTION("FILTER(colegios!$B$2:$B5618,colegios!$A$2:$A5618=L4195)"),"50552 TUPAC AMARU II")</f>
        <v>50552 TUPAC AMARU II</v>
      </c>
      <c r="F4195" s="14" t="s">
        <v>16</v>
      </c>
      <c r="G4195" s="20" t="s">
        <v>21</v>
      </c>
      <c r="H4195" s="14" t="s">
        <v>24</v>
      </c>
      <c r="I4195" s="22">
        <v>2022.0</v>
      </c>
      <c r="J4195" s="16" t="str">
        <f>IFERROR(__xludf.DUMMYFUNCTION("FILTER('CLASFICACIÓN'!$F$3:$F5618,'CLASFICACIÓN'!$G$3:$G5618=M4195)"),"SOLO 2022 Y 2024")</f>
        <v>SOLO 2022 Y 2024</v>
      </c>
      <c r="K4195" s="16"/>
      <c r="L4195" s="14" t="s">
        <v>183</v>
      </c>
      <c r="M4195" s="16" t="str">
        <f t="shared" si="1"/>
        <v>50552 TUPAC AMARU II2 Primaria</v>
      </c>
      <c r="N4195" s="23"/>
      <c r="O4195" s="17"/>
      <c r="P4195" s="17"/>
      <c r="Q4195" s="17"/>
      <c r="R4195" s="17"/>
      <c r="S4195" s="17"/>
      <c r="T4195" s="17"/>
    </row>
    <row r="4196">
      <c r="A4196" s="21">
        <v>324.0</v>
      </c>
      <c r="B4196" s="14" t="s">
        <v>90</v>
      </c>
      <c r="C4196" s="14" t="s">
        <v>14</v>
      </c>
      <c r="D4196" s="20" t="s">
        <v>15</v>
      </c>
      <c r="E4196" s="12" t="str">
        <f>IFERROR(__xludf.DUMMYFUNCTION("FILTER(colegios!$B$2:$B5618,colegios!$A$2:$A5618=L4196)"),"50552 TUPAC AMARU II")</f>
        <v>50552 TUPAC AMARU II</v>
      </c>
      <c r="F4196" s="14" t="s">
        <v>16</v>
      </c>
      <c r="G4196" s="20" t="s">
        <v>21</v>
      </c>
      <c r="H4196" s="14" t="s">
        <v>24</v>
      </c>
      <c r="I4196" s="22">
        <v>2022.0</v>
      </c>
      <c r="J4196" s="16" t="str">
        <f>IFERROR(__xludf.DUMMYFUNCTION("FILTER('CLASFICACIÓN'!$F$3:$F5618,'CLASFICACIÓN'!$G$3:$G5618=M4196)"),"SOLO 2022 Y 2024")</f>
        <v>SOLO 2022 Y 2024</v>
      </c>
      <c r="K4196" s="16"/>
      <c r="L4196" s="14" t="s">
        <v>183</v>
      </c>
      <c r="M4196" s="16" t="str">
        <f t="shared" si="1"/>
        <v>50552 TUPAC AMARU II2 Primaria</v>
      </c>
      <c r="N4196" s="23"/>
      <c r="O4196" s="17"/>
      <c r="P4196" s="17"/>
      <c r="Q4196" s="17"/>
      <c r="R4196" s="17"/>
      <c r="S4196" s="17"/>
      <c r="T4196" s="17"/>
    </row>
    <row r="4197">
      <c r="A4197" s="21">
        <v>325.0</v>
      </c>
      <c r="B4197" s="14" t="s">
        <v>90</v>
      </c>
      <c r="C4197" s="14" t="s">
        <v>14</v>
      </c>
      <c r="D4197" s="20" t="s">
        <v>15</v>
      </c>
      <c r="E4197" s="12" t="str">
        <f>IFERROR(__xludf.DUMMYFUNCTION("FILTER(colegios!$B$2:$B5618,colegios!$A$2:$A5618=L4197)"),"50552 TUPAC AMARU II")</f>
        <v>50552 TUPAC AMARU II</v>
      </c>
      <c r="F4197" s="14" t="s">
        <v>16</v>
      </c>
      <c r="G4197" s="20" t="s">
        <v>17</v>
      </c>
      <c r="H4197" s="14" t="s">
        <v>24</v>
      </c>
      <c r="I4197" s="22">
        <v>2022.0</v>
      </c>
      <c r="J4197" s="16" t="str">
        <f>IFERROR(__xludf.DUMMYFUNCTION("FILTER('CLASFICACIÓN'!$F$3:$F5618,'CLASFICACIÓN'!$G$3:$G5618=M4197)"),"SOLO 2022 Y 2024")</f>
        <v>SOLO 2022 Y 2024</v>
      </c>
      <c r="K4197" s="16"/>
      <c r="L4197" s="14" t="s">
        <v>183</v>
      </c>
      <c r="M4197" s="16" t="str">
        <f t="shared" si="1"/>
        <v>50552 TUPAC AMARU II2 Primaria</v>
      </c>
      <c r="N4197" s="23"/>
      <c r="O4197" s="17"/>
      <c r="P4197" s="17"/>
      <c r="Q4197" s="17"/>
      <c r="R4197" s="17"/>
      <c r="S4197" s="17"/>
      <c r="T4197" s="17"/>
    </row>
    <row r="4198">
      <c r="A4198" s="21">
        <v>326.0</v>
      </c>
      <c r="B4198" s="14" t="s">
        <v>90</v>
      </c>
      <c r="C4198" s="14" t="s">
        <v>14</v>
      </c>
      <c r="D4198" s="20" t="s">
        <v>15</v>
      </c>
      <c r="E4198" s="12" t="str">
        <f>IFERROR(__xludf.DUMMYFUNCTION("FILTER(colegios!$B$2:$B5618,colegios!$A$2:$A5618=L4198)"),"50552 TUPAC AMARU II")</f>
        <v>50552 TUPAC AMARU II</v>
      </c>
      <c r="F4198" s="14" t="s">
        <v>16</v>
      </c>
      <c r="G4198" s="20" t="s">
        <v>17</v>
      </c>
      <c r="H4198" s="14" t="s">
        <v>24</v>
      </c>
      <c r="I4198" s="22">
        <v>2022.0</v>
      </c>
      <c r="J4198" s="16" t="str">
        <f>IFERROR(__xludf.DUMMYFUNCTION("FILTER('CLASFICACIÓN'!$F$3:$F5618,'CLASFICACIÓN'!$G$3:$G5618=M4198)"),"SOLO 2022 Y 2024")</f>
        <v>SOLO 2022 Y 2024</v>
      </c>
      <c r="K4198" s="16"/>
      <c r="L4198" s="14" t="s">
        <v>183</v>
      </c>
      <c r="M4198" s="16" t="str">
        <f t="shared" si="1"/>
        <v>50552 TUPAC AMARU II2 Primaria</v>
      </c>
      <c r="N4198" s="23"/>
      <c r="O4198" s="17"/>
      <c r="P4198" s="17"/>
      <c r="Q4198" s="17"/>
      <c r="R4198" s="17"/>
      <c r="S4198" s="17"/>
      <c r="T4198" s="17"/>
    </row>
    <row r="4199">
      <c r="A4199" s="21">
        <v>327.0</v>
      </c>
      <c r="B4199" s="14" t="s">
        <v>90</v>
      </c>
      <c r="C4199" s="14" t="s">
        <v>14</v>
      </c>
      <c r="D4199" s="20" t="s">
        <v>15</v>
      </c>
      <c r="E4199" s="12" t="str">
        <f>IFERROR(__xludf.DUMMYFUNCTION("FILTER(colegios!$B$2:$B5618,colegios!$A$2:$A5618=L4199)"),"50552 TUPAC AMARU II")</f>
        <v>50552 TUPAC AMARU II</v>
      </c>
      <c r="F4199" s="14" t="s">
        <v>16</v>
      </c>
      <c r="G4199" s="20" t="s">
        <v>17</v>
      </c>
      <c r="H4199" s="14" t="s">
        <v>24</v>
      </c>
      <c r="I4199" s="22">
        <v>2022.0</v>
      </c>
      <c r="J4199" s="16" t="str">
        <f>IFERROR(__xludf.DUMMYFUNCTION("FILTER('CLASFICACIÓN'!$F$3:$F5618,'CLASFICACIÓN'!$G$3:$G5618=M4199)"),"SOLO 2022 Y 2024")</f>
        <v>SOLO 2022 Y 2024</v>
      </c>
      <c r="K4199" s="16"/>
      <c r="L4199" s="14" t="s">
        <v>183</v>
      </c>
      <c r="M4199" s="16" t="str">
        <f t="shared" si="1"/>
        <v>50552 TUPAC AMARU II2 Primaria</v>
      </c>
      <c r="N4199" s="23"/>
      <c r="O4199" s="17"/>
      <c r="P4199" s="17"/>
      <c r="Q4199" s="17"/>
      <c r="R4199" s="17"/>
      <c r="S4199" s="17"/>
      <c r="T4199" s="17"/>
    </row>
    <row r="4200">
      <c r="A4200" s="21">
        <v>328.0</v>
      </c>
      <c r="B4200" s="14" t="s">
        <v>90</v>
      </c>
      <c r="C4200" s="14" t="s">
        <v>14</v>
      </c>
      <c r="D4200" s="20" t="s">
        <v>15</v>
      </c>
      <c r="E4200" s="12" t="str">
        <f>IFERROR(__xludf.DUMMYFUNCTION("FILTER(colegios!$B$2:$B5618,colegios!$A$2:$A5618=L4200)"),"50552 TUPAC AMARU II")</f>
        <v>50552 TUPAC AMARU II</v>
      </c>
      <c r="F4200" s="14" t="s">
        <v>16</v>
      </c>
      <c r="G4200" s="20" t="s">
        <v>17</v>
      </c>
      <c r="H4200" s="14" t="s">
        <v>24</v>
      </c>
      <c r="I4200" s="22">
        <v>2022.0</v>
      </c>
      <c r="J4200" s="16" t="str">
        <f>IFERROR(__xludf.DUMMYFUNCTION("FILTER('CLASFICACIÓN'!$F$3:$F5618,'CLASFICACIÓN'!$G$3:$G5618=M4200)"),"SOLO 2022 Y 2024")</f>
        <v>SOLO 2022 Y 2024</v>
      </c>
      <c r="K4200" s="16"/>
      <c r="L4200" s="14" t="s">
        <v>183</v>
      </c>
      <c r="M4200" s="16" t="str">
        <f t="shared" si="1"/>
        <v>50552 TUPAC AMARU II2 Primaria</v>
      </c>
      <c r="N4200" s="23"/>
      <c r="O4200" s="17"/>
      <c r="P4200" s="17"/>
      <c r="Q4200" s="17"/>
      <c r="R4200" s="17"/>
      <c r="S4200" s="17"/>
      <c r="T4200" s="17"/>
    </row>
    <row r="4201">
      <c r="A4201" s="21">
        <v>329.0</v>
      </c>
      <c r="B4201" s="14" t="s">
        <v>90</v>
      </c>
      <c r="C4201" s="14" t="s">
        <v>14</v>
      </c>
      <c r="D4201" s="20" t="s">
        <v>15</v>
      </c>
      <c r="E4201" s="12" t="str">
        <f>IFERROR(__xludf.DUMMYFUNCTION("FILTER(colegios!$B$2:$B5618,colegios!$A$2:$A5618=L4201)"),"50552 TUPAC AMARU II")</f>
        <v>50552 TUPAC AMARU II</v>
      </c>
      <c r="F4201" s="14" t="s">
        <v>16</v>
      </c>
      <c r="G4201" s="20" t="s">
        <v>17</v>
      </c>
      <c r="H4201" s="14" t="s">
        <v>24</v>
      </c>
      <c r="I4201" s="22">
        <v>2022.0</v>
      </c>
      <c r="J4201" s="16" t="str">
        <f>IFERROR(__xludf.DUMMYFUNCTION("FILTER('CLASFICACIÓN'!$F$3:$F5618,'CLASFICACIÓN'!$G$3:$G5618=M4201)"),"SOLO 2022 Y 2024")</f>
        <v>SOLO 2022 Y 2024</v>
      </c>
      <c r="K4201" s="16"/>
      <c r="L4201" s="14" t="s">
        <v>183</v>
      </c>
      <c r="M4201" s="16" t="str">
        <f t="shared" si="1"/>
        <v>50552 TUPAC AMARU II2 Primaria</v>
      </c>
      <c r="N4201" s="23"/>
      <c r="O4201" s="17"/>
      <c r="P4201" s="17"/>
      <c r="Q4201" s="17"/>
      <c r="R4201" s="17"/>
      <c r="S4201" s="17"/>
      <c r="T4201" s="17"/>
    </row>
    <row r="4202">
      <c r="A4202" s="21">
        <v>330.0</v>
      </c>
      <c r="B4202" s="14" t="s">
        <v>90</v>
      </c>
      <c r="C4202" s="14" t="s">
        <v>14</v>
      </c>
      <c r="D4202" s="20" t="s">
        <v>15</v>
      </c>
      <c r="E4202" s="12" t="str">
        <f>IFERROR(__xludf.DUMMYFUNCTION("FILTER(colegios!$B$2:$B5618,colegios!$A$2:$A5618=L4202)"),"50552 TUPAC AMARU II")</f>
        <v>50552 TUPAC AMARU II</v>
      </c>
      <c r="F4202" s="14" t="s">
        <v>16</v>
      </c>
      <c r="G4202" s="20" t="s">
        <v>21</v>
      </c>
      <c r="H4202" s="14" t="s">
        <v>24</v>
      </c>
      <c r="I4202" s="22">
        <v>2022.0</v>
      </c>
      <c r="J4202" s="16" t="str">
        <f>IFERROR(__xludf.DUMMYFUNCTION("FILTER('CLASFICACIÓN'!$F$3:$F5618,'CLASFICACIÓN'!$G$3:$G5618=M4202)"),"SOLO 2022 Y 2024")</f>
        <v>SOLO 2022 Y 2024</v>
      </c>
      <c r="K4202" s="16"/>
      <c r="L4202" s="14" t="s">
        <v>183</v>
      </c>
      <c r="M4202" s="16" t="str">
        <f t="shared" si="1"/>
        <v>50552 TUPAC AMARU II2 Primaria</v>
      </c>
      <c r="N4202" s="23"/>
      <c r="O4202" s="17"/>
      <c r="P4202" s="17"/>
      <c r="Q4202" s="17"/>
      <c r="R4202" s="17"/>
      <c r="S4202" s="17"/>
      <c r="T4202" s="17"/>
    </row>
    <row r="4203">
      <c r="A4203" s="21">
        <v>331.0</v>
      </c>
      <c r="B4203" s="14" t="s">
        <v>90</v>
      </c>
      <c r="C4203" s="14" t="s">
        <v>14</v>
      </c>
      <c r="D4203" s="20" t="s">
        <v>15</v>
      </c>
      <c r="E4203" s="12" t="str">
        <f>IFERROR(__xludf.DUMMYFUNCTION("FILTER(colegios!$B$2:$B5618,colegios!$A$2:$A5618=L4203)"),"50552 TUPAC AMARU II")</f>
        <v>50552 TUPAC AMARU II</v>
      </c>
      <c r="F4203" s="14" t="s">
        <v>16</v>
      </c>
      <c r="G4203" s="20" t="s">
        <v>17</v>
      </c>
      <c r="H4203" s="14" t="s">
        <v>24</v>
      </c>
      <c r="I4203" s="22">
        <v>2022.0</v>
      </c>
      <c r="J4203" s="16" t="str">
        <f>IFERROR(__xludf.DUMMYFUNCTION("FILTER('CLASFICACIÓN'!$F$3:$F5618,'CLASFICACIÓN'!$G$3:$G5618=M4203)"),"SOLO 2022 Y 2024")</f>
        <v>SOLO 2022 Y 2024</v>
      </c>
      <c r="K4203" s="16"/>
      <c r="L4203" s="14" t="s">
        <v>183</v>
      </c>
      <c r="M4203" s="16" t="str">
        <f t="shared" si="1"/>
        <v>50552 TUPAC AMARU II2 Primaria</v>
      </c>
      <c r="N4203" s="23"/>
      <c r="O4203" s="17"/>
      <c r="P4203" s="17"/>
      <c r="Q4203" s="17"/>
      <c r="R4203" s="17"/>
      <c r="S4203" s="17"/>
      <c r="T4203" s="17"/>
    </row>
    <row r="4204">
      <c r="A4204" s="21">
        <v>332.0</v>
      </c>
      <c r="B4204" s="14" t="s">
        <v>90</v>
      </c>
      <c r="C4204" s="14" t="s">
        <v>14</v>
      </c>
      <c r="D4204" s="20" t="s">
        <v>15</v>
      </c>
      <c r="E4204" s="12" t="str">
        <f>IFERROR(__xludf.DUMMYFUNCTION("FILTER(colegios!$B$2:$B5618,colegios!$A$2:$A5618=L4204)"),"50552 TUPAC AMARU II")</f>
        <v>50552 TUPAC AMARU II</v>
      </c>
      <c r="F4204" s="14" t="s">
        <v>16</v>
      </c>
      <c r="G4204" s="20" t="s">
        <v>21</v>
      </c>
      <c r="H4204" s="14" t="s">
        <v>24</v>
      </c>
      <c r="I4204" s="22">
        <v>2022.0</v>
      </c>
      <c r="J4204" s="16" t="str">
        <f>IFERROR(__xludf.DUMMYFUNCTION("FILTER('CLASFICACIÓN'!$F$3:$F5618,'CLASFICACIÓN'!$G$3:$G5618=M4204)"),"SOLO 2022 Y 2024")</f>
        <v>SOLO 2022 Y 2024</v>
      </c>
      <c r="K4204" s="16"/>
      <c r="L4204" s="14" t="s">
        <v>183</v>
      </c>
      <c r="M4204" s="16" t="str">
        <f t="shared" si="1"/>
        <v>50552 TUPAC AMARU II2 Primaria</v>
      </c>
      <c r="N4204" s="23"/>
      <c r="O4204" s="17"/>
      <c r="P4204" s="17"/>
      <c r="Q4204" s="17"/>
      <c r="R4204" s="17"/>
      <c r="S4204" s="17"/>
      <c r="T4204" s="17"/>
    </row>
    <row r="4205">
      <c r="A4205" s="21">
        <v>333.0</v>
      </c>
      <c r="B4205" s="14" t="s">
        <v>90</v>
      </c>
      <c r="C4205" s="14" t="s">
        <v>14</v>
      </c>
      <c r="D4205" s="20" t="s">
        <v>15</v>
      </c>
      <c r="E4205" s="12" t="str">
        <f>IFERROR(__xludf.DUMMYFUNCTION("FILTER(colegios!$B$2:$B5618,colegios!$A$2:$A5618=L4205)"),"50552 TUPAC AMARU II")</f>
        <v>50552 TUPAC AMARU II</v>
      </c>
      <c r="F4205" s="14" t="s">
        <v>16</v>
      </c>
      <c r="G4205" s="20" t="s">
        <v>21</v>
      </c>
      <c r="H4205" s="14" t="s">
        <v>24</v>
      </c>
      <c r="I4205" s="22">
        <v>2022.0</v>
      </c>
      <c r="J4205" s="16" t="str">
        <f>IFERROR(__xludf.DUMMYFUNCTION("FILTER('CLASFICACIÓN'!$F$3:$F5618,'CLASFICACIÓN'!$G$3:$G5618=M4205)"),"SOLO 2022 Y 2024")</f>
        <v>SOLO 2022 Y 2024</v>
      </c>
      <c r="K4205" s="16"/>
      <c r="L4205" s="14" t="s">
        <v>183</v>
      </c>
      <c r="M4205" s="16" t="str">
        <f t="shared" si="1"/>
        <v>50552 TUPAC AMARU II2 Primaria</v>
      </c>
      <c r="N4205" s="23"/>
      <c r="O4205" s="17"/>
      <c r="P4205" s="17"/>
      <c r="Q4205" s="17"/>
      <c r="R4205" s="17"/>
      <c r="S4205" s="17"/>
      <c r="T4205" s="17"/>
    </row>
    <row r="4206">
      <c r="A4206" s="21">
        <v>334.0</v>
      </c>
      <c r="B4206" s="14" t="s">
        <v>90</v>
      </c>
      <c r="C4206" s="14" t="s">
        <v>14</v>
      </c>
      <c r="D4206" s="20" t="s">
        <v>15</v>
      </c>
      <c r="E4206" s="12" t="str">
        <f>IFERROR(__xludf.DUMMYFUNCTION("FILTER(colegios!$B$2:$B5618,colegios!$A$2:$A5618=L4206)"),"50552 TUPAC AMARU II")</f>
        <v>50552 TUPAC AMARU II</v>
      </c>
      <c r="F4206" s="14" t="s">
        <v>16</v>
      </c>
      <c r="G4206" s="20" t="s">
        <v>17</v>
      </c>
      <c r="H4206" s="14" t="s">
        <v>24</v>
      </c>
      <c r="I4206" s="22">
        <v>2022.0</v>
      </c>
      <c r="J4206" s="16" t="str">
        <f>IFERROR(__xludf.DUMMYFUNCTION("FILTER('CLASFICACIÓN'!$F$3:$F5618,'CLASFICACIÓN'!$G$3:$G5618=M4206)"),"SOLO 2022 Y 2024")</f>
        <v>SOLO 2022 Y 2024</v>
      </c>
      <c r="K4206" s="16"/>
      <c r="L4206" s="14" t="s">
        <v>183</v>
      </c>
      <c r="M4206" s="16" t="str">
        <f t="shared" si="1"/>
        <v>50552 TUPAC AMARU II2 Primaria</v>
      </c>
      <c r="N4206" s="23"/>
      <c r="O4206" s="17"/>
      <c r="P4206" s="17"/>
      <c r="Q4206" s="17"/>
      <c r="R4206" s="17"/>
      <c r="S4206" s="17"/>
      <c r="T4206" s="17"/>
    </row>
    <row r="4207">
      <c r="A4207" s="21">
        <v>335.0</v>
      </c>
      <c r="B4207" s="14" t="s">
        <v>90</v>
      </c>
      <c r="C4207" s="14" t="s">
        <v>14</v>
      </c>
      <c r="D4207" s="20" t="s">
        <v>15</v>
      </c>
      <c r="E4207" s="12" t="str">
        <f>IFERROR(__xludf.DUMMYFUNCTION("FILTER(colegios!$B$2:$B5618,colegios!$A$2:$A5618=L4207)"),"50552 TUPAC AMARU II")</f>
        <v>50552 TUPAC AMARU II</v>
      </c>
      <c r="F4207" s="14" t="s">
        <v>16</v>
      </c>
      <c r="G4207" s="20" t="s">
        <v>17</v>
      </c>
      <c r="H4207" s="14" t="s">
        <v>24</v>
      </c>
      <c r="I4207" s="22">
        <v>2022.0</v>
      </c>
      <c r="J4207" s="16" t="str">
        <f>IFERROR(__xludf.DUMMYFUNCTION("FILTER('CLASFICACIÓN'!$F$3:$F5618,'CLASFICACIÓN'!$G$3:$G5618=M4207)"),"SOLO 2022 Y 2024")</f>
        <v>SOLO 2022 Y 2024</v>
      </c>
      <c r="K4207" s="16"/>
      <c r="L4207" s="14" t="s">
        <v>183</v>
      </c>
      <c r="M4207" s="16" t="str">
        <f t="shared" si="1"/>
        <v>50552 TUPAC AMARU II2 Primaria</v>
      </c>
      <c r="N4207" s="23"/>
      <c r="O4207" s="17"/>
      <c r="P4207" s="17"/>
      <c r="Q4207" s="17"/>
      <c r="R4207" s="17"/>
      <c r="S4207" s="17"/>
      <c r="T4207" s="17"/>
    </row>
    <row r="4208">
      <c r="A4208" s="21">
        <v>336.0</v>
      </c>
      <c r="B4208" s="14" t="s">
        <v>90</v>
      </c>
      <c r="C4208" s="14" t="s">
        <v>14</v>
      </c>
      <c r="D4208" s="20" t="s">
        <v>15</v>
      </c>
      <c r="E4208" s="12" t="str">
        <f>IFERROR(__xludf.DUMMYFUNCTION("FILTER(colegios!$B$2:$B5618,colegios!$A$2:$A5618=L4208)"),"50552 TUPAC AMARU II")</f>
        <v>50552 TUPAC AMARU II</v>
      </c>
      <c r="F4208" s="14" t="s">
        <v>16</v>
      </c>
      <c r="G4208" s="20" t="s">
        <v>21</v>
      </c>
      <c r="H4208" s="14" t="s">
        <v>24</v>
      </c>
      <c r="I4208" s="22">
        <v>2022.0</v>
      </c>
      <c r="J4208" s="16" t="str">
        <f>IFERROR(__xludf.DUMMYFUNCTION("FILTER('CLASFICACIÓN'!$F$3:$F5618,'CLASFICACIÓN'!$G$3:$G5618=M4208)"),"SOLO 2022 Y 2024")</f>
        <v>SOLO 2022 Y 2024</v>
      </c>
      <c r="K4208" s="16"/>
      <c r="L4208" s="14" t="s">
        <v>183</v>
      </c>
      <c r="M4208" s="16" t="str">
        <f t="shared" si="1"/>
        <v>50552 TUPAC AMARU II2 Primaria</v>
      </c>
      <c r="N4208" s="23"/>
      <c r="O4208" s="17"/>
      <c r="P4208" s="17"/>
      <c r="Q4208" s="17"/>
      <c r="R4208" s="17"/>
      <c r="S4208" s="17"/>
      <c r="T4208" s="17"/>
    </row>
    <row r="4209">
      <c r="A4209" s="21">
        <v>337.0</v>
      </c>
      <c r="B4209" s="14" t="s">
        <v>90</v>
      </c>
      <c r="C4209" s="14" t="s">
        <v>14</v>
      </c>
      <c r="D4209" s="20" t="s">
        <v>15</v>
      </c>
      <c r="E4209" s="12" t="str">
        <f>IFERROR(__xludf.DUMMYFUNCTION("FILTER(colegios!$B$2:$B5618,colegios!$A$2:$A5618=L4209)"),"50552 TUPAC AMARU II")</f>
        <v>50552 TUPAC AMARU II</v>
      </c>
      <c r="F4209" s="14" t="s">
        <v>16</v>
      </c>
      <c r="G4209" s="20" t="s">
        <v>17</v>
      </c>
      <c r="H4209" s="14" t="s">
        <v>24</v>
      </c>
      <c r="I4209" s="22">
        <v>2022.0</v>
      </c>
      <c r="J4209" s="16" t="str">
        <f>IFERROR(__xludf.DUMMYFUNCTION("FILTER('CLASFICACIÓN'!$F$3:$F5618,'CLASFICACIÓN'!$G$3:$G5618=M4209)"),"SOLO 2022 Y 2024")</f>
        <v>SOLO 2022 Y 2024</v>
      </c>
      <c r="K4209" s="16"/>
      <c r="L4209" s="14" t="s">
        <v>183</v>
      </c>
      <c r="M4209" s="16" t="str">
        <f t="shared" si="1"/>
        <v>50552 TUPAC AMARU II2 Primaria</v>
      </c>
      <c r="N4209" s="23"/>
      <c r="O4209" s="17"/>
      <c r="P4209" s="17"/>
      <c r="Q4209" s="17"/>
      <c r="R4209" s="17"/>
      <c r="S4209" s="17"/>
      <c r="T4209" s="17"/>
    </row>
    <row r="4210">
      <c r="A4210" s="21">
        <v>338.0</v>
      </c>
      <c r="B4210" s="14" t="s">
        <v>90</v>
      </c>
      <c r="C4210" s="14" t="s">
        <v>14</v>
      </c>
      <c r="D4210" s="20" t="s">
        <v>15</v>
      </c>
      <c r="E4210" s="12" t="str">
        <f>IFERROR(__xludf.DUMMYFUNCTION("FILTER(colegios!$B$2:$B5618,colegios!$A$2:$A5618=L4210)"),"50552 TUPAC AMARU II")</f>
        <v>50552 TUPAC AMARU II</v>
      </c>
      <c r="F4210" s="14" t="s">
        <v>16</v>
      </c>
      <c r="G4210" s="20" t="s">
        <v>21</v>
      </c>
      <c r="H4210" s="14" t="s">
        <v>24</v>
      </c>
      <c r="I4210" s="22">
        <v>2022.0</v>
      </c>
      <c r="J4210" s="16" t="str">
        <f>IFERROR(__xludf.DUMMYFUNCTION("FILTER('CLASFICACIÓN'!$F$3:$F5618,'CLASFICACIÓN'!$G$3:$G5618=M4210)"),"SOLO 2022 Y 2024")</f>
        <v>SOLO 2022 Y 2024</v>
      </c>
      <c r="K4210" s="16"/>
      <c r="L4210" s="14" t="s">
        <v>183</v>
      </c>
      <c r="M4210" s="16" t="str">
        <f t="shared" si="1"/>
        <v>50552 TUPAC AMARU II2 Primaria</v>
      </c>
      <c r="N4210" s="23"/>
      <c r="O4210" s="17"/>
      <c r="P4210" s="17"/>
      <c r="Q4210" s="17"/>
      <c r="R4210" s="17"/>
      <c r="S4210" s="17"/>
      <c r="T4210" s="17"/>
    </row>
    <row r="4211">
      <c r="A4211" s="21">
        <v>339.0</v>
      </c>
      <c r="B4211" s="14" t="s">
        <v>90</v>
      </c>
      <c r="C4211" s="14" t="s">
        <v>14</v>
      </c>
      <c r="D4211" s="20" t="s">
        <v>15</v>
      </c>
      <c r="E4211" s="12" t="str">
        <f>IFERROR(__xludf.DUMMYFUNCTION("FILTER(colegios!$B$2:$B5618,colegios!$A$2:$A5618=L4211)"),"50552 TUPAC AMARU II")</f>
        <v>50552 TUPAC AMARU II</v>
      </c>
      <c r="F4211" s="14" t="s">
        <v>16</v>
      </c>
      <c r="G4211" s="20" t="s">
        <v>17</v>
      </c>
      <c r="H4211" s="14" t="s">
        <v>24</v>
      </c>
      <c r="I4211" s="22">
        <v>2022.0</v>
      </c>
      <c r="J4211" s="16" t="str">
        <f>IFERROR(__xludf.DUMMYFUNCTION("FILTER('CLASFICACIÓN'!$F$3:$F5618,'CLASFICACIÓN'!$G$3:$G5618=M4211)"),"SOLO 2022 Y 2024")</f>
        <v>SOLO 2022 Y 2024</v>
      </c>
      <c r="K4211" s="16"/>
      <c r="L4211" s="14" t="s">
        <v>183</v>
      </c>
      <c r="M4211" s="16" t="str">
        <f t="shared" si="1"/>
        <v>50552 TUPAC AMARU II2 Primaria</v>
      </c>
      <c r="N4211" s="23"/>
      <c r="O4211" s="17"/>
      <c r="P4211" s="17"/>
      <c r="Q4211" s="17"/>
      <c r="R4211" s="17"/>
      <c r="S4211" s="17"/>
      <c r="T4211" s="17"/>
    </row>
    <row r="4212">
      <c r="A4212" s="21">
        <v>340.0</v>
      </c>
      <c r="B4212" s="14" t="s">
        <v>90</v>
      </c>
      <c r="C4212" s="14" t="s">
        <v>14</v>
      </c>
      <c r="D4212" s="20" t="s">
        <v>15</v>
      </c>
      <c r="E4212" s="12" t="str">
        <f>IFERROR(__xludf.DUMMYFUNCTION("FILTER(colegios!$B$2:$B5618,colegios!$A$2:$A5618=L4212)"),"50552 TUPAC AMARU II")</f>
        <v>50552 TUPAC AMARU II</v>
      </c>
      <c r="F4212" s="14" t="s">
        <v>16</v>
      </c>
      <c r="G4212" s="20" t="s">
        <v>21</v>
      </c>
      <c r="H4212" s="14" t="s">
        <v>24</v>
      </c>
      <c r="I4212" s="22">
        <v>2022.0</v>
      </c>
      <c r="J4212" s="16" t="str">
        <f>IFERROR(__xludf.DUMMYFUNCTION("FILTER('CLASFICACIÓN'!$F$3:$F5618,'CLASFICACIÓN'!$G$3:$G5618=M4212)"),"SOLO 2022 Y 2024")</f>
        <v>SOLO 2022 Y 2024</v>
      </c>
      <c r="K4212" s="16"/>
      <c r="L4212" s="14" t="s">
        <v>183</v>
      </c>
      <c r="M4212" s="16" t="str">
        <f t="shared" si="1"/>
        <v>50552 TUPAC AMARU II2 Primaria</v>
      </c>
      <c r="N4212" s="23"/>
      <c r="O4212" s="17"/>
      <c r="P4212" s="17"/>
      <c r="Q4212" s="17"/>
      <c r="R4212" s="17"/>
      <c r="S4212" s="17"/>
      <c r="T4212" s="17"/>
    </row>
    <row r="4213">
      <c r="A4213" s="21">
        <v>341.0</v>
      </c>
      <c r="B4213" s="14" t="s">
        <v>90</v>
      </c>
      <c r="C4213" s="14" t="s">
        <v>14</v>
      </c>
      <c r="D4213" s="20" t="s">
        <v>15</v>
      </c>
      <c r="E4213" s="12" t="str">
        <f>IFERROR(__xludf.DUMMYFUNCTION("FILTER(colegios!$B$2:$B5618,colegios!$A$2:$A5618=L4213)"),"50552 TUPAC AMARU II")</f>
        <v>50552 TUPAC AMARU II</v>
      </c>
      <c r="F4213" s="14" t="s">
        <v>16</v>
      </c>
      <c r="G4213" s="20" t="s">
        <v>17</v>
      </c>
      <c r="H4213" s="14" t="s">
        <v>24</v>
      </c>
      <c r="I4213" s="22">
        <v>2022.0</v>
      </c>
      <c r="J4213" s="16" t="str">
        <f>IFERROR(__xludf.DUMMYFUNCTION("FILTER('CLASFICACIÓN'!$F$3:$F5618,'CLASFICACIÓN'!$G$3:$G5618=M4213)"),"SOLO 2022 Y 2024")</f>
        <v>SOLO 2022 Y 2024</v>
      </c>
      <c r="K4213" s="16"/>
      <c r="L4213" s="14" t="s">
        <v>183</v>
      </c>
      <c r="M4213" s="16" t="str">
        <f t="shared" si="1"/>
        <v>50552 TUPAC AMARU II2 Primaria</v>
      </c>
      <c r="N4213" s="23"/>
      <c r="O4213" s="17"/>
      <c r="P4213" s="17"/>
      <c r="Q4213" s="17"/>
      <c r="R4213" s="17"/>
      <c r="S4213" s="17"/>
      <c r="T4213" s="17"/>
    </row>
    <row r="4214">
      <c r="A4214" s="21">
        <v>342.0</v>
      </c>
      <c r="B4214" s="14" t="s">
        <v>90</v>
      </c>
      <c r="C4214" s="14" t="s">
        <v>14</v>
      </c>
      <c r="D4214" s="20" t="s">
        <v>15</v>
      </c>
      <c r="E4214" s="12" t="str">
        <f>IFERROR(__xludf.DUMMYFUNCTION("FILTER(colegios!$B$2:$B5618,colegios!$A$2:$A5618=L4214)"),"50552 TUPAC AMARU II")</f>
        <v>50552 TUPAC AMARU II</v>
      </c>
      <c r="F4214" s="14" t="s">
        <v>16</v>
      </c>
      <c r="G4214" s="20" t="s">
        <v>17</v>
      </c>
      <c r="H4214" s="14" t="s">
        <v>24</v>
      </c>
      <c r="I4214" s="22">
        <v>2022.0</v>
      </c>
      <c r="J4214" s="16" t="str">
        <f>IFERROR(__xludf.DUMMYFUNCTION("FILTER('CLASFICACIÓN'!$F$3:$F5618,'CLASFICACIÓN'!$G$3:$G5618=M4214)"),"SOLO 2022 Y 2024")</f>
        <v>SOLO 2022 Y 2024</v>
      </c>
      <c r="K4214" s="16"/>
      <c r="L4214" s="14" t="s">
        <v>183</v>
      </c>
      <c r="M4214" s="16" t="str">
        <f t="shared" si="1"/>
        <v>50552 TUPAC AMARU II2 Primaria</v>
      </c>
      <c r="N4214" s="23"/>
      <c r="O4214" s="17"/>
      <c r="P4214" s="17"/>
      <c r="Q4214" s="17"/>
      <c r="R4214" s="17"/>
      <c r="S4214" s="17"/>
      <c r="T4214" s="17"/>
    </row>
    <row r="4215">
      <c r="A4215" s="21">
        <v>343.0</v>
      </c>
      <c r="B4215" s="14" t="s">
        <v>90</v>
      </c>
      <c r="C4215" s="14" t="s">
        <v>14</v>
      </c>
      <c r="D4215" s="20" t="s">
        <v>15</v>
      </c>
      <c r="E4215" s="12" t="str">
        <f>IFERROR(__xludf.DUMMYFUNCTION("FILTER(colegios!$B$2:$B5618,colegios!$A$2:$A5618=L4215)"),"50552 TUPAC AMARU II")</f>
        <v>50552 TUPAC AMARU II</v>
      </c>
      <c r="F4215" s="14" t="s">
        <v>16</v>
      </c>
      <c r="G4215" s="20" t="s">
        <v>17</v>
      </c>
      <c r="H4215" s="14" t="s">
        <v>24</v>
      </c>
      <c r="I4215" s="22">
        <v>2022.0</v>
      </c>
      <c r="J4215" s="16" t="str">
        <f>IFERROR(__xludf.DUMMYFUNCTION("FILTER('CLASFICACIÓN'!$F$3:$F5618,'CLASFICACIÓN'!$G$3:$G5618=M4215)"),"SOLO 2022 Y 2024")</f>
        <v>SOLO 2022 Y 2024</v>
      </c>
      <c r="K4215" s="16"/>
      <c r="L4215" s="14" t="s">
        <v>183</v>
      </c>
      <c r="M4215" s="16" t="str">
        <f t="shared" si="1"/>
        <v>50552 TUPAC AMARU II2 Primaria</v>
      </c>
      <c r="N4215" s="23"/>
      <c r="O4215" s="17"/>
      <c r="P4215" s="17"/>
      <c r="Q4215" s="17"/>
      <c r="R4215" s="17"/>
      <c r="S4215" s="17"/>
      <c r="T4215" s="17"/>
    </row>
    <row r="4216">
      <c r="A4216" s="21">
        <v>344.0</v>
      </c>
      <c r="B4216" s="14" t="s">
        <v>90</v>
      </c>
      <c r="C4216" s="14" t="s">
        <v>14</v>
      </c>
      <c r="D4216" s="20" t="s">
        <v>15</v>
      </c>
      <c r="E4216" s="12" t="str">
        <f>IFERROR(__xludf.DUMMYFUNCTION("FILTER(colegios!$B$2:$B5618,colegios!$A$2:$A5618=L4216)"),"50552 TUPAC AMARU II")</f>
        <v>50552 TUPAC AMARU II</v>
      </c>
      <c r="F4216" s="14" t="s">
        <v>16</v>
      </c>
      <c r="G4216" s="20" t="s">
        <v>21</v>
      </c>
      <c r="H4216" s="14" t="s">
        <v>24</v>
      </c>
      <c r="I4216" s="22">
        <v>2022.0</v>
      </c>
      <c r="J4216" s="16" t="str">
        <f>IFERROR(__xludf.DUMMYFUNCTION("FILTER('CLASFICACIÓN'!$F$3:$F5618,'CLASFICACIÓN'!$G$3:$G5618=M4216)"),"SOLO 2022 Y 2024")</f>
        <v>SOLO 2022 Y 2024</v>
      </c>
      <c r="K4216" s="16"/>
      <c r="L4216" s="14" t="s">
        <v>183</v>
      </c>
      <c r="M4216" s="16" t="str">
        <f t="shared" si="1"/>
        <v>50552 TUPAC AMARU II2 Primaria</v>
      </c>
      <c r="N4216" s="23"/>
      <c r="O4216" s="17"/>
      <c r="P4216" s="17"/>
      <c r="Q4216" s="17"/>
      <c r="R4216" s="17"/>
      <c r="S4216" s="17"/>
      <c r="T4216" s="17"/>
    </row>
    <row r="4217">
      <c r="A4217" s="21">
        <v>345.0</v>
      </c>
      <c r="B4217" s="14" t="s">
        <v>90</v>
      </c>
      <c r="C4217" s="14" t="s">
        <v>14</v>
      </c>
      <c r="D4217" s="20" t="s">
        <v>15</v>
      </c>
      <c r="E4217" s="12" t="str">
        <f>IFERROR(__xludf.DUMMYFUNCTION("FILTER(colegios!$B$2:$B5618,colegios!$A$2:$A5618=L4217)"),"50552 TUPAC AMARU II")</f>
        <v>50552 TUPAC AMARU II</v>
      </c>
      <c r="F4217" s="14" t="s">
        <v>16</v>
      </c>
      <c r="G4217" s="20" t="s">
        <v>21</v>
      </c>
      <c r="H4217" s="14" t="s">
        <v>24</v>
      </c>
      <c r="I4217" s="22">
        <v>2022.0</v>
      </c>
      <c r="J4217" s="16" t="str">
        <f>IFERROR(__xludf.DUMMYFUNCTION("FILTER('CLASFICACIÓN'!$F$3:$F5618,'CLASFICACIÓN'!$G$3:$G5618=M4217)"),"SOLO 2022 Y 2024")</f>
        <v>SOLO 2022 Y 2024</v>
      </c>
      <c r="K4217" s="16"/>
      <c r="L4217" s="14" t="s">
        <v>183</v>
      </c>
      <c r="M4217" s="16" t="str">
        <f t="shared" si="1"/>
        <v>50552 TUPAC AMARU II2 Primaria</v>
      </c>
      <c r="N4217" s="23"/>
      <c r="O4217" s="17"/>
      <c r="P4217" s="17"/>
      <c r="Q4217" s="17"/>
      <c r="R4217" s="17"/>
      <c r="S4217" s="17"/>
      <c r="T4217" s="17"/>
    </row>
    <row r="4218">
      <c r="A4218" s="21">
        <v>346.0</v>
      </c>
      <c r="B4218" s="14" t="s">
        <v>90</v>
      </c>
      <c r="C4218" s="14" t="s">
        <v>14</v>
      </c>
      <c r="D4218" s="20" t="s">
        <v>15</v>
      </c>
      <c r="E4218" s="12" t="str">
        <f>IFERROR(__xludf.DUMMYFUNCTION("FILTER(colegios!$B$2:$B5618,colegios!$A$2:$A5618=L4218)"),"50552 TUPAC AMARU II")</f>
        <v>50552 TUPAC AMARU II</v>
      </c>
      <c r="F4218" s="14" t="s">
        <v>16</v>
      </c>
      <c r="G4218" s="20" t="s">
        <v>17</v>
      </c>
      <c r="H4218" s="14" t="s">
        <v>24</v>
      </c>
      <c r="I4218" s="22">
        <v>2022.0</v>
      </c>
      <c r="J4218" s="16" t="str">
        <f>IFERROR(__xludf.DUMMYFUNCTION("FILTER('CLASFICACIÓN'!$F$3:$F5618,'CLASFICACIÓN'!$G$3:$G5618=M4218)"),"SOLO 2022 Y 2024")</f>
        <v>SOLO 2022 Y 2024</v>
      </c>
      <c r="K4218" s="16"/>
      <c r="L4218" s="14" t="s">
        <v>183</v>
      </c>
      <c r="M4218" s="16" t="str">
        <f t="shared" si="1"/>
        <v>50552 TUPAC AMARU II2 Primaria</v>
      </c>
      <c r="N4218" s="23"/>
      <c r="O4218" s="17"/>
      <c r="P4218" s="17"/>
      <c r="Q4218" s="17"/>
      <c r="R4218" s="17"/>
      <c r="S4218" s="17"/>
      <c r="T4218" s="17"/>
    </row>
    <row r="4219">
      <c r="A4219" s="21">
        <v>347.0</v>
      </c>
      <c r="B4219" s="14" t="s">
        <v>90</v>
      </c>
      <c r="C4219" s="14" t="s">
        <v>14</v>
      </c>
      <c r="D4219" s="20" t="s">
        <v>15</v>
      </c>
      <c r="E4219" s="12" t="str">
        <f>IFERROR(__xludf.DUMMYFUNCTION("FILTER(colegios!$B$2:$B5618,colegios!$A$2:$A5618=L4219)"),"50552 TUPAC AMARU II")</f>
        <v>50552 TUPAC AMARU II</v>
      </c>
      <c r="F4219" s="14" t="s">
        <v>16</v>
      </c>
      <c r="G4219" s="20" t="s">
        <v>21</v>
      </c>
      <c r="H4219" s="14" t="s">
        <v>24</v>
      </c>
      <c r="I4219" s="22">
        <v>2022.0</v>
      </c>
      <c r="J4219" s="16" t="str">
        <f>IFERROR(__xludf.DUMMYFUNCTION("FILTER('CLASFICACIÓN'!$F$3:$F5618,'CLASFICACIÓN'!$G$3:$G5618=M4219)"),"SOLO 2022 Y 2024")</f>
        <v>SOLO 2022 Y 2024</v>
      </c>
      <c r="K4219" s="16"/>
      <c r="L4219" s="14" t="s">
        <v>183</v>
      </c>
      <c r="M4219" s="16" t="str">
        <f t="shared" si="1"/>
        <v>50552 TUPAC AMARU II2 Primaria</v>
      </c>
      <c r="N4219" s="23"/>
      <c r="O4219" s="17"/>
      <c r="P4219" s="17"/>
      <c r="Q4219" s="17"/>
      <c r="R4219" s="17"/>
      <c r="S4219" s="17"/>
      <c r="T4219" s="17"/>
    </row>
    <row r="4220">
      <c r="A4220" s="21">
        <v>348.0</v>
      </c>
      <c r="B4220" s="14" t="s">
        <v>90</v>
      </c>
      <c r="C4220" s="14" t="s">
        <v>14</v>
      </c>
      <c r="D4220" s="20" t="s">
        <v>15</v>
      </c>
      <c r="E4220" s="12" t="str">
        <f>IFERROR(__xludf.DUMMYFUNCTION("FILTER(colegios!$B$2:$B5618,colegios!$A$2:$A5618=L4220)"),"50552 TUPAC AMARU II")</f>
        <v>50552 TUPAC AMARU II</v>
      </c>
      <c r="F4220" s="14" t="s">
        <v>16</v>
      </c>
      <c r="G4220" s="20" t="s">
        <v>17</v>
      </c>
      <c r="H4220" s="14" t="s">
        <v>24</v>
      </c>
      <c r="I4220" s="22">
        <v>2022.0</v>
      </c>
      <c r="J4220" s="16" t="str">
        <f>IFERROR(__xludf.DUMMYFUNCTION("FILTER('CLASFICACIÓN'!$F$3:$F5618,'CLASFICACIÓN'!$G$3:$G5618=M4220)"),"SOLO 2022 Y 2024")</f>
        <v>SOLO 2022 Y 2024</v>
      </c>
      <c r="K4220" s="16"/>
      <c r="L4220" s="14" t="s">
        <v>183</v>
      </c>
      <c r="M4220" s="16" t="str">
        <f t="shared" si="1"/>
        <v>50552 TUPAC AMARU II2 Primaria</v>
      </c>
      <c r="N4220" s="23"/>
      <c r="O4220" s="17"/>
      <c r="P4220" s="17"/>
      <c r="Q4220" s="17"/>
      <c r="R4220" s="17"/>
      <c r="S4220" s="17"/>
      <c r="T4220" s="17"/>
    </row>
    <row r="4221">
      <c r="A4221" s="21">
        <v>349.0</v>
      </c>
      <c r="B4221" s="14" t="s">
        <v>90</v>
      </c>
      <c r="C4221" s="14" t="s">
        <v>14</v>
      </c>
      <c r="D4221" s="20" t="s">
        <v>15</v>
      </c>
      <c r="E4221" s="12" t="str">
        <f>IFERROR(__xludf.DUMMYFUNCTION("FILTER(colegios!$B$2:$B5618,colegios!$A$2:$A5618=L4221)"),"50552 TUPAC AMARU II")</f>
        <v>50552 TUPAC AMARU II</v>
      </c>
      <c r="F4221" s="14" t="s">
        <v>16</v>
      </c>
      <c r="G4221" s="20" t="s">
        <v>17</v>
      </c>
      <c r="H4221" s="14" t="s">
        <v>24</v>
      </c>
      <c r="I4221" s="22">
        <v>2022.0</v>
      </c>
      <c r="J4221" s="16" t="str">
        <f>IFERROR(__xludf.DUMMYFUNCTION("FILTER('CLASFICACIÓN'!$F$3:$F5618,'CLASFICACIÓN'!$G$3:$G5618=M4221)"),"SOLO 2022 Y 2024")</f>
        <v>SOLO 2022 Y 2024</v>
      </c>
      <c r="K4221" s="16"/>
      <c r="L4221" s="14" t="s">
        <v>183</v>
      </c>
      <c r="M4221" s="16" t="str">
        <f t="shared" si="1"/>
        <v>50552 TUPAC AMARU II2 Primaria</v>
      </c>
      <c r="N4221" s="23"/>
      <c r="O4221" s="17"/>
      <c r="P4221" s="17"/>
      <c r="Q4221" s="17"/>
      <c r="R4221" s="17"/>
      <c r="S4221" s="17"/>
      <c r="T4221" s="17"/>
    </row>
    <row r="4222">
      <c r="A4222" s="21">
        <v>350.0</v>
      </c>
      <c r="B4222" s="14" t="s">
        <v>90</v>
      </c>
      <c r="C4222" s="14" t="s">
        <v>14</v>
      </c>
      <c r="D4222" s="20" t="s">
        <v>15</v>
      </c>
      <c r="E4222" s="12" t="str">
        <f>IFERROR(__xludf.DUMMYFUNCTION("FILTER(colegios!$B$2:$B5618,colegios!$A$2:$A5618=L4222)"),"50552 TUPAC AMARU II")</f>
        <v>50552 TUPAC AMARU II</v>
      </c>
      <c r="F4222" s="14" t="s">
        <v>16</v>
      </c>
      <c r="G4222" s="20" t="s">
        <v>21</v>
      </c>
      <c r="H4222" s="14" t="s">
        <v>24</v>
      </c>
      <c r="I4222" s="22">
        <v>2022.0</v>
      </c>
      <c r="J4222" s="16" t="str">
        <f>IFERROR(__xludf.DUMMYFUNCTION("FILTER('CLASFICACIÓN'!$F$3:$F5618,'CLASFICACIÓN'!$G$3:$G5618=M4222)"),"SOLO 2022 Y 2024")</f>
        <v>SOLO 2022 Y 2024</v>
      </c>
      <c r="K4222" s="16"/>
      <c r="L4222" s="14" t="s">
        <v>183</v>
      </c>
      <c r="M4222" s="16" t="str">
        <f t="shared" si="1"/>
        <v>50552 TUPAC AMARU II2 Primaria</v>
      </c>
      <c r="N4222" s="23"/>
      <c r="O4222" s="17"/>
      <c r="P4222" s="17"/>
      <c r="Q4222" s="17"/>
      <c r="R4222" s="17"/>
      <c r="S4222" s="17"/>
      <c r="T4222" s="17"/>
    </row>
    <row r="4223">
      <c r="A4223" s="21">
        <v>351.0</v>
      </c>
      <c r="B4223" s="14" t="s">
        <v>90</v>
      </c>
      <c r="C4223" s="14" t="s">
        <v>14</v>
      </c>
      <c r="D4223" s="20" t="s">
        <v>15</v>
      </c>
      <c r="E4223" s="12" t="str">
        <f>IFERROR(__xludf.DUMMYFUNCTION("FILTER(colegios!$B$2:$B5618,colegios!$A$2:$A5618=L4223)"),"50552 TUPAC AMARU II")</f>
        <v>50552 TUPAC AMARU II</v>
      </c>
      <c r="F4223" s="14" t="s">
        <v>16</v>
      </c>
      <c r="G4223" s="20" t="s">
        <v>21</v>
      </c>
      <c r="H4223" s="14" t="s">
        <v>24</v>
      </c>
      <c r="I4223" s="22">
        <v>2022.0</v>
      </c>
      <c r="J4223" s="16" t="str">
        <f>IFERROR(__xludf.DUMMYFUNCTION("FILTER('CLASFICACIÓN'!$F$3:$F5618,'CLASFICACIÓN'!$G$3:$G5618=M4223)"),"SOLO 2022 Y 2024")</f>
        <v>SOLO 2022 Y 2024</v>
      </c>
      <c r="K4223" s="16"/>
      <c r="L4223" s="14" t="s">
        <v>183</v>
      </c>
      <c r="M4223" s="16" t="str">
        <f t="shared" si="1"/>
        <v>50552 TUPAC AMARU II2 Primaria</v>
      </c>
      <c r="N4223" s="23"/>
      <c r="O4223" s="17"/>
      <c r="P4223" s="17"/>
      <c r="Q4223" s="17"/>
      <c r="R4223" s="17"/>
      <c r="S4223" s="17"/>
      <c r="T4223" s="17"/>
    </row>
    <row r="4224">
      <c r="A4224" s="21">
        <v>352.0</v>
      </c>
      <c r="B4224" s="14" t="s">
        <v>90</v>
      </c>
      <c r="C4224" s="14" t="s">
        <v>14</v>
      </c>
      <c r="D4224" s="20" t="s">
        <v>15</v>
      </c>
      <c r="E4224" s="12" t="str">
        <f>IFERROR(__xludf.DUMMYFUNCTION("FILTER(colegios!$B$2:$B5618,colegios!$A$2:$A5618=L4224)"),"50552 TUPAC AMARU II")</f>
        <v>50552 TUPAC AMARU II</v>
      </c>
      <c r="F4224" s="14" t="s">
        <v>16</v>
      </c>
      <c r="G4224" s="20" t="s">
        <v>21</v>
      </c>
      <c r="H4224" s="14" t="s">
        <v>24</v>
      </c>
      <c r="I4224" s="22">
        <v>2022.0</v>
      </c>
      <c r="J4224" s="16" t="str">
        <f>IFERROR(__xludf.DUMMYFUNCTION("FILTER('CLASFICACIÓN'!$F$3:$F5618,'CLASFICACIÓN'!$G$3:$G5618=M4224)"),"SOLO 2022 Y 2024")</f>
        <v>SOLO 2022 Y 2024</v>
      </c>
      <c r="K4224" s="16"/>
      <c r="L4224" s="14" t="s">
        <v>183</v>
      </c>
      <c r="M4224" s="16" t="str">
        <f t="shared" si="1"/>
        <v>50552 TUPAC AMARU II2 Primaria</v>
      </c>
      <c r="N4224" s="23"/>
      <c r="O4224" s="17"/>
      <c r="P4224" s="17"/>
      <c r="Q4224" s="17"/>
      <c r="R4224" s="17"/>
      <c r="S4224" s="17"/>
      <c r="T4224" s="17"/>
    </row>
    <row r="4225">
      <c r="A4225" s="21">
        <v>353.0</v>
      </c>
      <c r="B4225" s="14" t="s">
        <v>90</v>
      </c>
      <c r="C4225" s="14" t="s">
        <v>14</v>
      </c>
      <c r="D4225" s="20" t="s">
        <v>15</v>
      </c>
      <c r="E4225" s="12" t="str">
        <f>IFERROR(__xludf.DUMMYFUNCTION("FILTER(colegios!$B$2:$B5618,colegios!$A$2:$A5618=L4225)"),"50552 TUPAC AMARU II")</f>
        <v>50552 TUPAC AMARU II</v>
      </c>
      <c r="F4225" s="14" t="s">
        <v>16</v>
      </c>
      <c r="G4225" s="20" t="s">
        <v>21</v>
      </c>
      <c r="H4225" s="14" t="s">
        <v>24</v>
      </c>
      <c r="I4225" s="22">
        <v>2022.0</v>
      </c>
      <c r="J4225" s="16" t="str">
        <f>IFERROR(__xludf.DUMMYFUNCTION("FILTER('CLASFICACIÓN'!$F$3:$F5618,'CLASFICACIÓN'!$G$3:$G5618=M4225)"),"SOLO 2022 Y 2024")</f>
        <v>SOLO 2022 Y 2024</v>
      </c>
      <c r="K4225" s="16"/>
      <c r="L4225" s="14" t="s">
        <v>183</v>
      </c>
      <c r="M4225" s="16" t="str">
        <f t="shared" si="1"/>
        <v>50552 TUPAC AMARU II2 Primaria</v>
      </c>
      <c r="N4225" s="23"/>
      <c r="O4225" s="17"/>
      <c r="P4225" s="17"/>
      <c r="Q4225" s="17"/>
      <c r="R4225" s="17"/>
      <c r="S4225" s="17"/>
      <c r="T4225" s="17"/>
    </row>
    <row r="4226">
      <c r="A4226" s="21">
        <v>354.0</v>
      </c>
      <c r="B4226" s="14" t="s">
        <v>90</v>
      </c>
      <c r="C4226" s="14" t="s">
        <v>14</v>
      </c>
      <c r="D4226" s="20" t="s">
        <v>15</v>
      </c>
      <c r="E4226" s="12" t="str">
        <f>IFERROR(__xludf.DUMMYFUNCTION("FILTER(colegios!$B$2:$B5618,colegios!$A$2:$A5618=L4226)"),"50552 TUPAC AMARU II")</f>
        <v>50552 TUPAC AMARU II</v>
      </c>
      <c r="F4226" s="14" t="s">
        <v>16</v>
      </c>
      <c r="G4226" s="20" t="s">
        <v>17</v>
      </c>
      <c r="H4226" s="14" t="s">
        <v>24</v>
      </c>
      <c r="I4226" s="22">
        <v>2022.0</v>
      </c>
      <c r="J4226" s="16" t="str">
        <f>IFERROR(__xludf.DUMMYFUNCTION("FILTER('CLASFICACIÓN'!$F$3:$F5618,'CLASFICACIÓN'!$G$3:$G5618=M4226)"),"SOLO 2022 Y 2024")</f>
        <v>SOLO 2022 Y 2024</v>
      </c>
      <c r="K4226" s="16"/>
      <c r="L4226" s="14" t="s">
        <v>183</v>
      </c>
      <c r="M4226" s="16" t="str">
        <f t="shared" si="1"/>
        <v>50552 TUPAC AMARU II2 Primaria</v>
      </c>
      <c r="N4226" s="23"/>
      <c r="O4226" s="17"/>
      <c r="P4226" s="17"/>
      <c r="Q4226" s="17"/>
      <c r="R4226" s="17"/>
      <c r="S4226" s="17"/>
      <c r="T4226" s="17"/>
    </row>
    <row r="4227">
      <c r="A4227" s="21">
        <v>355.0</v>
      </c>
      <c r="B4227" s="14" t="s">
        <v>90</v>
      </c>
      <c r="C4227" s="14" t="s">
        <v>14</v>
      </c>
      <c r="D4227" s="20" t="s">
        <v>15</v>
      </c>
      <c r="E4227" s="12" t="str">
        <f>IFERROR(__xludf.DUMMYFUNCTION("FILTER(colegios!$B$2:$B5618,colegios!$A$2:$A5618=L4227)"),"50552 TUPAC AMARU II")</f>
        <v>50552 TUPAC AMARU II</v>
      </c>
      <c r="F4227" s="14" t="s">
        <v>16</v>
      </c>
      <c r="G4227" s="20" t="s">
        <v>17</v>
      </c>
      <c r="H4227" s="14" t="s">
        <v>24</v>
      </c>
      <c r="I4227" s="22">
        <v>2022.0</v>
      </c>
      <c r="J4227" s="16" t="str">
        <f>IFERROR(__xludf.DUMMYFUNCTION("FILTER('CLASFICACIÓN'!$F$3:$F5618,'CLASFICACIÓN'!$G$3:$G5618=M4227)"),"SOLO 2022 Y 2024")</f>
        <v>SOLO 2022 Y 2024</v>
      </c>
      <c r="K4227" s="16"/>
      <c r="L4227" s="14" t="s">
        <v>183</v>
      </c>
      <c r="M4227" s="16" t="str">
        <f t="shared" si="1"/>
        <v>50552 TUPAC AMARU II2 Primaria</v>
      </c>
      <c r="N4227" s="23"/>
      <c r="O4227" s="17"/>
      <c r="P4227" s="17"/>
      <c r="Q4227" s="17"/>
      <c r="R4227" s="17"/>
      <c r="S4227" s="17"/>
      <c r="T4227" s="17"/>
    </row>
    <row r="4228">
      <c r="A4228" s="21">
        <v>356.0</v>
      </c>
      <c r="B4228" s="14" t="s">
        <v>90</v>
      </c>
      <c r="C4228" s="14" t="s">
        <v>14</v>
      </c>
      <c r="D4228" s="20" t="s">
        <v>15</v>
      </c>
      <c r="E4228" s="12" t="str">
        <f>IFERROR(__xludf.DUMMYFUNCTION("FILTER(colegios!$B$2:$B5618,colegios!$A$2:$A5618=L4228)"),"50535")</f>
        <v>50535</v>
      </c>
      <c r="F4228" s="14" t="s">
        <v>16</v>
      </c>
      <c r="G4228" s="20" t="s">
        <v>17</v>
      </c>
      <c r="H4228" s="14" t="s">
        <v>18</v>
      </c>
      <c r="I4228" s="22">
        <v>2022.0</v>
      </c>
      <c r="J4228" s="16" t="str">
        <f>IFERROR(__xludf.DUMMYFUNCTION("FILTER('CLASFICACIÓN'!$F$3:$F5618,'CLASFICACIÓN'!$G$3:$G5618=M4228)"),"SOLO LINEA BASE")</f>
        <v>SOLO LINEA BASE</v>
      </c>
      <c r="K4228" s="16"/>
      <c r="L4228" s="14" t="s">
        <v>184</v>
      </c>
      <c r="M4228" s="16" t="str">
        <f t="shared" si="1"/>
        <v>505352 Primaria</v>
      </c>
      <c r="N4228" s="23"/>
      <c r="O4228" s="17"/>
      <c r="P4228" s="17"/>
      <c r="Q4228" s="17"/>
      <c r="R4228" s="17"/>
      <c r="S4228" s="17"/>
      <c r="T4228" s="17"/>
    </row>
    <row r="4229">
      <c r="A4229" s="21">
        <v>357.0</v>
      </c>
      <c r="B4229" s="14" t="s">
        <v>90</v>
      </c>
      <c r="C4229" s="14" t="s">
        <v>14</v>
      </c>
      <c r="D4229" s="20" t="s">
        <v>15</v>
      </c>
      <c r="E4229" s="12" t="str">
        <f>IFERROR(__xludf.DUMMYFUNCTION("FILTER(colegios!$B$2:$B5618,colegios!$A$2:$A5618=L4229)"),"50976")</f>
        <v>50976</v>
      </c>
      <c r="F4229" s="14" t="s">
        <v>16</v>
      </c>
      <c r="G4229" s="20" t="s">
        <v>21</v>
      </c>
      <c r="H4229" s="14" t="s">
        <v>18</v>
      </c>
      <c r="I4229" s="22">
        <v>2022.0</v>
      </c>
      <c r="J4229" s="16" t="str">
        <f>IFERROR(__xludf.DUMMYFUNCTION("FILTER('CLASFICACIÓN'!$F$3:$F5618,'CLASFICACIÓN'!$G$3:$G5618=M4229)"),"SOLO LINEA BASE")</f>
        <v>SOLO LINEA BASE</v>
      </c>
      <c r="K4229" s="16"/>
      <c r="L4229" s="14" t="s">
        <v>185</v>
      </c>
      <c r="M4229" s="16" t="str">
        <f t="shared" si="1"/>
        <v>509762 Primaria</v>
      </c>
      <c r="N4229" s="23"/>
      <c r="O4229" s="17"/>
      <c r="P4229" s="17"/>
      <c r="Q4229" s="17"/>
      <c r="R4229" s="17"/>
      <c r="S4229" s="17"/>
      <c r="T4229" s="17"/>
    </row>
    <row r="4230">
      <c r="A4230" s="21">
        <v>358.0</v>
      </c>
      <c r="B4230" s="14" t="s">
        <v>90</v>
      </c>
      <c r="C4230" s="14" t="s">
        <v>14</v>
      </c>
      <c r="D4230" s="20" t="s">
        <v>15</v>
      </c>
      <c r="E4230" s="12" t="str">
        <f>IFERROR(__xludf.DUMMYFUNCTION("FILTER(colegios!$B$2:$B5618,colegios!$A$2:$A5618=L4230)"),"50715")</f>
        <v>50715</v>
      </c>
      <c r="F4230" s="14" t="s">
        <v>16</v>
      </c>
      <c r="G4230" s="20" t="s">
        <v>17</v>
      </c>
      <c r="H4230" s="14" t="s">
        <v>18</v>
      </c>
      <c r="I4230" s="22">
        <v>2022.0</v>
      </c>
      <c r="J4230" s="16" t="str">
        <f>IFERROR(__xludf.DUMMYFUNCTION("FILTER('CLASFICACIÓN'!$F$3:$F5618,'CLASFICACIÓN'!$G$3:$G5618=M4230)"),"LOS 3 AÑOS")</f>
        <v>LOS 3 AÑOS</v>
      </c>
      <c r="K4230" s="16"/>
      <c r="L4230" s="14" t="s">
        <v>186</v>
      </c>
      <c r="M4230" s="16" t="str">
        <f t="shared" si="1"/>
        <v>507152 Primaria</v>
      </c>
      <c r="N4230" s="23"/>
      <c r="O4230" s="17"/>
      <c r="P4230" s="17"/>
      <c r="Q4230" s="17"/>
      <c r="R4230" s="17"/>
      <c r="S4230" s="17"/>
      <c r="T4230" s="17"/>
    </row>
    <row r="4231">
      <c r="A4231" s="21">
        <v>359.0</v>
      </c>
      <c r="B4231" s="14" t="s">
        <v>90</v>
      </c>
      <c r="C4231" s="14" t="s">
        <v>14</v>
      </c>
      <c r="D4231" s="20" t="s">
        <v>15</v>
      </c>
      <c r="E4231" s="12" t="str">
        <f>IFERROR(__xludf.DUMMYFUNCTION("FILTER(colegios!$B$2:$B5618,colegios!$A$2:$A5618=L4231)"),"501432 PAPA FRANCISCO I")</f>
        <v>501432 PAPA FRANCISCO I</v>
      </c>
      <c r="F4231" s="14" t="s">
        <v>16</v>
      </c>
      <c r="G4231" s="20" t="s">
        <v>17</v>
      </c>
      <c r="H4231" s="14" t="s">
        <v>18</v>
      </c>
      <c r="I4231" s="22">
        <v>2022.0</v>
      </c>
      <c r="J4231" s="16" t="str">
        <f>IFERROR(__xludf.DUMMYFUNCTION("FILTER('CLASFICACIÓN'!$F$3:$F5618,'CLASFICACIÓN'!$G$3:$G5618=M4231)"),"LOS 3 AÑOS")</f>
        <v>LOS 3 AÑOS</v>
      </c>
      <c r="K4231" s="16"/>
      <c r="L4231" s="14" t="s">
        <v>187</v>
      </c>
      <c r="M4231" s="16" t="str">
        <f t="shared" si="1"/>
        <v>501432 PAPA FRANCISCO I2 Primaria</v>
      </c>
      <c r="N4231" s="23"/>
      <c r="O4231" s="17"/>
      <c r="P4231" s="17"/>
      <c r="Q4231" s="17"/>
      <c r="R4231" s="17"/>
      <c r="S4231" s="17"/>
      <c r="T4231" s="17"/>
    </row>
    <row r="4232">
      <c r="A4232" s="21">
        <v>360.0</v>
      </c>
      <c r="B4232" s="14" t="s">
        <v>90</v>
      </c>
      <c r="C4232" s="14" t="s">
        <v>14</v>
      </c>
      <c r="D4232" s="20" t="s">
        <v>15</v>
      </c>
      <c r="E4232" s="12" t="str">
        <f>IFERROR(__xludf.DUMMYFUNCTION("FILTER(colegios!$B$2:$B5618,colegios!$A$2:$A5618=L4232)"),"50553")</f>
        <v>50553</v>
      </c>
      <c r="F4232" s="14" t="s">
        <v>16</v>
      </c>
      <c r="G4232" s="20" t="s">
        <v>17</v>
      </c>
      <c r="H4232" s="14" t="s">
        <v>18</v>
      </c>
      <c r="I4232" s="22">
        <v>2022.0</v>
      </c>
      <c r="J4232" s="16" t="str">
        <f>IFERROR(__xludf.DUMMYFUNCTION("FILTER('CLASFICACIÓN'!$F$3:$F5618,'CLASFICACIÓN'!$G$3:$G5618=M4232)"),"LOS 3 AÑOS")</f>
        <v>LOS 3 AÑOS</v>
      </c>
      <c r="K4232" s="16"/>
      <c r="L4232" s="14" t="s">
        <v>188</v>
      </c>
      <c r="M4232" s="16" t="str">
        <f t="shared" si="1"/>
        <v>505532 Primaria</v>
      </c>
      <c r="N4232" s="23"/>
      <c r="O4232" s="17"/>
      <c r="P4232" s="17"/>
      <c r="Q4232" s="17"/>
      <c r="R4232" s="17"/>
      <c r="S4232" s="17"/>
      <c r="T4232" s="17"/>
    </row>
    <row r="4233">
      <c r="A4233" s="21">
        <v>361.0</v>
      </c>
      <c r="B4233" s="14" t="s">
        <v>90</v>
      </c>
      <c r="C4233" s="14" t="s">
        <v>14</v>
      </c>
      <c r="D4233" s="20" t="s">
        <v>15</v>
      </c>
      <c r="E4233" s="12" t="str">
        <f>IFERROR(__xludf.DUMMYFUNCTION("FILTER(colegios!$B$2:$B5618,colegios!$A$2:$A5618=L4233)"),"50492 CORAZON DE JESUS")</f>
        <v>50492 CORAZON DE JESUS</v>
      </c>
      <c r="F4233" s="14" t="s">
        <v>16</v>
      </c>
      <c r="G4233" s="20" t="s">
        <v>21</v>
      </c>
      <c r="H4233" s="14" t="s">
        <v>18</v>
      </c>
      <c r="I4233" s="22">
        <v>2022.0</v>
      </c>
      <c r="J4233" s="16" t="str">
        <f>IFERROR(__xludf.DUMMYFUNCTION("FILTER('CLASFICACIÓN'!$F$3:$F5618,'CLASFICACIÓN'!$G$3:$G5618=M4233)"),"LOS 3 AÑOS")</f>
        <v>LOS 3 AÑOS</v>
      </c>
      <c r="K4233" s="16"/>
      <c r="L4233" s="14" t="s">
        <v>189</v>
      </c>
      <c r="M4233" s="16" t="str">
        <f t="shared" si="1"/>
        <v>50492 CORAZON DE JESUS2 Primaria</v>
      </c>
      <c r="N4233" s="23"/>
      <c r="O4233" s="17"/>
      <c r="P4233" s="17"/>
      <c r="Q4233" s="17"/>
      <c r="R4233" s="17"/>
      <c r="S4233" s="17"/>
      <c r="T4233" s="17"/>
    </row>
    <row r="4234">
      <c r="A4234" s="21">
        <v>362.0</v>
      </c>
      <c r="B4234" s="14" t="s">
        <v>90</v>
      </c>
      <c r="C4234" s="14" t="s">
        <v>14</v>
      </c>
      <c r="D4234" s="20" t="s">
        <v>15</v>
      </c>
      <c r="E4234" s="12" t="str">
        <f>IFERROR(__xludf.DUMMYFUNCTION("FILTER(colegios!$B$2:$B5618,colegios!$A$2:$A5618=L4234)"),"50492 CORAZON DE JESUS")</f>
        <v>50492 CORAZON DE JESUS</v>
      </c>
      <c r="F4234" s="14" t="s">
        <v>16</v>
      </c>
      <c r="G4234" s="20" t="s">
        <v>21</v>
      </c>
      <c r="H4234" s="14" t="s">
        <v>18</v>
      </c>
      <c r="I4234" s="22">
        <v>2022.0</v>
      </c>
      <c r="J4234" s="16" t="str">
        <f>IFERROR(__xludf.DUMMYFUNCTION("FILTER('CLASFICACIÓN'!$F$3:$F5618,'CLASFICACIÓN'!$G$3:$G5618=M4234)"),"LOS 3 AÑOS")</f>
        <v>LOS 3 AÑOS</v>
      </c>
      <c r="K4234" s="16"/>
      <c r="L4234" s="14" t="s">
        <v>189</v>
      </c>
      <c r="M4234" s="16" t="str">
        <f t="shared" si="1"/>
        <v>50492 CORAZON DE JESUS2 Primaria</v>
      </c>
      <c r="N4234" s="23"/>
      <c r="O4234" s="17"/>
      <c r="P4234" s="17"/>
      <c r="Q4234" s="17"/>
      <c r="R4234" s="17"/>
      <c r="S4234" s="17"/>
      <c r="T4234" s="17"/>
    </row>
    <row r="4235">
      <c r="A4235" s="21">
        <v>363.0</v>
      </c>
      <c r="B4235" s="14" t="s">
        <v>90</v>
      </c>
      <c r="C4235" s="14" t="s">
        <v>14</v>
      </c>
      <c r="D4235" s="20" t="s">
        <v>15</v>
      </c>
      <c r="E4235" s="12" t="str">
        <f>IFERROR(__xludf.DUMMYFUNCTION("FILTER(colegios!$B$2:$B5618,colegios!$A$2:$A5618=L4235)"),"50492 CORAZON DE JESUS")</f>
        <v>50492 CORAZON DE JESUS</v>
      </c>
      <c r="F4235" s="14" t="s">
        <v>16</v>
      </c>
      <c r="G4235" s="20" t="s">
        <v>17</v>
      </c>
      <c r="H4235" s="14" t="s">
        <v>18</v>
      </c>
      <c r="I4235" s="22">
        <v>2022.0</v>
      </c>
      <c r="J4235" s="16" t="str">
        <f>IFERROR(__xludf.DUMMYFUNCTION("FILTER('CLASFICACIÓN'!$F$3:$F5618,'CLASFICACIÓN'!$G$3:$G5618=M4235)"),"LOS 3 AÑOS")</f>
        <v>LOS 3 AÑOS</v>
      </c>
      <c r="K4235" s="16"/>
      <c r="L4235" s="14" t="s">
        <v>189</v>
      </c>
      <c r="M4235" s="16" t="str">
        <f t="shared" si="1"/>
        <v>50492 CORAZON DE JESUS2 Primaria</v>
      </c>
      <c r="N4235" s="23"/>
      <c r="O4235" s="17"/>
      <c r="P4235" s="17"/>
      <c r="Q4235" s="17"/>
      <c r="R4235" s="17"/>
      <c r="S4235" s="17"/>
      <c r="T4235" s="17"/>
    </row>
    <row r="4236">
      <c r="A4236" s="21">
        <v>364.0</v>
      </c>
      <c r="B4236" s="14" t="s">
        <v>90</v>
      </c>
      <c r="C4236" s="14" t="s">
        <v>14</v>
      </c>
      <c r="D4236" s="20" t="s">
        <v>15</v>
      </c>
      <c r="E4236" s="12" t="str">
        <f>IFERROR(__xludf.DUMMYFUNCTION("FILTER(colegios!$B$2:$B5618,colegios!$A$2:$A5618=L4236)"),"50492 CORAZON DE JESUS")</f>
        <v>50492 CORAZON DE JESUS</v>
      </c>
      <c r="F4236" s="14" t="s">
        <v>16</v>
      </c>
      <c r="G4236" s="20" t="s">
        <v>21</v>
      </c>
      <c r="H4236" s="14" t="s">
        <v>18</v>
      </c>
      <c r="I4236" s="22">
        <v>2022.0</v>
      </c>
      <c r="J4236" s="16" t="str">
        <f>IFERROR(__xludf.DUMMYFUNCTION("FILTER('CLASFICACIÓN'!$F$3:$F5618,'CLASFICACIÓN'!$G$3:$G5618=M4236)"),"LOS 3 AÑOS")</f>
        <v>LOS 3 AÑOS</v>
      </c>
      <c r="K4236" s="16"/>
      <c r="L4236" s="14" t="s">
        <v>189</v>
      </c>
      <c r="M4236" s="16" t="str">
        <f t="shared" si="1"/>
        <v>50492 CORAZON DE JESUS2 Primaria</v>
      </c>
      <c r="N4236" s="23"/>
      <c r="O4236" s="17"/>
      <c r="P4236" s="17"/>
      <c r="Q4236" s="17"/>
      <c r="R4236" s="17"/>
      <c r="S4236" s="17"/>
      <c r="T4236" s="17"/>
    </row>
    <row r="4237">
      <c r="A4237" s="21">
        <v>365.0</v>
      </c>
      <c r="B4237" s="14" t="s">
        <v>90</v>
      </c>
      <c r="C4237" s="14" t="s">
        <v>14</v>
      </c>
      <c r="D4237" s="20" t="s">
        <v>15</v>
      </c>
      <c r="E4237" s="12" t="str">
        <f>IFERROR(__xludf.DUMMYFUNCTION("FILTER(colegios!$B$2:$B5618,colegios!$A$2:$A5618=L4237)"),"50492 CORAZON DE JESUS")</f>
        <v>50492 CORAZON DE JESUS</v>
      </c>
      <c r="F4237" s="14" t="s">
        <v>16</v>
      </c>
      <c r="G4237" s="20" t="s">
        <v>17</v>
      </c>
      <c r="H4237" s="14" t="s">
        <v>18</v>
      </c>
      <c r="I4237" s="22">
        <v>2022.0</v>
      </c>
      <c r="J4237" s="16" t="str">
        <f>IFERROR(__xludf.DUMMYFUNCTION("FILTER('CLASFICACIÓN'!$F$3:$F5618,'CLASFICACIÓN'!$G$3:$G5618=M4237)"),"LOS 3 AÑOS")</f>
        <v>LOS 3 AÑOS</v>
      </c>
      <c r="K4237" s="16"/>
      <c r="L4237" s="14" t="s">
        <v>189</v>
      </c>
      <c r="M4237" s="16" t="str">
        <f t="shared" si="1"/>
        <v>50492 CORAZON DE JESUS2 Primaria</v>
      </c>
      <c r="N4237" s="23"/>
      <c r="O4237" s="17"/>
      <c r="P4237" s="17"/>
      <c r="Q4237" s="17"/>
      <c r="R4237" s="17"/>
      <c r="S4237" s="17"/>
      <c r="T4237" s="17"/>
    </row>
    <row r="4238">
      <c r="A4238" s="21">
        <v>366.0</v>
      </c>
      <c r="B4238" s="14" t="s">
        <v>90</v>
      </c>
      <c r="C4238" s="14" t="s">
        <v>14</v>
      </c>
      <c r="D4238" s="20" t="s">
        <v>15</v>
      </c>
      <c r="E4238" s="12" t="str">
        <f>IFERROR(__xludf.DUMMYFUNCTION("FILTER(colegios!$B$2:$B5618,colegios!$A$2:$A5618=L4238)"),"50492 CORAZON DE JESUS")</f>
        <v>50492 CORAZON DE JESUS</v>
      </c>
      <c r="F4238" s="14" t="s">
        <v>16</v>
      </c>
      <c r="G4238" s="20" t="s">
        <v>21</v>
      </c>
      <c r="H4238" s="14" t="s">
        <v>18</v>
      </c>
      <c r="I4238" s="22">
        <v>2022.0</v>
      </c>
      <c r="J4238" s="16" t="str">
        <f>IFERROR(__xludf.DUMMYFUNCTION("FILTER('CLASFICACIÓN'!$F$3:$F5618,'CLASFICACIÓN'!$G$3:$G5618=M4238)"),"LOS 3 AÑOS")</f>
        <v>LOS 3 AÑOS</v>
      </c>
      <c r="K4238" s="16"/>
      <c r="L4238" s="14" t="s">
        <v>189</v>
      </c>
      <c r="M4238" s="16" t="str">
        <f t="shared" si="1"/>
        <v>50492 CORAZON DE JESUS2 Primaria</v>
      </c>
      <c r="N4238" s="23"/>
      <c r="O4238" s="17"/>
      <c r="P4238" s="17"/>
      <c r="Q4238" s="17"/>
      <c r="R4238" s="17"/>
      <c r="S4238" s="17"/>
      <c r="T4238" s="17"/>
    </row>
    <row r="4239">
      <c r="A4239" s="21">
        <v>367.0</v>
      </c>
      <c r="B4239" s="14" t="s">
        <v>90</v>
      </c>
      <c r="C4239" s="14" t="s">
        <v>14</v>
      </c>
      <c r="D4239" s="20" t="s">
        <v>15</v>
      </c>
      <c r="E4239" s="12" t="str">
        <f>IFERROR(__xludf.DUMMYFUNCTION("FILTER(colegios!$B$2:$B5618,colegios!$A$2:$A5618=L4239)"),"50492 CORAZON DE JESUS")</f>
        <v>50492 CORAZON DE JESUS</v>
      </c>
      <c r="F4239" s="14" t="s">
        <v>16</v>
      </c>
      <c r="G4239" s="20" t="s">
        <v>21</v>
      </c>
      <c r="H4239" s="14" t="s">
        <v>18</v>
      </c>
      <c r="I4239" s="22">
        <v>2022.0</v>
      </c>
      <c r="J4239" s="16" t="str">
        <f>IFERROR(__xludf.DUMMYFUNCTION("FILTER('CLASFICACIÓN'!$F$3:$F5618,'CLASFICACIÓN'!$G$3:$G5618=M4239)"),"LOS 3 AÑOS")</f>
        <v>LOS 3 AÑOS</v>
      </c>
      <c r="K4239" s="16"/>
      <c r="L4239" s="14" t="s">
        <v>189</v>
      </c>
      <c r="M4239" s="16" t="str">
        <f t="shared" si="1"/>
        <v>50492 CORAZON DE JESUS2 Primaria</v>
      </c>
      <c r="N4239" s="23"/>
      <c r="O4239" s="17"/>
      <c r="P4239" s="17"/>
      <c r="Q4239" s="17"/>
      <c r="R4239" s="17"/>
      <c r="S4239" s="17"/>
      <c r="T4239" s="17"/>
    </row>
    <row r="4240">
      <c r="A4240" s="21">
        <v>368.0</v>
      </c>
      <c r="B4240" s="14" t="s">
        <v>90</v>
      </c>
      <c r="C4240" s="14" t="s">
        <v>14</v>
      </c>
      <c r="D4240" s="20" t="s">
        <v>15</v>
      </c>
      <c r="E4240" s="12" t="str">
        <f>IFERROR(__xludf.DUMMYFUNCTION("FILTER(colegios!$B$2:$B5618,colegios!$A$2:$A5618=L4240)"),"50492 CORAZON DE JESUS")</f>
        <v>50492 CORAZON DE JESUS</v>
      </c>
      <c r="F4240" s="14" t="s">
        <v>16</v>
      </c>
      <c r="G4240" s="20" t="s">
        <v>21</v>
      </c>
      <c r="H4240" s="14" t="s">
        <v>18</v>
      </c>
      <c r="I4240" s="22">
        <v>2022.0</v>
      </c>
      <c r="J4240" s="16" t="str">
        <f>IFERROR(__xludf.DUMMYFUNCTION("FILTER('CLASFICACIÓN'!$F$3:$F5618,'CLASFICACIÓN'!$G$3:$G5618=M4240)"),"LOS 3 AÑOS")</f>
        <v>LOS 3 AÑOS</v>
      </c>
      <c r="K4240" s="16"/>
      <c r="L4240" s="14" t="s">
        <v>189</v>
      </c>
      <c r="M4240" s="16" t="str">
        <f t="shared" si="1"/>
        <v>50492 CORAZON DE JESUS2 Primaria</v>
      </c>
      <c r="N4240" s="23"/>
      <c r="O4240" s="17"/>
      <c r="P4240" s="17"/>
      <c r="Q4240" s="17"/>
      <c r="R4240" s="17"/>
      <c r="S4240" s="17"/>
      <c r="T4240" s="17"/>
    </row>
    <row r="4241">
      <c r="A4241" s="21">
        <v>369.0</v>
      </c>
      <c r="B4241" s="14" t="s">
        <v>90</v>
      </c>
      <c r="C4241" s="14" t="s">
        <v>14</v>
      </c>
      <c r="D4241" s="20" t="s">
        <v>15</v>
      </c>
      <c r="E4241" s="12" t="str">
        <f>IFERROR(__xludf.DUMMYFUNCTION("FILTER(colegios!$B$2:$B5618,colegios!$A$2:$A5618=L4241)"),"50492 CORAZON DE JESUS")</f>
        <v>50492 CORAZON DE JESUS</v>
      </c>
      <c r="F4241" s="14" t="s">
        <v>16</v>
      </c>
      <c r="G4241" s="20" t="s">
        <v>21</v>
      </c>
      <c r="H4241" s="14" t="s">
        <v>18</v>
      </c>
      <c r="I4241" s="22">
        <v>2022.0</v>
      </c>
      <c r="J4241" s="16" t="str">
        <f>IFERROR(__xludf.DUMMYFUNCTION("FILTER('CLASFICACIÓN'!$F$3:$F5618,'CLASFICACIÓN'!$G$3:$G5618=M4241)"),"LOS 3 AÑOS")</f>
        <v>LOS 3 AÑOS</v>
      </c>
      <c r="K4241" s="16"/>
      <c r="L4241" s="14" t="s">
        <v>189</v>
      </c>
      <c r="M4241" s="16" t="str">
        <f t="shared" si="1"/>
        <v>50492 CORAZON DE JESUS2 Primaria</v>
      </c>
      <c r="N4241" s="23"/>
      <c r="O4241" s="17"/>
      <c r="P4241" s="17"/>
      <c r="Q4241" s="17"/>
      <c r="R4241" s="17"/>
      <c r="S4241" s="17"/>
      <c r="T4241" s="17"/>
    </row>
    <row r="4242">
      <c r="A4242" s="21">
        <v>370.0</v>
      </c>
      <c r="B4242" s="14" t="s">
        <v>90</v>
      </c>
      <c r="C4242" s="14" t="s">
        <v>14</v>
      </c>
      <c r="D4242" s="20" t="s">
        <v>15</v>
      </c>
      <c r="E4242" s="12" t="str">
        <f>IFERROR(__xludf.DUMMYFUNCTION("FILTER(colegios!$B$2:$B5618,colegios!$A$2:$A5618=L4242)"),"50492 CORAZON DE JESUS")</f>
        <v>50492 CORAZON DE JESUS</v>
      </c>
      <c r="F4242" s="14" t="s">
        <v>16</v>
      </c>
      <c r="G4242" s="20" t="s">
        <v>21</v>
      </c>
      <c r="H4242" s="14" t="s">
        <v>18</v>
      </c>
      <c r="I4242" s="22">
        <v>2022.0</v>
      </c>
      <c r="J4242" s="16" t="str">
        <f>IFERROR(__xludf.DUMMYFUNCTION("FILTER('CLASFICACIÓN'!$F$3:$F5618,'CLASFICACIÓN'!$G$3:$G5618=M4242)"),"LOS 3 AÑOS")</f>
        <v>LOS 3 AÑOS</v>
      </c>
      <c r="K4242" s="16"/>
      <c r="L4242" s="14" t="s">
        <v>189</v>
      </c>
      <c r="M4242" s="16" t="str">
        <f t="shared" si="1"/>
        <v>50492 CORAZON DE JESUS2 Primaria</v>
      </c>
      <c r="N4242" s="23"/>
      <c r="O4242" s="17"/>
      <c r="P4242" s="17"/>
      <c r="Q4242" s="17"/>
      <c r="R4242" s="17"/>
      <c r="S4242" s="17"/>
      <c r="T4242" s="17"/>
    </row>
    <row r="4243">
      <c r="A4243" s="21">
        <v>371.0</v>
      </c>
      <c r="B4243" s="14" t="s">
        <v>90</v>
      </c>
      <c r="C4243" s="14" t="s">
        <v>14</v>
      </c>
      <c r="D4243" s="20" t="s">
        <v>15</v>
      </c>
      <c r="E4243" s="12" t="str">
        <f>IFERROR(__xludf.DUMMYFUNCTION("FILTER(colegios!$B$2:$B5618,colegios!$A$2:$A5618=L4243)"),"50492 CORAZON DE JESUS")</f>
        <v>50492 CORAZON DE JESUS</v>
      </c>
      <c r="F4243" s="14" t="s">
        <v>16</v>
      </c>
      <c r="G4243" s="20" t="s">
        <v>17</v>
      </c>
      <c r="H4243" s="14" t="s">
        <v>18</v>
      </c>
      <c r="I4243" s="22">
        <v>2022.0</v>
      </c>
      <c r="J4243" s="16" t="str">
        <f>IFERROR(__xludf.DUMMYFUNCTION("FILTER('CLASFICACIÓN'!$F$3:$F5618,'CLASFICACIÓN'!$G$3:$G5618=M4243)"),"LOS 3 AÑOS")</f>
        <v>LOS 3 AÑOS</v>
      </c>
      <c r="K4243" s="16"/>
      <c r="L4243" s="14" t="s">
        <v>189</v>
      </c>
      <c r="M4243" s="16" t="str">
        <f t="shared" si="1"/>
        <v>50492 CORAZON DE JESUS2 Primaria</v>
      </c>
      <c r="N4243" s="23"/>
      <c r="O4243" s="17"/>
      <c r="P4243" s="17"/>
      <c r="Q4243" s="17"/>
      <c r="R4243" s="17"/>
      <c r="S4243" s="17"/>
      <c r="T4243" s="17"/>
    </row>
    <row r="4244">
      <c r="A4244" s="21">
        <v>372.0</v>
      </c>
      <c r="B4244" s="14" t="s">
        <v>90</v>
      </c>
      <c r="C4244" s="14" t="s">
        <v>14</v>
      </c>
      <c r="D4244" s="20" t="s">
        <v>15</v>
      </c>
      <c r="E4244" s="12" t="str">
        <f>IFERROR(__xludf.DUMMYFUNCTION("FILTER(colegios!$B$2:$B5618,colegios!$A$2:$A5618=L4244)"),"50492 CORAZON DE JESUS")</f>
        <v>50492 CORAZON DE JESUS</v>
      </c>
      <c r="F4244" s="14" t="s">
        <v>16</v>
      </c>
      <c r="G4244" s="20" t="s">
        <v>17</v>
      </c>
      <c r="H4244" s="14" t="s">
        <v>18</v>
      </c>
      <c r="I4244" s="22">
        <v>2022.0</v>
      </c>
      <c r="J4244" s="16" t="str">
        <f>IFERROR(__xludf.DUMMYFUNCTION("FILTER('CLASFICACIÓN'!$F$3:$F5618,'CLASFICACIÓN'!$G$3:$G5618=M4244)"),"LOS 3 AÑOS")</f>
        <v>LOS 3 AÑOS</v>
      </c>
      <c r="K4244" s="16"/>
      <c r="L4244" s="14" t="s">
        <v>189</v>
      </c>
      <c r="M4244" s="16" t="str">
        <f t="shared" si="1"/>
        <v>50492 CORAZON DE JESUS2 Primaria</v>
      </c>
      <c r="N4244" s="23"/>
      <c r="O4244" s="17"/>
      <c r="P4244" s="17"/>
      <c r="Q4244" s="17"/>
      <c r="R4244" s="17"/>
      <c r="S4244" s="17"/>
      <c r="T4244" s="17"/>
    </row>
    <row r="4245">
      <c r="A4245" s="21">
        <v>373.0</v>
      </c>
      <c r="B4245" s="14" t="s">
        <v>90</v>
      </c>
      <c r="C4245" s="14" t="s">
        <v>14</v>
      </c>
      <c r="D4245" s="20" t="s">
        <v>15</v>
      </c>
      <c r="E4245" s="12" t="str">
        <f>IFERROR(__xludf.DUMMYFUNCTION("FILTER(colegios!$B$2:$B5618,colegios!$A$2:$A5618=L4245)"),"50492 CORAZON DE JESUS")</f>
        <v>50492 CORAZON DE JESUS</v>
      </c>
      <c r="F4245" s="14" t="s">
        <v>16</v>
      </c>
      <c r="G4245" s="20" t="s">
        <v>21</v>
      </c>
      <c r="H4245" s="14" t="s">
        <v>18</v>
      </c>
      <c r="I4245" s="22">
        <v>2022.0</v>
      </c>
      <c r="J4245" s="16" t="str">
        <f>IFERROR(__xludf.DUMMYFUNCTION("FILTER('CLASFICACIÓN'!$F$3:$F5618,'CLASFICACIÓN'!$G$3:$G5618=M4245)"),"LOS 3 AÑOS")</f>
        <v>LOS 3 AÑOS</v>
      </c>
      <c r="K4245" s="16"/>
      <c r="L4245" s="14" t="s">
        <v>189</v>
      </c>
      <c r="M4245" s="16" t="str">
        <f t="shared" si="1"/>
        <v>50492 CORAZON DE JESUS2 Primaria</v>
      </c>
      <c r="N4245" s="23"/>
      <c r="O4245" s="17"/>
      <c r="P4245" s="17"/>
      <c r="Q4245" s="17"/>
      <c r="R4245" s="17"/>
      <c r="S4245" s="17"/>
      <c r="T4245" s="17"/>
    </row>
    <row r="4246">
      <c r="A4246" s="21">
        <v>374.0</v>
      </c>
      <c r="B4246" s="14" t="s">
        <v>90</v>
      </c>
      <c r="C4246" s="14" t="s">
        <v>14</v>
      </c>
      <c r="D4246" s="20" t="s">
        <v>15</v>
      </c>
      <c r="E4246" s="12" t="str">
        <f>IFERROR(__xludf.DUMMYFUNCTION("FILTER(colegios!$B$2:$B5618,colegios!$A$2:$A5618=L4246)"),"50492 CORAZON DE JESUS")</f>
        <v>50492 CORAZON DE JESUS</v>
      </c>
      <c r="F4246" s="14" t="s">
        <v>16</v>
      </c>
      <c r="G4246" s="20" t="s">
        <v>21</v>
      </c>
      <c r="H4246" s="14" t="s">
        <v>18</v>
      </c>
      <c r="I4246" s="22">
        <v>2022.0</v>
      </c>
      <c r="J4246" s="16" t="str">
        <f>IFERROR(__xludf.DUMMYFUNCTION("FILTER('CLASFICACIÓN'!$F$3:$F5618,'CLASFICACIÓN'!$G$3:$G5618=M4246)"),"LOS 3 AÑOS")</f>
        <v>LOS 3 AÑOS</v>
      </c>
      <c r="K4246" s="16"/>
      <c r="L4246" s="14" t="s">
        <v>189</v>
      </c>
      <c r="M4246" s="16" t="str">
        <f t="shared" si="1"/>
        <v>50492 CORAZON DE JESUS2 Primaria</v>
      </c>
      <c r="N4246" s="23"/>
      <c r="O4246" s="17"/>
      <c r="P4246" s="17"/>
      <c r="Q4246" s="17"/>
      <c r="R4246" s="17"/>
      <c r="S4246" s="17"/>
      <c r="T4246" s="17"/>
    </row>
    <row r="4247">
      <c r="A4247" s="21">
        <v>375.0</v>
      </c>
      <c r="B4247" s="14" t="s">
        <v>90</v>
      </c>
      <c r="C4247" s="14" t="s">
        <v>14</v>
      </c>
      <c r="D4247" s="20" t="s">
        <v>15</v>
      </c>
      <c r="E4247" s="12" t="str">
        <f>IFERROR(__xludf.DUMMYFUNCTION("FILTER(colegios!$B$2:$B5618,colegios!$A$2:$A5618=L4247)"),"50492 CORAZON DE JESUS")</f>
        <v>50492 CORAZON DE JESUS</v>
      </c>
      <c r="F4247" s="14" t="s">
        <v>16</v>
      </c>
      <c r="G4247" s="20" t="s">
        <v>21</v>
      </c>
      <c r="H4247" s="14" t="s">
        <v>18</v>
      </c>
      <c r="I4247" s="22">
        <v>2022.0</v>
      </c>
      <c r="J4247" s="16" t="str">
        <f>IFERROR(__xludf.DUMMYFUNCTION("FILTER('CLASFICACIÓN'!$F$3:$F5618,'CLASFICACIÓN'!$G$3:$G5618=M4247)"),"LOS 3 AÑOS")</f>
        <v>LOS 3 AÑOS</v>
      </c>
      <c r="K4247" s="16"/>
      <c r="L4247" s="14" t="s">
        <v>189</v>
      </c>
      <c r="M4247" s="16" t="str">
        <f t="shared" si="1"/>
        <v>50492 CORAZON DE JESUS2 Primaria</v>
      </c>
      <c r="N4247" s="23"/>
      <c r="O4247" s="17"/>
      <c r="P4247" s="17"/>
      <c r="Q4247" s="17"/>
      <c r="R4247" s="17"/>
      <c r="S4247" s="17"/>
      <c r="T4247" s="17"/>
    </row>
    <row r="4248">
      <c r="A4248" s="21">
        <v>376.0</v>
      </c>
      <c r="B4248" s="14" t="s">
        <v>90</v>
      </c>
      <c r="C4248" s="14" t="s">
        <v>14</v>
      </c>
      <c r="D4248" s="20" t="s">
        <v>15</v>
      </c>
      <c r="E4248" s="12" t="str">
        <f>IFERROR(__xludf.DUMMYFUNCTION("FILTER(colegios!$B$2:$B5618,colegios!$A$2:$A5618=L4248)"),"50492 CORAZON DE JESUS")</f>
        <v>50492 CORAZON DE JESUS</v>
      </c>
      <c r="F4248" s="14" t="s">
        <v>16</v>
      </c>
      <c r="G4248" s="20" t="s">
        <v>21</v>
      </c>
      <c r="H4248" s="14" t="s">
        <v>18</v>
      </c>
      <c r="I4248" s="22">
        <v>2022.0</v>
      </c>
      <c r="J4248" s="16" t="str">
        <f>IFERROR(__xludf.DUMMYFUNCTION("FILTER('CLASFICACIÓN'!$F$3:$F5618,'CLASFICACIÓN'!$G$3:$G5618=M4248)"),"LOS 3 AÑOS")</f>
        <v>LOS 3 AÑOS</v>
      </c>
      <c r="K4248" s="16"/>
      <c r="L4248" s="14" t="s">
        <v>189</v>
      </c>
      <c r="M4248" s="16" t="str">
        <f t="shared" si="1"/>
        <v>50492 CORAZON DE JESUS2 Primaria</v>
      </c>
      <c r="N4248" s="23"/>
      <c r="O4248" s="17"/>
      <c r="P4248" s="17"/>
      <c r="Q4248" s="17"/>
      <c r="R4248" s="17"/>
      <c r="S4248" s="17"/>
      <c r="T4248" s="17"/>
    </row>
    <row r="4249">
      <c r="A4249" s="21">
        <v>377.0</v>
      </c>
      <c r="B4249" s="14" t="s">
        <v>90</v>
      </c>
      <c r="C4249" s="14" t="s">
        <v>14</v>
      </c>
      <c r="D4249" s="20" t="s">
        <v>15</v>
      </c>
      <c r="E4249" s="12" t="str">
        <f>IFERROR(__xludf.DUMMYFUNCTION("FILTER(colegios!$B$2:$B5618,colegios!$A$2:$A5618=L4249)"),"50492 CORAZON DE JESUS")</f>
        <v>50492 CORAZON DE JESUS</v>
      </c>
      <c r="F4249" s="14" t="s">
        <v>16</v>
      </c>
      <c r="G4249" s="20" t="s">
        <v>17</v>
      </c>
      <c r="H4249" s="14" t="s">
        <v>18</v>
      </c>
      <c r="I4249" s="22">
        <v>2022.0</v>
      </c>
      <c r="J4249" s="16" t="str">
        <f>IFERROR(__xludf.DUMMYFUNCTION("FILTER('CLASFICACIÓN'!$F$3:$F5618,'CLASFICACIÓN'!$G$3:$G5618=M4249)"),"LOS 3 AÑOS")</f>
        <v>LOS 3 AÑOS</v>
      </c>
      <c r="K4249" s="16"/>
      <c r="L4249" s="14" t="s">
        <v>189</v>
      </c>
      <c r="M4249" s="16" t="str">
        <f t="shared" si="1"/>
        <v>50492 CORAZON DE JESUS2 Primaria</v>
      </c>
      <c r="N4249" s="23"/>
      <c r="O4249" s="17"/>
      <c r="P4249" s="17"/>
      <c r="Q4249" s="17"/>
      <c r="R4249" s="17"/>
      <c r="S4249" s="17"/>
      <c r="T4249" s="17"/>
    </row>
    <row r="4250">
      <c r="A4250" s="21">
        <v>378.0</v>
      </c>
      <c r="B4250" s="14" t="s">
        <v>90</v>
      </c>
      <c r="C4250" s="14" t="s">
        <v>14</v>
      </c>
      <c r="D4250" s="20" t="s">
        <v>15</v>
      </c>
      <c r="E4250" s="12" t="str">
        <f>IFERROR(__xludf.DUMMYFUNCTION("FILTER(colegios!$B$2:$B5618,colegios!$A$2:$A5618=L4250)"),"50492 CORAZON DE JESUS")</f>
        <v>50492 CORAZON DE JESUS</v>
      </c>
      <c r="F4250" s="14" t="s">
        <v>16</v>
      </c>
      <c r="G4250" s="20" t="s">
        <v>17</v>
      </c>
      <c r="H4250" s="14" t="s">
        <v>18</v>
      </c>
      <c r="I4250" s="22">
        <v>2022.0</v>
      </c>
      <c r="J4250" s="16" t="str">
        <f>IFERROR(__xludf.DUMMYFUNCTION("FILTER('CLASFICACIÓN'!$F$3:$F5618,'CLASFICACIÓN'!$G$3:$G5618=M4250)"),"LOS 3 AÑOS")</f>
        <v>LOS 3 AÑOS</v>
      </c>
      <c r="K4250" s="16"/>
      <c r="L4250" s="14" t="s">
        <v>189</v>
      </c>
      <c r="M4250" s="16" t="str">
        <f t="shared" si="1"/>
        <v>50492 CORAZON DE JESUS2 Primaria</v>
      </c>
      <c r="N4250" s="23"/>
      <c r="O4250" s="17"/>
      <c r="P4250" s="17"/>
      <c r="Q4250" s="17"/>
      <c r="R4250" s="17"/>
      <c r="S4250" s="17"/>
      <c r="T4250" s="17"/>
    </row>
    <row r="4251">
      <c r="A4251" s="21">
        <v>379.0</v>
      </c>
      <c r="B4251" s="14" t="s">
        <v>90</v>
      </c>
      <c r="C4251" s="14" t="s">
        <v>14</v>
      </c>
      <c r="D4251" s="20" t="s">
        <v>15</v>
      </c>
      <c r="E4251" s="12" t="str">
        <f>IFERROR(__xludf.DUMMYFUNCTION("FILTER(colegios!$B$2:$B5618,colegios!$A$2:$A5618=L4251)"),"50492 CORAZON DE JESUS")</f>
        <v>50492 CORAZON DE JESUS</v>
      </c>
      <c r="F4251" s="14" t="s">
        <v>16</v>
      </c>
      <c r="G4251" s="20" t="s">
        <v>17</v>
      </c>
      <c r="H4251" s="14" t="s">
        <v>18</v>
      </c>
      <c r="I4251" s="22">
        <v>2022.0</v>
      </c>
      <c r="J4251" s="16" t="str">
        <f>IFERROR(__xludf.DUMMYFUNCTION("FILTER('CLASFICACIÓN'!$F$3:$F5618,'CLASFICACIÓN'!$G$3:$G5618=M4251)"),"LOS 3 AÑOS")</f>
        <v>LOS 3 AÑOS</v>
      </c>
      <c r="K4251" s="16"/>
      <c r="L4251" s="14" t="s">
        <v>189</v>
      </c>
      <c r="M4251" s="16" t="str">
        <f t="shared" si="1"/>
        <v>50492 CORAZON DE JESUS2 Primaria</v>
      </c>
      <c r="N4251" s="23"/>
      <c r="O4251" s="17"/>
      <c r="P4251" s="17"/>
      <c r="Q4251" s="17"/>
      <c r="R4251" s="17"/>
      <c r="S4251" s="17"/>
      <c r="T4251" s="17"/>
    </row>
    <row r="4252">
      <c r="A4252" s="21">
        <v>380.0</v>
      </c>
      <c r="B4252" s="14" t="s">
        <v>90</v>
      </c>
      <c r="C4252" s="14" t="s">
        <v>14</v>
      </c>
      <c r="D4252" s="20" t="s">
        <v>15</v>
      </c>
      <c r="E4252" s="12" t="str">
        <f>IFERROR(__xludf.DUMMYFUNCTION("FILTER(colegios!$B$2:$B5618,colegios!$A$2:$A5618=L4252)"),"50492 CORAZON DE JESUS")</f>
        <v>50492 CORAZON DE JESUS</v>
      </c>
      <c r="F4252" s="14" t="s">
        <v>16</v>
      </c>
      <c r="G4252" s="20" t="s">
        <v>21</v>
      </c>
      <c r="H4252" s="14" t="s">
        <v>18</v>
      </c>
      <c r="I4252" s="22">
        <v>2022.0</v>
      </c>
      <c r="J4252" s="16" t="str">
        <f>IFERROR(__xludf.DUMMYFUNCTION("FILTER('CLASFICACIÓN'!$F$3:$F5618,'CLASFICACIÓN'!$G$3:$G5618=M4252)"),"LOS 3 AÑOS")</f>
        <v>LOS 3 AÑOS</v>
      </c>
      <c r="K4252" s="16"/>
      <c r="L4252" s="14" t="s">
        <v>189</v>
      </c>
      <c r="M4252" s="16" t="str">
        <f t="shared" si="1"/>
        <v>50492 CORAZON DE JESUS2 Primaria</v>
      </c>
      <c r="N4252" s="23"/>
      <c r="O4252" s="17"/>
      <c r="P4252" s="17"/>
      <c r="Q4252" s="17"/>
      <c r="R4252" s="17"/>
      <c r="S4252" s="17"/>
      <c r="T4252" s="17"/>
    </row>
    <row r="4253">
      <c r="A4253" s="21">
        <v>381.0</v>
      </c>
      <c r="B4253" s="14" t="s">
        <v>90</v>
      </c>
      <c r="C4253" s="14" t="s">
        <v>14</v>
      </c>
      <c r="D4253" s="20" t="s">
        <v>15</v>
      </c>
      <c r="E4253" s="12" t="str">
        <f>IFERROR(__xludf.DUMMYFUNCTION("FILTER(colegios!$B$2:$B5618,colegios!$A$2:$A5618=L4253)"),"50492 CORAZON DE JESUS")</f>
        <v>50492 CORAZON DE JESUS</v>
      </c>
      <c r="F4253" s="14" t="s">
        <v>16</v>
      </c>
      <c r="G4253" s="20" t="s">
        <v>17</v>
      </c>
      <c r="H4253" s="14" t="s">
        <v>18</v>
      </c>
      <c r="I4253" s="22">
        <v>2022.0</v>
      </c>
      <c r="J4253" s="16" t="str">
        <f>IFERROR(__xludf.DUMMYFUNCTION("FILTER('CLASFICACIÓN'!$F$3:$F5618,'CLASFICACIÓN'!$G$3:$G5618=M4253)"),"LOS 3 AÑOS")</f>
        <v>LOS 3 AÑOS</v>
      </c>
      <c r="K4253" s="16"/>
      <c r="L4253" s="14" t="s">
        <v>189</v>
      </c>
      <c r="M4253" s="16" t="str">
        <f t="shared" si="1"/>
        <v>50492 CORAZON DE JESUS2 Primaria</v>
      </c>
      <c r="N4253" s="23"/>
      <c r="O4253" s="17"/>
      <c r="P4253" s="17"/>
      <c r="Q4253" s="17"/>
      <c r="R4253" s="17"/>
      <c r="S4253" s="17"/>
      <c r="T4253" s="17"/>
    </row>
    <row r="4254">
      <c r="A4254" s="21">
        <v>382.0</v>
      </c>
      <c r="B4254" s="14" t="s">
        <v>90</v>
      </c>
      <c r="C4254" s="14" t="s">
        <v>14</v>
      </c>
      <c r="D4254" s="20" t="s">
        <v>15</v>
      </c>
      <c r="E4254" s="12" t="str">
        <f>IFERROR(__xludf.DUMMYFUNCTION("FILTER(colegios!$B$2:$B5618,colegios!$A$2:$A5618=L4254)"),"50492 CORAZON DE JESUS")</f>
        <v>50492 CORAZON DE JESUS</v>
      </c>
      <c r="F4254" s="14" t="s">
        <v>16</v>
      </c>
      <c r="G4254" s="20" t="s">
        <v>21</v>
      </c>
      <c r="H4254" s="14" t="s">
        <v>18</v>
      </c>
      <c r="I4254" s="22">
        <v>2022.0</v>
      </c>
      <c r="J4254" s="16" t="str">
        <f>IFERROR(__xludf.DUMMYFUNCTION("FILTER('CLASFICACIÓN'!$F$3:$F5618,'CLASFICACIÓN'!$G$3:$G5618=M4254)"),"LOS 3 AÑOS")</f>
        <v>LOS 3 AÑOS</v>
      </c>
      <c r="K4254" s="16"/>
      <c r="L4254" s="14" t="s">
        <v>189</v>
      </c>
      <c r="M4254" s="16" t="str">
        <f t="shared" si="1"/>
        <v>50492 CORAZON DE JESUS2 Primaria</v>
      </c>
      <c r="N4254" s="23"/>
      <c r="O4254" s="17"/>
      <c r="P4254" s="17"/>
      <c r="Q4254" s="17"/>
      <c r="R4254" s="17"/>
      <c r="S4254" s="17"/>
      <c r="T4254" s="17"/>
    </row>
    <row r="4255">
      <c r="A4255" s="21">
        <v>383.0</v>
      </c>
      <c r="B4255" s="14" t="s">
        <v>90</v>
      </c>
      <c r="C4255" s="14" t="s">
        <v>14</v>
      </c>
      <c r="D4255" s="20" t="s">
        <v>15</v>
      </c>
      <c r="E4255" s="12" t="str">
        <f>IFERROR(__xludf.DUMMYFUNCTION("FILTER(colegios!$B$2:$B5618,colegios!$A$2:$A5618=L4255)"),"50492 CORAZON DE JESUS")</f>
        <v>50492 CORAZON DE JESUS</v>
      </c>
      <c r="F4255" s="14" t="s">
        <v>16</v>
      </c>
      <c r="G4255" s="20" t="s">
        <v>21</v>
      </c>
      <c r="H4255" s="14" t="s">
        <v>18</v>
      </c>
      <c r="I4255" s="22">
        <v>2022.0</v>
      </c>
      <c r="J4255" s="16" t="str">
        <f>IFERROR(__xludf.DUMMYFUNCTION("FILTER('CLASFICACIÓN'!$F$3:$F5618,'CLASFICACIÓN'!$G$3:$G5618=M4255)"),"LOS 3 AÑOS")</f>
        <v>LOS 3 AÑOS</v>
      </c>
      <c r="K4255" s="16"/>
      <c r="L4255" s="14" t="s">
        <v>189</v>
      </c>
      <c r="M4255" s="16" t="str">
        <f t="shared" si="1"/>
        <v>50492 CORAZON DE JESUS2 Primaria</v>
      </c>
      <c r="N4255" s="23"/>
      <c r="O4255" s="17"/>
      <c r="P4255" s="17"/>
      <c r="Q4255" s="17"/>
      <c r="R4255" s="17"/>
      <c r="S4255" s="17"/>
      <c r="T4255" s="17"/>
    </row>
    <row r="4256">
      <c r="A4256" s="21">
        <v>384.0</v>
      </c>
      <c r="B4256" s="14" t="s">
        <v>90</v>
      </c>
      <c r="C4256" s="14" t="s">
        <v>14</v>
      </c>
      <c r="D4256" s="20" t="s">
        <v>15</v>
      </c>
      <c r="E4256" s="12" t="str">
        <f>IFERROR(__xludf.DUMMYFUNCTION("FILTER(colegios!$B$2:$B5618,colegios!$A$2:$A5618=L4256)"),"50492 CORAZON DE JESUS")</f>
        <v>50492 CORAZON DE JESUS</v>
      </c>
      <c r="F4256" s="14" t="s">
        <v>16</v>
      </c>
      <c r="G4256" s="20" t="s">
        <v>21</v>
      </c>
      <c r="H4256" s="14" t="s">
        <v>18</v>
      </c>
      <c r="I4256" s="22">
        <v>2022.0</v>
      </c>
      <c r="J4256" s="16" t="str">
        <f>IFERROR(__xludf.DUMMYFUNCTION("FILTER('CLASFICACIÓN'!$F$3:$F5618,'CLASFICACIÓN'!$G$3:$G5618=M4256)"),"LOS 3 AÑOS")</f>
        <v>LOS 3 AÑOS</v>
      </c>
      <c r="K4256" s="16"/>
      <c r="L4256" s="14" t="s">
        <v>189</v>
      </c>
      <c r="M4256" s="16" t="str">
        <f t="shared" si="1"/>
        <v>50492 CORAZON DE JESUS2 Primaria</v>
      </c>
      <c r="N4256" s="23"/>
      <c r="O4256" s="17"/>
      <c r="P4256" s="17"/>
      <c r="Q4256" s="17"/>
      <c r="R4256" s="17"/>
      <c r="S4256" s="17"/>
      <c r="T4256" s="17"/>
    </row>
    <row r="4257">
      <c r="A4257" s="21">
        <v>385.0</v>
      </c>
      <c r="B4257" s="14" t="s">
        <v>90</v>
      </c>
      <c r="C4257" s="14" t="s">
        <v>14</v>
      </c>
      <c r="D4257" s="20" t="s">
        <v>15</v>
      </c>
      <c r="E4257" s="12" t="str">
        <f>IFERROR(__xludf.DUMMYFUNCTION("FILTER(colegios!$B$2:$B5618,colegios!$A$2:$A5618=L4257)"),"50492 CORAZON DE JESUS")</f>
        <v>50492 CORAZON DE JESUS</v>
      </c>
      <c r="F4257" s="14" t="s">
        <v>16</v>
      </c>
      <c r="G4257" s="20" t="s">
        <v>21</v>
      </c>
      <c r="H4257" s="14" t="s">
        <v>18</v>
      </c>
      <c r="I4257" s="22">
        <v>2022.0</v>
      </c>
      <c r="J4257" s="16" t="str">
        <f>IFERROR(__xludf.DUMMYFUNCTION("FILTER('CLASFICACIÓN'!$F$3:$F5618,'CLASFICACIÓN'!$G$3:$G5618=M4257)"),"LOS 3 AÑOS")</f>
        <v>LOS 3 AÑOS</v>
      </c>
      <c r="K4257" s="16"/>
      <c r="L4257" s="14" t="s">
        <v>189</v>
      </c>
      <c r="M4257" s="16" t="str">
        <f t="shared" si="1"/>
        <v>50492 CORAZON DE JESUS2 Primaria</v>
      </c>
      <c r="N4257" s="23"/>
      <c r="O4257" s="17"/>
      <c r="P4257" s="17"/>
      <c r="Q4257" s="17"/>
      <c r="R4257" s="17"/>
      <c r="S4257" s="17"/>
      <c r="T4257" s="17"/>
    </row>
    <row r="4258">
      <c r="A4258" s="21">
        <v>386.0</v>
      </c>
      <c r="B4258" s="14" t="s">
        <v>90</v>
      </c>
      <c r="C4258" s="14" t="s">
        <v>14</v>
      </c>
      <c r="D4258" s="20" t="s">
        <v>15</v>
      </c>
      <c r="E4258" s="12" t="str">
        <f>IFERROR(__xludf.DUMMYFUNCTION("FILTER(colegios!$B$2:$B5618,colegios!$A$2:$A5618=L4258)"),"50492 CORAZON DE JESUS")</f>
        <v>50492 CORAZON DE JESUS</v>
      </c>
      <c r="F4258" s="14" t="s">
        <v>16</v>
      </c>
      <c r="G4258" s="20" t="s">
        <v>17</v>
      </c>
      <c r="H4258" s="14" t="s">
        <v>18</v>
      </c>
      <c r="I4258" s="22">
        <v>2022.0</v>
      </c>
      <c r="J4258" s="16" t="str">
        <f>IFERROR(__xludf.DUMMYFUNCTION("FILTER('CLASFICACIÓN'!$F$3:$F5618,'CLASFICACIÓN'!$G$3:$G5618=M4258)"),"LOS 3 AÑOS")</f>
        <v>LOS 3 AÑOS</v>
      </c>
      <c r="K4258" s="16"/>
      <c r="L4258" s="14" t="s">
        <v>189</v>
      </c>
      <c r="M4258" s="16" t="str">
        <f t="shared" si="1"/>
        <v>50492 CORAZON DE JESUS2 Primaria</v>
      </c>
      <c r="N4258" s="23"/>
      <c r="O4258" s="17"/>
      <c r="P4258" s="17"/>
      <c r="Q4258" s="17"/>
      <c r="R4258" s="17"/>
      <c r="S4258" s="17"/>
      <c r="T4258" s="17"/>
    </row>
    <row r="4259">
      <c r="A4259" s="21">
        <v>387.0</v>
      </c>
      <c r="B4259" s="14" t="s">
        <v>90</v>
      </c>
      <c r="C4259" s="14" t="s">
        <v>14</v>
      </c>
      <c r="D4259" s="20" t="s">
        <v>15</v>
      </c>
      <c r="E4259" s="12" t="str">
        <f>IFERROR(__xludf.DUMMYFUNCTION("FILTER(colegios!$B$2:$B5618,colegios!$A$2:$A5618=L4259)"),"50492 CORAZON DE JESUS")</f>
        <v>50492 CORAZON DE JESUS</v>
      </c>
      <c r="F4259" s="14" t="s">
        <v>16</v>
      </c>
      <c r="G4259" s="20" t="s">
        <v>17</v>
      </c>
      <c r="H4259" s="14" t="s">
        <v>18</v>
      </c>
      <c r="I4259" s="22">
        <v>2022.0</v>
      </c>
      <c r="J4259" s="16" t="str">
        <f>IFERROR(__xludf.DUMMYFUNCTION("FILTER('CLASFICACIÓN'!$F$3:$F5618,'CLASFICACIÓN'!$G$3:$G5618=M4259)"),"LOS 3 AÑOS")</f>
        <v>LOS 3 AÑOS</v>
      </c>
      <c r="K4259" s="16"/>
      <c r="L4259" s="14" t="s">
        <v>189</v>
      </c>
      <c r="M4259" s="16" t="str">
        <f t="shared" si="1"/>
        <v>50492 CORAZON DE JESUS2 Primaria</v>
      </c>
      <c r="N4259" s="23"/>
      <c r="O4259" s="17"/>
      <c r="P4259" s="17"/>
      <c r="Q4259" s="17"/>
      <c r="R4259" s="17"/>
      <c r="S4259" s="17"/>
      <c r="T4259" s="17"/>
    </row>
    <row r="4260">
      <c r="A4260" s="21">
        <v>388.0</v>
      </c>
      <c r="B4260" s="14" t="s">
        <v>90</v>
      </c>
      <c r="C4260" s="14" t="s">
        <v>14</v>
      </c>
      <c r="D4260" s="20" t="s">
        <v>15</v>
      </c>
      <c r="E4260" s="12" t="str">
        <f>IFERROR(__xludf.DUMMYFUNCTION("FILTER(colegios!$B$2:$B5618,colegios!$A$2:$A5618=L4260)"),"50492 CORAZON DE JESUS")</f>
        <v>50492 CORAZON DE JESUS</v>
      </c>
      <c r="F4260" s="14" t="s">
        <v>16</v>
      </c>
      <c r="G4260" s="20" t="s">
        <v>17</v>
      </c>
      <c r="H4260" s="14" t="s">
        <v>18</v>
      </c>
      <c r="I4260" s="22">
        <v>2022.0</v>
      </c>
      <c r="J4260" s="16" t="str">
        <f>IFERROR(__xludf.DUMMYFUNCTION("FILTER('CLASFICACIÓN'!$F$3:$F5618,'CLASFICACIÓN'!$G$3:$G5618=M4260)"),"LOS 3 AÑOS")</f>
        <v>LOS 3 AÑOS</v>
      </c>
      <c r="K4260" s="16"/>
      <c r="L4260" s="14" t="s">
        <v>189</v>
      </c>
      <c r="M4260" s="16" t="str">
        <f t="shared" si="1"/>
        <v>50492 CORAZON DE JESUS2 Primaria</v>
      </c>
      <c r="N4260" s="23"/>
      <c r="O4260" s="17"/>
      <c r="P4260" s="17"/>
      <c r="Q4260" s="17"/>
      <c r="R4260" s="17"/>
      <c r="S4260" s="17"/>
      <c r="T4260" s="17"/>
    </row>
    <row r="4261">
      <c r="A4261" s="21">
        <v>389.0</v>
      </c>
      <c r="B4261" s="14" t="s">
        <v>90</v>
      </c>
      <c r="C4261" s="14" t="s">
        <v>14</v>
      </c>
      <c r="D4261" s="20" t="s">
        <v>15</v>
      </c>
      <c r="E4261" s="12" t="str">
        <f>IFERROR(__xludf.DUMMYFUNCTION("FILTER(colegios!$B$2:$B5618,colegios!$A$2:$A5618=L4261)"),"50492 CORAZON DE JESUS")</f>
        <v>50492 CORAZON DE JESUS</v>
      </c>
      <c r="F4261" s="14" t="s">
        <v>16</v>
      </c>
      <c r="G4261" s="20" t="s">
        <v>21</v>
      </c>
      <c r="H4261" s="14" t="s">
        <v>18</v>
      </c>
      <c r="I4261" s="22">
        <v>2022.0</v>
      </c>
      <c r="J4261" s="16" t="str">
        <f>IFERROR(__xludf.DUMMYFUNCTION("FILTER('CLASFICACIÓN'!$F$3:$F5618,'CLASFICACIÓN'!$G$3:$G5618=M4261)"),"LOS 3 AÑOS")</f>
        <v>LOS 3 AÑOS</v>
      </c>
      <c r="K4261" s="16"/>
      <c r="L4261" s="14" t="s">
        <v>189</v>
      </c>
      <c r="M4261" s="16" t="str">
        <f t="shared" si="1"/>
        <v>50492 CORAZON DE JESUS2 Primaria</v>
      </c>
      <c r="N4261" s="23"/>
      <c r="O4261" s="17"/>
      <c r="P4261" s="17"/>
      <c r="Q4261" s="17"/>
      <c r="R4261" s="17"/>
      <c r="S4261" s="17"/>
      <c r="T4261" s="17"/>
    </row>
    <row r="4262">
      <c r="A4262" s="21">
        <v>390.0</v>
      </c>
      <c r="B4262" s="14" t="s">
        <v>90</v>
      </c>
      <c r="C4262" s="14" t="s">
        <v>14</v>
      </c>
      <c r="D4262" s="20" t="s">
        <v>15</v>
      </c>
      <c r="E4262" s="12" t="str">
        <f>IFERROR(__xludf.DUMMYFUNCTION("FILTER(colegios!$B$2:$B5618,colegios!$A$2:$A5618=L4262)"),"50492 CORAZON DE JESUS")</f>
        <v>50492 CORAZON DE JESUS</v>
      </c>
      <c r="F4262" s="14" t="s">
        <v>16</v>
      </c>
      <c r="G4262" s="20" t="s">
        <v>21</v>
      </c>
      <c r="H4262" s="14" t="s">
        <v>18</v>
      </c>
      <c r="I4262" s="22">
        <v>2022.0</v>
      </c>
      <c r="J4262" s="16" t="str">
        <f>IFERROR(__xludf.DUMMYFUNCTION("FILTER('CLASFICACIÓN'!$F$3:$F5618,'CLASFICACIÓN'!$G$3:$G5618=M4262)"),"LOS 3 AÑOS")</f>
        <v>LOS 3 AÑOS</v>
      </c>
      <c r="K4262" s="16"/>
      <c r="L4262" s="14" t="s">
        <v>189</v>
      </c>
      <c r="M4262" s="16" t="str">
        <f t="shared" si="1"/>
        <v>50492 CORAZON DE JESUS2 Primaria</v>
      </c>
      <c r="N4262" s="23"/>
      <c r="O4262" s="17"/>
      <c r="P4262" s="17"/>
      <c r="Q4262" s="17"/>
      <c r="R4262" s="17"/>
      <c r="S4262" s="17"/>
      <c r="T4262" s="17"/>
    </row>
    <row r="4263">
      <c r="A4263" s="21">
        <v>391.0</v>
      </c>
      <c r="B4263" s="14" t="s">
        <v>90</v>
      </c>
      <c r="C4263" s="14" t="s">
        <v>14</v>
      </c>
      <c r="D4263" s="20" t="s">
        <v>15</v>
      </c>
      <c r="E4263" s="12" t="str">
        <f>IFERROR(__xludf.DUMMYFUNCTION("FILTER(colegios!$B$2:$B5618,colegios!$A$2:$A5618=L4263)"),"50492 CORAZON DE JESUS")</f>
        <v>50492 CORAZON DE JESUS</v>
      </c>
      <c r="F4263" s="14" t="s">
        <v>16</v>
      </c>
      <c r="G4263" s="20" t="s">
        <v>21</v>
      </c>
      <c r="H4263" s="14" t="s">
        <v>18</v>
      </c>
      <c r="I4263" s="22">
        <v>2022.0</v>
      </c>
      <c r="J4263" s="16" t="str">
        <f>IFERROR(__xludf.DUMMYFUNCTION("FILTER('CLASFICACIÓN'!$F$3:$F5618,'CLASFICACIÓN'!$G$3:$G5618=M4263)"),"LOS 3 AÑOS")</f>
        <v>LOS 3 AÑOS</v>
      </c>
      <c r="K4263" s="16"/>
      <c r="L4263" s="14" t="s">
        <v>189</v>
      </c>
      <c r="M4263" s="16" t="str">
        <f t="shared" si="1"/>
        <v>50492 CORAZON DE JESUS2 Primaria</v>
      </c>
      <c r="N4263" s="23"/>
      <c r="O4263" s="17"/>
      <c r="P4263" s="17"/>
      <c r="Q4263" s="17"/>
      <c r="R4263" s="17"/>
      <c r="S4263" s="17"/>
      <c r="T4263" s="17"/>
    </row>
    <row r="4264">
      <c r="A4264" s="21">
        <v>392.0</v>
      </c>
      <c r="B4264" s="14" t="s">
        <v>90</v>
      </c>
      <c r="C4264" s="14" t="s">
        <v>14</v>
      </c>
      <c r="D4264" s="20" t="s">
        <v>15</v>
      </c>
      <c r="E4264" s="12" t="str">
        <f>IFERROR(__xludf.DUMMYFUNCTION("FILTER(colegios!$B$2:$B5618,colegios!$A$2:$A5618=L4264)"),"50492 CORAZON DE JESUS")</f>
        <v>50492 CORAZON DE JESUS</v>
      </c>
      <c r="F4264" s="14" t="s">
        <v>16</v>
      </c>
      <c r="G4264" s="20" t="s">
        <v>17</v>
      </c>
      <c r="H4264" s="14" t="s">
        <v>18</v>
      </c>
      <c r="I4264" s="22">
        <v>2022.0</v>
      </c>
      <c r="J4264" s="16" t="str">
        <f>IFERROR(__xludf.DUMMYFUNCTION("FILTER('CLASFICACIÓN'!$F$3:$F5618,'CLASFICACIÓN'!$G$3:$G5618=M4264)"),"LOS 3 AÑOS")</f>
        <v>LOS 3 AÑOS</v>
      </c>
      <c r="K4264" s="16"/>
      <c r="L4264" s="14" t="s">
        <v>189</v>
      </c>
      <c r="M4264" s="16" t="str">
        <f t="shared" si="1"/>
        <v>50492 CORAZON DE JESUS2 Primaria</v>
      </c>
      <c r="N4264" s="23"/>
      <c r="O4264" s="17"/>
      <c r="P4264" s="17"/>
      <c r="Q4264" s="17"/>
      <c r="R4264" s="17"/>
      <c r="S4264" s="17"/>
      <c r="T4264" s="17"/>
    </row>
    <row r="4265">
      <c r="A4265" s="21">
        <v>393.0</v>
      </c>
      <c r="B4265" s="14" t="s">
        <v>90</v>
      </c>
      <c r="C4265" s="14" t="s">
        <v>14</v>
      </c>
      <c r="D4265" s="20" t="s">
        <v>15</v>
      </c>
      <c r="E4265" s="12" t="str">
        <f>IFERROR(__xludf.DUMMYFUNCTION("FILTER(colegios!$B$2:$B5618,colegios!$A$2:$A5618=L4265)"),"50492 CORAZON DE JESUS")</f>
        <v>50492 CORAZON DE JESUS</v>
      </c>
      <c r="F4265" s="14" t="s">
        <v>16</v>
      </c>
      <c r="G4265" s="20" t="s">
        <v>17</v>
      </c>
      <c r="H4265" s="14" t="s">
        <v>18</v>
      </c>
      <c r="I4265" s="22">
        <v>2022.0</v>
      </c>
      <c r="J4265" s="16" t="str">
        <f>IFERROR(__xludf.DUMMYFUNCTION("FILTER('CLASFICACIÓN'!$F$3:$F5618,'CLASFICACIÓN'!$G$3:$G5618=M4265)"),"LOS 3 AÑOS")</f>
        <v>LOS 3 AÑOS</v>
      </c>
      <c r="K4265" s="16"/>
      <c r="L4265" s="14" t="s">
        <v>189</v>
      </c>
      <c r="M4265" s="16" t="str">
        <f t="shared" si="1"/>
        <v>50492 CORAZON DE JESUS2 Primaria</v>
      </c>
      <c r="N4265" s="23"/>
      <c r="O4265" s="17"/>
      <c r="P4265" s="17"/>
      <c r="Q4265" s="17"/>
      <c r="R4265" s="17"/>
      <c r="S4265" s="17"/>
      <c r="T4265" s="17"/>
    </row>
    <row r="4266">
      <c r="A4266" s="21">
        <v>394.0</v>
      </c>
      <c r="B4266" s="14" t="s">
        <v>90</v>
      </c>
      <c r="C4266" s="14" t="s">
        <v>14</v>
      </c>
      <c r="D4266" s="20" t="s">
        <v>15</v>
      </c>
      <c r="E4266" s="12" t="str">
        <f>IFERROR(__xludf.DUMMYFUNCTION("FILTER(colegios!$B$2:$B5618,colegios!$A$2:$A5618=L4266)"),"50492 CORAZON DE JESUS")</f>
        <v>50492 CORAZON DE JESUS</v>
      </c>
      <c r="F4266" s="14" t="s">
        <v>16</v>
      </c>
      <c r="G4266" s="20" t="s">
        <v>17</v>
      </c>
      <c r="H4266" s="14" t="s">
        <v>18</v>
      </c>
      <c r="I4266" s="22">
        <v>2022.0</v>
      </c>
      <c r="J4266" s="16" t="str">
        <f>IFERROR(__xludf.DUMMYFUNCTION("FILTER('CLASFICACIÓN'!$F$3:$F5618,'CLASFICACIÓN'!$G$3:$G5618=M4266)"),"LOS 3 AÑOS")</f>
        <v>LOS 3 AÑOS</v>
      </c>
      <c r="K4266" s="16"/>
      <c r="L4266" s="14" t="s">
        <v>189</v>
      </c>
      <c r="M4266" s="16" t="str">
        <f t="shared" si="1"/>
        <v>50492 CORAZON DE JESUS2 Primaria</v>
      </c>
      <c r="N4266" s="23"/>
      <c r="O4266" s="17"/>
      <c r="P4266" s="17"/>
      <c r="Q4266" s="17"/>
      <c r="R4266" s="17"/>
      <c r="S4266" s="17"/>
      <c r="T4266" s="17"/>
    </row>
    <row r="4267">
      <c r="A4267" s="21">
        <v>395.0</v>
      </c>
      <c r="B4267" s="14" t="s">
        <v>90</v>
      </c>
      <c r="C4267" s="14" t="s">
        <v>14</v>
      </c>
      <c r="D4267" s="20" t="s">
        <v>15</v>
      </c>
      <c r="E4267" s="12" t="str">
        <f>IFERROR(__xludf.DUMMYFUNCTION("FILTER(colegios!$B$2:$B5618,colegios!$A$2:$A5618=L4267)"),"50492 CORAZON DE JESUS")</f>
        <v>50492 CORAZON DE JESUS</v>
      </c>
      <c r="F4267" s="14" t="s">
        <v>16</v>
      </c>
      <c r="G4267" s="20" t="s">
        <v>17</v>
      </c>
      <c r="H4267" s="14" t="s">
        <v>18</v>
      </c>
      <c r="I4267" s="22">
        <v>2022.0</v>
      </c>
      <c r="J4267" s="16" t="str">
        <f>IFERROR(__xludf.DUMMYFUNCTION("FILTER('CLASFICACIÓN'!$F$3:$F5618,'CLASFICACIÓN'!$G$3:$G5618=M4267)"),"LOS 3 AÑOS")</f>
        <v>LOS 3 AÑOS</v>
      </c>
      <c r="K4267" s="16"/>
      <c r="L4267" s="14" t="s">
        <v>189</v>
      </c>
      <c r="M4267" s="16" t="str">
        <f t="shared" si="1"/>
        <v>50492 CORAZON DE JESUS2 Primaria</v>
      </c>
      <c r="N4267" s="23"/>
      <c r="O4267" s="17"/>
      <c r="P4267" s="17"/>
      <c r="Q4267" s="17"/>
      <c r="R4267" s="17"/>
      <c r="S4267" s="17"/>
      <c r="T4267" s="17"/>
    </row>
    <row r="4268">
      <c r="A4268" s="21">
        <v>396.0</v>
      </c>
      <c r="B4268" s="14" t="s">
        <v>90</v>
      </c>
      <c r="C4268" s="14" t="s">
        <v>14</v>
      </c>
      <c r="D4268" s="20" t="s">
        <v>15</v>
      </c>
      <c r="E4268" s="12" t="str">
        <f>IFERROR(__xludf.DUMMYFUNCTION("FILTER(colegios!$B$2:$B5618,colegios!$A$2:$A5618=L4268)"),"50492 CORAZON DE JESUS")</f>
        <v>50492 CORAZON DE JESUS</v>
      </c>
      <c r="F4268" s="14" t="s">
        <v>16</v>
      </c>
      <c r="G4268" s="20" t="s">
        <v>21</v>
      </c>
      <c r="H4268" s="14" t="s">
        <v>18</v>
      </c>
      <c r="I4268" s="22">
        <v>2022.0</v>
      </c>
      <c r="J4268" s="16" t="str">
        <f>IFERROR(__xludf.DUMMYFUNCTION("FILTER('CLASFICACIÓN'!$F$3:$F5618,'CLASFICACIÓN'!$G$3:$G5618=M4268)"),"LOS 3 AÑOS")</f>
        <v>LOS 3 AÑOS</v>
      </c>
      <c r="K4268" s="16"/>
      <c r="L4268" s="14" t="s">
        <v>189</v>
      </c>
      <c r="M4268" s="16" t="str">
        <f t="shared" si="1"/>
        <v>50492 CORAZON DE JESUS2 Primaria</v>
      </c>
      <c r="N4268" s="23"/>
      <c r="O4268" s="17"/>
      <c r="P4268" s="17"/>
      <c r="Q4268" s="17"/>
      <c r="R4268" s="17"/>
      <c r="S4268" s="17"/>
      <c r="T4268" s="17"/>
    </row>
    <row r="4269">
      <c r="A4269" s="21">
        <v>397.0</v>
      </c>
      <c r="B4269" s="14" t="s">
        <v>90</v>
      </c>
      <c r="C4269" s="14" t="s">
        <v>14</v>
      </c>
      <c r="D4269" s="20" t="s">
        <v>15</v>
      </c>
      <c r="E4269" s="12" t="str">
        <f>IFERROR(__xludf.DUMMYFUNCTION("FILTER(colegios!$B$2:$B5618,colegios!$A$2:$A5618=L4269)"),"50492 CORAZON DE JESUS")</f>
        <v>50492 CORAZON DE JESUS</v>
      </c>
      <c r="F4269" s="14" t="s">
        <v>16</v>
      </c>
      <c r="G4269" s="20" t="s">
        <v>17</v>
      </c>
      <c r="H4269" s="14" t="s">
        <v>18</v>
      </c>
      <c r="I4269" s="22">
        <v>2022.0</v>
      </c>
      <c r="J4269" s="16" t="str">
        <f>IFERROR(__xludf.DUMMYFUNCTION("FILTER('CLASFICACIÓN'!$F$3:$F5618,'CLASFICACIÓN'!$G$3:$G5618=M4269)"),"LOS 3 AÑOS")</f>
        <v>LOS 3 AÑOS</v>
      </c>
      <c r="K4269" s="16"/>
      <c r="L4269" s="14" t="s">
        <v>189</v>
      </c>
      <c r="M4269" s="16" t="str">
        <f t="shared" si="1"/>
        <v>50492 CORAZON DE JESUS2 Primaria</v>
      </c>
      <c r="N4269" s="23"/>
      <c r="O4269" s="17"/>
      <c r="P4269" s="17"/>
      <c r="Q4269" s="17"/>
      <c r="R4269" s="17"/>
      <c r="S4269" s="17"/>
      <c r="T4269" s="17"/>
    </row>
    <row r="4270">
      <c r="A4270" s="21">
        <v>398.0</v>
      </c>
      <c r="B4270" s="14" t="s">
        <v>90</v>
      </c>
      <c r="C4270" s="14" t="s">
        <v>14</v>
      </c>
      <c r="D4270" s="20" t="s">
        <v>15</v>
      </c>
      <c r="E4270" s="12" t="str">
        <f>IFERROR(__xludf.DUMMYFUNCTION("FILTER(colegios!$B$2:$B5618,colegios!$A$2:$A5618=L4270)"),"50492 CORAZON DE JESUS")</f>
        <v>50492 CORAZON DE JESUS</v>
      </c>
      <c r="F4270" s="14" t="s">
        <v>16</v>
      </c>
      <c r="G4270" s="20" t="s">
        <v>21</v>
      </c>
      <c r="H4270" s="14" t="s">
        <v>18</v>
      </c>
      <c r="I4270" s="22">
        <v>2022.0</v>
      </c>
      <c r="J4270" s="16" t="str">
        <f>IFERROR(__xludf.DUMMYFUNCTION("FILTER('CLASFICACIÓN'!$F$3:$F5618,'CLASFICACIÓN'!$G$3:$G5618=M4270)"),"LOS 3 AÑOS")</f>
        <v>LOS 3 AÑOS</v>
      </c>
      <c r="K4270" s="16"/>
      <c r="L4270" s="14" t="s">
        <v>189</v>
      </c>
      <c r="M4270" s="16" t="str">
        <f t="shared" si="1"/>
        <v>50492 CORAZON DE JESUS2 Primaria</v>
      </c>
      <c r="N4270" s="23"/>
      <c r="O4270" s="17"/>
      <c r="P4270" s="17"/>
      <c r="Q4270" s="17"/>
      <c r="R4270" s="17"/>
      <c r="S4270" s="17"/>
      <c r="T4270" s="17"/>
    </row>
    <row r="4271">
      <c r="A4271" s="21">
        <v>399.0</v>
      </c>
      <c r="B4271" s="14" t="s">
        <v>90</v>
      </c>
      <c r="C4271" s="14" t="s">
        <v>14</v>
      </c>
      <c r="D4271" s="20" t="s">
        <v>15</v>
      </c>
      <c r="E4271" s="12" t="str">
        <f>IFERROR(__xludf.DUMMYFUNCTION("FILTER(colegios!$B$2:$B5618,colegios!$A$2:$A5618=L4271)"),"50492 CORAZON DE JESUS")</f>
        <v>50492 CORAZON DE JESUS</v>
      </c>
      <c r="F4271" s="14" t="s">
        <v>16</v>
      </c>
      <c r="G4271" s="20" t="s">
        <v>17</v>
      </c>
      <c r="H4271" s="14" t="s">
        <v>18</v>
      </c>
      <c r="I4271" s="22">
        <v>2022.0</v>
      </c>
      <c r="J4271" s="16" t="str">
        <f>IFERROR(__xludf.DUMMYFUNCTION("FILTER('CLASFICACIÓN'!$F$3:$F5618,'CLASFICACIÓN'!$G$3:$G5618=M4271)"),"LOS 3 AÑOS")</f>
        <v>LOS 3 AÑOS</v>
      </c>
      <c r="K4271" s="16"/>
      <c r="L4271" s="14" t="s">
        <v>189</v>
      </c>
      <c r="M4271" s="16" t="str">
        <f t="shared" si="1"/>
        <v>50492 CORAZON DE JESUS2 Primaria</v>
      </c>
      <c r="N4271" s="23"/>
      <c r="O4271" s="17"/>
      <c r="P4271" s="17"/>
      <c r="Q4271" s="17"/>
      <c r="R4271" s="17"/>
      <c r="S4271" s="17"/>
      <c r="T4271" s="17"/>
    </row>
    <row r="4272">
      <c r="A4272" s="21">
        <v>400.0</v>
      </c>
      <c r="B4272" s="14" t="s">
        <v>90</v>
      </c>
      <c r="C4272" s="14" t="s">
        <v>14</v>
      </c>
      <c r="D4272" s="20" t="s">
        <v>15</v>
      </c>
      <c r="E4272" s="12" t="str">
        <f>IFERROR(__xludf.DUMMYFUNCTION("FILTER(colegios!$B$2:$B5618,colegios!$A$2:$A5618=L4272)"),"50492 CORAZON DE JESUS")</f>
        <v>50492 CORAZON DE JESUS</v>
      </c>
      <c r="F4272" s="14" t="s">
        <v>16</v>
      </c>
      <c r="G4272" s="20" t="s">
        <v>17</v>
      </c>
      <c r="H4272" s="14" t="s">
        <v>18</v>
      </c>
      <c r="I4272" s="22">
        <v>2022.0</v>
      </c>
      <c r="J4272" s="16" t="str">
        <f>IFERROR(__xludf.DUMMYFUNCTION("FILTER('CLASFICACIÓN'!$F$3:$F5618,'CLASFICACIÓN'!$G$3:$G5618=M4272)"),"LOS 3 AÑOS")</f>
        <v>LOS 3 AÑOS</v>
      </c>
      <c r="K4272" s="16"/>
      <c r="L4272" s="14" t="s">
        <v>189</v>
      </c>
      <c r="M4272" s="16" t="str">
        <f t="shared" si="1"/>
        <v>50492 CORAZON DE JESUS2 Primaria</v>
      </c>
      <c r="N4272" s="23"/>
      <c r="O4272" s="17"/>
      <c r="P4272" s="17"/>
      <c r="Q4272" s="17"/>
      <c r="R4272" s="17"/>
      <c r="S4272" s="17"/>
      <c r="T4272" s="17"/>
    </row>
    <row r="4273">
      <c r="A4273" s="21">
        <v>401.0</v>
      </c>
      <c r="B4273" s="14" t="s">
        <v>90</v>
      </c>
      <c r="C4273" s="14" t="s">
        <v>14</v>
      </c>
      <c r="D4273" s="20" t="s">
        <v>15</v>
      </c>
      <c r="E4273" s="12" t="str">
        <f>IFERROR(__xludf.DUMMYFUNCTION("FILTER(colegios!$B$2:$B5618,colegios!$A$2:$A5618=L4273)"),"50492 CORAZON DE JESUS")</f>
        <v>50492 CORAZON DE JESUS</v>
      </c>
      <c r="F4273" s="14" t="s">
        <v>16</v>
      </c>
      <c r="G4273" s="20" t="s">
        <v>21</v>
      </c>
      <c r="H4273" s="14" t="s">
        <v>18</v>
      </c>
      <c r="I4273" s="22">
        <v>2022.0</v>
      </c>
      <c r="J4273" s="16" t="str">
        <f>IFERROR(__xludf.DUMMYFUNCTION("FILTER('CLASFICACIÓN'!$F$3:$F5618,'CLASFICACIÓN'!$G$3:$G5618=M4273)"),"LOS 3 AÑOS")</f>
        <v>LOS 3 AÑOS</v>
      </c>
      <c r="K4273" s="16"/>
      <c r="L4273" s="14" t="s">
        <v>189</v>
      </c>
      <c r="M4273" s="16" t="str">
        <f t="shared" si="1"/>
        <v>50492 CORAZON DE JESUS2 Primaria</v>
      </c>
      <c r="N4273" s="23"/>
      <c r="O4273" s="17"/>
      <c r="P4273" s="17"/>
      <c r="Q4273" s="17"/>
      <c r="R4273" s="17"/>
      <c r="S4273" s="17"/>
      <c r="T4273" s="17"/>
    </row>
    <row r="4274">
      <c r="A4274" s="21">
        <v>402.0</v>
      </c>
      <c r="B4274" s="14" t="s">
        <v>90</v>
      </c>
      <c r="C4274" s="14" t="s">
        <v>14</v>
      </c>
      <c r="D4274" s="20" t="s">
        <v>15</v>
      </c>
      <c r="E4274" s="12" t="str">
        <f>IFERROR(__xludf.DUMMYFUNCTION("FILTER(colegios!$B$2:$B5618,colegios!$A$2:$A5618=L4274)"),"50492 CORAZON DE JESUS")</f>
        <v>50492 CORAZON DE JESUS</v>
      </c>
      <c r="F4274" s="14" t="s">
        <v>16</v>
      </c>
      <c r="G4274" s="20" t="s">
        <v>17</v>
      </c>
      <c r="H4274" s="14" t="s">
        <v>18</v>
      </c>
      <c r="I4274" s="22">
        <v>2022.0</v>
      </c>
      <c r="J4274" s="16" t="str">
        <f>IFERROR(__xludf.DUMMYFUNCTION("FILTER('CLASFICACIÓN'!$F$3:$F5618,'CLASFICACIÓN'!$G$3:$G5618=M4274)"),"LOS 3 AÑOS")</f>
        <v>LOS 3 AÑOS</v>
      </c>
      <c r="K4274" s="16"/>
      <c r="L4274" s="14" t="s">
        <v>189</v>
      </c>
      <c r="M4274" s="16" t="str">
        <f t="shared" si="1"/>
        <v>50492 CORAZON DE JESUS2 Primaria</v>
      </c>
      <c r="N4274" s="23"/>
      <c r="O4274" s="17"/>
      <c r="P4274" s="17"/>
      <c r="Q4274" s="17"/>
      <c r="R4274" s="17"/>
      <c r="S4274" s="17"/>
      <c r="T4274" s="17"/>
    </row>
    <row r="4275">
      <c r="A4275" s="21">
        <v>403.0</v>
      </c>
      <c r="B4275" s="14" t="s">
        <v>90</v>
      </c>
      <c r="C4275" s="14" t="s">
        <v>14</v>
      </c>
      <c r="D4275" s="20" t="s">
        <v>15</v>
      </c>
      <c r="E4275" s="12" t="str">
        <f>IFERROR(__xludf.DUMMYFUNCTION("FILTER(colegios!$B$2:$B5618,colegios!$A$2:$A5618=L4275)"),"50492 CORAZON DE JESUS")</f>
        <v>50492 CORAZON DE JESUS</v>
      </c>
      <c r="F4275" s="14" t="s">
        <v>16</v>
      </c>
      <c r="G4275" s="20" t="s">
        <v>17</v>
      </c>
      <c r="H4275" s="14" t="s">
        <v>18</v>
      </c>
      <c r="I4275" s="22">
        <v>2022.0</v>
      </c>
      <c r="J4275" s="16" t="str">
        <f>IFERROR(__xludf.DUMMYFUNCTION("FILTER('CLASFICACIÓN'!$F$3:$F5618,'CLASFICACIÓN'!$G$3:$G5618=M4275)"),"LOS 3 AÑOS")</f>
        <v>LOS 3 AÑOS</v>
      </c>
      <c r="K4275" s="16"/>
      <c r="L4275" s="14" t="s">
        <v>189</v>
      </c>
      <c r="M4275" s="16" t="str">
        <f t="shared" si="1"/>
        <v>50492 CORAZON DE JESUS2 Primaria</v>
      </c>
      <c r="N4275" s="23"/>
      <c r="O4275" s="17"/>
      <c r="P4275" s="17"/>
      <c r="Q4275" s="17"/>
      <c r="R4275" s="17"/>
      <c r="S4275" s="17"/>
      <c r="T4275" s="17"/>
    </row>
    <row r="4276">
      <c r="A4276" s="21">
        <v>404.0</v>
      </c>
      <c r="B4276" s="14" t="s">
        <v>90</v>
      </c>
      <c r="C4276" s="14" t="s">
        <v>14</v>
      </c>
      <c r="D4276" s="20" t="s">
        <v>15</v>
      </c>
      <c r="E4276" s="12" t="str">
        <f>IFERROR(__xludf.DUMMYFUNCTION("FILTER(colegios!$B$2:$B5618,colegios!$A$2:$A5618=L4276)"),"50492 CORAZON DE JESUS")</f>
        <v>50492 CORAZON DE JESUS</v>
      </c>
      <c r="F4276" s="14" t="s">
        <v>16</v>
      </c>
      <c r="G4276" s="20" t="s">
        <v>21</v>
      </c>
      <c r="H4276" s="14" t="s">
        <v>18</v>
      </c>
      <c r="I4276" s="22">
        <v>2022.0</v>
      </c>
      <c r="J4276" s="16" t="str">
        <f>IFERROR(__xludf.DUMMYFUNCTION("FILTER('CLASFICACIÓN'!$F$3:$F5618,'CLASFICACIÓN'!$G$3:$G5618=M4276)"),"LOS 3 AÑOS")</f>
        <v>LOS 3 AÑOS</v>
      </c>
      <c r="K4276" s="16"/>
      <c r="L4276" s="14" t="s">
        <v>189</v>
      </c>
      <c r="M4276" s="16" t="str">
        <f t="shared" si="1"/>
        <v>50492 CORAZON DE JESUS2 Primaria</v>
      </c>
      <c r="N4276" s="23"/>
      <c r="O4276" s="17"/>
      <c r="P4276" s="17"/>
      <c r="Q4276" s="17"/>
      <c r="R4276" s="17"/>
      <c r="S4276" s="17"/>
      <c r="T4276" s="17"/>
    </row>
    <row r="4277">
      <c r="A4277" s="21">
        <v>405.0</v>
      </c>
      <c r="B4277" s="14" t="s">
        <v>90</v>
      </c>
      <c r="C4277" s="14" t="s">
        <v>14</v>
      </c>
      <c r="D4277" s="20" t="s">
        <v>15</v>
      </c>
      <c r="E4277" s="12" t="str">
        <f>IFERROR(__xludf.DUMMYFUNCTION("FILTER(colegios!$B$2:$B5618,colegios!$A$2:$A5618=L4277)"),"50492 CORAZON DE JESUS")</f>
        <v>50492 CORAZON DE JESUS</v>
      </c>
      <c r="F4277" s="14" t="s">
        <v>16</v>
      </c>
      <c r="G4277" s="20" t="s">
        <v>21</v>
      </c>
      <c r="H4277" s="14" t="s">
        <v>18</v>
      </c>
      <c r="I4277" s="22">
        <v>2022.0</v>
      </c>
      <c r="J4277" s="16" t="str">
        <f>IFERROR(__xludf.DUMMYFUNCTION("FILTER('CLASFICACIÓN'!$F$3:$F5618,'CLASFICACIÓN'!$G$3:$G5618=M4277)"),"LOS 3 AÑOS")</f>
        <v>LOS 3 AÑOS</v>
      </c>
      <c r="K4277" s="16"/>
      <c r="L4277" s="14" t="s">
        <v>189</v>
      </c>
      <c r="M4277" s="16" t="str">
        <f t="shared" si="1"/>
        <v>50492 CORAZON DE JESUS2 Primaria</v>
      </c>
      <c r="N4277" s="23"/>
      <c r="O4277" s="17"/>
      <c r="P4277" s="17"/>
      <c r="Q4277" s="17"/>
      <c r="R4277" s="17"/>
      <c r="S4277" s="17"/>
      <c r="T4277" s="17"/>
    </row>
    <row r="4278">
      <c r="A4278" s="21">
        <v>406.0</v>
      </c>
      <c r="B4278" s="14" t="s">
        <v>90</v>
      </c>
      <c r="C4278" s="14" t="s">
        <v>14</v>
      </c>
      <c r="D4278" s="20" t="s">
        <v>15</v>
      </c>
      <c r="E4278" s="12" t="str">
        <f>IFERROR(__xludf.DUMMYFUNCTION("FILTER(colegios!$B$2:$B5618,colegios!$A$2:$A5618=L4278)"),"50492 CORAZON DE JESUS")</f>
        <v>50492 CORAZON DE JESUS</v>
      </c>
      <c r="F4278" s="14" t="s">
        <v>16</v>
      </c>
      <c r="G4278" s="20" t="s">
        <v>21</v>
      </c>
      <c r="H4278" s="14" t="s">
        <v>18</v>
      </c>
      <c r="I4278" s="22">
        <v>2022.0</v>
      </c>
      <c r="J4278" s="16" t="str">
        <f>IFERROR(__xludf.DUMMYFUNCTION("FILTER('CLASFICACIÓN'!$F$3:$F5618,'CLASFICACIÓN'!$G$3:$G5618=M4278)"),"LOS 3 AÑOS")</f>
        <v>LOS 3 AÑOS</v>
      </c>
      <c r="K4278" s="16"/>
      <c r="L4278" s="14" t="s">
        <v>189</v>
      </c>
      <c r="M4278" s="16" t="str">
        <f t="shared" si="1"/>
        <v>50492 CORAZON DE JESUS2 Primaria</v>
      </c>
      <c r="N4278" s="23"/>
      <c r="O4278" s="17"/>
      <c r="P4278" s="17"/>
      <c r="Q4278" s="17"/>
      <c r="R4278" s="17"/>
      <c r="S4278" s="17"/>
      <c r="T4278" s="17"/>
    </row>
    <row r="4279">
      <c r="A4279" s="21">
        <v>407.0</v>
      </c>
      <c r="B4279" s="14" t="s">
        <v>90</v>
      </c>
      <c r="C4279" s="14" t="s">
        <v>14</v>
      </c>
      <c r="D4279" s="20" t="s">
        <v>15</v>
      </c>
      <c r="E4279" s="12" t="str">
        <f>IFERROR(__xludf.DUMMYFUNCTION("FILTER(colegios!$B$2:$B5618,colegios!$A$2:$A5618=L4279)"),"50492 CORAZON DE JESUS")</f>
        <v>50492 CORAZON DE JESUS</v>
      </c>
      <c r="F4279" s="14" t="s">
        <v>16</v>
      </c>
      <c r="G4279" s="20" t="s">
        <v>17</v>
      </c>
      <c r="H4279" s="14" t="s">
        <v>18</v>
      </c>
      <c r="I4279" s="22">
        <v>2022.0</v>
      </c>
      <c r="J4279" s="16" t="str">
        <f>IFERROR(__xludf.DUMMYFUNCTION("FILTER('CLASFICACIÓN'!$F$3:$F5618,'CLASFICACIÓN'!$G$3:$G5618=M4279)"),"LOS 3 AÑOS")</f>
        <v>LOS 3 AÑOS</v>
      </c>
      <c r="K4279" s="16"/>
      <c r="L4279" s="14" t="s">
        <v>189</v>
      </c>
      <c r="M4279" s="16" t="str">
        <f t="shared" si="1"/>
        <v>50492 CORAZON DE JESUS2 Primaria</v>
      </c>
      <c r="N4279" s="23"/>
      <c r="O4279" s="17"/>
      <c r="P4279" s="17"/>
      <c r="Q4279" s="17"/>
      <c r="R4279" s="17"/>
      <c r="S4279" s="17"/>
      <c r="T4279" s="17"/>
    </row>
    <row r="4280">
      <c r="A4280" s="21">
        <v>408.0</v>
      </c>
      <c r="B4280" s="14" t="s">
        <v>90</v>
      </c>
      <c r="C4280" s="14" t="s">
        <v>14</v>
      </c>
      <c r="D4280" s="20" t="s">
        <v>15</v>
      </c>
      <c r="E4280" s="12" t="str">
        <f>IFERROR(__xludf.DUMMYFUNCTION("FILTER(colegios!$B$2:$B5618,colegios!$A$2:$A5618=L4280)"),"50492 CORAZON DE JESUS")</f>
        <v>50492 CORAZON DE JESUS</v>
      </c>
      <c r="F4280" s="14" t="s">
        <v>16</v>
      </c>
      <c r="G4280" s="20" t="s">
        <v>21</v>
      </c>
      <c r="H4280" s="14" t="s">
        <v>18</v>
      </c>
      <c r="I4280" s="22">
        <v>2022.0</v>
      </c>
      <c r="J4280" s="16" t="str">
        <f>IFERROR(__xludf.DUMMYFUNCTION("FILTER('CLASFICACIÓN'!$F$3:$F5618,'CLASFICACIÓN'!$G$3:$G5618=M4280)"),"LOS 3 AÑOS")</f>
        <v>LOS 3 AÑOS</v>
      </c>
      <c r="K4280" s="16"/>
      <c r="L4280" s="14" t="s">
        <v>189</v>
      </c>
      <c r="M4280" s="16" t="str">
        <f t="shared" si="1"/>
        <v>50492 CORAZON DE JESUS2 Primaria</v>
      </c>
      <c r="N4280" s="23"/>
      <c r="O4280" s="17"/>
      <c r="P4280" s="17"/>
      <c r="Q4280" s="17"/>
      <c r="R4280" s="17"/>
      <c r="S4280" s="17"/>
      <c r="T4280" s="17"/>
    </row>
    <row r="4281">
      <c r="A4281" s="21">
        <v>409.0</v>
      </c>
      <c r="B4281" s="14" t="s">
        <v>90</v>
      </c>
      <c r="C4281" s="14" t="s">
        <v>14</v>
      </c>
      <c r="D4281" s="20" t="s">
        <v>15</v>
      </c>
      <c r="E4281" s="12" t="str">
        <f>IFERROR(__xludf.DUMMYFUNCTION("FILTER(colegios!$B$2:$B5618,colegios!$A$2:$A5618=L4281)"),"50492 CORAZON DE JESUS")</f>
        <v>50492 CORAZON DE JESUS</v>
      </c>
      <c r="F4281" s="14" t="s">
        <v>16</v>
      </c>
      <c r="G4281" s="20" t="s">
        <v>17</v>
      </c>
      <c r="H4281" s="14" t="s">
        <v>18</v>
      </c>
      <c r="I4281" s="22">
        <v>2022.0</v>
      </c>
      <c r="J4281" s="16" t="str">
        <f>IFERROR(__xludf.DUMMYFUNCTION("FILTER('CLASFICACIÓN'!$F$3:$F5618,'CLASFICACIÓN'!$G$3:$G5618=M4281)"),"LOS 3 AÑOS")</f>
        <v>LOS 3 AÑOS</v>
      </c>
      <c r="K4281" s="16"/>
      <c r="L4281" s="14" t="s">
        <v>189</v>
      </c>
      <c r="M4281" s="16" t="str">
        <f t="shared" si="1"/>
        <v>50492 CORAZON DE JESUS2 Primaria</v>
      </c>
      <c r="N4281" s="23"/>
      <c r="O4281" s="17"/>
      <c r="P4281" s="17"/>
      <c r="Q4281" s="17"/>
      <c r="R4281" s="17"/>
      <c r="S4281" s="17"/>
      <c r="T4281" s="17"/>
    </row>
    <row r="4282">
      <c r="A4282" s="21">
        <v>410.0</v>
      </c>
      <c r="B4282" s="14" t="s">
        <v>90</v>
      </c>
      <c r="C4282" s="14" t="s">
        <v>14</v>
      </c>
      <c r="D4282" s="20" t="s">
        <v>15</v>
      </c>
      <c r="E4282" s="12" t="str">
        <f>IFERROR(__xludf.DUMMYFUNCTION("FILTER(colegios!$B$2:$B5618,colegios!$A$2:$A5618=L4282)"),"50492 CORAZON DE JESUS")</f>
        <v>50492 CORAZON DE JESUS</v>
      </c>
      <c r="F4282" s="14" t="s">
        <v>16</v>
      </c>
      <c r="G4282" s="20" t="s">
        <v>21</v>
      </c>
      <c r="H4282" s="14" t="s">
        <v>18</v>
      </c>
      <c r="I4282" s="22">
        <v>2022.0</v>
      </c>
      <c r="J4282" s="16" t="str">
        <f>IFERROR(__xludf.DUMMYFUNCTION("FILTER('CLASFICACIÓN'!$F$3:$F5618,'CLASFICACIÓN'!$G$3:$G5618=M4282)"),"LOS 3 AÑOS")</f>
        <v>LOS 3 AÑOS</v>
      </c>
      <c r="K4282" s="16"/>
      <c r="L4282" s="14" t="s">
        <v>189</v>
      </c>
      <c r="M4282" s="16" t="str">
        <f t="shared" si="1"/>
        <v>50492 CORAZON DE JESUS2 Primaria</v>
      </c>
      <c r="N4282" s="23"/>
      <c r="O4282" s="17"/>
      <c r="P4282" s="17"/>
      <c r="Q4282" s="17"/>
      <c r="R4282" s="17"/>
      <c r="S4282" s="17"/>
      <c r="T4282" s="17"/>
    </row>
    <row r="4283">
      <c r="A4283" s="21">
        <v>411.0</v>
      </c>
      <c r="B4283" s="14" t="s">
        <v>90</v>
      </c>
      <c r="C4283" s="14" t="s">
        <v>14</v>
      </c>
      <c r="D4283" s="20" t="s">
        <v>15</v>
      </c>
      <c r="E4283" s="12" t="str">
        <f>IFERROR(__xludf.DUMMYFUNCTION("FILTER(colegios!$B$2:$B5618,colegios!$A$2:$A5618=L4283)"),"50492 CORAZON DE JESUS")</f>
        <v>50492 CORAZON DE JESUS</v>
      </c>
      <c r="F4283" s="14" t="s">
        <v>16</v>
      </c>
      <c r="G4283" s="20" t="s">
        <v>21</v>
      </c>
      <c r="H4283" s="14" t="s">
        <v>18</v>
      </c>
      <c r="I4283" s="22">
        <v>2022.0</v>
      </c>
      <c r="J4283" s="16" t="str">
        <f>IFERROR(__xludf.DUMMYFUNCTION("FILTER('CLASFICACIÓN'!$F$3:$F5618,'CLASFICACIÓN'!$G$3:$G5618=M4283)"),"LOS 3 AÑOS")</f>
        <v>LOS 3 AÑOS</v>
      </c>
      <c r="K4283" s="16"/>
      <c r="L4283" s="14" t="s">
        <v>189</v>
      </c>
      <c r="M4283" s="16" t="str">
        <f t="shared" si="1"/>
        <v>50492 CORAZON DE JESUS2 Primaria</v>
      </c>
      <c r="N4283" s="23"/>
      <c r="O4283" s="17"/>
      <c r="P4283" s="17"/>
      <c r="Q4283" s="17"/>
      <c r="R4283" s="17"/>
      <c r="S4283" s="17"/>
      <c r="T4283" s="17"/>
    </row>
    <row r="4284">
      <c r="A4284" s="21">
        <v>412.0</v>
      </c>
      <c r="B4284" s="14" t="s">
        <v>90</v>
      </c>
      <c r="C4284" s="14" t="s">
        <v>14</v>
      </c>
      <c r="D4284" s="20" t="s">
        <v>15</v>
      </c>
      <c r="E4284" s="12" t="str">
        <f>IFERROR(__xludf.DUMMYFUNCTION("FILTER(colegios!$B$2:$B5618,colegios!$A$2:$A5618=L4284)"),"50492 CORAZON DE JESUS")</f>
        <v>50492 CORAZON DE JESUS</v>
      </c>
      <c r="F4284" s="14" t="s">
        <v>16</v>
      </c>
      <c r="G4284" s="20" t="s">
        <v>17</v>
      </c>
      <c r="H4284" s="14" t="s">
        <v>18</v>
      </c>
      <c r="I4284" s="22">
        <v>2022.0</v>
      </c>
      <c r="J4284" s="16" t="str">
        <f>IFERROR(__xludf.DUMMYFUNCTION("FILTER('CLASFICACIÓN'!$F$3:$F5618,'CLASFICACIÓN'!$G$3:$G5618=M4284)"),"LOS 3 AÑOS")</f>
        <v>LOS 3 AÑOS</v>
      </c>
      <c r="K4284" s="16"/>
      <c r="L4284" s="14" t="s">
        <v>189</v>
      </c>
      <c r="M4284" s="16" t="str">
        <f t="shared" si="1"/>
        <v>50492 CORAZON DE JESUS2 Primaria</v>
      </c>
      <c r="N4284" s="23"/>
      <c r="O4284" s="17"/>
      <c r="P4284" s="17"/>
      <c r="Q4284" s="17"/>
      <c r="R4284" s="17"/>
      <c r="S4284" s="17"/>
      <c r="T4284" s="17"/>
    </row>
    <row r="4285">
      <c r="A4285" s="21">
        <v>413.0</v>
      </c>
      <c r="B4285" s="14" t="s">
        <v>90</v>
      </c>
      <c r="C4285" s="14" t="s">
        <v>14</v>
      </c>
      <c r="D4285" s="20" t="s">
        <v>15</v>
      </c>
      <c r="E4285" s="12" t="str">
        <f>IFERROR(__xludf.DUMMYFUNCTION("FILTER(colegios!$B$2:$B5618,colegios!$A$2:$A5618=L4285)"),"50492 CORAZON DE JESUS")</f>
        <v>50492 CORAZON DE JESUS</v>
      </c>
      <c r="F4285" s="14" t="s">
        <v>16</v>
      </c>
      <c r="G4285" s="20" t="s">
        <v>21</v>
      </c>
      <c r="H4285" s="14" t="s">
        <v>18</v>
      </c>
      <c r="I4285" s="22">
        <v>2022.0</v>
      </c>
      <c r="J4285" s="16" t="str">
        <f>IFERROR(__xludf.DUMMYFUNCTION("FILTER('CLASFICACIÓN'!$F$3:$F5618,'CLASFICACIÓN'!$G$3:$G5618=M4285)"),"LOS 3 AÑOS")</f>
        <v>LOS 3 AÑOS</v>
      </c>
      <c r="K4285" s="16"/>
      <c r="L4285" s="14" t="s">
        <v>189</v>
      </c>
      <c r="M4285" s="16" t="str">
        <f t="shared" si="1"/>
        <v>50492 CORAZON DE JESUS2 Primaria</v>
      </c>
      <c r="N4285" s="23"/>
      <c r="O4285" s="17"/>
      <c r="P4285" s="17"/>
      <c r="Q4285" s="17"/>
      <c r="R4285" s="17"/>
      <c r="S4285" s="17"/>
      <c r="T4285" s="17"/>
    </row>
    <row r="4286">
      <c r="A4286" s="21">
        <v>414.0</v>
      </c>
      <c r="B4286" s="14" t="s">
        <v>90</v>
      </c>
      <c r="C4286" s="14" t="s">
        <v>14</v>
      </c>
      <c r="D4286" s="20" t="s">
        <v>15</v>
      </c>
      <c r="E4286" s="12" t="str">
        <f>IFERROR(__xludf.DUMMYFUNCTION("FILTER(colegios!$B$2:$B5618,colegios!$A$2:$A5618=L4286)"),"50492 CORAZON DE JESUS")</f>
        <v>50492 CORAZON DE JESUS</v>
      </c>
      <c r="F4286" s="14" t="s">
        <v>16</v>
      </c>
      <c r="G4286" s="20" t="s">
        <v>21</v>
      </c>
      <c r="H4286" s="14" t="s">
        <v>18</v>
      </c>
      <c r="I4286" s="22">
        <v>2022.0</v>
      </c>
      <c r="J4286" s="16" t="str">
        <f>IFERROR(__xludf.DUMMYFUNCTION("FILTER('CLASFICACIÓN'!$F$3:$F5618,'CLASFICACIÓN'!$G$3:$G5618=M4286)"),"LOS 3 AÑOS")</f>
        <v>LOS 3 AÑOS</v>
      </c>
      <c r="K4286" s="16"/>
      <c r="L4286" s="14" t="s">
        <v>189</v>
      </c>
      <c r="M4286" s="16" t="str">
        <f t="shared" si="1"/>
        <v>50492 CORAZON DE JESUS2 Primaria</v>
      </c>
      <c r="N4286" s="23"/>
      <c r="O4286" s="17"/>
      <c r="P4286" s="17"/>
      <c r="Q4286" s="17"/>
      <c r="R4286" s="17"/>
      <c r="S4286" s="17"/>
      <c r="T4286" s="17"/>
    </row>
    <row r="4287">
      <c r="A4287" s="21">
        <v>415.0</v>
      </c>
      <c r="B4287" s="14" t="s">
        <v>90</v>
      </c>
      <c r="C4287" s="14" t="s">
        <v>14</v>
      </c>
      <c r="D4287" s="20" t="s">
        <v>15</v>
      </c>
      <c r="E4287" s="12" t="str">
        <f>IFERROR(__xludf.DUMMYFUNCTION("FILTER(colegios!$B$2:$B5618,colegios!$A$2:$A5618=L4287)"),"50492 CORAZON DE JESUS")</f>
        <v>50492 CORAZON DE JESUS</v>
      </c>
      <c r="F4287" s="14" t="s">
        <v>16</v>
      </c>
      <c r="G4287" s="20" t="s">
        <v>21</v>
      </c>
      <c r="H4287" s="14" t="s">
        <v>18</v>
      </c>
      <c r="I4287" s="22">
        <v>2022.0</v>
      </c>
      <c r="J4287" s="16" t="str">
        <f>IFERROR(__xludf.DUMMYFUNCTION("FILTER('CLASFICACIÓN'!$F$3:$F5618,'CLASFICACIÓN'!$G$3:$G5618=M4287)"),"LOS 3 AÑOS")</f>
        <v>LOS 3 AÑOS</v>
      </c>
      <c r="K4287" s="16"/>
      <c r="L4287" s="14" t="s">
        <v>189</v>
      </c>
      <c r="M4287" s="16" t="str">
        <f t="shared" si="1"/>
        <v>50492 CORAZON DE JESUS2 Primaria</v>
      </c>
      <c r="N4287" s="23"/>
      <c r="O4287" s="17"/>
      <c r="P4287" s="17"/>
      <c r="Q4287" s="17"/>
      <c r="R4287" s="17"/>
      <c r="S4287" s="17"/>
      <c r="T4287" s="17"/>
    </row>
    <row r="4288">
      <c r="A4288" s="21">
        <v>416.0</v>
      </c>
      <c r="B4288" s="14" t="s">
        <v>90</v>
      </c>
      <c r="C4288" s="14" t="s">
        <v>14</v>
      </c>
      <c r="D4288" s="20" t="s">
        <v>15</v>
      </c>
      <c r="E4288" s="12" t="str">
        <f>IFERROR(__xludf.DUMMYFUNCTION("FILTER(colegios!$B$2:$B5618,colegios!$A$2:$A5618=L4288)"),"50492 CORAZON DE JESUS")</f>
        <v>50492 CORAZON DE JESUS</v>
      </c>
      <c r="F4288" s="14" t="s">
        <v>16</v>
      </c>
      <c r="G4288" s="20" t="s">
        <v>21</v>
      </c>
      <c r="H4288" s="14" t="s">
        <v>18</v>
      </c>
      <c r="I4288" s="22">
        <v>2022.0</v>
      </c>
      <c r="J4288" s="16" t="str">
        <f>IFERROR(__xludf.DUMMYFUNCTION("FILTER('CLASFICACIÓN'!$F$3:$F5618,'CLASFICACIÓN'!$G$3:$G5618=M4288)"),"LOS 3 AÑOS")</f>
        <v>LOS 3 AÑOS</v>
      </c>
      <c r="K4288" s="16"/>
      <c r="L4288" s="14" t="s">
        <v>189</v>
      </c>
      <c r="M4288" s="16" t="str">
        <f t="shared" si="1"/>
        <v>50492 CORAZON DE JESUS2 Primaria</v>
      </c>
      <c r="N4288" s="23"/>
      <c r="O4288" s="17"/>
      <c r="P4288" s="17"/>
      <c r="Q4288" s="17"/>
      <c r="R4288" s="17"/>
      <c r="S4288" s="17"/>
      <c r="T4288" s="17"/>
    </row>
    <row r="4289">
      <c r="A4289" s="21">
        <v>417.0</v>
      </c>
      <c r="B4289" s="14" t="s">
        <v>90</v>
      </c>
      <c r="C4289" s="14" t="s">
        <v>14</v>
      </c>
      <c r="D4289" s="20" t="s">
        <v>15</v>
      </c>
      <c r="E4289" s="12" t="str">
        <f>IFERROR(__xludf.DUMMYFUNCTION("FILTER(colegios!$B$2:$B5618,colegios!$A$2:$A5618=L4289)"),"50492 CORAZON DE JESUS")</f>
        <v>50492 CORAZON DE JESUS</v>
      </c>
      <c r="F4289" s="14" t="s">
        <v>16</v>
      </c>
      <c r="G4289" s="20" t="s">
        <v>17</v>
      </c>
      <c r="H4289" s="14" t="s">
        <v>18</v>
      </c>
      <c r="I4289" s="22">
        <v>2022.0</v>
      </c>
      <c r="J4289" s="16" t="str">
        <f>IFERROR(__xludf.DUMMYFUNCTION("FILTER('CLASFICACIÓN'!$F$3:$F5618,'CLASFICACIÓN'!$G$3:$G5618=M4289)"),"LOS 3 AÑOS")</f>
        <v>LOS 3 AÑOS</v>
      </c>
      <c r="K4289" s="16"/>
      <c r="L4289" s="14" t="s">
        <v>189</v>
      </c>
      <c r="M4289" s="16" t="str">
        <f t="shared" si="1"/>
        <v>50492 CORAZON DE JESUS2 Primaria</v>
      </c>
      <c r="N4289" s="23"/>
      <c r="O4289" s="17"/>
      <c r="P4289" s="17"/>
      <c r="Q4289" s="17"/>
      <c r="R4289" s="17"/>
      <c r="S4289" s="17"/>
      <c r="T4289" s="17"/>
    </row>
    <row r="4290">
      <c r="A4290" s="21">
        <v>418.0</v>
      </c>
      <c r="B4290" s="14" t="s">
        <v>90</v>
      </c>
      <c r="C4290" s="14" t="s">
        <v>14</v>
      </c>
      <c r="D4290" s="20" t="s">
        <v>15</v>
      </c>
      <c r="E4290" s="12" t="str">
        <f>IFERROR(__xludf.DUMMYFUNCTION("FILTER(colegios!$B$2:$B5618,colegios!$A$2:$A5618=L4290)"),"50492 CORAZON DE JESUS")</f>
        <v>50492 CORAZON DE JESUS</v>
      </c>
      <c r="F4290" s="14" t="s">
        <v>16</v>
      </c>
      <c r="G4290" s="20" t="s">
        <v>21</v>
      </c>
      <c r="H4290" s="14" t="s">
        <v>18</v>
      </c>
      <c r="I4290" s="22">
        <v>2022.0</v>
      </c>
      <c r="J4290" s="16" t="str">
        <f>IFERROR(__xludf.DUMMYFUNCTION("FILTER('CLASFICACIÓN'!$F$3:$F5618,'CLASFICACIÓN'!$G$3:$G5618=M4290)"),"LOS 3 AÑOS")</f>
        <v>LOS 3 AÑOS</v>
      </c>
      <c r="K4290" s="16"/>
      <c r="L4290" s="14" t="s">
        <v>189</v>
      </c>
      <c r="M4290" s="16" t="str">
        <f t="shared" si="1"/>
        <v>50492 CORAZON DE JESUS2 Primaria</v>
      </c>
      <c r="N4290" s="23"/>
      <c r="O4290" s="17"/>
      <c r="P4290" s="17"/>
      <c r="Q4290" s="17"/>
      <c r="R4290" s="17"/>
      <c r="S4290" s="17"/>
      <c r="T4290" s="17"/>
    </row>
    <row r="4291">
      <c r="A4291" s="21">
        <v>419.0</v>
      </c>
      <c r="B4291" s="14" t="s">
        <v>90</v>
      </c>
      <c r="C4291" s="14" t="s">
        <v>14</v>
      </c>
      <c r="D4291" s="20" t="s">
        <v>15</v>
      </c>
      <c r="E4291" s="12" t="str">
        <f>IFERROR(__xludf.DUMMYFUNCTION("FILTER(colegios!$B$2:$B5618,colegios!$A$2:$A5618=L4291)"),"50492 CORAZON DE JESUS")</f>
        <v>50492 CORAZON DE JESUS</v>
      </c>
      <c r="F4291" s="14" t="s">
        <v>16</v>
      </c>
      <c r="G4291" s="20" t="s">
        <v>17</v>
      </c>
      <c r="H4291" s="14" t="s">
        <v>18</v>
      </c>
      <c r="I4291" s="22">
        <v>2022.0</v>
      </c>
      <c r="J4291" s="16" t="str">
        <f>IFERROR(__xludf.DUMMYFUNCTION("FILTER('CLASFICACIÓN'!$F$3:$F5618,'CLASFICACIÓN'!$G$3:$G5618=M4291)"),"LOS 3 AÑOS")</f>
        <v>LOS 3 AÑOS</v>
      </c>
      <c r="K4291" s="16"/>
      <c r="L4291" s="14" t="s">
        <v>189</v>
      </c>
      <c r="M4291" s="16" t="str">
        <f t="shared" si="1"/>
        <v>50492 CORAZON DE JESUS2 Primaria</v>
      </c>
      <c r="N4291" s="23"/>
      <c r="O4291" s="17"/>
      <c r="P4291" s="17"/>
      <c r="Q4291" s="17"/>
      <c r="R4291" s="17"/>
      <c r="S4291" s="17"/>
      <c r="T4291" s="17"/>
    </row>
    <row r="4292">
      <c r="A4292" s="21">
        <v>420.0</v>
      </c>
      <c r="B4292" s="14" t="s">
        <v>90</v>
      </c>
      <c r="C4292" s="14" t="s">
        <v>14</v>
      </c>
      <c r="D4292" s="20" t="s">
        <v>15</v>
      </c>
      <c r="E4292" s="12" t="str">
        <f>IFERROR(__xludf.DUMMYFUNCTION("FILTER(colegios!$B$2:$B5618,colegios!$A$2:$A5618=L4292)"),"50492 CORAZON DE JESUS")</f>
        <v>50492 CORAZON DE JESUS</v>
      </c>
      <c r="F4292" s="14" t="s">
        <v>16</v>
      </c>
      <c r="G4292" s="20" t="s">
        <v>17</v>
      </c>
      <c r="H4292" s="14" t="s">
        <v>18</v>
      </c>
      <c r="I4292" s="22">
        <v>2022.0</v>
      </c>
      <c r="J4292" s="16" t="str">
        <f>IFERROR(__xludf.DUMMYFUNCTION("FILTER('CLASFICACIÓN'!$F$3:$F5618,'CLASFICACIÓN'!$G$3:$G5618=M4292)"),"LOS 3 AÑOS")</f>
        <v>LOS 3 AÑOS</v>
      </c>
      <c r="K4292" s="16"/>
      <c r="L4292" s="14" t="s">
        <v>189</v>
      </c>
      <c r="M4292" s="16" t="str">
        <f t="shared" si="1"/>
        <v>50492 CORAZON DE JESUS2 Primaria</v>
      </c>
      <c r="N4292" s="23"/>
      <c r="O4292" s="17"/>
      <c r="P4292" s="17"/>
      <c r="Q4292" s="17"/>
      <c r="R4292" s="17"/>
      <c r="S4292" s="17"/>
      <c r="T4292" s="17"/>
    </row>
    <row r="4293">
      <c r="A4293" s="21">
        <v>421.0</v>
      </c>
      <c r="B4293" s="14" t="s">
        <v>90</v>
      </c>
      <c r="C4293" s="14" t="s">
        <v>14</v>
      </c>
      <c r="D4293" s="20" t="s">
        <v>15</v>
      </c>
      <c r="E4293" s="12" t="str">
        <f>IFERROR(__xludf.DUMMYFUNCTION("FILTER(colegios!$B$2:$B5618,colegios!$A$2:$A5618=L4293)"),"50492 CORAZON DE JESUS")</f>
        <v>50492 CORAZON DE JESUS</v>
      </c>
      <c r="F4293" s="14" t="s">
        <v>16</v>
      </c>
      <c r="G4293" s="20" t="s">
        <v>17</v>
      </c>
      <c r="H4293" s="14" t="s">
        <v>18</v>
      </c>
      <c r="I4293" s="22">
        <v>2022.0</v>
      </c>
      <c r="J4293" s="16" t="str">
        <f>IFERROR(__xludf.DUMMYFUNCTION("FILTER('CLASFICACIÓN'!$F$3:$F5618,'CLASFICACIÓN'!$G$3:$G5618=M4293)"),"LOS 3 AÑOS")</f>
        <v>LOS 3 AÑOS</v>
      </c>
      <c r="K4293" s="16"/>
      <c r="L4293" s="14" t="s">
        <v>189</v>
      </c>
      <c r="M4293" s="16" t="str">
        <f t="shared" si="1"/>
        <v>50492 CORAZON DE JESUS2 Primaria</v>
      </c>
      <c r="N4293" s="23"/>
      <c r="O4293" s="17"/>
      <c r="P4293" s="17"/>
      <c r="Q4293" s="17"/>
      <c r="R4293" s="17"/>
      <c r="S4293" s="17"/>
      <c r="T4293" s="17"/>
    </row>
    <row r="4294">
      <c r="A4294" s="21">
        <v>422.0</v>
      </c>
      <c r="B4294" s="14" t="s">
        <v>90</v>
      </c>
      <c r="C4294" s="14" t="s">
        <v>14</v>
      </c>
      <c r="D4294" s="20" t="s">
        <v>15</v>
      </c>
      <c r="E4294" s="12" t="str">
        <f>IFERROR(__xludf.DUMMYFUNCTION("FILTER(colegios!$B$2:$B5618,colegios!$A$2:$A5618=L4294)"),"50492 CORAZON DE JESUS")</f>
        <v>50492 CORAZON DE JESUS</v>
      </c>
      <c r="F4294" s="14" t="s">
        <v>16</v>
      </c>
      <c r="G4294" s="20" t="s">
        <v>21</v>
      </c>
      <c r="H4294" s="14" t="s">
        <v>18</v>
      </c>
      <c r="I4294" s="22">
        <v>2022.0</v>
      </c>
      <c r="J4294" s="16" t="str">
        <f>IFERROR(__xludf.DUMMYFUNCTION("FILTER('CLASFICACIÓN'!$F$3:$F5618,'CLASFICACIÓN'!$G$3:$G5618=M4294)"),"LOS 3 AÑOS")</f>
        <v>LOS 3 AÑOS</v>
      </c>
      <c r="K4294" s="16"/>
      <c r="L4294" s="14" t="s">
        <v>189</v>
      </c>
      <c r="M4294" s="16" t="str">
        <f t="shared" si="1"/>
        <v>50492 CORAZON DE JESUS2 Primaria</v>
      </c>
      <c r="N4294" s="23"/>
      <c r="O4294" s="17"/>
      <c r="P4294" s="17"/>
      <c r="Q4294" s="17"/>
      <c r="R4294" s="17"/>
      <c r="S4294" s="17"/>
      <c r="T4294" s="17"/>
    </row>
    <row r="4295">
      <c r="A4295" s="21">
        <v>423.0</v>
      </c>
      <c r="B4295" s="14" t="s">
        <v>90</v>
      </c>
      <c r="C4295" s="14" t="s">
        <v>14</v>
      </c>
      <c r="D4295" s="20" t="s">
        <v>15</v>
      </c>
      <c r="E4295" s="12" t="str">
        <f>IFERROR(__xludf.DUMMYFUNCTION("FILTER(colegios!$B$2:$B5618,colegios!$A$2:$A5618=L4295)"),"50492 CORAZON DE JESUS")</f>
        <v>50492 CORAZON DE JESUS</v>
      </c>
      <c r="F4295" s="14" t="s">
        <v>16</v>
      </c>
      <c r="G4295" s="20" t="s">
        <v>21</v>
      </c>
      <c r="H4295" s="14" t="s">
        <v>18</v>
      </c>
      <c r="I4295" s="22">
        <v>2022.0</v>
      </c>
      <c r="J4295" s="16" t="str">
        <f>IFERROR(__xludf.DUMMYFUNCTION("FILTER('CLASFICACIÓN'!$F$3:$F5618,'CLASFICACIÓN'!$G$3:$G5618=M4295)"),"LOS 3 AÑOS")</f>
        <v>LOS 3 AÑOS</v>
      </c>
      <c r="K4295" s="16"/>
      <c r="L4295" s="14" t="s">
        <v>189</v>
      </c>
      <c r="M4295" s="16" t="str">
        <f t="shared" si="1"/>
        <v>50492 CORAZON DE JESUS2 Primaria</v>
      </c>
      <c r="N4295" s="23"/>
      <c r="O4295" s="17"/>
      <c r="P4295" s="17"/>
      <c r="Q4295" s="17"/>
      <c r="R4295" s="17"/>
      <c r="S4295" s="17"/>
      <c r="T4295" s="17"/>
    </row>
    <row r="4296">
      <c r="A4296" s="21">
        <v>424.0</v>
      </c>
      <c r="B4296" s="14" t="s">
        <v>90</v>
      </c>
      <c r="C4296" s="14" t="s">
        <v>14</v>
      </c>
      <c r="D4296" s="20" t="s">
        <v>15</v>
      </c>
      <c r="E4296" s="12" t="str">
        <f>IFERROR(__xludf.DUMMYFUNCTION("FILTER(colegios!$B$2:$B5618,colegios!$A$2:$A5618=L4296)"),"50492 CORAZON DE JESUS")</f>
        <v>50492 CORAZON DE JESUS</v>
      </c>
      <c r="F4296" s="14" t="s">
        <v>16</v>
      </c>
      <c r="G4296" s="20" t="s">
        <v>17</v>
      </c>
      <c r="H4296" s="14" t="s">
        <v>18</v>
      </c>
      <c r="I4296" s="22">
        <v>2022.0</v>
      </c>
      <c r="J4296" s="16" t="str">
        <f>IFERROR(__xludf.DUMMYFUNCTION("FILTER('CLASFICACIÓN'!$F$3:$F5618,'CLASFICACIÓN'!$G$3:$G5618=M4296)"),"LOS 3 AÑOS")</f>
        <v>LOS 3 AÑOS</v>
      </c>
      <c r="K4296" s="16"/>
      <c r="L4296" s="14" t="s">
        <v>189</v>
      </c>
      <c r="M4296" s="16" t="str">
        <f t="shared" si="1"/>
        <v>50492 CORAZON DE JESUS2 Primaria</v>
      </c>
      <c r="N4296" s="23"/>
      <c r="O4296" s="17"/>
      <c r="P4296" s="17"/>
      <c r="Q4296" s="17"/>
      <c r="R4296" s="17"/>
      <c r="S4296" s="17"/>
      <c r="T4296" s="17"/>
    </row>
    <row r="4297">
      <c r="A4297" s="21">
        <v>425.0</v>
      </c>
      <c r="B4297" s="14" t="s">
        <v>90</v>
      </c>
      <c r="C4297" s="14" t="s">
        <v>14</v>
      </c>
      <c r="D4297" s="20" t="s">
        <v>15</v>
      </c>
      <c r="E4297" s="12" t="str">
        <f>IFERROR(__xludf.DUMMYFUNCTION("FILTER(colegios!$B$2:$B5618,colegios!$A$2:$A5618=L4297)"),"50492 CORAZON DE JESUS")</f>
        <v>50492 CORAZON DE JESUS</v>
      </c>
      <c r="F4297" s="14" t="s">
        <v>16</v>
      </c>
      <c r="G4297" s="20" t="s">
        <v>21</v>
      </c>
      <c r="H4297" s="14" t="s">
        <v>18</v>
      </c>
      <c r="I4297" s="22">
        <v>2022.0</v>
      </c>
      <c r="J4297" s="16" t="str">
        <f>IFERROR(__xludf.DUMMYFUNCTION("FILTER('CLASFICACIÓN'!$F$3:$F5618,'CLASFICACIÓN'!$G$3:$G5618=M4297)"),"LOS 3 AÑOS")</f>
        <v>LOS 3 AÑOS</v>
      </c>
      <c r="K4297" s="16"/>
      <c r="L4297" s="14" t="s">
        <v>189</v>
      </c>
      <c r="M4297" s="16" t="str">
        <f t="shared" si="1"/>
        <v>50492 CORAZON DE JESUS2 Primaria</v>
      </c>
      <c r="N4297" s="23"/>
      <c r="O4297" s="17"/>
      <c r="P4297" s="17"/>
      <c r="Q4297" s="17"/>
      <c r="R4297" s="17"/>
      <c r="S4297" s="17"/>
      <c r="T4297" s="17"/>
    </row>
    <row r="4298">
      <c r="A4298" s="21">
        <v>426.0</v>
      </c>
      <c r="B4298" s="14" t="s">
        <v>90</v>
      </c>
      <c r="C4298" s="14" t="s">
        <v>14</v>
      </c>
      <c r="D4298" s="20" t="s">
        <v>15</v>
      </c>
      <c r="E4298" s="12" t="str">
        <f>IFERROR(__xludf.DUMMYFUNCTION("FILTER(colegios!$B$2:$B5618,colegios!$A$2:$A5618=L4298)"),"50492 CORAZON DE JESUS")</f>
        <v>50492 CORAZON DE JESUS</v>
      </c>
      <c r="F4298" s="14" t="s">
        <v>16</v>
      </c>
      <c r="G4298" s="20" t="s">
        <v>17</v>
      </c>
      <c r="H4298" s="14" t="s">
        <v>18</v>
      </c>
      <c r="I4298" s="22">
        <v>2022.0</v>
      </c>
      <c r="J4298" s="16" t="str">
        <f>IFERROR(__xludf.DUMMYFUNCTION("FILTER('CLASFICACIÓN'!$F$3:$F5618,'CLASFICACIÓN'!$G$3:$G5618=M4298)"),"LOS 3 AÑOS")</f>
        <v>LOS 3 AÑOS</v>
      </c>
      <c r="K4298" s="16"/>
      <c r="L4298" s="14" t="s">
        <v>189</v>
      </c>
      <c r="M4298" s="16" t="str">
        <f t="shared" si="1"/>
        <v>50492 CORAZON DE JESUS2 Primaria</v>
      </c>
      <c r="N4298" s="23"/>
      <c r="O4298" s="17"/>
      <c r="P4298" s="17"/>
      <c r="Q4298" s="17"/>
      <c r="R4298" s="17"/>
      <c r="S4298" s="17"/>
      <c r="T4298" s="17"/>
    </row>
    <row r="4299">
      <c r="A4299" s="21">
        <v>427.0</v>
      </c>
      <c r="B4299" s="14" t="s">
        <v>90</v>
      </c>
      <c r="C4299" s="14" t="s">
        <v>14</v>
      </c>
      <c r="D4299" s="20" t="s">
        <v>15</v>
      </c>
      <c r="E4299" s="12" t="str">
        <f>IFERROR(__xludf.DUMMYFUNCTION("FILTER(colegios!$B$2:$B5618,colegios!$A$2:$A5618=L4299)"),"50492 CORAZON DE JESUS")</f>
        <v>50492 CORAZON DE JESUS</v>
      </c>
      <c r="F4299" s="14" t="s">
        <v>16</v>
      </c>
      <c r="G4299" s="20" t="s">
        <v>17</v>
      </c>
      <c r="H4299" s="14" t="s">
        <v>18</v>
      </c>
      <c r="I4299" s="22">
        <v>2022.0</v>
      </c>
      <c r="J4299" s="16" t="str">
        <f>IFERROR(__xludf.DUMMYFUNCTION("FILTER('CLASFICACIÓN'!$F$3:$F5618,'CLASFICACIÓN'!$G$3:$G5618=M4299)"),"LOS 3 AÑOS")</f>
        <v>LOS 3 AÑOS</v>
      </c>
      <c r="K4299" s="16"/>
      <c r="L4299" s="14" t="s">
        <v>189</v>
      </c>
      <c r="M4299" s="16" t="str">
        <f t="shared" si="1"/>
        <v>50492 CORAZON DE JESUS2 Primaria</v>
      </c>
      <c r="N4299" s="23"/>
      <c r="O4299" s="17"/>
      <c r="P4299" s="17"/>
      <c r="Q4299" s="17"/>
      <c r="R4299" s="17"/>
      <c r="S4299" s="17"/>
      <c r="T4299" s="17"/>
    </row>
    <row r="4300">
      <c r="A4300" s="21">
        <v>428.0</v>
      </c>
      <c r="B4300" s="14" t="s">
        <v>90</v>
      </c>
      <c r="C4300" s="14" t="s">
        <v>14</v>
      </c>
      <c r="D4300" s="20" t="s">
        <v>15</v>
      </c>
      <c r="E4300" s="12" t="str">
        <f>IFERROR(__xludf.DUMMYFUNCTION("FILTER(colegios!$B$2:$B5618,colegios!$A$2:$A5618=L4300)"),"50492 CORAZON DE JESUS")</f>
        <v>50492 CORAZON DE JESUS</v>
      </c>
      <c r="F4300" s="14" t="s">
        <v>16</v>
      </c>
      <c r="G4300" s="20" t="s">
        <v>17</v>
      </c>
      <c r="H4300" s="14" t="s">
        <v>18</v>
      </c>
      <c r="I4300" s="22">
        <v>2022.0</v>
      </c>
      <c r="J4300" s="16" t="str">
        <f>IFERROR(__xludf.DUMMYFUNCTION("FILTER('CLASFICACIÓN'!$F$3:$F5618,'CLASFICACIÓN'!$G$3:$G5618=M4300)"),"LOS 3 AÑOS")</f>
        <v>LOS 3 AÑOS</v>
      </c>
      <c r="K4300" s="16"/>
      <c r="L4300" s="14" t="s">
        <v>189</v>
      </c>
      <c r="M4300" s="16" t="str">
        <f t="shared" si="1"/>
        <v>50492 CORAZON DE JESUS2 Primaria</v>
      </c>
      <c r="N4300" s="23"/>
      <c r="O4300" s="17"/>
      <c r="P4300" s="17"/>
      <c r="Q4300" s="17"/>
      <c r="R4300" s="17"/>
      <c r="S4300" s="17"/>
      <c r="T4300" s="17"/>
    </row>
    <row r="4301">
      <c r="A4301" s="21">
        <v>429.0</v>
      </c>
      <c r="B4301" s="14" t="s">
        <v>90</v>
      </c>
      <c r="C4301" s="14" t="s">
        <v>14</v>
      </c>
      <c r="D4301" s="20" t="s">
        <v>15</v>
      </c>
      <c r="E4301" s="12" t="str">
        <f>IFERROR(__xludf.DUMMYFUNCTION("FILTER(colegios!$B$2:$B5618,colegios!$A$2:$A5618=L4301)"),"50492 CORAZON DE JESUS")</f>
        <v>50492 CORAZON DE JESUS</v>
      </c>
      <c r="F4301" s="14" t="s">
        <v>16</v>
      </c>
      <c r="G4301" s="20" t="s">
        <v>17</v>
      </c>
      <c r="H4301" s="14" t="s">
        <v>18</v>
      </c>
      <c r="I4301" s="22">
        <v>2022.0</v>
      </c>
      <c r="J4301" s="16" t="str">
        <f>IFERROR(__xludf.DUMMYFUNCTION("FILTER('CLASFICACIÓN'!$F$3:$F5618,'CLASFICACIÓN'!$G$3:$G5618=M4301)"),"LOS 3 AÑOS")</f>
        <v>LOS 3 AÑOS</v>
      </c>
      <c r="K4301" s="16"/>
      <c r="L4301" s="14" t="s">
        <v>189</v>
      </c>
      <c r="M4301" s="16" t="str">
        <f t="shared" si="1"/>
        <v>50492 CORAZON DE JESUS2 Primaria</v>
      </c>
      <c r="N4301" s="23"/>
      <c r="O4301" s="17"/>
      <c r="P4301" s="17"/>
      <c r="Q4301" s="17"/>
      <c r="R4301" s="17"/>
      <c r="S4301" s="17"/>
      <c r="T4301" s="17"/>
    </row>
    <row r="4302">
      <c r="A4302" s="21">
        <v>430.0</v>
      </c>
      <c r="B4302" s="14" t="s">
        <v>90</v>
      </c>
      <c r="C4302" s="14" t="s">
        <v>14</v>
      </c>
      <c r="D4302" s="20" t="s">
        <v>15</v>
      </c>
      <c r="E4302" s="12" t="str">
        <f>IFERROR(__xludf.DUMMYFUNCTION("FILTER(colegios!$B$2:$B5618,colegios!$A$2:$A5618=L4302)"),"50492 CORAZON DE JESUS")</f>
        <v>50492 CORAZON DE JESUS</v>
      </c>
      <c r="F4302" s="14" t="s">
        <v>16</v>
      </c>
      <c r="G4302" s="20" t="s">
        <v>21</v>
      </c>
      <c r="H4302" s="14" t="s">
        <v>18</v>
      </c>
      <c r="I4302" s="22">
        <v>2022.0</v>
      </c>
      <c r="J4302" s="16" t="str">
        <f>IFERROR(__xludf.DUMMYFUNCTION("FILTER('CLASFICACIÓN'!$F$3:$F5618,'CLASFICACIÓN'!$G$3:$G5618=M4302)"),"LOS 3 AÑOS")</f>
        <v>LOS 3 AÑOS</v>
      </c>
      <c r="K4302" s="16"/>
      <c r="L4302" s="14" t="s">
        <v>189</v>
      </c>
      <c r="M4302" s="16" t="str">
        <f t="shared" si="1"/>
        <v>50492 CORAZON DE JESUS2 Primaria</v>
      </c>
      <c r="N4302" s="23"/>
      <c r="O4302" s="17"/>
      <c r="P4302" s="17"/>
      <c r="Q4302" s="17"/>
      <c r="R4302" s="17"/>
      <c r="S4302" s="17"/>
      <c r="T4302" s="17"/>
    </row>
    <row r="4303">
      <c r="A4303" s="21">
        <v>431.0</v>
      </c>
      <c r="B4303" s="14" t="s">
        <v>90</v>
      </c>
      <c r="C4303" s="14" t="s">
        <v>14</v>
      </c>
      <c r="D4303" s="20" t="s">
        <v>15</v>
      </c>
      <c r="E4303" s="12" t="str">
        <f>IFERROR(__xludf.DUMMYFUNCTION("FILTER(colegios!$B$2:$B5618,colegios!$A$2:$A5618=L4303)"),"50492 CORAZON DE JESUS")</f>
        <v>50492 CORAZON DE JESUS</v>
      </c>
      <c r="F4303" s="14" t="s">
        <v>16</v>
      </c>
      <c r="G4303" s="20" t="s">
        <v>21</v>
      </c>
      <c r="H4303" s="14" t="s">
        <v>18</v>
      </c>
      <c r="I4303" s="22">
        <v>2022.0</v>
      </c>
      <c r="J4303" s="16" t="str">
        <f>IFERROR(__xludf.DUMMYFUNCTION("FILTER('CLASFICACIÓN'!$F$3:$F5618,'CLASFICACIÓN'!$G$3:$G5618=M4303)"),"LOS 3 AÑOS")</f>
        <v>LOS 3 AÑOS</v>
      </c>
      <c r="K4303" s="16"/>
      <c r="L4303" s="14" t="s">
        <v>189</v>
      </c>
      <c r="M4303" s="16" t="str">
        <f t="shared" si="1"/>
        <v>50492 CORAZON DE JESUS2 Primaria</v>
      </c>
      <c r="N4303" s="23"/>
      <c r="O4303" s="17"/>
      <c r="P4303" s="17"/>
      <c r="Q4303" s="17"/>
      <c r="R4303" s="17"/>
      <c r="S4303" s="17"/>
      <c r="T4303" s="17"/>
    </row>
    <row r="4304">
      <c r="A4304" s="21">
        <v>432.0</v>
      </c>
      <c r="B4304" s="14" t="s">
        <v>90</v>
      </c>
      <c r="C4304" s="14" t="s">
        <v>14</v>
      </c>
      <c r="D4304" s="20" t="s">
        <v>15</v>
      </c>
      <c r="E4304" s="12" t="str">
        <f>IFERROR(__xludf.DUMMYFUNCTION("FILTER(colegios!$B$2:$B5618,colegios!$A$2:$A5618=L4304)"),"50492 CORAZON DE JESUS")</f>
        <v>50492 CORAZON DE JESUS</v>
      </c>
      <c r="F4304" s="14" t="s">
        <v>16</v>
      </c>
      <c r="G4304" s="20" t="s">
        <v>21</v>
      </c>
      <c r="H4304" s="14" t="s">
        <v>18</v>
      </c>
      <c r="I4304" s="22">
        <v>2022.0</v>
      </c>
      <c r="J4304" s="16" t="str">
        <f>IFERROR(__xludf.DUMMYFUNCTION("FILTER('CLASFICACIÓN'!$F$3:$F5618,'CLASFICACIÓN'!$G$3:$G5618=M4304)"),"LOS 3 AÑOS")</f>
        <v>LOS 3 AÑOS</v>
      </c>
      <c r="K4304" s="16"/>
      <c r="L4304" s="14" t="s">
        <v>189</v>
      </c>
      <c r="M4304" s="16" t="str">
        <f t="shared" si="1"/>
        <v>50492 CORAZON DE JESUS2 Primaria</v>
      </c>
      <c r="N4304" s="23"/>
      <c r="O4304" s="17"/>
      <c r="P4304" s="17"/>
      <c r="Q4304" s="17"/>
      <c r="R4304" s="17"/>
      <c r="S4304" s="17"/>
      <c r="T4304" s="17"/>
    </row>
    <row r="4305">
      <c r="A4305" s="21">
        <v>433.0</v>
      </c>
      <c r="B4305" s="14" t="s">
        <v>90</v>
      </c>
      <c r="C4305" s="14" t="s">
        <v>14</v>
      </c>
      <c r="D4305" s="20" t="s">
        <v>15</v>
      </c>
      <c r="E4305" s="12" t="str">
        <f>IFERROR(__xludf.DUMMYFUNCTION("FILTER(colegios!$B$2:$B5618,colegios!$A$2:$A5618=L4305)"),"50492 CORAZON DE JESUS")</f>
        <v>50492 CORAZON DE JESUS</v>
      </c>
      <c r="F4305" s="14" t="s">
        <v>16</v>
      </c>
      <c r="G4305" s="20" t="s">
        <v>17</v>
      </c>
      <c r="H4305" s="14" t="s">
        <v>18</v>
      </c>
      <c r="I4305" s="22">
        <v>2022.0</v>
      </c>
      <c r="J4305" s="16" t="str">
        <f>IFERROR(__xludf.DUMMYFUNCTION("FILTER('CLASFICACIÓN'!$F$3:$F5618,'CLASFICACIÓN'!$G$3:$G5618=M4305)"),"LOS 3 AÑOS")</f>
        <v>LOS 3 AÑOS</v>
      </c>
      <c r="K4305" s="16"/>
      <c r="L4305" s="14" t="s">
        <v>189</v>
      </c>
      <c r="M4305" s="16" t="str">
        <f t="shared" si="1"/>
        <v>50492 CORAZON DE JESUS2 Primaria</v>
      </c>
      <c r="N4305" s="23"/>
      <c r="O4305" s="17"/>
      <c r="P4305" s="17"/>
      <c r="Q4305" s="17"/>
      <c r="R4305" s="17"/>
      <c r="S4305" s="17"/>
      <c r="T4305" s="17"/>
    </row>
    <row r="4306">
      <c r="A4306" s="21">
        <v>434.0</v>
      </c>
      <c r="B4306" s="14" t="s">
        <v>90</v>
      </c>
      <c r="C4306" s="14" t="s">
        <v>14</v>
      </c>
      <c r="D4306" s="20" t="s">
        <v>15</v>
      </c>
      <c r="E4306" s="12" t="str">
        <f>IFERROR(__xludf.DUMMYFUNCTION("FILTER(colegios!$B$2:$B5618,colegios!$A$2:$A5618=L4306)"),"50492 CORAZON DE JESUS")</f>
        <v>50492 CORAZON DE JESUS</v>
      </c>
      <c r="F4306" s="14" t="s">
        <v>16</v>
      </c>
      <c r="G4306" s="20" t="s">
        <v>21</v>
      </c>
      <c r="H4306" s="14" t="s">
        <v>18</v>
      </c>
      <c r="I4306" s="22">
        <v>2022.0</v>
      </c>
      <c r="J4306" s="16" t="str">
        <f>IFERROR(__xludf.DUMMYFUNCTION("FILTER('CLASFICACIÓN'!$F$3:$F5618,'CLASFICACIÓN'!$G$3:$G5618=M4306)"),"LOS 3 AÑOS")</f>
        <v>LOS 3 AÑOS</v>
      </c>
      <c r="K4306" s="16"/>
      <c r="L4306" s="14" t="s">
        <v>189</v>
      </c>
      <c r="M4306" s="16" t="str">
        <f t="shared" si="1"/>
        <v>50492 CORAZON DE JESUS2 Primaria</v>
      </c>
      <c r="N4306" s="23"/>
      <c r="O4306" s="17"/>
      <c r="P4306" s="17"/>
      <c r="Q4306" s="17"/>
      <c r="R4306" s="17"/>
      <c r="S4306" s="17"/>
      <c r="T4306" s="17"/>
    </row>
    <row r="4307">
      <c r="A4307" s="21">
        <v>435.0</v>
      </c>
      <c r="B4307" s="14" t="s">
        <v>90</v>
      </c>
      <c r="C4307" s="14" t="s">
        <v>14</v>
      </c>
      <c r="D4307" s="20" t="s">
        <v>15</v>
      </c>
      <c r="E4307" s="12" t="str">
        <f>IFERROR(__xludf.DUMMYFUNCTION("FILTER(colegios!$B$2:$B5618,colegios!$A$2:$A5618=L4307)"),"50492 CORAZON DE JESUS")</f>
        <v>50492 CORAZON DE JESUS</v>
      </c>
      <c r="F4307" s="14" t="s">
        <v>16</v>
      </c>
      <c r="G4307" s="20" t="s">
        <v>21</v>
      </c>
      <c r="H4307" s="14" t="s">
        <v>18</v>
      </c>
      <c r="I4307" s="22">
        <v>2022.0</v>
      </c>
      <c r="J4307" s="16" t="str">
        <f>IFERROR(__xludf.DUMMYFUNCTION("FILTER('CLASFICACIÓN'!$F$3:$F5618,'CLASFICACIÓN'!$G$3:$G5618=M4307)"),"LOS 3 AÑOS")</f>
        <v>LOS 3 AÑOS</v>
      </c>
      <c r="K4307" s="16"/>
      <c r="L4307" s="14" t="s">
        <v>189</v>
      </c>
      <c r="M4307" s="16" t="str">
        <f t="shared" si="1"/>
        <v>50492 CORAZON DE JESUS2 Primaria</v>
      </c>
      <c r="N4307" s="23"/>
      <c r="O4307" s="17"/>
      <c r="P4307" s="17"/>
      <c r="Q4307" s="17"/>
      <c r="R4307" s="17"/>
      <c r="S4307" s="17"/>
      <c r="T4307" s="17"/>
    </row>
    <row r="4308">
      <c r="A4308" s="21">
        <v>436.0</v>
      </c>
      <c r="B4308" s="14" t="s">
        <v>90</v>
      </c>
      <c r="C4308" s="14" t="s">
        <v>14</v>
      </c>
      <c r="D4308" s="20" t="s">
        <v>15</v>
      </c>
      <c r="E4308" s="12" t="str">
        <f>IFERROR(__xludf.DUMMYFUNCTION("FILTER(colegios!$B$2:$B5618,colegios!$A$2:$A5618=L4308)"),"50492 CORAZON DE JESUS")</f>
        <v>50492 CORAZON DE JESUS</v>
      </c>
      <c r="F4308" s="14" t="s">
        <v>16</v>
      </c>
      <c r="G4308" s="20" t="s">
        <v>21</v>
      </c>
      <c r="H4308" s="14" t="s">
        <v>18</v>
      </c>
      <c r="I4308" s="22">
        <v>2022.0</v>
      </c>
      <c r="J4308" s="16" t="str">
        <f>IFERROR(__xludf.DUMMYFUNCTION("FILTER('CLASFICACIÓN'!$F$3:$F5618,'CLASFICACIÓN'!$G$3:$G5618=M4308)"),"LOS 3 AÑOS")</f>
        <v>LOS 3 AÑOS</v>
      </c>
      <c r="K4308" s="16"/>
      <c r="L4308" s="14" t="s">
        <v>189</v>
      </c>
      <c r="M4308" s="16" t="str">
        <f t="shared" si="1"/>
        <v>50492 CORAZON DE JESUS2 Primaria</v>
      </c>
      <c r="N4308" s="23"/>
      <c r="O4308" s="17"/>
      <c r="P4308" s="17"/>
      <c r="Q4308" s="17"/>
      <c r="R4308" s="17"/>
      <c r="S4308" s="17"/>
      <c r="T4308" s="17"/>
    </row>
    <row r="4309">
      <c r="A4309" s="21">
        <v>437.0</v>
      </c>
      <c r="B4309" s="14" t="s">
        <v>90</v>
      </c>
      <c r="C4309" s="14" t="s">
        <v>14</v>
      </c>
      <c r="D4309" s="20" t="s">
        <v>15</v>
      </c>
      <c r="E4309" s="12" t="str">
        <f>IFERROR(__xludf.DUMMYFUNCTION("FILTER(colegios!$B$2:$B5618,colegios!$A$2:$A5618=L4309)"),"50492 CORAZON DE JESUS")</f>
        <v>50492 CORAZON DE JESUS</v>
      </c>
      <c r="F4309" s="14" t="s">
        <v>16</v>
      </c>
      <c r="G4309" s="20" t="s">
        <v>21</v>
      </c>
      <c r="H4309" s="14" t="s">
        <v>18</v>
      </c>
      <c r="I4309" s="22">
        <v>2022.0</v>
      </c>
      <c r="J4309" s="16" t="str">
        <f>IFERROR(__xludf.DUMMYFUNCTION("FILTER('CLASFICACIÓN'!$F$3:$F5618,'CLASFICACIÓN'!$G$3:$G5618=M4309)"),"LOS 3 AÑOS")</f>
        <v>LOS 3 AÑOS</v>
      </c>
      <c r="K4309" s="16"/>
      <c r="L4309" s="14" t="s">
        <v>189</v>
      </c>
      <c r="M4309" s="16" t="str">
        <f t="shared" si="1"/>
        <v>50492 CORAZON DE JESUS2 Primaria</v>
      </c>
      <c r="N4309" s="23"/>
      <c r="O4309" s="17"/>
      <c r="P4309" s="17"/>
      <c r="Q4309" s="17"/>
      <c r="R4309" s="17"/>
      <c r="S4309" s="17"/>
      <c r="T4309" s="17"/>
    </row>
    <row r="4310">
      <c r="A4310" s="21">
        <v>438.0</v>
      </c>
      <c r="B4310" s="14" t="s">
        <v>90</v>
      </c>
      <c r="C4310" s="14" t="s">
        <v>14</v>
      </c>
      <c r="D4310" s="20" t="s">
        <v>15</v>
      </c>
      <c r="E4310" s="12" t="str">
        <f>IFERROR(__xludf.DUMMYFUNCTION("FILTER(colegios!$B$2:$B5618,colegios!$A$2:$A5618=L4310)"),"50492 CORAZON DE JESUS")</f>
        <v>50492 CORAZON DE JESUS</v>
      </c>
      <c r="F4310" s="14" t="s">
        <v>16</v>
      </c>
      <c r="G4310" s="20" t="s">
        <v>21</v>
      </c>
      <c r="H4310" s="14" t="s">
        <v>24</v>
      </c>
      <c r="I4310" s="22">
        <v>2022.0</v>
      </c>
      <c r="J4310" s="16" t="str">
        <f>IFERROR(__xludf.DUMMYFUNCTION("FILTER('CLASFICACIÓN'!$F$3:$F5618,'CLASFICACIÓN'!$G$3:$G5618=M4310)"),"LOS 3 AÑOS")</f>
        <v>LOS 3 AÑOS</v>
      </c>
      <c r="K4310" s="16"/>
      <c r="L4310" s="14" t="s">
        <v>189</v>
      </c>
      <c r="M4310" s="16" t="str">
        <f t="shared" si="1"/>
        <v>50492 CORAZON DE JESUS2 Primaria</v>
      </c>
      <c r="N4310" s="23"/>
      <c r="O4310" s="17"/>
      <c r="P4310" s="17"/>
      <c r="Q4310" s="17"/>
      <c r="R4310" s="17"/>
      <c r="S4310" s="17"/>
      <c r="T4310" s="17"/>
    </row>
    <row r="4311">
      <c r="A4311" s="21">
        <v>439.0</v>
      </c>
      <c r="B4311" s="14" t="s">
        <v>90</v>
      </c>
      <c r="C4311" s="14" t="s">
        <v>14</v>
      </c>
      <c r="D4311" s="20" t="s">
        <v>15</v>
      </c>
      <c r="E4311" s="12" t="str">
        <f>IFERROR(__xludf.DUMMYFUNCTION("FILTER(colegios!$B$2:$B5618,colegios!$A$2:$A5618=L4311)"),"50492 CORAZON DE JESUS")</f>
        <v>50492 CORAZON DE JESUS</v>
      </c>
      <c r="F4311" s="14" t="s">
        <v>16</v>
      </c>
      <c r="G4311" s="20" t="s">
        <v>17</v>
      </c>
      <c r="H4311" s="14" t="s">
        <v>24</v>
      </c>
      <c r="I4311" s="22">
        <v>2022.0</v>
      </c>
      <c r="J4311" s="16" t="str">
        <f>IFERROR(__xludf.DUMMYFUNCTION("FILTER('CLASFICACIÓN'!$F$3:$F5618,'CLASFICACIÓN'!$G$3:$G5618=M4311)"),"LOS 3 AÑOS")</f>
        <v>LOS 3 AÑOS</v>
      </c>
      <c r="K4311" s="16"/>
      <c r="L4311" s="14" t="s">
        <v>189</v>
      </c>
      <c r="M4311" s="16" t="str">
        <f t="shared" si="1"/>
        <v>50492 CORAZON DE JESUS2 Primaria</v>
      </c>
      <c r="N4311" s="23"/>
      <c r="O4311" s="17"/>
      <c r="P4311" s="17"/>
      <c r="Q4311" s="17"/>
      <c r="R4311" s="17"/>
      <c r="S4311" s="17"/>
      <c r="T4311" s="17"/>
    </row>
    <row r="4312">
      <c r="A4312" s="21">
        <v>440.0</v>
      </c>
      <c r="B4312" s="14" t="s">
        <v>90</v>
      </c>
      <c r="C4312" s="14" t="s">
        <v>14</v>
      </c>
      <c r="D4312" s="20" t="s">
        <v>15</v>
      </c>
      <c r="E4312" s="12" t="str">
        <f>IFERROR(__xludf.DUMMYFUNCTION("FILTER(colegios!$B$2:$B5618,colegios!$A$2:$A5618=L4312)"),"50492 CORAZON DE JESUS")</f>
        <v>50492 CORAZON DE JESUS</v>
      </c>
      <c r="F4312" s="14" t="s">
        <v>16</v>
      </c>
      <c r="G4312" s="20" t="s">
        <v>21</v>
      </c>
      <c r="H4312" s="14" t="s">
        <v>24</v>
      </c>
      <c r="I4312" s="22">
        <v>2022.0</v>
      </c>
      <c r="J4312" s="16" t="str">
        <f>IFERROR(__xludf.DUMMYFUNCTION("FILTER('CLASFICACIÓN'!$F$3:$F5618,'CLASFICACIÓN'!$G$3:$G5618=M4312)"),"LOS 3 AÑOS")</f>
        <v>LOS 3 AÑOS</v>
      </c>
      <c r="K4312" s="16"/>
      <c r="L4312" s="14" t="s">
        <v>189</v>
      </c>
      <c r="M4312" s="16" t="str">
        <f t="shared" si="1"/>
        <v>50492 CORAZON DE JESUS2 Primaria</v>
      </c>
      <c r="N4312" s="23"/>
      <c r="O4312" s="17"/>
      <c r="P4312" s="17"/>
      <c r="Q4312" s="17"/>
      <c r="R4312" s="17"/>
      <c r="S4312" s="17"/>
      <c r="T4312" s="17"/>
    </row>
    <row r="4313">
      <c r="A4313" s="21">
        <v>441.0</v>
      </c>
      <c r="B4313" s="14" t="s">
        <v>90</v>
      </c>
      <c r="C4313" s="14" t="s">
        <v>14</v>
      </c>
      <c r="D4313" s="20" t="s">
        <v>15</v>
      </c>
      <c r="E4313" s="12" t="str">
        <f>IFERROR(__xludf.DUMMYFUNCTION("FILTER(colegios!$B$2:$B5618,colegios!$A$2:$A5618=L4313)"),"50492 CORAZON DE JESUS")</f>
        <v>50492 CORAZON DE JESUS</v>
      </c>
      <c r="F4313" s="14" t="s">
        <v>16</v>
      </c>
      <c r="G4313" s="20" t="s">
        <v>21</v>
      </c>
      <c r="H4313" s="14" t="s">
        <v>24</v>
      </c>
      <c r="I4313" s="22">
        <v>2022.0</v>
      </c>
      <c r="J4313" s="16" t="str">
        <f>IFERROR(__xludf.DUMMYFUNCTION("FILTER('CLASFICACIÓN'!$F$3:$F5618,'CLASFICACIÓN'!$G$3:$G5618=M4313)"),"LOS 3 AÑOS")</f>
        <v>LOS 3 AÑOS</v>
      </c>
      <c r="K4313" s="16"/>
      <c r="L4313" s="14" t="s">
        <v>189</v>
      </c>
      <c r="M4313" s="16" t="str">
        <f t="shared" si="1"/>
        <v>50492 CORAZON DE JESUS2 Primaria</v>
      </c>
      <c r="N4313" s="23"/>
      <c r="O4313" s="17"/>
      <c r="P4313" s="17"/>
      <c r="Q4313" s="17"/>
      <c r="R4313" s="17"/>
      <c r="S4313" s="17"/>
      <c r="T4313" s="17"/>
    </row>
    <row r="4314">
      <c r="A4314" s="21">
        <v>442.0</v>
      </c>
      <c r="B4314" s="14" t="s">
        <v>90</v>
      </c>
      <c r="C4314" s="14" t="s">
        <v>14</v>
      </c>
      <c r="D4314" s="20" t="s">
        <v>15</v>
      </c>
      <c r="E4314" s="12" t="str">
        <f>IFERROR(__xludf.DUMMYFUNCTION("FILTER(colegios!$B$2:$B5618,colegios!$A$2:$A5618=L4314)"),"50492 CORAZON DE JESUS")</f>
        <v>50492 CORAZON DE JESUS</v>
      </c>
      <c r="F4314" s="14" t="s">
        <v>16</v>
      </c>
      <c r="G4314" s="20" t="s">
        <v>21</v>
      </c>
      <c r="H4314" s="14" t="s">
        <v>24</v>
      </c>
      <c r="I4314" s="22">
        <v>2022.0</v>
      </c>
      <c r="J4314" s="16" t="str">
        <f>IFERROR(__xludf.DUMMYFUNCTION("FILTER('CLASFICACIÓN'!$F$3:$F5618,'CLASFICACIÓN'!$G$3:$G5618=M4314)"),"LOS 3 AÑOS")</f>
        <v>LOS 3 AÑOS</v>
      </c>
      <c r="K4314" s="16"/>
      <c r="L4314" s="14" t="s">
        <v>189</v>
      </c>
      <c r="M4314" s="16" t="str">
        <f t="shared" si="1"/>
        <v>50492 CORAZON DE JESUS2 Primaria</v>
      </c>
      <c r="N4314" s="23"/>
      <c r="O4314" s="17"/>
      <c r="P4314" s="17"/>
      <c r="Q4314" s="17"/>
      <c r="R4314" s="17"/>
      <c r="S4314" s="17"/>
      <c r="T4314" s="17"/>
    </row>
    <row r="4315">
      <c r="A4315" s="21">
        <v>443.0</v>
      </c>
      <c r="B4315" s="14" t="s">
        <v>90</v>
      </c>
      <c r="C4315" s="14" t="s">
        <v>14</v>
      </c>
      <c r="D4315" s="20" t="s">
        <v>15</v>
      </c>
      <c r="E4315" s="12" t="str">
        <f>IFERROR(__xludf.DUMMYFUNCTION("FILTER(colegios!$B$2:$B5618,colegios!$A$2:$A5618=L4315)"),"50492 CORAZON DE JESUS")</f>
        <v>50492 CORAZON DE JESUS</v>
      </c>
      <c r="F4315" s="14" t="s">
        <v>16</v>
      </c>
      <c r="G4315" s="20" t="s">
        <v>17</v>
      </c>
      <c r="H4315" s="14" t="s">
        <v>24</v>
      </c>
      <c r="I4315" s="22">
        <v>2022.0</v>
      </c>
      <c r="J4315" s="16" t="str">
        <f>IFERROR(__xludf.DUMMYFUNCTION("FILTER('CLASFICACIÓN'!$F$3:$F5618,'CLASFICACIÓN'!$G$3:$G5618=M4315)"),"LOS 3 AÑOS")</f>
        <v>LOS 3 AÑOS</v>
      </c>
      <c r="K4315" s="16"/>
      <c r="L4315" s="14" t="s">
        <v>189</v>
      </c>
      <c r="M4315" s="16" t="str">
        <f t="shared" si="1"/>
        <v>50492 CORAZON DE JESUS2 Primaria</v>
      </c>
      <c r="N4315" s="23"/>
      <c r="O4315" s="17"/>
      <c r="P4315" s="17"/>
      <c r="Q4315" s="17"/>
      <c r="R4315" s="17"/>
      <c r="S4315" s="17"/>
      <c r="T4315" s="17"/>
    </row>
    <row r="4316">
      <c r="A4316" s="21">
        <v>444.0</v>
      </c>
      <c r="B4316" s="14" t="s">
        <v>90</v>
      </c>
      <c r="C4316" s="14" t="s">
        <v>14</v>
      </c>
      <c r="D4316" s="20" t="s">
        <v>15</v>
      </c>
      <c r="E4316" s="12" t="str">
        <f>IFERROR(__xludf.DUMMYFUNCTION("FILTER(colegios!$B$2:$B5618,colegios!$A$2:$A5618=L4316)"),"50492 CORAZON DE JESUS")</f>
        <v>50492 CORAZON DE JESUS</v>
      </c>
      <c r="F4316" s="14" t="s">
        <v>16</v>
      </c>
      <c r="G4316" s="20" t="s">
        <v>17</v>
      </c>
      <c r="H4316" s="14" t="s">
        <v>24</v>
      </c>
      <c r="I4316" s="22">
        <v>2022.0</v>
      </c>
      <c r="J4316" s="16" t="str">
        <f>IFERROR(__xludf.DUMMYFUNCTION("FILTER('CLASFICACIÓN'!$F$3:$F5618,'CLASFICACIÓN'!$G$3:$G5618=M4316)"),"LOS 3 AÑOS")</f>
        <v>LOS 3 AÑOS</v>
      </c>
      <c r="K4316" s="16"/>
      <c r="L4316" s="14" t="s">
        <v>189</v>
      </c>
      <c r="M4316" s="16" t="str">
        <f t="shared" si="1"/>
        <v>50492 CORAZON DE JESUS2 Primaria</v>
      </c>
      <c r="N4316" s="23"/>
      <c r="O4316" s="17"/>
      <c r="P4316" s="17"/>
      <c r="Q4316" s="17"/>
      <c r="R4316" s="17"/>
      <c r="S4316" s="17"/>
      <c r="T4316" s="17"/>
    </row>
    <row r="4317">
      <c r="A4317" s="21">
        <v>445.0</v>
      </c>
      <c r="B4317" s="14" t="s">
        <v>90</v>
      </c>
      <c r="C4317" s="14" t="s">
        <v>14</v>
      </c>
      <c r="D4317" s="20" t="s">
        <v>15</v>
      </c>
      <c r="E4317" s="12" t="str">
        <f>IFERROR(__xludf.DUMMYFUNCTION("FILTER(colegios!$B$2:$B5618,colegios!$A$2:$A5618=L4317)"),"50492 CORAZON DE JESUS")</f>
        <v>50492 CORAZON DE JESUS</v>
      </c>
      <c r="F4317" s="14" t="s">
        <v>16</v>
      </c>
      <c r="G4317" s="20" t="s">
        <v>21</v>
      </c>
      <c r="H4317" s="14" t="s">
        <v>24</v>
      </c>
      <c r="I4317" s="22">
        <v>2022.0</v>
      </c>
      <c r="J4317" s="16" t="str">
        <f>IFERROR(__xludf.DUMMYFUNCTION("FILTER('CLASFICACIÓN'!$F$3:$F5618,'CLASFICACIÓN'!$G$3:$G5618=M4317)"),"LOS 3 AÑOS")</f>
        <v>LOS 3 AÑOS</v>
      </c>
      <c r="K4317" s="16"/>
      <c r="L4317" s="14" t="s">
        <v>189</v>
      </c>
      <c r="M4317" s="16" t="str">
        <f t="shared" si="1"/>
        <v>50492 CORAZON DE JESUS2 Primaria</v>
      </c>
      <c r="N4317" s="23"/>
      <c r="O4317" s="17"/>
      <c r="P4317" s="17"/>
      <c r="Q4317" s="17"/>
      <c r="R4317" s="17"/>
      <c r="S4317" s="17"/>
      <c r="T4317" s="17"/>
    </row>
    <row r="4318">
      <c r="A4318" s="21">
        <v>446.0</v>
      </c>
      <c r="B4318" s="14" t="s">
        <v>90</v>
      </c>
      <c r="C4318" s="14" t="s">
        <v>14</v>
      </c>
      <c r="D4318" s="20" t="s">
        <v>15</v>
      </c>
      <c r="E4318" s="12" t="str">
        <f>IFERROR(__xludf.DUMMYFUNCTION("FILTER(colegios!$B$2:$B5618,colegios!$A$2:$A5618=L4318)"),"50492 CORAZON DE JESUS")</f>
        <v>50492 CORAZON DE JESUS</v>
      </c>
      <c r="F4318" s="14" t="s">
        <v>16</v>
      </c>
      <c r="G4318" s="20" t="s">
        <v>17</v>
      </c>
      <c r="H4318" s="14" t="s">
        <v>24</v>
      </c>
      <c r="I4318" s="22">
        <v>2022.0</v>
      </c>
      <c r="J4318" s="16" t="str">
        <f>IFERROR(__xludf.DUMMYFUNCTION("FILTER('CLASFICACIÓN'!$F$3:$F5618,'CLASFICACIÓN'!$G$3:$G5618=M4318)"),"LOS 3 AÑOS")</f>
        <v>LOS 3 AÑOS</v>
      </c>
      <c r="K4318" s="16"/>
      <c r="L4318" s="14" t="s">
        <v>189</v>
      </c>
      <c r="M4318" s="16" t="str">
        <f t="shared" si="1"/>
        <v>50492 CORAZON DE JESUS2 Primaria</v>
      </c>
      <c r="N4318" s="23"/>
      <c r="O4318" s="17"/>
      <c r="P4318" s="17"/>
      <c r="Q4318" s="17"/>
      <c r="R4318" s="17"/>
      <c r="S4318" s="17"/>
      <c r="T4318" s="17"/>
    </row>
    <row r="4319">
      <c r="A4319" s="21">
        <v>447.0</v>
      </c>
      <c r="B4319" s="14" t="s">
        <v>90</v>
      </c>
      <c r="C4319" s="14" t="s">
        <v>14</v>
      </c>
      <c r="D4319" s="20" t="s">
        <v>15</v>
      </c>
      <c r="E4319" s="12" t="str">
        <f>IFERROR(__xludf.DUMMYFUNCTION("FILTER(colegios!$B$2:$B5618,colegios!$A$2:$A5618=L4319)"),"50492 CORAZON DE JESUS")</f>
        <v>50492 CORAZON DE JESUS</v>
      </c>
      <c r="F4319" s="14" t="s">
        <v>16</v>
      </c>
      <c r="G4319" s="20" t="s">
        <v>21</v>
      </c>
      <c r="H4319" s="14" t="s">
        <v>24</v>
      </c>
      <c r="I4319" s="22">
        <v>2022.0</v>
      </c>
      <c r="J4319" s="16" t="str">
        <f>IFERROR(__xludf.DUMMYFUNCTION("FILTER('CLASFICACIÓN'!$F$3:$F5618,'CLASFICACIÓN'!$G$3:$G5618=M4319)"),"LOS 3 AÑOS")</f>
        <v>LOS 3 AÑOS</v>
      </c>
      <c r="K4319" s="16"/>
      <c r="L4319" s="14" t="s">
        <v>189</v>
      </c>
      <c r="M4319" s="16" t="str">
        <f t="shared" si="1"/>
        <v>50492 CORAZON DE JESUS2 Primaria</v>
      </c>
      <c r="N4319" s="23"/>
      <c r="O4319" s="17"/>
      <c r="P4319" s="17"/>
      <c r="Q4319" s="17"/>
      <c r="R4319" s="17"/>
      <c r="S4319" s="17"/>
      <c r="T4319" s="17"/>
    </row>
    <row r="4320">
      <c r="A4320" s="21">
        <v>448.0</v>
      </c>
      <c r="B4320" s="14" t="s">
        <v>90</v>
      </c>
      <c r="C4320" s="14" t="s">
        <v>14</v>
      </c>
      <c r="D4320" s="20" t="s">
        <v>15</v>
      </c>
      <c r="E4320" s="12" t="str">
        <f>IFERROR(__xludf.DUMMYFUNCTION("FILTER(colegios!$B$2:$B5618,colegios!$A$2:$A5618=L4320)"),"50492 CORAZON DE JESUS")</f>
        <v>50492 CORAZON DE JESUS</v>
      </c>
      <c r="F4320" s="14" t="s">
        <v>16</v>
      </c>
      <c r="G4320" s="20" t="s">
        <v>21</v>
      </c>
      <c r="H4320" s="14" t="s">
        <v>24</v>
      </c>
      <c r="I4320" s="22">
        <v>2022.0</v>
      </c>
      <c r="J4320" s="16" t="str">
        <f>IFERROR(__xludf.DUMMYFUNCTION("FILTER('CLASFICACIÓN'!$F$3:$F5618,'CLASFICACIÓN'!$G$3:$G5618=M4320)"),"LOS 3 AÑOS")</f>
        <v>LOS 3 AÑOS</v>
      </c>
      <c r="K4320" s="16"/>
      <c r="L4320" s="14" t="s">
        <v>189</v>
      </c>
      <c r="M4320" s="16" t="str">
        <f t="shared" si="1"/>
        <v>50492 CORAZON DE JESUS2 Primaria</v>
      </c>
      <c r="N4320" s="23"/>
      <c r="O4320" s="17"/>
      <c r="P4320" s="17"/>
      <c r="Q4320" s="17"/>
      <c r="R4320" s="17"/>
      <c r="S4320" s="17"/>
      <c r="T4320" s="17"/>
    </row>
    <row r="4321">
      <c r="A4321" s="21">
        <v>449.0</v>
      </c>
      <c r="B4321" s="14" t="s">
        <v>90</v>
      </c>
      <c r="C4321" s="14" t="s">
        <v>14</v>
      </c>
      <c r="D4321" s="20" t="s">
        <v>15</v>
      </c>
      <c r="E4321" s="12" t="str">
        <f>IFERROR(__xludf.DUMMYFUNCTION("FILTER(colegios!$B$2:$B5618,colegios!$A$2:$A5618=L4321)"),"50492 CORAZON DE JESUS")</f>
        <v>50492 CORAZON DE JESUS</v>
      </c>
      <c r="F4321" s="14" t="s">
        <v>16</v>
      </c>
      <c r="G4321" s="20" t="s">
        <v>17</v>
      </c>
      <c r="H4321" s="14" t="s">
        <v>24</v>
      </c>
      <c r="I4321" s="22">
        <v>2022.0</v>
      </c>
      <c r="J4321" s="16" t="str">
        <f>IFERROR(__xludf.DUMMYFUNCTION("FILTER('CLASFICACIÓN'!$F$3:$F5618,'CLASFICACIÓN'!$G$3:$G5618=M4321)"),"LOS 3 AÑOS")</f>
        <v>LOS 3 AÑOS</v>
      </c>
      <c r="K4321" s="16"/>
      <c r="L4321" s="14" t="s">
        <v>189</v>
      </c>
      <c r="M4321" s="16" t="str">
        <f t="shared" si="1"/>
        <v>50492 CORAZON DE JESUS2 Primaria</v>
      </c>
      <c r="N4321" s="23"/>
      <c r="O4321" s="17"/>
      <c r="P4321" s="17"/>
      <c r="Q4321" s="17"/>
      <c r="R4321" s="17"/>
      <c r="S4321" s="17"/>
      <c r="T4321" s="17"/>
    </row>
    <row r="4322">
      <c r="A4322" s="21">
        <v>450.0</v>
      </c>
      <c r="B4322" s="14" t="s">
        <v>90</v>
      </c>
      <c r="C4322" s="14" t="s">
        <v>14</v>
      </c>
      <c r="D4322" s="20" t="s">
        <v>15</v>
      </c>
      <c r="E4322" s="12" t="str">
        <f>IFERROR(__xludf.DUMMYFUNCTION("FILTER(colegios!$B$2:$B5618,colegios!$A$2:$A5618=L4322)"),"50492 CORAZON DE JESUS")</f>
        <v>50492 CORAZON DE JESUS</v>
      </c>
      <c r="F4322" s="14" t="s">
        <v>16</v>
      </c>
      <c r="G4322" s="20" t="s">
        <v>17</v>
      </c>
      <c r="H4322" s="14" t="s">
        <v>24</v>
      </c>
      <c r="I4322" s="22">
        <v>2022.0</v>
      </c>
      <c r="J4322" s="16" t="str">
        <f>IFERROR(__xludf.DUMMYFUNCTION("FILTER('CLASFICACIÓN'!$F$3:$F5618,'CLASFICACIÓN'!$G$3:$G5618=M4322)"),"LOS 3 AÑOS")</f>
        <v>LOS 3 AÑOS</v>
      </c>
      <c r="K4322" s="16"/>
      <c r="L4322" s="14" t="s">
        <v>189</v>
      </c>
      <c r="M4322" s="16" t="str">
        <f t="shared" si="1"/>
        <v>50492 CORAZON DE JESUS2 Primaria</v>
      </c>
      <c r="N4322" s="23"/>
      <c r="O4322" s="17"/>
      <c r="P4322" s="17"/>
      <c r="Q4322" s="17"/>
      <c r="R4322" s="17"/>
      <c r="S4322" s="17"/>
      <c r="T4322" s="17"/>
    </row>
    <row r="4323">
      <c r="A4323" s="21">
        <v>451.0</v>
      </c>
      <c r="B4323" s="14" t="s">
        <v>90</v>
      </c>
      <c r="C4323" s="14" t="s">
        <v>14</v>
      </c>
      <c r="D4323" s="20" t="s">
        <v>15</v>
      </c>
      <c r="E4323" s="12" t="str">
        <f>IFERROR(__xludf.DUMMYFUNCTION("FILTER(colegios!$B$2:$B5618,colegios!$A$2:$A5618=L4323)"),"50492 CORAZON DE JESUS")</f>
        <v>50492 CORAZON DE JESUS</v>
      </c>
      <c r="F4323" s="14" t="s">
        <v>16</v>
      </c>
      <c r="G4323" s="20" t="s">
        <v>17</v>
      </c>
      <c r="H4323" s="14" t="s">
        <v>24</v>
      </c>
      <c r="I4323" s="22">
        <v>2022.0</v>
      </c>
      <c r="J4323" s="16" t="str">
        <f>IFERROR(__xludf.DUMMYFUNCTION("FILTER('CLASFICACIÓN'!$F$3:$F5618,'CLASFICACIÓN'!$G$3:$G5618=M4323)"),"LOS 3 AÑOS")</f>
        <v>LOS 3 AÑOS</v>
      </c>
      <c r="K4323" s="16"/>
      <c r="L4323" s="14" t="s">
        <v>189</v>
      </c>
      <c r="M4323" s="16" t="str">
        <f t="shared" si="1"/>
        <v>50492 CORAZON DE JESUS2 Primaria</v>
      </c>
      <c r="N4323" s="23"/>
      <c r="O4323" s="17"/>
      <c r="P4323" s="17"/>
      <c r="Q4323" s="17"/>
      <c r="R4323" s="17"/>
      <c r="S4323" s="17"/>
      <c r="T4323" s="17"/>
    </row>
    <row r="4324">
      <c r="A4324" s="21">
        <v>452.0</v>
      </c>
      <c r="B4324" s="14" t="s">
        <v>90</v>
      </c>
      <c r="C4324" s="14" t="s">
        <v>14</v>
      </c>
      <c r="D4324" s="20" t="s">
        <v>15</v>
      </c>
      <c r="E4324" s="12" t="str">
        <f>IFERROR(__xludf.DUMMYFUNCTION("FILTER(colegios!$B$2:$B5618,colegios!$A$2:$A5618=L4324)"),"50492 CORAZON DE JESUS")</f>
        <v>50492 CORAZON DE JESUS</v>
      </c>
      <c r="F4324" s="14" t="s">
        <v>16</v>
      </c>
      <c r="G4324" s="20" t="s">
        <v>17</v>
      </c>
      <c r="H4324" s="14" t="s">
        <v>24</v>
      </c>
      <c r="I4324" s="22">
        <v>2022.0</v>
      </c>
      <c r="J4324" s="16" t="str">
        <f>IFERROR(__xludf.DUMMYFUNCTION("FILTER('CLASFICACIÓN'!$F$3:$F5618,'CLASFICACIÓN'!$G$3:$G5618=M4324)"),"LOS 3 AÑOS")</f>
        <v>LOS 3 AÑOS</v>
      </c>
      <c r="K4324" s="16"/>
      <c r="L4324" s="14" t="s">
        <v>189</v>
      </c>
      <c r="M4324" s="16" t="str">
        <f t="shared" si="1"/>
        <v>50492 CORAZON DE JESUS2 Primaria</v>
      </c>
      <c r="N4324" s="23"/>
      <c r="O4324" s="17"/>
      <c r="P4324" s="17"/>
      <c r="Q4324" s="17"/>
      <c r="R4324" s="17"/>
      <c r="S4324" s="17"/>
      <c r="T4324" s="17"/>
    </row>
    <row r="4325">
      <c r="A4325" s="21">
        <v>453.0</v>
      </c>
      <c r="B4325" s="14" t="s">
        <v>90</v>
      </c>
      <c r="C4325" s="14" t="s">
        <v>14</v>
      </c>
      <c r="D4325" s="20" t="s">
        <v>15</v>
      </c>
      <c r="E4325" s="12" t="str">
        <f>IFERROR(__xludf.DUMMYFUNCTION("FILTER(colegios!$B$2:$B5618,colegios!$A$2:$A5618=L4325)"),"50492 CORAZON DE JESUS")</f>
        <v>50492 CORAZON DE JESUS</v>
      </c>
      <c r="F4325" s="14" t="s">
        <v>16</v>
      </c>
      <c r="G4325" s="20" t="s">
        <v>17</v>
      </c>
      <c r="H4325" s="14" t="s">
        <v>24</v>
      </c>
      <c r="I4325" s="22">
        <v>2022.0</v>
      </c>
      <c r="J4325" s="16" t="str">
        <f>IFERROR(__xludf.DUMMYFUNCTION("FILTER('CLASFICACIÓN'!$F$3:$F5618,'CLASFICACIÓN'!$G$3:$G5618=M4325)"),"LOS 3 AÑOS")</f>
        <v>LOS 3 AÑOS</v>
      </c>
      <c r="K4325" s="16"/>
      <c r="L4325" s="14" t="s">
        <v>189</v>
      </c>
      <c r="M4325" s="16" t="str">
        <f t="shared" si="1"/>
        <v>50492 CORAZON DE JESUS2 Primaria</v>
      </c>
      <c r="N4325" s="23"/>
      <c r="O4325" s="17"/>
      <c r="P4325" s="17"/>
      <c r="Q4325" s="17"/>
      <c r="R4325" s="17"/>
      <c r="S4325" s="17"/>
      <c r="T4325" s="17"/>
    </row>
    <row r="4326">
      <c r="A4326" s="21">
        <v>454.0</v>
      </c>
      <c r="B4326" s="14" t="s">
        <v>90</v>
      </c>
      <c r="C4326" s="14" t="s">
        <v>14</v>
      </c>
      <c r="D4326" s="20" t="s">
        <v>15</v>
      </c>
      <c r="E4326" s="12" t="str">
        <f>IFERROR(__xludf.DUMMYFUNCTION("FILTER(colegios!$B$2:$B5618,colegios!$A$2:$A5618=L4326)"),"50492 CORAZON DE JESUS")</f>
        <v>50492 CORAZON DE JESUS</v>
      </c>
      <c r="F4326" s="14" t="s">
        <v>16</v>
      </c>
      <c r="G4326" s="20" t="s">
        <v>17</v>
      </c>
      <c r="H4326" s="14" t="s">
        <v>24</v>
      </c>
      <c r="I4326" s="22">
        <v>2022.0</v>
      </c>
      <c r="J4326" s="16" t="str">
        <f>IFERROR(__xludf.DUMMYFUNCTION("FILTER('CLASFICACIÓN'!$F$3:$F5618,'CLASFICACIÓN'!$G$3:$G5618=M4326)"),"LOS 3 AÑOS")</f>
        <v>LOS 3 AÑOS</v>
      </c>
      <c r="K4326" s="16"/>
      <c r="L4326" s="14" t="s">
        <v>189</v>
      </c>
      <c r="M4326" s="16" t="str">
        <f t="shared" si="1"/>
        <v>50492 CORAZON DE JESUS2 Primaria</v>
      </c>
      <c r="N4326" s="23"/>
      <c r="O4326" s="17"/>
      <c r="P4326" s="17"/>
      <c r="Q4326" s="17"/>
      <c r="R4326" s="17"/>
      <c r="S4326" s="17"/>
      <c r="T4326" s="17"/>
    </row>
    <row r="4327">
      <c r="A4327" s="21">
        <v>455.0</v>
      </c>
      <c r="B4327" s="14" t="s">
        <v>90</v>
      </c>
      <c r="C4327" s="14" t="s">
        <v>14</v>
      </c>
      <c r="D4327" s="20" t="s">
        <v>15</v>
      </c>
      <c r="E4327" s="12" t="str">
        <f>IFERROR(__xludf.DUMMYFUNCTION("FILTER(colegios!$B$2:$B5618,colegios!$A$2:$A5618=L4327)"),"50492 CORAZON DE JESUS")</f>
        <v>50492 CORAZON DE JESUS</v>
      </c>
      <c r="F4327" s="14" t="s">
        <v>16</v>
      </c>
      <c r="G4327" s="20" t="s">
        <v>21</v>
      </c>
      <c r="H4327" s="14" t="s">
        <v>24</v>
      </c>
      <c r="I4327" s="22">
        <v>2022.0</v>
      </c>
      <c r="J4327" s="16" t="str">
        <f>IFERROR(__xludf.DUMMYFUNCTION("FILTER('CLASFICACIÓN'!$F$3:$F5618,'CLASFICACIÓN'!$G$3:$G5618=M4327)"),"LOS 3 AÑOS")</f>
        <v>LOS 3 AÑOS</v>
      </c>
      <c r="K4327" s="16"/>
      <c r="L4327" s="14" t="s">
        <v>189</v>
      </c>
      <c r="M4327" s="16" t="str">
        <f t="shared" si="1"/>
        <v>50492 CORAZON DE JESUS2 Primaria</v>
      </c>
      <c r="N4327" s="23"/>
      <c r="O4327" s="17"/>
      <c r="P4327" s="17"/>
      <c r="Q4327" s="17"/>
      <c r="R4327" s="17"/>
      <c r="S4327" s="17"/>
      <c r="T4327" s="17"/>
    </row>
    <row r="4328">
      <c r="A4328" s="21">
        <v>456.0</v>
      </c>
      <c r="B4328" s="14" t="s">
        <v>90</v>
      </c>
      <c r="C4328" s="14" t="s">
        <v>14</v>
      </c>
      <c r="D4328" s="20" t="s">
        <v>15</v>
      </c>
      <c r="E4328" s="12" t="str">
        <f>IFERROR(__xludf.DUMMYFUNCTION("FILTER(colegios!$B$2:$B5618,colegios!$A$2:$A5618=L4328)"),"50492 CORAZON DE JESUS")</f>
        <v>50492 CORAZON DE JESUS</v>
      </c>
      <c r="F4328" s="14" t="s">
        <v>16</v>
      </c>
      <c r="G4328" s="20" t="s">
        <v>21</v>
      </c>
      <c r="H4328" s="14" t="s">
        <v>24</v>
      </c>
      <c r="I4328" s="22">
        <v>2022.0</v>
      </c>
      <c r="J4328" s="16" t="str">
        <f>IFERROR(__xludf.DUMMYFUNCTION("FILTER('CLASFICACIÓN'!$F$3:$F5618,'CLASFICACIÓN'!$G$3:$G5618=M4328)"),"LOS 3 AÑOS")</f>
        <v>LOS 3 AÑOS</v>
      </c>
      <c r="K4328" s="16"/>
      <c r="L4328" s="14" t="s">
        <v>189</v>
      </c>
      <c r="M4328" s="16" t="str">
        <f t="shared" si="1"/>
        <v>50492 CORAZON DE JESUS2 Primaria</v>
      </c>
      <c r="N4328" s="23"/>
      <c r="O4328" s="17"/>
      <c r="P4328" s="17"/>
      <c r="Q4328" s="17"/>
      <c r="R4328" s="17"/>
      <c r="S4328" s="17"/>
      <c r="T4328" s="17"/>
    </row>
    <row r="4329">
      <c r="A4329" s="21">
        <v>457.0</v>
      </c>
      <c r="B4329" s="14" t="s">
        <v>90</v>
      </c>
      <c r="C4329" s="14" t="s">
        <v>14</v>
      </c>
      <c r="D4329" s="20" t="s">
        <v>15</v>
      </c>
      <c r="E4329" s="12" t="str">
        <f>IFERROR(__xludf.DUMMYFUNCTION("FILTER(colegios!$B$2:$B5618,colegios!$A$2:$A5618=L4329)"),"50492 CORAZON DE JESUS")</f>
        <v>50492 CORAZON DE JESUS</v>
      </c>
      <c r="F4329" s="14" t="s">
        <v>16</v>
      </c>
      <c r="G4329" s="20" t="s">
        <v>21</v>
      </c>
      <c r="H4329" s="14" t="s">
        <v>24</v>
      </c>
      <c r="I4329" s="22">
        <v>2022.0</v>
      </c>
      <c r="J4329" s="16" t="str">
        <f>IFERROR(__xludf.DUMMYFUNCTION("FILTER('CLASFICACIÓN'!$F$3:$F5618,'CLASFICACIÓN'!$G$3:$G5618=M4329)"),"LOS 3 AÑOS")</f>
        <v>LOS 3 AÑOS</v>
      </c>
      <c r="K4329" s="16"/>
      <c r="L4329" s="14" t="s">
        <v>189</v>
      </c>
      <c r="M4329" s="16" t="str">
        <f t="shared" si="1"/>
        <v>50492 CORAZON DE JESUS2 Primaria</v>
      </c>
      <c r="N4329" s="23"/>
      <c r="O4329" s="17"/>
      <c r="P4329" s="17"/>
      <c r="Q4329" s="17"/>
      <c r="R4329" s="17"/>
      <c r="S4329" s="17"/>
      <c r="T4329" s="17"/>
    </row>
    <row r="4330">
      <c r="A4330" s="21">
        <v>458.0</v>
      </c>
      <c r="B4330" s="14" t="s">
        <v>90</v>
      </c>
      <c r="C4330" s="14" t="s">
        <v>14</v>
      </c>
      <c r="D4330" s="20" t="s">
        <v>15</v>
      </c>
      <c r="E4330" s="12" t="str">
        <f>IFERROR(__xludf.DUMMYFUNCTION("FILTER(colegios!$B$2:$B5618,colegios!$A$2:$A5618=L4330)"),"50492 CORAZON DE JESUS")</f>
        <v>50492 CORAZON DE JESUS</v>
      </c>
      <c r="F4330" s="14" t="s">
        <v>16</v>
      </c>
      <c r="G4330" s="20" t="s">
        <v>21</v>
      </c>
      <c r="H4330" s="14" t="s">
        <v>32</v>
      </c>
      <c r="I4330" s="22">
        <v>2022.0</v>
      </c>
      <c r="J4330" s="16" t="str">
        <f>IFERROR(__xludf.DUMMYFUNCTION("FILTER('CLASFICACIÓN'!$F$3:$F5618,'CLASFICACIÓN'!$G$3:$G5618=M4330)"),"LOS 3 AÑOS")</f>
        <v>LOS 3 AÑOS</v>
      </c>
      <c r="K4330" s="16"/>
      <c r="L4330" s="14" t="s">
        <v>189</v>
      </c>
      <c r="M4330" s="16" t="str">
        <f t="shared" si="1"/>
        <v>50492 CORAZON DE JESUS2 Primaria</v>
      </c>
      <c r="N4330" s="23"/>
      <c r="O4330" s="17"/>
      <c r="P4330" s="17"/>
      <c r="Q4330" s="17"/>
      <c r="R4330" s="17"/>
      <c r="S4330" s="17"/>
      <c r="T4330" s="17"/>
    </row>
    <row r="4331">
      <c r="A4331" s="21">
        <v>459.0</v>
      </c>
      <c r="B4331" s="14" t="s">
        <v>90</v>
      </c>
      <c r="C4331" s="14" t="s">
        <v>14</v>
      </c>
      <c r="D4331" s="20" t="s">
        <v>15</v>
      </c>
      <c r="E4331" s="12" t="str">
        <f>IFERROR(__xludf.DUMMYFUNCTION("FILTER(colegios!$B$2:$B5618,colegios!$A$2:$A5618=L4331)"),"50492 CORAZON DE JESUS")</f>
        <v>50492 CORAZON DE JESUS</v>
      </c>
      <c r="F4331" s="14" t="s">
        <v>16</v>
      </c>
      <c r="G4331" s="20" t="s">
        <v>21</v>
      </c>
      <c r="H4331" s="14" t="s">
        <v>32</v>
      </c>
      <c r="I4331" s="22">
        <v>2022.0</v>
      </c>
      <c r="J4331" s="16" t="str">
        <f>IFERROR(__xludf.DUMMYFUNCTION("FILTER('CLASFICACIÓN'!$F$3:$F5618,'CLASFICACIÓN'!$G$3:$G5618=M4331)"),"LOS 3 AÑOS")</f>
        <v>LOS 3 AÑOS</v>
      </c>
      <c r="K4331" s="16"/>
      <c r="L4331" s="14" t="s">
        <v>189</v>
      </c>
      <c r="M4331" s="16" t="str">
        <f t="shared" si="1"/>
        <v>50492 CORAZON DE JESUS2 Primaria</v>
      </c>
      <c r="N4331" s="23"/>
      <c r="O4331" s="17"/>
      <c r="P4331" s="17"/>
      <c r="Q4331" s="17"/>
      <c r="R4331" s="17"/>
      <c r="S4331" s="17"/>
      <c r="T4331" s="17"/>
    </row>
    <row r="4332">
      <c r="A4332" s="21">
        <v>460.0</v>
      </c>
      <c r="B4332" s="14" t="s">
        <v>90</v>
      </c>
      <c r="C4332" s="14" t="s">
        <v>14</v>
      </c>
      <c r="D4332" s="20" t="s">
        <v>15</v>
      </c>
      <c r="E4332" s="12" t="str">
        <f>IFERROR(__xludf.DUMMYFUNCTION("FILTER(colegios!$B$2:$B5618,colegios!$A$2:$A5618=L4332)"),"50492 CORAZON DE JESUS")</f>
        <v>50492 CORAZON DE JESUS</v>
      </c>
      <c r="F4332" s="14" t="s">
        <v>16</v>
      </c>
      <c r="G4332" s="20" t="s">
        <v>21</v>
      </c>
      <c r="H4332" s="14" t="s">
        <v>32</v>
      </c>
      <c r="I4332" s="22">
        <v>2022.0</v>
      </c>
      <c r="J4332" s="16" t="str">
        <f>IFERROR(__xludf.DUMMYFUNCTION("FILTER('CLASFICACIÓN'!$F$3:$F5618,'CLASFICACIÓN'!$G$3:$G5618=M4332)"),"LOS 3 AÑOS")</f>
        <v>LOS 3 AÑOS</v>
      </c>
      <c r="K4332" s="16"/>
      <c r="L4332" s="14" t="s">
        <v>189</v>
      </c>
      <c r="M4332" s="16" t="str">
        <f t="shared" si="1"/>
        <v>50492 CORAZON DE JESUS2 Primaria</v>
      </c>
      <c r="N4332" s="23"/>
      <c r="O4332" s="17"/>
      <c r="P4332" s="17"/>
      <c r="Q4332" s="17"/>
      <c r="R4332" s="17"/>
      <c r="S4332" s="17"/>
      <c r="T4332" s="17"/>
    </row>
    <row r="4333">
      <c r="A4333" s="21">
        <v>461.0</v>
      </c>
      <c r="B4333" s="14" t="s">
        <v>90</v>
      </c>
      <c r="C4333" s="14" t="s">
        <v>14</v>
      </c>
      <c r="D4333" s="20" t="s">
        <v>15</v>
      </c>
      <c r="E4333" s="12" t="str">
        <f>IFERROR(__xludf.DUMMYFUNCTION("FILTER(colegios!$B$2:$B5618,colegios!$A$2:$A5618=L4333)"),"501455 CRISTO REY TTIKARIY")</f>
        <v>501455 CRISTO REY TTIKARIY</v>
      </c>
      <c r="F4333" s="14" t="s">
        <v>16</v>
      </c>
      <c r="G4333" s="20" t="s">
        <v>21</v>
      </c>
      <c r="H4333" s="14" t="s">
        <v>18</v>
      </c>
      <c r="I4333" s="22">
        <v>2022.0</v>
      </c>
      <c r="J4333" s="16" t="str">
        <f>IFERROR(__xludf.DUMMYFUNCTION("FILTER('CLASFICACIÓN'!$F$3:$F5618,'CLASFICACIÓN'!$G$3:$G5618=M4333)"),"LOS 3 AÑOS")</f>
        <v>LOS 3 AÑOS</v>
      </c>
      <c r="K4333" s="16"/>
      <c r="L4333" s="14" t="s">
        <v>190</v>
      </c>
      <c r="M4333" s="16" t="str">
        <f t="shared" si="1"/>
        <v>501455 CRISTO REY TTIKARIY2 Primaria</v>
      </c>
      <c r="N4333" s="23"/>
      <c r="O4333" s="17"/>
      <c r="P4333" s="17"/>
      <c r="Q4333" s="17"/>
      <c r="R4333" s="17"/>
      <c r="S4333" s="17"/>
      <c r="T4333" s="17"/>
    </row>
    <row r="4334">
      <c r="A4334" s="21">
        <v>462.0</v>
      </c>
      <c r="B4334" s="14" t="s">
        <v>90</v>
      </c>
      <c r="C4334" s="14" t="s">
        <v>14</v>
      </c>
      <c r="D4334" s="20" t="s">
        <v>15</v>
      </c>
      <c r="E4334" s="12" t="str">
        <f>IFERROR(__xludf.DUMMYFUNCTION("FILTER(colegios!$B$2:$B5618,colegios!$A$2:$A5618=L4334)"),"501455 CRISTO REY TTIKARIY")</f>
        <v>501455 CRISTO REY TTIKARIY</v>
      </c>
      <c r="F4334" s="14" t="s">
        <v>16</v>
      </c>
      <c r="G4334" s="20" t="s">
        <v>17</v>
      </c>
      <c r="H4334" s="14" t="s">
        <v>18</v>
      </c>
      <c r="I4334" s="22">
        <v>2022.0</v>
      </c>
      <c r="J4334" s="16" t="str">
        <f>IFERROR(__xludf.DUMMYFUNCTION("FILTER('CLASFICACIÓN'!$F$3:$F5618,'CLASFICACIÓN'!$G$3:$G5618=M4334)"),"LOS 3 AÑOS")</f>
        <v>LOS 3 AÑOS</v>
      </c>
      <c r="K4334" s="16"/>
      <c r="L4334" s="14" t="s">
        <v>190</v>
      </c>
      <c r="M4334" s="16" t="str">
        <f t="shared" si="1"/>
        <v>501455 CRISTO REY TTIKARIY2 Primaria</v>
      </c>
      <c r="N4334" s="23"/>
      <c r="O4334" s="17"/>
      <c r="P4334" s="17"/>
      <c r="Q4334" s="17"/>
      <c r="R4334" s="17"/>
      <c r="S4334" s="17"/>
      <c r="T4334" s="17"/>
    </row>
    <row r="4335">
      <c r="A4335" s="21">
        <v>463.0</v>
      </c>
      <c r="B4335" s="14" t="s">
        <v>90</v>
      </c>
      <c r="C4335" s="14" t="s">
        <v>14</v>
      </c>
      <c r="D4335" s="20" t="s">
        <v>15</v>
      </c>
      <c r="E4335" s="12" t="str">
        <f>IFERROR(__xludf.DUMMYFUNCTION("FILTER(colegios!$B$2:$B5618,colegios!$A$2:$A5618=L4335)"),"501455 CRISTO REY TTIKARIY")</f>
        <v>501455 CRISTO REY TTIKARIY</v>
      </c>
      <c r="F4335" s="14" t="s">
        <v>16</v>
      </c>
      <c r="G4335" s="20" t="s">
        <v>21</v>
      </c>
      <c r="H4335" s="14" t="s">
        <v>18</v>
      </c>
      <c r="I4335" s="22">
        <v>2022.0</v>
      </c>
      <c r="J4335" s="16" t="str">
        <f>IFERROR(__xludf.DUMMYFUNCTION("FILTER('CLASFICACIÓN'!$F$3:$F5618,'CLASFICACIÓN'!$G$3:$G5618=M4335)"),"LOS 3 AÑOS")</f>
        <v>LOS 3 AÑOS</v>
      </c>
      <c r="K4335" s="16"/>
      <c r="L4335" s="14" t="s">
        <v>190</v>
      </c>
      <c r="M4335" s="16" t="str">
        <f t="shared" si="1"/>
        <v>501455 CRISTO REY TTIKARIY2 Primaria</v>
      </c>
      <c r="N4335" s="23"/>
      <c r="O4335" s="17"/>
      <c r="P4335" s="17"/>
      <c r="Q4335" s="17"/>
      <c r="R4335" s="17"/>
      <c r="S4335" s="17"/>
      <c r="T4335" s="17"/>
    </row>
    <row r="4336">
      <c r="A4336" s="21">
        <v>464.0</v>
      </c>
      <c r="B4336" s="14" t="s">
        <v>90</v>
      </c>
      <c r="C4336" s="14" t="s">
        <v>14</v>
      </c>
      <c r="D4336" s="20" t="s">
        <v>15</v>
      </c>
      <c r="E4336" s="12" t="str">
        <f>IFERROR(__xludf.DUMMYFUNCTION("FILTER(colegios!$B$2:$B5618,colegios!$A$2:$A5618=L4336)"),"501455 CRISTO REY TTIKARIY")</f>
        <v>501455 CRISTO REY TTIKARIY</v>
      </c>
      <c r="F4336" s="14" t="s">
        <v>16</v>
      </c>
      <c r="G4336" s="20" t="s">
        <v>21</v>
      </c>
      <c r="H4336" s="14" t="s">
        <v>24</v>
      </c>
      <c r="I4336" s="22">
        <v>2022.0</v>
      </c>
      <c r="J4336" s="16" t="str">
        <f>IFERROR(__xludf.DUMMYFUNCTION("FILTER('CLASFICACIÓN'!$F$3:$F5618,'CLASFICACIÓN'!$G$3:$G5618=M4336)"),"LOS 3 AÑOS")</f>
        <v>LOS 3 AÑOS</v>
      </c>
      <c r="K4336" s="16"/>
      <c r="L4336" s="14" t="s">
        <v>190</v>
      </c>
      <c r="M4336" s="16" t="str">
        <f t="shared" si="1"/>
        <v>501455 CRISTO REY TTIKARIY2 Primaria</v>
      </c>
      <c r="N4336" s="23"/>
      <c r="O4336" s="17"/>
      <c r="P4336" s="17"/>
      <c r="Q4336" s="17"/>
      <c r="R4336" s="17"/>
      <c r="S4336" s="17"/>
      <c r="T4336" s="17"/>
    </row>
    <row r="4337">
      <c r="A4337" s="21">
        <v>465.0</v>
      </c>
      <c r="B4337" s="14" t="s">
        <v>90</v>
      </c>
      <c r="C4337" s="14" t="s">
        <v>14</v>
      </c>
      <c r="D4337" s="20" t="s">
        <v>15</v>
      </c>
      <c r="E4337" s="12" t="str">
        <f>IFERROR(__xludf.DUMMYFUNCTION("FILTER(colegios!$B$2:$B5618,colegios!$A$2:$A5618=L4337)"),"50550")</f>
        <v>50550</v>
      </c>
      <c r="F4337" s="14" t="s">
        <v>16</v>
      </c>
      <c r="G4337" s="20" t="s">
        <v>17</v>
      </c>
      <c r="H4337" s="14" t="s">
        <v>18</v>
      </c>
      <c r="I4337" s="22">
        <v>2022.0</v>
      </c>
      <c r="J4337" s="16" t="str">
        <f>IFERROR(__xludf.DUMMYFUNCTION("FILTER('CLASFICACIÓN'!$F$3:$F5618,'CLASFICACIÓN'!$G$3:$G5618=M4337)"),"LOS 3 AÑOS")</f>
        <v>LOS 3 AÑOS</v>
      </c>
      <c r="K4337" s="16"/>
      <c r="L4337" s="14" t="s">
        <v>191</v>
      </c>
      <c r="M4337" s="16" t="str">
        <f t="shared" si="1"/>
        <v>505502 Primaria</v>
      </c>
      <c r="N4337" s="23"/>
      <c r="O4337" s="17"/>
      <c r="P4337" s="17"/>
      <c r="Q4337" s="17"/>
      <c r="R4337" s="17"/>
      <c r="S4337" s="17"/>
      <c r="T4337" s="17"/>
    </row>
    <row r="4338">
      <c r="A4338" s="21">
        <v>466.0</v>
      </c>
      <c r="B4338" s="14" t="s">
        <v>90</v>
      </c>
      <c r="C4338" s="14" t="s">
        <v>14</v>
      </c>
      <c r="D4338" s="20" t="s">
        <v>15</v>
      </c>
      <c r="E4338" s="12" t="str">
        <f>IFERROR(__xludf.DUMMYFUNCTION("FILTER(colegios!$B$2:$B5618,colegios!$A$2:$A5618=L4338)"),"50558")</f>
        <v>50558</v>
      </c>
      <c r="F4338" s="14" t="s">
        <v>16</v>
      </c>
      <c r="G4338" s="20" t="s">
        <v>21</v>
      </c>
      <c r="H4338" s="14" t="s">
        <v>18</v>
      </c>
      <c r="I4338" s="22">
        <v>2022.0</v>
      </c>
      <c r="J4338" s="16" t="str">
        <f>IFERROR(__xludf.DUMMYFUNCTION("FILTER('CLASFICACIÓN'!$F$3:$F5618,'CLASFICACIÓN'!$G$3:$G5618=M4338)"),"SOLO LINEA BASE")</f>
        <v>SOLO LINEA BASE</v>
      </c>
      <c r="K4338" s="16"/>
      <c r="L4338" s="14" t="s">
        <v>192</v>
      </c>
      <c r="M4338" s="16" t="str">
        <f t="shared" si="1"/>
        <v>505582 Primaria</v>
      </c>
      <c r="N4338" s="23"/>
      <c r="O4338" s="17"/>
      <c r="P4338" s="17"/>
      <c r="Q4338" s="17"/>
      <c r="R4338" s="17"/>
      <c r="S4338" s="17"/>
      <c r="T4338" s="17"/>
    </row>
    <row r="4339">
      <c r="A4339" s="21">
        <v>467.0</v>
      </c>
      <c r="B4339" s="14" t="s">
        <v>90</v>
      </c>
      <c r="C4339" s="14" t="s">
        <v>14</v>
      </c>
      <c r="D4339" s="20" t="s">
        <v>15</v>
      </c>
      <c r="E4339" s="12" t="str">
        <f>IFERROR(__xludf.DUMMYFUNCTION("FILTER(colegios!$B$2:$B5618,colegios!$A$2:$A5618=L4339)"),"50765")</f>
        <v>50765</v>
      </c>
      <c r="F4339" s="14" t="s">
        <v>16</v>
      </c>
      <c r="G4339" s="20" t="s">
        <v>17</v>
      </c>
      <c r="H4339" s="14" t="s">
        <v>18</v>
      </c>
      <c r="I4339" s="22">
        <v>2022.0</v>
      </c>
      <c r="J4339" s="16" t="str">
        <f>IFERROR(__xludf.DUMMYFUNCTION("FILTER('CLASFICACIÓN'!$F$3:$F5618,'CLASFICACIÓN'!$G$3:$G5618=M4339)"),"LOS 3 AÑOS")</f>
        <v>LOS 3 AÑOS</v>
      </c>
      <c r="K4339" s="16"/>
      <c r="L4339" s="14" t="s">
        <v>193</v>
      </c>
      <c r="M4339" s="16" t="str">
        <f t="shared" si="1"/>
        <v>507652 Primaria</v>
      </c>
      <c r="N4339" s="23"/>
      <c r="O4339" s="17"/>
      <c r="P4339" s="17"/>
      <c r="Q4339" s="17"/>
      <c r="R4339" s="17"/>
      <c r="S4339" s="17"/>
      <c r="T4339" s="17"/>
    </row>
    <row r="4340">
      <c r="A4340" s="21">
        <v>468.0</v>
      </c>
      <c r="B4340" s="14" t="s">
        <v>90</v>
      </c>
      <c r="C4340" s="14" t="s">
        <v>14</v>
      </c>
      <c r="D4340" s="20" t="s">
        <v>15</v>
      </c>
      <c r="E4340" s="12" t="str">
        <f>IFERROR(__xludf.DUMMYFUNCTION("FILTER(colegios!$B$2:$B5618,colegios!$A$2:$A5618=L4340)"),"50765")</f>
        <v>50765</v>
      </c>
      <c r="F4340" s="14" t="s">
        <v>16</v>
      </c>
      <c r="G4340" s="20" t="s">
        <v>21</v>
      </c>
      <c r="H4340" s="14" t="s">
        <v>24</v>
      </c>
      <c r="I4340" s="22">
        <v>2022.0</v>
      </c>
      <c r="J4340" s="16" t="str">
        <f>IFERROR(__xludf.DUMMYFUNCTION("FILTER('CLASFICACIÓN'!$F$3:$F5618,'CLASFICACIÓN'!$G$3:$G5618=M4340)"),"LOS 3 AÑOS")</f>
        <v>LOS 3 AÑOS</v>
      </c>
      <c r="K4340" s="16"/>
      <c r="L4340" s="14" t="s">
        <v>193</v>
      </c>
      <c r="M4340" s="16" t="str">
        <f t="shared" si="1"/>
        <v>507652 Primaria</v>
      </c>
      <c r="N4340" s="23"/>
      <c r="O4340" s="17"/>
      <c r="P4340" s="17"/>
      <c r="Q4340" s="17"/>
      <c r="R4340" s="17"/>
      <c r="S4340" s="17"/>
      <c r="T4340" s="17"/>
    </row>
    <row r="4341">
      <c r="A4341" s="21">
        <v>469.0</v>
      </c>
      <c r="B4341" s="14" t="s">
        <v>90</v>
      </c>
      <c r="C4341" s="14" t="s">
        <v>14</v>
      </c>
      <c r="D4341" s="20" t="s">
        <v>15</v>
      </c>
      <c r="E4341" s="12" t="str">
        <f>IFERROR(__xludf.DUMMYFUNCTION("FILTER(colegios!$B$2:$B5618,colegios!$A$2:$A5618=L4341)"),"50719 VIRGEN DEL CARMEN")</f>
        <v>50719 VIRGEN DEL CARMEN</v>
      </c>
      <c r="F4341" s="14" t="s">
        <v>16</v>
      </c>
      <c r="G4341" s="20" t="s">
        <v>17</v>
      </c>
      <c r="H4341" s="14" t="s">
        <v>18</v>
      </c>
      <c r="I4341" s="22">
        <v>2022.0</v>
      </c>
      <c r="J4341" s="16" t="str">
        <f>IFERROR(__xludf.DUMMYFUNCTION("FILTER('CLASFICACIÓN'!$F$3:$F5618,'CLASFICACIÓN'!$G$3:$G5618=M4341)"),"SOLO 2022 Y 2024")</f>
        <v>SOLO 2022 Y 2024</v>
      </c>
      <c r="K4341" s="16"/>
      <c r="L4341" s="14" t="s">
        <v>194</v>
      </c>
      <c r="M4341" s="16" t="str">
        <f t="shared" si="1"/>
        <v>50719 VIRGEN DEL CARMEN2 Primaria</v>
      </c>
      <c r="N4341" s="23"/>
      <c r="O4341" s="17"/>
      <c r="P4341" s="17"/>
      <c r="Q4341" s="17"/>
      <c r="R4341" s="17"/>
      <c r="S4341" s="17"/>
      <c r="T4341" s="17"/>
    </row>
    <row r="4342">
      <c r="A4342" s="21">
        <v>470.0</v>
      </c>
      <c r="B4342" s="14" t="s">
        <v>90</v>
      </c>
      <c r="C4342" s="14" t="s">
        <v>14</v>
      </c>
      <c r="D4342" s="20" t="s">
        <v>15</v>
      </c>
      <c r="E4342" s="12" t="str">
        <f>IFERROR(__xludf.DUMMYFUNCTION("FILTER(colegios!$B$2:$B5618,colegios!$A$2:$A5618=L4342)"),"50504")</f>
        <v>50504</v>
      </c>
      <c r="F4342" s="14" t="s">
        <v>16</v>
      </c>
      <c r="G4342" s="20" t="s">
        <v>21</v>
      </c>
      <c r="H4342" s="14" t="s">
        <v>18</v>
      </c>
      <c r="I4342" s="22">
        <v>2022.0</v>
      </c>
      <c r="J4342" s="16" t="str">
        <f>IFERROR(__xludf.DUMMYFUNCTION("FILTER('CLASFICACIÓN'!$F$3:$F5618,'CLASFICACIÓN'!$G$3:$G5618=M4342)"),"SOLO LINEA BASE")</f>
        <v>SOLO LINEA BASE</v>
      </c>
      <c r="K4342" s="16"/>
      <c r="L4342" s="14" t="s">
        <v>195</v>
      </c>
      <c r="M4342" s="16" t="str">
        <f t="shared" si="1"/>
        <v>505042 Primaria</v>
      </c>
      <c r="N4342" s="23"/>
      <c r="O4342" s="17"/>
      <c r="P4342" s="17"/>
      <c r="Q4342" s="17"/>
      <c r="R4342" s="17"/>
      <c r="S4342" s="17"/>
      <c r="T4342" s="17"/>
    </row>
    <row r="4343">
      <c r="A4343" s="21">
        <v>471.0</v>
      </c>
      <c r="B4343" s="14" t="s">
        <v>90</v>
      </c>
      <c r="C4343" s="14" t="s">
        <v>14</v>
      </c>
      <c r="D4343" s="20" t="s">
        <v>15</v>
      </c>
      <c r="E4343" s="12" t="str">
        <f>IFERROR(__xludf.DUMMYFUNCTION("FILTER(colegios!$B$2:$B5618,colegios!$A$2:$A5618=L4343)"),"50504")</f>
        <v>50504</v>
      </c>
      <c r="F4343" s="14" t="s">
        <v>16</v>
      </c>
      <c r="G4343" s="20" t="s">
        <v>17</v>
      </c>
      <c r="H4343" s="14" t="s">
        <v>18</v>
      </c>
      <c r="I4343" s="22">
        <v>2022.0</v>
      </c>
      <c r="J4343" s="16" t="str">
        <f>IFERROR(__xludf.DUMMYFUNCTION("FILTER('CLASFICACIÓN'!$F$3:$F5618,'CLASFICACIÓN'!$G$3:$G5618=M4343)"),"SOLO LINEA BASE")</f>
        <v>SOLO LINEA BASE</v>
      </c>
      <c r="K4343" s="16"/>
      <c r="L4343" s="14" t="s">
        <v>195</v>
      </c>
      <c r="M4343" s="16" t="str">
        <f t="shared" si="1"/>
        <v>505042 Primaria</v>
      </c>
      <c r="N4343" s="23"/>
      <c r="O4343" s="17"/>
      <c r="P4343" s="17"/>
      <c r="Q4343" s="17"/>
      <c r="R4343" s="17"/>
      <c r="S4343" s="17"/>
      <c r="T4343" s="17"/>
    </row>
    <row r="4344">
      <c r="A4344" s="21">
        <v>472.0</v>
      </c>
      <c r="B4344" s="14" t="s">
        <v>90</v>
      </c>
      <c r="C4344" s="14" t="s">
        <v>14</v>
      </c>
      <c r="D4344" s="20" t="s">
        <v>15</v>
      </c>
      <c r="E4344" s="12" t="str">
        <f>IFERROR(__xludf.DUMMYFUNCTION("FILTER(colegios!$B$2:$B5618,colegios!$A$2:$A5618=L4344)"),"50504")</f>
        <v>50504</v>
      </c>
      <c r="F4344" s="14" t="s">
        <v>16</v>
      </c>
      <c r="G4344" s="20" t="s">
        <v>17</v>
      </c>
      <c r="H4344" s="14" t="s">
        <v>18</v>
      </c>
      <c r="I4344" s="22">
        <v>2022.0</v>
      </c>
      <c r="J4344" s="16" t="str">
        <f>IFERROR(__xludf.DUMMYFUNCTION("FILTER('CLASFICACIÓN'!$F$3:$F5618,'CLASFICACIÓN'!$G$3:$G5618=M4344)"),"SOLO LINEA BASE")</f>
        <v>SOLO LINEA BASE</v>
      </c>
      <c r="K4344" s="16"/>
      <c r="L4344" s="14" t="s">
        <v>195</v>
      </c>
      <c r="M4344" s="16" t="str">
        <f t="shared" si="1"/>
        <v>505042 Primaria</v>
      </c>
      <c r="N4344" s="23"/>
      <c r="O4344" s="17"/>
      <c r="P4344" s="17"/>
      <c r="Q4344" s="17"/>
      <c r="R4344" s="17"/>
      <c r="S4344" s="17"/>
      <c r="T4344" s="17"/>
    </row>
    <row r="4345">
      <c r="A4345" s="21">
        <v>473.0</v>
      </c>
      <c r="B4345" s="14" t="s">
        <v>90</v>
      </c>
      <c r="C4345" s="14" t="s">
        <v>14</v>
      </c>
      <c r="D4345" s="20" t="s">
        <v>15</v>
      </c>
      <c r="E4345" s="12" t="str">
        <f>IFERROR(__xludf.DUMMYFUNCTION("FILTER(colegios!$B$2:$B5618,colegios!$A$2:$A5618=L4345)"),"50504")</f>
        <v>50504</v>
      </c>
      <c r="F4345" s="14" t="s">
        <v>16</v>
      </c>
      <c r="G4345" s="20" t="s">
        <v>21</v>
      </c>
      <c r="H4345" s="14" t="s">
        <v>18</v>
      </c>
      <c r="I4345" s="22">
        <v>2022.0</v>
      </c>
      <c r="J4345" s="16" t="str">
        <f>IFERROR(__xludf.DUMMYFUNCTION("FILTER('CLASFICACIÓN'!$F$3:$F5618,'CLASFICACIÓN'!$G$3:$G5618=M4345)"),"SOLO LINEA BASE")</f>
        <v>SOLO LINEA BASE</v>
      </c>
      <c r="K4345" s="16"/>
      <c r="L4345" s="14" t="s">
        <v>195</v>
      </c>
      <c r="M4345" s="16" t="str">
        <f t="shared" si="1"/>
        <v>505042 Primaria</v>
      </c>
      <c r="N4345" s="23"/>
      <c r="O4345" s="17"/>
      <c r="P4345" s="17"/>
      <c r="Q4345" s="17"/>
      <c r="R4345" s="17"/>
      <c r="S4345" s="17"/>
      <c r="T4345" s="17"/>
    </row>
    <row r="4346">
      <c r="A4346" s="21">
        <v>474.0</v>
      </c>
      <c r="B4346" s="14" t="s">
        <v>90</v>
      </c>
      <c r="C4346" s="14" t="s">
        <v>14</v>
      </c>
      <c r="D4346" s="20" t="s">
        <v>15</v>
      </c>
      <c r="E4346" s="12" t="str">
        <f>IFERROR(__xludf.DUMMYFUNCTION("FILTER(colegios!$B$2:$B5618,colegios!$A$2:$A5618=L4346)"),"50504")</f>
        <v>50504</v>
      </c>
      <c r="F4346" s="14" t="s">
        <v>16</v>
      </c>
      <c r="G4346" s="20" t="s">
        <v>21</v>
      </c>
      <c r="H4346" s="14" t="s">
        <v>18</v>
      </c>
      <c r="I4346" s="22">
        <v>2022.0</v>
      </c>
      <c r="J4346" s="16" t="str">
        <f>IFERROR(__xludf.DUMMYFUNCTION("FILTER('CLASFICACIÓN'!$F$3:$F5618,'CLASFICACIÓN'!$G$3:$G5618=M4346)"),"SOLO LINEA BASE")</f>
        <v>SOLO LINEA BASE</v>
      </c>
      <c r="K4346" s="16"/>
      <c r="L4346" s="14" t="s">
        <v>195</v>
      </c>
      <c r="M4346" s="16" t="str">
        <f t="shared" si="1"/>
        <v>505042 Primaria</v>
      </c>
      <c r="N4346" s="23"/>
      <c r="O4346" s="17"/>
      <c r="P4346" s="17"/>
      <c r="Q4346" s="17"/>
      <c r="R4346" s="17"/>
      <c r="S4346" s="17"/>
      <c r="T4346" s="17"/>
    </row>
    <row r="4347">
      <c r="A4347" s="21">
        <v>475.0</v>
      </c>
      <c r="B4347" s="14" t="s">
        <v>90</v>
      </c>
      <c r="C4347" s="14" t="s">
        <v>14</v>
      </c>
      <c r="D4347" s="20" t="s">
        <v>15</v>
      </c>
      <c r="E4347" s="12" t="str">
        <f>IFERROR(__xludf.DUMMYFUNCTION("FILTER(colegios!$B$2:$B5618,colegios!$A$2:$A5618=L4347)"),"50504")</f>
        <v>50504</v>
      </c>
      <c r="F4347" s="14" t="s">
        <v>16</v>
      </c>
      <c r="G4347" s="20" t="s">
        <v>17</v>
      </c>
      <c r="H4347" s="14" t="s">
        <v>18</v>
      </c>
      <c r="I4347" s="22">
        <v>2022.0</v>
      </c>
      <c r="J4347" s="16" t="str">
        <f>IFERROR(__xludf.DUMMYFUNCTION("FILTER('CLASFICACIÓN'!$F$3:$F5618,'CLASFICACIÓN'!$G$3:$G5618=M4347)"),"SOLO LINEA BASE")</f>
        <v>SOLO LINEA BASE</v>
      </c>
      <c r="K4347" s="16"/>
      <c r="L4347" s="14" t="s">
        <v>195</v>
      </c>
      <c r="M4347" s="16" t="str">
        <f t="shared" si="1"/>
        <v>505042 Primaria</v>
      </c>
      <c r="N4347" s="23"/>
      <c r="O4347" s="17"/>
      <c r="P4347" s="17"/>
      <c r="Q4347" s="17"/>
      <c r="R4347" s="17"/>
      <c r="S4347" s="17"/>
      <c r="T4347" s="17"/>
    </row>
    <row r="4348">
      <c r="A4348" s="21">
        <v>476.0</v>
      </c>
      <c r="B4348" s="14" t="s">
        <v>90</v>
      </c>
      <c r="C4348" s="14" t="s">
        <v>14</v>
      </c>
      <c r="D4348" s="20" t="s">
        <v>15</v>
      </c>
      <c r="E4348" s="12" t="str">
        <f>IFERROR(__xludf.DUMMYFUNCTION("FILTER(colegios!$B$2:$B5618,colegios!$A$2:$A5618=L4348)"),"50504")</f>
        <v>50504</v>
      </c>
      <c r="F4348" s="14" t="s">
        <v>16</v>
      </c>
      <c r="G4348" s="20" t="s">
        <v>17</v>
      </c>
      <c r="H4348" s="14" t="s">
        <v>18</v>
      </c>
      <c r="I4348" s="22">
        <v>2022.0</v>
      </c>
      <c r="J4348" s="16" t="str">
        <f>IFERROR(__xludf.DUMMYFUNCTION("FILTER('CLASFICACIÓN'!$F$3:$F5618,'CLASFICACIÓN'!$G$3:$G5618=M4348)"),"SOLO LINEA BASE")</f>
        <v>SOLO LINEA BASE</v>
      </c>
      <c r="K4348" s="16"/>
      <c r="L4348" s="14" t="s">
        <v>195</v>
      </c>
      <c r="M4348" s="16" t="str">
        <f t="shared" si="1"/>
        <v>505042 Primaria</v>
      </c>
      <c r="N4348" s="23"/>
      <c r="O4348" s="17"/>
      <c r="P4348" s="17"/>
      <c r="Q4348" s="17"/>
      <c r="R4348" s="17"/>
      <c r="S4348" s="17"/>
      <c r="T4348" s="17"/>
    </row>
    <row r="4349">
      <c r="A4349" s="21">
        <v>477.0</v>
      </c>
      <c r="B4349" s="14" t="s">
        <v>90</v>
      </c>
      <c r="C4349" s="14" t="s">
        <v>14</v>
      </c>
      <c r="D4349" s="20" t="s">
        <v>15</v>
      </c>
      <c r="E4349" s="12" t="str">
        <f>IFERROR(__xludf.DUMMYFUNCTION("FILTER(colegios!$B$2:$B5618,colegios!$A$2:$A5618=L4349)"),"50504")</f>
        <v>50504</v>
      </c>
      <c r="F4349" s="14" t="s">
        <v>16</v>
      </c>
      <c r="G4349" s="20" t="s">
        <v>21</v>
      </c>
      <c r="H4349" s="14" t="s">
        <v>18</v>
      </c>
      <c r="I4349" s="22">
        <v>2022.0</v>
      </c>
      <c r="J4349" s="16" t="str">
        <f>IFERROR(__xludf.DUMMYFUNCTION("FILTER('CLASFICACIÓN'!$F$3:$F5618,'CLASFICACIÓN'!$G$3:$G5618=M4349)"),"SOLO LINEA BASE")</f>
        <v>SOLO LINEA BASE</v>
      </c>
      <c r="K4349" s="16"/>
      <c r="L4349" s="14" t="s">
        <v>195</v>
      </c>
      <c r="M4349" s="16" t="str">
        <f t="shared" si="1"/>
        <v>505042 Primaria</v>
      </c>
      <c r="N4349" s="23"/>
      <c r="O4349" s="17"/>
      <c r="P4349" s="17"/>
      <c r="Q4349" s="17"/>
      <c r="R4349" s="17"/>
      <c r="S4349" s="17"/>
      <c r="T4349" s="17"/>
    </row>
    <row r="4350">
      <c r="A4350" s="21">
        <v>478.0</v>
      </c>
      <c r="B4350" s="14" t="s">
        <v>90</v>
      </c>
      <c r="C4350" s="14" t="s">
        <v>14</v>
      </c>
      <c r="D4350" s="20" t="s">
        <v>15</v>
      </c>
      <c r="E4350" s="12" t="str">
        <f>IFERROR(__xludf.DUMMYFUNCTION("FILTER(colegios!$B$2:$B5618,colegios!$A$2:$A5618=L4350)"),"50504")</f>
        <v>50504</v>
      </c>
      <c r="F4350" s="14" t="s">
        <v>16</v>
      </c>
      <c r="G4350" s="20" t="s">
        <v>21</v>
      </c>
      <c r="H4350" s="14" t="s">
        <v>18</v>
      </c>
      <c r="I4350" s="22">
        <v>2022.0</v>
      </c>
      <c r="J4350" s="16" t="str">
        <f>IFERROR(__xludf.DUMMYFUNCTION("FILTER('CLASFICACIÓN'!$F$3:$F5618,'CLASFICACIÓN'!$G$3:$G5618=M4350)"),"SOLO LINEA BASE")</f>
        <v>SOLO LINEA BASE</v>
      </c>
      <c r="K4350" s="16"/>
      <c r="L4350" s="14" t="s">
        <v>195</v>
      </c>
      <c r="M4350" s="16" t="str">
        <f t="shared" si="1"/>
        <v>505042 Primaria</v>
      </c>
      <c r="N4350" s="23"/>
      <c r="O4350" s="17"/>
      <c r="P4350" s="17"/>
      <c r="Q4350" s="17"/>
      <c r="R4350" s="17"/>
      <c r="S4350" s="17"/>
      <c r="T4350" s="17"/>
    </row>
    <row r="4351">
      <c r="A4351" s="21">
        <v>479.0</v>
      </c>
      <c r="B4351" s="14" t="s">
        <v>90</v>
      </c>
      <c r="C4351" s="14" t="s">
        <v>14</v>
      </c>
      <c r="D4351" s="20" t="s">
        <v>15</v>
      </c>
      <c r="E4351" s="12" t="str">
        <f>IFERROR(__xludf.DUMMYFUNCTION("FILTER(colegios!$B$2:$B5618,colegios!$A$2:$A5618=L4351)"),"50504")</f>
        <v>50504</v>
      </c>
      <c r="F4351" s="14" t="s">
        <v>16</v>
      </c>
      <c r="G4351" s="20" t="s">
        <v>17</v>
      </c>
      <c r="H4351" s="14" t="s">
        <v>18</v>
      </c>
      <c r="I4351" s="22">
        <v>2022.0</v>
      </c>
      <c r="J4351" s="16" t="str">
        <f>IFERROR(__xludf.DUMMYFUNCTION("FILTER('CLASFICACIÓN'!$F$3:$F5618,'CLASFICACIÓN'!$G$3:$G5618=M4351)"),"SOLO LINEA BASE")</f>
        <v>SOLO LINEA BASE</v>
      </c>
      <c r="K4351" s="16"/>
      <c r="L4351" s="14" t="s">
        <v>195</v>
      </c>
      <c r="M4351" s="16" t="str">
        <f t="shared" si="1"/>
        <v>505042 Primaria</v>
      </c>
      <c r="N4351" s="23"/>
      <c r="O4351" s="17"/>
      <c r="P4351" s="17"/>
      <c r="Q4351" s="17"/>
      <c r="R4351" s="17"/>
      <c r="S4351" s="17"/>
      <c r="T4351" s="17"/>
    </row>
    <row r="4352">
      <c r="A4352" s="21">
        <v>480.0</v>
      </c>
      <c r="B4352" s="14" t="s">
        <v>90</v>
      </c>
      <c r="C4352" s="14" t="s">
        <v>14</v>
      </c>
      <c r="D4352" s="20" t="s">
        <v>15</v>
      </c>
      <c r="E4352" s="12" t="str">
        <f>IFERROR(__xludf.DUMMYFUNCTION("FILTER(colegios!$B$2:$B5618,colegios!$A$2:$A5618=L4352)"),"50504")</f>
        <v>50504</v>
      </c>
      <c r="F4352" s="14" t="s">
        <v>16</v>
      </c>
      <c r="G4352" s="20" t="s">
        <v>21</v>
      </c>
      <c r="H4352" s="14" t="s">
        <v>18</v>
      </c>
      <c r="I4352" s="22">
        <v>2022.0</v>
      </c>
      <c r="J4352" s="16" t="str">
        <f>IFERROR(__xludf.DUMMYFUNCTION("FILTER('CLASFICACIÓN'!$F$3:$F5618,'CLASFICACIÓN'!$G$3:$G5618=M4352)"),"SOLO LINEA BASE")</f>
        <v>SOLO LINEA BASE</v>
      </c>
      <c r="K4352" s="16"/>
      <c r="L4352" s="14" t="s">
        <v>195</v>
      </c>
      <c r="M4352" s="16" t="str">
        <f t="shared" si="1"/>
        <v>505042 Primaria</v>
      </c>
      <c r="N4352" s="23"/>
      <c r="O4352" s="17"/>
      <c r="P4352" s="17"/>
      <c r="Q4352" s="17"/>
      <c r="R4352" s="17"/>
      <c r="S4352" s="17"/>
      <c r="T4352" s="17"/>
    </row>
    <row r="4353">
      <c r="A4353" s="21">
        <v>481.0</v>
      </c>
      <c r="B4353" s="14" t="s">
        <v>90</v>
      </c>
      <c r="C4353" s="14" t="s">
        <v>14</v>
      </c>
      <c r="D4353" s="20" t="s">
        <v>15</v>
      </c>
      <c r="E4353" s="12" t="str">
        <f>IFERROR(__xludf.DUMMYFUNCTION("FILTER(colegios!$B$2:$B5618,colegios!$A$2:$A5618=L4353)"),"50504")</f>
        <v>50504</v>
      </c>
      <c r="F4353" s="14" t="s">
        <v>16</v>
      </c>
      <c r="G4353" s="20" t="s">
        <v>17</v>
      </c>
      <c r="H4353" s="14" t="s">
        <v>18</v>
      </c>
      <c r="I4353" s="22">
        <v>2022.0</v>
      </c>
      <c r="J4353" s="16" t="str">
        <f>IFERROR(__xludf.DUMMYFUNCTION("FILTER('CLASFICACIÓN'!$F$3:$F5618,'CLASFICACIÓN'!$G$3:$G5618=M4353)"),"SOLO LINEA BASE")</f>
        <v>SOLO LINEA BASE</v>
      </c>
      <c r="K4353" s="16"/>
      <c r="L4353" s="14" t="s">
        <v>195</v>
      </c>
      <c r="M4353" s="16" t="str">
        <f t="shared" si="1"/>
        <v>505042 Primaria</v>
      </c>
      <c r="N4353" s="23"/>
      <c r="O4353" s="17"/>
      <c r="P4353" s="17"/>
      <c r="Q4353" s="17"/>
      <c r="R4353" s="17"/>
      <c r="S4353" s="17"/>
      <c r="T4353" s="17"/>
    </row>
    <row r="4354">
      <c r="A4354" s="21">
        <v>482.0</v>
      </c>
      <c r="B4354" s="14" t="s">
        <v>90</v>
      </c>
      <c r="C4354" s="14" t="s">
        <v>14</v>
      </c>
      <c r="D4354" s="20" t="s">
        <v>15</v>
      </c>
      <c r="E4354" s="12" t="str">
        <f>IFERROR(__xludf.DUMMYFUNCTION("FILTER(colegios!$B$2:$B5618,colegios!$A$2:$A5618=L4354)"),"50504")</f>
        <v>50504</v>
      </c>
      <c r="F4354" s="14" t="s">
        <v>16</v>
      </c>
      <c r="G4354" s="20" t="s">
        <v>21</v>
      </c>
      <c r="H4354" s="14" t="s">
        <v>18</v>
      </c>
      <c r="I4354" s="22">
        <v>2022.0</v>
      </c>
      <c r="J4354" s="16" t="str">
        <f>IFERROR(__xludf.DUMMYFUNCTION("FILTER('CLASFICACIÓN'!$F$3:$F5618,'CLASFICACIÓN'!$G$3:$G5618=M4354)"),"SOLO LINEA BASE")</f>
        <v>SOLO LINEA BASE</v>
      </c>
      <c r="K4354" s="16"/>
      <c r="L4354" s="14" t="s">
        <v>195</v>
      </c>
      <c r="M4354" s="16" t="str">
        <f t="shared" si="1"/>
        <v>505042 Primaria</v>
      </c>
      <c r="N4354" s="23"/>
      <c r="O4354" s="17"/>
      <c r="P4354" s="17"/>
      <c r="Q4354" s="17"/>
      <c r="R4354" s="17"/>
      <c r="S4354" s="17"/>
      <c r="T4354" s="17"/>
    </row>
    <row r="4355">
      <c r="A4355" s="21">
        <v>483.0</v>
      </c>
      <c r="B4355" s="14" t="s">
        <v>90</v>
      </c>
      <c r="C4355" s="14" t="s">
        <v>14</v>
      </c>
      <c r="D4355" s="20" t="s">
        <v>15</v>
      </c>
      <c r="E4355" s="12" t="str">
        <f>IFERROR(__xludf.DUMMYFUNCTION("FILTER(colegios!$B$2:$B5618,colegios!$A$2:$A5618=L4355)"),"50504")</f>
        <v>50504</v>
      </c>
      <c r="F4355" s="14" t="s">
        <v>16</v>
      </c>
      <c r="G4355" s="20" t="s">
        <v>17</v>
      </c>
      <c r="H4355" s="14" t="s">
        <v>18</v>
      </c>
      <c r="I4355" s="22">
        <v>2022.0</v>
      </c>
      <c r="J4355" s="16" t="str">
        <f>IFERROR(__xludf.DUMMYFUNCTION("FILTER('CLASFICACIÓN'!$F$3:$F5618,'CLASFICACIÓN'!$G$3:$G5618=M4355)"),"SOLO LINEA BASE")</f>
        <v>SOLO LINEA BASE</v>
      </c>
      <c r="K4355" s="16"/>
      <c r="L4355" s="14" t="s">
        <v>195</v>
      </c>
      <c r="M4355" s="16" t="str">
        <f t="shared" si="1"/>
        <v>505042 Primaria</v>
      </c>
      <c r="N4355" s="23"/>
      <c r="O4355" s="17"/>
      <c r="P4355" s="17"/>
      <c r="Q4355" s="17"/>
      <c r="R4355" s="17"/>
      <c r="S4355" s="17"/>
      <c r="T4355" s="17"/>
    </row>
    <row r="4356">
      <c r="A4356" s="21">
        <v>484.0</v>
      </c>
      <c r="B4356" s="14" t="s">
        <v>90</v>
      </c>
      <c r="C4356" s="14" t="s">
        <v>14</v>
      </c>
      <c r="D4356" s="20" t="s">
        <v>15</v>
      </c>
      <c r="E4356" s="12" t="str">
        <f>IFERROR(__xludf.DUMMYFUNCTION("FILTER(colegios!$B$2:$B5618,colegios!$A$2:$A5618=L4356)"),"50504")</f>
        <v>50504</v>
      </c>
      <c r="F4356" s="14" t="s">
        <v>16</v>
      </c>
      <c r="G4356" s="20" t="s">
        <v>21</v>
      </c>
      <c r="H4356" s="14" t="s">
        <v>18</v>
      </c>
      <c r="I4356" s="22">
        <v>2022.0</v>
      </c>
      <c r="J4356" s="16" t="str">
        <f>IFERROR(__xludf.DUMMYFUNCTION("FILTER('CLASFICACIÓN'!$F$3:$F5618,'CLASFICACIÓN'!$G$3:$G5618=M4356)"),"SOLO LINEA BASE")</f>
        <v>SOLO LINEA BASE</v>
      </c>
      <c r="K4356" s="16"/>
      <c r="L4356" s="14" t="s">
        <v>195</v>
      </c>
      <c r="M4356" s="16" t="str">
        <f t="shared" si="1"/>
        <v>505042 Primaria</v>
      </c>
      <c r="N4356" s="23"/>
      <c r="O4356" s="17"/>
      <c r="P4356" s="17"/>
      <c r="Q4356" s="17"/>
      <c r="R4356" s="17"/>
      <c r="S4356" s="17"/>
      <c r="T4356" s="17"/>
    </row>
    <row r="4357">
      <c r="A4357" s="21">
        <v>485.0</v>
      </c>
      <c r="B4357" s="14" t="s">
        <v>90</v>
      </c>
      <c r="C4357" s="14" t="s">
        <v>14</v>
      </c>
      <c r="D4357" s="20" t="s">
        <v>15</v>
      </c>
      <c r="E4357" s="12" t="str">
        <f>IFERROR(__xludf.DUMMYFUNCTION("FILTER(colegios!$B$2:$B5618,colegios!$A$2:$A5618=L4357)"),"50504")</f>
        <v>50504</v>
      </c>
      <c r="F4357" s="14" t="s">
        <v>16</v>
      </c>
      <c r="G4357" s="20" t="s">
        <v>21</v>
      </c>
      <c r="H4357" s="14" t="s">
        <v>18</v>
      </c>
      <c r="I4357" s="22">
        <v>2022.0</v>
      </c>
      <c r="J4357" s="16" t="str">
        <f>IFERROR(__xludf.DUMMYFUNCTION("FILTER('CLASFICACIÓN'!$F$3:$F5618,'CLASFICACIÓN'!$G$3:$G5618=M4357)"),"SOLO LINEA BASE")</f>
        <v>SOLO LINEA BASE</v>
      </c>
      <c r="K4357" s="16"/>
      <c r="L4357" s="14" t="s">
        <v>195</v>
      </c>
      <c r="M4357" s="16" t="str">
        <f t="shared" si="1"/>
        <v>505042 Primaria</v>
      </c>
      <c r="N4357" s="23"/>
      <c r="O4357" s="17"/>
      <c r="P4357" s="17"/>
      <c r="Q4357" s="17"/>
      <c r="R4357" s="17"/>
      <c r="S4357" s="17"/>
      <c r="T4357" s="17"/>
    </row>
    <row r="4358">
      <c r="A4358" s="21">
        <v>486.0</v>
      </c>
      <c r="B4358" s="14" t="s">
        <v>90</v>
      </c>
      <c r="C4358" s="14" t="s">
        <v>14</v>
      </c>
      <c r="D4358" s="20" t="s">
        <v>15</v>
      </c>
      <c r="E4358" s="12" t="str">
        <f>IFERROR(__xludf.DUMMYFUNCTION("FILTER(colegios!$B$2:$B5618,colegios!$A$2:$A5618=L4358)"),"50504")</f>
        <v>50504</v>
      </c>
      <c r="F4358" s="14" t="s">
        <v>16</v>
      </c>
      <c r="G4358" s="20" t="s">
        <v>17</v>
      </c>
      <c r="H4358" s="14" t="s">
        <v>18</v>
      </c>
      <c r="I4358" s="22">
        <v>2022.0</v>
      </c>
      <c r="J4358" s="16" t="str">
        <f>IFERROR(__xludf.DUMMYFUNCTION("FILTER('CLASFICACIÓN'!$F$3:$F5618,'CLASFICACIÓN'!$G$3:$G5618=M4358)"),"SOLO LINEA BASE")</f>
        <v>SOLO LINEA BASE</v>
      </c>
      <c r="K4358" s="16"/>
      <c r="L4358" s="14" t="s">
        <v>195</v>
      </c>
      <c r="M4358" s="16" t="str">
        <f t="shared" si="1"/>
        <v>505042 Primaria</v>
      </c>
      <c r="N4358" s="23"/>
      <c r="O4358" s="17"/>
      <c r="P4358" s="17"/>
      <c r="Q4358" s="17"/>
      <c r="R4358" s="17"/>
      <c r="S4358" s="17"/>
      <c r="T4358" s="17"/>
    </row>
    <row r="4359">
      <c r="A4359" s="21">
        <v>487.0</v>
      </c>
      <c r="B4359" s="14" t="s">
        <v>90</v>
      </c>
      <c r="C4359" s="14" t="s">
        <v>14</v>
      </c>
      <c r="D4359" s="20" t="s">
        <v>15</v>
      </c>
      <c r="E4359" s="12" t="str">
        <f>IFERROR(__xludf.DUMMYFUNCTION("FILTER(colegios!$B$2:$B5618,colegios!$A$2:$A5618=L4359)"),"50504")</f>
        <v>50504</v>
      </c>
      <c r="F4359" s="14" t="s">
        <v>16</v>
      </c>
      <c r="G4359" s="20" t="s">
        <v>21</v>
      </c>
      <c r="H4359" s="14" t="s">
        <v>18</v>
      </c>
      <c r="I4359" s="22">
        <v>2022.0</v>
      </c>
      <c r="J4359" s="16" t="str">
        <f>IFERROR(__xludf.DUMMYFUNCTION("FILTER('CLASFICACIÓN'!$F$3:$F5618,'CLASFICACIÓN'!$G$3:$G5618=M4359)"),"SOLO LINEA BASE")</f>
        <v>SOLO LINEA BASE</v>
      </c>
      <c r="K4359" s="16"/>
      <c r="L4359" s="14" t="s">
        <v>195</v>
      </c>
      <c r="M4359" s="16" t="str">
        <f t="shared" si="1"/>
        <v>505042 Primaria</v>
      </c>
      <c r="N4359" s="23"/>
      <c r="O4359" s="17"/>
      <c r="P4359" s="17"/>
      <c r="Q4359" s="17"/>
      <c r="R4359" s="17"/>
      <c r="S4359" s="17"/>
      <c r="T4359" s="17"/>
    </row>
    <row r="4360">
      <c r="A4360" s="21">
        <v>488.0</v>
      </c>
      <c r="B4360" s="14" t="s">
        <v>90</v>
      </c>
      <c r="C4360" s="14" t="s">
        <v>14</v>
      </c>
      <c r="D4360" s="20" t="s">
        <v>15</v>
      </c>
      <c r="E4360" s="12" t="str">
        <f>IFERROR(__xludf.DUMMYFUNCTION("FILTER(colegios!$B$2:$B5618,colegios!$A$2:$A5618=L4360)"),"50504")</f>
        <v>50504</v>
      </c>
      <c r="F4360" s="14" t="s">
        <v>16</v>
      </c>
      <c r="G4360" s="20" t="s">
        <v>17</v>
      </c>
      <c r="H4360" s="14" t="s">
        <v>18</v>
      </c>
      <c r="I4360" s="22">
        <v>2022.0</v>
      </c>
      <c r="J4360" s="16" t="str">
        <f>IFERROR(__xludf.DUMMYFUNCTION("FILTER('CLASFICACIÓN'!$F$3:$F5618,'CLASFICACIÓN'!$G$3:$G5618=M4360)"),"SOLO LINEA BASE")</f>
        <v>SOLO LINEA BASE</v>
      </c>
      <c r="K4360" s="16"/>
      <c r="L4360" s="14" t="s">
        <v>195</v>
      </c>
      <c r="M4360" s="16" t="str">
        <f t="shared" si="1"/>
        <v>505042 Primaria</v>
      </c>
      <c r="N4360" s="23"/>
      <c r="O4360" s="17"/>
      <c r="P4360" s="17"/>
      <c r="Q4360" s="17"/>
      <c r="R4360" s="17"/>
      <c r="S4360" s="17"/>
      <c r="T4360" s="17"/>
    </row>
    <row r="4361">
      <c r="A4361" s="21">
        <v>489.0</v>
      </c>
      <c r="B4361" s="14" t="s">
        <v>90</v>
      </c>
      <c r="C4361" s="14" t="s">
        <v>14</v>
      </c>
      <c r="D4361" s="20" t="s">
        <v>15</v>
      </c>
      <c r="E4361" s="12" t="str">
        <f>IFERROR(__xludf.DUMMYFUNCTION("FILTER(colegios!$B$2:$B5618,colegios!$A$2:$A5618=L4361)"),"50504")</f>
        <v>50504</v>
      </c>
      <c r="F4361" s="14" t="s">
        <v>16</v>
      </c>
      <c r="G4361" s="20" t="s">
        <v>21</v>
      </c>
      <c r="H4361" s="14" t="s">
        <v>18</v>
      </c>
      <c r="I4361" s="22">
        <v>2022.0</v>
      </c>
      <c r="J4361" s="16" t="str">
        <f>IFERROR(__xludf.DUMMYFUNCTION("FILTER('CLASFICACIÓN'!$F$3:$F5618,'CLASFICACIÓN'!$G$3:$G5618=M4361)"),"SOLO LINEA BASE")</f>
        <v>SOLO LINEA BASE</v>
      </c>
      <c r="K4361" s="16"/>
      <c r="L4361" s="14" t="s">
        <v>195</v>
      </c>
      <c r="M4361" s="16" t="str">
        <f t="shared" si="1"/>
        <v>505042 Primaria</v>
      </c>
      <c r="N4361" s="23"/>
      <c r="O4361" s="17"/>
      <c r="P4361" s="17"/>
      <c r="Q4361" s="17"/>
      <c r="R4361" s="17"/>
      <c r="S4361" s="17"/>
      <c r="T4361" s="17"/>
    </row>
    <row r="4362">
      <c r="A4362" s="21">
        <v>490.0</v>
      </c>
      <c r="B4362" s="14" t="s">
        <v>90</v>
      </c>
      <c r="C4362" s="14" t="s">
        <v>14</v>
      </c>
      <c r="D4362" s="20" t="s">
        <v>15</v>
      </c>
      <c r="E4362" s="12" t="str">
        <f>IFERROR(__xludf.DUMMYFUNCTION("FILTER(colegios!$B$2:$B5618,colegios!$A$2:$A5618=L4362)"),"50504")</f>
        <v>50504</v>
      </c>
      <c r="F4362" s="14" t="s">
        <v>16</v>
      </c>
      <c r="G4362" s="20" t="s">
        <v>17</v>
      </c>
      <c r="H4362" s="14" t="s">
        <v>18</v>
      </c>
      <c r="I4362" s="22">
        <v>2022.0</v>
      </c>
      <c r="J4362" s="16" t="str">
        <f>IFERROR(__xludf.DUMMYFUNCTION("FILTER('CLASFICACIÓN'!$F$3:$F5618,'CLASFICACIÓN'!$G$3:$G5618=M4362)"),"SOLO LINEA BASE")</f>
        <v>SOLO LINEA BASE</v>
      </c>
      <c r="K4362" s="16"/>
      <c r="L4362" s="14" t="s">
        <v>195</v>
      </c>
      <c r="M4362" s="16" t="str">
        <f t="shared" si="1"/>
        <v>505042 Primaria</v>
      </c>
      <c r="N4362" s="23"/>
      <c r="O4362" s="17"/>
      <c r="P4362" s="17"/>
      <c r="Q4362" s="17"/>
      <c r="R4362" s="17"/>
      <c r="S4362" s="17"/>
      <c r="T4362" s="17"/>
    </row>
    <row r="4363">
      <c r="A4363" s="21">
        <v>491.0</v>
      </c>
      <c r="B4363" s="14" t="s">
        <v>90</v>
      </c>
      <c r="C4363" s="14" t="s">
        <v>14</v>
      </c>
      <c r="D4363" s="20" t="s">
        <v>15</v>
      </c>
      <c r="E4363" s="12" t="str">
        <f>IFERROR(__xludf.DUMMYFUNCTION("FILTER(colegios!$B$2:$B5618,colegios!$A$2:$A5618=L4363)"),"50504")</f>
        <v>50504</v>
      </c>
      <c r="F4363" s="14" t="s">
        <v>16</v>
      </c>
      <c r="G4363" s="20" t="s">
        <v>17</v>
      </c>
      <c r="H4363" s="14" t="s">
        <v>18</v>
      </c>
      <c r="I4363" s="22">
        <v>2022.0</v>
      </c>
      <c r="J4363" s="16" t="str">
        <f>IFERROR(__xludf.DUMMYFUNCTION("FILTER('CLASFICACIÓN'!$F$3:$F5618,'CLASFICACIÓN'!$G$3:$G5618=M4363)"),"SOLO LINEA BASE")</f>
        <v>SOLO LINEA BASE</v>
      </c>
      <c r="K4363" s="16"/>
      <c r="L4363" s="14" t="s">
        <v>195</v>
      </c>
      <c r="M4363" s="16" t="str">
        <f t="shared" si="1"/>
        <v>505042 Primaria</v>
      </c>
      <c r="N4363" s="23"/>
      <c r="O4363" s="17"/>
      <c r="P4363" s="17"/>
      <c r="Q4363" s="17"/>
      <c r="R4363" s="17"/>
      <c r="S4363" s="17"/>
      <c r="T4363" s="17"/>
    </row>
    <row r="4364">
      <c r="A4364" s="21">
        <v>492.0</v>
      </c>
      <c r="B4364" s="14" t="s">
        <v>90</v>
      </c>
      <c r="C4364" s="14" t="s">
        <v>14</v>
      </c>
      <c r="D4364" s="20" t="s">
        <v>15</v>
      </c>
      <c r="E4364" s="12" t="str">
        <f>IFERROR(__xludf.DUMMYFUNCTION("FILTER(colegios!$B$2:$B5618,colegios!$A$2:$A5618=L4364)"),"50504")</f>
        <v>50504</v>
      </c>
      <c r="F4364" s="14" t="s">
        <v>16</v>
      </c>
      <c r="G4364" s="20" t="s">
        <v>17</v>
      </c>
      <c r="H4364" s="14" t="s">
        <v>18</v>
      </c>
      <c r="I4364" s="22">
        <v>2022.0</v>
      </c>
      <c r="J4364" s="16" t="str">
        <f>IFERROR(__xludf.DUMMYFUNCTION("FILTER('CLASFICACIÓN'!$F$3:$F5618,'CLASFICACIÓN'!$G$3:$G5618=M4364)"),"SOLO LINEA BASE")</f>
        <v>SOLO LINEA BASE</v>
      </c>
      <c r="K4364" s="16"/>
      <c r="L4364" s="14" t="s">
        <v>195</v>
      </c>
      <c r="M4364" s="16" t="str">
        <f t="shared" si="1"/>
        <v>505042 Primaria</v>
      </c>
      <c r="N4364" s="23"/>
      <c r="O4364" s="17"/>
      <c r="P4364" s="17"/>
      <c r="Q4364" s="17"/>
      <c r="R4364" s="17"/>
      <c r="S4364" s="17"/>
      <c r="T4364" s="17"/>
    </row>
    <row r="4365">
      <c r="A4365" s="21">
        <v>493.0</v>
      </c>
      <c r="B4365" s="14" t="s">
        <v>90</v>
      </c>
      <c r="C4365" s="14" t="s">
        <v>14</v>
      </c>
      <c r="D4365" s="20" t="s">
        <v>15</v>
      </c>
      <c r="E4365" s="12" t="str">
        <f>IFERROR(__xludf.DUMMYFUNCTION("FILTER(colegios!$B$2:$B5618,colegios!$A$2:$A5618=L4365)"),"50504")</f>
        <v>50504</v>
      </c>
      <c r="F4365" s="14" t="s">
        <v>16</v>
      </c>
      <c r="G4365" s="20" t="s">
        <v>21</v>
      </c>
      <c r="H4365" s="14" t="s">
        <v>18</v>
      </c>
      <c r="I4365" s="22">
        <v>2022.0</v>
      </c>
      <c r="J4365" s="16" t="str">
        <f>IFERROR(__xludf.DUMMYFUNCTION("FILTER('CLASFICACIÓN'!$F$3:$F5618,'CLASFICACIÓN'!$G$3:$G5618=M4365)"),"SOLO LINEA BASE")</f>
        <v>SOLO LINEA BASE</v>
      </c>
      <c r="K4365" s="16"/>
      <c r="L4365" s="14" t="s">
        <v>195</v>
      </c>
      <c r="M4365" s="16" t="str">
        <f t="shared" si="1"/>
        <v>505042 Primaria</v>
      </c>
      <c r="N4365" s="23"/>
      <c r="O4365" s="17"/>
      <c r="P4365" s="17"/>
      <c r="Q4365" s="17"/>
      <c r="R4365" s="17"/>
      <c r="S4365" s="17"/>
      <c r="T4365" s="17"/>
    </row>
    <row r="4366">
      <c r="A4366" s="21">
        <v>494.0</v>
      </c>
      <c r="B4366" s="14" t="s">
        <v>90</v>
      </c>
      <c r="C4366" s="14" t="s">
        <v>14</v>
      </c>
      <c r="D4366" s="20" t="s">
        <v>15</v>
      </c>
      <c r="E4366" s="12" t="str">
        <f>IFERROR(__xludf.DUMMYFUNCTION("FILTER(colegios!$B$2:$B5618,colegios!$A$2:$A5618=L4366)"),"50504")</f>
        <v>50504</v>
      </c>
      <c r="F4366" s="14" t="s">
        <v>16</v>
      </c>
      <c r="G4366" s="20" t="s">
        <v>17</v>
      </c>
      <c r="H4366" s="14" t="s">
        <v>18</v>
      </c>
      <c r="I4366" s="22">
        <v>2022.0</v>
      </c>
      <c r="J4366" s="16" t="str">
        <f>IFERROR(__xludf.DUMMYFUNCTION("FILTER('CLASFICACIÓN'!$F$3:$F5618,'CLASFICACIÓN'!$G$3:$G5618=M4366)"),"SOLO LINEA BASE")</f>
        <v>SOLO LINEA BASE</v>
      </c>
      <c r="K4366" s="16"/>
      <c r="L4366" s="14" t="s">
        <v>195</v>
      </c>
      <c r="M4366" s="16" t="str">
        <f t="shared" si="1"/>
        <v>505042 Primaria</v>
      </c>
      <c r="N4366" s="23"/>
      <c r="O4366" s="17"/>
      <c r="P4366" s="17"/>
      <c r="Q4366" s="17"/>
      <c r="R4366" s="17"/>
      <c r="S4366" s="17"/>
      <c r="T4366" s="17"/>
    </row>
    <row r="4367">
      <c r="A4367" s="21">
        <v>495.0</v>
      </c>
      <c r="B4367" s="14" t="s">
        <v>90</v>
      </c>
      <c r="C4367" s="14" t="s">
        <v>14</v>
      </c>
      <c r="D4367" s="20" t="s">
        <v>15</v>
      </c>
      <c r="E4367" s="12" t="str">
        <f>IFERROR(__xludf.DUMMYFUNCTION("FILTER(colegios!$B$2:$B5618,colegios!$A$2:$A5618=L4367)"),"50504")</f>
        <v>50504</v>
      </c>
      <c r="F4367" s="14" t="s">
        <v>16</v>
      </c>
      <c r="G4367" s="20" t="s">
        <v>17</v>
      </c>
      <c r="H4367" s="14" t="s">
        <v>18</v>
      </c>
      <c r="I4367" s="22">
        <v>2022.0</v>
      </c>
      <c r="J4367" s="16" t="str">
        <f>IFERROR(__xludf.DUMMYFUNCTION("FILTER('CLASFICACIÓN'!$F$3:$F5618,'CLASFICACIÓN'!$G$3:$G5618=M4367)"),"SOLO LINEA BASE")</f>
        <v>SOLO LINEA BASE</v>
      </c>
      <c r="K4367" s="16"/>
      <c r="L4367" s="14" t="s">
        <v>195</v>
      </c>
      <c r="M4367" s="16" t="str">
        <f t="shared" si="1"/>
        <v>505042 Primaria</v>
      </c>
      <c r="N4367" s="23"/>
      <c r="O4367" s="17"/>
      <c r="P4367" s="17"/>
      <c r="Q4367" s="17"/>
      <c r="R4367" s="17"/>
      <c r="S4367" s="17"/>
      <c r="T4367" s="17"/>
    </row>
    <row r="4368">
      <c r="A4368" s="21">
        <v>496.0</v>
      </c>
      <c r="B4368" s="14" t="s">
        <v>90</v>
      </c>
      <c r="C4368" s="14" t="s">
        <v>14</v>
      </c>
      <c r="D4368" s="20" t="s">
        <v>15</v>
      </c>
      <c r="E4368" s="12" t="str">
        <f>IFERROR(__xludf.DUMMYFUNCTION("FILTER(colegios!$B$2:$B5618,colegios!$A$2:$A5618=L4368)"),"50504")</f>
        <v>50504</v>
      </c>
      <c r="F4368" s="14" t="s">
        <v>16</v>
      </c>
      <c r="G4368" s="20" t="s">
        <v>17</v>
      </c>
      <c r="H4368" s="14" t="s">
        <v>18</v>
      </c>
      <c r="I4368" s="22">
        <v>2022.0</v>
      </c>
      <c r="J4368" s="16" t="str">
        <f>IFERROR(__xludf.DUMMYFUNCTION("FILTER('CLASFICACIÓN'!$F$3:$F5618,'CLASFICACIÓN'!$G$3:$G5618=M4368)"),"SOLO LINEA BASE")</f>
        <v>SOLO LINEA BASE</v>
      </c>
      <c r="K4368" s="16"/>
      <c r="L4368" s="14" t="s">
        <v>195</v>
      </c>
      <c r="M4368" s="16" t="str">
        <f t="shared" si="1"/>
        <v>505042 Primaria</v>
      </c>
      <c r="N4368" s="23"/>
      <c r="O4368" s="17"/>
      <c r="P4368" s="17"/>
      <c r="Q4368" s="17"/>
      <c r="R4368" s="17"/>
      <c r="S4368" s="17"/>
      <c r="T4368" s="17"/>
    </row>
    <row r="4369">
      <c r="A4369" s="21">
        <v>497.0</v>
      </c>
      <c r="B4369" s="14" t="s">
        <v>90</v>
      </c>
      <c r="C4369" s="14" t="s">
        <v>14</v>
      </c>
      <c r="D4369" s="20" t="s">
        <v>15</v>
      </c>
      <c r="E4369" s="12" t="str">
        <f>IFERROR(__xludf.DUMMYFUNCTION("FILTER(colegios!$B$2:$B5618,colegios!$A$2:$A5618=L4369)"),"50504")</f>
        <v>50504</v>
      </c>
      <c r="F4369" s="14" t="s">
        <v>16</v>
      </c>
      <c r="G4369" s="20" t="s">
        <v>21</v>
      </c>
      <c r="H4369" s="14" t="s">
        <v>18</v>
      </c>
      <c r="I4369" s="22">
        <v>2022.0</v>
      </c>
      <c r="J4369" s="16" t="str">
        <f>IFERROR(__xludf.DUMMYFUNCTION("FILTER('CLASFICACIÓN'!$F$3:$F5618,'CLASFICACIÓN'!$G$3:$G5618=M4369)"),"SOLO LINEA BASE")</f>
        <v>SOLO LINEA BASE</v>
      </c>
      <c r="K4369" s="16"/>
      <c r="L4369" s="14" t="s">
        <v>195</v>
      </c>
      <c r="M4369" s="16" t="str">
        <f t="shared" si="1"/>
        <v>505042 Primaria</v>
      </c>
      <c r="N4369" s="23"/>
      <c r="O4369" s="17"/>
      <c r="P4369" s="17"/>
      <c r="Q4369" s="17"/>
      <c r="R4369" s="17"/>
      <c r="S4369" s="17"/>
      <c r="T4369" s="17"/>
    </row>
    <row r="4370">
      <c r="A4370" s="21">
        <v>498.0</v>
      </c>
      <c r="B4370" s="14" t="s">
        <v>90</v>
      </c>
      <c r="C4370" s="14" t="s">
        <v>14</v>
      </c>
      <c r="D4370" s="20" t="s">
        <v>15</v>
      </c>
      <c r="E4370" s="12" t="str">
        <f>IFERROR(__xludf.DUMMYFUNCTION("FILTER(colegios!$B$2:$B5618,colegios!$A$2:$A5618=L4370)"),"50504")</f>
        <v>50504</v>
      </c>
      <c r="F4370" s="14" t="s">
        <v>16</v>
      </c>
      <c r="G4370" s="20" t="s">
        <v>21</v>
      </c>
      <c r="H4370" s="14" t="s">
        <v>18</v>
      </c>
      <c r="I4370" s="22">
        <v>2022.0</v>
      </c>
      <c r="J4370" s="16" t="str">
        <f>IFERROR(__xludf.DUMMYFUNCTION("FILTER('CLASFICACIÓN'!$F$3:$F5618,'CLASFICACIÓN'!$G$3:$G5618=M4370)"),"SOLO LINEA BASE")</f>
        <v>SOLO LINEA BASE</v>
      </c>
      <c r="K4370" s="16"/>
      <c r="L4370" s="14" t="s">
        <v>195</v>
      </c>
      <c r="M4370" s="16" t="str">
        <f t="shared" si="1"/>
        <v>505042 Primaria</v>
      </c>
      <c r="N4370" s="23"/>
      <c r="O4370" s="17"/>
      <c r="P4370" s="17"/>
      <c r="Q4370" s="17"/>
      <c r="R4370" s="17"/>
      <c r="S4370" s="17"/>
      <c r="T4370" s="17"/>
    </row>
    <row r="4371">
      <c r="A4371" s="21">
        <v>499.0</v>
      </c>
      <c r="B4371" s="14" t="s">
        <v>90</v>
      </c>
      <c r="C4371" s="14" t="s">
        <v>14</v>
      </c>
      <c r="D4371" s="20" t="s">
        <v>15</v>
      </c>
      <c r="E4371" s="12" t="str">
        <f>IFERROR(__xludf.DUMMYFUNCTION("FILTER(colegios!$B$2:$B5618,colegios!$A$2:$A5618=L4371)"),"50504")</f>
        <v>50504</v>
      </c>
      <c r="F4371" s="14" t="s">
        <v>16</v>
      </c>
      <c r="G4371" s="20" t="s">
        <v>17</v>
      </c>
      <c r="H4371" s="14" t="s">
        <v>24</v>
      </c>
      <c r="I4371" s="22">
        <v>2022.0</v>
      </c>
      <c r="J4371" s="16" t="str">
        <f>IFERROR(__xludf.DUMMYFUNCTION("FILTER('CLASFICACIÓN'!$F$3:$F5618,'CLASFICACIÓN'!$G$3:$G5618=M4371)"),"SOLO LINEA BASE")</f>
        <v>SOLO LINEA BASE</v>
      </c>
      <c r="K4371" s="16"/>
      <c r="L4371" s="14" t="s">
        <v>195</v>
      </c>
      <c r="M4371" s="16" t="str">
        <f t="shared" si="1"/>
        <v>505042 Primaria</v>
      </c>
      <c r="N4371" s="23"/>
      <c r="O4371" s="17"/>
      <c r="P4371" s="17"/>
      <c r="Q4371" s="17"/>
      <c r="R4371" s="17"/>
      <c r="S4371" s="17"/>
      <c r="T4371" s="17"/>
    </row>
    <row r="4372">
      <c r="A4372" s="21">
        <v>500.0</v>
      </c>
      <c r="B4372" s="14" t="s">
        <v>90</v>
      </c>
      <c r="C4372" s="14" t="s">
        <v>14</v>
      </c>
      <c r="D4372" s="20" t="s">
        <v>15</v>
      </c>
      <c r="E4372" s="12" t="str">
        <f>IFERROR(__xludf.DUMMYFUNCTION("FILTER(colegios!$B$2:$B5618,colegios!$A$2:$A5618=L4372)"),"50504")</f>
        <v>50504</v>
      </c>
      <c r="F4372" s="14" t="s">
        <v>16</v>
      </c>
      <c r="G4372" s="20" t="s">
        <v>17</v>
      </c>
      <c r="H4372" s="14" t="s">
        <v>24</v>
      </c>
      <c r="I4372" s="22">
        <v>2022.0</v>
      </c>
      <c r="J4372" s="16" t="str">
        <f>IFERROR(__xludf.DUMMYFUNCTION("FILTER('CLASFICACIÓN'!$F$3:$F5618,'CLASFICACIÓN'!$G$3:$G5618=M4372)"),"SOLO LINEA BASE")</f>
        <v>SOLO LINEA BASE</v>
      </c>
      <c r="K4372" s="16"/>
      <c r="L4372" s="14" t="s">
        <v>195</v>
      </c>
      <c r="M4372" s="16" t="str">
        <f t="shared" si="1"/>
        <v>505042 Primaria</v>
      </c>
      <c r="N4372" s="23"/>
      <c r="O4372" s="17"/>
      <c r="P4372" s="17"/>
      <c r="Q4372" s="17"/>
      <c r="R4372" s="17"/>
      <c r="S4372" s="17"/>
      <c r="T4372" s="17"/>
    </row>
    <row r="4373">
      <c r="A4373" s="21">
        <v>501.0</v>
      </c>
      <c r="B4373" s="14" t="s">
        <v>90</v>
      </c>
      <c r="C4373" s="14" t="s">
        <v>14</v>
      </c>
      <c r="D4373" s="20" t="s">
        <v>15</v>
      </c>
      <c r="E4373" s="12" t="str">
        <f>IFERROR(__xludf.DUMMYFUNCTION("FILTER(colegios!$B$2:$B5618,colegios!$A$2:$A5618=L4373)"),"50504")</f>
        <v>50504</v>
      </c>
      <c r="F4373" s="14" t="s">
        <v>16</v>
      </c>
      <c r="G4373" s="20" t="s">
        <v>21</v>
      </c>
      <c r="H4373" s="14" t="s">
        <v>24</v>
      </c>
      <c r="I4373" s="22">
        <v>2022.0</v>
      </c>
      <c r="J4373" s="16" t="str">
        <f>IFERROR(__xludf.DUMMYFUNCTION("FILTER('CLASFICACIÓN'!$F$3:$F5618,'CLASFICACIÓN'!$G$3:$G5618=M4373)"),"SOLO LINEA BASE")</f>
        <v>SOLO LINEA BASE</v>
      </c>
      <c r="K4373" s="16"/>
      <c r="L4373" s="14" t="s">
        <v>195</v>
      </c>
      <c r="M4373" s="16" t="str">
        <f t="shared" si="1"/>
        <v>505042 Primaria</v>
      </c>
      <c r="N4373" s="23"/>
      <c r="O4373" s="17"/>
      <c r="P4373" s="17"/>
      <c r="Q4373" s="17"/>
      <c r="R4373" s="17"/>
      <c r="S4373" s="17"/>
      <c r="T4373" s="17"/>
    </row>
    <row r="4374">
      <c r="A4374" s="21">
        <v>502.0</v>
      </c>
      <c r="B4374" s="14" t="s">
        <v>90</v>
      </c>
      <c r="C4374" s="14" t="s">
        <v>14</v>
      </c>
      <c r="D4374" s="20" t="s">
        <v>15</v>
      </c>
      <c r="E4374" s="12" t="str">
        <f>IFERROR(__xludf.DUMMYFUNCTION("FILTER(colegios!$B$2:$B5618,colegios!$A$2:$A5618=L4374)"),"50504")</f>
        <v>50504</v>
      </c>
      <c r="F4374" s="14" t="s">
        <v>16</v>
      </c>
      <c r="G4374" s="20" t="s">
        <v>21</v>
      </c>
      <c r="H4374" s="14" t="s">
        <v>24</v>
      </c>
      <c r="I4374" s="22">
        <v>2022.0</v>
      </c>
      <c r="J4374" s="16" t="str">
        <f>IFERROR(__xludf.DUMMYFUNCTION("FILTER('CLASFICACIÓN'!$F$3:$F5618,'CLASFICACIÓN'!$G$3:$G5618=M4374)"),"SOLO LINEA BASE")</f>
        <v>SOLO LINEA BASE</v>
      </c>
      <c r="K4374" s="16"/>
      <c r="L4374" s="14" t="s">
        <v>195</v>
      </c>
      <c r="M4374" s="16" t="str">
        <f t="shared" si="1"/>
        <v>505042 Primaria</v>
      </c>
      <c r="N4374" s="23"/>
      <c r="O4374" s="17"/>
      <c r="P4374" s="17"/>
      <c r="Q4374" s="17"/>
      <c r="R4374" s="17"/>
      <c r="S4374" s="17"/>
      <c r="T4374" s="17"/>
    </row>
    <row r="4375">
      <c r="A4375" s="21">
        <v>503.0</v>
      </c>
      <c r="B4375" s="14" t="s">
        <v>90</v>
      </c>
      <c r="C4375" s="14" t="s">
        <v>14</v>
      </c>
      <c r="D4375" s="20" t="s">
        <v>15</v>
      </c>
      <c r="E4375" s="12" t="str">
        <f>IFERROR(__xludf.DUMMYFUNCTION("FILTER(colegios!$B$2:$B5618,colegios!$A$2:$A5618=L4375)"),"50504")</f>
        <v>50504</v>
      </c>
      <c r="F4375" s="14" t="s">
        <v>16</v>
      </c>
      <c r="G4375" s="20" t="s">
        <v>17</v>
      </c>
      <c r="H4375" s="14" t="s">
        <v>24</v>
      </c>
      <c r="I4375" s="22">
        <v>2022.0</v>
      </c>
      <c r="J4375" s="16" t="str">
        <f>IFERROR(__xludf.DUMMYFUNCTION("FILTER('CLASFICACIÓN'!$F$3:$F5618,'CLASFICACIÓN'!$G$3:$G5618=M4375)"),"SOLO LINEA BASE")</f>
        <v>SOLO LINEA BASE</v>
      </c>
      <c r="K4375" s="16"/>
      <c r="L4375" s="14" t="s">
        <v>195</v>
      </c>
      <c r="M4375" s="16" t="str">
        <f t="shared" si="1"/>
        <v>505042 Primaria</v>
      </c>
      <c r="N4375" s="23"/>
      <c r="O4375" s="17"/>
      <c r="P4375" s="17"/>
      <c r="Q4375" s="17"/>
      <c r="R4375" s="17"/>
      <c r="S4375" s="17"/>
      <c r="T4375" s="17"/>
    </row>
    <row r="4376">
      <c r="A4376" s="21">
        <v>504.0</v>
      </c>
      <c r="B4376" s="14" t="s">
        <v>90</v>
      </c>
      <c r="C4376" s="14" t="s">
        <v>14</v>
      </c>
      <c r="D4376" s="20" t="s">
        <v>15</v>
      </c>
      <c r="E4376" s="12" t="str">
        <f>IFERROR(__xludf.DUMMYFUNCTION("FILTER(colegios!$B$2:$B5618,colegios!$A$2:$A5618=L4376)"),"50504")</f>
        <v>50504</v>
      </c>
      <c r="F4376" s="14" t="s">
        <v>16</v>
      </c>
      <c r="G4376" s="20" t="s">
        <v>17</v>
      </c>
      <c r="H4376" s="14" t="s">
        <v>24</v>
      </c>
      <c r="I4376" s="22">
        <v>2022.0</v>
      </c>
      <c r="J4376" s="16" t="str">
        <f>IFERROR(__xludf.DUMMYFUNCTION("FILTER('CLASFICACIÓN'!$F$3:$F5618,'CLASFICACIÓN'!$G$3:$G5618=M4376)"),"SOLO LINEA BASE")</f>
        <v>SOLO LINEA BASE</v>
      </c>
      <c r="K4376" s="16"/>
      <c r="L4376" s="14" t="s">
        <v>195</v>
      </c>
      <c r="M4376" s="16" t="str">
        <f t="shared" si="1"/>
        <v>505042 Primaria</v>
      </c>
      <c r="N4376" s="23"/>
      <c r="O4376" s="17"/>
      <c r="P4376" s="17"/>
      <c r="Q4376" s="17"/>
      <c r="R4376" s="17"/>
      <c r="S4376" s="17"/>
      <c r="T4376" s="17"/>
    </row>
    <row r="4377">
      <c r="A4377" s="21">
        <v>505.0</v>
      </c>
      <c r="B4377" s="14" t="s">
        <v>90</v>
      </c>
      <c r="C4377" s="14" t="s">
        <v>14</v>
      </c>
      <c r="D4377" s="20" t="s">
        <v>15</v>
      </c>
      <c r="E4377" s="12" t="str">
        <f>IFERROR(__xludf.DUMMYFUNCTION("FILTER(colegios!$B$2:$B5618,colegios!$A$2:$A5618=L4377)"),"50504")</f>
        <v>50504</v>
      </c>
      <c r="F4377" s="14" t="s">
        <v>16</v>
      </c>
      <c r="G4377" s="20" t="s">
        <v>21</v>
      </c>
      <c r="H4377" s="14" t="s">
        <v>24</v>
      </c>
      <c r="I4377" s="22">
        <v>2022.0</v>
      </c>
      <c r="J4377" s="16" t="str">
        <f>IFERROR(__xludf.DUMMYFUNCTION("FILTER('CLASFICACIÓN'!$F$3:$F5618,'CLASFICACIÓN'!$G$3:$G5618=M4377)"),"SOLO LINEA BASE")</f>
        <v>SOLO LINEA BASE</v>
      </c>
      <c r="K4377" s="16"/>
      <c r="L4377" s="14" t="s">
        <v>195</v>
      </c>
      <c r="M4377" s="16" t="str">
        <f t="shared" si="1"/>
        <v>505042 Primaria</v>
      </c>
      <c r="N4377" s="23"/>
      <c r="O4377" s="17"/>
      <c r="P4377" s="17"/>
      <c r="Q4377" s="17"/>
      <c r="R4377" s="17"/>
      <c r="S4377" s="17"/>
      <c r="T4377" s="17"/>
    </row>
    <row r="4378">
      <c r="A4378" s="21">
        <v>506.0</v>
      </c>
      <c r="B4378" s="14" t="s">
        <v>90</v>
      </c>
      <c r="C4378" s="14" t="s">
        <v>14</v>
      </c>
      <c r="D4378" s="20" t="s">
        <v>15</v>
      </c>
      <c r="E4378" s="12" t="str">
        <f>IFERROR(__xludf.DUMMYFUNCTION("FILTER(colegios!$B$2:$B5618,colegios!$A$2:$A5618=L4378)"),"50504")</f>
        <v>50504</v>
      </c>
      <c r="F4378" s="14" t="s">
        <v>16</v>
      </c>
      <c r="G4378" s="20" t="s">
        <v>17</v>
      </c>
      <c r="H4378" s="14" t="s">
        <v>24</v>
      </c>
      <c r="I4378" s="22">
        <v>2022.0</v>
      </c>
      <c r="J4378" s="16" t="str">
        <f>IFERROR(__xludf.DUMMYFUNCTION("FILTER('CLASFICACIÓN'!$F$3:$F5618,'CLASFICACIÓN'!$G$3:$G5618=M4378)"),"SOLO LINEA BASE")</f>
        <v>SOLO LINEA BASE</v>
      </c>
      <c r="K4378" s="16"/>
      <c r="L4378" s="14" t="s">
        <v>195</v>
      </c>
      <c r="M4378" s="16" t="str">
        <f t="shared" si="1"/>
        <v>505042 Primaria</v>
      </c>
      <c r="N4378" s="23"/>
      <c r="O4378" s="17"/>
      <c r="P4378" s="17"/>
      <c r="Q4378" s="17"/>
      <c r="R4378" s="17"/>
      <c r="S4378" s="17"/>
      <c r="T4378" s="17"/>
    </row>
    <row r="4379">
      <c r="A4379" s="21">
        <v>507.0</v>
      </c>
      <c r="B4379" s="14" t="s">
        <v>90</v>
      </c>
      <c r="C4379" s="14" t="s">
        <v>14</v>
      </c>
      <c r="D4379" s="20" t="s">
        <v>15</v>
      </c>
      <c r="E4379" s="12" t="str">
        <f>IFERROR(__xludf.DUMMYFUNCTION("FILTER(colegios!$B$2:$B5618,colegios!$A$2:$A5618=L4379)"),"50504")</f>
        <v>50504</v>
      </c>
      <c r="F4379" s="14" t="s">
        <v>16</v>
      </c>
      <c r="G4379" s="20" t="s">
        <v>17</v>
      </c>
      <c r="H4379" s="14" t="s">
        <v>24</v>
      </c>
      <c r="I4379" s="22">
        <v>2022.0</v>
      </c>
      <c r="J4379" s="16" t="str">
        <f>IFERROR(__xludf.DUMMYFUNCTION("FILTER('CLASFICACIÓN'!$F$3:$F5618,'CLASFICACIÓN'!$G$3:$G5618=M4379)"),"SOLO LINEA BASE")</f>
        <v>SOLO LINEA BASE</v>
      </c>
      <c r="K4379" s="16"/>
      <c r="L4379" s="14" t="s">
        <v>195</v>
      </c>
      <c r="M4379" s="16" t="str">
        <f t="shared" si="1"/>
        <v>505042 Primaria</v>
      </c>
      <c r="N4379" s="23"/>
      <c r="O4379" s="17"/>
      <c r="P4379" s="17"/>
      <c r="Q4379" s="17"/>
      <c r="R4379" s="17"/>
      <c r="S4379" s="17"/>
      <c r="T4379" s="17"/>
    </row>
    <row r="4380">
      <c r="A4380" s="21">
        <v>508.0</v>
      </c>
      <c r="B4380" s="14" t="s">
        <v>90</v>
      </c>
      <c r="C4380" s="14" t="s">
        <v>14</v>
      </c>
      <c r="D4380" s="20" t="s">
        <v>15</v>
      </c>
      <c r="E4380" s="12" t="str">
        <f>IFERROR(__xludf.DUMMYFUNCTION("FILTER(colegios!$B$2:$B5618,colegios!$A$2:$A5618=L4380)"),"50504")</f>
        <v>50504</v>
      </c>
      <c r="F4380" s="14" t="s">
        <v>16</v>
      </c>
      <c r="G4380" s="20" t="s">
        <v>21</v>
      </c>
      <c r="H4380" s="14" t="s">
        <v>24</v>
      </c>
      <c r="I4380" s="22">
        <v>2022.0</v>
      </c>
      <c r="J4380" s="16" t="str">
        <f>IFERROR(__xludf.DUMMYFUNCTION("FILTER('CLASFICACIÓN'!$F$3:$F5618,'CLASFICACIÓN'!$G$3:$G5618=M4380)"),"SOLO LINEA BASE")</f>
        <v>SOLO LINEA BASE</v>
      </c>
      <c r="K4380" s="16"/>
      <c r="L4380" s="14" t="s">
        <v>195</v>
      </c>
      <c r="M4380" s="16" t="str">
        <f t="shared" si="1"/>
        <v>505042 Primaria</v>
      </c>
      <c r="N4380" s="23"/>
      <c r="O4380" s="17"/>
      <c r="P4380" s="17"/>
      <c r="Q4380" s="17"/>
      <c r="R4380" s="17"/>
      <c r="S4380" s="17"/>
      <c r="T4380" s="17"/>
    </row>
    <row r="4381">
      <c r="A4381" s="21">
        <v>509.0</v>
      </c>
      <c r="B4381" s="14" t="s">
        <v>90</v>
      </c>
      <c r="C4381" s="14" t="s">
        <v>14</v>
      </c>
      <c r="D4381" s="20" t="s">
        <v>15</v>
      </c>
      <c r="E4381" s="12" t="str">
        <f>IFERROR(__xludf.DUMMYFUNCTION("FILTER(colegios!$B$2:$B5618,colegios!$A$2:$A5618=L4381)"),"50504")</f>
        <v>50504</v>
      </c>
      <c r="F4381" s="14" t="s">
        <v>16</v>
      </c>
      <c r="G4381" s="20" t="s">
        <v>21</v>
      </c>
      <c r="H4381" s="14" t="s">
        <v>24</v>
      </c>
      <c r="I4381" s="22">
        <v>2022.0</v>
      </c>
      <c r="J4381" s="16" t="str">
        <f>IFERROR(__xludf.DUMMYFUNCTION("FILTER('CLASFICACIÓN'!$F$3:$F5618,'CLASFICACIÓN'!$G$3:$G5618=M4381)"),"SOLO LINEA BASE")</f>
        <v>SOLO LINEA BASE</v>
      </c>
      <c r="K4381" s="16"/>
      <c r="L4381" s="14" t="s">
        <v>195</v>
      </c>
      <c r="M4381" s="16" t="str">
        <f t="shared" si="1"/>
        <v>505042 Primaria</v>
      </c>
      <c r="N4381" s="23"/>
      <c r="O4381" s="17"/>
      <c r="P4381" s="17"/>
      <c r="Q4381" s="17"/>
      <c r="R4381" s="17"/>
      <c r="S4381" s="17"/>
      <c r="T4381" s="17"/>
    </row>
    <row r="4382">
      <c r="A4382" s="21">
        <v>510.0</v>
      </c>
      <c r="B4382" s="14" t="s">
        <v>90</v>
      </c>
      <c r="C4382" s="14" t="s">
        <v>14</v>
      </c>
      <c r="D4382" s="20" t="s">
        <v>15</v>
      </c>
      <c r="E4382" s="12" t="str">
        <f>IFERROR(__xludf.DUMMYFUNCTION("FILTER(colegios!$B$2:$B5618,colegios!$A$2:$A5618=L4382)"),"50504")</f>
        <v>50504</v>
      </c>
      <c r="F4382" s="14" t="s">
        <v>16</v>
      </c>
      <c r="G4382" s="20" t="s">
        <v>17</v>
      </c>
      <c r="H4382" s="14" t="s">
        <v>24</v>
      </c>
      <c r="I4382" s="22">
        <v>2022.0</v>
      </c>
      <c r="J4382" s="16" t="str">
        <f>IFERROR(__xludf.DUMMYFUNCTION("FILTER('CLASFICACIÓN'!$F$3:$F5618,'CLASFICACIÓN'!$G$3:$G5618=M4382)"),"SOLO LINEA BASE")</f>
        <v>SOLO LINEA BASE</v>
      </c>
      <c r="K4382" s="16"/>
      <c r="L4382" s="14" t="s">
        <v>195</v>
      </c>
      <c r="M4382" s="16" t="str">
        <f t="shared" si="1"/>
        <v>505042 Primaria</v>
      </c>
      <c r="N4382" s="23"/>
      <c r="O4382" s="17"/>
      <c r="P4382" s="17"/>
      <c r="Q4382" s="17"/>
      <c r="R4382" s="17"/>
      <c r="S4382" s="17"/>
      <c r="T4382" s="17"/>
    </row>
    <row r="4383">
      <c r="A4383" s="21">
        <v>511.0</v>
      </c>
      <c r="B4383" s="14" t="s">
        <v>90</v>
      </c>
      <c r="C4383" s="14" t="s">
        <v>14</v>
      </c>
      <c r="D4383" s="20" t="s">
        <v>15</v>
      </c>
      <c r="E4383" s="12" t="str">
        <f>IFERROR(__xludf.DUMMYFUNCTION("FILTER(colegios!$B$2:$B5618,colegios!$A$2:$A5618=L4383)"),"50504")</f>
        <v>50504</v>
      </c>
      <c r="F4383" s="14" t="s">
        <v>16</v>
      </c>
      <c r="G4383" s="20" t="s">
        <v>17</v>
      </c>
      <c r="H4383" s="14" t="s">
        <v>24</v>
      </c>
      <c r="I4383" s="22">
        <v>2022.0</v>
      </c>
      <c r="J4383" s="16" t="str">
        <f>IFERROR(__xludf.DUMMYFUNCTION("FILTER('CLASFICACIÓN'!$F$3:$F5618,'CLASFICACIÓN'!$G$3:$G5618=M4383)"),"SOLO LINEA BASE")</f>
        <v>SOLO LINEA BASE</v>
      </c>
      <c r="K4383" s="16"/>
      <c r="L4383" s="14" t="s">
        <v>195</v>
      </c>
      <c r="M4383" s="16" t="str">
        <f t="shared" si="1"/>
        <v>505042 Primaria</v>
      </c>
      <c r="N4383" s="23"/>
      <c r="O4383" s="17"/>
      <c r="P4383" s="17"/>
      <c r="Q4383" s="17"/>
      <c r="R4383" s="17"/>
      <c r="S4383" s="17"/>
      <c r="T4383" s="17"/>
    </row>
    <row r="4384">
      <c r="A4384" s="21">
        <v>512.0</v>
      </c>
      <c r="B4384" s="14" t="s">
        <v>90</v>
      </c>
      <c r="C4384" s="14" t="s">
        <v>14</v>
      </c>
      <c r="D4384" s="20" t="s">
        <v>15</v>
      </c>
      <c r="E4384" s="12" t="str">
        <f>IFERROR(__xludf.DUMMYFUNCTION("FILTER(colegios!$B$2:$B5618,colegios!$A$2:$A5618=L4384)"),"50504")</f>
        <v>50504</v>
      </c>
      <c r="F4384" s="14" t="s">
        <v>16</v>
      </c>
      <c r="G4384" s="20" t="s">
        <v>17</v>
      </c>
      <c r="H4384" s="14" t="s">
        <v>24</v>
      </c>
      <c r="I4384" s="22">
        <v>2022.0</v>
      </c>
      <c r="J4384" s="16" t="str">
        <f>IFERROR(__xludf.DUMMYFUNCTION("FILTER('CLASFICACIÓN'!$F$3:$F5618,'CLASFICACIÓN'!$G$3:$G5618=M4384)"),"SOLO LINEA BASE")</f>
        <v>SOLO LINEA BASE</v>
      </c>
      <c r="K4384" s="16"/>
      <c r="L4384" s="14" t="s">
        <v>195</v>
      </c>
      <c r="M4384" s="16" t="str">
        <f t="shared" si="1"/>
        <v>505042 Primaria</v>
      </c>
      <c r="N4384" s="23"/>
      <c r="O4384" s="17"/>
      <c r="P4384" s="17"/>
      <c r="Q4384" s="17"/>
      <c r="R4384" s="17"/>
      <c r="S4384" s="17"/>
      <c r="T4384" s="17"/>
    </row>
    <row r="4385">
      <c r="A4385" s="21">
        <v>513.0</v>
      </c>
      <c r="B4385" s="14" t="s">
        <v>90</v>
      </c>
      <c r="C4385" s="14" t="s">
        <v>14</v>
      </c>
      <c r="D4385" s="20" t="s">
        <v>15</v>
      </c>
      <c r="E4385" s="12" t="str">
        <f>IFERROR(__xludf.DUMMYFUNCTION("FILTER(colegios!$B$2:$B5618,colegios!$A$2:$A5618=L4385)"),"50504")</f>
        <v>50504</v>
      </c>
      <c r="F4385" s="14" t="s">
        <v>16</v>
      </c>
      <c r="G4385" s="20" t="s">
        <v>21</v>
      </c>
      <c r="H4385" s="14" t="s">
        <v>24</v>
      </c>
      <c r="I4385" s="22">
        <v>2022.0</v>
      </c>
      <c r="J4385" s="16" t="str">
        <f>IFERROR(__xludf.DUMMYFUNCTION("FILTER('CLASFICACIÓN'!$F$3:$F5618,'CLASFICACIÓN'!$G$3:$G5618=M4385)"),"SOLO LINEA BASE")</f>
        <v>SOLO LINEA BASE</v>
      </c>
      <c r="K4385" s="16"/>
      <c r="L4385" s="14" t="s">
        <v>195</v>
      </c>
      <c r="M4385" s="16" t="str">
        <f t="shared" si="1"/>
        <v>505042 Primaria</v>
      </c>
      <c r="N4385" s="23"/>
      <c r="O4385" s="17"/>
      <c r="P4385" s="17"/>
      <c r="Q4385" s="17"/>
      <c r="R4385" s="17"/>
      <c r="S4385" s="17"/>
      <c r="T4385" s="17"/>
    </row>
    <row r="4386">
      <c r="A4386" s="21">
        <v>514.0</v>
      </c>
      <c r="B4386" s="14" t="s">
        <v>90</v>
      </c>
      <c r="C4386" s="14" t="s">
        <v>14</v>
      </c>
      <c r="D4386" s="20" t="s">
        <v>15</v>
      </c>
      <c r="E4386" s="12" t="str">
        <f>IFERROR(__xludf.DUMMYFUNCTION("FILTER(colegios!$B$2:$B5618,colegios!$A$2:$A5618=L4386)"),"50504")</f>
        <v>50504</v>
      </c>
      <c r="F4386" s="14" t="s">
        <v>16</v>
      </c>
      <c r="G4386" s="20" t="s">
        <v>17</v>
      </c>
      <c r="H4386" s="14" t="s">
        <v>24</v>
      </c>
      <c r="I4386" s="22">
        <v>2022.0</v>
      </c>
      <c r="J4386" s="16" t="str">
        <f>IFERROR(__xludf.DUMMYFUNCTION("FILTER('CLASFICACIÓN'!$F$3:$F5618,'CLASFICACIÓN'!$G$3:$G5618=M4386)"),"SOLO LINEA BASE")</f>
        <v>SOLO LINEA BASE</v>
      </c>
      <c r="K4386" s="16"/>
      <c r="L4386" s="14" t="s">
        <v>195</v>
      </c>
      <c r="M4386" s="16" t="str">
        <f t="shared" si="1"/>
        <v>505042 Primaria</v>
      </c>
      <c r="N4386" s="23"/>
      <c r="O4386" s="17"/>
      <c r="P4386" s="17"/>
      <c r="Q4386" s="17"/>
      <c r="R4386" s="17"/>
      <c r="S4386" s="17"/>
      <c r="T4386" s="17"/>
    </row>
    <row r="4387">
      <c r="A4387" s="21">
        <v>515.0</v>
      </c>
      <c r="B4387" s="14" t="s">
        <v>90</v>
      </c>
      <c r="C4387" s="14" t="s">
        <v>14</v>
      </c>
      <c r="D4387" s="20" t="s">
        <v>15</v>
      </c>
      <c r="E4387" s="12" t="str">
        <f>IFERROR(__xludf.DUMMYFUNCTION("FILTER(colegios!$B$2:$B5618,colegios!$A$2:$A5618=L4387)"),"50504")</f>
        <v>50504</v>
      </c>
      <c r="F4387" s="14" t="s">
        <v>16</v>
      </c>
      <c r="G4387" s="20" t="s">
        <v>21</v>
      </c>
      <c r="H4387" s="14" t="s">
        <v>24</v>
      </c>
      <c r="I4387" s="22">
        <v>2022.0</v>
      </c>
      <c r="J4387" s="16" t="str">
        <f>IFERROR(__xludf.DUMMYFUNCTION("FILTER('CLASFICACIÓN'!$F$3:$F5618,'CLASFICACIÓN'!$G$3:$G5618=M4387)"),"SOLO LINEA BASE")</f>
        <v>SOLO LINEA BASE</v>
      </c>
      <c r="K4387" s="16"/>
      <c r="L4387" s="14" t="s">
        <v>195</v>
      </c>
      <c r="M4387" s="16" t="str">
        <f t="shared" si="1"/>
        <v>505042 Primaria</v>
      </c>
      <c r="N4387" s="23"/>
      <c r="O4387" s="17"/>
      <c r="P4387" s="17"/>
      <c r="Q4387" s="17"/>
      <c r="R4387" s="17"/>
      <c r="S4387" s="17"/>
      <c r="T4387" s="17"/>
    </row>
    <row r="4388">
      <c r="A4388" s="21">
        <v>516.0</v>
      </c>
      <c r="B4388" s="14" t="s">
        <v>90</v>
      </c>
      <c r="C4388" s="14" t="s">
        <v>14</v>
      </c>
      <c r="D4388" s="20" t="s">
        <v>15</v>
      </c>
      <c r="E4388" s="12" t="str">
        <f>IFERROR(__xludf.DUMMYFUNCTION("FILTER(colegios!$B$2:$B5618,colegios!$A$2:$A5618=L4388)"),"50504")</f>
        <v>50504</v>
      </c>
      <c r="F4388" s="14" t="s">
        <v>16</v>
      </c>
      <c r="G4388" s="20" t="s">
        <v>17</v>
      </c>
      <c r="H4388" s="14" t="s">
        <v>24</v>
      </c>
      <c r="I4388" s="22">
        <v>2022.0</v>
      </c>
      <c r="J4388" s="16" t="str">
        <f>IFERROR(__xludf.DUMMYFUNCTION("FILTER('CLASFICACIÓN'!$F$3:$F5618,'CLASFICACIÓN'!$G$3:$G5618=M4388)"),"SOLO LINEA BASE")</f>
        <v>SOLO LINEA BASE</v>
      </c>
      <c r="K4388" s="16"/>
      <c r="L4388" s="14" t="s">
        <v>195</v>
      </c>
      <c r="M4388" s="16" t="str">
        <f t="shared" si="1"/>
        <v>505042 Primaria</v>
      </c>
      <c r="N4388" s="23"/>
      <c r="O4388" s="17"/>
      <c r="P4388" s="17"/>
      <c r="Q4388" s="17"/>
      <c r="R4388" s="17"/>
      <c r="S4388" s="17"/>
      <c r="T4388" s="17"/>
    </row>
    <row r="4389">
      <c r="A4389" s="21">
        <v>517.0</v>
      </c>
      <c r="B4389" s="14" t="s">
        <v>90</v>
      </c>
      <c r="C4389" s="14" t="s">
        <v>14</v>
      </c>
      <c r="D4389" s="20" t="s">
        <v>15</v>
      </c>
      <c r="E4389" s="12" t="str">
        <f>IFERROR(__xludf.DUMMYFUNCTION("FILTER(colegios!$B$2:$B5618,colegios!$A$2:$A5618=L4389)"),"50504")</f>
        <v>50504</v>
      </c>
      <c r="F4389" s="14" t="s">
        <v>16</v>
      </c>
      <c r="G4389" s="20" t="s">
        <v>21</v>
      </c>
      <c r="H4389" s="14" t="s">
        <v>24</v>
      </c>
      <c r="I4389" s="22">
        <v>2022.0</v>
      </c>
      <c r="J4389" s="16" t="str">
        <f>IFERROR(__xludf.DUMMYFUNCTION("FILTER('CLASFICACIÓN'!$F$3:$F5618,'CLASFICACIÓN'!$G$3:$G5618=M4389)"),"SOLO LINEA BASE")</f>
        <v>SOLO LINEA BASE</v>
      </c>
      <c r="K4389" s="16"/>
      <c r="L4389" s="14" t="s">
        <v>195</v>
      </c>
      <c r="M4389" s="16" t="str">
        <f t="shared" si="1"/>
        <v>505042 Primaria</v>
      </c>
      <c r="N4389" s="23"/>
      <c r="O4389" s="17"/>
      <c r="P4389" s="17"/>
      <c r="Q4389" s="17"/>
      <c r="R4389" s="17"/>
      <c r="S4389" s="17"/>
      <c r="T4389" s="17"/>
    </row>
    <row r="4390">
      <c r="A4390" s="21">
        <v>518.0</v>
      </c>
      <c r="B4390" s="14" t="s">
        <v>90</v>
      </c>
      <c r="C4390" s="14" t="s">
        <v>14</v>
      </c>
      <c r="D4390" s="20" t="s">
        <v>15</v>
      </c>
      <c r="E4390" s="12" t="str">
        <f>IFERROR(__xludf.DUMMYFUNCTION("FILTER(colegios!$B$2:$B5618,colegios!$A$2:$A5618=L4390)"),"50504")</f>
        <v>50504</v>
      </c>
      <c r="F4390" s="14" t="s">
        <v>16</v>
      </c>
      <c r="G4390" s="20" t="s">
        <v>17</v>
      </c>
      <c r="H4390" s="14" t="s">
        <v>24</v>
      </c>
      <c r="I4390" s="22">
        <v>2022.0</v>
      </c>
      <c r="J4390" s="16" t="str">
        <f>IFERROR(__xludf.DUMMYFUNCTION("FILTER('CLASFICACIÓN'!$F$3:$F5618,'CLASFICACIÓN'!$G$3:$G5618=M4390)"),"SOLO LINEA BASE")</f>
        <v>SOLO LINEA BASE</v>
      </c>
      <c r="K4390" s="16"/>
      <c r="L4390" s="14" t="s">
        <v>195</v>
      </c>
      <c r="M4390" s="16" t="str">
        <f t="shared" si="1"/>
        <v>505042 Primaria</v>
      </c>
      <c r="N4390" s="23"/>
      <c r="O4390" s="17"/>
      <c r="P4390" s="17"/>
      <c r="Q4390" s="17"/>
      <c r="R4390" s="17"/>
      <c r="S4390" s="17"/>
      <c r="T4390" s="17"/>
    </row>
    <row r="4391">
      <c r="A4391" s="21">
        <v>519.0</v>
      </c>
      <c r="B4391" s="14" t="s">
        <v>90</v>
      </c>
      <c r="C4391" s="14" t="s">
        <v>14</v>
      </c>
      <c r="D4391" s="20" t="s">
        <v>15</v>
      </c>
      <c r="E4391" s="12" t="str">
        <f>IFERROR(__xludf.DUMMYFUNCTION("FILTER(colegios!$B$2:$B5618,colegios!$A$2:$A5618=L4391)"),"50504")</f>
        <v>50504</v>
      </c>
      <c r="F4391" s="14" t="s">
        <v>16</v>
      </c>
      <c r="G4391" s="20" t="s">
        <v>21</v>
      </c>
      <c r="H4391" s="14" t="s">
        <v>24</v>
      </c>
      <c r="I4391" s="22">
        <v>2022.0</v>
      </c>
      <c r="J4391" s="16" t="str">
        <f>IFERROR(__xludf.DUMMYFUNCTION("FILTER('CLASFICACIÓN'!$F$3:$F5618,'CLASFICACIÓN'!$G$3:$G5618=M4391)"),"SOLO LINEA BASE")</f>
        <v>SOLO LINEA BASE</v>
      </c>
      <c r="K4391" s="16"/>
      <c r="L4391" s="14" t="s">
        <v>195</v>
      </c>
      <c r="M4391" s="16" t="str">
        <f t="shared" si="1"/>
        <v>505042 Primaria</v>
      </c>
      <c r="N4391" s="23"/>
      <c r="O4391" s="17"/>
      <c r="P4391" s="17"/>
      <c r="Q4391" s="17"/>
      <c r="R4391" s="17"/>
      <c r="S4391" s="17"/>
      <c r="T4391" s="17"/>
    </row>
    <row r="4392">
      <c r="A4392" s="21">
        <v>520.0</v>
      </c>
      <c r="B4392" s="14" t="s">
        <v>90</v>
      </c>
      <c r="C4392" s="14" t="s">
        <v>14</v>
      </c>
      <c r="D4392" s="20" t="s">
        <v>15</v>
      </c>
      <c r="E4392" s="12" t="str">
        <f>IFERROR(__xludf.DUMMYFUNCTION("FILTER(colegios!$B$2:$B5618,colegios!$A$2:$A5618=L4392)"),"50796")</f>
        <v>50796</v>
      </c>
      <c r="F4392" s="14" t="s">
        <v>16</v>
      </c>
      <c r="G4392" s="20" t="s">
        <v>21</v>
      </c>
      <c r="H4392" s="14" t="s">
        <v>18</v>
      </c>
      <c r="I4392" s="22">
        <v>2022.0</v>
      </c>
      <c r="J4392" s="16" t="str">
        <f>IFERROR(__xludf.DUMMYFUNCTION("FILTER('CLASFICACIÓN'!$F$3:$F5618,'CLASFICACIÓN'!$G$3:$G5618=M4392)"),"SOLO LINEA BASE")</f>
        <v>SOLO LINEA BASE</v>
      </c>
      <c r="K4392" s="16"/>
      <c r="L4392" s="14" t="s">
        <v>196</v>
      </c>
      <c r="M4392" s="16" t="str">
        <f t="shared" si="1"/>
        <v>507962 Primaria</v>
      </c>
      <c r="N4392" s="23"/>
      <c r="O4392" s="17"/>
      <c r="P4392" s="17"/>
      <c r="Q4392" s="17"/>
      <c r="R4392" s="17"/>
      <c r="S4392" s="17"/>
      <c r="T4392" s="17"/>
    </row>
    <row r="4393">
      <c r="A4393" s="21">
        <v>521.0</v>
      </c>
      <c r="B4393" s="14" t="s">
        <v>90</v>
      </c>
      <c r="C4393" s="14" t="s">
        <v>14</v>
      </c>
      <c r="D4393" s="20" t="s">
        <v>15</v>
      </c>
      <c r="E4393" s="12" t="str">
        <f>IFERROR(__xludf.DUMMYFUNCTION("FILTER(colegios!$B$2:$B5618,colegios!$A$2:$A5618=L4393)"),"50796")</f>
        <v>50796</v>
      </c>
      <c r="F4393" s="14" t="s">
        <v>16</v>
      </c>
      <c r="G4393" s="20" t="s">
        <v>21</v>
      </c>
      <c r="H4393" s="14" t="s">
        <v>18</v>
      </c>
      <c r="I4393" s="22">
        <v>2022.0</v>
      </c>
      <c r="J4393" s="16" t="str">
        <f>IFERROR(__xludf.DUMMYFUNCTION("FILTER('CLASFICACIÓN'!$F$3:$F5618,'CLASFICACIÓN'!$G$3:$G5618=M4393)"),"SOLO LINEA BASE")</f>
        <v>SOLO LINEA BASE</v>
      </c>
      <c r="K4393" s="16"/>
      <c r="L4393" s="14" t="s">
        <v>196</v>
      </c>
      <c r="M4393" s="16" t="str">
        <f t="shared" si="1"/>
        <v>507962 Primaria</v>
      </c>
      <c r="N4393" s="23"/>
      <c r="O4393" s="17"/>
      <c r="P4393" s="17"/>
      <c r="Q4393" s="17"/>
      <c r="R4393" s="17"/>
      <c r="S4393" s="17"/>
      <c r="T4393" s="17"/>
    </row>
    <row r="4394">
      <c r="A4394" s="21">
        <v>522.0</v>
      </c>
      <c r="B4394" s="14" t="s">
        <v>90</v>
      </c>
      <c r="C4394" s="14" t="s">
        <v>14</v>
      </c>
      <c r="D4394" s="20" t="s">
        <v>15</v>
      </c>
      <c r="E4394" s="12" t="str">
        <f>IFERROR(__xludf.DUMMYFUNCTION("FILTER(colegios!$B$2:$B5618,colegios!$A$2:$A5618=L4394)"),"50796")</f>
        <v>50796</v>
      </c>
      <c r="F4394" s="14" t="s">
        <v>16</v>
      </c>
      <c r="G4394" s="20" t="s">
        <v>21</v>
      </c>
      <c r="H4394" s="14" t="s">
        <v>18</v>
      </c>
      <c r="I4394" s="22">
        <v>2022.0</v>
      </c>
      <c r="J4394" s="16" t="str">
        <f>IFERROR(__xludf.DUMMYFUNCTION("FILTER('CLASFICACIÓN'!$F$3:$F5618,'CLASFICACIÓN'!$G$3:$G5618=M4394)"),"SOLO LINEA BASE")</f>
        <v>SOLO LINEA BASE</v>
      </c>
      <c r="K4394" s="16"/>
      <c r="L4394" s="14" t="s">
        <v>196</v>
      </c>
      <c r="M4394" s="16" t="str">
        <f t="shared" si="1"/>
        <v>507962 Primaria</v>
      </c>
      <c r="N4394" s="23"/>
      <c r="O4394" s="17"/>
      <c r="P4394" s="17"/>
      <c r="Q4394" s="17"/>
      <c r="R4394" s="17"/>
      <c r="S4394" s="17"/>
      <c r="T4394" s="17"/>
    </row>
    <row r="4395">
      <c r="A4395" s="21">
        <v>523.0</v>
      </c>
      <c r="B4395" s="14" t="s">
        <v>90</v>
      </c>
      <c r="C4395" s="14" t="s">
        <v>14</v>
      </c>
      <c r="D4395" s="20" t="s">
        <v>15</v>
      </c>
      <c r="E4395" s="12" t="str">
        <f>IFERROR(__xludf.DUMMYFUNCTION("FILTER(colegios!$B$2:$B5618,colegios!$A$2:$A5618=L4395)"),"50796")</f>
        <v>50796</v>
      </c>
      <c r="F4395" s="14" t="s">
        <v>16</v>
      </c>
      <c r="G4395" s="20" t="s">
        <v>17</v>
      </c>
      <c r="H4395" s="14" t="s">
        <v>24</v>
      </c>
      <c r="I4395" s="22">
        <v>2022.0</v>
      </c>
      <c r="J4395" s="16" t="str">
        <f>IFERROR(__xludf.DUMMYFUNCTION("FILTER('CLASFICACIÓN'!$F$3:$F5618,'CLASFICACIÓN'!$G$3:$G5618=M4395)"),"SOLO LINEA BASE")</f>
        <v>SOLO LINEA BASE</v>
      </c>
      <c r="K4395" s="16"/>
      <c r="L4395" s="14" t="s">
        <v>196</v>
      </c>
      <c r="M4395" s="16" t="str">
        <f t="shared" si="1"/>
        <v>507962 Primaria</v>
      </c>
      <c r="N4395" s="23"/>
      <c r="O4395" s="17"/>
      <c r="P4395" s="17"/>
      <c r="Q4395" s="17"/>
      <c r="R4395" s="17"/>
      <c r="S4395" s="17"/>
      <c r="T4395" s="17"/>
    </row>
    <row r="4396">
      <c r="A4396" s="21">
        <v>524.0</v>
      </c>
      <c r="B4396" s="14" t="s">
        <v>90</v>
      </c>
      <c r="C4396" s="14" t="s">
        <v>14</v>
      </c>
      <c r="D4396" s="20" t="s">
        <v>20</v>
      </c>
      <c r="E4396" s="12" t="str">
        <f>IFERROR(__xludf.DUMMYFUNCTION("FILTER(colegios!$B$2:$B5618,colegios!$A$2:$A5618=L4396)"),"50547")</f>
        <v>50547</v>
      </c>
      <c r="F4396" s="14" t="s">
        <v>16</v>
      </c>
      <c r="G4396" s="20" t="s">
        <v>17</v>
      </c>
      <c r="H4396" s="14" t="s">
        <v>18</v>
      </c>
      <c r="I4396" s="22">
        <v>2022.0</v>
      </c>
      <c r="J4396" s="16" t="str">
        <f>IFERROR(__xludf.DUMMYFUNCTION("FILTER('CLASFICACIÓN'!$F$3:$F5618,'CLASFICACIÓN'!$G$3:$G5618=M4396)"),"LOS 3 AÑOS")</f>
        <v>LOS 3 AÑOS</v>
      </c>
      <c r="K4396" s="16"/>
      <c r="L4396" s="14" t="s">
        <v>177</v>
      </c>
      <c r="M4396" s="16" t="str">
        <f t="shared" si="1"/>
        <v>505474 Primaria</v>
      </c>
      <c r="N4396" s="23"/>
      <c r="O4396" s="17"/>
      <c r="P4396" s="17"/>
      <c r="Q4396" s="17"/>
      <c r="R4396" s="17"/>
      <c r="S4396" s="17"/>
      <c r="T4396" s="17"/>
    </row>
    <row r="4397">
      <c r="A4397" s="21">
        <v>525.0</v>
      </c>
      <c r="B4397" s="14" t="s">
        <v>90</v>
      </c>
      <c r="C4397" s="14" t="s">
        <v>14</v>
      </c>
      <c r="D4397" s="20" t="s">
        <v>20</v>
      </c>
      <c r="E4397" s="12" t="str">
        <f>IFERROR(__xludf.DUMMYFUNCTION("FILTER(colegios!$B$2:$B5618,colegios!$A$2:$A5618=L4397)"),"50547")</f>
        <v>50547</v>
      </c>
      <c r="F4397" s="14" t="s">
        <v>16</v>
      </c>
      <c r="G4397" s="20" t="s">
        <v>17</v>
      </c>
      <c r="H4397" s="14" t="s">
        <v>18</v>
      </c>
      <c r="I4397" s="22">
        <v>2022.0</v>
      </c>
      <c r="J4397" s="16" t="str">
        <f>IFERROR(__xludf.DUMMYFUNCTION("FILTER('CLASFICACIÓN'!$F$3:$F5618,'CLASFICACIÓN'!$G$3:$G5618=M4397)"),"LOS 3 AÑOS")</f>
        <v>LOS 3 AÑOS</v>
      </c>
      <c r="K4397" s="16"/>
      <c r="L4397" s="14" t="s">
        <v>177</v>
      </c>
      <c r="M4397" s="16" t="str">
        <f t="shared" si="1"/>
        <v>505474 Primaria</v>
      </c>
      <c r="N4397" s="23"/>
      <c r="O4397" s="17"/>
      <c r="P4397" s="17"/>
      <c r="Q4397" s="17"/>
      <c r="R4397" s="17"/>
      <c r="S4397" s="17"/>
      <c r="T4397" s="17"/>
    </row>
    <row r="4398">
      <c r="A4398" s="21">
        <v>526.0</v>
      </c>
      <c r="B4398" s="14" t="s">
        <v>90</v>
      </c>
      <c r="C4398" s="14" t="s">
        <v>14</v>
      </c>
      <c r="D4398" s="20" t="s">
        <v>20</v>
      </c>
      <c r="E4398" s="12" t="str">
        <f>IFERROR(__xludf.DUMMYFUNCTION("FILTER(colegios!$B$2:$B5618,colegios!$A$2:$A5618=L4398)"),"50547")</f>
        <v>50547</v>
      </c>
      <c r="F4398" s="14" t="s">
        <v>16</v>
      </c>
      <c r="G4398" s="20" t="s">
        <v>17</v>
      </c>
      <c r="H4398" s="14" t="s">
        <v>18</v>
      </c>
      <c r="I4398" s="22">
        <v>2022.0</v>
      </c>
      <c r="J4398" s="16" t="str">
        <f>IFERROR(__xludf.DUMMYFUNCTION("FILTER('CLASFICACIÓN'!$F$3:$F5618,'CLASFICACIÓN'!$G$3:$G5618=M4398)"),"LOS 3 AÑOS")</f>
        <v>LOS 3 AÑOS</v>
      </c>
      <c r="K4398" s="16"/>
      <c r="L4398" s="14" t="s">
        <v>177</v>
      </c>
      <c r="M4398" s="16" t="str">
        <f t="shared" si="1"/>
        <v>505474 Primaria</v>
      </c>
      <c r="N4398" s="23"/>
      <c r="O4398" s="17"/>
      <c r="P4398" s="17"/>
      <c r="Q4398" s="17"/>
      <c r="R4398" s="17"/>
      <c r="S4398" s="17"/>
      <c r="T4398" s="17"/>
    </row>
    <row r="4399">
      <c r="A4399" s="21">
        <v>527.0</v>
      </c>
      <c r="B4399" s="14" t="s">
        <v>90</v>
      </c>
      <c r="C4399" s="14" t="s">
        <v>14</v>
      </c>
      <c r="D4399" s="20" t="s">
        <v>20</v>
      </c>
      <c r="E4399" s="12" t="str">
        <f>IFERROR(__xludf.DUMMYFUNCTION("FILTER(colegios!$B$2:$B5618,colegios!$A$2:$A5618=L4399)"),"50547")</f>
        <v>50547</v>
      </c>
      <c r="F4399" s="14" t="s">
        <v>16</v>
      </c>
      <c r="G4399" s="20" t="s">
        <v>17</v>
      </c>
      <c r="H4399" s="14" t="s">
        <v>18</v>
      </c>
      <c r="I4399" s="22">
        <v>2022.0</v>
      </c>
      <c r="J4399" s="16" t="str">
        <f>IFERROR(__xludf.DUMMYFUNCTION("FILTER('CLASFICACIÓN'!$F$3:$F5618,'CLASFICACIÓN'!$G$3:$G5618=M4399)"),"LOS 3 AÑOS")</f>
        <v>LOS 3 AÑOS</v>
      </c>
      <c r="K4399" s="16"/>
      <c r="L4399" s="14" t="s">
        <v>177</v>
      </c>
      <c r="M4399" s="16" t="str">
        <f t="shared" si="1"/>
        <v>505474 Primaria</v>
      </c>
      <c r="N4399" s="23"/>
      <c r="O4399" s="17"/>
      <c r="P4399" s="17"/>
      <c r="Q4399" s="17"/>
      <c r="R4399" s="17"/>
      <c r="S4399" s="17"/>
      <c r="T4399" s="17"/>
    </row>
    <row r="4400">
      <c r="A4400" s="21">
        <v>528.0</v>
      </c>
      <c r="B4400" s="14" t="s">
        <v>90</v>
      </c>
      <c r="C4400" s="14" t="s">
        <v>14</v>
      </c>
      <c r="D4400" s="20" t="s">
        <v>20</v>
      </c>
      <c r="E4400" s="12" t="str">
        <f>IFERROR(__xludf.DUMMYFUNCTION("FILTER(colegios!$B$2:$B5618,colegios!$A$2:$A5618=L4400)"),"50547")</f>
        <v>50547</v>
      </c>
      <c r="F4400" s="14" t="s">
        <v>16</v>
      </c>
      <c r="G4400" s="20" t="s">
        <v>21</v>
      </c>
      <c r="H4400" s="14" t="s">
        <v>18</v>
      </c>
      <c r="I4400" s="22">
        <v>2022.0</v>
      </c>
      <c r="J4400" s="16" t="str">
        <f>IFERROR(__xludf.DUMMYFUNCTION("FILTER('CLASFICACIÓN'!$F$3:$F5618,'CLASFICACIÓN'!$G$3:$G5618=M4400)"),"LOS 3 AÑOS")</f>
        <v>LOS 3 AÑOS</v>
      </c>
      <c r="K4400" s="16"/>
      <c r="L4400" s="14" t="s">
        <v>177</v>
      </c>
      <c r="M4400" s="16" t="str">
        <f t="shared" si="1"/>
        <v>505474 Primaria</v>
      </c>
      <c r="N4400" s="23"/>
      <c r="O4400" s="17"/>
      <c r="P4400" s="17"/>
      <c r="Q4400" s="17"/>
      <c r="R4400" s="17"/>
      <c r="S4400" s="17"/>
      <c r="T4400" s="17"/>
    </row>
    <row r="4401">
      <c r="A4401" s="21">
        <v>529.0</v>
      </c>
      <c r="B4401" s="14" t="s">
        <v>90</v>
      </c>
      <c r="C4401" s="14" t="s">
        <v>14</v>
      </c>
      <c r="D4401" s="20" t="s">
        <v>20</v>
      </c>
      <c r="E4401" s="12" t="str">
        <f>IFERROR(__xludf.DUMMYFUNCTION("FILTER(colegios!$B$2:$B5618,colegios!$A$2:$A5618=L4401)"),"50547")</f>
        <v>50547</v>
      </c>
      <c r="F4401" s="14" t="s">
        <v>16</v>
      </c>
      <c r="G4401" s="20" t="s">
        <v>21</v>
      </c>
      <c r="H4401" s="14" t="s">
        <v>18</v>
      </c>
      <c r="I4401" s="22">
        <v>2022.0</v>
      </c>
      <c r="J4401" s="16" t="str">
        <f>IFERROR(__xludf.DUMMYFUNCTION("FILTER('CLASFICACIÓN'!$F$3:$F5618,'CLASFICACIÓN'!$G$3:$G5618=M4401)"),"LOS 3 AÑOS")</f>
        <v>LOS 3 AÑOS</v>
      </c>
      <c r="K4401" s="16"/>
      <c r="L4401" s="14" t="s">
        <v>177</v>
      </c>
      <c r="M4401" s="16" t="str">
        <f t="shared" si="1"/>
        <v>505474 Primaria</v>
      </c>
      <c r="N4401" s="23"/>
      <c r="O4401" s="17"/>
      <c r="P4401" s="17"/>
      <c r="Q4401" s="17"/>
      <c r="R4401" s="17"/>
      <c r="S4401" s="17"/>
      <c r="T4401" s="17"/>
    </row>
    <row r="4402">
      <c r="A4402" s="21">
        <v>530.0</v>
      </c>
      <c r="B4402" s="14" t="s">
        <v>90</v>
      </c>
      <c r="C4402" s="14" t="s">
        <v>14</v>
      </c>
      <c r="D4402" s="20" t="s">
        <v>20</v>
      </c>
      <c r="E4402" s="12" t="str">
        <f>IFERROR(__xludf.DUMMYFUNCTION("FILTER(colegios!$B$2:$B5618,colegios!$A$2:$A5618=L4402)"),"50547")</f>
        <v>50547</v>
      </c>
      <c r="F4402" s="14" t="s">
        <v>16</v>
      </c>
      <c r="G4402" s="20" t="s">
        <v>17</v>
      </c>
      <c r="H4402" s="14" t="s">
        <v>18</v>
      </c>
      <c r="I4402" s="22">
        <v>2022.0</v>
      </c>
      <c r="J4402" s="16" t="str">
        <f>IFERROR(__xludf.DUMMYFUNCTION("FILTER('CLASFICACIÓN'!$F$3:$F5618,'CLASFICACIÓN'!$G$3:$G5618=M4402)"),"LOS 3 AÑOS")</f>
        <v>LOS 3 AÑOS</v>
      </c>
      <c r="K4402" s="16"/>
      <c r="L4402" s="14" t="s">
        <v>177</v>
      </c>
      <c r="M4402" s="16" t="str">
        <f t="shared" si="1"/>
        <v>505474 Primaria</v>
      </c>
      <c r="N4402" s="23"/>
      <c r="O4402" s="17"/>
      <c r="P4402" s="17"/>
      <c r="Q4402" s="17"/>
      <c r="R4402" s="17"/>
      <c r="S4402" s="17"/>
      <c r="T4402" s="17"/>
    </row>
    <row r="4403">
      <c r="A4403" s="21">
        <v>531.0</v>
      </c>
      <c r="B4403" s="14" t="s">
        <v>90</v>
      </c>
      <c r="C4403" s="14" t="s">
        <v>14</v>
      </c>
      <c r="D4403" s="20" t="s">
        <v>20</v>
      </c>
      <c r="E4403" s="12" t="str">
        <f>IFERROR(__xludf.DUMMYFUNCTION("FILTER(colegios!$B$2:$B5618,colegios!$A$2:$A5618=L4403)"),"50547")</f>
        <v>50547</v>
      </c>
      <c r="F4403" s="14" t="s">
        <v>16</v>
      </c>
      <c r="G4403" s="20" t="s">
        <v>17</v>
      </c>
      <c r="H4403" s="14" t="s">
        <v>18</v>
      </c>
      <c r="I4403" s="22">
        <v>2022.0</v>
      </c>
      <c r="J4403" s="16" t="str">
        <f>IFERROR(__xludf.DUMMYFUNCTION("FILTER('CLASFICACIÓN'!$F$3:$F5618,'CLASFICACIÓN'!$G$3:$G5618=M4403)"),"LOS 3 AÑOS")</f>
        <v>LOS 3 AÑOS</v>
      </c>
      <c r="K4403" s="16"/>
      <c r="L4403" s="14" t="s">
        <v>177</v>
      </c>
      <c r="M4403" s="16" t="str">
        <f t="shared" si="1"/>
        <v>505474 Primaria</v>
      </c>
      <c r="N4403" s="23"/>
      <c r="O4403" s="17"/>
      <c r="P4403" s="17"/>
      <c r="Q4403" s="17"/>
      <c r="R4403" s="17"/>
      <c r="S4403" s="17"/>
      <c r="T4403" s="17"/>
    </row>
    <row r="4404">
      <c r="A4404" s="21">
        <v>532.0</v>
      </c>
      <c r="B4404" s="14" t="s">
        <v>90</v>
      </c>
      <c r="C4404" s="14" t="s">
        <v>14</v>
      </c>
      <c r="D4404" s="20" t="s">
        <v>20</v>
      </c>
      <c r="E4404" s="12" t="str">
        <f>IFERROR(__xludf.DUMMYFUNCTION("FILTER(colegios!$B$2:$B5618,colegios!$A$2:$A5618=L4404)"),"50547")</f>
        <v>50547</v>
      </c>
      <c r="F4404" s="14" t="s">
        <v>16</v>
      </c>
      <c r="G4404" s="20" t="s">
        <v>21</v>
      </c>
      <c r="H4404" s="14" t="s">
        <v>18</v>
      </c>
      <c r="I4404" s="22">
        <v>2022.0</v>
      </c>
      <c r="J4404" s="16" t="str">
        <f>IFERROR(__xludf.DUMMYFUNCTION("FILTER('CLASFICACIÓN'!$F$3:$F5618,'CLASFICACIÓN'!$G$3:$G5618=M4404)"),"LOS 3 AÑOS")</f>
        <v>LOS 3 AÑOS</v>
      </c>
      <c r="K4404" s="16"/>
      <c r="L4404" s="14" t="s">
        <v>177</v>
      </c>
      <c r="M4404" s="16" t="str">
        <f t="shared" si="1"/>
        <v>505474 Primaria</v>
      </c>
      <c r="N4404" s="23"/>
      <c r="O4404" s="17"/>
      <c r="P4404" s="17"/>
      <c r="Q4404" s="17"/>
      <c r="R4404" s="17"/>
      <c r="S4404" s="17"/>
      <c r="T4404" s="17"/>
    </row>
    <row r="4405">
      <c r="A4405" s="21">
        <v>533.0</v>
      </c>
      <c r="B4405" s="14" t="s">
        <v>90</v>
      </c>
      <c r="C4405" s="14" t="s">
        <v>14</v>
      </c>
      <c r="D4405" s="20" t="s">
        <v>20</v>
      </c>
      <c r="E4405" s="12" t="str">
        <f>IFERROR(__xludf.DUMMYFUNCTION("FILTER(colegios!$B$2:$B5618,colegios!$A$2:$A5618=L4405)"),"50547")</f>
        <v>50547</v>
      </c>
      <c r="F4405" s="14" t="s">
        <v>16</v>
      </c>
      <c r="G4405" s="20" t="s">
        <v>21</v>
      </c>
      <c r="H4405" s="14" t="s">
        <v>18</v>
      </c>
      <c r="I4405" s="22">
        <v>2022.0</v>
      </c>
      <c r="J4405" s="16" t="str">
        <f>IFERROR(__xludf.DUMMYFUNCTION("FILTER('CLASFICACIÓN'!$F$3:$F5618,'CLASFICACIÓN'!$G$3:$G5618=M4405)"),"LOS 3 AÑOS")</f>
        <v>LOS 3 AÑOS</v>
      </c>
      <c r="K4405" s="16"/>
      <c r="L4405" s="14" t="s">
        <v>177</v>
      </c>
      <c r="M4405" s="16" t="str">
        <f t="shared" si="1"/>
        <v>505474 Primaria</v>
      </c>
      <c r="N4405" s="23"/>
      <c r="O4405" s="17"/>
      <c r="P4405" s="17"/>
      <c r="Q4405" s="17"/>
      <c r="R4405" s="17"/>
      <c r="S4405" s="17"/>
      <c r="T4405" s="17"/>
    </row>
    <row r="4406">
      <c r="A4406" s="21">
        <v>534.0</v>
      </c>
      <c r="B4406" s="14" t="s">
        <v>90</v>
      </c>
      <c r="C4406" s="14" t="s">
        <v>14</v>
      </c>
      <c r="D4406" s="20" t="s">
        <v>20</v>
      </c>
      <c r="E4406" s="12" t="str">
        <f>IFERROR(__xludf.DUMMYFUNCTION("FILTER(colegios!$B$2:$B5618,colegios!$A$2:$A5618=L4406)"),"50547")</f>
        <v>50547</v>
      </c>
      <c r="F4406" s="14" t="s">
        <v>16</v>
      </c>
      <c r="G4406" s="20" t="s">
        <v>21</v>
      </c>
      <c r="H4406" s="14" t="s">
        <v>18</v>
      </c>
      <c r="I4406" s="22">
        <v>2022.0</v>
      </c>
      <c r="J4406" s="16" t="str">
        <f>IFERROR(__xludf.DUMMYFUNCTION("FILTER('CLASFICACIÓN'!$F$3:$F5618,'CLASFICACIÓN'!$G$3:$G5618=M4406)"),"LOS 3 AÑOS")</f>
        <v>LOS 3 AÑOS</v>
      </c>
      <c r="K4406" s="16"/>
      <c r="L4406" s="14" t="s">
        <v>177</v>
      </c>
      <c r="M4406" s="16" t="str">
        <f t="shared" si="1"/>
        <v>505474 Primaria</v>
      </c>
      <c r="N4406" s="23"/>
      <c r="O4406" s="17"/>
      <c r="P4406" s="17"/>
      <c r="Q4406" s="17"/>
      <c r="R4406" s="17"/>
      <c r="S4406" s="17"/>
      <c r="T4406" s="17"/>
    </row>
    <row r="4407">
      <c r="A4407" s="21">
        <v>535.0</v>
      </c>
      <c r="B4407" s="14" t="s">
        <v>90</v>
      </c>
      <c r="C4407" s="14" t="s">
        <v>14</v>
      </c>
      <c r="D4407" s="20" t="s">
        <v>20</v>
      </c>
      <c r="E4407" s="12" t="str">
        <f>IFERROR(__xludf.DUMMYFUNCTION("FILTER(colegios!$B$2:$B5618,colegios!$A$2:$A5618=L4407)"),"50547")</f>
        <v>50547</v>
      </c>
      <c r="F4407" s="14" t="s">
        <v>16</v>
      </c>
      <c r="G4407" s="20" t="s">
        <v>17</v>
      </c>
      <c r="H4407" s="14" t="s">
        <v>18</v>
      </c>
      <c r="I4407" s="22">
        <v>2022.0</v>
      </c>
      <c r="J4407" s="16" t="str">
        <f>IFERROR(__xludf.DUMMYFUNCTION("FILTER('CLASFICACIÓN'!$F$3:$F5618,'CLASFICACIÓN'!$G$3:$G5618=M4407)"),"LOS 3 AÑOS")</f>
        <v>LOS 3 AÑOS</v>
      </c>
      <c r="K4407" s="16"/>
      <c r="L4407" s="14" t="s">
        <v>177</v>
      </c>
      <c r="M4407" s="16" t="str">
        <f t="shared" si="1"/>
        <v>505474 Primaria</v>
      </c>
      <c r="N4407" s="23"/>
      <c r="O4407" s="17"/>
      <c r="P4407" s="17"/>
      <c r="Q4407" s="17"/>
      <c r="R4407" s="17"/>
      <c r="S4407" s="17"/>
      <c r="T4407" s="17"/>
    </row>
    <row r="4408">
      <c r="A4408" s="21">
        <v>536.0</v>
      </c>
      <c r="B4408" s="14" t="s">
        <v>90</v>
      </c>
      <c r="C4408" s="14" t="s">
        <v>14</v>
      </c>
      <c r="D4408" s="20" t="s">
        <v>20</v>
      </c>
      <c r="E4408" s="12" t="str">
        <f>IFERROR(__xludf.DUMMYFUNCTION("FILTER(colegios!$B$2:$B5618,colegios!$A$2:$A5618=L4408)"),"50547")</f>
        <v>50547</v>
      </c>
      <c r="F4408" s="14" t="s">
        <v>16</v>
      </c>
      <c r="G4408" s="20" t="s">
        <v>21</v>
      </c>
      <c r="H4408" s="14" t="s">
        <v>18</v>
      </c>
      <c r="I4408" s="22">
        <v>2022.0</v>
      </c>
      <c r="J4408" s="16" t="str">
        <f>IFERROR(__xludf.DUMMYFUNCTION("FILTER('CLASFICACIÓN'!$F$3:$F5618,'CLASFICACIÓN'!$G$3:$G5618=M4408)"),"LOS 3 AÑOS")</f>
        <v>LOS 3 AÑOS</v>
      </c>
      <c r="K4408" s="16"/>
      <c r="L4408" s="14" t="s">
        <v>177</v>
      </c>
      <c r="M4408" s="16" t="str">
        <f t="shared" si="1"/>
        <v>505474 Primaria</v>
      </c>
      <c r="N4408" s="23"/>
      <c r="O4408" s="17"/>
      <c r="P4408" s="17"/>
      <c r="Q4408" s="17"/>
      <c r="R4408" s="17"/>
      <c r="S4408" s="17"/>
      <c r="T4408" s="17"/>
    </row>
    <row r="4409">
      <c r="A4409" s="21">
        <v>537.0</v>
      </c>
      <c r="B4409" s="14" t="s">
        <v>90</v>
      </c>
      <c r="C4409" s="14" t="s">
        <v>14</v>
      </c>
      <c r="D4409" s="20" t="s">
        <v>20</v>
      </c>
      <c r="E4409" s="12" t="str">
        <f>IFERROR(__xludf.DUMMYFUNCTION("FILTER(colegios!$B$2:$B5618,colegios!$A$2:$A5618=L4409)"),"50547")</f>
        <v>50547</v>
      </c>
      <c r="F4409" s="14" t="s">
        <v>16</v>
      </c>
      <c r="G4409" s="20" t="s">
        <v>21</v>
      </c>
      <c r="H4409" s="14" t="s">
        <v>18</v>
      </c>
      <c r="I4409" s="22">
        <v>2022.0</v>
      </c>
      <c r="J4409" s="16" t="str">
        <f>IFERROR(__xludf.DUMMYFUNCTION("FILTER('CLASFICACIÓN'!$F$3:$F5618,'CLASFICACIÓN'!$G$3:$G5618=M4409)"),"LOS 3 AÑOS")</f>
        <v>LOS 3 AÑOS</v>
      </c>
      <c r="K4409" s="16"/>
      <c r="L4409" s="14" t="s">
        <v>177</v>
      </c>
      <c r="M4409" s="16" t="str">
        <f t="shared" si="1"/>
        <v>505474 Primaria</v>
      </c>
      <c r="N4409" s="23"/>
      <c r="O4409" s="17"/>
      <c r="P4409" s="17"/>
      <c r="Q4409" s="17"/>
      <c r="R4409" s="17"/>
      <c r="S4409" s="17"/>
      <c r="T4409" s="17"/>
    </row>
    <row r="4410">
      <c r="A4410" s="21">
        <v>538.0</v>
      </c>
      <c r="B4410" s="14" t="s">
        <v>90</v>
      </c>
      <c r="C4410" s="14" t="s">
        <v>14</v>
      </c>
      <c r="D4410" s="20" t="s">
        <v>20</v>
      </c>
      <c r="E4410" s="12" t="str">
        <f>IFERROR(__xludf.DUMMYFUNCTION("FILTER(colegios!$B$2:$B5618,colegios!$A$2:$A5618=L4410)"),"50547")</f>
        <v>50547</v>
      </c>
      <c r="F4410" s="14" t="s">
        <v>16</v>
      </c>
      <c r="G4410" s="20" t="s">
        <v>21</v>
      </c>
      <c r="H4410" s="14" t="s">
        <v>18</v>
      </c>
      <c r="I4410" s="22">
        <v>2022.0</v>
      </c>
      <c r="J4410" s="16" t="str">
        <f>IFERROR(__xludf.DUMMYFUNCTION("FILTER('CLASFICACIÓN'!$F$3:$F5618,'CLASFICACIÓN'!$G$3:$G5618=M4410)"),"LOS 3 AÑOS")</f>
        <v>LOS 3 AÑOS</v>
      </c>
      <c r="K4410" s="16"/>
      <c r="L4410" s="14" t="s">
        <v>177</v>
      </c>
      <c r="M4410" s="16" t="str">
        <f t="shared" si="1"/>
        <v>505474 Primaria</v>
      </c>
      <c r="N4410" s="23"/>
      <c r="O4410" s="17"/>
      <c r="P4410" s="17"/>
      <c r="Q4410" s="17"/>
      <c r="R4410" s="17"/>
      <c r="S4410" s="17"/>
      <c r="T4410" s="17"/>
    </row>
    <row r="4411">
      <c r="A4411" s="21">
        <v>539.0</v>
      </c>
      <c r="B4411" s="14" t="s">
        <v>90</v>
      </c>
      <c r="C4411" s="14" t="s">
        <v>14</v>
      </c>
      <c r="D4411" s="20" t="s">
        <v>20</v>
      </c>
      <c r="E4411" s="12" t="str">
        <f>IFERROR(__xludf.DUMMYFUNCTION("FILTER(colegios!$B$2:$B5618,colegios!$A$2:$A5618=L4411)"),"50547")</f>
        <v>50547</v>
      </c>
      <c r="F4411" s="14" t="s">
        <v>16</v>
      </c>
      <c r="G4411" s="20" t="s">
        <v>17</v>
      </c>
      <c r="H4411" s="14" t="s">
        <v>18</v>
      </c>
      <c r="I4411" s="22">
        <v>2022.0</v>
      </c>
      <c r="J4411" s="16" t="str">
        <f>IFERROR(__xludf.DUMMYFUNCTION("FILTER('CLASFICACIÓN'!$F$3:$F5618,'CLASFICACIÓN'!$G$3:$G5618=M4411)"),"LOS 3 AÑOS")</f>
        <v>LOS 3 AÑOS</v>
      </c>
      <c r="K4411" s="16"/>
      <c r="L4411" s="14" t="s">
        <v>177</v>
      </c>
      <c r="M4411" s="16" t="str">
        <f t="shared" si="1"/>
        <v>505474 Primaria</v>
      </c>
      <c r="N4411" s="23"/>
      <c r="O4411" s="17"/>
      <c r="P4411" s="17"/>
      <c r="Q4411" s="17"/>
      <c r="R4411" s="17"/>
      <c r="S4411" s="17"/>
      <c r="T4411" s="17"/>
    </row>
    <row r="4412">
      <c r="A4412" s="21">
        <v>540.0</v>
      </c>
      <c r="B4412" s="14" t="s">
        <v>90</v>
      </c>
      <c r="C4412" s="14" t="s">
        <v>14</v>
      </c>
      <c r="D4412" s="20" t="s">
        <v>20</v>
      </c>
      <c r="E4412" s="12" t="str">
        <f>IFERROR(__xludf.DUMMYFUNCTION("FILTER(colegios!$B$2:$B5618,colegios!$A$2:$A5618=L4412)"),"50547")</f>
        <v>50547</v>
      </c>
      <c r="F4412" s="14" t="s">
        <v>16</v>
      </c>
      <c r="G4412" s="20" t="s">
        <v>17</v>
      </c>
      <c r="H4412" s="14" t="s">
        <v>18</v>
      </c>
      <c r="I4412" s="22">
        <v>2022.0</v>
      </c>
      <c r="J4412" s="16" t="str">
        <f>IFERROR(__xludf.DUMMYFUNCTION("FILTER('CLASFICACIÓN'!$F$3:$F5618,'CLASFICACIÓN'!$G$3:$G5618=M4412)"),"LOS 3 AÑOS")</f>
        <v>LOS 3 AÑOS</v>
      </c>
      <c r="K4412" s="16"/>
      <c r="L4412" s="14" t="s">
        <v>177</v>
      </c>
      <c r="M4412" s="16" t="str">
        <f t="shared" si="1"/>
        <v>505474 Primaria</v>
      </c>
      <c r="N4412" s="23"/>
      <c r="O4412" s="17"/>
      <c r="P4412" s="17"/>
      <c r="Q4412" s="17"/>
      <c r="R4412" s="17"/>
      <c r="S4412" s="17"/>
      <c r="T4412" s="17"/>
    </row>
    <row r="4413">
      <c r="A4413" s="21">
        <v>541.0</v>
      </c>
      <c r="B4413" s="14" t="s">
        <v>90</v>
      </c>
      <c r="C4413" s="14" t="s">
        <v>14</v>
      </c>
      <c r="D4413" s="20" t="s">
        <v>20</v>
      </c>
      <c r="E4413" s="12" t="str">
        <f>IFERROR(__xludf.DUMMYFUNCTION("FILTER(colegios!$B$2:$B5618,colegios!$A$2:$A5618=L4413)"),"50547")</f>
        <v>50547</v>
      </c>
      <c r="F4413" s="14" t="s">
        <v>16</v>
      </c>
      <c r="G4413" s="20" t="s">
        <v>17</v>
      </c>
      <c r="H4413" s="14" t="s">
        <v>18</v>
      </c>
      <c r="I4413" s="22">
        <v>2022.0</v>
      </c>
      <c r="J4413" s="16" t="str">
        <f>IFERROR(__xludf.DUMMYFUNCTION("FILTER('CLASFICACIÓN'!$F$3:$F5618,'CLASFICACIÓN'!$G$3:$G5618=M4413)"),"LOS 3 AÑOS")</f>
        <v>LOS 3 AÑOS</v>
      </c>
      <c r="K4413" s="16"/>
      <c r="L4413" s="14" t="s">
        <v>177</v>
      </c>
      <c r="M4413" s="16" t="str">
        <f t="shared" si="1"/>
        <v>505474 Primaria</v>
      </c>
      <c r="N4413" s="23"/>
      <c r="O4413" s="17"/>
      <c r="P4413" s="17"/>
      <c r="Q4413" s="17"/>
      <c r="R4413" s="17"/>
      <c r="S4413" s="17"/>
      <c r="T4413" s="17"/>
    </row>
    <row r="4414">
      <c r="A4414" s="21">
        <v>542.0</v>
      </c>
      <c r="B4414" s="14" t="s">
        <v>90</v>
      </c>
      <c r="C4414" s="14" t="s">
        <v>14</v>
      </c>
      <c r="D4414" s="20" t="s">
        <v>20</v>
      </c>
      <c r="E4414" s="12" t="str">
        <f>IFERROR(__xludf.DUMMYFUNCTION("FILTER(colegios!$B$2:$B5618,colegios!$A$2:$A5618=L4414)"),"50547")</f>
        <v>50547</v>
      </c>
      <c r="F4414" s="14" t="s">
        <v>16</v>
      </c>
      <c r="G4414" s="20" t="s">
        <v>17</v>
      </c>
      <c r="H4414" s="14" t="s">
        <v>18</v>
      </c>
      <c r="I4414" s="22">
        <v>2022.0</v>
      </c>
      <c r="J4414" s="16" t="str">
        <f>IFERROR(__xludf.DUMMYFUNCTION("FILTER('CLASFICACIÓN'!$F$3:$F5618,'CLASFICACIÓN'!$G$3:$G5618=M4414)"),"LOS 3 AÑOS")</f>
        <v>LOS 3 AÑOS</v>
      </c>
      <c r="K4414" s="16"/>
      <c r="L4414" s="14" t="s">
        <v>177</v>
      </c>
      <c r="M4414" s="16" t="str">
        <f t="shared" si="1"/>
        <v>505474 Primaria</v>
      </c>
      <c r="N4414" s="23"/>
      <c r="O4414" s="17"/>
      <c r="P4414" s="17"/>
      <c r="Q4414" s="17"/>
      <c r="R4414" s="17"/>
      <c r="S4414" s="17"/>
      <c r="T4414" s="17"/>
    </row>
    <row r="4415">
      <c r="A4415" s="21">
        <v>543.0</v>
      </c>
      <c r="B4415" s="14" t="s">
        <v>90</v>
      </c>
      <c r="C4415" s="14" t="s">
        <v>14</v>
      </c>
      <c r="D4415" s="20" t="s">
        <v>20</v>
      </c>
      <c r="E4415" s="12" t="str">
        <f>IFERROR(__xludf.DUMMYFUNCTION("FILTER(colegios!$B$2:$B5618,colegios!$A$2:$A5618=L4415)"),"50547")</f>
        <v>50547</v>
      </c>
      <c r="F4415" s="14" t="s">
        <v>16</v>
      </c>
      <c r="G4415" s="20" t="s">
        <v>17</v>
      </c>
      <c r="H4415" s="14" t="s">
        <v>18</v>
      </c>
      <c r="I4415" s="22">
        <v>2022.0</v>
      </c>
      <c r="J4415" s="16" t="str">
        <f>IFERROR(__xludf.DUMMYFUNCTION("FILTER('CLASFICACIÓN'!$F$3:$F5618,'CLASFICACIÓN'!$G$3:$G5618=M4415)"),"LOS 3 AÑOS")</f>
        <v>LOS 3 AÑOS</v>
      </c>
      <c r="K4415" s="16"/>
      <c r="L4415" s="14" t="s">
        <v>177</v>
      </c>
      <c r="M4415" s="16" t="str">
        <f t="shared" si="1"/>
        <v>505474 Primaria</v>
      </c>
      <c r="N4415" s="23"/>
      <c r="O4415" s="17"/>
      <c r="P4415" s="17"/>
      <c r="Q4415" s="17"/>
      <c r="R4415" s="17"/>
      <c r="S4415" s="17"/>
      <c r="T4415" s="17"/>
    </row>
    <row r="4416">
      <c r="A4416" s="21">
        <v>544.0</v>
      </c>
      <c r="B4416" s="14" t="s">
        <v>90</v>
      </c>
      <c r="C4416" s="14" t="s">
        <v>14</v>
      </c>
      <c r="D4416" s="20" t="s">
        <v>20</v>
      </c>
      <c r="E4416" s="12" t="str">
        <f>IFERROR(__xludf.DUMMYFUNCTION("FILTER(colegios!$B$2:$B5618,colegios!$A$2:$A5618=L4416)"),"50547")</f>
        <v>50547</v>
      </c>
      <c r="F4416" s="14" t="s">
        <v>16</v>
      </c>
      <c r="G4416" s="20" t="s">
        <v>17</v>
      </c>
      <c r="H4416" s="14" t="s">
        <v>18</v>
      </c>
      <c r="I4416" s="22">
        <v>2022.0</v>
      </c>
      <c r="J4416" s="16" t="str">
        <f>IFERROR(__xludf.DUMMYFUNCTION("FILTER('CLASFICACIÓN'!$F$3:$F5618,'CLASFICACIÓN'!$G$3:$G5618=M4416)"),"LOS 3 AÑOS")</f>
        <v>LOS 3 AÑOS</v>
      </c>
      <c r="K4416" s="16"/>
      <c r="L4416" s="14" t="s">
        <v>177</v>
      </c>
      <c r="M4416" s="16" t="str">
        <f t="shared" si="1"/>
        <v>505474 Primaria</v>
      </c>
      <c r="N4416" s="23"/>
      <c r="O4416" s="17"/>
      <c r="P4416" s="17"/>
      <c r="Q4416" s="17"/>
      <c r="R4416" s="17"/>
      <c r="S4416" s="17"/>
      <c r="T4416" s="17"/>
    </row>
    <row r="4417">
      <c r="A4417" s="21">
        <v>545.0</v>
      </c>
      <c r="B4417" s="14" t="s">
        <v>90</v>
      </c>
      <c r="C4417" s="14" t="s">
        <v>14</v>
      </c>
      <c r="D4417" s="20" t="s">
        <v>20</v>
      </c>
      <c r="E4417" s="12" t="str">
        <f>IFERROR(__xludf.DUMMYFUNCTION("FILTER(colegios!$B$2:$B5618,colegios!$A$2:$A5618=L4417)"),"50547")</f>
        <v>50547</v>
      </c>
      <c r="F4417" s="14" t="s">
        <v>16</v>
      </c>
      <c r="G4417" s="20" t="s">
        <v>21</v>
      </c>
      <c r="H4417" s="14" t="s">
        <v>18</v>
      </c>
      <c r="I4417" s="22">
        <v>2022.0</v>
      </c>
      <c r="J4417" s="16" t="str">
        <f>IFERROR(__xludf.DUMMYFUNCTION("FILTER('CLASFICACIÓN'!$F$3:$F5618,'CLASFICACIÓN'!$G$3:$G5618=M4417)"),"LOS 3 AÑOS")</f>
        <v>LOS 3 AÑOS</v>
      </c>
      <c r="K4417" s="16"/>
      <c r="L4417" s="14" t="s">
        <v>177</v>
      </c>
      <c r="M4417" s="16" t="str">
        <f t="shared" si="1"/>
        <v>505474 Primaria</v>
      </c>
      <c r="N4417" s="23"/>
      <c r="O4417" s="17"/>
      <c r="P4417" s="17"/>
      <c r="Q4417" s="17"/>
      <c r="R4417" s="17"/>
      <c r="S4417" s="17"/>
      <c r="T4417" s="17"/>
    </row>
    <row r="4418">
      <c r="A4418" s="21">
        <v>546.0</v>
      </c>
      <c r="B4418" s="14" t="s">
        <v>90</v>
      </c>
      <c r="C4418" s="14" t="s">
        <v>14</v>
      </c>
      <c r="D4418" s="20" t="s">
        <v>20</v>
      </c>
      <c r="E4418" s="12" t="str">
        <f>IFERROR(__xludf.DUMMYFUNCTION("FILTER(colegios!$B$2:$B5618,colegios!$A$2:$A5618=L4418)"),"50547")</f>
        <v>50547</v>
      </c>
      <c r="F4418" s="14" t="s">
        <v>16</v>
      </c>
      <c r="G4418" s="20" t="s">
        <v>17</v>
      </c>
      <c r="H4418" s="14" t="s">
        <v>18</v>
      </c>
      <c r="I4418" s="22">
        <v>2022.0</v>
      </c>
      <c r="J4418" s="16" t="str">
        <f>IFERROR(__xludf.DUMMYFUNCTION("FILTER('CLASFICACIÓN'!$F$3:$F5618,'CLASFICACIÓN'!$G$3:$G5618=M4418)"),"LOS 3 AÑOS")</f>
        <v>LOS 3 AÑOS</v>
      </c>
      <c r="K4418" s="16"/>
      <c r="L4418" s="14" t="s">
        <v>177</v>
      </c>
      <c r="M4418" s="16" t="str">
        <f t="shared" si="1"/>
        <v>505474 Primaria</v>
      </c>
      <c r="N4418" s="23"/>
      <c r="O4418" s="17"/>
      <c r="P4418" s="17"/>
      <c r="Q4418" s="17"/>
      <c r="R4418" s="17"/>
      <c r="S4418" s="17"/>
      <c r="T4418" s="17"/>
    </row>
    <row r="4419">
      <c r="A4419" s="21">
        <v>547.0</v>
      </c>
      <c r="B4419" s="14" t="s">
        <v>90</v>
      </c>
      <c r="C4419" s="14" t="s">
        <v>14</v>
      </c>
      <c r="D4419" s="20" t="s">
        <v>20</v>
      </c>
      <c r="E4419" s="12" t="str">
        <f>IFERROR(__xludf.DUMMYFUNCTION("FILTER(colegios!$B$2:$B5618,colegios!$A$2:$A5618=L4419)"),"50547")</f>
        <v>50547</v>
      </c>
      <c r="F4419" s="14" t="s">
        <v>16</v>
      </c>
      <c r="G4419" s="20" t="s">
        <v>21</v>
      </c>
      <c r="H4419" s="14" t="s">
        <v>18</v>
      </c>
      <c r="I4419" s="22">
        <v>2022.0</v>
      </c>
      <c r="J4419" s="16" t="str">
        <f>IFERROR(__xludf.DUMMYFUNCTION("FILTER('CLASFICACIÓN'!$F$3:$F5618,'CLASFICACIÓN'!$G$3:$G5618=M4419)"),"LOS 3 AÑOS")</f>
        <v>LOS 3 AÑOS</v>
      </c>
      <c r="K4419" s="16"/>
      <c r="L4419" s="14" t="s">
        <v>177</v>
      </c>
      <c r="M4419" s="16" t="str">
        <f t="shared" si="1"/>
        <v>505474 Primaria</v>
      </c>
      <c r="N4419" s="23"/>
      <c r="O4419" s="17"/>
      <c r="P4419" s="17"/>
      <c r="Q4419" s="17"/>
      <c r="R4419" s="17"/>
      <c r="S4419" s="17"/>
      <c r="T4419" s="17"/>
    </row>
    <row r="4420">
      <c r="A4420" s="21">
        <v>548.0</v>
      </c>
      <c r="B4420" s="14" t="s">
        <v>90</v>
      </c>
      <c r="C4420" s="14" t="s">
        <v>14</v>
      </c>
      <c r="D4420" s="20" t="s">
        <v>20</v>
      </c>
      <c r="E4420" s="12" t="str">
        <f>IFERROR(__xludf.DUMMYFUNCTION("FILTER(colegios!$B$2:$B5618,colegios!$A$2:$A5618=L4420)"),"50547")</f>
        <v>50547</v>
      </c>
      <c r="F4420" s="14" t="s">
        <v>16</v>
      </c>
      <c r="G4420" s="20" t="s">
        <v>21</v>
      </c>
      <c r="H4420" s="14" t="s">
        <v>18</v>
      </c>
      <c r="I4420" s="22">
        <v>2022.0</v>
      </c>
      <c r="J4420" s="16" t="str">
        <f>IFERROR(__xludf.DUMMYFUNCTION("FILTER('CLASFICACIÓN'!$F$3:$F5618,'CLASFICACIÓN'!$G$3:$G5618=M4420)"),"LOS 3 AÑOS")</f>
        <v>LOS 3 AÑOS</v>
      </c>
      <c r="K4420" s="16"/>
      <c r="L4420" s="14" t="s">
        <v>177</v>
      </c>
      <c r="M4420" s="16" t="str">
        <f t="shared" si="1"/>
        <v>505474 Primaria</v>
      </c>
      <c r="N4420" s="23"/>
      <c r="O4420" s="17"/>
      <c r="P4420" s="17"/>
      <c r="Q4420" s="17"/>
      <c r="R4420" s="17"/>
      <c r="S4420" s="17"/>
      <c r="T4420" s="17"/>
    </row>
    <row r="4421">
      <c r="A4421" s="21">
        <v>549.0</v>
      </c>
      <c r="B4421" s="14" t="s">
        <v>90</v>
      </c>
      <c r="C4421" s="14" t="s">
        <v>14</v>
      </c>
      <c r="D4421" s="20" t="s">
        <v>20</v>
      </c>
      <c r="E4421" s="12" t="str">
        <f>IFERROR(__xludf.DUMMYFUNCTION("FILTER(colegios!$B$2:$B5618,colegios!$A$2:$A5618=L4421)"),"50547")</f>
        <v>50547</v>
      </c>
      <c r="F4421" s="14" t="s">
        <v>16</v>
      </c>
      <c r="G4421" s="20" t="s">
        <v>17</v>
      </c>
      <c r="H4421" s="14" t="s">
        <v>18</v>
      </c>
      <c r="I4421" s="22">
        <v>2022.0</v>
      </c>
      <c r="J4421" s="16" t="str">
        <f>IFERROR(__xludf.DUMMYFUNCTION("FILTER('CLASFICACIÓN'!$F$3:$F5618,'CLASFICACIÓN'!$G$3:$G5618=M4421)"),"LOS 3 AÑOS")</f>
        <v>LOS 3 AÑOS</v>
      </c>
      <c r="K4421" s="16"/>
      <c r="L4421" s="14" t="s">
        <v>177</v>
      </c>
      <c r="M4421" s="16" t="str">
        <f t="shared" si="1"/>
        <v>505474 Primaria</v>
      </c>
      <c r="N4421" s="23"/>
      <c r="O4421" s="17"/>
      <c r="P4421" s="17"/>
      <c r="Q4421" s="17"/>
      <c r="R4421" s="17"/>
      <c r="S4421" s="17"/>
      <c r="T4421" s="17"/>
    </row>
    <row r="4422">
      <c r="A4422" s="21">
        <v>550.0</v>
      </c>
      <c r="B4422" s="14" t="s">
        <v>90</v>
      </c>
      <c r="C4422" s="14" t="s">
        <v>14</v>
      </c>
      <c r="D4422" s="20" t="s">
        <v>20</v>
      </c>
      <c r="E4422" s="12" t="str">
        <f>IFERROR(__xludf.DUMMYFUNCTION("FILTER(colegios!$B$2:$B5618,colegios!$A$2:$A5618=L4422)"),"50547")</f>
        <v>50547</v>
      </c>
      <c r="F4422" s="14" t="s">
        <v>16</v>
      </c>
      <c r="G4422" s="20" t="s">
        <v>21</v>
      </c>
      <c r="H4422" s="14" t="s">
        <v>18</v>
      </c>
      <c r="I4422" s="22">
        <v>2022.0</v>
      </c>
      <c r="J4422" s="16" t="str">
        <f>IFERROR(__xludf.DUMMYFUNCTION("FILTER('CLASFICACIÓN'!$F$3:$F5618,'CLASFICACIÓN'!$G$3:$G5618=M4422)"),"LOS 3 AÑOS")</f>
        <v>LOS 3 AÑOS</v>
      </c>
      <c r="K4422" s="16"/>
      <c r="L4422" s="14" t="s">
        <v>177</v>
      </c>
      <c r="M4422" s="16" t="str">
        <f t="shared" si="1"/>
        <v>505474 Primaria</v>
      </c>
      <c r="N4422" s="23"/>
      <c r="O4422" s="17"/>
      <c r="P4422" s="17"/>
      <c r="Q4422" s="17"/>
      <c r="R4422" s="17"/>
      <c r="S4422" s="17"/>
      <c r="T4422" s="17"/>
    </row>
    <row r="4423">
      <c r="A4423" s="21">
        <v>551.0</v>
      </c>
      <c r="B4423" s="14" t="s">
        <v>90</v>
      </c>
      <c r="C4423" s="14" t="s">
        <v>14</v>
      </c>
      <c r="D4423" s="20" t="s">
        <v>20</v>
      </c>
      <c r="E4423" s="12" t="str">
        <f>IFERROR(__xludf.DUMMYFUNCTION("FILTER(colegios!$B$2:$B5618,colegios!$A$2:$A5618=L4423)"),"50547")</f>
        <v>50547</v>
      </c>
      <c r="F4423" s="14" t="s">
        <v>16</v>
      </c>
      <c r="G4423" s="20" t="s">
        <v>17</v>
      </c>
      <c r="H4423" s="14" t="s">
        <v>18</v>
      </c>
      <c r="I4423" s="22">
        <v>2022.0</v>
      </c>
      <c r="J4423" s="16" t="str">
        <f>IFERROR(__xludf.DUMMYFUNCTION("FILTER('CLASFICACIÓN'!$F$3:$F5618,'CLASFICACIÓN'!$G$3:$G5618=M4423)"),"LOS 3 AÑOS")</f>
        <v>LOS 3 AÑOS</v>
      </c>
      <c r="K4423" s="16"/>
      <c r="L4423" s="14" t="s">
        <v>177</v>
      </c>
      <c r="M4423" s="16" t="str">
        <f t="shared" si="1"/>
        <v>505474 Primaria</v>
      </c>
      <c r="N4423" s="23"/>
      <c r="O4423" s="17"/>
      <c r="P4423" s="17"/>
      <c r="Q4423" s="17"/>
      <c r="R4423" s="17"/>
      <c r="S4423" s="17"/>
      <c r="T4423" s="17"/>
    </row>
    <row r="4424">
      <c r="A4424" s="21">
        <v>552.0</v>
      </c>
      <c r="B4424" s="14" t="s">
        <v>90</v>
      </c>
      <c r="C4424" s="14" t="s">
        <v>14</v>
      </c>
      <c r="D4424" s="20" t="s">
        <v>20</v>
      </c>
      <c r="E4424" s="12" t="str">
        <f>IFERROR(__xludf.DUMMYFUNCTION("FILTER(colegios!$B$2:$B5618,colegios!$A$2:$A5618=L4424)"),"50547")</f>
        <v>50547</v>
      </c>
      <c r="F4424" s="14" t="s">
        <v>16</v>
      </c>
      <c r="G4424" s="20" t="s">
        <v>21</v>
      </c>
      <c r="H4424" s="14" t="s">
        <v>18</v>
      </c>
      <c r="I4424" s="22">
        <v>2022.0</v>
      </c>
      <c r="J4424" s="16" t="str">
        <f>IFERROR(__xludf.DUMMYFUNCTION("FILTER('CLASFICACIÓN'!$F$3:$F5618,'CLASFICACIÓN'!$G$3:$G5618=M4424)"),"LOS 3 AÑOS")</f>
        <v>LOS 3 AÑOS</v>
      </c>
      <c r="K4424" s="16"/>
      <c r="L4424" s="14" t="s">
        <v>177</v>
      </c>
      <c r="M4424" s="16" t="str">
        <f t="shared" si="1"/>
        <v>505474 Primaria</v>
      </c>
      <c r="N4424" s="23"/>
      <c r="O4424" s="17"/>
      <c r="P4424" s="17"/>
      <c r="Q4424" s="17"/>
      <c r="R4424" s="17"/>
      <c r="S4424" s="17"/>
      <c r="T4424" s="17"/>
    </row>
    <row r="4425">
      <c r="A4425" s="21">
        <v>553.0</v>
      </c>
      <c r="B4425" s="14" t="s">
        <v>90</v>
      </c>
      <c r="C4425" s="14" t="s">
        <v>14</v>
      </c>
      <c r="D4425" s="20" t="s">
        <v>20</v>
      </c>
      <c r="E4425" s="12" t="str">
        <f>IFERROR(__xludf.DUMMYFUNCTION("FILTER(colegios!$B$2:$B5618,colegios!$A$2:$A5618=L4425)"),"50547")</f>
        <v>50547</v>
      </c>
      <c r="F4425" s="14" t="s">
        <v>16</v>
      </c>
      <c r="G4425" s="20" t="s">
        <v>17</v>
      </c>
      <c r="H4425" s="14" t="s">
        <v>18</v>
      </c>
      <c r="I4425" s="22">
        <v>2022.0</v>
      </c>
      <c r="J4425" s="16" t="str">
        <f>IFERROR(__xludf.DUMMYFUNCTION("FILTER('CLASFICACIÓN'!$F$3:$F5618,'CLASFICACIÓN'!$G$3:$G5618=M4425)"),"LOS 3 AÑOS")</f>
        <v>LOS 3 AÑOS</v>
      </c>
      <c r="K4425" s="16"/>
      <c r="L4425" s="14" t="s">
        <v>177</v>
      </c>
      <c r="M4425" s="16" t="str">
        <f t="shared" si="1"/>
        <v>505474 Primaria</v>
      </c>
      <c r="N4425" s="23"/>
      <c r="O4425" s="17"/>
      <c r="P4425" s="17"/>
      <c r="Q4425" s="17"/>
      <c r="R4425" s="17"/>
      <c r="S4425" s="17"/>
      <c r="T4425" s="17"/>
    </row>
    <row r="4426">
      <c r="A4426" s="21">
        <v>554.0</v>
      </c>
      <c r="B4426" s="14" t="s">
        <v>90</v>
      </c>
      <c r="C4426" s="14" t="s">
        <v>14</v>
      </c>
      <c r="D4426" s="20" t="s">
        <v>20</v>
      </c>
      <c r="E4426" s="12" t="str">
        <f>IFERROR(__xludf.DUMMYFUNCTION("FILTER(colegios!$B$2:$B5618,colegios!$A$2:$A5618=L4426)"),"50547")</f>
        <v>50547</v>
      </c>
      <c r="F4426" s="14" t="s">
        <v>16</v>
      </c>
      <c r="G4426" s="20" t="s">
        <v>17</v>
      </c>
      <c r="H4426" s="14" t="s">
        <v>18</v>
      </c>
      <c r="I4426" s="22">
        <v>2022.0</v>
      </c>
      <c r="J4426" s="16" t="str">
        <f>IFERROR(__xludf.DUMMYFUNCTION("FILTER('CLASFICACIÓN'!$F$3:$F5618,'CLASFICACIÓN'!$G$3:$G5618=M4426)"),"LOS 3 AÑOS")</f>
        <v>LOS 3 AÑOS</v>
      </c>
      <c r="K4426" s="16"/>
      <c r="L4426" s="14" t="s">
        <v>177</v>
      </c>
      <c r="M4426" s="16" t="str">
        <f t="shared" si="1"/>
        <v>505474 Primaria</v>
      </c>
      <c r="N4426" s="23"/>
      <c r="O4426" s="17"/>
      <c r="P4426" s="17"/>
      <c r="Q4426" s="17"/>
      <c r="R4426" s="17"/>
      <c r="S4426" s="17"/>
      <c r="T4426" s="17"/>
    </row>
    <row r="4427">
      <c r="A4427" s="21">
        <v>555.0</v>
      </c>
      <c r="B4427" s="14" t="s">
        <v>90</v>
      </c>
      <c r="C4427" s="14" t="s">
        <v>14</v>
      </c>
      <c r="D4427" s="20" t="s">
        <v>20</v>
      </c>
      <c r="E4427" s="12" t="str">
        <f>IFERROR(__xludf.DUMMYFUNCTION("FILTER(colegios!$B$2:$B5618,colegios!$A$2:$A5618=L4427)"),"50547")</f>
        <v>50547</v>
      </c>
      <c r="F4427" s="14" t="s">
        <v>16</v>
      </c>
      <c r="G4427" s="20" t="s">
        <v>17</v>
      </c>
      <c r="H4427" s="14" t="s">
        <v>18</v>
      </c>
      <c r="I4427" s="22">
        <v>2022.0</v>
      </c>
      <c r="J4427" s="16" t="str">
        <f>IFERROR(__xludf.DUMMYFUNCTION("FILTER('CLASFICACIÓN'!$F$3:$F5618,'CLASFICACIÓN'!$G$3:$G5618=M4427)"),"LOS 3 AÑOS")</f>
        <v>LOS 3 AÑOS</v>
      </c>
      <c r="K4427" s="16"/>
      <c r="L4427" s="14" t="s">
        <v>177</v>
      </c>
      <c r="M4427" s="16" t="str">
        <f t="shared" si="1"/>
        <v>505474 Primaria</v>
      </c>
      <c r="N4427" s="23"/>
      <c r="O4427" s="17"/>
      <c r="P4427" s="17"/>
      <c r="Q4427" s="17"/>
      <c r="R4427" s="17"/>
      <c r="S4427" s="17"/>
      <c r="T4427" s="17"/>
    </row>
    <row r="4428">
      <c r="A4428" s="21">
        <v>556.0</v>
      </c>
      <c r="B4428" s="14" t="s">
        <v>90</v>
      </c>
      <c r="C4428" s="14" t="s">
        <v>14</v>
      </c>
      <c r="D4428" s="20" t="s">
        <v>20</v>
      </c>
      <c r="E4428" s="12" t="str">
        <f>IFERROR(__xludf.DUMMYFUNCTION("FILTER(colegios!$B$2:$B5618,colegios!$A$2:$A5618=L4428)"),"50547")</f>
        <v>50547</v>
      </c>
      <c r="F4428" s="14" t="s">
        <v>16</v>
      </c>
      <c r="G4428" s="20" t="s">
        <v>21</v>
      </c>
      <c r="H4428" s="14" t="s">
        <v>18</v>
      </c>
      <c r="I4428" s="22">
        <v>2022.0</v>
      </c>
      <c r="J4428" s="16" t="str">
        <f>IFERROR(__xludf.DUMMYFUNCTION("FILTER('CLASFICACIÓN'!$F$3:$F5618,'CLASFICACIÓN'!$G$3:$G5618=M4428)"),"LOS 3 AÑOS")</f>
        <v>LOS 3 AÑOS</v>
      </c>
      <c r="K4428" s="16"/>
      <c r="L4428" s="14" t="s">
        <v>177</v>
      </c>
      <c r="M4428" s="16" t="str">
        <f t="shared" si="1"/>
        <v>505474 Primaria</v>
      </c>
      <c r="N4428" s="23"/>
      <c r="O4428" s="17"/>
      <c r="P4428" s="17"/>
      <c r="Q4428" s="17"/>
      <c r="R4428" s="17"/>
      <c r="S4428" s="17"/>
      <c r="T4428" s="17"/>
    </row>
    <row r="4429">
      <c r="A4429" s="21">
        <v>557.0</v>
      </c>
      <c r="B4429" s="14" t="s">
        <v>90</v>
      </c>
      <c r="C4429" s="14" t="s">
        <v>14</v>
      </c>
      <c r="D4429" s="20" t="s">
        <v>20</v>
      </c>
      <c r="E4429" s="12" t="str">
        <f>IFERROR(__xludf.DUMMYFUNCTION("FILTER(colegios!$B$2:$B5618,colegios!$A$2:$A5618=L4429)"),"50547")</f>
        <v>50547</v>
      </c>
      <c r="F4429" s="14" t="s">
        <v>16</v>
      </c>
      <c r="G4429" s="20" t="s">
        <v>17</v>
      </c>
      <c r="H4429" s="14" t="s">
        <v>18</v>
      </c>
      <c r="I4429" s="22">
        <v>2022.0</v>
      </c>
      <c r="J4429" s="16" t="str">
        <f>IFERROR(__xludf.DUMMYFUNCTION("FILTER('CLASFICACIÓN'!$F$3:$F5618,'CLASFICACIÓN'!$G$3:$G5618=M4429)"),"LOS 3 AÑOS")</f>
        <v>LOS 3 AÑOS</v>
      </c>
      <c r="K4429" s="16"/>
      <c r="L4429" s="14" t="s">
        <v>177</v>
      </c>
      <c r="M4429" s="16" t="str">
        <f t="shared" si="1"/>
        <v>505474 Primaria</v>
      </c>
      <c r="N4429" s="23"/>
      <c r="O4429" s="17"/>
      <c r="P4429" s="17"/>
      <c r="Q4429" s="17"/>
      <c r="R4429" s="17"/>
      <c r="S4429" s="17"/>
      <c r="T4429" s="17"/>
    </row>
    <row r="4430">
      <c r="A4430" s="21">
        <v>558.0</v>
      </c>
      <c r="B4430" s="14" t="s">
        <v>90</v>
      </c>
      <c r="C4430" s="14" t="s">
        <v>14</v>
      </c>
      <c r="D4430" s="20" t="s">
        <v>20</v>
      </c>
      <c r="E4430" s="12" t="str">
        <f>IFERROR(__xludf.DUMMYFUNCTION("FILTER(colegios!$B$2:$B5618,colegios!$A$2:$A5618=L4430)"),"50547")</f>
        <v>50547</v>
      </c>
      <c r="F4430" s="14" t="s">
        <v>16</v>
      </c>
      <c r="G4430" s="20" t="s">
        <v>17</v>
      </c>
      <c r="H4430" s="14" t="s">
        <v>18</v>
      </c>
      <c r="I4430" s="22">
        <v>2022.0</v>
      </c>
      <c r="J4430" s="16" t="str">
        <f>IFERROR(__xludf.DUMMYFUNCTION("FILTER('CLASFICACIÓN'!$F$3:$F5618,'CLASFICACIÓN'!$G$3:$G5618=M4430)"),"LOS 3 AÑOS")</f>
        <v>LOS 3 AÑOS</v>
      </c>
      <c r="K4430" s="16"/>
      <c r="L4430" s="14" t="s">
        <v>177</v>
      </c>
      <c r="M4430" s="16" t="str">
        <f t="shared" si="1"/>
        <v>505474 Primaria</v>
      </c>
      <c r="N4430" s="23"/>
      <c r="O4430" s="17"/>
      <c r="P4430" s="17"/>
      <c r="Q4430" s="17"/>
      <c r="R4430" s="17"/>
      <c r="S4430" s="17"/>
      <c r="T4430" s="17"/>
    </row>
    <row r="4431">
      <c r="A4431" s="21">
        <v>559.0</v>
      </c>
      <c r="B4431" s="14" t="s">
        <v>90</v>
      </c>
      <c r="C4431" s="14" t="s">
        <v>14</v>
      </c>
      <c r="D4431" s="20" t="s">
        <v>20</v>
      </c>
      <c r="E4431" s="12" t="str">
        <f>IFERROR(__xludf.DUMMYFUNCTION("FILTER(colegios!$B$2:$B5618,colegios!$A$2:$A5618=L4431)"),"50547")</f>
        <v>50547</v>
      </c>
      <c r="F4431" s="14" t="s">
        <v>16</v>
      </c>
      <c r="G4431" s="20" t="s">
        <v>17</v>
      </c>
      <c r="H4431" s="14" t="s">
        <v>18</v>
      </c>
      <c r="I4431" s="22">
        <v>2022.0</v>
      </c>
      <c r="J4431" s="16" t="str">
        <f>IFERROR(__xludf.DUMMYFUNCTION("FILTER('CLASFICACIÓN'!$F$3:$F5618,'CLASFICACIÓN'!$G$3:$G5618=M4431)"),"LOS 3 AÑOS")</f>
        <v>LOS 3 AÑOS</v>
      </c>
      <c r="K4431" s="16"/>
      <c r="L4431" s="14" t="s">
        <v>177</v>
      </c>
      <c r="M4431" s="16" t="str">
        <f t="shared" si="1"/>
        <v>505474 Primaria</v>
      </c>
      <c r="N4431" s="23"/>
      <c r="O4431" s="17"/>
      <c r="P4431" s="17"/>
      <c r="Q4431" s="17"/>
      <c r="R4431" s="17"/>
      <c r="S4431" s="17"/>
      <c r="T4431" s="17"/>
    </row>
    <row r="4432">
      <c r="A4432" s="21">
        <v>560.0</v>
      </c>
      <c r="B4432" s="14" t="s">
        <v>90</v>
      </c>
      <c r="C4432" s="14" t="s">
        <v>14</v>
      </c>
      <c r="D4432" s="20" t="s">
        <v>20</v>
      </c>
      <c r="E4432" s="12" t="str">
        <f>IFERROR(__xludf.DUMMYFUNCTION("FILTER(colegios!$B$2:$B5618,colegios!$A$2:$A5618=L4432)"),"50547")</f>
        <v>50547</v>
      </c>
      <c r="F4432" s="14" t="s">
        <v>16</v>
      </c>
      <c r="G4432" s="20" t="s">
        <v>21</v>
      </c>
      <c r="H4432" s="14" t="s">
        <v>18</v>
      </c>
      <c r="I4432" s="22">
        <v>2022.0</v>
      </c>
      <c r="J4432" s="16" t="str">
        <f>IFERROR(__xludf.DUMMYFUNCTION("FILTER('CLASFICACIÓN'!$F$3:$F5618,'CLASFICACIÓN'!$G$3:$G5618=M4432)"),"LOS 3 AÑOS")</f>
        <v>LOS 3 AÑOS</v>
      </c>
      <c r="K4432" s="16"/>
      <c r="L4432" s="14" t="s">
        <v>177</v>
      </c>
      <c r="M4432" s="16" t="str">
        <f t="shared" si="1"/>
        <v>505474 Primaria</v>
      </c>
      <c r="N4432" s="23"/>
      <c r="O4432" s="17"/>
      <c r="P4432" s="17"/>
      <c r="Q4432" s="17"/>
      <c r="R4432" s="17"/>
      <c r="S4432" s="17"/>
      <c r="T4432" s="17"/>
    </row>
    <row r="4433">
      <c r="A4433" s="21">
        <v>561.0</v>
      </c>
      <c r="B4433" s="14" t="s">
        <v>90</v>
      </c>
      <c r="C4433" s="14" t="s">
        <v>14</v>
      </c>
      <c r="D4433" s="20" t="s">
        <v>20</v>
      </c>
      <c r="E4433" s="12" t="str">
        <f>IFERROR(__xludf.DUMMYFUNCTION("FILTER(colegios!$B$2:$B5618,colegios!$A$2:$A5618=L4433)"),"50547")</f>
        <v>50547</v>
      </c>
      <c r="F4433" s="14" t="s">
        <v>16</v>
      </c>
      <c r="G4433" s="20" t="s">
        <v>21</v>
      </c>
      <c r="H4433" s="14" t="s">
        <v>18</v>
      </c>
      <c r="I4433" s="22">
        <v>2022.0</v>
      </c>
      <c r="J4433" s="16" t="str">
        <f>IFERROR(__xludf.DUMMYFUNCTION("FILTER('CLASFICACIÓN'!$F$3:$F5618,'CLASFICACIÓN'!$G$3:$G5618=M4433)"),"LOS 3 AÑOS")</f>
        <v>LOS 3 AÑOS</v>
      </c>
      <c r="K4433" s="16"/>
      <c r="L4433" s="14" t="s">
        <v>177</v>
      </c>
      <c r="M4433" s="16" t="str">
        <f t="shared" si="1"/>
        <v>505474 Primaria</v>
      </c>
      <c r="N4433" s="23"/>
      <c r="O4433" s="17"/>
      <c r="P4433" s="17"/>
      <c r="Q4433" s="17"/>
      <c r="R4433" s="17"/>
      <c r="S4433" s="17"/>
      <c r="T4433" s="17"/>
    </row>
    <row r="4434">
      <c r="A4434" s="21">
        <v>562.0</v>
      </c>
      <c r="B4434" s="14" t="s">
        <v>90</v>
      </c>
      <c r="C4434" s="14" t="s">
        <v>14</v>
      </c>
      <c r="D4434" s="20" t="s">
        <v>20</v>
      </c>
      <c r="E4434" s="12" t="str">
        <f>IFERROR(__xludf.DUMMYFUNCTION("FILTER(colegios!$B$2:$B5618,colegios!$A$2:$A5618=L4434)"),"50547")</f>
        <v>50547</v>
      </c>
      <c r="F4434" s="14" t="s">
        <v>16</v>
      </c>
      <c r="G4434" s="20" t="s">
        <v>17</v>
      </c>
      <c r="H4434" s="14" t="s">
        <v>18</v>
      </c>
      <c r="I4434" s="22">
        <v>2022.0</v>
      </c>
      <c r="J4434" s="16" t="str">
        <f>IFERROR(__xludf.DUMMYFUNCTION("FILTER('CLASFICACIÓN'!$F$3:$F5618,'CLASFICACIÓN'!$G$3:$G5618=M4434)"),"LOS 3 AÑOS")</f>
        <v>LOS 3 AÑOS</v>
      </c>
      <c r="K4434" s="16"/>
      <c r="L4434" s="14" t="s">
        <v>177</v>
      </c>
      <c r="M4434" s="16" t="str">
        <f t="shared" si="1"/>
        <v>505474 Primaria</v>
      </c>
      <c r="N4434" s="23"/>
      <c r="O4434" s="17"/>
      <c r="P4434" s="17"/>
      <c r="Q4434" s="17"/>
      <c r="R4434" s="17"/>
      <c r="S4434" s="17"/>
      <c r="T4434" s="17"/>
    </row>
    <row r="4435">
      <c r="A4435" s="21">
        <v>563.0</v>
      </c>
      <c r="B4435" s="14" t="s">
        <v>90</v>
      </c>
      <c r="C4435" s="14" t="s">
        <v>14</v>
      </c>
      <c r="D4435" s="20" t="s">
        <v>20</v>
      </c>
      <c r="E4435" s="12" t="str">
        <f>IFERROR(__xludf.DUMMYFUNCTION("FILTER(colegios!$B$2:$B5618,colegios!$A$2:$A5618=L4435)"),"50547")</f>
        <v>50547</v>
      </c>
      <c r="F4435" s="14" t="s">
        <v>16</v>
      </c>
      <c r="G4435" s="20" t="s">
        <v>21</v>
      </c>
      <c r="H4435" s="14" t="s">
        <v>18</v>
      </c>
      <c r="I4435" s="22">
        <v>2022.0</v>
      </c>
      <c r="J4435" s="16" t="str">
        <f>IFERROR(__xludf.DUMMYFUNCTION("FILTER('CLASFICACIÓN'!$F$3:$F5618,'CLASFICACIÓN'!$G$3:$G5618=M4435)"),"LOS 3 AÑOS")</f>
        <v>LOS 3 AÑOS</v>
      </c>
      <c r="K4435" s="16"/>
      <c r="L4435" s="14" t="s">
        <v>177</v>
      </c>
      <c r="M4435" s="16" t="str">
        <f t="shared" si="1"/>
        <v>505474 Primaria</v>
      </c>
      <c r="N4435" s="23"/>
      <c r="O4435" s="17"/>
      <c r="P4435" s="17"/>
      <c r="Q4435" s="17"/>
      <c r="R4435" s="17"/>
      <c r="S4435" s="17"/>
      <c r="T4435" s="17"/>
    </row>
    <row r="4436">
      <c r="A4436" s="21">
        <v>564.0</v>
      </c>
      <c r="B4436" s="14" t="s">
        <v>90</v>
      </c>
      <c r="C4436" s="14" t="s">
        <v>14</v>
      </c>
      <c r="D4436" s="20" t="s">
        <v>20</v>
      </c>
      <c r="E4436" s="12" t="str">
        <f>IFERROR(__xludf.DUMMYFUNCTION("FILTER(colegios!$B$2:$B5618,colegios!$A$2:$A5618=L4436)"),"50547")</f>
        <v>50547</v>
      </c>
      <c r="F4436" s="14" t="s">
        <v>16</v>
      </c>
      <c r="G4436" s="20" t="s">
        <v>21</v>
      </c>
      <c r="H4436" s="14" t="s">
        <v>18</v>
      </c>
      <c r="I4436" s="22">
        <v>2022.0</v>
      </c>
      <c r="J4436" s="16" t="str">
        <f>IFERROR(__xludf.DUMMYFUNCTION("FILTER('CLASFICACIÓN'!$F$3:$F5618,'CLASFICACIÓN'!$G$3:$G5618=M4436)"),"LOS 3 AÑOS")</f>
        <v>LOS 3 AÑOS</v>
      </c>
      <c r="K4436" s="16"/>
      <c r="L4436" s="14" t="s">
        <v>177</v>
      </c>
      <c r="M4436" s="16" t="str">
        <f t="shared" si="1"/>
        <v>505474 Primaria</v>
      </c>
      <c r="N4436" s="23"/>
      <c r="O4436" s="17"/>
      <c r="P4436" s="17"/>
      <c r="Q4436" s="17"/>
      <c r="R4436" s="17"/>
      <c r="S4436" s="17"/>
      <c r="T4436" s="17"/>
    </row>
    <row r="4437">
      <c r="A4437" s="21">
        <v>565.0</v>
      </c>
      <c r="B4437" s="14" t="s">
        <v>90</v>
      </c>
      <c r="C4437" s="14" t="s">
        <v>14</v>
      </c>
      <c r="D4437" s="20" t="s">
        <v>20</v>
      </c>
      <c r="E4437" s="12" t="str">
        <f>IFERROR(__xludf.DUMMYFUNCTION("FILTER(colegios!$B$2:$B5618,colegios!$A$2:$A5618=L4437)"),"50547")</f>
        <v>50547</v>
      </c>
      <c r="F4437" s="14" t="s">
        <v>16</v>
      </c>
      <c r="G4437" s="20" t="s">
        <v>21</v>
      </c>
      <c r="H4437" s="14" t="s">
        <v>18</v>
      </c>
      <c r="I4437" s="22">
        <v>2022.0</v>
      </c>
      <c r="J4437" s="16" t="str">
        <f>IFERROR(__xludf.DUMMYFUNCTION("FILTER('CLASFICACIÓN'!$F$3:$F5618,'CLASFICACIÓN'!$G$3:$G5618=M4437)"),"LOS 3 AÑOS")</f>
        <v>LOS 3 AÑOS</v>
      </c>
      <c r="K4437" s="16"/>
      <c r="L4437" s="14" t="s">
        <v>177</v>
      </c>
      <c r="M4437" s="16" t="str">
        <f t="shared" si="1"/>
        <v>505474 Primaria</v>
      </c>
      <c r="N4437" s="23"/>
      <c r="O4437" s="17"/>
      <c r="P4437" s="17"/>
      <c r="Q4437" s="17"/>
      <c r="R4437" s="17"/>
      <c r="S4437" s="17"/>
      <c r="T4437" s="17"/>
    </row>
    <row r="4438">
      <c r="A4438" s="21">
        <v>566.0</v>
      </c>
      <c r="B4438" s="14" t="s">
        <v>90</v>
      </c>
      <c r="C4438" s="14" t="s">
        <v>14</v>
      </c>
      <c r="D4438" s="20" t="s">
        <v>20</v>
      </c>
      <c r="E4438" s="12" t="str">
        <f>IFERROR(__xludf.DUMMYFUNCTION("FILTER(colegios!$B$2:$B5618,colegios!$A$2:$A5618=L4438)"),"50547")</f>
        <v>50547</v>
      </c>
      <c r="F4438" s="14" t="s">
        <v>16</v>
      </c>
      <c r="G4438" s="20" t="s">
        <v>21</v>
      </c>
      <c r="H4438" s="14" t="s">
        <v>18</v>
      </c>
      <c r="I4438" s="22">
        <v>2022.0</v>
      </c>
      <c r="J4438" s="16" t="str">
        <f>IFERROR(__xludf.DUMMYFUNCTION("FILTER('CLASFICACIÓN'!$F$3:$F5618,'CLASFICACIÓN'!$G$3:$G5618=M4438)"),"LOS 3 AÑOS")</f>
        <v>LOS 3 AÑOS</v>
      </c>
      <c r="K4438" s="16"/>
      <c r="L4438" s="14" t="s">
        <v>177</v>
      </c>
      <c r="M4438" s="16" t="str">
        <f t="shared" si="1"/>
        <v>505474 Primaria</v>
      </c>
      <c r="N4438" s="23"/>
      <c r="O4438" s="17"/>
      <c r="P4438" s="17"/>
      <c r="Q4438" s="17"/>
      <c r="R4438" s="17"/>
      <c r="S4438" s="17"/>
      <c r="T4438" s="17"/>
    </row>
    <row r="4439">
      <c r="A4439" s="21">
        <v>567.0</v>
      </c>
      <c r="B4439" s="14" t="s">
        <v>90</v>
      </c>
      <c r="C4439" s="14" t="s">
        <v>14</v>
      </c>
      <c r="D4439" s="20" t="s">
        <v>20</v>
      </c>
      <c r="E4439" s="12" t="str">
        <f>IFERROR(__xludf.DUMMYFUNCTION("FILTER(colegios!$B$2:$B5618,colegios!$A$2:$A5618=L4439)"),"50547")</f>
        <v>50547</v>
      </c>
      <c r="F4439" s="14" t="s">
        <v>16</v>
      </c>
      <c r="G4439" s="20" t="s">
        <v>21</v>
      </c>
      <c r="H4439" s="14" t="s">
        <v>18</v>
      </c>
      <c r="I4439" s="22">
        <v>2022.0</v>
      </c>
      <c r="J4439" s="16" t="str">
        <f>IFERROR(__xludf.DUMMYFUNCTION("FILTER('CLASFICACIÓN'!$F$3:$F5618,'CLASFICACIÓN'!$G$3:$G5618=M4439)"),"LOS 3 AÑOS")</f>
        <v>LOS 3 AÑOS</v>
      </c>
      <c r="K4439" s="16"/>
      <c r="L4439" s="14" t="s">
        <v>177</v>
      </c>
      <c r="M4439" s="16" t="str">
        <f t="shared" si="1"/>
        <v>505474 Primaria</v>
      </c>
      <c r="N4439" s="23"/>
      <c r="O4439" s="17"/>
      <c r="P4439" s="17"/>
      <c r="Q4439" s="17"/>
      <c r="R4439" s="17"/>
      <c r="S4439" s="17"/>
      <c r="T4439" s="17"/>
    </row>
    <row r="4440">
      <c r="A4440" s="21">
        <v>568.0</v>
      </c>
      <c r="B4440" s="14" t="s">
        <v>90</v>
      </c>
      <c r="C4440" s="14" t="s">
        <v>14</v>
      </c>
      <c r="D4440" s="20" t="s">
        <v>20</v>
      </c>
      <c r="E4440" s="12" t="str">
        <f>IFERROR(__xludf.DUMMYFUNCTION("FILTER(colegios!$B$2:$B5618,colegios!$A$2:$A5618=L4440)"),"50547")</f>
        <v>50547</v>
      </c>
      <c r="F4440" s="14" t="s">
        <v>16</v>
      </c>
      <c r="G4440" s="20" t="s">
        <v>21</v>
      </c>
      <c r="H4440" s="14" t="s">
        <v>18</v>
      </c>
      <c r="I4440" s="22">
        <v>2022.0</v>
      </c>
      <c r="J4440" s="16" t="str">
        <f>IFERROR(__xludf.DUMMYFUNCTION("FILTER('CLASFICACIÓN'!$F$3:$F5618,'CLASFICACIÓN'!$G$3:$G5618=M4440)"),"LOS 3 AÑOS")</f>
        <v>LOS 3 AÑOS</v>
      </c>
      <c r="K4440" s="16"/>
      <c r="L4440" s="14" t="s">
        <v>177</v>
      </c>
      <c r="M4440" s="16" t="str">
        <f t="shared" si="1"/>
        <v>505474 Primaria</v>
      </c>
      <c r="N4440" s="23"/>
      <c r="O4440" s="17"/>
      <c r="P4440" s="17"/>
      <c r="Q4440" s="17"/>
      <c r="R4440" s="17"/>
      <c r="S4440" s="17"/>
      <c r="T4440" s="17"/>
    </row>
    <row r="4441">
      <c r="A4441" s="21">
        <v>569.0</v>
      </c>
      <c r="B4441" s="14" t="s">
        <v>90</v>
      </c>
      <c r="C4441" s="14" t="s">
        <v>14</v>
      </c>
      <c r="D4441" s="20" t="s">
        <v>20</v>
      </c>
      <c r="E4441" s="12" t="str">
        <f>IFERROR(__xludf.DUMMYFUNCTION("FILTER(colegios!$B$2:$B5618,colegios!$A$2:$A5618=L4441)"),"50547")</f>
        <v>50547</v>
      </c>
      <c r="F4441" s="14" t="s">
        <v>16</v>
      </c>
      <c r="G4441" s="20" t="s">
        <v>17</v>
      </c>
      <c r="H4441" s="14" t="s">
        <v>18</v>
      </c>
      <c r="I4441" s="22">
        <v>2022.0</v>
      </c>
      <c r="J4441" s="16" t="str">
        <f>IFERROR(__xludf.DUMMYFUNCTION("FILTER('CLASFICACIÓN'!$F$3:$F5618,'CLASFICACIÓN'!$G$3:$G5618=M4441)"),"LOS 3 AÑOS")</f>
        <v>LOS 3 AÑOS</v>
      </c>
      <c r="K4441" s="16"/>
      <c r="L4441" s="14" t="s">
        <v>177</v>
      </c>
      <c r="M4441" s="16" t="str">
        <f t="shared" si="1"/>
        <v>505474 Primaria</v>
      </c>
      <c r="N4441" s="23"/>
      <c r="O4441" s="17"/>
      <c r="P4441" s="17"/>
      <c r="Q4441" s="17"/>
      <c r="R4441" s="17"/>
      <c r="S4441" s="17"/>
      <c r="T4441" s="17"/>
    </row>
    <row r="4442">
      <c r="A4442" s="21">
        <v>570.0</v>
      </c>
      <c r="B4442" s="14" t="s">
        <v>90</v>
      </c>
      <c r="C4442" s="14" t="s">
        <v>14</v>
      </c>
      <c r="D4442" s="20" t="s">
        <v>20</v>
      </c>
      <c r="E4442" s="12" t="str">
        <f>IFERROR(__xludf.DUMMYFUNCTION("FILTER(colegios!$B$2:$B5618,colegios!$A$2:$A5618=L4442)"),"50547")</f>
        <v>50547</v>
      </c>
      <c r="F4442" s="14" t="s">
        <v>16</v>
      </c>
      <c r="G4442" s="20" t="s">
        <v>17</v>
      </c>
      <c r="H4442" s="14" t="s">
        <v>18</v>
      </c>
      <c r="I4442" s="22">
        <v>2022.0</v>
      </c>
      <c r="J4442" s="16" t="str">
        <f>IFERROR(__xludf.DUMMYFUNCTION("FILTER('CLASFICACIÓN'!$F$3:$F5618,'CLASFICACIÓN'!$G$3:$G5618=M4442)"),"LOS 3 AÑOS")</f>
        <v>LOS 3 AÑOS</v>
      </c>
      <c r="K4442" s="16"/>
      <c r="L4442" s="14" t="s">
        <v>177</v>
      </c>
      <c r="M4442" s="16" t="str">
        <f t="shared" si="1"/>
        <v>505474 Primaria</v>
      </c>
      <c r="N4442" s="23"/>
      <c r="O4442" s="17"/>
      <c r="P4442" s="17"/>
      <c r="Q4442" s="17"/>
      <c r="R4442" s="17"/>
      <c r="S4442" s="17"/>
      <c r="T4442" s="17"/>
    </row>
    <row r="4443">
      <c r="A4443" s="21">
        <v>571.0</v>
      </c>
      <c r="B4443" s="14" t="s">
        <v>90</v>
      </c>
      <c r="C4443" s="14" t="s">
        <v>14</v>
      </c>
      <c r="D4443" s="20" t="s">
        <v>20</v>
      </c>
      <c r="E4443" s="12" t="str">
        <f>IFERROR(__xludf.DUMMYFUNCTION("FILTER(colegios!$B$2:$B5618,colegios!$A$2:$A5618=L4443)"),"50547")</f>
        <v>50547</v>
      </c>
      <c r="F4443" s="14" t="s">
        <v>16</v>
      </c>
      <c r="G4443" s="20" t="s">
        <v>17</v>
      </c>
      <c r="H4443" s="14" t="s">
        <v>18</v>
      </c>
      <c r="I4443" s="22">
        <v>2022.0</v>
      </c>
      <c r="J4443" s="16" t="str">
        <f>IFERROR(__xludf.DUMMYFUNCTION("FILTER('CLASFICACIÓN'!$F$3:$F5618,'CLASFICACIÓN'!$G$3:$G5618=M4443)"),"LOS 3 AÑOS")</f>
        <v>LOS 3 AÑOS</v>
      </c>
      <c r="K4443" s="16"/>
      <c r="L4443" s="14" t="s">
        <v>177</v>
      </c>
      <c r="M4443" s="16" t="str">
        <f t="shared" si="1"/>
        <v>505474 Primaria</v>
      </c>
      <c r="N4443" s="23"/>
      <c r="O4443" s="17"/>
      <c r="P4443" s="17"/>
      <c r="Q4443" s="17"/>
      <c r="R4443" s="17"/>
      <c r="S4443" s="17"/>
      <c r="T4443" s="17"/>
    </row>
    <row r="4444">
      <c r="A4444" s="21">
        <v>572.0</v>
      </c>
      <c r="B4444" s="14" t="s">
        <v>90</v>
      </c>
      <c r="C4444" s="14" t="s">
        <v>14</v>
      </c>
      <c r="D4444" s="20" t="s">
        <v>20</v>
      </c>
      <c r="E4444" s="12" t="str">
        <f>IFERROR(__xludf.DUMMYFUNCTION("FILTER(colegios!$B$2:$B5618,colegios!$A$2:$A5618=L4444)"),"50547")</f>
        <v>50547</v>
      </c>
      <c r="F4444" s="14" t="s">
        <v>16</v>
      </c>
      <c r="G4444" s="20" t="s">
        <v>21</v>
      </c>
      <c r="H4444" s="14" t="s">
        <v>18</v>
      </c>
      <c r="I4444" s="22">
        <v>2022.0</v>
      </c>
      <c r="J4444" s="16" t="str">
        <f>IFERROR(__xludf.DUMMYFUNCTION("FILTER('CLASFICACIÓN'!$F$3:$F5618,'CLASFICACIÓN'!$G$3:$G5618=M4444)"),"LOS 3 AÑOS")</f>
        <v>LOS 3 AÑOS</v>
      </c>
      <c r="K4444" s="16"/>
      <c r="L4444" s="14" t="s">
        <v>177</v>
      </c>
      <c r="M4444" s="16" t="str">
        <f t="shared" si="1"/>
        <v>505474 Primaria</v>
      </c>
      <c r="N4444" s="23"/>
      <c r="O4444" s="17"/>
      <c r="P4444" s="17"/>
      <c r="Q4444" s="17"/>
      <c r="R4444" s="17"/>
      <c r="S4444" s="17"/>
      <c r="T4444" s="17"/>
    </row>
    <row r="4445">
      <c r="A4445" s="21">
        <v>573.0</v>
      </c>
      <c r="B4445" s="14" t="s">
        <v>90</v>
      </c>
      <c r="C4445" s="14" t="s">
        <v>14</v>
      </c>
      <c r="D4445" s="20" t="s">
        <v>20</v>
      </c>
      <c r="E4445" s="12" t="str">
        <f>IFERROR(__xludf.DUMMYFUNCTION("FILTER(colegios!$B$2:$B5618,colegios!$A$2:$A5618=L4445)"),"50547")</f>
        <v>50547</v>
      </c>
      <c r="F4445" s="14" t="s">
        <v>16</v>
      </c>
      <c r="G4445" s="20" t="s">
        <v>21</v>
      </c>
      <c r="H4445" s="14" t="s">
        <v>18</v>
      </c>
      <c r="I4445" s="22">
        <v>2022.0</v>
      </c>
      <c r="J4445" s="16" t="str">
        <f>IFERROR(__xludf.DUMMYFUNCTION("FILTER('CLASFICACIÓN'!$F$3:$F5618,'CLASFICACIÓN'!$G$3:$G5618=M4445)"),"LOS 3 AÑOS")</f>
        <v>LOS 3 AÑOS</v>
      </c>
      <c r="K4445" s="16"/>
      <c r="L4445" s="14" t="s">
        <v>177</v>
      </c>
      <c r="M4445" s="16" t="str">
        <f t="shared" si="1"/>
        <v>505474 Primaria</v>
      </c>
      <c r="N4445" s="23"/>
      <c r="O4445" s="17"/>
      <c r="P4445" s="17"/>
      <c r="Q4445" s="17"/>
      <c r="R4445" s="17"/>
      <c r="S4445" s="17"/>
      <c r="T4445" s="17"/>
    </row>
    <row r="4446">
      <c r="A4446" s="21">
        <v>574.0</v>
      </c>
      <c r="B4446" s="14" t="s">
        <v>90</v>
      </c>
      <c r="C4446" s="14" t="s">
        <v>14</v>
      </c>
      <c r="D4446" s="20" t="s">
        <v>20</v>
      </c>
      <c r="E4446" s="12" t="str">
        <f>IFERROR(__xludf.DUMMYFUNCTION("FILTER(colegios!$B$2:$B5618,colegios!$A$2:$A5618=L4446)"),"50547")</f>
        <v>50547</v>
      </c>
      <c r="F4446" s="14" t="s">
        <v>16</v>
      </c>
      <c r="G4446" s="20" t="s">
        <v>17</v>
      </c>
      <c r="H4446" s="14" t="s">
        <v>18</v>
      </c>
      <c r="I4446" s="22">
        <v>2022.0</v>
      </c>
      <c r="J4446" s="16" t="str">
        <f>IFERROR(__xludf.DUMMYFUNCTION("FILTER('CLASFICACIÓN'!$F$3:$F5618,'CLASFICACIÓN'!$G$3:$G5618=M4446)"),"LOS 3 AÑOS")</f>
        <v>LOS 3 AÑOS</v>
      </c>
      <c r="K4446" s="16"/>
      <c r="L4446" s="14" t="s">
        <v>177</v>
      </c>
      <c r="M4446" s="16" t="str">
        <f t="shared" si="1"/>
        <v>505474 Primaria</v>
      </c>
      <c r="N4446" s="23"/>
      <c r="O4446" s="17"/>
      <c r="P4446" s="17"/>
      <c r="Q4446" s="17"/>
      <c r="R4446" s="17"/>
      <c r="S4446" s="17"/>
      <c r="T4446" s="17"/>
    </row>
    <row r="4447">
      <c r="A4447" s="21">
        <v>575.0</v>
      </c>
      <c r="B4447" s="14" t="s">
        <v>90</v>
      </c>
      <c r="C4447" s="14" t="s">
        <v>14</v>
      </c>
      <c r="D4447" s="20" t="s">
        <v>20</v>
      </c>
      <c r="E4447" s="12" t="str">
        <f>IFERROR(__xludf.DUMMYFUNCTION("FILTER(colegios!$B$2:$B5618,colegios!$A$2:$A5618=L4447)"),"50547")</f>
        <v>50547</v>
      </c>
      <c r="F4447" s="14" t="s">
        <v>16</v>
      </c>
      <c r="G4447" s="20" t="s">
        <v>17</v>
      </c>
      <c r="H4447" s="14" t="s">
        <v>18</v>
      </c>
      <c r="I4447" s="22">
        <v>2022.0</v>
      </c>
      <c r="J4447" s="16" t="str">
        <f>IFERROR(__xludf.DUMMYFUNCTION("FILTER('CLASFICACIÓN'!$F$3:$F5618,'CLASFICACIÓN'!$G$3:$G5618=M4447)"),"LOS 3 AÑOS")</f>
        <v>LOS 3 AÑOS</v>
      </c>
      <c r="K4447" s="16"/>
      <c r="L4447" s="14" t="s">
        <v>177</v>
      </c>
      <c r="M4447" s="16" t="str">
        <f t="shared" si="1"/>
        <v>505474 Primaria</v>
      </c>
      <c r="N4447" s="23"/>
      <c r="O4447" s="17"/>
      <c r="P4447" s="17"/>
      <c r="Q4447" s="17"/>
      <c r="R4447" s="17"/>
      <c r="S4447" s="17"/>
      <c r="T4447" s="17"/>
    </row>
    <row r="4448">
      <c r="A4448" s="21">
        <v>576.0</v>
      </c>
      <c r="B4448" s="14" t="s">
        <v>90</v>
      </c>
      <c r="C4448" s="14" t="s">
        <v>14</v>
      </c>
      <c r="D4448" s="20" t="s">
        <v>20</v>
      </c>
      <c r="E4448" s="12" t="str">
        <f>IFERROR(__xludf.DUMMYFUNCTION("FILTER(colegios!$B$2:$B5618,colegios!$A$2:$A5618=L4448)"),"50547")</f>
        <v>50547</v>
      </c>
      <c r="F4448" s="14" t="s">
        <v>16</v>
      </c>
      <c r="G4448" s="20" t="s">
        <v>17</v>
      </c>
      <c r="H4448" s="14" t="s">
        <v>18</v>
      </c>
      <c r="I4448" s="22">
        <v>2022.0</v>
      </c>
      <c r="J4448" s="16" t="str">
        <f>IFERROR(__xludf.DUMMYFUNCTION("FILTER('CLASFICACIÓN'!$F$3:$F5618,'CLASFICACIÓN'!$G$3:$G5618=M4448)"),"LOS 3 AÑOS")</f>
        <v>LOS 3 AÑOS</v>
      </c>
      <c r="K4448" s="16"/>
      <c r="L4448" s="14" t="s">
        <v>177</v>
      </c>
      <c r="M4448" s="16" t="str">
        <f t="shared" si="1"/>
        <v>505474 Primaria</v>
      </c>
      <c r="N4448" s="23"/>
      <c r="O4448" s="17"/>
      <c r="P4448" s="17"/>
      <c r="Q4448" s="17"/>
      <c r="R4448" s="17"/>
      <c r="S4448" s="17"/>
      <c r="T4448" s="17"/>
    </row>
    <row r="4449">
      <c r="A4449" s="21">
        <v>577.0</v>
      </c>
      <c r="B4449" s="14" t="s">
        <v>90</v>
      </c>
      <c r="C4449" s="14" t="s">
        <v>14</v>
      </c>
      <c r="D4449" s="20" t="s">
        <v>20</v>
      </c>
      <c r="E4449" s="12" t="str">
        <f>IFERROR(__xludf.DUMMYFUNCTION("FILTER(colegios!$B$2:$B5618,colegios!$A$2:$A5618=L4449)"),"50547")</f>
        <v>50547</v>
      </c>
      <c r="F4449" s="14" t="s">
        <v>16</v>
      </c>
      <c r="G4449" s="20" t="s">
        <v>21</v>
      </c>
      <c r="H4449" s="14" t="s">
        <v>18</v>
      </c>
      <c r="I4449" s="22">
        <v>2022.0</v>
      </c>
      <c r="J4449" s="16" t="str">
        <f>IFERROR(__xludf.DUMMYFUNCTION("FILTER('CLASFICACIÓN'!$F$3:$F5618,'CLASFICACIÓN'!$G$3:$G5618=M4449)"),"LOS 3 AÑOS")</f>
        <v>LOS 3 AÑOS</v>
      </c>
      <c r="K4449" s="16"/>
      <c r="L4449" s="14" t="s">
        <v>177</v>
      </c>
      <c r="M4449" s="16" t="str">
        <f t="shared" si="1"/>
        <v>505474 Primaria</v>
      </c>
      <c r="N4449" s="23"/>
      <c r="O4449" s="17"/>
      <c r="P4449" s="17"/>
      <c r="Q4449" s="17"/>
      <c r="R4449" s="17"/>
      <c r="S4449" s="17"/>
      <c r="T4449" s="17"/>
    </row>
    <row r="4450">
      <c r="A4450" s="21">
        <v>578.0</v>
      </c>
      <c r="B4450" s="14" t="s">
        <v>90</v>
      </c>
      <c r="C4450" s="14" t="s">
        <v>14</v>
      </c>
      <c r="D4450" s="20" t="s">
        <v>20</v>
      </c>
      <c r="E4450" s="12" t="str">
        <f>IFERROR(__xludf.DUMMYFUNCTION("FILTER(colegios!$B$2:$B5618,colegios!$A$2:$A5618=L4450)"),"50547")</f>
        <v>50547</v>
      </c>
      <c r="F4450" s="14" t="s">
        <v>16</v>
      </c>
      <c r="G4450" s="20" t="s">
        <v>21</v>
      </c>
      <c r="H4450" s="14" t="s">
        <v>18</v>
      </c>
      <c r="I4450" s="22">
        <v>2022.0</v>
      </c>
      <c r="J4450" s="16" t="str">
        <f>IFERROR(__xludf.DUMMYFUNCTION("FILTER('CLASFICACIÓN'!$F$3:$F5618,'CLASFICACIÓN'!$G$3:$G5618=M4450)"),"LOS 3 AÑOS")</f>
        <v>LOS 3 AÑOS</v>
      </c>
      <c r="K4450" s="16"/>
      <c r="L4450" s="14" t="s">
        <v>177</v>
      </c>
      <c r="M4450" s="16" t="str">
        <f t="shared" si="1"/>
        <v>505474 Primaria</v>
      </c>
      <c r="N4450" s="23"/>
      <c r="O4450" s="17"/>
      <c r="P4450" s="17"/>
      <c r="Q4450" s="17"/>
      <c r="R4450" s="17"/>
      <c r="S4450" s="17"/>
      <c r="T4450" s="17"/>
    </row>
    <row r="4451">
      <c r="A4451" s="21">
        <v>579.0</v>
      </c>
      <c r="B4451" s="14" t="s">
        <v>90</v>
      </c>
      <c r="C4451" s="14" t="s">
        <v>14</v>
      </c>
      <c r="D4451" s="20" t="s">
        <v>20</v>
      </c>
      <c r="E4451" s="12" t="str">
        <f>IFERROR(__xludf.DUMMYFUNCTION("FILTER(colegios!$B$2:$B5618,colegios!$A$2:$A5618=L4451)"),"50547")</f>
        <v>50547</v>
      </c>
      <c r="F4451" s="14" t="s">
        <v>16</v>
      </c>
      <c r="G4451" s="20" t="s">
        <v>21</v>
      </c>
      <c r="H4451" s="14" t="s">
        <v>18</v>
      </c>
      <c r="I4451" s="22">
        <v>2022.0</v>
      </c>
      <c r="J4451" s="16" t="str">
        <f>IFERROR(__xludf.DUMMYFUNCTION("FILTER('CLASFICACIÓN'!$F$3:$F5618,'CLASFICACIÓN'!$G$3:$G5618=M4451)"),"LOS 3 AÑOS")</f>
        <v>LOS 3 AÑOS</v>
      </c>
      <c r="K4451" s="16"/>
      <c r="L4451" s="14" t="s">
        <v>177</v>
      </c>
      <c r="M4451" s="16" t="str">
        <f t="shared" si="1"/>
        <v>505474 Primaria</v>
      </c>
      <c r="N4451" s="23"/>
      <c r="O4451" s="17"/>
      <c r="P4451" s="17"/>
      <c r="Q4451" s="17"/>
      <c r="R4451" s="17"/>
      <c r="S4451" s="17"/>
      <c r="T4451" s="17"/>
    </row>
    <row r="4452">
      <c r="A4452" s="21">
        <v>580.0</v>
      </c>
      <c r="B4452" s="14" t="s">
        <v>90</v>
      </c>
      <c r="C4452" s="14" t="s">
        <v>14</v>
      </c>
      <c r="D4452" s="20" t="s">
        <v>20</v>
      </c>
      <c r="E4452" s="12" t="str">
        <f>IFERROR(__xludf.DUMMYFUNCTION("FILTER(colegios!$B$2:$B5618,colegios!$A$2:$A5618=L4452)"),"50547")</f>
        <v>50547</v>
      </c>
      <c r="F4452" s="14" t="s">
        <v>16</v>
      </c>
      <c r="G4452" s="20" t="s">
        <v>17</v>
      </c>
      <c r="H4452" s="14" t="s">
        <v>18</v>
      </c>
      <c r="I4452" s="22">
        <v>2022.0</v>
      </c>
      <c r="J4452" s="16" t="str">
        <f>IFERROR(__xludf.DUMMYFUNCTION("FILTER('CLASFICACIÓN'!$F$3:$F5618,'CLASFICACIÓN'!$G$3:$G5618=M4452)"),"LOS 3 AÑOS")</f>
        <v>LOS 3 AÑOS</v>
      </c>
      <c r="K4452" s="16"/>
      <c r="L4452" s="14" t="s">
        <v>177</v>
      </c>
      <c r="M4452" s="16" t="str">
        <f t="shared" si="1"/>
        <v>505474 Primaria</v>
      </c>
      <c r="N4452" s="23"/>
      <c r="O4452" s="17"/>
      <c r="P4452" s="17"/>
      <c r="Q4452" s="17"/>
      <c r="R4452" s="17"/>
      <c r="S4452" s="17"/>
      <c r="T4452" s="17"/>
    </row>
    <row r="4453">
      <c r="A4453" s="21">
        <v>581.0</v>
      </c>
      <c r="B4453" s="14" t="s">
        <v>90</v>
      </c>
      <c r="C4453" s="14" t="s">
        <v>14</v>
      </c>
      <c r="D4453" s="20" t="s">
        <v>20</v>
      </c>
      <c r="E4453" s="12" t="str">
        <f>IFERROR(__xludf.DUMMYFUNCTION("FILTER(colegios!$B$2:$B5618,colegios!$A$2:$A5618=L4453)"),"50547")</f>
        <v>50547</v>
      </c>
      <c r="F4453" s="14" t="s">
        <v>16</v>
      </c>
      <c r="G4453" s="20" t="s">
        <v>21</v>
      </c>
      <c r="H4453" s="14" t="s">
        <v>18</v>
      </c>
      <c r="I4453" s="22">
        <v>2022.0</v>
      </c>
      <c r="J4453" s="16" t="str">
        <f>IFERROR(__xludf.DUMMYFUNCTION("FILTER('CLASFICACIÓN'!$F$3:$F5618,'CLASFICACIÓN'!$G$3:$G5618=M4453)"),"LOS 3 AÑOS")</f>
        <v>LOS 3 AÑOS</v>
      </c>
      <c r="K4453" s="16"/>
      <c r="L4453" s="14" t="s">
        <v>177</v>
      </c>
      <c r="M4453" s="16" t="str">
        <f t="shared" si="1"/>
        <v>505474 Primaria</v>
      </c>
      <c r="N4453" s="23"/>
      <c r="O4453" s="17"/>
      <c r="P4453" s="17"/>
      <c r="Q4453" s="17"/>
      <c r="R4453" s="17"/>
      <c r="S4453" s="17"/>
      <c r="T4453" s="17"/>
    </row>
    <row r="4454">
      <c r="A4454" s="21">
        <v>582.0</v>
      </c>
      <c r="B4454" s="14" t="s">
        <v>90</v>
      </c>
      <c r="C4454" s="14" t="s">
        <v>14</v>
      </c>
      <c r="D4454" s="20" t="s">
        <v>20</v>
      </c>
      <c r="E4454" s="12" t="str">
        <f>IFERROR(__xludf.DUMMYFUNCTION("FILTER(colegios!$B$2:$B5618,colegios!$A$2:$A5618=L4454)"),"50547")</f>
        <v>50547</v>
      </c>
      <c r="F4454" s="14" t="s">
        <v>16</v>
      </c>
      <c r="G4454" s="20" t="s">
        <v>21</v>
      </c>
      <c r="H4454" s="14" t="s">
        <v>18</v>
      </c>
      <c r="I4454" s="22">
        <v>2022.0</v>
      </c>
      <c r="J4454" s="16" t="str">
        <f>IFERROR(__xludf.DUMMYFUNCTION("FILTER('CLASFICACIÓN'!$F$3:$F5618,'CLASFICACIÓN'!$G$3:$G5618=M4454)"),"LOS 3 AÑOS")</f>
        <v>LOS 3 AÑOS</v>
      </c>
      <c r="K4454" s="16"/>
      <c r="L4454" s="14" t="s">
        <v>177</v>
      </c>
      <c r="M4454" s="16" t="str">
        <f t="shared" si="1"/>
        <v>505474 Primaria</v>
      </c>
      <c r="N4454" s="23"/>
      <c r="O4454" s="17"/>
      <c r="P4454" s="17"/>
      <c r="Q4454" s="17"/>
      <c r="R4454" s="17"/>
      <c r="S4454" s="17"/>
      <c r="T4454" s="17"/>
    </row>
    <row r="4455">
      <c r="A4455" s="21">
        <v>583.0</v>
      </c>
      <c r="B4455" s="14" t="s">
        <v>90</v>
      </c>
      <c r="C4455" s="14" t="s">
        <v>14</v>
      </c>
      <c r="D4455" s="20" t="s">
        <v>20</v>
      </c>
      <c r="E4455" s="12" t="str">
        <f>IFERROR(__xludf.DUMMYFUNCTION("FILTER(colegios!$B$2:$B5618,colegios!$A$2:$A5618=L4455)"),"50547")</f>
        <v>50547</v>
      </c>
      <c r="F4455" s="14" t="s">
        <v>16</v>
      </c>
      <c r="G4455" s="20" t="s">
        <v>21</v>
      </c>
      <c r="H4455" s="14" t="s">
        <v>18</v>
      </c>
      <c r="I4455" s="22">
        <v>2022.0</v>
      </c>
      <c r="J4455" s="16" t="str">
        <f>IFERROR(__xludf.DUMMYFUNCTION("FILTER('CLASFICACIÓN'!$F$3:$F5618,'CLASFICACIÓN'!$G$3:$G5618=M4455)"),"LOS 3 AÑOS")</f>
        <v>LOS 3 AÑOS</v>
      </c>
      <c r="K4455" s="16"/>
      <c r="L4455" s="14" t="s">
        <v>177</v>
      </c>
      <c r="M4455" s="16" t="str">
        <f t="shared" si="1"/>
        <v>505474 Primaria</v>
      </c>
      <c r="N4455" s="23"/>
      <c r="O4455" s="17"/>
      <c r="P4455" s="17"/>
      <c r="Q4455" s="17"/>
      <c r="R4455" s="17"/>
      <c r="S4455" s="17"/>
      <c r="T4455" s="17"/>
    </row>
    <row r="4456">
      <c r="A4456" s="21">
        <v>584.0</v>
      </c>
      <c r="B4456" s="14" t="s">
        <v>90</v>
      </c>
      <c r="C4456" s="14" t="s">
        <v>14</v>
      </c>
      <c r="D4456" s="20" t="s">
        <v>20</v>
      </c>
      <c r="E4456" s="12" t="str">
        <f>IFERROR(__xludf.DUMMYFUNCTION("FILTER(colegios!$B$2:$B5618,colegios!$A$2:$A5618=L4456)"),"50547")</f>
        <v>50547</v>
      </c>
      <c r="F4456" s="14" t="s">
        <v>16</v>
      </c>
      <c r="G4456" s="20" t="s">
        <v>21</v>
      </c>
      <c r="H4456" s="14" t="s">
        <v>18</v>
      </c>
      <c r="I4456" s="22">
        <v>2022.0</v>
      </c>
      <c r="J4456" s="16" t="str">
        <f>IFERROR(__xludf.DUMMYFUNCTION("FILTER('CLASFICACIÓN'!$F$3:$F5618,'CLASFICACIÓN'!$G$3:$G5618=M4456)"),"LOS 3 AÑOS")</f>
        <v>LOS 3 AÑOS</v>
      </c>
      <c r="K4456" s="16"/>
      <c r="L4456" s="14" t="s">
        <v>177</v>
      </c>
      <c r="M4456" s="16" t="str">
        <f t="shared" si="1"/>
        <v>505474 Primaria</v>
      </c>
      <c r="N4456" s="23"/>
      <c r="O4456" s="17"/>
      <c r="P4456" s="17"/>
      <c r="Q4456" s="17"/>
      <c r="R4456" s="17"/>
      <c r="S4456" s="17"/>
      <c r="T4456" s="17"/>
    </row>
    <row r="4457">
      <c r="A4457" s="21">
        <v>585.0</v>
      </c>
      <c r="B4457" s="14" t="s">
        <v>90</v>
      </c>
      <c r="C4457" s="14" t="s">
        <v>14</v>
      </c>
      <c r="D4457" s="20" t="s">
        <v>20</v>
      </c>
      <c r="E4457" s="12" t="str">
        <f>IFERROR(__xludf.DUMMYFUNCTION("FILTER(colegios!$B$2:$B5618,colegios!$A$2:$A5618=L4457)"),"50547")</f>
        <v>50547</v>
      </c>
      <c r="F4457" s="14" t="s">
        <v>16</v>
      </c>
      <c r="G4457" s="20" t="s">
        <v>21</v>
      </c>
      <c r="H4457" s="14" t="s">
        <v>18</v>
      </c>
      <c r="I4457" s="22">
        <v>2022.0</v>
      </c>
      <c r="J4457" s="16" t="str">
        <f>IFERROR(__xludf.DUMMYFUNCTION("FILTER('CLASFICACIÓN'!$F$3:$F5618,'CLASFICACIÓN'!$G$3:$G5618=M4457)"),"LOS 3 AÑOS")</f>
        <v>LOS 3 AÑOS</v>
      </c>
      <c r="K4457" s="16"/>
      <c r="L4457" s="14" t="s">
        <v>177</v>
      </c>
      <c r="M4457" s="16" t="str">
        <f t="shared" si="1"/>
        <v>505474 Primaria</v>
      </c>
      <c r="N4457" s="23"/>
      <c r="O4457" s="17"/>
      <c r="P4457" s="17"/>
      <c r="Q4457" s="17"/>
      <c r="R4457" s="17"/>
      <c r="S4457" s="17"/>
      <c r="T4457" s="17"/>
    </row>
    <row r="4458">
      <c r="A4458" s="21">
        <v>586.0</v>
      </c>
      <c r="B4458" s="14" t="s">
        <v>90</v>
      </c>
      <c r="C4458" s="14" t="s">
        <v>14</v>
      </c>
      <c r="D4458" s="20" t="s">
        <v>20</v>
      </c>
      <c r="E4458" s="12" t="str">
        <f>IFERROR(__xludf.DUMMYFUNCTION("FILTER(colegios!$B$2:$B5618,colegios!$A$2:$A5618=L4458)"),"50547")</f>
        <v>50547</v>
      </c>
      <c r="F4458" s="14" t="s">
        <v>16</v>
      </c>
      <c r="G4458" s="20" t="s">
        <v>17</v>
      </c>
      <c r="H4458" s="14" t="s">
        <v>18</v>
      </c>
      <c r="I4458" s="22">
        <v>2022.0</v>
      </c>
      <c r="J4458" s="16" t="str">
        <f>IFERROR(__xludf.DUMMYFUNCTION("FILTER('CLASFICACIÓN'!$F$3:$F5618,'CLASFICACIÓN'!$G$3:$G5618=M4458)"),"LOS 3 AÑOS")</f>
        <v>LOS 3 AÑOS</v>
      </c>
      <c r="K4458" s="16"/>
      <c r="L4458" s="14" t="s">
        <v>177</v>
      </c>
      <c r="M4458" s="16" t="str">
        <f t="shared" si="1"/>
        <v>505474 Primaria</v>
      </c>
      <c r="N4458" s="23"/>
      <c r="O4458" s="17"/>
      <c r="P4458" s="17"/>
      <c r="Q4458" s="17"/>
      <c r="R4458" s="17"/>
      <c r="S4458" s="17"/>
      <c r="T4458" s="17"/>
    </row>
    <row r="4459">
      <c r="A4459" s="21">
        <v>587.0</v>
      </c>
      <c r="B4459" s="14" t="s">
        <v>90</v>
      </c>
      <c r="C4459" s="14" t="s">
        <v>14</v>
      </c>
      <c r="D4459" s="20" t="s">
        <v>20</v>
      </c>
      <c r="E4459" s="12" t="str">
        <f>IFERROR(__xludf.DUMMYFUNCTION("FILTER(colegios!$B$2:$B5618,colegios!$A$2:$A5618=L4459)"),"50547")</f>
        <v>50547</v>
      </c>
      <c r="F4459" s="14" t="s">
        <v>16</v>
      </c>
      <c r="G4459" s="20" t="s">
        <v>17</v>
      </c>
      <c r="H4459" s="14" t="s">
        <v>18</v>
      </c>
      <c r="I4459" s="22">
        <v>2022.0</v>
      </c>
      <c r="J4459" s="16" t="str">
        <f>IFERROR(__xludf.DUMMYFUNCTION("FILTER('CLASFICACIÓN'!$F$3:$F5618,'CLASFICACIÓN'!$G$3:$G5618=M4459)"),"LOS 3 AÑOS")</f>
        <v>LOS 3 AÑOS</v>
      </c>
      <c r="K4459" s="16"/>
      <c r="L4459" s="14" t="s">
        <v>177</v>
      </c>
      <c r="M4459" s="16" t="str">
        <f t="shared" si="1"/>
        <v>505474 Primaria</v>
      </c>
      <c r="N4459" s="23"/>
      <c r="O4459" s="17"/>
      <c r="P4459" s="17"/>
      <c r="Q4459" s="17"/>
      <c r="R4459" s="17"/>
      <c r="S4459" s="17"/>
      <c r="T4459" s="17"/>
    </row>
    <row r="4460">
      <c r="A4460" s="21">
        <v>588.0</v>
      </c>
      <c r="B4460" s="14" t="s">
        <v>90</v>
      </c>
      <c r="C4460" s="14" t="s">
        <v>14</v>
      </c>
      <c r="D4460" s="20" t="s">
        <v>20</v>
      </c>
      <c r="E4460" s="12" t="str">
        <f>IFERROR(__xludf.DUMMYFUNCTION("FILTER(colegios!$B$2:$B5618,colegios!$A$2:$A5618=L4460)"),"50547")</f>
        <v>50547</v>
      </c>
      <c r="F4460" s="14" t="s">
        <v>16</v>
      </c>
      <c r="G4460" s="20" t="s">
        <v>21</v>
      </c>
      <c r="H4460" s="14" t="s">
        <v>18</v>
      </c>
      <c r="I4460" s="22">
        <v>2022.0</v>
      </c>
      <c r="J4460" s="16" t="str">
        <f>IFERROR(__xludf.DUMMYFUNCTION("FILTER('CLASFICACIÓN'!$F$3:$F5618,'CLASFICACIÓN'!$G$3:$G5618=M4460)"),"LOS 3 AÑOS")</f>
        <v>LOS 3 AÑOS</v>
      </c>
      <c r="K4460" s="16"/>
      <c r="L4460" s="14" t="s">
        <v>177</v>
      </c>
      <c r="M4460" s="16" t="str">
        <f t="shared" si="1"/>
        <v>505474 Primaria</v>
      </c>
      <c r="N4460" s="23"/>
      <c r="O4460" s="17"/>
      <c r="P4460" s="17"/>
      <c r="Q4460" s="17"/>
      <c r="R4460" s="17"/>
      <c r="S4460" s="17"/>
      <c r="T4460" s="17"/>
    </row>
    <row r="4461">
      <c r="A4461" s="21">
        <v>589.0</v>
      </c>
      <c r="B4461" s="14" t="s">
        <v>90</v>
      </c>
      <c r="C4461" s="14" t="s">
        <v>14</v>
      </c>
      <c r="D4461" s="20" t="s">
        <v>20</v>
      </c>
      <c r="E4461" s="12" t="str">
        <f>IFERROR(__xludf.DUMMYFUNCTION("FILTER(colegios!$B$2:$B5618,colegios!$A$2:$A5618=L4461)"),"50547")</f>
        <v>50547</v>
      </c>
      <c r="F4461" s="14" t="s">
        <v>16</v>
      </c>
      <c r="G4461" s="20" t="s">
        <v>17</v>
      </c>
      <c r="H4461" s="14" t="s">
        <v>18</v>
      </c>
      <c r="I4461" s="22">
        <v>2022.0</v>
      </c>
      <c r="J4461" s="16" t="str">
        <f>IFERROR(__xludf.DUMMYFUNCTION("FILTER('CLASFICACIÓN'!$F$3:$F5618,'CLASFICACIÓN'!$G$3:$G5618=M4461)"),"LOS 3 AÑOS")</f>
        <v>LOS 3 AÑOS</v>
      </c>
      <c r="K4461" s="16"/>
      <c r="L4461" s="14" t="s">
        <v>177</v>
      </c>
      <c r="M4461" s="16" t="str">
        <f t="shared" si="1"/>
        <v>505474 Primaria</v>
      </c>
      <c r="N4461" s="23"/>
      <c r="O4461" s="17"/>
      <c r="P4461" s="17"/>
      <c r="Q4461" s="17"/>
      <c r="R4461" s="17"/>
      <c r="S4461" s="17"/>
      <c r="T4461" s="17"/>
    </row>
    <row r="4462">
      <c r="A4462" s="21">
        <v>590.0</v>
      </c>
      <c r="B4462" s="14" t="s">
        <v>90</v>
      </c>
      <c r="C4462" s="14" t="s">
        <v>14</v>
      </c>
      <c r="D4462" s="20" t="s">
        <v>20</v>
      </c>
      <c r="E4462" s="12" t="str">
        <f>IFERROR(__xludf.DUMMYFUNCTION("FILTER(colegios!$B$2:$B5618,colegios!$A$2:$A5618=L4462)"),"50547")</f>
        <v>50547</v>
      </c>
      <c r="F4462" s="14" t="s">
        <v>16</v>
      </c>
      <c r="G4462" s="20" t="s">
        <v>17</v>
      </c>
      <c r="H4462" s="14" t="s">
        <v>18</v>
      </c>
      <c r="I4462" s="22">
        <v>2022.0</v>
      </c>
      <c r="J4462" s="16" t="str">
        <f>IFERROR(__xludf.DUMMYFUNCTION("FILTER('CLASFICACIÓN'!$F$3:$F5618,'CLASFICACIÓN'!$G$3:$G5618=M4462)"),"LOS 3 AÑOS")</f>
        <v>LOS 3 AÑOS</v>
      </c>
      <c r="K4462" s="16"/>
      <c r="L4462" s="14" t="s">
        <v>177</v>
      </c>
      <c r="M4462" s="16" t="str">
        <f t="shared" si="1"/>
        <v>505474 Primaria</v>
      </c>
      <c r="N4462" s="23"/>
      <c r="O4462" s="17"/>
      <c r="P4462" s="17"/>
      <c r="Q4462" s="17"/>
      <c r="R4462" s="17"/>
      <c r="S4462" s="17"/>
      <c r="T4462" s="17"/>
    </row>
    <row r="4463">
      <c r="A4463" s="21">
        <v>591.0</v>
      </c>
      <c r="B4463" s="14" t="s">
        <v>90</v>
      </c>
      <c r="C4463" s="14" t="s">
        <v>14</v>
      </c>
      <c r="D4463" s="20" t="s">
        <v>20</v>
      </c>
      <c r="E4463" s="12" t="str">
        <f>IFERROR(__xludf.DUMMYFUNCTION("FILTER(colegios!$B$2:$B5618,colegios!$A$2:$A5618=L4463)"),"50547")</f>
        <v>50547</v>
      </c>
      <c r="F4463" s="14" t="s">
        <v>16</v>
      </c>
      <c r="G4463" s="20" t="s">
        <v>21</v>
      </c>
      <c r="H4463" s="14" t="s">
        <v>18</v>
      </c>
      <c r="I4463" s="22">
        <v>2022.0</v>
      </c>
      <c r="J4463" s="16" t="str">
        <f>IFERROR(__xludf.DUMMYFUNCTION("FILTER('CLASFICACIÓN'!$F$3:$F5618,'CLASFICACIÓN'!$G$3:$G5618=M4463)"),"LOS 3 AÑOS")</f>
        <v>LOS 3 AÑOS</v>
      </c>
      <c r="K4463" s="16"/>
      <c r="L4463" s="14" t="s">
        <v>177</v>
      </c>
      <c r="M4463" s="16" t="str">
        <f t="shared" si="1"/>
        <v>505474 Primaria</v>
      </c>
      <c r="N4463" s="23"/>
      <c r="O4463" s="17"/>
      <c r="P4463" s="17"/>
      <c r="Q4463" s="17"/>
      <c r="R4463" s="17"/>
      <c r="S4463" s="17"/>
      <c r="T4463" s="17"/>
    </row>
    <row r="4464">
      <c r="A4464" s="21">
        <v>592.0</v>
      </c>
      <c r="B4464" s="14" t="s">
        <v>90</v>
      </c>
      <c r="C4464" s="14" t="s">
        <v>14</v>
      </c>
      <c r="D4464" s="20" t="s">
        <v>20</v>
      </c>
      <c r="E4464" s="12" t="str">
        <f>IFERROR(__xludf.DUMMYFUNCTION("FILTER(colegios!$B$2:$B5618,colegios!$A$2:$A5618=L4464)"),"50547")</f>
        <v>50547</v>
      </c>
      <c r="F4464" s="14" t="s">
        <v>16</v>
      </c>
      <c r="G4464" s="20" t="s">
        <v>17</v>
      </c>
      <c r="H4464" s="14" t="s">
        <v>18</v>
      </c>
      <c r="I4464" s="22">
        <v>2022.0</v>
      </c>
      <c r="J4464" s="16" t="str">
        <f>IFERROR(__xludf.DUMMYFUNCTION("FILTER('CLASFICACIÓN'!$F$3:$F5618,'CLASFICACIÓN'!$G$3:$G5618=M4464)"),"LOS 3 AÑOS")</f>
        <v>LOS 3 AÑOS</v>
      </c>
      <c r="K4464" s="16"/>
      <c r="L4464" s="14" t="s">
        <v>177</v>
      </c>
      <c r="M4464" s="16" t="str">
        <f t="shared" si="1"/>
        <v>505474 Primaria</v>
      </c>
      <c r="N4464" s="23"/>
      <c r="O4464" s="17"/>
      <c r="P4464" s="17"/>
      <c r="Q4464" s="17"/>
      <c r="R4464" s="17"/>
      <c r="S4464" s="17"/>
      <c r="T4464" s="17"/>
    </row>
    <row r="4465">
      <c r="A4465" s="21">
        <v>593.0</v>
      </c>
      <c r="B4465" s="14" t="s">
        <v>90</v>
      </c>
      <c r="C4465" s="14" t="s">
        <v>14</v>
      </c>
      <c r="D4465" s="20" t="s">
        <v>20</v>
      </c>
      <c r="E4465" s="12" t="str">
        <f>IFERROR(__xludf.DUMMYFUNCTION("FILTER(colegios!$B$2:$B5618,colegios!$A$2:$A5618=L4465)"),"50547")</f>
        <v>50547</v>
      </c>
      <c r="F4465" s="14" t="s">
        <v>16</v>
      </c>
      <c r="G4465" s="20" t="s">
        <v>17</v>
      </c>
      <c r="H4465" s="14" t="s">
        <v>18</v>
      </c>
      <c r="I4465" s="22">
        <v>2022.0</v>
      </c>
      <c r="J4465" s="16" t="str">
        <f>IFERROR(__xludf.DUMMYFUNCTION("FILTER('CLASFICACIÓN'!$F$3:$F5618,'CLASFICACIÓN'!$G$3:$G5618=M4465)"),"LOS 3 AÑOS")</f>
        <v>LOS 3 AÑOS</v>
      </c>
      <c r="K4465" s="16"/>
      <c r="L4465" s="14" t="s">
        <v>177</v>
      </c>
      <c r="M4465" s="16" t="str">
        <f t="shared" si="1"/>
        <v>505474 Primaria</v>
      </c>
      <c r="N4465" s="23"/>
      <c r="O4465" s="17"/>
      <c r="P4465" s="17"/>
      <c r="Q4465" s="17"/>
      <c r="R4465" s="17"/>
      <c r="S4465" s="17"/>
      <c r="T4465" s="17"/>
    </row>
    <row r="4466">
      <c r="A4466" s="21">
        <v>594.0</v>
      </c>
      <c r="B4466" s="14" t="s">
        <v>90</v>
      </c>
      <c r="C4466" s="14" t="s">
        <v>14</v>
      </c>
      <c r="D4466" s="20" t="s">
        <v>20</v>
      </c>
      <c r="E4466" s="12" t="str">
        <f>IFERROR(__xludf.DUMMYFUNCTION("FILTER(colegios!$B$2:$B5618,colegios!$A$2:$A5618=L4466)"),"50547")</f>
        <v>50547</v>
      </c>
      <c r="F4466" s="14" t="s">
        <v>16</v>
      </c>
      <c r="G4466" s="20" t="s">
        <v>21</v>
      </c>
      <c r="H4466" s="14" t="s">
        <v>18</v>
      </c>
      <c r="I4466" s="22">
        <v>2022.0</v>
      </c>
      <c r="J4466" s="16" t="str">
        <f>IFERROR(__xludf.DUMMYFUNCTION("FILTER('CLASFICACIÓN'!$F$3:$F5618,'CLASFICACIÓN'!$G$3:$G5618=M4466)"),"LOS 3 AÑOS")</f>
        <v>LOS 3 AÑOS</v>
      </c>
      <c r="K4466" s="16"/>
      <c r="L4466" s="14" t="s">
        <v>177</v>
      </c>
      <c r="M4466" s="16" t="str">
        <f t="shared" si="1"/>
        <v>505474 Primaria</v>
      </c>
      <c r="N4466" s="23"/>
      <c r="O4466" s="17"/>
      <c r="P4466" s="17"/>
      <c r="Q4466" s="17"/>
      <c r="R4466" s="17"/>
      <c r="S4466" s="17"/>
      <c r="T4466" s="17"/>
    </row>
    <row r="4467">
      <c r="A4467" s="21">
        <v>595.0</v>
      </c>
      <c r="B4467" s="14" t="s">
        <v>90</v>
      </c>
      <c r="C4467" s="14" t="s">
        <v>14</v>
      </c>
      <c r="D4467" s="20" t="s">
        <v>20</v>
      </c>
      <c r="E4467" s="12" t="str">
        <f>IFERROR(__xludf.DUMMYFUNCTION("FILTER(colegios!$B$2:$B5618,colegios!$A$2:$A5618=L4467)"),"50547")</f>
        <v>50547</v>
      </c>
      <c r="F4467" s="14" t="s">
        <v>16</v>
      </c>
      <c r="G4467" s="20" t="s">
        <v>17</v>
      </c>
      <c r="H4467" s="14" t="s">
        <v>24</v>
      </c>
      <c r="I4467" s="22">
        <v>2022.0</v>
      </c>
      <c r="J4467" s="16" t="str">
        <f>IFERROR(__xludf.DUMMYFUNCTION("FILTER('CLASFICACIÓN'!$F$3:$F5618,'CLASFICACIÓN'!$G$3:$G5618=M4467)"),"LOS 3 AÑOS")</f>
        <v>LOS 3 AÑOS</v>
      </c>
      <c r="K4467" s="16"/>
      <c r="L4467" s="14" t="s">
        <v>177</v>
      </c>
      <c r="M4467" s="16" t="str">
        <f t="shared" si="1"/>
        <v>505474 Primaria</v>
      </c>
      <c r="N4467" s="23"/>
      <c r="O4467" s="17"/>
      <c r="P4467" s="17"/>
      <c r="Q4467" s="17"/>
      <c r="R4467" s="17"/>
      <c r="S4467" s="17"/>
      <c r="T4467" s="17"/>
    </row>
    <row r="4468">
      <c r="A4468" s="21">
        <v>596.0</v>
      </c>
      <c r="B4468" s="14" t="s">
        <v>90</v>
      </c>
      <c r="C4468" s="14" t="s">
        <v>14</v>
      </c>
      <c r="D4468" s="20" t="s">
        <v>20</v>
      </c>
      <c r="E4468" s="12" t="str">
        <f>IFERROR(__xludf.DUMMYFUNCTION("FILTER(colegios!$B$2:$B5618,colegios!$A$2:$A5618=L4468)"),"50547")</f>
        <v>50547</v>
      </c>
      <c r="F4468" s="14" t="s">
        <v>16</v>
      </c>
      <c r="G4468" s="20" t="s">
        <v>17</v>
      </c>
      <c r="H4468" s="14" t="s">
        <v>24</v>
      </c>
      <c r="I4468" s="22">
        <v>2022.0</v>
      </c>
      <c r="J4468" s="16" t="str">
        <f>IFERROR(__xludf.DUMMYFUNCTION("FILTER('CLASFICACIÓN'!$F$3:$F5618,'CLASFICACIÓN'!$G$3:$G5618=M4468)"),"LOS 3 AÑOS")</f>
        <v>LOS 3 AÑOS</v>
      </c>
      <c r="K4468" s="16"/>
      <c r="L4468" s="14" t="s">
        <v>177</v>
      </c>
      <c r="M4468" s="16" t="str">
        <f t="shared" si="1"/>
        <v>505474 Primaria</v>
      </c>
      <c r="N4468" s="23"/>
      <c r="O4468" s="17"/>
      <c r="P4468" s="17"/>
      <c r="Q4468" s="17"/>
      <c r="R4468" s="17"/>
      <c r="S4468" s="17"/>
      <c r="T4468" s="17"/>
    </row>
    <row r="4469">
      <c r="A4469" s="21">
        <v>597.0</v>
      </c>
      <c r="B4469" s="14" t="s">
        <v>90</v>
      </c>
      <c r="C4469" s="14" t="s">
        <v>14</v>
      </c>
      <c r="D4469" s="20" t="s">
        <v>20</v>
      </c>
      <c r="E4469" s="12" t="str">
        <f>IFERROR(__xludf.DUMMYFUNCTION("FILTER(colegios!$B$2:$B5618,colegios!$A$2:$A5618=L4469)"),"50547")</f>
        <v>50547</v>
      </c>
      <c r="F4469" s="14" t="s">
        <v>16</v>
      </c>
      <c r="G4469" s="20" t="s">
        <v>21</v>
      </c>
      <c r="H4469" s="14" t="s">
        <v>24</v>
      </c>
      <c r="I4469" s="22">
        <v>2022.0</v>
      </c>
      <c r="J4469" s="16" t="str">
        <f>IFERROR(__xludf.DUMMYFUNCTION("FILTER('CLASFICACIÓN'!$F$3:$F5618,'CLASFICACIÓN'!$G$3:$G5618=M4469)"),"LOS 3 AÑOS")</f>
        <v>LOS 3 AÑOS</v>
      </c>
      <c r="K4469" s="16"/>
      <c r="L4469" s="14" t="s">
        <v>177</v>
      </c>
      <c r="M4469" s="16" t="str">
        <f t="shared" si="1"/>
        <v>505474 Primaria</v>
      </c>
      <c r="N4469" s="23"/>
      <c r="O4469" s="17"/>
      <c r="P4469" s="17"/>
      <c r="Q4469" s="17"/>
      <c r="R4469" s="17"/>
      <c r="S4469" s="17"/>
      <c r="T4469" s="17"/>
    </row>
    <row r="4470">
      <c r="A4470" s="21">
        <v>598.0</v>
      </c>
      <c r="B4470" s="14" t="s">
        <v>90</v>
      </c>
      <c r="C4470" s="14" t="s">
        <v>14</v>
      </c>
      <c r="D4470" s="20" t="s">
        <v>20</v>
      </c>
      <c r="E4470" s="12" t="str">
        <f>IFERROR(__xludf.DUMMYFUNCTION("FILTER(colegios!$B$2:$B5618,colegios!$A$2:$A5618=L4470)"),"50547")</f>
        <v>50547</v>
      </c>
      <c r="F4470" s="14" t="s">
        <v>16</v>
      </c>
      <c r="G4470" s="20" t="s">
        <v>21</v>
      </c>
      <c r="H4470" s="14" t="s">
        <v>24</v>
      </c>
      <c r="I4470" s="22">
        <v>2022.0</v>
      </c>
      <c r="J4470" s="16" t="str">
        <f>IFERROR(__xludf.DUMMYFUNCTION("FILTER('CLASFICACIÓN'!$F$3:$F5618,'CLASFICACIÓN'!$G$3:$G5618=M4470)"),"LOS 3 AÑOS")</f>
        <v>LOS 3 AÑOS</v>
      </c>
      <c r="K4470" s="16"/>
      <c r="L4470" s="14" t="s">
        <v>177</v>
      </c>
      <c r="M4470" s="16" t="str">
        <f t="shared" si="1"/>
        <v>505474 Primaria</v>
      </c>
      <c r="N4470" s="23"/>
      <c r="O4470" s="17"/>
      <c r="P4470" s="17"/>
      <c r="Q4470" s="17"/>
      <c r="R4470" s="17"/>
      <c r="S4470" s="17"/>
      <c r="T4470" s="17"/>
    </row>
    <row r="4471">
      <c r="A4471" s="21">
        <v>599.0</v>
      </c>
      <c r="B4471" s="14" t="s">
        <v>90</v>
      </c>
      <c r="C4471" s="14" t="s">
        <v>14</v>
      </c>
      <c r="D4471" s="20" t="s">
        <v>20</v>
      </c>
      <c r="E4471" s="12" t="str">
        <f>IFERROR(__xludf.DUMMYFUNCTION("FILTER(colegios!$B$2:$B5618,colegios!$A$2:$A5618=L4471)"),"50547")</f>
        <v>50547</v>
      </c>
      <c r="F4471" s="14" t="s">
        <v>16</v>
      </c>
      <c r="G4471" s="20" t="s">
        <v>17</v>
      </c>
      <c r="H4471" s="14" t="s">
        <v>24</v>
      </c>
      <c r="I4471" s="22">
        <v>2022.0</v>
      </c>
      <c r="J4471" s="16" t="str">
        <f>IFERROR(__xludf.DUMMYFUNCTION("FILTER('CLASFICACIÓN'!$F$3:$F5618,'CLASFICACIÓN'!$G$3:$G5618=M4471)"),"LOS 3 AÑOS")</f>
        <v>LOS 3 AÑOS</v>
      </c>
      <c r="K4471" s="16"/>
      <c r="L4471" s="14" t="s">
        <v>177</v>
      </c>
      <c r="M4471" s="16" t="str">
        <f t="shared" si="1"/>
        <v>505474 Primaria</v>
      </c>
      <c r="N4471" s="23"/>
      <c r="O4471" s="17"/>
      <c r="P4471" s="17"/>
      <c r="Q4471" s="17"/>
      <c r="R4471" s="17"/>
      <c r="S4471" s="17"/>
      <c r="T4471" s="17"/>
    </row>
    <row r="4472">
      <c r="A4472" s="21">
        <v>600.0</v>
      </c>
      <c r="B4472" s="14" t="s">
        <v>90</v>
      </c>
      <c r="C4472" s="14" t="s">
        <v>14</v>
      </c>
      <c r="D4472" s="20" t="s">
        <v>20</v>
      </c>
      <c r="E4472" s="12" t="str">
        <f>IFERROR(__xludf.DUMMYFUNCTION("FILTER(colegios!$B$2:$B5618,colegios!$A$2:$A5618=L4472)"),"50547")</f>
        <v>50547</v>
      </c>
      <c r="F4472" s="14" t="s">
        <v>16</v>
      </c>
      <c r="G4472" s="20" t="s">
        <v>21</v>
      </c>
      <c r="H4472" s="14" t="s">
        <v>24</v>
      </c>
      <c r="I4472" s="22">
        <v>2022.0</v>
      </c>
      <c r="J4472" s="16" t="str">
        <f>IFERROR(__xludf.DUMMYFUNCTION("FILTER('CLASFICACIÓN'!$F$3:$F5618,'CLASFICACIÓN'!$G$3:$G5618=M4472)"),"LOS 3 AÑOS")</f>
        <v>LOS 3 AÑOS</v>
      </c>
      <c r="K4472" s="16"/>
      <c r="L4472" s="14" t="s">
        <v>177</v>
      </c>
      <c r="M4472" s="16" t="str">
        <f t="shared" si="1"/>
        <v>505474 Primaria</v>
      </c>
      <c r="N4472" s="23"/>
      <c r="O4472" s="17"/>
      <c r="P4472" s="17"/>
      <c r="Q4472" s="17"/>
      <c r="R4472" s="17"/>
      <c r="S4472" s="17"/>
      <c r="T4472" s="17"/>
    </row>
    <row r="4473">
      <c r="A4473" s="21">
        <v>601.0</v>
      </c>
      <c r="B4473" s="14" t="s">
        <v>90</v>
      </c>
      <c r="C4473" s="14" t="s">
        <v>14</v>
      </c>
      <c r="D4473" s="20" t="s">
        <v>20</v>
      </c>
      <c r="E4473" s="12" t="str">
        <f>IFERROR(__xludf.DUMMYFUNCTION("FILTER(colegios!$B$2:$B5618,colegios!$A$2:$A5618=L4473)"),"50547")</f>
        <v>50547</v>
      </c>
      <c r="F4473" s="14" t="s">
        <v>16</v>
      </c>
      <c r="G4473" s="20" t="s">
        <v>21</v>
      </c>
      <c r="H4473" s="14" t="s">
        <v>24</v>
      </c>
      <c r="I4473" s="22">
        <v>2022.0</v>
      </c>
      <c r="J4473" s="16" t="str">
        <f>IFERROR(__xludf.DUMMYFUNCTION("FILTER('CLASFICACIÓN'!$F$3:$F5618,'CLASFICACIÓN'!$G$3:$G5618=M4473)"),"LOS 3 AÑOS")</f>
        <v>LOS 3 AÑOS</v>
      </c>
      <c r="K4473" s="16"/>
      <c r="L4473" s="14" t="s">
        <v>177</v>
      </c>
      <c r="M4473" s="16" t="str">
        <f t="shared" si="1"/>
        <v>505474 Primaria</v>
      </c>
      <c r="N4473" s="23"/>
      <c r="O4473" s="17"/>
      <c r="P4473" s="17"/>
      <c r="Q4473" s="17"/>
      <c r="R4473" s="17"/>
      <c r="S4473" s="17"/>
      <c r="T4473" s="17"/>
    </row>
    <row r="4474">
      <c r="A4474" s="21">
        <v>602.0</v>
      </c>
      <c r="B4474" s="14" t="s">
        <v>90</v>
      </c>
      <c r="C4474" s="14" t="s">
        <v>14</v>
      </c>
      <c r="D4474" s="20" t="s">
        <v>20</v>
      </c>
      <c r="E4474" s="12" t="str">
        <f>IFERROR(__xludf.DUMMYFUNCTION("FILTER(colegios!$B$2:$B5618,colegios!$A$2:$A5618=L4474)"),"50547")</f>
        <v>50547</v>
      </c>
      <c r="F4474" s="14" t="s">
        <v>16</v>
      </c>
      <c r="G4474" s="20" t="s">
        <v>21</v>
      </c>
      <c r="H4474" s="14" t="s">
        <v>24</v>
      </c>
      <c r="I4474" s="22">
        <v>2022.0</v>
      </c>
      <c r="J4474" s="16" t="str">
        <f>IFERROR(__xludf.DUMMYFUNCTION("FILTER('CLASFICACIÓN'!$F$3:$F5618,'CLASFICACIÓN'!$G$3:$G5618=M4474)"),"LOS 3 AÑOS")</f>
        <v>LOS 3 AÑOS</v>
      </c>
      <c r="K4474" s="16"/>
      <c r="L4474" s="14" t="s">
        <v>177</v>
      </c>
      <c r="M4474" s="16" t="str">
        <f t="shared" si="1"/>
        <v>505474 Primaria</v>
      </c>
      <c r="N4474" s="23"/>
      <c r="O4474" s="17"/>
      <c r="P4474" s="17"/>
      <c r="Q4474" s="17"/>
      <c r="R4474" s="17"/>
      <c r="S4474" s="17"/>
      <c r="T4474" s="17"/>
    </row>
    <row r="4475">
      <c r="A4475" s="21">
        <v>603.0</v>
      </c>
      <c r="B4475" s="14" t="s">
        <v>90</v>
      </c>
      <c r="C4475" s="14" t="s">
        <v>14</v>
      </c>
      <c r="D4475" s="20" t="s">
        <v>20</v>
      </c>
      <c r="E4475" s="12" t="str">
        <f>IFERROR(__xludf.DUMMYFUNCTION("FILTER(colegios!$B$2:$B5618,colegios!$A$2:$A5618=L4475)"),"50547")</f>
        <v>50547</v>
      </c>
      <c r="F4475" s="14" t="s">
        <v>16</v>
      </c>
      <c r="G4475" s="20" t="s">
        <v>21</v>
      </c>
      <c r="H4475" s="14" t="s">
        <v>24</v>
      </c>
      <c r="I4475" s="22">
        <v>2022.0</v>
      </c>
      <c r="J4475" s="16" t="str">
        <f>IFERROR(__xludf.DUMMYFUNCTION("FILTER('CLASFICACIÓN'!$F$3:$F5618,'CLASFICACIÓN'!$G$3:$G5618=M4475)"),"LOS 3 AÑOS")</f>
        <v>LOS 3 AÑOS</v>
      </c>
      <c r="K4475" s="16"/>
      <c r="L4475" s="14" t="s">
        <v>177</v>
      </c>
      <c r="M4475" s="16" t="str">
        <f t="shared" si="1"/>
        <v>505474 Primaria</v>
      </c>
      <c r="N4475" s="23"/>
      <c r="O4475" s="17"/>
      <c r="P4475" s="17"/>
      <c r="Q4475" s="17"/>
      <c r="R4475" s="17"/>
      <c r="S4475" s="17"/>
      <c r="T4475" s="17"/>
    </row>
    <row r="4476">
      <c r="A4476" s="21">
        <v>604.0</v>
      </c>
      <c r="B4476" s="14" t="s">
        <v>90</v>
      </c>
      <c r="C4476" s="14" t="s">
        <v>14</v>
      </c>
      <c r="D4476" s="20" t="s">
        <v>20</v>
      </c>
      <c r="E4476" s="12" t="str">
        <f>IFERROR(__xludf.DUMMYFUNCTION("FILTER(colegios!$B$2:$B5618,colegios!$A$2:$A5618=L4476)"),"50547")</f>
        <v>50547</v>
      </c>
      <c r="F4476" s="14" t="s">
        <v>16</v>
      </c>
      <c r="G4476" s="20" t="s">
        <v>17</v>
      </c>
      <c r="H4476" s="14" t="s">
        <v>24</v>
      </c>
      <c r="I4476" s="22">
        <v>2022.0</v>
      </c>
      <c r="J4476" s="16" t="str">
        <f>IFERROR(__xludf.DUMMYFUNCTION("FILTER('CLASFICACIÓN'!$F$3:$F5618,'CLASFICACIÓN'!$G$3:$G5618=M4476)"),"LOS 3 AÑOS")</f>
        <v>LOS 3 AÑOS</v>
      </c>
      <c r="K4476" s="16"/>
      <c r="L4476" s="14" t="s">
        <v>177</v>
      </c>
      <c r="M4476" s="16" t="str">
        <f t="shared" si="1"/>
        <v>505474 Primaria</v>
      </c>
      <c r="N4476" s="23"/>
      <c r="O4476" s="17"/>
      <c r="P4476" s="17"/>
      <c r="Q4476" s="17"/>
      <c r="R4476" s="17"/>
      <c r="S4476" s="17"/>
      <c r="T4476" s="17"/>
    </row>
    <row r="4477">
      <c r="A4477" s="21">
        <v>605.0</v>
      </c>
      <c r="B4477" s="14" t="s">
        <v>90</v>
      </c>
      <c r="C4477" s="14" t="s">
        <v>14</v>
      </c>
      <c r="D4477" s="20" t="s">
        <v>20</v>
      </c>
      <c r="E4477" s="12" t="str">
        <f>IFERROR(__xludf.DUMMYFUNCTION("FILTER(colegios!$B$2:$B5618,colegios!$A$2:$A5618=L4477)"),"50547")</f>
        <v>50547</v>
      </c>
      <c r="F4477" s="14" t="s">
        <v>16</v>
      </c>
      <c r="G4477" s="20" t="s">
        <v>17</v>
      </c>
      <c r="H4477" s="14" t="s">
        <v>24</v>
      </c>
      <c r="I4477" s="22">
        <v>2022.0</v>
      </c>
      <c r="J4477" s="16" t="str">
        <f>IFERROR(__xludf.DUMMYFUNCTION("FILTER('CLASFICACIÓN'!$F$3:$F5618,'CLASFICACIÓN'!$G$3:$G5618=M4477)"),"LOS 3 AÑOS")</f>
        <v>LOS 3 AÑOS</v>
      </c>
      <c r="K4477" s="16"/>
      <c r="L4477" s="14" t="s">
        <v>177</v>
      </c>
      <c r="M4477" s="16" t="str">
        <f t="shared" si="1"/>
        <v>505474 Primaria</v>
      </c>
      <c r="N4477" s="23"/>
      <c r="O4477" s="17"/>
      <c r="P4477" s="17"/>
      <c r="Q4477" s="17"/>
      <c r="R4477" s="17"/>
      <c r="S4477" s="17"/>
      <c r="T4477" s="17"/>
    </row>
    <row r="4478">
      <c r="A4478" s="21">
        <v>606.0</v>
      </c>
      <c r="B4478" s="14" t="s">
        <v>90</v>
      </c>
      <c r="C4478" s="14" t="s">
        <v>14</v>
      </c>
      <c r="D4478" s="20" t="s">
        <v>20</v>
      </c>
      <c r="E4478" s="12" t="str">
        <f>IFERROR(__xludf.DUMMYFUNCTION("FILTER(colegios!$B$2:$B5618,colegios!$A$2:$A5618=L4478)"),"50547")</f>
        <v>50547</v>
      </c>
      <c r="F4478" s="14" t="s">
        <v>16</v>
      </c>
      <c r="G4478" s="20" t="s">
        <v>17</v>
      </c>
      <c r="H4478" s="14" t="s">
        <v>24</v>
      </c>
      <c r="I4478" s="22">
        <v>2022.0</v>
      </c>
      <c r="J4478" s="16" t="str">
        <f>IFERROR(__xludf.DUMMYFUNCTION("FILTER('CLASFICACIÓN'!$F$3:$F5618,'CLASFICACIÓN'!$G$3:$G5618=M4478)"),"LOS 3 AÑOS")</f>
        <v>LOS 3 AÑOS</v>
      </c>
      <c r="K4478" s="16"/>
      <c r="L4478" s="14" t="s">
        <v>177</v>
      </c>
      <c r="M4478" s="16" t="str">
        <f t="shared" si="1"/>
        <v>505474 Primaria</v>
      </c>
      <c r="N4478" s="23"/>
      <c r="O4478" s="17"/>
      <c r="P4478" s="17"/>
      <c r="Q4478" s="17"/>
      <c r="R4478" s="17"/>
      <c r="S4478" s="17"/>
      <c r="T4478" s="17"/>
    </row>
    <row r="4479">
      <c r="A4479" s="21">
        <v>607.0</v>
      </c>
      <c r="B4479" s="14" t="s">
        <v>90</v>
      </c>
      <c r="C4479" s="14" t="s">
        <v>14</v>
      </c>
      <c r="D4479" s="20" t="s">
        <v>20</v>
      </c>
      <c r="E4479" s="12" t="str">
        <f>IFERROR(__xludf.DUMMYFUNCTION("FILTER(colegios!$B$2:$B5618,colegios!$A$2:$A5618=L4479)"),"50547")</f>
        <v>50547</v>
      </c>
      <c r="F4479" s="14" t="s">
        <v>16</v>
      </c>
      <c r="G4479" s="20" t="s">
        <v>17</v>
      </c>
      <c r="H4479" s="14" t="s">
        <v>24</v>
      </c>
      <c r="I4479" s="22">
        <v>2022.0</v>
      </c>
      <c r="J4479" s="16" t="str">
        <f>IFERROR(__xludf.DUMMYFUNCTION("FILTER('CLASFICACIÓN'!$F$3:$F5618,'CLASFICACIÓN'!$G$3:$G5618=M4479)"),"LOS 3 AÑOS")</f>
        <v>LOS 3 AÑOS</v>
      </c>
      <c r="K4479" s="16"/>
      <c r="L4479" s="14" t="s">
        <v>177</v>
      </c>
      <c r="M4479" s="16" t="str">
        <f t="shared" si="1"/>
        <v>505474 Primaria</v>
      </c>
      <c r="N4479" s="23"/>
      <c r="O4479" s="17"/>
      <c r="P4479" s="17"/>
      <c r="Q4479" s="17"/>
      <c r="R4479" s="17"/>
      <c r="S4479" s="17"/>
      <c r="T4479" s="17"/>
    </row>
    <row r="4480">
      <c r="A4480" s="21">
        <v>608.0</v>
      </c>
      <c r="B4480" s="14" t="s">
        <v>90</v>
      </c>
      <c r="C4480" s="14" t="s">
        <v>14</v>
      </c>
      <c r="D4480" s="20" t="s">
        <v>20</v>
      </c>
      <c r="E4480" s="12" t="str">
        <f>IFERROR(__xludf.DUMMYFUNCTION("FILTER(colegios!$B$2:$B5618,colegios!$A$2:$A5618=L4480)"),"50547")</f>
        <v>50547</v>
      </c>
      <c r="F4480" s="14" t="s">
        <v>16</v>
      </c>
      <c r="G4480" s="20" t="s">
        <v>17</v>
      </c>
      <c r="H4480" s="14" t="s">
        <v>24</v>
      </c>
      <c r="I4480" s="22">
        <v>2022.0</v>
      </c>
      <c r="J4480" s="16" t="str">
        <f>IFERROR(__xludf.DUMMYFUNCTION("FILTER('CLASFICACIÓN'!$F$3:$F5618,'CLASFICACIÓN'!$G$3:$G5618=M4480)"),"LOS 3 AÑOS")</f>
        <v>LOS 3 AÑOS</v>
      </c>
      <c r="K4480" s="16"/>
      <c r="L4480" s="14" t="s">
        <v>177</v>
      </c>
      <c r="M4480" s="16" t="str">
        <f t="shared" si="1"/>
        <v>505474 Primaria</v>
      </c>
      <c r="N4480" s="23"/>
      <c r="O4480" s="17"/>
      <c r="P4480" s="17"/>
      <c r="Q4480" s="17"/>
      <c r="R4480" s="17"/>
      <c r="S4480" s="17"/>
      <c r="T4480" s="17"/>
    </row>
    <row r="4481">
      <c r="A4481" s="21">
        <v>609.0</v>
      </c>
      <c r="B4481" s="14" t="s">
        <v>90</v>
      </c>
      <c r="C4481" s="14" t="s">
        <v>14</v>
      </c>
      <c r="D4481" s="20" t="s">
        <v>20</v>
      </c>
      <c r="E4481" s="12" t="str">
        <f>IFERROR(__xludf.DUMMYFUNCTION("FILTER(colegios!$B$2:$B5618,colegios!$A$2:$A5618=L4481)"),"50547")</f>
        <v>50547</v>
      </c>
      <c r="F4481" s="14" t="s">
        <v>16</v>
      </c>
      <c r="G4481" s="20" t="s">
        <v>17</v>
      </c>
      <c r="H4481" s="14" t="s">
        <v>24</v>
      </c>
      <c r="I4481" s="22">
        <v>2022.0</v>
      </c>
      <c r="J4481" s="16" t="str">
        <f>IFERROR(__xludf.DUMMYFUNCTION("FILTER('CLASFICACIÓN'!$F$3:$F5618,'CLASFICACIÓN'!$G$3:$G5618=M4481)"),"LOS 3 AÑOS")</f>
        <v>LOS 3 AÑOS</v>
      </c>
      <c r="K4481" s="16"/>
      <c r="L4481" s="14" t="s">
        <v>177</v>
      </c>
      <c r="M4481" s="16" t="str">
        <f t="shared" si="1"/>
        <v>505474 Primaria</v>
      </c>
      <c r="N4481" s="23"/>
      <c r="O4481" s="17"/>
      <c r="P4481" s="17"/>
      <c r="Q4481" s="17"/>
      <c r="R4481" s="17"/>
      <c r="S4481" s="17"/>
      <c r="T4481" s="17"/>
    </row>
    <row r="4482">
      <c r="A4482" s="21">
        <v>610.0</v>
      </c>
      <c r="B4482" s="14" t="s">
        <v>90</v>
      </c>
      <c r="C4482" s="14" t="s">
        <v>14</v>
      </c>
      <c r="D4482" s="20" t="s">
        <v>20</v>
      </c>
      <c r="E4482" s="12" t="str">
        <f>IFERROR(__xludf.DUMMYFUNCTION("FILTER(colegios!$B$2:$B5618,colegios!$A$2:$A5618=L4482)"),"50547")</f>
        <v>50547</v>
      </c>
      <c r="F4482" s="14" t="s">
        <v>16</v>
      </c>
      <c r="G4482" s="20" t="s">
        <v>21</v>
      </c>
      <c r="H4482" s="14" t="s">
        <v>24</v>
      </c>
      <c r="I4482" s="22">
        <v>2022.0</v>
      </c>
      <c r="J4482" s="16" t="str">
        <f>IFERROR(__xludf.DUMMYFUNCTION("FILTER('CLASFICACIÓN'!$F$3:$F5618,'CLASFICACIÓN'!$G$3:$G5618=M4482)"),"LOS 3 AÑOS")</f>
        <v>LOS 3 AÑOS</v>
      </c>
      <c r="K4482" s="16"/>
      <c r="L4482" s="14" t="s">
        <v>177</v>
      </c>
      <c r="M4482" s="16" t="str">
        <f t="shared" si="1"/>
        <v>505474 Primaria</v>
      </c>
      <c r="N4482" s="23"/>
      <c r="O4482" s="17"/>
      <c r="P4482" s="17"/>
      <c r="Q4482" s="17"/>
      <c r="R4482" s="17"/>
      <c r="S4482" s="17"/>
      <c r="T4482" s="17"/>
    </row>
    <row r="4483">
      <c r="A4483" s="21">
        <v>611.0</v>
      </c>
      <c r="B4483" s="14" t="s">
        <v>90</v>
      </c>
      <c r="C4483" s="14" t="s">
        <v>14</v>
      </c>
      <c r="D4483" s="20" t="s">
        <v>20</v>
      </c>
      <c r="E4483" s="12" t="str">
        <f>IFERROR(__xludf.DUMMYFUNCTION("FILTER(colegios!$B$2:$B5618,colegios!$A$2:$A5618=L4483)"),"50547")</f>
        <v>50547</v>
      </c>
      <c r="F4483" s="14" t="s">
        <v>16</v>
      </c>
      <c r="G4483" s="20" t="s">
        <v>21</v>
      </c>
      <c r="H4483" s="14" t="s">
        <v>24</v>
      </c>
      <c r="I4483" s="22">
        <v>2022.0</v>
      </c>
      <c r="J4483" s="16" t="str">
        <f>IFERROR(__xludf.DUMMYFUNCTION("FILTER('CLASFICACIÓN'!$F$3:$F5618,'CLASFICACIÓN'!$G$3:$G5618=M4483)"),"LOS 3 AÑOS")</f>
        <v>LOS 3 AÑOS</v>
      </c>
      <c r="K4483" s="16"/>
      <c r="L4483" s="14" t="s">
        <v>177</v>
      </c>
      <c r="M4483" s="16" t="str">
        <f t="shared" si="1"/>
        <v>505474 Primaria</v>
      </c>
      <c r="N4483" s="23"/>
      <c r="O4483" s="17"/>
      <c r="P4483" s="17"/>
      <c r="Q4483" s="17"/>
      <c r="R4483" s="17"/>
      <c r="S4483" s="17"/>
      <c r="T4483" s="17"/>
    </row>
    <row r="4484">
      <c r="A4484" s="21">
        <v>612.0</v>
      </c>
      <c r="B4484" s="14" t="s">
        <v>90</v>
      </c>
      <c r="C4484" s="14" t="s">
        <v>14</v>
      </c>
      <c r="D4484" s="20" t="s">
        <v>20</v>
      </c>
      <c r="E4484" s="12" t="str">
        <f>IFERROR(__xludf.DUMMYFUNCTION("FILTER(colegios!$B$2:$B5618,colegios!$A$2:$A5618=L4484)"),"50547")</f>
        <v>50547</v>
      </c>
      <c r="F4484" s="14" t="s">
        <v>16</v>
      </c>
      <c r="G4484" s="20" t="s">
        <v>21</v>
      </c>
      <c r="H4484" s="14" t="s">
        <v>24</v>
      </c>
      <c r="I4484" s="22">
        <v>2022.0</v>
      </c>
      <c r="J4484" s="16" t="str">
        <f>IFERROR(__xludf.DUMMYFUNCTION("FILTER('CLASFICACIÓN'!$F$3:$F5618,'CLASFICACIÓN'!$G$3:$G5618=M4484)"),"LOS 3 AÑOS")</f>
        <v>LOS 3 AÑOS</v>
      </c>
      <c r="K4484" s="16"/>
      <c r="L4484" s="14" t="s">
        <v>177</v>
      </c>
      <c r="M4484" s="16" t="str">
        <f t="shared" si="1"/>
        <v>505474 Primaria</v>
      </c>
      <c r="N4484" s="23"/>
      <c r="O4484" s="17"/>
      <c r="P4484" s="17"/>
      <c r="Q4484" s="17"/>
      <c r="R4484" s="17"/>
      <c r="S4484" s="17"/>
      <c r="T4484" s="17"/>
    </row>
    <row r="4485">
      <c r="A4485" s="21">
        <v>613.0</v>
      </c>
      <c r="B4485" s="14" t="s">
        <v>90</v>
      </c>
      <c r="C4485" s="14" t="s">
        <v>14</v>
      </c>
      <c r="D4485" s="20" t="s">
        <v>20</v>
      </c>
      <c r="E4485" s="12" t="str">
        <f>IFERROR(__xludf.DUMMYFUNCTION("FILTER(colegios!$B$2:$B5618,colegios!$A$2:$A5618=L4485)"),"50547")</f>
        <v>50547</v>
      </c>
      <c r="F4485" s="14" t="s">
        <v>16</v>
      </c>
      <c r="G4485" s="20" t="s">
        <v>21</v>
      </c>
      <c r="H4485" s="14" t="s">
        <v>24</v>
      </c>
      <c r="I4485" s="22">
        <v>2022.0</v>
      </c>
      <c r="J4485" s="16" t="str">
        <f>IFERROR(__xludf.DUMMYFUNCTION("FILTER('CLASFICACIÓN'!$F$3:$F5618,'CLASFICACIÓN'!$G$3:$G5618=M4485)"),"LOS 3 AÑOS")</f>
        <v>LOS 3 AÑOS</v>
      </c>
      <c r="K4485" s="16"/>
      <c r="L4485" s="14" t="s">
        <v>177</v>
      </c>
      <c r="M4485" s="16" t="str">
        <f t="shared" si="1"/>
        <v>505474 Primaria</v>
      </c>
      <c r="N4485" s="23"/>
      <c r="O4485" s="17"/>
      <c r="P4485" s="17"/>
      <c r="Q4485" s="17"/>
      <c r="R4485" s="17"/>
      <c r="S4485" s="17"/>
      <c r="T4485" s="17"/>
    </row>
    <row r="4486">
      <c r="A4486" s="21">
        <v>614.0</v>
      </c>
      <c r="B4486" s="14" t="s">
        <v>90</v>
      </c>
      <c r="C4486" s="14" t="s">
        <v>14</v>
      </c>
      <c r="D4486" s="20" t="s">
        <v>20</v>
      </c>
      <c r="E4486" s="12" t="str">
        <f>IFERROR(__xludf.DUMMYFUNCTION("FILTER(colegios!$B$2:$B5618,colegios!$A$2:$A5618=L4486)"),"50547")</f>
        <v>50547</v>
      </c>
      <c r="F4486" s="14" t="s">
        <v>16</v>
      </c>
      <c r="G4486" s="20" t="s">
        <v>17</v>
      </c>
      <c r="H4486" s="14" t="s">
        <v>24</v>
      </c>
      <c r="I4486" s="22">
        <v>2022.0</v>
      </c>
      <c r="J4486" s="16" t="str">
        <f>IFERROR(__xludf.DUMMYFUNCTION("FILTER('CLASFICACIÓN'!$F$3:$F5618,'CLASFICACIÓN'!$G$3:$G5618=M4486)"),"LOS 3 AÑOS")</f>
        <v>LOS 3 AÑOS</v>
      </c>
      <c r="K4486" s="16"/>
      <c r="L4486" s="14" t="s">
        <v>177</v>
      </c>
      <c r="M4486" s="16" t="str">
        <f t="shared" si="1"/>
        <v>505474 Primaria</v>
      </c>
      <c r="N4486" s="23"/>
      <c r="O4486" s="17"/>
      <c r="P4486" s="17"/>
      <c r="Q4486" s="17"/>
      <c r="R4486" s="17"/>
      <c r="S4486" s="17"/>
      <c r="T4486" s="17"/>
    </row>
    <row r="4487">
      <c r="A4487" s="21">
        <v>615.0</v>
      </c>
      <c r="B4487" s="14" t="s">
        <v>90</v>
      </c>
      <c r="C4487" s="14" t="s">
        <v>14</v>
      </c>
      <c r="D4487" s="20" t="s">
        <v>20</v>
      </c>
      <c r="E4487" s="12" t="str">
        <f>IFERROR(__xludf.DUMMYFUNCTION("FILTER(colegios!$B$2:$B5618,colegios!$A$2:$A5618=L4487)"),"50547")</f>
        <v>50547</v>
      </c>
      <c r="F4487" s="14" t="s">
        <v>16</v>
      </c>
      <c r="G4487" s="20" t="s">
        <v>21</v>
      </c>
      <c r="H4487" s="14" t="s">
        <v>24</v>
      </c>
      <c r="I4487" s="22">
        <v>2022.0</v>
      </c>
      <c r="J4487" s="16" t="str">
        <f>IFERROR(__xludf.DUMMYFUNCTION("FILTER('CLASFICACIÓN'!$F$3:$F5618,'CLASFICACIÓN'!$G$3:$G5618=M4487)"),"LOS 3 AÑOS")</f>
        <v>LOS 3 AÑOS</v>
      </c>
      <c r="K4487" s="16"/>
      <c r="L4487" s="14" t="s">
        <v>177</v>
      </c>
      <c r="M4487" s="16" t="str">
        <f t="shared" si="1"/>
        <v>505474 Primaria</v>
      </c>
      <c r="N4487" s="23"/>
      <c r="O4487" s="17"/>
      <c r="P4487" s="17"/>
      <c r="Q4487" s="17"/>
      <c r="R4487" s="17"/>
      <c r="S4487" s="17"/>
      <c r="T4487" s="17"/>
    </row>
    <row r="4488">
      <c r="A4488" s="21">
        <v>616.0</v>
      </c>
      <c r="B4488" s="14" t="s">
        <v>90</v>
      </c>
      <c r="C4488" s="14" t="s">
        <v>14</v>
      </c>
      <c r="D4488" s="20" t="s">
        <v>20</v>
      </c>
      <c r="E4488" s="12" t="str">
        <f>IFERROR(__xludf.DUMMYFUNCTION("FILTER(colegios!$B$2:$B5618,colegios!$A$2:$A5618=L4488)"),"50547")</f>
        <v>50547</v>
      </c>
      <c r="F4488" s="14" t="s">
        <v>16</v>
      </c>
      <c r="G4488" s="20" t="s">
        <v>21</v>
      </c>
      <c r="H4488" s="14" t="s">
        <v>24</v>
      </c>
      <c r="I4488" s="22">
        <v>2022.0</v>
      </c>
      <c r="J4488" s="16" t="str">
        <f>IFERROR(__xludf.DUMMYFUNCTION("FILTER('CLASFICACIÓN'!$F$3:$F5618,'CLASFICACIÓN'!$G$3:$G5618=M4488)"),"LOS 3 AÑOS")</f>
        <v>LOS 3 AÑOS</v>
      </c>
      <c r="K4488" s="16"/>
      <c r="L4488" s="14" t="s">
        <v>177</v>
      </c>
      <c r="M4488" s="16" t="str">
        <f t="shared" si="1"/>
        <v>505474 Primaria</v>
      </c>
      <c r="N4488" s="23"/>
      <c r="O4488" s="17"/>
      <c r="P4488" s="17"/>
      <c r="Q4488" s="17"/>
      <c r="R4488" s="17"/>
      <c r="S4488" s="17"/>
      <c r="T4488" s="17"/>
    </row>
    <row r="4489">
      <c r="A4489" s="21">
        <v>617.0</v>
      </c>
      <c r="B4489" s="14" t="s">
        <v>90</v>
      </c>
      <c r="C4489" s="14" t="s">
        <v>14</v>
      </c>
      <c r="D4489" s="20" t="s">
        <v>20</v>
      </c>
      <c r="E4489" s="12" t="str">
        <f>IFERROR(__xludf.DUMMYFUNCTION("FILTER(colegios!$B$2:$B5618,colegios!$A$2:$A5618=L4489)"),"50547")</f>
        <v>50547</v>
      </c>
      <c r="F4489" s="14" t="s">
        <v>16</v>
      </c>
      <c r="G4489" s="20" t="s">
        <v>21</v>
      </c>
      <c r="H4489" s="14" t="s">
        <v>24</v>
      </c>
      <c r="I4489" s="22">
        <v>2022.0</v>
      </c>
      <c r="J4489" s="16" t="str">
        <f>IFERROR(__xludf.DUMMYFUNCTION("FILTER('CLASFICACIÓN'!$F$3:$F5618,'CLASFICACIÓN'!$G$3:$G5618=M4489)"),"LOS 3 AÑOS")</f>
        <v>LOS 3 AÑOS</v>
      </c>
      <c r="K4489" s="16"/>
      <c r="L4489" s="14" t="s">
        <v>177</v>
      </c>
      <c r="M4489" s="16" t="str">
        <f t="shared" si="1"/>
        <v>505474 Primaria</v>
      </c>
      <c r="N4489" s="23"/>
      <c r="O4489" s="17"/>
      <c r="P4489" s="17"/>
      <c r="Q4489" s="17"/>
      <c r="R4489" s="17"/>
      <c r="S4489" s="17"/>
      <c r="T4489" s="17"/>
    </row>
    <row r="4490">
      <c r="A4490" s="21">
        <v>618.0</v>
      </c>
      <c r="B4490" s="14" t="s">
        <v>90</v>
      </c>
      <c r="C4490" s="14" t="s">
        <v>14</v>
      </c>
      <c r="D4490" s="20" t="s">
        <v>20</v>
      </c>
      <c r="E4490" s="12" t="str">
        <f>IFERROR(__xludf.DUMMYFUNCTION("FILTER(colegios!$B$2:$B5618,colegios!$A$2:$A5618=L4490)"),"50547")</f>
        <v>50547</v>
      </c>
      <c r="F4490" s="14" t="s">
        <v>16</v>
      </c>
      <c r="G4490" s="20" t="s">
        <v>21</v>
      </c>
      <c r="H4490" s="14" t="s">
        <v>24</v>
      </c>
      <c r="I4490" s="22">
        <v>2022.0</v>
      </c>
      <c r="J4490" s="16" t="str">
        <f>IFERROR(__xludf.DUMMYFUNCTION("FILTER('CLASFICACIÓN'!$F$3:$F5618,'CLASFICACIÓN'!$G$3:$G5618=M4490)"),"LOS 3 AÑOS")</f>
        <v>LOS 3 AÑOS</v>
      </c>
      <c r="K4490" s="16"/>
      <c r="L4490" s="14" t="s">
        <v>177</v>
      </c>
      <c r="M4490" s="16" t="str">
        <f t="shared" si="1"/>
        <v>505474 Primaria</v>
      </c>
      <c r="N4490" s="23"/>
      <c r="O4490" s="17"/>
      <c r="P4490" s="17"/>
      <c r="Q4490" s="17"/>
      <c r="R4490" s="17"/>
      <c r="S4490" s="17"/>
      <c r="T4490" s="17"/>
    </row>
    <row r="4491">
      <c r="A4491" s="21">
        <v>619.0</v>
      </c>
      <c r="B4491" s="14" t="s">
        <v>90</v>
      </c>
      <c r="C4491" s="14" t="s">
        <v>14</v>
      </c>
      <c r="D4491" s="20" t="s">
        <v>20</v>
      </c>
      <c r="E4491" s="12" t="str">
        <f>IFERROR(__xludf.DUMMYFUNCTION("FILTER(colegios!$B$2:$B5618,colegios!$A$2:$A5618=L4491)"),"50547")</f>
        <v>50547</v>
      </c>
      <c r="F4491" s="14" t="s">
        <v>16</v>
      </c>
      <c r="G4491" s="20" t="s">
        <v>17</v>
      </c>
      <c r="H4491" s="14" t="s">
        <v>24</v>
      </c>
      <c r="I4491" s="22">
        <v>2022.0</v>
      </c>
      <c r="J4491" s="16" t="str">
        <f>IFERROR(__xludf.DUMMYFUNCTION("FILTER('CLASFICACIÓN'!$F$3:$F5618,'CLASFICACIÓN'!$G$3:$G5618=M4491)"),"LOS 3 AÑOS")</f>
        <v>LOS 3 AÑOS</v>
      </c>
      <c r="K4491" s="16"/>
      <c r="L4491" s="14" t="s">
        <v>177</v>
      </c>
      <c r="M4491" s="16" t="str">
        <f t="shared" si="1"/>
        <v>505474 Primaria</v>
      </c>
      <c r="N4491" s="23"/>
      <c r="O4491" s="17"/>
      <c r="P4491" s="17"/>
      <c r="Q4491" s="17"/>
      <c r="R4491" s="17"/>
      <c r="S4491" s="17"/>
      <c r="T4491" s="17"/>
    </row>
    <row r="4492">
      <c r="A4492" s="21">
        <v>620.0</v>
      </c>
      <c r="B4492" s="14" t="s">
        <v>90</v>
      </c>
      <c r="C4492" s="14" t="s">
        <v>14</v>
      </c>
      <c r="D4492" s="20" t="s">
        <v>20</v>
      </c>
      <c r="E4492" s="12" t="str">
        <f>IFERROR(__xludf.DUMMYFUNCTION("FILTER(colegios!$B$2:$B5618,colegios!$A$2:$A5618=L4492)"),"50547")</f>
        <v>50547</v>
      </c>
      <c r="F4492" s="14" t="s">
        <v>16</v>
      </c>
      <c r="G4492" s="20" t="s">
        <v>21</v>
      </c>
      <c r="H4492" s="14" t="s">
        <v>24</v>
      </c>
      <c r="I4492" s="22">
        <v>2022.0</v>
      </c>
      <c r="J4492" s="16" t="str">
        <f>IFERROR(__xludf.DUMMYFUNCTION("FILTER('CLASFICACIÓN'!$F$3:$F5618,'CLASFICACIÓN'!$G$3:$G5618=M4492)"),"LOS 3 AÑOS")</f>
        <v>LOS 3 AÑOS</v>
      </c>
      <c r="K4492" s="16"/>
      <c r="L4492" s="14" t="s">
        <v>177</v>
      </c>
      <c r="M4492" s="16" t="str">
        <f t="shared" si="1"/>
        <v>505474 Primaria</v>
      </c>
      <c r="N4492" s="23"/>
      <c r="O4492" s="17"/>
      <c r="P4492" s="17"/>
      <c r="Q4492" s="17"/>
      <c r="R4492" s="17"/>
      <c r="S4492" s="17"/>
      <c r="T4492" s="17"/>
    </row>
    <row r="4493">
      <c r="A4493" s="21">
        <v>621.0</v>
      </c>
      <c r="B4493" s="14" t="s">
        <v>90</v>
      </c>
      <c r="C4493" s="14" t="s">
        <v>14</v>
      </c>
      <c r="D4493" s="20" t="s">
        <v>20</v>
      </c>
      <c r="E4493" s="12" t="str">
        <f>IFERROR(__xludf.DUMMYFUNCTION("FILTER(colegios!$B$2:$B5618,colegios!$A$2:$A5618=L4493)"),"50547")</f>
        <v>50547</v>
      </c>
      <c r="F4493" s="14" t="s">
        <v>16</v>
      </c>
      <c r="G4493" s="20" t="s">
        <v>21</v>
      </c>
      <c r="H4493" s="14" t="s">
        <v>24</v>
      </c>
      <c r="I4493" s="22">
        <v>2022.0</v>
      </c>
      <c r="J4493" s="16" t="str">
        <f>IFERROR(__xludf.DUMMYFUNCTION("FILTER('CLASFICACIÓN'!$F$3:$F5618,'CLASFICACIÓN'!$G$3:$G5618=M4493)"),"LOS 3 AÑOS")</f>
        <v>LOS 3 AÑOS</v>
      </c>
      <c r="K4493" s="16"/>
      <c r="L4493" s="14" t="s">
        <v>177</v>
      </c>
      <c r="M4493" s="16" t="str">
        <f t="shared" si="1"/>
        <v>505474 Primaria</v>
      </c>
      <c r="N4493" s="23"/>
      <c r="O4493" s="17"/>
      <c r="P4493" s="17"/>
      <c r="Q4493" s="17"/>
      <c r="R4493" s="17"/>
      <c r="S4493" s="17"/>
      <c r="T4493" s="17"/>
    </row>
    <row r="4494">
      <c r="A4494" s="21">
        <v>622.0</v>
      </c>
      <c r="B4494" s="14" t="s">
        <v>90</v>
      </c>
      <c r="C4494" s="14" t="s">
        <v>14</v>
      </c>
      <c r="D4494" s="20" t="s">
        <v>20</v>
      </c>
      <c r="E4494" s="12" t="str">
        <f>IFERROR(__xludf.DUMMYFUNCTION("FILTER(colegios!$B$2:$B5618,colegios!$A$2:$A5618=L4494)"),"50547")</f>
        <v>50547</v>
      </c>
      <c r="F4494" s="14" t="s">
        <v>16</v>
      </c>
      <c r="G4494" s="20" t="s">
        <v>21</v>
      </c>
      <c r="H4494" s="14" t="s">
        <v>24</v>
      </c>
      <c r="I4494" s="22">
        <v>2022.0</v>
      </c>
      <c r="J4494" s="16" t="str">
        <f>IFERROR(__xludf.DUMMYFUNCTION("FILTER('CLASFICACIÓN'!$F$3:$F5618,'CLASFICACIÓN'!$G$3:$G5618=M4494)"),"LOS 3 AÑOS")</f>
        <v>LOS 3 AÑOS</v>
      </c>
      <c r="K4494" s="16"/>
      <c r="L4494" s="14" t="s">
        <v>177</v>
      </c>
      <c r="M4494" s="16" t="str">
        <f t="shared" si="1"/>
        <v>505474 Primaria</v>
      </c>
      <c r="N4494" s="23"/>
      <c r="O4494" s="17"/>
      <c r="P4494" s="17"/>
      <c r="Q4494" s="17"/>
      <c r="R4494" s="17"/>
      <c r="S4494" s="17"/>
      <c r="T4494" s="17"/>
    </row>
    <row r="4495">
      <c r="A4495" s="21">
        <v>623.0</v>
      </c>
      <c r="B4495" s="14" t="s">
        <v>90</v>
      </c>
      <c r="C4495" s="14" t="s">
        <v>14</v>
      </c>
      <c r="D4495" s="20" t="s">
        <v>20</v>
      </c>
      <c r="E4495" s="12" t="str">
        <f>IFERROR(__xludf.DUMMYFUNCTION("FILTER(colegios!$B$2:$B5618,colegios!$A$2:$A5618=L4495)"),"50547")</f>
        <v>50547</v>
      </c>
      <c r="F4495" s="14" t="s">
        <v>16</v>
      </c>
      <c r="G4495" s="20" t="s">
        <v>17</v>
      </c>
      <c r="H4495" s="14" t="s">
        <v>24</v>
      </c>
      <c r="I4495" s="22">
        <v>2022.0</v>
      </c>
      <c r="J4495" s="16" t="str">
        <f>IFERROR(__xludf.DUMMYFUNCTION("FILTER('CLASFICACIÓN'!$F$3:$F5618,'CLASFICACIÓN'!$G$3:$G5618=M4495)"),"LOS 3 AÑOS")</f>
        <v>LOS 3 AÑOS</v>
      </c>
      <c r="K4495" s="16"/>
      <c r="L4495" s="14" t="s">
        <v>177</v>
      </c>
      <c r="M4495" s="16" t="str">
        <f t="shared" si="1"/>
        <v>505474 Primaria</v>
      </c>
      <c r="N4495" s="23"/>
      <c r="O4495" s="17"/>
      <c r="P4495" s="17"/>
      <c r="Q4495" s="17"/>
      <c r="R4495" s="17"/>
      <c r="S4495" s="17"/>
      <c r="T4495" s="17"/>
    </row>
    <row r="4496">
      <c r="A4496" s="21">
        <v>624.0</v>
      </c>
      <c r="B4496" s="14" t="s">
        <v>90</v>
      </c>
      <c r="C4496" s="14" t="s">
        <v>14</v>
      </c>
      <c r="D4496" s="20" t="s">
        <v>20</v>
      </c>
      <c r="E4496" s="12" t="str">
        <f>IFERROR(__xludf.DUMMYFUNCTION("FILTER(colegios!$B$2:$B5618,colegios!$A$2:$A5618=L4496)"),"50977")</f>
        <v>50977</v>
      </c>
      <c r="F4496" s="14" t="s">
        <v>16</v>
      </c>
      <c r="G4496" s="20" t="s">
        <v>21</v>
      </c>
      <c r="H4496" s="14" t="s">
        <v>18</v>
      </c>
      <c r="I4496" s="22">
        <v>2022.0</v>
      </c>
      <c r="J4496" s="16" t="str">
        <f>IFERROR(__xludf.DUMMYFUNCTION("FILTER('CLASFICACIÓN'!$F$3:$F5618,'CLASFICACIÓN'!$G$3:$G5618=M4496)"),"LOS 3 AÑOS")</f>
        <v>LOS 3 AÑOS</v>
      </c>
      <c r="K4496" s="16"/>
      <c r="L4496" s="14" t="s">
        <v>178</v>
      </c>
      <c r="M4496" s="16" t="str">
        <f t="shared" si="1"/>
        <v>509774 Primaria</v>
      </c>
      <c r="N4496" s="23"/>
      <c r="O4496" s="17"/>
      <c r="P4496" s="17"/>
      <c r="Q4496" s="17"/>
      <c r="R4496" s="17"/>
      <c r="S4496" s="17"/>
      <c r="T4496" s="17"/>
    </row>
    <row r="4497">
      <c r="A4497" s="21">
        <v>625.0</v>
      </c>
      <c r="B4497" s="14" t="s">
        <v>90</v>
      </c>
      <c r="C4497" s="14" t="s">
        <v>14</v>
      </c>
      <c r="D4497" s="20" t="s">
        <v>20</v>
      </c>
      <c r="E4497" s="12" t="str">
        <f>IFERROR(__xludf.DUMMYFUNCTION("FILTER(colegios!$B$2:$B5618,colegios!$A$2:$A5618=L4497)"),"501344")</f>
        <v>501344</v>
      </c>
      <c r="F4497" s="14" t="s">
        <v>16</v>
      </c>
      <c r="G4497" s="20" t="s">
        <v>21</v>
      </c>
      <c r="H4497" s="14" t="s">
        <v>24</v>
      </c>
      <c r="I4497" s="22">
        <v>2022.0</v>
      </c>
      <c r="J4497" s="16" t="str">
        <f>IFERROR(__xludf.DUMMYFUNCTION("FILTER('CLASFICACIÓN'!$F$3:$F5618,'CLASFICACIÓN'!$G$3:$G5618=M4497)"),"SOLO 2022 Y 2024")</f>
        <v>SOLO 2022 Y 2024</v>
      </c>
      <c r="K4497" s="16"/>
      <c r="L4497" s="14" t="s">
        <v>179</v>
      </c>
      <c r="M4497" s="16" t="str">
        <f t="shared" si="1"/>
        <v>5013444 Primaria</v>
      </c>
      <c r="N4497" s="23"/>
      <c r="O4497" s="17"/>
      <c r="P4497" s="17"/>
      <c r="Q4497" s="17"/>
      <c r="R4497" s="17"/>
      <c r="S4497" s="17"/>
      <c r="T4497" s="17"/>
    </row>
    <row r="4498">
      <c r="A4498" s="21">
        <v>626.0</v>
      </c>
      <c r="B4498" s="14" t="s">
        <v>90</v>
      </c>
      <c r="C4498" s="14" t="s">
        <v>14</v>
      </c>
      <c r="D4498" s="20" t="s">
        <v>20</v>
      </c>
      <c r="E4498" s="12" t="str">
        <f>IFERROR(__xludf.DUMMYFUNCTION("FILTER(colegios!$B$2:$B5618,colegios!$A$2:$A5618=L4498)"),"50495")</f>
        <v>50495</v>
      </c>
      <c r="F4498" s="14" t="s">
        <v>16</v>
      </c>
      <c r="G4498" s="20" t="s">
        <v>21</v>
      </c>
      <c r="H4498" s="14" t="s">
        <v>18</v>
      </c>
      <c r="I4498" s="22">
        <v>2022.0</v>
      </c>
      <c r="J4498" s="16" t="str">
        <f>IFERROR(__xludf.DUMMYFUNCTION("FILTER('CLASFICACIÓN'!$F$3:$F5618,'CLASFICACIÓN'!$G$3:$G5618=M4498)"),"LOS 3 AÑOS")</f>
        <v>LOS 3 AÑOS</v>
      </c>
      <c r="K4498" s="16"/>
      <c r="L4498" s="14" t="s">
        <v>180</v>
      </c>
      <c r="M4498" s="16" t="str">
        <f t="shared" si="1"/>
        <v>504954 Primaria</v>
      </c>
      <c r="N4498" s="23"/>
      <c r="O4498" s="17"/>
      <c r="P4498" s="17"/>
      <c r="Q4498" s="17"/>
      <c r="R4498" s="17"/>
      <c r="S4498" s="17"/>
      <c r="T4498" s="17"/>
    </row>
    <row r="4499">
      <c r="A4499" s="21">
        <v>627.0</v>
      </c>
      <c r="B4499" s="14" t="s">
        <v>90</v>
      </c>
      <c r="C4499" s="14" t="s">
        <v>14</v>
      </c>
      <c r="D4499" s="20" t="s">
        <v>20</v>
      </c>
      <c r="E4499" s="12" t="str">
        <f>IFERROR(__xludf.DUMMYFUNCTION("FILTER(colegios!$B$2:$B5618,colegios!$A$2:$A5618=L4499)"),"50536")</f>
        <v>50536</v>
      </c>
      <c r="F4499" s="14" t="s">
        <v>16</v>
      </c>
      <c r="G4499" s="20" t="s">
        <v>21</v>
      </c>
      <c r="H4499" s="14" t="s">
        <v>18</v>
      </c>
      <c r="I4499" s="22">
        <v>2022.0</v>
      </c>
      <c r="J4499" s="16" t="str">
        <f>IFERROR(__xludf.DUMMYFUNCTION("FILTER('CLASFICACIÓN'!$F$3:$F5618,'CLASFICACIÓN'!$G$3:$G5618=M4499)"),"SOLO LINEA BASE")</f>
        <v>SOLO LINEA BASE</v>
      </c>
      <c r="K4499" s="16"/>
      <c r="L4499" s="14" t="s">
        <v>181</v>
      </c>
      <c r="M4499" s="16" t="str">
        <f t="shared" si="1"/>
        <v>505364 Primaria</v>
      </c>
      <c r="N4499" s="23"/>
      <c r="O4499" s="17"/>
      <c r="P4499" s="17"/>
      <c r="Q4499" s="17"/>
      <c r="R4499" s="17"/>
      <c r="S4499" s="17"/>
      <c r="T4499" s="17"/>
    </row>
    <row r="4500">
      <c r="A4500" s="21">
        <v>628.0</v>
      </c>
      <c r="B4500" s="14" t="s">
        <v>90</v>
      </c>
      <c r="C4500" s="14" t="s">
        <v>14</v>
      </c>
      <c r="D4500" s="20" t="s">
        <v>20</v>
      </c>
      <c r="E4500" s="12" t="str">
        <f>IFERROR(__xludf.DUMMYFUNCTION("FILTER(colegios!$B$2:$B5618,colegios!$A$2:$A5618=L4500)"),"50912")</f>
        <v>50912</v>
      </c>
      <c r="F4500" s="14" t="s">
        <v>16</v>
      </c>
      <c r="G4500" s="20" t="s">
        <v>17</v>
      </c>
      <c r="H4500" s="14" t="s">
        <v>18</v>
      </c>
      <c r="I4500" s="22">
        <v>2022.0</v>
      </c>
      <c r="J4500" s="16" t="str">
        <f>IFERROR(__xludf.DUMMYFUNCTION("FILTER('CLASFICACIÓN'!$F$3:$F5618,'CLASFICACIÓN'!$G$3:$G5618=M4500)"),"SOLO LINEA BASE")</f>
        <v>SOLO LINEA BASE</v>
      </c>
      <c r="K4500" s="16"/>
      <c r="L4500" s="14" t="s">
        <v>182</v>
      </c>
      <c r="M4500" s="16" t="str">
        <f t="shared" si="1"/>
        <v>509124 Primaria</v>
      </c>
      <c r="N4500" s="23"/>
      <c r="O4500" s="17"/>
      <c r="P4500" s="17"/>
      <c r="Q4500" s="17"/>
      <c r="R4500" s="17"/>
      <c r="S4500" s="17"/>
      <c r="T4500" s="17"/>
    </row>
    <row r="4501">
      <c r="A4501" s="21">
        <v>629.0</v>
      </c>
      <c r="B4501" s="14" t="s">
        <v>90</v>
      </c>
      <c r="C4501" s="14" t="s">
        <v>14</v>
      </c>
      <c r="D4501" s="20" t="s">
        <v>20</v>
      </c>
      <c r="E4501" s="12" t="str">
        <f>IFERROR(__xludf.DUMMYFUNCTION("FILTER(colegios!$B$2:$B5618,colegios!$A$2:$A5618=L4501)"),"50552 TUPAC AMARU II")</f>
        <v>50552 TUPAC AMARU II</v>
      </c>
      <c r="F4501" s="14" t="s">
        <v>16</v>
      </c>
      <c r="G4501" s="20" t="s">
        <v>21</v>
      </c>
      <c r="H4501" s="14" t="s">
        <v>18</v>
      </c>
      <c r="I4501" s="22">
        <v>2022.0</v>
      </c>
      <c r="J4501" s="16" t="str">
        <f>IFERROR(__xludf.DUMMYFUNCTION("FILTER('CLASFICACIÓN'!$F$3:$F5618,'CLASFICACIÓN'!$G$3:$G5618=M4501)"),"SOLO 2022 Y 2024")</f>
        <v>SOLO 2022 Y 2024</v>
      </c>
      <c r="K4501" s="16"/>
      <c r="L4501" s="14" t="s">
        <v>183</v>
      </c>
      <c r="M4501" s="16" t="str">
        <f t="shared" si="1"/>
        <v>50552 TUPAC AMARU II4 Primaria</v>
      </c>
      <c r="N4501" s="23"/>
      <c r="O4501" s="17"/>
      <c r="P4501" s="17"/>
      <c r="Q4501" s="17"/>
      <c r="R4501" s="17"/>
      <c r="S4501" s="17"/>
      <c r="T4501" s="17"/>
    </row>
    <row r="4502">
      <c r="A4502" s="21">
        <v>630.0</v>
      </c>
      <c r="B4502" s="14" t="s">
        <v>90</v>
      </c>
      <c r="C4502" s="14" t="s">
        <v>14</v>
      </c>
      <c r="D4502" s="20" t="s">
        <v>20</v>
      </c>
      <c r="E4502" s="12" t="str">
        <f>IFERROR(__xludf.DUMMYFUNCTION("FILTER(colegios!$B$2:$B5618,colegios!$A$2:$A5618=L4502)"),"50552 TUPAC AMARU II")</f>
        <v>50552 TUPAC AMARU II</v>
      </c>
      <c r="F4502" s="14" t="s">
        <v>16</v>
      </c>
      <c r="G4502" s="20" t="s">
        <v>21</v>
      </c>
      <c r="H4502" s="14" t="s">
        <v>18</v>
      </c>
      <c r="I4502" s="22">
        <v>2022.0</v>
      </c>
      <c r="J4502" s="16" t="str">
        <f>IFERROR(__xludf.DUMMYFUNCTION("FILTER('CLASFICACIÓN'!$F$3:$F5618,'CLASFICACIÓN'!$G$3:$G5618=M4502)"),"SOLO 2022 Y 2024")</f>
        <v>SOLO 2022 Y 2024</v>
      </c>
      <c r="K4502" s="16"/>
      <c r="L4502" s="14" t="s">
        <v>183</v>
      </c>
      <c r="M4502" s="16" t="str">
        <f t="shared" si="1"/>
        <v>50552 TUPAC AMARU II4 Primaria</v>
      </c>
      <c r="N4502" s="23"/>
      <c r="O4502" s="17"/>
      <c r="P4502" s="17"/>
      <c r="Q4502" s="17"/>
      <c r="R4502" s="17"/>
      <c r="S4502" s="17"/>
      <c r="T4502" s="17"/>
    </row>
    <row r="4503">
      <c r="A4503" s="21">
        <v>631.0</v>
      </c>
      <c r="B4503" s="14" t="s">
        <v>90</v>
      </c>
      <c r="C4503" s="14" t="s">
        <v>14</v>
      </c>
      <c r="D4503" s="20" t="s">
        <v>20</v>
      </c>
      <c r="E4503" s="12" t="str">
        <f>IFERROR(__xludf.DUMMYFUNCTION("FILTER(colegios!$B$2:$B5618,colegios!$A$2:$A5618=L4503)"),"50552 TUPAC AMARU II")</f>
        <v>50552 TUPAC AMARU II</v>
      </c>
      <c r="F4503" s="14" t="s">
        <v>16</v>
      </c>
      <c r="G4503" s="20" t="s">
        <v>21</v>
      </c>
      <c r="H4503" s="14" t="s">
        <v>18</v>
      </c>
      <c r="I4503" s="22">
        <v>2022.0</v>
      </c>
      <c r="J4503" s="16" t="str">
        <f>IFERROR(__xludf.DUMMYFUNCTION("FILTER('CLASFICACIÓN'!$F$3:$F5618,'CLASFICACIÓN'!$G$3:$G5618=M4503)"),"SOLO 2022 Y 2024")</f>
        <v>SOLO 2022 Y 2024</v>
      </c>
      <c r="K4503" s="16"/>
      <c r="L4503" s="14" t="s">
        <v>183</v>
      </c>
      <c r="M4503" s="16" t="str">
        <f t="shared" si="1"/>
        <v>50552 TUPAC AMARU II4 Primaria</v>
      </c>
      <c r="N4503" s="23"/>
      <c r="O4503" s="17"/>
      <c r="P4503" s="17"/>
      <c r="Q4503" s="17"/>
      <c r="R4503" s="17"/>
      <c r="S4503" s="17"/>
      <c r="T4503" s="17"/>
    </row>
    <row r="4504">
      <c r="A4504" s="21">
        <v>632.0</v>
      </c>
      <c r="B4504" s="14" t="s">
        <v>90</v>
      </c>
      <c r="C4504" s="14" t="s">
        <v>14</v>
      </c>
      <c r="D4504" s="20" t="s">
        <v>20</v>
      </c>
      <c r="E4504" s="12" t="str">
        <f>IFERROR(__xludf.DUMMYFUNCTION("FILTER(colegios!$B$2:$B5618,colegios!$A$2:$A5618=L4504)"),"50552 TUPAC AMARU II")</f>
        <v>50552 TUPAC AMARU II</v>
      </c>
      <c r="F4504" s="14" t="s">
        <v>16</v>
      </c>
      <c r="G4504" s="20" t="s">
        <v>17</v>
      </c>
      <c r="H4504" s="14" t="s">
        <v>18</v>
      </c>
      <c r="I4504" s="22">
        <v>2022.0</v>
      </c>
      <c r="J4504" s="16" t="str">
        <f>IFERROR(__xludf.DUMMYFUNCTION("FILTER('CLASFICACIÓN'!$F$3:$F5618,'CLASFICACIÓN'!$G$3:$G5618=M4504)"),"SOLO 2022 Y 2024")</f>
        <v>SOLO 2022 Y 2024</v>
      </c>
      <c r="K4504" s="16"/>
      <c r="L4504" s="14" t="s">
        <v>183</v>
      </c>
      <c r="M4504" s="16" t="str">
        <f t="shared" si="1"/>
        <v>50552 TUPAC AMARU II4 Primaria</v>
      </c>
      <c r="N4504" s="23"/>
      <c r="O4504" s="17"/>
      <c r="P4504" s="17"/>
      <c r="Q4504" s="17"/>
      <c r="R4504" s="17"/>
      <c r="S4504" s="17"/>
      <c r="T4504" s="17"/>
    </row>
    <row r="4505">
      <c r="A4505" s="21">
        <v>633.0</v>
      </c>
      <c r="B4505" s="14" t="s">
        <v>90</v>
      </c>
      <c r="C4505" s="14" t="s">
        <v>14</v>
      </c>
      <c r="D4505" s="20" t="s">
        <v>20</v>
      </c>
      <c r="E4505" s="12" t="str">
        <f>IFERROR(__xludf.DUMMYFUNCTION("FILTER(colegios!$B$2:$B5618,colegios!$A$2:$A5618=L4505)"),"50552 TUPAC AMARU II")</f>
        <v>50552 TUPAC AMARU II</v>
      </c>
      <c r="F4505" s="14" t="s">
        <v>16</v>
      </c>
      <c r="G4505" s="20" t="s">
        <v>17</v>
      </c>
      <c r="H4505" s="14" t="s">
        <v>18</v>
      </c>
      <c r="I4505" s="22">
        <v>2022.0</v>
      </c>
      <c r="J4505" s="16" t="str">
        <f>IFERROR(__xludf.DUMMYFUNCTION("FILTER('CLASFICACIÓN'!$F$3:$F5618,'CLASFICACIÓN'!$G$3:$G5618=M4505)"),"SOLO 2022 Y 2024")</f>
        <v>SOLO 2022 Y 2024</v>
      </c>
      <c r="K4505" s="16"/>
      <c r="L4505" s="14" t="s">
        <v>183</v>
      </c>
      <c r="M4505" s="16" t="str">
        <f t="shared" si="1"/>
        <v>50552 TUPAC AMARU II4 Primaria</v>
      </c>
      <c r="N4505" s="23"/>
      <c r="O4505" s="17"/>
      <c r="P4505" s="17"/>
      <c r="Q4505" s="17"/>
      <c r="R4505" s="17"/>
      <c r="S4505" s="17"/>
      <c r="T4505" s="17"/>
    </row>
    <row r="4506">
      <c r="A4506" s="21">
        <v>634.0</v>
      </c>
      <c r="B4506" s="14" t="s">
        <v>90</v>
      </c>
      <c r="C4506" s="14" t="s">
        <v>14</v>
      </c>
      <c r="D4506" s="20" t="s">
        <v>20</v>
      </c>
      <c r="E4506" s="12" t="str">
        <f>IFERROR(__xludf.DUMMYFUNCTION("FILTER(colegios!$B$2:$B5618,colegios!$A$2:$A5618=L4506)"),"50552 TUPAC AMARU II")</f>
        <v>50552 TUPAC AMARU II</v>
      </c>
      <c r="F4506" s="14" t="s">
        <v>16</v>
      </c>
      <c r="G4506" s="20" t="s">
        <v>21</v>
      </c>
      <c r="H4506" s="14" t="s">
        <v>18</v>
      </c>
      <c r="I4506" s="22">
        <v>2022.0</v>
      </c>
      <c r="J4506" s="16" t="str">
        <f>IFERROR(__xludf.DUMMYFUNCTION("FILTER('CLASFICACIÓN'!$F$3:$F5618,'CLASFICACIÓN'!$G$3:$G5618=M4506)"),"SOLO 2022 Y 2024")</f>
        <v>SOLO 2022 Y 2024</v>
      </c>
      <c r="K4506" s="16"/>
      <c r="L4506" s="14" t="s">
        <v>183</v>
      </c>
      <c r="M4506" s="16" t="str">
        <f t="shared" si="1"/>
        <v>50552 TUPAC AMARU II4 Primaria</v>
      </c>
      <c r="N4506" s="23"/>
      <c r="O4506" s="17"/>
      <c r="P4506" s="17"/>
      <c r="Q4506" s="17"/>
      <c r="R4506" s="17"/>
      <c r="S4506" s="17"/>
      <c r="T4506" s="17"/>
    </row>
    <row r="4507">
      <c r="A4507" s="21">
        <v>635.0</v>
      </c>
      <c r="B4507" s="14" t="s">
        <v>90</v>
      </c>
      <c r="C4507" s="14" t="s">
        <v>14</v>
      </c>
      <c r="D4507" s="20" t="s">
        <v>20</v>
      </c>
      <c r="E4507" s="12" t="str">
        <f>IFERROR(__xludf.DUMMYFUNCTION("FILTER(colegios!$B$2:$B5618,colegios!$A$2:$A5618=L4507)"),"50552 TUPAC AMARU II")</f>
        <v>50552 TUPAC AMARU II</v>
      </c>
      <c r="F4507" s="14" t="s">
        <v>16</v>
      </c>
      <c r="G4507" s="20" t="s">
        <v>17</v>
      </c>
      <c r="H4507" s="14" t="s">
        <v>18</v>
      </c>
      <c r="I4507" s="22">
        <v>2022.0</v>
      </c>
      <c r="J4507" s="16" t="str">
        <f>IFERROR(__xludf.DUMMYFUNCTION("FILTER('CLASFICACIÓN'!$F$3:$F5618,'CLASFICACIÓN'!$G$3:$G5618=M4507)"),"SOLO 2022 Y 2024")</f>
        <v>SOLO 2022 Y 2024</v>
      </c>
      <c r="K4507" s="16"/>
      <c r="L4507" s="14" t="s">
        <v>183</v>
      </c>
      <c r="M4507" s="16" t="str">
        <f t="shared" si="1"/>
        <v>50552 TUPAC AMARU II4 Primaria</v>
      </c>
      <c r="N4507" s="23"/>
      <c r="O4507" s="17"/>
      <c r="P4507" s="17"/>
      <c r="Q4507" s="17"/>
      <c r="R4507" s="17"/>
      <c r="S4507" s="17"/>
      <c r="T4507" s="17"/>
    </row>
    <row r="4508">
      <c r="A4508" s="21">
        <v>636.0</v>
      </c>
      <c r="B4508" s="14" t="s">
        <v>90</v>
      </c>
      <c r="C4508" s="14" t="s">
        <v>14</v>
      </c>
      <c r="D4508" s="20" t="s">
        <v>20</v>
      </c>
      <c r="E4508" s="12" t="str">
        <f>IFERROR(__xludf.DUMMYFUNCTION("FILTER(colegios!$B$2:$B5618,colegios!$A$2:$A5618=L4508)"),"50552 TUPAC AMARU II")</f>
        <v>50552 TUPAC AMARU II</v>
      </c>
      <c r="F4508" s="14" t="s">
        <v>16</v>
      </c>
      <c r="G4508" s="20" t="s">
        <v>17</v>
      </c>
      <c r="H4508" s="14" t="s">
        <v>18</v>
      </c>
      <c r="I4508" s="22">
        <v>2022.0</v>
      </c>
      <c r="J4508" s="16" t="str">
        <f>IFERROR(__xludf.DUMMYFUNCTION("FILTER('CLASFICACIÓN'!$F$3:$F5618,'CLASFICACIÓN'!$G$3:$G5618=M4508)"),"SOLO 2022 Y 2024")</f>
        <v>SOLO 2022 Y 2024</v>
      </c>
      <c r="K4508" s="16"/>
      <c r="L4508" s="14" t="s">
        <v>183</v>
      </c>
      <c r="M4508" s="16" t="str">
        <f t="shared" si="1"/>
        <v>50552 TUPAC AMARU II4 Primaria</v>
      </c>
      <c r="N4508" s="23"/>
      <c r="O4508" s="17"/>
      <c r="P4508" s="17"/>
      <c r="Q4508" s="17"/>
      <c r="R4508" s="17"/>
      <c r="S4508" s="17"/>
      <c r="T4508" s="17"/>
    </row>
    <row r="4509">
      <c r="A4509" s="21">
        <v>637.0</v>
      </c>
      <c r="B4509" s="14" t="s">
        <v>90</v>
      </c>
      <c r="C4509" s="14" t="s">
        <v>14</v>
      </c>
      <c r="D4509" s="20" t="s">
        <v>20</v>
      </c>
      <c r="E4509" s="12" t="str">
        <f>IFERROR(__xludf.DUMMYFUNCTION("FILTER(colegios!$B$2:$B5618,colegios!$A$2:$A5618=L4509)"),"50552 TUPAC AMARU II")</f>
        <v>50552 TUPAC AMARU II</v>
      </c>
      <c r="F4509" s="14" t="s">
        <v>16</v>
      </c>
      <c r="G4509" s="20" t="s">
        <v>21</v>
      </c>
      <c r="H4509" s="14" t="s">
        <v>18</v>
      </c>
      <c r="I4509" s="22">
        <v>2022.0</v>
      </c>
      <c r="J4509" s="16" t="str">
        <f>IFERROR(__xludf.DUMMYFUNCTION("FILTER('CLASFICACIÓN'!$F$3:$F5618,'CLASFICACIÓN'!$G$3:$G5618=M4509)"),"SOLO 2022 Y 2024")</f>
        <v>SOLO 2022 Y 2024</v>
      </c>
      <c r="K4509" s="16"/>
      <c r="L4509" s="14" t="s">
        <v>183</v>
      </c>
      <c r="M4509" s="16" t="str">
        <f t="shared" si="1"/>
        <v>50552 TUPAC AMARU II4 Primaria</v>
      </c>
      <c r="N4509" s="23"/>
      <c r="O4509" s="17"/>
      <c r="P4509" s="17"/>
      <c r="Q4509" s="17"/>
      <c r="R4509" s="17"/>
      <c r="S4509" s="17"/>
      <c r="T4509" s="17"/>
    </row>
    <row r="4510">
      <c r="A4510" s="21">
        <v>638.0</v>
      </c>
      <c r="B4510" s="14" t="s">
        <v>90</v>
      </c>
      <c r="C4510" s="14" t="s">
        <v>14</v>
      </c>
      <c r="D4510" s="20" t="s">
        <v>20</v>
      </c>
      <c r="E4510" s="12" t="str">
        <f>IFERROR(__xludf.DUMMYFUNCTION("FILTER(colegios!$B$2:$B5618,colegios!$A$2:$A5618=L4510)"),"50552 TUPAC AMARU II")</f>
        <v>50552 TUPAC AMARU II</v>
      </c>
      <c r="F4510" s="14" t="s">
        <v>16</v>
      </c>
      <c r="G4510" s="20" t="s">
        <v>17</v>
      </c>
      <c r="H4510" s="14" t="s">
        <v>18</v>
      </c>
      <c r="I4510" s="22">
        <v>2022.0</v>
      </c>
      <c r="J4510" s="16" t="str">
        <f>IFERROR(__xludf.DUMMYFUNCTION("FILTER('CLASFICACIÓN'!$F$3:$F5618,'CLASFICACIÓN'!$G$3:$G5618=M4510)"),"SOLO 2022 Y 2024")</f>
        <v>SOLO 2022 Y 2024</v>
      </c>
      <c r="K4510" s="16"/>
      <c r="L4510" s="14" t="s">
        <v>183</v>
      </c>
      <c r="M4510" s="16" t="str">
        <f t="shared" si="1"/>
        <v>50552 TUPAC AMARU II4 Primaria</v>
      </c>
      <c r="N4510" s="23"/>
      <c r="O4510" s="17"/>
      <c r="P4510" s="17"/>
      <c r="Q4510" s="17"/>
      <c r="R4510" s="17"/>
      <c r="S4510" s="17"/>
      <c r="T4510" s="17"/>
    </row>
    <row r="4511">
      <c r="A4511" s="21">
        <v>639.0</v>
      </c>
      <c r="B4511" s="14" t="s">
        <v>90</v>
      </c>
      <c r="C4511" s="14" t="s">
        <v>14</v>
      </c>
      <c r="D4511" s="20" t="s">
        <v>20</v>
      </c>
      <c r="E4511" s="12" t="str">
        <f>IFERROR(__xludf.DUMMYFUNCTION("FILTER(colegios!$B$2:$B5618,colegios!$A$2:$A5618=L4511)"),"50552 TUPAC AMARU II")</f>
        <v>50552 TUPAC AMARU II</v>
      </c>
      <c r="F4511" s="14" t="s">
        <v>16</v>
      </c>
      <c r="G4511" s="20" t="s">
        <v>17</v>
      </c>
      <c r="H4511" s="14" t="s">
        <v>18</v>
      </c>
      <c r="I4511" s="22">
        <v>2022.0</v>
      </c>
      <c r="J4511" s="16" t="str">
        <f>IFERROR(__xludf.DUMMYFUNCTION("FILTER('CLASFICACIÓN'!$F$3:$F5618,'CLASFICACIÓN'!$G$3:$G5618=M4511)"),"SOLO 2022 Y 2024")</f>
        <v>SOLO 2022 Y 2024</v>
      </c>
      <c r="K4511" s="16"/>
      <c r="L4511" s="14" t="s">
        <v>183</v>
      </c>
      <c r="M4511" s="16" t="str">
        <f t="shared" si="1"/>
        <v>50552 TUPAC AMARU II4 Primaria</v>
      </c>
      <c r="N4511" s="23"/>
      <c r="O4511" s="17"/>
      <c r="P4511" s="17"/>
      <c r="Q4511" s="17"/>
      <c r="R4511" s="17"/>
      <c r="S4511" s="17"/>
      <c r="T4511" s="17"/>
    </row>
    <row r="4512">
      <c r="A4512" s="21">
        <v>640.0</v>
      </c>
      <c r="B4512" s="14" t="s">
        <v>90</v>
      </c>
      <c r="C4512" s="14" t="s">
        <v>14</v>
      </c>
      <c r="D4512" s="20" t="s">
        <v>20</v>
      </c>
      <c r="E4512" s="12" t="str">
        <f>IFERROR(__xludf.DUMMYFUNCTION("FILTER(colegios!$B$2:$B5618,colegios!$A$2:$A5618=L4512)"),"50552 TUPAC AMARU II")</f>
        <v>50552 TUPAC AMARU II</v>
      </c>
      <c r="F4512" s="14" t="s">
        <v>16</v>
      </c>
      <c r="G4512" s="20" t="s">
        <v>17</v>
      </c>
      <c r="H4512" s="14" t="s">
        <v>18</v>
      </c>
      <c r="I4512" s="22">
        <v>2022.0</v>
      </c>
      <c r="J4512" s="16" t="str">
        <f>IFERROR(__xludf.DUMMYFUNCTION("FILTER('CLASFICACIÓN'!$F$3:$F5618,'CLASFICACIÓN'!$G$3:$G5618=M4512)"),"SOLO 2022 Y 2024")</f>
        <v>SOLO 2022 Y 2024</v>
      </c>
      <c r="K4512" s="16"/>
      <c r="L4512" s="14" t="s">
        <v>183</v>
      </c>
      <c r="M4512" s="16" t="str">
        <f t="shared" si="1"/>
        <v>50552 TUPAC AMARU II4 Primaria</v>
      </c>
      <c r="N4512" s="23"/>
      <c r="O4512" s="17"/>
      <c r="P4512" s="17"/>
      <c r="Q4512" s="17"/>
      <c r="R4512" s="17"/>
      <c r="S4512" s="17"/>
      <c r="T4512" s="17"/>
    </row>
    <row r="4513">
      <c r="A4513" s="21">
        <v>641.0</v>
      </c>
      <c r="B4513" s="14" t="s">
        <v>90</v>
      </c>
      <c r="C4513" s="14" t="s">
        <v>14</v>
      </c>
      <c r="D4513" s="20" t="s">
        <v>20</v>
      </c>
      <c r="E4513" s="12" t="str">
        <f>IFERROR(__xludf.DUMMYFUNCTION("FILTER(colegios!$B$2:$B5618,colegios!$A$2:$A5618=L4513)"),"50552 TUPAC AMARU II")</f>
        <v>50552 TUPAC AMARU II</v>
      </c>
      <c r="F4513" s="14" t="s">
        <v>16</v>
      </c>
      <c r="G4513" s="20" t="s">
        <v>21</v>
      </c>
      <c r="H4513" s="14" t="s">
        <v>18</v>
      </c>
      <c r="I4513" s="22">
        <v>2022.0</v>
      </c>
      <c r="J4513" s="16" t="str">
        <f>IFERROR(__xludf.DUMMYFUNCTION("FILTER('CLASFICACIÓN'!$F$3:$F5618,'CLASFICACIÓN'!$G$3:$G5618=M4513)"),"SOLO 2022 Y 2024")</f>
        <v>SOLO 2022 Y 2024</v>
      </c>
      <c r="K4513" s="16"/>
      <c r="L4513" s="14" t="s">
        <v>183</v>
      </c>
      <c r="M4513" s="16" t="str">
        <f t="shared" si="1"/>
        <v>50552 TUPAC AMARU II4 Primaria</v>
      </c>
      <c r="N4513" s="23"/>
      <c r="O4513" s="17"/>
      <c r="P4513" s="17"/>
      <c r="Q4513" s="17"/>
      <c r="R4513" s="17"/>
      <c r="S4513" s="17"/>
      <c r="T4513" s="17"/>
    </row>
    <row r="4514">
      <c r="A4514" s="21">
        <v>642.0</v>
      </c>
      <c r="B4514" s="14" t="s">
        <v>90</v>
      </c>
      <c r="C4514" s="14" t="s">
        <v>14</v>
      </c>
      <c r="D4514" s="20" t="s">
        <v>20</v>
      </c>
      <c r="E4514" s="12" t="str">
        <f>IFERROR(__xludf.DUMMYFUNCTION("FILTER(colegios!$B$2:$B5618,colegios!$A$2:$A5618=L4514)"),"50552 TUPAC AMARU II")</f>
        <v>50552 TUPAC AMARU II</v>
      </c>
      <c r="F4514" s="14" t="s">
        <v>16</v>
      </c>
      <c r="G4514" s="20" t="s">
        <v>21</v>
      </c>
      <c r="H4514" s="14" t="s">
        <v>18</v>
      </c>
      <c r="I4514" s="22">
        <v>2022.0</v>
      </c>
      <c r="J4514" s="16" t="str">
        <f>IFERROR(__xludf.DUMMYFUNCTION("FILTER('CLASFICACIÓN'!$F$3:$F5618,'CLASFICACIÓN'!$G$3:$G5618=M4514)"),"SOLO 2022 Y 2024")</f>
        <v>SOLO 2022 Y 2024</v>
      </c>
      <c r="K4514" s="16"/>
      <c r="L4514" s="14" t="s">
        <v>183</v>
      </c>
      <c r="M4514" s="16" t="str">
        <f t="shared" si="1"/>
        <v>50552 TUPAC AMARU II4 Primaria</v>
      </c>
      <c r="N4514" s="23"/>
      <c r="O4514" s="17"/>
      <c r="P4514" s="17"/>
      <c r="Q4514" s="17"/>
      <c r="R4514" s="17"/>
      <c r="S4514" s="17"/>
      <c r="T4514" s="17"/>
    </row>
    <row r="4515">
      <c r="A4515" s="21">
        <v>643.0</v>
      </c>
      <c r="B4515" s="14" t="s">
        <v>90</v>
      </c>
      <c r="C4515" s="14" t="s">
        <v>14</v>
      </c>
      <c r="D4515" s="20" t="s">
        <v>20</v>
      </c>
      <c r="E4515" s="12" t="str">
        <f>IFERROR(__xludf.DUMMYFUNCTION("FILTER(colegios!$B$2:$B5618,colegios!$A$2:$A5618=L4515)"),"50552 TUPAC AMARU II")</f>
        <v>50552 TUPAC AMARU II</v>
      </c>
      <c r="F4515" s="14" t="s">
        <v>16</v>
      </c>
      <c r="G4515" s="20" t="s">
        <v>21</v>
      </c>
      <c r="H4515" s="14" t="s">
        <v>18</v>
      </c>
      <c r="I4515" s="22">
        <v>2022.0</v>
      </c>
      <c r="J4515" s="16" t="str">
        <f>IFERROR(__xludf.DUMMYFUNCTION("FILTER('CLASFICACIÓN'!$F$3:$F5618,'CLASFICACIÓN'!$G$3:$G5618=M4515)"),"SOLO 2022 Y 2024")</f>
        <v>SOLO 2022 Y 2024</v>
      </c>
      <c r="K4515" s="16"/>
      <c r="L4515" s="14" t="s">
        <v>183</v>
      </c>
      <c r="M4515" s="16" t="str">
        <f t="shared" si="1"/>
        <v>50552 TUPAC AMARU II4 Primaria</v>
      </c>
      <c r="N4515" s="23"/>
      <c r="O4515" s="17"/>
      <c r="P4515" s="17"/>
      <c r="Q4515" s="17"/>
      <c r="R4515" s="17"/>
      <c r="S4515" s="17"/>
      <c r="T4515" s="17"/>
    </row>
    <row r="4516">
      <c r="A4516" s="21">
        <v>644.0</v>
      </c>
      <c r="B4516" s="14" t="s">
        <v>90</v>
      </c>
      <c r="C4516" s="14" t="s">
        <v>14</v>
      </c>
      <c r="D4516" s="20" t="s">
        <v>20</v>
      </c>
      <c r="E4516" s="12" t="str">
        <f>IFERROR(__xludf.DUMMYFUNCTION("FILTER(colegios!$B$2:$B5618,colegios!$A$2:$A5618=L4516)"),"50552 TUPAC AMARU II")</f>
        <v>50552 TUPAC AMARU II</v>
      </c>
      <c r="F4516" s="14" t="s">
        <v>16</v>
      </c>
      <c r="G4516" s="20" t="s">
        <v>21</v>
      </c>
      <c r="H4516" s="14" t="s">
        <v>18</v>
      </c>
      <c r="I4516" s="22">
        <v>2022.0</v>
      </c>
      <c r="J4516" s="16" t="str">
        <f>IFERROR(__xludf.DUMMYFUNCTION("FILTER('CLASFICACIÓN'!$F$3:$F5618,'CLASFICACIÓN'!$G$3:$G5618=M4516)"),"SOLO 2022 Y 2024")</f>
        <v>SOLO 2022 Y 2024</v>
      </c>
      <c r="K4516" s="16"/>
      <c r="L4516" s="14" t="s">
        <v>183</v>
      </c>
      <c r="M4516" s="16" t="str">
        <f t="shared" si="1"/>
        <v>50552 TUPAC AMARU II4 Primaria</v>
      </c>
      <c r="N4516" s="23"/>
      <c r="O4516" s="17"/>
      <c r="P4516" s="17"/>
      <c r="Q4516" s="17"/>
      <c r="R4516" s="17"/>
      <c r="S4516" s="17"/>
      <c r="T4516" s="17"/>
    </row>
    <row r="4517">
      <c r="A4517" s="21">
        <v>645.0</v>
      </c>
      <c r="B4517" s="14" t="s">
        <v>90</v>
      </c>
      <c r="C4517" s="14" t="s">
        <v>14</v>
      </c>
      <c r="D4517" s="20" t="s">
        <v>20</v>
      </c>
      <c r="E4517" s="12" t="str">
        <f>IFERROR(__xludf.DUMMYFUNCTION("FILTER(colegios!$B$2:$B5618,colegios!$A$2:$A5618=L4517)"),"50552 TUPAC AMARU II")</f>
        <v>50552 TUPAC AMARU II</v>
      </c>
      <c r="F4517" s="14" t="s">
        <v>16</v>
      </c>
      <c r="G4517" s="20" t="s">
        <v>21</v>
      </c>
      <c r="H4517" s="14" t="s">
        <v>18</v>
      </c>
      <c r="I4517" s="22">
        <v>2022.0</v>
      </c>
      <c r="J4517" s="16" t="str">
        <f>IFERROR(__xludf.DUMMYFUNCTION("FILTER('CLASFICACIÓN'!$F$3:$F5618,'CLASFICACIÓN'!$G$3:$G5618=M4517)"),"SOLO 2022 Y 2024")</f>
        <v>SOLO 2022 Y 2024</v>
      </c>
      <c r="K4517" s="16"/>
      <c r="L4517" s="14" t="s">
        <v>183</v>
      </c>
      <c r="M4517" s="16" t="str">
        <f t="shared" si="1"/>
        <v>50552 TUPAC AMARU II4 Primaria</v>
      </c>
      <c r="N4517" s="23"/>
      <c r="O4517" s="17"/>
      <c r="P4517" s="17"/>
      <c r="Q4517" s="17"/>
      <c r="R4517" s="17"/>
      <c r="S4517" s="17"/>
      <c r="T4517" s="17"/>
    </row>
    <row r="4518">
      <c r="A4518" s="21">
        <v>646.0</v>
      </c>
      <c r="B4518" s="14" t="s">
        <v>90</v>
      </c>
      <c r="C4518" s="14" t="s">
        <v>14</v>
      </c>
      <c r="D4518" s="20" t="s">
        <v>20</v>
      </c>
      <c r="E4518" s="12" t="str">
        <f>IFERROR(__xludf.DUMMYFUNCTION("FILTER(colegios!$B$2:$B5618,colegios!$A$2:$A5618=L4518)"),"50552 TUPAC AMARU II")</f>
        <v>50552 TUPAC AMARU II</v>
      </c>
      <c r="F4518" s="14" t="s">
        <v>16</v>
      </c>
      <c r="G4518" s="20" t="s">
        <v>17</v>
      </c>
      <c r="H4518" s="14" t="s">
        <v>18</v>
      </c>
      <c r="I4518" s="22">
        <v>2022.0</v>
      </c>
      <c r="J4518" s="16" t="str">
        <f>IFERROR(__xludf.DUMMYFUNCTION("FILTER('CLASFICACIÓN'!$F$3:$F5618,'CLASFICACIÓN'!$G$3:$G5618=M4518)"),"SOLO 2022 Y 2024")</f>
        <v>SOLO 2022 Y 2024</v>
      </c>
      <c r="K4518" s="16"/>
      <c r="L4518" s="14" t="s">
        <v>183</v>
      </c>
      <c r="M4518" s="16" t="str">
        <f t="shared" si="1"/>
        <v>50552 TUPAC AMARU II4 Primaria</v>
      </c>
      <c r="N4518" s="23"/>
      <c r="O4518" s="17"/>
      <c r="P4518" s="17"/>
      <c r="Q4518" s="17"/>
      <c r="R4518" s="17"/>
      <c r="S4518" s="17"/>
      <c r="T4518" s="17"/>
    </row>
    <row r="4519">
      <c r="A4519" s="21">
        <v>647.0</v>
      </c>
      <c r="B4519" s="14" t="s">
        <v>90</v>
      </c>
      <c r="C4519" s="14" t="s">
        <v>14</v>
      </c>
      <c r="D4519" s="20" t="s">
        <v>20</v>
      </c>
      <c r="E4519" s="12" t="str">
        <f>IFERROR(__xludf.DUMMYFUNCTION("FILTER(colegios!$B$2:$B5618,colegios!$A$2:$A5618=L4519)"),"50552 TUPAC AMARU II")</f>
        <v>50552 TUPAC AMARU II</v>
      </c>
      <c r="F4519" s="14" t="s">
        <v>16</v>
      </c>
      <c r="G4519" s="20" t="s">
        <v>17</v>
      </c>
      <c r="H4519" s="14" t="s">
        <v>18</v>
      </c>
      <c r="I4519" s="22">
        <v>2022.0</v>
      </c>
      <c r="J4519" s="16" t="str">
        <f>IFERROR(__xludf.DUMMYFUNCTION("FILTER('CLASFICACIÓN'!$F$3:$F5618,'CLASFICACIÓN'!$G$3:$G5618=M4519)"),"SOLO 2022 Y 2024")</f>
        <v>SOLO 2022 Y 2024</v>
      </c>
      <c r="K4519" s="16"/>
      <c r="L4519" s="14" t="s">
        <v>183</v>
      </c>
      <c r="M4519" s="16" t="str">
        <f t="shared" si="1"/>
        <v>50552 TUPAC AMARU II4 Primaria</v>
      </c>
      <c r="N4519" s="23"/>
      <c r="O4519" s="17"/>
      <c r="P4519" s="17"/>
      <c r="Q4519" s="17"/>
      <c r="R4519" s="17"/>
      <c r="S4519" s="17"/>
      <c r="T4519" s="17"/>
    </row>
    <row r="4520">
      <c r="A4520" s="21">
        <v>648.0</v>
      </c>
      <c r="B4520" s="14" t="s">
        <v>90</v>
      </c>
      <c r="C4520" s="14" t="s">
        <v>14</v>
      </c>
      <c r="D4520" s="20" t="s">
        <v>20</v>
      </c>
      <c r="E4520" s="12" t="str">
        <f>IFERROR(__xludf.DUMMYFUNCTION("FILTER(colegios!$B$2:$B5618,colegios!$A$2:$A5618=L4520)"),"50552 TUPAC AMARU II")</f>
        <v>50552 TUPAC AMARU II</v>
      </c>
      <c r="F4520" s="14" t="s">
        <v>16</v>
      </c>
      <c r="G4520" s="20" t="s">
        <v>21</v>
      </c>
      <c r="H4520" s="14" t="s">
        <v>18</v>
      </c>
      <c r="I4520" s="22">
        <v>2022.0</v>
      </c>
      <c r="J4520" s="16" t="str">
        <f>IFERROR(__xludf.DUMMYFUNCTION("FILTER('CLASFICACIÓN'!$F$3:$F5618,'CLASFICACIÓN'!$G$3:$G5618=M4520)"),"SOLO 2022 Y 2024")</f>
        <v>SOLO 2022 Y 2024</v>
      </c>
      <c r="K4520" s="16"/>
      <c r="L4520" s="14" t="s">
        <v>183</v>
      </c>
      <c r="M4520" s="16" t="str">
        <f t="shared" si="1"/>
        <v>50552 TUPAC AMARU II4 Primaria</v>
      </c>
      <c r="N4520" s="23"/>
      <c r="O4520" s="17"/>
      <c r="P4520" s="17"/>
      <c r="Q4520" s="17"/>
      <c r="R4520" s="17"/>
      <c r="S4520" s="17"/>
      <c r="T4520" s="17"/>
    </row>
    <row r="4521">
      <c r="A4521" s="21">
        <v>649.0</v>
      </c>
      <c r="B4521" s="14" t="s">
        <v>90</v>
      </c>
      <c r="C4521" s="14" t="s">
        <v>14</v>
      </c>
      <c r="D4521" s="20" t="s">
        <v>20</v>
      </c>
      <c r="E4521" s="12" t="str">
        <f>IFERROR(__xludf.DUMMYFUNCTION("FILTER(colegios!$B$2:$B5618,colegios!$A$2:$A5618=L4521)"),"50552 TUPAC AMARU II")</f>
        <v>50552 TUPAC AMARU II</v>
      </c>
      <c r="F4521" s="14" t="s">
        <v>16</v>
      </c>
      <c r="G4521" s="20" t="s">
        <v>17</v>
      </c>
      <c r="H4521" s="14" t="s">
        <v>18</v>
      </c>
      <c r="I4521" s="22">
        <v>2022.0</v>
      </c>
      <c r="J4521" s="16" t="str">
        <f>IFERROR(__xludf.DUMMYFUNCTION("FILTER('CLASFICACIÓN'!$F$3:$F5618,'CLASFICACIÓN'!$G$3:$G5618=M4521)"),"SOLO 2022 Y 2024")</f>
        <v>SOLO 2022 Y 2024</v>
      </c>
      <c r="K4521" s="16"/>
      <c r="L4521" s="14" t="s">
        <v>183</v>
      </c>
      <c r="M4521" s="16" t="str">
        <f t="shared" si="1"/>
        <v>50552 TUPAC AMARU II4 Primaria</v>
      </c>
      <c r="N4521" s="23"/>
      <c r="O4521" s="17"/>
      <c r="P4521" s="17"/>
      <c r="Q4521" s="17"/>
      <c r="R4521" s="17"/>
      <c r="S4521" s="17"/>
      <c r="T4521" s="17"/>
    </row>
    <row r="4522">
      <c r="A4522" s="21">
        <v>650.0</v>
      </c>
      <c r="B4522" s="14" t="s">
        <v>90</v>
      </c>
      <c r="C4522" s="14" t="s">
        <v>14</v>
      </c>
      <c r="D4522" s="20" t="s">
        <v>20</v>
      </c>
      <c r="E4522" s="12" t="str">
        <f>IFERROR(__xludf.DUMMYFUNCTION("FILTER(colegios!$B$2:$B5618,colegios!$A$2:$A5618=L4522)"),"50552 TUPAC AMARU II")</f>
        <v>50552 TUPAC AMARU II</v>
      </c>
      <c r="F4522" s="14" t="s">
        <v>16</v>
      </c>
      <c r="G4522" s="20" t="s">
        <v>21</v>
      </c>
      <c r="H4522" s="14" t="s">
        <v>18</v>
      </c>
      <c r="I4522" s="22">
        <v>2022.0</v>
      </c>
      <c r="J4522" s="16" t="str">
        <f>IFERROR(__xludf.DUMMYFUNCTION("FILTER('CLASFICACIÓN'!$F$3:$F5618,'CLASFICACIÓN'!$G$3:$G5618=M4522)"),"SOLO 2022 Y 2024")</f>
        <v>SOLO 2022 Y 2024</v>
      </c>
      <c r="K4522" s="16"/>
      <c r="L4522" s="14" t="s">
        <v>183</v>
      </c>
      <c r="M4522" s="16" t="str">
        <f t="shared" si="1"/>
        <v>50552 TUPAC AMARU II4 Primaria</v>
      </c>
      <c r="N4522" s="23"/>
      <c r="O4522" s="17"/>
      <c r="P4522" s="17"/>
      <c r="Q4522" s="17"/>
      <c r="R4522" s="17"/>
      <c r="S4522" s="17"/>
      <c r="T4522" s="17"/>
    </row>
    <row r="4523">
      <c r="A4523" s="21">
        <v>651.0</v>
      </c>
      <c r="B4523" s="14" t="s">
        <v>90</v>
      </c>
      <c r="C4523" s="14" t="s">
        <v>14</v>
      </c>
      <c r="D4523" s="20" t="s">
        <v>20</v>
      </c>
      <c r="E4523" s="12" t="str">
        <f>IFERROR(__xludf.DUMMYFUNCTION("FILTER(colegios!$B$2:$B5618,colegios!$A$2:$A5618=L4523)"),"50552 TUPAC AMARU II")</f>
        <v>50552 TUPAC AMARU II</v>
      </c>
      <c r="F4523" s="14" t="s">
        <v>16</v>
      </c>
      <c r="G4523" s="20" t="s">
        <v>21</v>
      </c>
      <c r="H4523" s="14" t="s">
        <v>18</v>
      </c>
      <c r="I4523" s="22">
        <v>2022.0</v>
      </c>
      <c r="J4523" s="16" t="str">
        <f>IFERROR(__xludf.DUMMYFUNCTION("FILTER('CLASFICACIÓN'!$F$3:$F5618,'CLASFICACIÓN'!$G$3:$G5618=M4523)"),"SOLO 2022 Y 2024")</f>
        <v>SOLO 2022 Y 2024</v>
      </c>
      <c r="K4523" s="16"/>
      <c r="L4523" s="14" t="s">
        <v>183</v>
      </c>
      <c r="M4523" s="16" t="str">
        <f t="shared" si="1"/>
        <v>50552 TUPAC AMARU II4 Primaria</v>
      </c>
      <c r="N4523" s="23"/>
      <c r="O4523" s="17"/>
      <c r="P4523" s="17"/>
      <c r="Q4523" s="17"/>
      <c r="R4523" s="17"/>
      <c r="S4523" s="17"/>
      <c r="T4523" s="17"/>
    </row>
    <row r="4524">
      <c r="A4524" s="21">
        <v>652.0</v>
      </c>
      <c r="B4524" s="14" t="s">
        <v>90</v>
      </c>
      <c r="C4524" s="14" t="s">
        <v>14</v>
      </c>
      <c r="D4524" s="20" t="s">
        <v>20</v>
      </c>
      <c r="E4524" s="12" t="str">
        <f>IFERROR(__xludf.DUMMYFUNCTION("FILTER(colegios!$B$2:$B5618,colegios!$A$2:$A5618=L4524)"),"50552 TUPAC AMARU II")</f>
        <v>50552 TUPAC AMARU II</v>
      </c>
      <c r="F4524" s="14" t="s">
        <v>16</v>
      </c>
      <c r="G4524" s="20" t="s">
        <v>21</v>
      </c>
      <c r="H4524" s="14" t="s">
        <v>18</v>
      </c>
      <c r="I4524" s="22">
        <v>2022.0</v>
      </c>
      <c r="J4524" s="16" t="str">
        <f>IFERROR(__xludf.DUMMYFUNCTION("FILTER('CLASFICACIÓN'!$F$3:$F5618,'CLASFICACIÓN'!$G$3:$G5618=M4524)"),"SOLO 2022 Y 2024")</f>
        <v>SOLO 2022 Y 2024</v>
      </c>
      <c r="K4524" s="16"/>
      <c r="L4524" s="14" t="s">
        <v>183</v>
      </c>
      <c r="M4524" s="16" t="str">
        <f t="shared" si="1"/>
        <v>50552 TUPAC AMARU II4 Primaria</v>
      </c>
      <c r="N4524" s="23"/>
      <c r="O4524" s="17"/>
      <c r="P4524" s="17"/>
      <c r="Q4524" s="17"/>
      <c r="R4524" s="17"/>
      <c r="S4524" s="17"/>
      <c r="T4524" s="17"/>
    </row>
    <row r="4525">
      <c r="A4525" s="21">
        <v>653.0</v>
      </c>
      <c r="B4525" s="14" t="s">
        <v>90</v>
      </c>
      <c r="C4525" s="14" t="s">
        <v>14</v>
      </c>
      <c r="D4525" s="20" t="s">
        <v>20</v>
      </c>
      <c r="E4525" s="12" t="str">
        <f>IFERROR(__xludf.DUMMYFUNCTION("FILTER(colegios!$B$2:$B5618,colegios!$A$2:$A5618=L4525)"),"50552 TUPAC AMARU II")</f>
        <v>50552 TUPAC AMARU II</v>
      </c>
      <c r="F4525" s="14" t="s">
        <v>16</v>
      </c>
      <c r="G4525" s="20" t="s">
        <v>17</v>
      </c>
      <c r="H4525" s="14" t="s">
        <v>18</v>
      </c>
      <c r="I4525" s="22">
        <v>2022.0</v>
      </c>
      <c r="J4525" s="16" t="str">
        <f>IFERROR(__xludf.DUMMYFUNCTION("FILTER('CLASFICACIÓN'!$F$3:$F5618,'CLASFICACIÓN'!$G$3:$G5618=M4525)"),"SOLO 2022 Y 2024")</f>
        <v>SOLO 2022 Y 2024</v>
      </c>
      <c r="K4525" s="16"/>
      <c r="L4525" s="14" t="s">
        <v>183</v>
      </c>
      <c r="M4525" s="16" t="str">
        <f t="shared" si="1"/>
        <v>50552 TUPAC AMARU II4 Primaria</v>
      </c>
      <c r="N4525" s="23"/>
      <c r="O4525" s="17"/>
      <c r="P4525" s="17"/>
      <c r="Q4525" s="17"/>
      <c r="R4525" s="17"/>
      <c r="S4525" s="17"/>
      <c r="T4525" s="17"/>
    </row>
    <row r="4526">
      <c r="A4526" s="21">
        <v>654.0</v>
      </c>
      <c r="B4526" s="14" t="s">
        <v>90</v>
      </c>
      <c r="C4526" s="14" t="s">
        <v>14</v>
      </c>
      <c r="D4526" s="20" t="s">
        <v>20</v>
      </c>
      <c r="E4526" s="12" t="str">
        <f>IFERROR(__xludf.DUMMYFUNCTION("FILTER(colegios!$B$2:$B5618,colegios!$A$2:$A5618=L4526)"),"50552 TUPAC AMARU II")</f>
        <v>50552 TUPAC AMARU II</v>
      </c>
      <c r="F4526" s="14" t="s">
        <v>16</v>
      </c>
      <c r="G4526" s="20" t="s">
        <v>21</v>
      </c>
      <c r="H4526" s="14" t="s">
        <v>18</v>
      </c>
      <c r="I4526" s="22">
        <v>2022.0</v>
      </c>
      <c r="J4526" s="16" t="str">
        <f>IFERROR(__xludf.DUMMYFUNCTION("FILTER('CLASFICACIÓN'!$F$3:$F5618,'CLASFICACIÓN'!$G$3:$G5618=M4526)"),"SOLO 2022 Y 2024")</f>
        <v>SOLO 2022 Y 2024</v>
      </c>
      <c r="K4526" s="16"/>
      <c r="L4526" s="14" t="s">
        <v>183</v>
      </c>
      <c r="M4526" s="16" t="str">
        <f t="shared" si="1"/>
        <v>50552 TUPAC AMARU II4 Primaria</v>
      </c>
      <c r="N4526" s="23"/>
      <c r="O4526" s="17"/>
      <c r="P4526" s="17"/>
      <c r="Q4526" s="17"/>
      <c r="R4526" s="17"/>
      <c r="S4526" s="17"/>
      <c r="T4526" s="17"/>
    </row>
    <row r="4527">
      <c r="A4527" s="21">
        <v>655.0</v>
      </c>
      <c r="B4527" s="14" t="s">
        <v>90</v>
      </c>
      <c r="C4527" s="14" t="s">
        <v>14</v>
      </c>
      <c r="D4527" s="20" t="s">
        <v>20</v>
      </c>
      <c r="E4527" s="12" t="str">
        <f>IFERROR(__xludf.DUMMYFUNCTION("FILTER(colegios!$B$2:$B5618,colegios!$A$2:$A5618=L4527)"),"50552 TUPAC AMARU II")</f>
        <v>50552 TUPAC AMARU II</v>
      </c>
      <c r="F4527" s="14" t="s">
        <v>16</v>
      </c>
      <c r="G4527" s="20" t="s">
        <v>17</v>
      </c>
      <c r="H4527" s="14" t="s">
        <v>18</v>
      </c>
      <c r="I4527" s="22">
        <v>2022.0</v>
      </c>
      <c r="J4527" s="16" t="str">
        <f>IFERROR(__xludf.DUMMYFUNCTION("FILTER('CLASFICACIÓN'!$F$3:$F5618,'CLASFICACIÓN'!$G$3:$G5618=M4527)"),"SOLO 2022 Y 2024")</f>
        <v>SOLO 2022 Y 2024</v>
      </c>
      <c r="K4527" s="16"/>
      <c r="L4527" s="14" t="s">
        <v>183</v>
      </c>
      <c r="M4527" s="16" t="str">
        <f t="shared" si="1"/>
        <v>50552 TUPAC AMARU II4 Primaria</v>
      </c>
      <c r="N4527" s="23"/>
      <c r="O4527" s="17"/>
      <c r="P4527" s="17"/>
      <c r="Q4527" s="17"/>
      <c r="R4527" s="17"/>
      <c r="S4527" s="17"/>
      <c r="T4527" s="17"/>
    </row>
    <row r="4528">
      <c r="A4528" s="21">
        <v>656.0</v>
      </c>
      <c r="B4528" s="14" t="s">
        <v>90</v>
      </c>
      <c r="C4528" s="14" t="s">
        <v>14</v>
      </c>
      <c r="D4528" s="20" t="s">
        <v>20</v>
      </c>
      <c r="E4528" s="12" t="str">
        <f>IFERROR(__xludf.DUMMYFUNCTION("FILTER(colegios!$B$2:$B5618,colegios!$A$2:$A5618=L4528)"),"50552 TUPAC AMARU II")</f>
        <v>50552 TUPAC AMARU II</v>
      </c>
      <c r="F4528" s="14" t="s">
        <v>16</v>
      </c>
      <c r="G4528" s="20" t="s">
        <v>17</v>
      </c>
      <c r="H4528" s="14" t="s">
        <v>18</v>
      </c>
      <c r="I4528" s="22">
        <v>2022.0</v>
      </c>
      <c r="J4528" s="16" t="str">
        <f>IFERROR(__xludf.DUMMYFUNCTION("FILTER('CLASFICACIÓN'!$F$3:$F5618,'CLASFICACIÓN'!$G$3:$G5618=M4528)"),"SOLO 2022 Y 2024")</f>
        <v>SOLO 2022 Y 2024</v>
      </c>
      <c r="K4528" s="16"/>
      <c r="L4528" s="14" t="s">
        <v>183</v>
      </c>
      <c r="M4528" s="16" t="str">
        <f t="shared" si="1"/>
        <v>50552 TUPAC AMARU II4 Primaria</v>
      </c>
      <c r="N4528" s="23"/>
      <c r="O4528" s="17"/>
      <c r="P4528" s="17"/>
      <c r="Q4528" s="17"/>
      <c r="R4528" s="17"/>
      <c r="S4528" s="17"/>
      <c r="T4528" s="17"/>
    </row>
    <row r="4529">
      <c r="A4529" s="21">
        <v>657.0</v>
      </c>
      <c r="B4529" s="14" t="s">
        <v>90</v>
      </c>
      <c r="C4529" s="14" t="s">
        <v>14</v>
      </c>
      <c r="D4529" s="20" t="s">
        <v>20</v>
      </c>
      <c r="E4529" s="12" t="str">
        <f>IFERROR(__xludf.DUMMYFUNCTION("FILTER(colegios!$B$2:$B5618,colegios!$A$2:$A5618=L4529)"),"50552 TUPAC AMARU II")</f>
        <v>50552 TUPAC AMARU II</v>
      </c>
      <c r="F4529" s="14" t="s">
        <v>16</v>
      </c>
      <c r="G4529" s="20" t="s">
        <v>17</v>
      </c>
      <c r="H4529" s="14" t="s">
        <v>18</v>
      </c>
      <c r="I4529" s="22">
        <v>2022.0</v>
      </c>
      <c r="J4529" s="16" t="str">
        <f>IFERROR(__xludf.DUMMYFUNCTION("FILTER('CLASFICACIÓN'!$F$3:$F5618,'CLASFICACIÓN'!$G$3:$G5618=M4529)"),"SOLO 2022 Y 2024")</f>
        <v>SOLO 2022 Y 2024</v>
      </c>
      <c r="K4529" s="16"/>
      <c r="L4529" s="14" t="s">
        <v>183</v>
      </c>
      <c r="M4529" s="16" t="str">
        <f t="shared" si="1"/>
        <v>50552 TUPAC AMARU II4 Primaria</v>
      </c>
      <c r="N4529" s="23"/>
      <c r="O4529" s="17"/>
      <c r="P4529" s="17"/>
      <c r="Q4529" s="17"/>
      <c r="R4529" s="17"/>
      <c r="S4529" s="17"/>
      <c r="T4529" s="17"/>
    </row>
    <row r="4530">
      <c r="A4530" s="21">
        <v>658.0</v>
      </c>
      <c r="B4530" s="14" t="s">
        <v>90</v>
      </c>
      <c r="C4530" s="14" t="s">
        <v>14</v>
      </c>
      <c r="D4530" s="20" t="s">
        <v>20</v>
      </c>
      <c r="E4530" s="12" t="str">
        <f>IFERROR(__xludf.DUMMYFUNCTION("FILTER(colegios!$B$2:$B5618,colegios!$A$2:$A5618=L4530)"),"50552 TUPAC AMARU II")</f>
        <v>50552 TUPAC AMARU II</v>
      </c>
      <c r="F4530" s="14" t="s">
        <v>16</v>
      </c>
      <c r="G4530" s="20" t="s">
        <v>21</v>
      </c>
      <c r="H4530" s="14" t="s">
        <v>18</v>
      </c>
      <c r="I4530" s="22">
        <v>2022.0</v>
      </c>
      <c r="J4530" s="16" t="str">
        <f>IFERROR(__xludf.DUMMYFUNCTION("FILTER('CLASFICACIÓN'!$F$3:$F5618,'CLASFICACIÓN'!$G$3:$G5618=M4530)"),"SOLO 2022 Y 2024")</f>
        <v>SOLO 2022 Y 2024</v>
      </c>
      <c r="K4530" s="16"/>
      <c r="L4530" s="14" t="s">
        <v>183</v>
      </c>
      <c r="M4530" s="16" t="str">
        <f t="shared" si="1"/>
        <v>50552 TUPAC AMARU II4 Primaria</v>
      </c>
      <c r="N4530" s="23"/>
      <c r="O4530" s="17"/>
      <c r="P4530" s="17"/>
      <c r="Q4530" s="17"/>
      <c r="R4530" s="17"/>
      <c r="S4530" s="17"/>
      <c r="T4530" s="17"/>
    </row>
    <row r="4531">
      <c r="A4531" s="21">
        <v>659.0</v>
      </c>
      <c r="B4531" s="14" t="s">
        <v>90</v>
      </c>
      <c r="C4531" s="14" t="s">
        <v>14</v>
      </c>
      <c r="D4531" s="20" t="s">
        <v>20</v>
      </c>
      <c r="E4531" s="12" t="str">
        <f>IFERROR(__xludf.DUMMYFUNCTION("FILTER(colegios!$B$2:$B5618,colegios!$A$2:$A5618=L4531)"),"50552 TUPAC AMARU II")</f>
        <v>50552 TUPAC AMARU II</v>
      </c>
      <c r="F4531" s="14" t="s">
        <v>16</v>
      </c>
      <c r="G4531" s="20" t="s">
        <v>21</v>
      </c>
      <c r="H4531" s="14" t="s">
        <v>18</v>
      </c>
      <c r="I4531" s="22">
        <v>2022.0</v>
      </c>
      <c r="J4531" s="16" t="str">
        <f>IFERROR(__xludf.DUMMYFUNCTION("FILTER('CLASFICACIÓN'!$F$3:$F5618,'CLASFICACIÓN'!$G$3:$G5618=M4531)"),"SOLO 2022 Y 2024")</f>
        <v>SOLO 2022 Y 2024</v>
      </c>
      <c r="K4531" s="16"/>
      <c r="L4531" s="14" t="s">
        <v>183</v>
      </c>
      <c r="M4531" s="16" t="str">
        <f t="shared" si="1"/>
        <v>50552 TUPAC AMARU II4 Primaria</v>
      </c>
      <c r="N4531" s="23"/>
      <c r="O4531" s="17"/>
      <c r="P4531" s="17"/>
      <c r="Q4531" s="17"/>
      <c r="R4531" s="17"/>
      <c r="S4531" s="17"/>
      <c r="T4531" s="17"/>
    </row>
    <row r="4532">
      <c r="A4532" s="21">
        <v>660.0</v>
      </c>
      <c r="B4532" s="14" t="s">
        <v>90</v>
      </c>
      <c r="C4532" s="14" t="s">
        <v>14</v>
      </c>
      <c r="D4532" s="20" t="s">
        <v>20</v>
      </c>
      <c r="E4532" s="12" t="str">
        <f>IFERROR(__xludf.DUMMYFUNCTION("FILTER(colegios!$B$2:$B5618,colegios!$A$2:$A5618=L4532)"),"50552 TUPAC AMARU II")</f>
        <v>50552 TUPAC AMARU II</v>
      </c>
      <c r="F4532" s="14" t="s">
        <v>16</v>
      </c>
      <c r="G4532" s="20" t="s">
        <v>21</v>
      </c>
      <c r="H4532" s="14" t="s">
        <v>18</v>
      </c>
      <c r="I4532" s="22">
        <v>2022.0</v>
      </c>
      <c r="J4532" s="16" t="str">
        <f>IFERROR(__xludf.DUMMYFUNCTION("FILTER('CLASFICACIÓN'!$F$3:$F5618,'CLASFICACIÓN'!$G$3:$G5618=M4532)"),"SOLO 2022 Y 2024")</f>
        <v>SOLO 2022 Y 2024</v>
      </c>
      <c r="K4532" s="16"/>
      <c r="L4532" s="14" t="s">
        <v>183</v>
      </c>
      <c r="M4532" s="16" t="str">
        <f t="shared" si="1"/>
        <v>50552 TUPAC AMARU II4 Primaria</v>
      </c>
      <c r="N4532" s="23"/>
      <c r="O4532" s="17"/>
      <c r="P4532" s="17"/>
      <c r="Q4532" s="17"/>
      <c r="R4532" s="17"/>
      <c r="S4532" s="17"/>
      <c r="T4532" s="17"/>
    </row>
    <row r="4533">
      <c r="A4533" s="21">
        <v>661.0</v>
      </c>
      <c r="B4533" s="14" t="s">
        <v>90</v>
      </c>
      <c r="C4533" s="14" t="s">
        <v>14</v>
      </c>
      <c r="D4533" s="20" t="s">
        <v>20</v>
      </c>
      <c r="E4533" s="12" t="str">
        <f>IFERROR(__xludf.DUMMYFUNCTION("FILTER(colegios!$B$2:$B5618,colegios!$A$2:$A5618=L4533)"),"50552 TUPAC AMARU II")</f>
        <v>50552 TUPAC AMARU II</v>
      </c>
      <c r="F4533" s="14" t="s">
        <v>16</v>
      </c>
      <c r="G4533" s="20" t="s">
        <v>21</v>
      </c>
      <c r="H4533" s="14" t="s">
        <v>18</v>
      </c>
      <c r="I4533" s="22">
        <v>2022.0</v>
      </c>
      <c r="J4533" s="16" t="str">
        <f>IFERROR(__xludf.DUMMYFUNCTION("FILTER('CLASFICACIÓN'!$F$3:$F5618,'CLASFICACIÓN'!$G$3:$G5618=M4533)"),"SOLO 2022 Y 2024")</f>
        <v>SOLO 2022 Y 2024</v>
      </c>
      <c r="K4533" s="16"/>
      <c r="L4533" s="14" t="s">
        <v>183</v>
      </c>
      <c r="M4533" s="16" t="str">
        <f t="shared" si="1"/>
        <v>50552 TUPAC AMARU II4 Primaria</v>
      </c>
      <c r="N4533" s="23"/>
      <c r="O4533" s="17"/>
      <c r="P4533" s="17"/>
      <c r="Q4533" s="17"/>
      <c r="R4533" s="17"/>
      <c r="S4533" s="17"/>
      <c r="T4533" s="17"/>
    </row>
    <row r="4534">
      <c r="A4534" s="21">
        <v>662.0</v>
      </c>
      <c r="B4534" s="14" t="s">
        <v>90</v>
      </c>
      <c r="C4534" s="14" t="s">
        <v>14</v>
      </c>
      <c r="D4534" s="20" t="s">
        <v>20</v>
      </c>
      <c r="E4534" s="12" t="str">
        <f>IFERROR(__xludf.DUMMYFUNCTION("FILTER(colegios!$B$2:$B5618,colegios!$A$2:$A5618=L4534)"),"50552 TUPAC AMARU II")</f>
        <v>50552 TUPAC AMARU II</v>
      </c>
      <c r="F4534" s="14" t="s">
        <v>16</v>
      </c>
      <c r="G4534" s="20" t="s">
        <v>17</v>
      </c>
      <c r="H4534" s="14" t="s">
        <v>18</v>
      </c>
      <c r="I4534" s="22">
        <v>2022.0</v>
      </c>
      <c r="J4534" s="16" t="str">
        <f>IFERROR(__xludf.DUMMYFUNCTION("FILTER('CLASFICACIÓN'!$F$3:$F5618,'CLASFICACIÓN'!$G$3:$G5618=M4534)"),"SOLO 2022 Y 2024")</f>
        <v>SOLO 2022 Y 2024</v>
      </c>
      <c r="K4534" s="16"/>
      <c r="L4534" s="14" t="s">
        <v>183</v>
      </c>
      <c r="M4534" s="16" t="str">
        <f t="shared" si="1"/>
        <v>50552 TUPAC AMARU II4 Primaria</v>
      </c>
      <c r="N4534" s="23"/>
      <c r="O4534" s="17"/>
      <c r="P4534" s="17"/>
      <c r="Q4534" s="17"/>
      <c r="R4534" s="17"/>
      <c r="S4534" s="17"/>
      <c r="T4534" s="17"/>
    </row>
    <row r="4535">
      <c r="A4535" s="21">
        <v>663.0</v>
      </c>
      <c r="B4535" s="14" t="s">
        <v>90</v>
      </c>
      <c r="C4535" s="14" t="s">
        <v>14</v>
      </c>
      <c r="D4535" s="20" t="s">
        <v>20</v>
      </c>
      <c r="E4535" s="12" t="str">
        <f>IFERROR(__xludf.DUMMYFUNCTION("FILTER(colegios!$B$2:$B5618,colegios!$A$2:$A5618=L4535)"),"50552 TUPAC AMARU II")</f>
        <v>50552 TUPAC AMARU II</v>
      </c>
      <c r="F4535" s="14" t="s">
        <v>16</v>
      </c>
      <c r="G4535" s="20" t="s">
        <v>21</v>
      </c>
      <c r="H4535" s="14" t="s">
        <v>18</v>
      </c>
      <c r="I4535" s="22">
        <v>2022.0</v>
      </c>
      <c r="J4535" s="16" t="str">
        <f>IFERROR(__xludf.DUMMYFUNCTION("FILTER('CLASFICACIÓN'!$F$3:$F5618,'CLASFICACIÓN'!$G$3:$G5618=M4535)"),"SOLO 2022 Y 2024")</f>
        <v>SOLO 2022 Y 2024</v>
      </c>
      <c r="K4535" s="16"/>
      <c r="L4535" s="14" t="s">
        <v>183</v>
      </c>
      <c r="M4535" s="16" t="str">
        <f t="shared" si="1"/>
        <v>50552 TUPAC AMARU II4 Primaria</v>
      </c>
      <c r="N4535" s="23"/>
      <c r="O4535" s="17"/>
      <c r="P4535" s="17"/>
      <c r="Q4535" s="17"/>
      <c r="R4535" s="17"/>
      <c r="S4535" s="17"/>
      <c r="T4535" s="17"/>
    </row>
    <row r="4536">
      <c r="A4536" s="21">
        <v>664.0</v>
      </c>
      <c r="B4536" s="14" t="s">
        <v>90</v>
      </c>
      <c r="C4536" s="14" t="s">
        <v>14</v>
      </c>
      <c r="D4536" s="20" t="s">
        <v>20</v>
      </c>
      <c r="E4536" s="12" t="str">
        <f>IFERROR(__xludf.DUMMYFUNCTION("FILTER(colegios!$B$2:$B5618,colegios!$A$2:$A5618=L4536)"),"50552 TUPAC AMARU II")</f>
        <v>50552 TUPAC AMARU II</v>
      </c>
      <c r="F4536" s="14" t="s">
        <v>16</v>
      </c>
      <c r="G4536" s="20" t="s">
        <v>17</v>
      </c>
      <c r="H4536" s="14" t="s">
        <v>18</v>
      </c>
      <c r="I4536" s="22">
        <v>2022.0</v>
      </c>
      <c r="J4536" s="16" t="str">
        <f>IFERROR(__xludf.DUMMYFUNCTION("FILTER('CLASFICACIÓN'!$F$3:$F5618,'CLASFICACIÓN'!$G$3:$G5618=M4536)"),"SOLO 2022 Y 2024")</f>
        <v>SOLO 2022 Y 2024</v>
      </c>
      <c r="K4536" s="16"/>
      <c r="L4536" s="14" t="s">
        <v>183</v>
      </c>
      <c r="M4536" s="16" t="str">
        <f t="shared" si="1"/>
        <v>50552 TUPAC AMARU II4 Primaria</v>
      </c>
      <c r="N4536" s="23"/>
      <c r="O4536" s="17"/>
      <c r="P4536" s="17"/>
      <c r="Q4536" s="17"/>
      <c r="R4536" s="17"/>
      <c r="S4536" s="17"/>
      <c r="T4536" s="17"/>
    </row>
    <row r="4537">
      <c r="A4537" s="21">
        <v>665.0</v>
      </c>
      <c r="B4537" s="14" t="s">
        <v>90</v>
      </c>
      <c r="C4537" s="14" t="s">
        <v>14</v>
      </c>
      <c r="D4537" s="20" t="s">
        <v>20</v>
      </c>
      <c r="E4537" s="12" t="str">
        <f>IFERROR(__xludf.DUMMYFUNCTION("FILTER(colegios!$B$2:$B5618,colegios!$A$2:$A5618=L4537)"),"50552 TUPAC AMARU II")</f>
        <v>50552 TUPAC AMARU II</v>
      </c>
      <c r="F4537" s="14" t="s">
        <v>16</v>
      </c>
      <c r="G4537" s="20" t="s">
        <v>21</v>
      </c>
      <c r="H4537" s="14" t="s">
        <v>18</v>
      </c>
      <c r="I4537" s="22">
        <v>2022.0</v>
      </c>
      <c r="J4537" s="16" t="str">
        <f>IFERROR(__xludf.DUMMYFUNCTION("FILTER('CLASFICACIÓN'!$F$3:$F5618,'CLASFICACIÓN'!$G$3:$G5618=M4537)"),"SOLO 2022 Y 2024")</f>
        <v>SOLO 2022 Y 2024</v>
      </c>
      <c r="K4537" s="16"/>
      <c r="L4537" s="14" t="s">
        <v>183</v>
      </c>
      <c r="M4537" s="16" t="str">
        <f t="shared" si="1"/>
        <v>50552 TUPAC AMARU II4 Primaria</v>
      </c>
      <c r="N4537" s="23"/>
      <c r="O4537" s="17"/>
      <c r="P4537" s="17"/>
      <c r="Q4537" s="17"/>
      <c r="R4537" s="17"/>
      <c r="S4537" s="17"/>
      <c r="T4537" s="17"/>
    </row>
    <row r="4538">
      <c r="A4538" s="21">
        <v>666.0</v>
      </c>
      <c r="B4538" s="14" t="s">
        <v>90</v>
      </c>
      <c r="C4538" s="14" t="s">
        <v>14</v>
      </c>
      <c r="D4538" s="20" t="s">
        <v>20</v>
      </c>
      <c r="E4538" s="12" t="str">
        <f>IFERROR(__xludf.DUMMYFUNCTION("FILTER(colegios!$B$2:$B5618,colegios!$A$2:$A5618=L4538)"),"50552 TUPAC AMARU II")</f>
        <v>50552 TUPAC AMARU II</v>
      </c>
      <c r="F4538" s="14" t="s">
        <v>16</v>
      </c>
      <c r="G4538" s="20" t="s">
        <v>21</v>
      </c>
      <c r="H4538" s="14" t="s">
        <v>18</v>
      </c>
      <c r="I4538" s="22">
        <v>2022.0</v>
      </c>
      <c r="J4538" s="16" t="str">
        <f>IFERROR(__xludf.DUMMYFUNCTION("FILTER('CLASFICACIÓN'!$F$3:$F5618,'CLASFICACIÓN'!$G$3:$G5618=M4538)"),"SOLO 2022 Y 2024")</f>
        <v>SOLO 2022 Y 2024</v>
      </c>
      <c r="K4538" s="16"/>
      <c r="L4538" s="14" t="s">
        <v>183</v>
      </c>
      <c r="M4538" s="16" t="str">
        <f t="shared" si="1"/>
        <v>50552 TUPAC AMARU II4 Primaria</v>
      </c>
      <c r="N4538" s="23"/>
      <c r="O4538" s="17"/>
      <c r="P4538" s="17"/>
      <c r="Q4538" s="17"/>
      <c r="R4538" s="17"/>
      <c r="S4538" s="17"/>
      <c r="T4538" s="17"/>
    </row>
    <row r="4539">
      <c r="A4539" s="21">
        <v>667.0</v>
      </c>
      <c r="B4539" s="14" t="s">
        <v>90</v>
      </c>
      <c r="C4539" s="14" t="s">
        <v>14</v>
      </c>
      <c r="D4539" s="20" t="s">
        <v>20</v>
      </c>
      <c r="E4539" s="12" t="str">
        <f>IFERROR(__xludf.DUMMYFUNCTION("FILTER(colegios!$B$2:$B5618,colegios!$A$2:$A5618=L4539)"),"50552 TUPAC AMARU II")</f>
        <v>50552 TUPAC AMARU II</v>
      </c>
      <c r="F4539" s="14" t="s">
        <v>16</v>
      </c>
      <c r="G4539" s="20" t="s">
        <v>17</v>
      </c>
      <c r="H4539" s="14" t="s">
        <v>18</v>
      </c>
      <c r="I4539" s="22">
        <v>2022.0</v>
      </c>
      <c r="J4539" s="16" t="str">
        <f>IFERROR(__xludf.DUMMYFUNCTION("FILTER('CLASFICACIÓN'!$F$3:$F5618,'CLASFICACIÓN'!$G$3:$G5618=M4539)"),"SOLO 2022 Y 2024")</f>
        <v>SOLO 2022 Y 2024</v>
      </c>
      <c r="K4539" s="16"/>
      <c r="L4539" s="14" t="s">
        <v>183</v>
      </c>
      <c r="M4539" s="16" t="str">
        <f t="shared" si="1"/>
        <v>50552 TUPAC AMARU II4 Primaria</v>
      </c>
      <c r="N4539" s="23"/>
      <c r="O4539" s="17"/>
      <c r="P4539" s="17"/>
      <c r="Q4539" s="17"/>
      <c r="R4539" s="17"/>
      <c r="S4539" s="17"/>
      <c r="T4539" s="17"/>
    </row>
    <row r="4540">
      <c r="A4540" s="21">
        <v>668.0</v>
      </c>
      <c r="B4540" s="14" t="s">
        <v>90</v>
      </c>
      <c r="C4540" s="14" t="s">
        <v>14</v>
      </c>
      <c r="D4540" s="20" t="s">
        <v>20</v>
      </c>
      <c r="E4540" s="12" t="str">
        <f>IFERROR(__xludf.DUMMYFUNCTION("FILTER(colegios!$B$2:$B5618,colegios!$A$2:$A5618=L4540)"),"50552 TUPAC AMARU II")</f>
        <v>50552 TUPAC AMARU II</v>
      </c>
      <c r="F4540" s="14" t="s">
        <v>16</v>
      </c>
      <c r="G4540" s="20" t="s">
        <v>17</v>
      </c>
      <c r="H4540" s="14" t="s">
        <v>18</v>
      </c>
      <c r="I4540" s="22">
        <v>2022.0</v>
      </c>
      <c r="J4540" s="16" t="str">
        <f>IFERROR(__xludf.DUMMYFUNCTION("FILTER('CLASFICACIÓN'!$F$3:$F5618,'CLASFICACIÓN'!$G$3:$G5618=M4540)"),"SOLO 2022 Y 2024")</f>
        <v>SOLO 2022 Y 2024</v>
      </c>
      <c r="K4540" s="16"/>
      <c r="L4540" s="14" t="s">
        <v>183</v>
      </c>
      <c r="M4540" s="16" t="str">
        <f t="shared" si="1"/>
        <v>50552 TUPAC AMARU II4 Primaria</v>
      </c>
      <c r="N4540" s="23"/>
      <c r="O4540" s="17"/>
      <c r="P4540" s="17"/>
      <c r="Q4540" s="17"/>
      <c r="R4540" s="17"/>
      <c r="S4540" s="17"/>
      <c r="T4540" s="17"/>
    </row>
    <row r="4541">
      <c r="A4541" s="21">
        <v>669.0</v>
      </c>
      <c r="B4541" s="14" t="s">
        <v>90</v>
      </c>
      <c r="C4541" s="14" t="s">
        <v>14</v>
      </c>
      <c r="D4541" s="20" t="s">
        <v>20</v>
      </c>
      <c r="E4541" s="12" t="str">
        <f>IFERROR(__xludf.DUMMYFUNCTION("FILTER(colegios!$B$2:$B5618,colegios!$A$2:$A5618=L4541)"),"50552 TUPAC AMARU II")</f>
        <v>50552 TUPAC AMARU II</v>
      </c>
      <c r="F4541" s="14" t="s">
        <v>16</v>
      </c>
      <c r="G4541" s="20" t="s">
        <v>21</v>
      </c>
      <c r="H4541" s="14" t="s">
        <v>18</v>
      </c>
      <c r="I4541" s="22">
        <v>2022.0</v>
      </c>
      <c r="J4541" s="16" t="str">
        <f>IFERROR(__xludf.DUMMYFUNCTION("FILTER('CLASFICACIÓN'!$F$3:$F5618,'CLASFICACIÓN'!$G$3:$G5618=M4541)"),"SOLO 2022 Y 2024")</f>
        <v>SOLO 2022 Y 2024</v>
      </c>
      <c r="K4541" s="16"/>
      <c r="L4541" s="14" t="s">
        <v>183</v>
      </c>
      <c r="M4541" s="16" t="str">
        <f t="shared" si="1"/>
        <v>50552 TUPAC AMARU II4 Primaria</v>
      </c>
      <c r="N4541" s="23"/>
      <c r="O4541" s="17"/>
      <c r="P4541" s="17"/>
      <c r="Q4541" s="17"/>
      <c r="R4541" s="17"/>
      <c r="S4541" s="17"/>
      <c r="T4541" s="17"/>
    </row>
    <row r="4542">
      <c r="A4542" s="21">
        <v>670.0</v>
      </c>
      <c r="B4542" s="14" t="s">
        <v>90</v>
      </c>
      <c r="C4542" s="14" t="s">
        <v>14</v>
      </c>
      <c r="D4542" s="20" t="s">
        <v>20</v>
      </c>
      <c r="E4542" s="12" t="str">
        <f>IFERROR(__xludf.DUMMYFUNCTION("FILTER(colegios!$B$2:$B5618,colegios!$A$2:$A5618=L4542)"),"50552 TUPAC AMARU II")</f>
        <v>50552 TUPAC AMARU II</v>
      </c>
      <c r="F4542" s="14" t="s">
        <v>16</v>
      </c>
      <c r="G4542" s="20" t="s">
        <v>17</v>
      </c>
      <c r="H4542" s="14" t="s">
        <v>18</v>
      </c>
      <c r="I4542" s="22">
        <v>2022.0</v>
      </c>
      <c r="J4542" s="16" t="str">
        <f>IFERROR(__xludf.DUMMYFUNCTION("FILTER('CLASFICACIÓN'!$F$3:$F5618,'CLASFICACIÓN'!$G$3:$G5618=M4542)"),"SOLO 2022 Y 2024")</f>
        <v>SOLO 2022 Y 2024</v>
      </c>
      <c r="K4542" s="16"/>
      <c r="L4542" s="14" t="s">
        <v>183</v>
      </c>
      <c r="M4542" s="16" t="str">
        <f t="shared" si="1"/>
        <v>50552 TUPAC AMARU II4 Primaria</v>
      </c>
      <c r="N4542" s="23"/>
      <c r="O4542" s="17"/>
      <c r="P4542" s="17"/>
      <c r="Q4542" s="17"/>
      <c r="R4542" s="17"/>
      <c r="S4542" s="17"/>
      <c r="T4542" s="17"/>
    </row>
    <row r="4543">
      <c r="A4543" s="21">
        <v>671.0</v>
      </c>
      <c r="B4543" s="14" t="s">
        <v>90</v>
      </c>
      <c r="C4543" s="14" t="s">
        <v>14</v>
      </c>
      <c r="D4543" s="20" t="s">
        <v>20</v>
      </c>
      <c r="E4543" s="12" t="str">
        <f>IFERROR(__xludf.DUMMYFUNCTION("FILTER(colegios!$B$2:$B5618,colegios!$A$2:$A5618=L4543)"),"50552 TUPAC AMARU II")</f>
        <v>50552 TUPAC AMARU II</v>
      </c>
      <c r="F4543" s="14" t="s">
        <v>16</v>
      </c>
      <c r="G4543" s="20" t="s">
        <v>21</v>
      </c>
      <c r="H4543" s="14" t="s">
        <v>18</v>
      </c>
      <c r="I4543" s="22">
        <v>2022.0</v>
      </c>
      <c r="J4543" s="16" t="str">
        <f>IFERROR(__xludf.DUMMYFUNCTION("FILTER('CLASFICACIÓN'!$F$3:$F5618,'CLASFICACIÓN'!$G$3:$G5618=M4543)"),"SOLO 2022 Y 2024")</f>
        <v>SOLO 2022 Y 2024</v>
      </c>
      <c r="K4543" s="16"/>
      <c r="L4543" s="14" t="s">
        <v>183</v>
      </c>
      <c r="M4543" s="16" t="str">
        <f t="shared" si="1"/>
        <v>50552 TUPAC AMARU II4 Primaria</v>
      </c>
      <c r="N4543" s="23"/>
      <c r="O4543" s="17"/>
      <c r="P4543" s="17"/>
      <c r="Q4543" s="17"/>
      <c r="R4543" s="17"/>
      <c r="S4543" s="17"/>
      <c r="T4543" s="17"/>
    </row>
    <row r="4544">
      <c r="A4544" s="21">
        <v>672.0</v>
      </c>
      <c r="B4544" s="14" t="s">
        <v>90</v>
      </c>
      <c r="C4544" s="14" t="s">
        <v>14</v>
      </c>
      <c r="D4544" s="20" t="s">
        <v>20</v>
      </c>
      <c r="E4544" s="12" t="str">
        <f>IFERROR(__xludf.DUMMYFUNCTION("FILTER(colegios!$B$2:$B5618,colegios!$A$2:$A5618=L4544)"),"50552 TUPAC AMARU II")</f>
        <v>50552 TUPAC AMARU II</v>
      </c>
      <c r="F4544" s="14" t="s">
        <v>16</v>
      </c>
      <c r="G4544" s="20" t="s">
        <v>21</v>
      </c>
      <c r="H4544" s="14" t="s">
        <v>18</v>
      </c>
      <c r="I4544" s="22">
        <v>2022.0</v>
      </c>
      <c r="J4544" s="16" t="str">
        <f>IFERROR(__xludf.DUMMYFUNCTION("FILTER('CLASFICACIÓN'!$F$3:$F5618,'CLASFICACIÓN'!$G$3:$G5618=M4544)"),"SOLO 2022 Y 2024")</f>
        <v>SOLO 2022 Y 2024</v>
      </c>
      <c r="K4544" s="16"/>
      <c r="L4544" s="14" t="s">
        <v>183</v>
      </c>
      <c r="M4544" s="16" t="str">
        <f t="shared" si="1"/>
        <v>50552 TUPAC AMARU II4 Primaria</v>
      </c>
      <c r="N4544" s="23"/>
      <c r="O4544" s="17"/>
      <c r="P4544" s="17"/>
      <c r="Q4544" s="17"/>
      <c r="R4544" s="17"/>
      <c r="S4544" s="17"/>
      <c r="T4544" s="17"/>
    </row>
    <row r="4545">
      <c r="A4545" s="21">
        <v>673.0</v>
      </c>
      <c r="B4545" s="14" t="s">
        <v>90</v>
      </c>
      <c r="C4545" s="14" t="s">
        <v>14</v>
      </c>
      <c r="D4545" s="20" t="s">
        <v>20</v>
      </c>
      <c r="E4545" s="12" t="str">
        <f>IFERROR(__xludf.DUMMYFUNCTION("FILTER(colegios!$B$2:$B5618,colegios!$A$2:$A5618=L4545)"),"50552 TUPAC AMARU II")</f>
        <v>50552 TUPAC AMARU II</v>
      </c>
      <c r="F4545" s="14" t="s">
        <v>16</v>
      </c>
      <c r="G4545" s="20" t="s">
        <v>17</v>
      </c>
      <c r="H4545" s="14" t="s">
        <v>18</v>
      </c>
      <c r="I4545" s="22">
        <v>2022.0</v>
      </c>
      <c r="J4545" s="16" t="str">
        <f>IFERROR(__xludf.DUMMYFUNCTION("FILTER('CLASFICACIÓN'!$F$3:$F5618,'CLASFICACIÓN'!$G$3:$G5618=M4545)"),"SOLO 2022 Y 2024")</f>
        <v>SOLO 2022 Y 2024</v>
      </c>
      <c r="K4545" s="16"/>
      <c r="L4545" s="14" t="s">
        <v>183</v>
      </c>
      <c r="M4545" s="16" t="str">
        <f t="shared" si="1"/>
        <v>50552 TUPAC AMARU II4 Primaria</v>
      </c>
      <c r="N4545" s="23"/>
      <c r="O4545" s="17"/>
      <c r="P4545" s="17"/>
      <c r="Q4545" s="17"/>
      <c r="R4545" s="17"/>
      <c r="S4545" s="17"/>
      <c r="T4545" s="17"/>
    </row>
    <row r="4546">
      <c r="A4546" s="21">
        <v>674.0</v>
      </c>
      <c r="B4546" s="14" t="s">
        <v>90</v>
      </c>
      <c r="C4546" s="14" t="s">
        <v>14</v>
      </c>
      <c r="D4546" s="20" t="s">
        <v>20</v>
      </c>
      <c r="E4546" s="12" t="str">
        <f>IFERROR(__xludf.DUMMYFUNCTION("FILTER(colegios!$B$2:$B5618,colegios!$A$2:$A5618=L4546)"),"50552 TUPAC AMARU II")</f>
        <v>50552 TUPAC AMARU II</v>
      </c>
      <c r="F4546" s="14" t="s">
        <v>16</v>
      </c>
      <c r="G4546" s="20" t="s">
        <v>17</v>
      </c>
      <c r="H4546" s="14" t="s">
        <v>18</v>
      </c>
      <c r="I4546" s="22">
        <v>2022.0</v>
      </c>
      <c r="J4546" s="16" t="str">
        <f>IFERROR(__xludf.DUMMYFUNCTION("FILTER('CLASFICACIÓN'!$F$3:$F5618,'CLASFICACIÓN'!$G$3:$G5618=M4546)"),"SOLO 2022 Y 2024")</f>
        <v>SOLO 2022 Y 2024</v>
      </c>
      <c r="K4546" s="16"/>
      <c r="L4546" s="14" t="s">
        <v>183</v>
      </c>
      <c r="M4546" s="16" t="str">
        <f t="shared" si="1"/>
        <v>50552 TUPAC AMARU II4 Primaria</v>
      </c>
      <c r="N4546" s="23"/>
      <c r="O4546" s="17"/>
      <c r="P4546" s="17"/>
      <c r="Q4546" s="17"/>
      <c r="R4546" s="17"/>
      <c r="S4546" s="17"/>
      <c r="T4546" s="17"/>
    </row>
    <row r="4547">
      <c r="A4547" s="21">
        <v>675.0</v>
      </c>
      <c r="B4547" s="14" t="s">
        <v>90</v>
      </c>
      <c r="C4547" s="14" t="s">
        <v>14</v>
      </c>
      <c r="D4547" s="20" t="s">
        <v>20</v>
      </c>
      <c r="E4547" s="12" t="str">
        <f>IFERROR(__xludf.DUMMYFUNCTION("FILTER(colegios!$B$2:$B5618,colegios!$A$2:$A5618=L4547)"),"50552 TUPAC AMARU II")</f>
        <v>50552 TUPAC AMARU II</v>
      </c>
      <c r="F4547" s="14" t="s">
        <v>16</v>
      </c>
      <c r="G4547" s="20" t="s">
        <v>17</v>
      </c>
      <c r="H4547" s="14" t="s">
        <v>18</v>
      </c>
      <c r="I4547" s="22">
        <v>2022.0</v>
      </c>
      <c r="J4547" s="16" t="str">
        <f>IFERROR(__xludf.DUMMYFUNCTION("FILTER('CLASFICACIÓN'!$F$3:$F5618,'CLASFICACIÓN'!$G$3:$G5618=M4547)"),"SOLO 2022 Y 2024")</f>
        <v>SOLO 2022 Y 2024</v>
      </c>
      <c r="K4547" s="16"/>
      <c r="L4547" s="14" t="s">
        <v>183</v>
      </c>
      <c r="M4547" s="16" t="str">
        <f t="shared" si="1"/>
        <v>50552 TUPAC AMARU II4 Primaria</v>
      </c>
      <c r="N4547" s="23"/>
      <c r="O4547" s="17"/>
      <c r="P4547" s="17"/>
      <c r="Q4547" s="17"/>
      <c r="R4547" s="17"/>
      <c r="S4547" s="17"/>
      <c r="T4547" s="17"/>
    </row>
    <row r="4548">
      <c r="A4548" s="21">
        <v>676.0</v>
      </c>
      <c r="B4548" s="14" t="s">
        <v>90</v>
      </c>
      <c r="C4548" s="14" t="s">
        <v>14</v>
      </c>
      <c r="D4548" s="20" t="s">
        <v>20</v>
      </c>
      <c r="E4548" s="12" t="str">
        <f>IFERROR(__xludf.DUMMYFUNCTION("FILTER(colegios!$B$2:$B5618,colegios!$A$2:$A5618=L4548)"),"50552 TUPAC AMARU II")</f>
        <v>50552 TUPAC AMARU II</v>
      </c>
      <c r="F4548" s="14" t="s">
        <v>16</v>
      </c>
      <c r="G4548" s="20" t="s">
        <v>21</v>
      </c>
      <c r="H4548" s="14" t="s">
        <v>18</v>
      </c>
      <c r="I4548" s="22">
        <v>2022.0</v>
      </c>
      <c r="J4548" s="16" t="str">
        <f>IFERROR(__xludf.DUMMYFUNCTION("FILTER('CLASFICACIÓN'!$F$3:$F5618,'CLASFICACIÓN'!$G$3:$G5618=M4548)"),"SOLO 2022 Y 2024")</f>
        <v>SOLO 2022 Y 2024</v>
      </c>
      <c r="K4548" s="16"/>
      <c r="L4548" s="14" t="s">
        <v>183</v>
      </c>
      <c r="M4548" s="16" t="str">
        <f t="shared" si="1"/>
        <v>50552 TUPAC AMARU II4 Primaria</v>
      </c>
      <c r="N4548" s="23"/>
      <c r="O4548" s="17"/>
      <c r="P4548" s="17"/>
      <c r="Q4548" s="17"/>
      <c r="R4548" s="17"/>
      <c r="S4548" s="17"/>
      <c r="T4548" s="17"/>
    </row>
    <row r="4549">
      <c r="A4549" s="21">
        <v>677.0</v>
      </c>
      <c r="B4549" s="14" t="s">
        <v>90</v>
      </c>
      <c r="C4549" s="14" t="s">
        <v>14</v>
      </c>
      <c r="D4549" s="20" t="s">
        <v>20</v>
      </c>
      <c r="E4549" s="12" t="str">
        <f>IFERROR(__xludf.DUMMYFUNCTION("FILTER(colegios!$B$2:$B5618,colegios!$A$2:$A5618=L4549)"),"50552 TUPAC AMARU II")</f>
        <v>50552 TUPAC AMARU II</v>
      </c>
      <c r="F4549" s="14" t="s">
        <v>16</v>
      </c>
      <c r="G4549" s="20" t="s">
        <v>21</v>
      </c>
      <c r="H4549" s="14" t="s">
        <v>18</v>
      </c>
      <c r="I4549" s="22">
        <v>2022.0</v>
      </c>
      <c r="J4549" s="16" t="str">
        <f>IFERROR(__xludf.DUMMYFUNCTION("FILTER('CLASFICACIÓN'!$F$3:$F5618,'CLASFICACIÓN'!$G$3:$G5618=M4549)"),"SOLO 2022 Y 2024")</f>
        <v>SOLO 2022 Y 2024</v>
      </c>
      <c r="K4549" s="16"/>
      <c r="L4549" s="14" t="s">
        <v>183</v>
      </c>
      <c r="M4549" s="16" t="str">
        <f t="shared" si="1"/>
        <v>50552 TUPAC AMARU II4 Primaria</v>
      </c>
      <c r="N4549" s="23"/>
      <c r="O4549" s="17"/>
      <c r="P4549" s="17"/>
      <c r="Q4549" s="17"/>
      <c r="R4549" s="17"/>
      <c r="S4549" s="17"/>
      <c r="T4549" s="17"/>
    </row>
    <row r="4550">
      <c r="A4550" s="21">
        <v>678.0</v>
      </c>
      <c r="B4550" s="14" t="s">
        <v>90</v>
      </c>
      <c r="C4550" s="14" t="s">
        <v>14</v>
      </c>
      <c r="D4550" s="20" t="s">
        <v>20</v>
      </c>
      <c r="E4550" s="12" t="str">
        <f>IFERROR(__xludf.DUMMYFUNCTION("FILTER(colegios!$B$2:$B5618,colegios!$A$2:$A5618=L4550)"),"50552 TUPAC AMARU II")</f>
        <v>50552 TUPAC AMARU II</v>
      </c>
      <c r="F4550" s="14" t="s">
        <v>16</v>
      </c>
      <c r="G4550" s="20" t="s">
        <v>17</v>
      </c>
      <c r="H4550" s="14" t="s">
        <v>18</v>
      </c>
      <c r="I4550" s="22">
        <v>2022.0</v>
      </c>
      <c r="J4550" s="16" t="str">
        <f>IFERROR(__xludf.DUMMYFUNCTION("FILTER('CLASFICACIÓN'!$F$3:$F5618,'CLASFICACIÓN'!$G$3:$G5618=M4550)"),"SOLO 2022 Y 2024")</f>
        <v>SOLO 2022 Y 2024</v>
      </c>
      <c r="K4550" s="16"/>
      <c r="L4550" s="14" t="s">
        <v>183</v>
      </c>
      <c r="M4550" s="16" t="str">
        <f t="shared" si="1"/>
        <v>50552 TUPAC AMARU II4 Primaria</v>
      </c>
      <c r="N4550" s="23"/>
      <c r="O4550" s="17"/>
      <c r="P4550" s="17"/>
      <c r="Q4550" s="17"/>
      <c r="R4550" s="17"/>
      <c r="S4550" s="17"/>
      <c r="T4550" s="17"/>
    </row>
    <row r="4551">
      <c r="A4551" s="21">
        <v>679.0</v>
      </c>
      <c r="B4551" s="14" t="s">
        <v>90</v>
      </c>
      <c r="C4551" s="14" t="s">
        <v>14</v>
      </c>
      <c r="D4551" s="20" t="s">
        <v>20</v>
      </c>
      <c r="E4551" s="12" t="str">
        <f>IFERROR(__xludf.DUMMYFUNCTION("FILTER(colegios!$B$2:$B5618,colegios!$A$2:$A5618=L4551)"),"50552 TUPAC AMARU II")</f>
        <v>50552 TUPAC AMARU II</v>
      </c>
      <c r="F4551" s="14" t="s">
        <v>16</v>
      </c>
      <c r="G4551" s="20" t="s">
        <v>17</v>
      </c>
      <c r="H4551" s="14" t="s">
        <v>18</v>
      </c>
      <c r="I4551" s="22">
        <v>2022.0</v>
      </c>
      <c r="J4551" s="16" t="str">
        <f>IFERROR(__xludf.DUMMYFUNCTION("FILTER('CLASFICACIÓN'!$F$3:$F5618,'CLASFICACIÓN'!$G$3:$G5618=M4551)"),"SOLO 2022 Y 2024")</f>
        <v>SOLO 2022 Y 2024</v>
      </c>
      <c r="K4551" s="16"/>
      <c r="L4551" s="14" t="s">
        <v>183</v>
      </c>
      <c r="M4551" s="16" t="str">
        <f t="shared" si="1"/>
        <v>50552 TUPAC AMARU II4 Primaria</v>
      </c>
      <c r="N4551" s="23"/>
      <c r="O4551" s="17"/>
      <c r="P4551" s="17"/>
      <c r="Q4551" s="17"/>
      <c r="R4551" s="17"/>
      <c r="S4551" s="17"/>
      <c r="T4551" s="17"/>
    </row>
    <row r="4552">
      <c r="A4552" s="21">
        <v>680.0</v>
      </c>
      <c r="B4552" s="14" t="s">
        <v>90</v>
      </c>
      <c r="C4552" s="14" t="s">
        <v>14</v>
      </c>
      <c r="D4552" s="20" t="s">
        <v>20</v>
      </c>
      <c r="E4552" s="12" t="str">
        <f>IFERROR(__xludf.DUMMYFUNCTION("FILTER(colegios!$B$2:$B5618,colegios!$A$2:$A5618=L4552)"),"50552 TUPAC AMARU II")</f>
        <v>50552 TUPAC AMARU II</v>
      </c>
      <c r="F4552" s="14" t="s">
        <v>16</v>
      </c>
      <c r="G4552" s="20" t="s">
        <v>17</v>
      </c>
      <c r="H4552" s="14" t="s">
        <v>18</v>
      </c>
      <c r="I4552" s="22">
        <v>2022.0</v>
      </c>
      <c r="J4552" s="16" t="str">
        <f>IFERROR(__xludf.DUMMYFUNCTION("FILTER('CLASFICACIÓN'!$F$3:$F5618,'CLASFICACIÓN'!$G$3:$G5618=M4552)"),"SOLO 2022 Y 2024")</f>
        <v>SOLO 2022 Y 2024</v>
      </c>
      <c r="K4552" s="16"/>
      <c r="L4552" s="14" t="s">
        <v>183</v>
      </c>
      <c r="M4552" s="16" t="str">
        <f t="shared" si="1"/>
        <v>50552 TUPAC AMARU II4 Primaria</v>
      </c>
      <c r="N4552" s="23"/>
      <c r="O4552" s="17"/>
      <c r="P4552" s="17"/>
      <c r="Q4552" s="17"/>
      <c r="R4552" s="17"/>
      <c r="S4552" s="17"/>
      <c r="T4552" s="17"/>
    </row>
    <row r="4553">
      <c r="A4553" s="21">
        <v>681.0</v>
      </c>
      <c r="B4553" s="14" t="s">
        <v>90</v>
      </c>
      <c r="C4553" s="14" t="s">
        <v>14</v>
      </c>
      <c r="D4553" s="20" t="s">
        <v>20</v>
      </c>
      <c r="E4553" s="12" t="str">
        <f>IFERROR(__xludf.DUMMYFUNCTION("FILTER(colegios!$B$2:$B5618,colegios!$A$2:$A5618=L4553)"),"50552 TUPAC AMARU II")</f>
        <v>50552 TUPAC AMARU II</v>
      </c>
      <c r="F4553" s="14" t="s">
        <v>16</v>
      </c>
      <c r="G4553" s="20" t="s">
        <v>21</v>
      </c>
      <c r="H4553" s="14" t="s">
        <v>18</v>
      </c>
      <c r="I4553" s="22">
        <v>2022.0</v>
      </c>
      <c r="J4553" s="16" t="str">
        <f>IFERROR(__xludf.DUMMYFUNCTION("FILTER('CLASFICACIÓN'!$F$3:$F5618,'CLASFICACIÓN'!$G$3:$G5618=M4553)"),"SOLO 2022 Y 2024")</f>
        <v>SOLO 2022 Y 2024</v>
      </c>
      <c r="K4553" s="16"/>
      <c r="L4553" s="14" t="s">
        <v>183</v>
      </c>
      <c r="M4553" s="16" t="str">
        <f t="shared" si="1"/>
        <v>50552 TUPAC AMARU II4 Primaria</v>
      </c>
      <c r="N4553" s="23"/>
      <c r="O4553" s="17"/>
      <c r="P4553" s="17"/>
      <c r="Q4553" s="17"/>
      <c r="R4553" s="17"/>
      <c r="S4553" s="17"/>
      <c r="T4553" s="17"/>
    </row>
    <row r="4554">
      <c r="A4554" s="21">
        <v>682.0</v>
      </c>
      <c r="B4554" s="14" t="s">
        <v>90</v>
      </c>
      <c r="C4554" s="14" t="s">
        <v>14</v>
      </c>
      <c r="D4554" s="20" t="s">
        <v>20</v>
      </c>
      <c r="E4554" s="12" t="str">
        <f>IFERROR(__xludf.DUMMYFUNCTION("FILTER(colegios!$B$2:$B5618,colegios!$A$2:$A5618=L4554)"),"50552 TUPAC AMARU II")</f>
        <v>50552 TUPAC AMARU II</v>
      </c>
      <c r="F4554" s="14" t="s">
        <v>16</v>
      </c>
      <c r="G4554" s="20" t="s">
        <v>21</v>
      </c>
      <c r="H4554" s="14" t="s">
        <v>18</v>
      </c>
      <c r="I4554" s="22">
        <v>2022.0</v>
      </c>
      <c r="J4554" s="16" t="str">
        <f>IFERROR(__xludf.DUMMYFUNCTION("FILTER('CLASFICACIÓN'!$F$3:$F5618,'CLASFICACIÓN'!$G$3:$G5618=M4554)"),"SOLO 2022 Y 2024")</f>
        <v>SOLO 2022 Y 2024</v>
      </c>
      <c r="K4554" s="16"/>
      <c r="L4554" s="14" t="s">
        <v>183</v>
      </c>
      <c r="M4554" s="16" t="str">
        <f t="shared" si="1"/>
        <v>50552 TUPAC AMARU II4 Primaria</v>
      </c>
      <c r="N4554" s="23"/>
      <c r="O4554" s="17"/>
      <c r="P4554" s="17"/>
      <c r="Q4554" s="17"/>
      <c r="R4554" s="17"/>
      <c r="S4554" s="17"/>
      <c r="T4554" s="17"/>
    </row>
    <row r="4555">
      <c r="A4555" s="21">
        <v>683.0</v>
      </c>
      <c r="B4555" s="14" t="s">
        <v>90</v>
      </c>
      <c r="C4555" s="14" t="s">
        <v>14</v>
      </c>
      <c r="D4555" s="20" t="s">
        <v>20</v>
      </c>
      <c r="E4555" s="12" t="str">
        <f>IFERROR(__xludf.DUMMYFUNCTION("FILTER(colegios!$B$2:$B5618,colegios!$A$2:$A5618=L4555)"),"50552 TUPAC AMARU II")</f>
        <v>50552 TUPAC AMARU II</v>
      </c>
      <c r="F4555" s="14" t="s">
        <v>16</v>
      </c>
      <c r="G4555" s="20" t="s">
        <v>21</v>
      </c>
      <c r="H4555" s="14" t="s">
        <v>18</v>
      </c>
      <c r="I4555" s="22">
        <v>2022.0</v>
      </c>
      <c r="J4555" s="16" t="str">
        <f>IFERROR(__xludf.DUMMYFUNCTION("FILTER('CLASFICACIÓN'!$F$3:$F5618,'CLASFICACIÓN'!$G$3:$G5618=M4555)"),"SOLO 2022 Y 2024")</f>
        <v>SOLO 2022 Y 2024</v>
      </c>
      <c r="K4555" s="16"/>
      <c r="L4555" s="14" t="s">
        <v>183</v>
      </c>
      <c r="M4555" s="16" t="str">
        <f t="shared" si="1"/>
        <v>50552 TUPAC AMARU II4 Primaria</v>
      </c>
      <c r="N4555" s="23"/>
      <c r="O4555" s="17"/>
      <c r="P4555" s="17"/>
      <c r="Q4555" s="17"/>
      <c r="R4555" s="17"/>
      <c r="S4555" s="17"/>
      <c r="T4555" s="17"/>
    </row>
    <row r="4556">
      <c r="A4556" s="21">
        <v>684.0</v>
      </c>
      <c r="B4556" s="14" t="s">
        <v>90</v>
      </c>
      <c r="C4556" s="14" t="s">
        <v>14</v>
      </c>
      <c r="D4556" s="20" t="s">
        <v>20</v>
      </c>
      <c r="E4556" s="12" t="str">
        <f>IFERROR(__xludf.DUMMYFUNCTION("FILTER(colegios!$B$2:$B5618,colegios!$A$2:$A5618=L4556)"),"50552 TUPAC AMARU II")</f>
        <v>50552 TUPAC AMARU II</v>
      </c>
      <c r="F4556" s="14" t="s">
        <v>16</v>
      </c>
      <c r="G4556" s="20" t="s">
        <v>21</v>
      </c>
      <c r="H4556" s="14" t="s">
        <v>18</v>
      </c>
      <c r="I4556" s="22">
        <v>2022.0</v>
      </c>
      <c r="J4556" s="16" t="str">
        <f>IFERROR(__xludf.DUMMYFUNCTION("FILTER('CLASFICACIÓN'!$F$3:$F5618,'CLASFICACIÓN'!$G$3:$G5618=M4556)"),"SOLO 2022 Y 2024")</f>
        <v>SOLO 2022 Y 2024</v>
      </c>
      <c r="K4556" s="16"/>
      <c r="L4556" s="14" t="s">
        <v>183</v>
      </c>
      <c r="M4556" s="16" t="str">
        <f t="shared" si="1"/>
        <v>50552 TUPAC AMARU II4 Primaria</v>
      </c>
      <c r="N4556" s="23"/>
      <c r="O4556" s="17"/>
      <c r="P4556" s="17"/>
      <c r="Q4556" s="17"/>
      <c r="R4556" s="17"/>
      <c r="S4556" s="17"/>
      <c r="T4556" s="17"/>
    </row>
    <row r="4557">
      <c r="A4557" s="21">
        <v>685.0</v>
      </c>
      <c r="B4557" s="14" t="s">
        <v>90</v>
      </c>
      <c r="C4557" s="14" t="s">
        <v>14</v>
      </c>
      <c r="D4557" s="20" t="s">
        <v>20</v>
      </c>
      <c r="E4557" s="12" t="str">
        <f>IFERROR(__xludf.DUMMYFUNCTION("FILTER(colegios!$B$2:$B5618,colegios!$A$2:$A5618=L4557)"),"50552 TUPAC AMARU II")</f>
        <v>50552 TUPAC AMARU II</v>
      </c>
      <c r="F4557" s="14" t="s">
        <v>16</v>
      </c>
      <c r="G4557" s="20" t="s">
        <v>21</v>
      </c>
      <c r="H4557" s="14" t="s">
        <v>18</v>
      </c>
      <c r="I4557" s="22">
        <v>2022.0</v>
      </c>
      <c r="J4557" s="16" t="str">
        <f>IFERROR(__xludf.DUMMYFUNCTION("FILTER('CLASFICACIÓN'!$F$3:$F5618,'CLASFICACIÓN'!$G$3:$G5618=M4557)"),"SOLO 2022 Y 2024")</f>
        <v>SOLO 2022 Y 2024</v>
      </c>
      <c r="K4557" s="16"/>
      <c r="L4557" s="14" t="s">
        <v>183</v>
      </c>
      <c r="M4557" s="16" t="str">
        <f t="shared" si="1"/>
        <v>50552 TUPAC AMARU II4 Primaria</v>
      </c>
      <c r="N4557" s="23"/>
      <c r="O4557" s="17"/>
      <c r="P4557" s="17"/>
      <c r="Q4557" s="17"/>
      <c r="R4557" s="17"/>
      <c r="S4557" s="17"/>
      <c r="T4557" s="17"/>
    </row>
    <row r="4558">
      <c r="A4558" s="21">
        <v>686.0</v>
      </c>
      <c r="B4558" s="14" t="s">
        <v>90</v>
      </c>
      <c r="C4558" s="14" t="s">
        <v>14</v>
      </c>
      <c r="D4558" s="20" t="s">
        <v>20</v>
      </c>
      <c r="E4558" s="12" t="str">
        <f>IFERROR(__xludf.DUMMYFUNCTION("FILTER(colegios!$B$2:$B5618,colegios!$A$2:$A5618=L4558)"),"50552 TUPAC AMARU II")</f>
        <v>50552 TUPAC AMARU II</v>
      </c>
      <c r="F4558" s="14" t="s">
        <v>16</v>
      </c>
      <c r="G4558" s="20" t="s">
        <v>17</v>
      </c>
      <c r="H4558" s="14" t="s">
        <v>18</v>
      </c>
      <c r="I4558" s="22">
        <v>2022.0</v>
      </c>
      <c r="J4558" s="16" t="str">
        <f>IFERROR(__xludf.DUMMYFUNCTION("FILTER('CLASFICACIÓN'!$F$3:$F5618,'CLASFICACIÓN'!$G$3:$G5618=M4558)"),"SOLO 2022 Y 2024")</f>
        <v>SOLO 2022 Y 2024</v>
      </c>
      <c r="K4558" s="16"/>
      <c r="L4558" s="14" t="s">
        <v>183</v>
      </c>
      <c r="M4558" s="16" t="str">
        <f t="shared" si="1"/>
        <v>50552 TUPAC AMARU II4 Primaria</v>
      </c>
      <c r="N4558" s="23"/>
      <c r="O4558" s="17"/>
      <c r="P4558" s="17"/>
      <c r="Q4558" s="17"/>
      <c r="R4558" s="17"/>
      <c r="S4558" s="17"/>
      <c r="T4558" s="17"/>
    </row>
    <row r="4559">
      <c r="A4559" s="21">
        <v>687.0</v>
      </c>
      <c r="B4559" s="14" t="s">
        <v>90</v>
      </c>
      <c r="C4559" s="14" t="s">
        <v>14</v>
      </c>
      <c r="D4559" s="20" t="s">
        <v>20</v>
      </c>
      <c r="E4559" s="12" t="str">
        <f>IFERROR(__xludf.DUMMYFUNCTION("FILTER(colegios!$B$2:$B5618,colegios!$A$2:$A5618=L4559)"),"50552 TUPAC AMARU II")</f>
        <v>50552 TUPAC AMARU II</v>
      </c>
      <c r="F4559" s="14" t="s">
        <v>16</v>
      </c>
      <c r="G4559" s="20" t="s">
        <v>21</v>
      </c>
      <c r="H4559" s="14" t="s">
        <v>18</v>
      </c>
      <c r="I4559" s="22">
        <v>2022.0</v>
      </c>
      <c r="J4559" s="16" t="str">
        <f>IFERROR(__xludf.DUMMYFUNCTION("FILTER('CLASFICACIÓN'!$F$3:$F5618,'CLASFICACIÓN'!$G$3:$G5618=M4559)"),"SOLO 2022 Y 2024")</f>
        <v>SOLO 2022 Y 2024</v>
      </c>
      <c r="K4559" s="16"/>
      <c r="L4559" s="14" t="s">
        <v>183</v>
      </c>
      <c r="M4559" s="16" t="str">
        <f t="shared" si="1"/>
        <v>50552 TUPAC AMARU II4 Primaria</v>
      </c>
      <c r="N4559" s="23"/>
      <c r="O4559" s="17"/>
      <c r="P4559" s="17"/>
      <c r="Q4559" s="17"/>
      <c r="R4559" s="17"/>
      <c r="S4559" s="17"/>
      <c r="T4559" s="17"/>
    </row>
    <row r="4560">
      <c r="A4560" s="21">
        <v>688.0</v>
      </c>
      <c r="B4560" s="14" t="s">
        <v>90</v>
      </c>
      <c r="C4560" s="14" t="s">
        <v>14</v>
      </c>
      <c r="D4560" s="20" t="s">
        <v>20</v>
      </c>
      <c r="E4560" s="12" t="str">
        <f>IFERROR(__xludf.DUMMYFUNCTION("FILTER(colegios!$B$2:$B5618,colegios!$A$2:$A5618=L4560)"),"50552 TUPAC AMARU II")</f>
        <v>50552 TUPAC AMARU II</v>
      </c>
      <c r="F4560" s="14" t="s">
        <v>16</v>
      </c>
      <c r="G4560" s="20" t="s">
        <v>21</v>
      </c>
      <c r="H4560" s="14" t="s">
        <v>18</v>
      </c>
      <c r="I4560" s="22">
        <v>2022.0</v>
      </c>
      <c r="J4560" s="16" t="str">
        <f>IFERROR(__xludf.DUMMYFUNCTION("FILTER('CLASFICACIÓN'!$F$3:$F5618,'CLASFICACIÓN'!$G$3:$G5618=M4560)"),"SOLO 2022 Y 2024")</f>
        <v>SOLO 2022 Y 2024</v>
      </c>
      <c r="K4560" s="16"/>
      <c r="L4560" s="14" t="s">
        <v>183</v>
      </c>
      <c r="M4560" s="16" t="str">
        <f t="shared" si="1"/>
        <v>50552 TUPAC AMARU II4 Primaria</v>
      </c>
      <c r="N4560" s="23"/>
      <c r="O4560" s="17"/>
      <c r="P4560" s="17"/>
      <c r="Q4560" s="17"/>
      <c r="R4560" s="17"/>
      <c r="S4560" s="17"/>
      <c r="T4560" s="17"/>
    </row>
    <row r="4561">
      <c r="A4561" s="21">
        <v>689.0</v>
      </c>
      <c r="B4561" s="14" t="s">
        <v>90</v>
      </c>
      <c r="C4561" s="14" t="s">
        <v>14</v>
      </c>
      <c r="D4561" s="20" t="s">
        <v>20</v>
      </c>
      <c r="E4561" s="12" t="str">
        <f>IFERROR(__xludf.DUMMYFUNCTION("FILTER(colegios!$B$2:$B5618,colegios!$A$2:$A5618=L4561)"),"50552 TUPAC AMARU II")</f>
        <v>50552 TUPAC AMARU II</v>
      </c>
      <c r="F4561" s="14" t="s">
        <v>16</v>
      </c>
      <c r="G4561" s="20" t="s">
        <v>17</v>
      </c>
      <c r="H4561" s="14" t="s">
        <v>18</v>
      </c>
      <c r="I4561" s="22">
        <v>2022.0</v>
      </c>
      <c r="J4561" s="16" t="str">
        <f>IFERROR(__xludf.DUMMYFUNCTION("FILTER('CLASFICACIÓN'!$F$3:$F5618,'CLASFICACIÓN'!$G$3:$G5618=M4561)"),"SOLO 2022 Y 2024")</f>
        <v>SOLO 2022 Y 2024</v>
      </c>
      <c r="K4561" s="16"/>
      <c r="L4561" s="14" t="s">
        <v>183</v>
      </c>
      <c r="M4561" s="16" t="str">
        <f t="shared" si="1"/>
        <v>50552 TUPAC AMARU II4 Primaria</v>
      </c>
      <c r="N4561" s="23"/>
      <c r="O4561" s="17"/>
      <c r="P4561" s="17"/>
      <c r="Q4561" s="17"/>
      <c r="R4561" s="17"/>
      <c r="S4561" s="17"/>
      <c r="T4561" s="17"/>
    </row>
    <row r="4562">
      <c r="A4562" s="21">
        <v>690.0</v>
      </c>
      <c r="B4562" s="14" t="s">
        <v>90</v>
      </c>
      <c r="C4562" s="14" t="s">
        <v>14</v>
      </c>
      <c r="D4562" s="20" t="s">
        <v>20</v>
      </c>
      <c r="E4562" s="12" t="str">
        <f>IFERROR(__xludf.DUMMYFUNCTION("FILTER(colegios!$B$2:$B5618,colegios!$A$2:$A5618=L4562)"),"50552 TUPAC AMARU II")</f>
        <v>50552 TUPAC AMARU II</v>
      </c>
      <c r="F4562" s="14" t="s">
        <v>16</v>
      </c>
      <c r="G4562" s="20" t="s">
        <v>17</v>
      </c>
      <c r="H4562" s="14" t="s">
        <v>18</v>
      </c>
      <c r="I4562" s="22">
        <v>2022.0</v>
      </c>
      <c r="J4562" s="16" t="str">
        <f>IFERROR(__xludf.DUMMYFUNCTION("FILTER('CLASFICACIÓN'!$F$3:$F5618,'CLASFICACIÓN'!$G$3:$G5618=M4562)"),"SOLO 2022 Y 2024")</f>
        <v>SOLO 2022 Y 2024</v>
      </c>
      <c r="K4562" s="16"/>
      <c r="L4562" s="14" t="s">
        <v>183</v>
      </c>
      <c r="M4562" s="16" t="str">
        <f t="shared" si="1"/>
        <v>50552 TUPAC AMARU II4 Primaria</v>
      </c>
      <c r="N4562" s="23"/>
      <c r="O4562" s="17"/>
      <c r="P4562" s="17"/>
      <c r="Q4562" s="17"/>
      <c r="R4562" s="17"/>
      <c r="S4562" s="17"/>
      <c r="T4562" s="17"/>
    </row>
    <row r="4563">
      <c r="A4563" s="21">
        <v>691.0</v>
      </c>
      <c r="B4563" s="14" t="s">
        <v>90</v>
      </c>
      <c r="C4563" s="14" t="s">
        <v>14</v>
      </c>
      <c r="D4563" s="20" t="s">
        <v>20</v>
      </c>
      <c r="E4563" s="12" t="str">
        <f>IFERROR(__xludf.DUMMYFUNCTION("FILTER(colegios!$B$2:$B5618,colegios!$A$2:$A5618=L4563)"),"50552 TUPAC AMARU II")</f>
        <v>50552 TUPAC AMARU II</v>
      </c>
      <c r="F4563" s="14" t="s">
        <v>16</v>
      </c>
      <c r="G4563" s="20" t="s">
        <v>17</v>
      </c>
      <c r="H4563" s="14" t="s">
        <v>18</v>
      </c>
      <c r="I4563" s="22">
        <v>2022.0</v>
      </c>
      <c r="J4563" s="16" t="str">
        <f>IFERROR(__xludf.DUMMYFUNCTION("FILTER('CLASFICACIÓN'!$F$3:$F5618,'CLASFICACIÓN'!$G$3:$G5618=M4563)"),"SOLO 2022 Y 2024")</f>
        <v>SOLO 2022 Y 2024</v>
      </c>
      <c r="K4563" s="16"/>
      <c r="L4563" s="14" t="s">
        <v>183</v>
      </c>
      <c r="M4563" s="16" t="str">
        <f t="shared" si="1"/>
        <v>50552 TUPAC AMARU II4 Primaria</v>
      </c>
      <c r="N4563" s="23"/>
      <c r="O4563" s="17"/>
      <c r="P4563" s="17"/>
      <c r="Q4563" s="17"/>
      <c r="R4563" s="17"/>
      <c r="S4563" s="17"/>
      <c r="T4563" s="17"/>
    </row>
    <row r="4564">
      <c r="A4564" s="21">
        <v>692.0</v>
      </c>
      <c r="B4564" s="14" t="s">
        <v>90</v>
      </c>
      <c r="C4564" s="14" t="s">
        <v>14</v>
      </c>
      <c r="D4564" s="20" t="s">
        <v>20</v>
      </c>
      <c r="E4564" s="12" t="str">
        <f>IFERROR(__xludf.DUMMYFUNCTION("FILTER(colegios!$B$2:$B5618,colegios!$A$2:$A5618=L4564)"),"50552 TUPAC AMARU II")</f>
        <v>50552 TUPAC AMARU II</v>
      </c>
      <c r="F4564" s="14" t="s">
        <v>16</v>
      </c>
      <c r="G4564" s="20" t="s">
        <v>21</v>
      </c>
      <c r="H4564" s="14" t="s">
        <v>18</v>
      </c>
      <c r="I4564" s="22">
        <v>2022.0</v>
      </c>
      <c r="J4564" s="16" t="str">
        <f>IFERROR(__xludf.DUMMYFUNCTION("FILTER('CLASFICACIÓN'!$F$3:$F5618,'CLASFICACIÓN'!$G$3:$G5618=M4564)"),"SOLO 2022 Y 2024")</f>
        <v>SOLO 2022 Y 2024</v>
      </c>
      <c r="K4564" s="16"/>
      <c r="L4564" s="14" t="s">
        <v>183</v>
      </c>
      <c r="M4564" s="16" t="str">
        <f t="shared" si="1"/>
        <v>50552 TUPAC AMARU II4 Primaria</v>
      </c>
      <c r="N4564" s="23"/>
      <c r="O4564" s="17"/>
      <c r="P4564" s="17"/>
      <c r="Q4564" s="17"/>
      <c r="R4564" s="17"/>
      <c r="S4564" s="17"/>
      <c r="T4564" s="17"/>
    </row>
    <row r="4565">
      <c r="A4565" s="21">
        <v>693.0</v>
      </c>
      <c r="B4565" s="14" t="s">
        <v>90</v>
      </c>
      <c r="C4565" s="14" t="s">
        <v>14</v>
      </c>
      <c r="D4565" s="20" t="s">
        <v>20</v>
      </c>
      <c r="E4565" s="12" t="str">
        <f>IFERROR(__xludf.DUMMYFUNCTION("FILTER(colegios!$B$2:$B5618,colegios!$A$2:$A5618=L4565)"),"50552 TUPAC AMARU II")</f>
        <v>50552 TUPAC AMARU II</v>
      </c>
      <c r="F4565" s="14" t="s">
        <v>16</v>
      </c>
      <c r="G4565" s="20" t="s">
        <v>21</v>
      </c>
      <c r="H4565" s="14" t="s">
        <v>18</v>
      </c>
      <c r="I4565" s="22">
        <v>2022.0</v>
      </c>
      <c r="J4565" s="16" t="str">
        <f>IFERROR(__xludf.DUMMYFUNCTION("FILTER('CLASFICACIÓN'!$F$3:$F5618,'CLASFICACIÓN'!$G$3:$G5618=M4565)"),"SOLO 2022 Y 2024")</f>
        <v>SOLO 2022 Y 2024</v>
      </c>
      <c r="K4565" s="16"/>
      <c r="L4565" s="14" t="s">
        <v>183</v>
      </c>
      <c r="M4565" s="16" t="str">
        <f t="shared" si="1"/>
        <v>50552 TUPAC AMARU II4 Primaria</v>
      </c>
      <c r="N4565" s="23"/>
      <c r="O4565" s="17"/>
      <c r="P4565" s="17"/>
      <c r="Q4565" s="17"/>
      <c r="R4565" s="17"/>
      <c r="S4565" s="17"/>
      <c r="T4565" s="17"/>
    </row>
    <row r="4566">
      <c r="A4566" s="21">
        <v>694.0</v>
      </c>
      <c r="B4566" s="14" t="s">
        <v>90</v>
      </c>
      <c r="C4566" s="14" t="s">
        <v>14</v>
      </c>
      <c r="D4566" s="20" t="s">
        <v>20</v>
      </c>
      <c r="E4566" s="12" t="str">
        <f>IFERROR(__xludf.DUMMYFUNCTION("FILTER(colegios!$B$2:$B5618,colegios!$A$2:$A5618=L4566)"),"50552 TUPAC AMARU II")</f>
        <v>50552 TUPAC AMARU II</v>
      </c>
      <c r="F4566" s="14" t="s">
        <v>16</v>
      </c>
      <c r="G4566" s="20" t="s">
        <v>17</v>
      </c>
      <c r="H4566" s="14" t="s">
        <v>18</v>
      </c>
      <c r="I4566" s="22">
        <v>2022.0</v>
      </c>
      <c r="J4566" s="16" t="str">
        <f>IFERROR(__xludf.DUMMYFUNCTION("FILTER('CLASFICACIÓN'!$F$3:$F5618,'CLASFICACIÓN'!$G$3:$G5618=M4566)"),"SOLO 2022 Y 2024")</f>
        <v>SOLO 2022 Y 2024</v>
      </c>
      <c r="K4566" s="16"/>
      <c r="L4566" s="14" t="s">
        <v>183</v>
      </c>
      <c r="M4566" s="16" t="str">
        <f t="shared" si="1"/>
        <v>50552 TUPAC AMARU II4 Primaria</v>
      </c>
      <c r="N4566" s="23"/>
      <c r="O4566" s="17"/>
      <c r="P4566" s="17"/>
      <c r="Q4566" s="17"/>
      <c r="R4566" s="17"/>
      <c r="S4566" s="17"/>
      <c r="T4566" s="17"/>
    </row>
    <row r="4567">
      <c r="A4567" s="21">
        <v>695.0</v>
      </c>
      <c r="B4567" s="14" t="s">
        <v>90</v>
      </c>
      <c r="C4567" s="14" t="s">
        <v>14</v>
      </c>
      <c r="D4567" s="20" t="s">
        <v>20</v>
      </c>
      <c r="E4567" s="12" t="str">
        <f>IFERROR(__xludf.DUMMYFUNCTION("FILTER(colegios!$B$2:$B5618,colegios!$A$2:$A5618=L4567)"),"50552 TUPAC AMARU II")</f>
        <v>50552 TUPAC AMARU II</v>
      </c>
      <c r="F4567" s="14" t="s">
        <v>16</v>
      </c>
      <c r="G4567" s="20" t="s">
        <v>17</v>
      </c>
      <c r="H4567" s="14" t="s">
        <v>18</v>
      </c>
      <c r="I4567" s="22">
        <v>2022.0</v>
      </c>
      <c r="J4567" s="16" t="str">
        <f>IFERROR(__xludf.DUMMYFUNCTION("FILTER('CLASFICACIÓN'!$F$3:$F5618,'CLASFICACIÓN'!$G$3:$G5618=M4567)"),"SOLO 2022 Y 2024")</f>
        <v>SOLO 2022 Y 2024</v>
      </c>
      <c r="K4567" s="16"/>
      <c r="L4567" s="14" t="s">
        <v>183</v>
      </c>
      <c r="M4567" s="16" t="str">
        <f t="shared" si="1"/>
        <v>50552 TUPAC AMARU II4 Primaria</v>
      </c>
      <c r="N4567" s="23"/>
      <c r="O4567" s="17"/>
      <c r="P4567" s="17"/>
      <c r="Q4567" s="17"/>
      <c r="R4567" s="17"/>
      <c r="S4567" s="17"/>
      <c r="T4567" s="17"/>
    </row>
    <row r="4568">
      <c r="A4568" s="21">
        <v>696.0</v>
      </c>
      <c r="B4568" s="14" t="s">
        <v>90</v>
      </c>
      <c r="C4568" s="14" t="s">
        <v>14</v>
      </c>
      <c r="D4568" s="20" t="s">
        <v>20</v>
      </c>
      <c r="E4568" s="12" t="str">
        <f>IFERROR(__xludf.DUMMYFUNCTION("FILTER(colegios!$B$2:$B5618,colegios!$A$2:$A5618=L4568)"),"50552 TUPAC AMARU II")</f>
        <v>50552 TUPAC AMARU II</v>
      </c>
      <c r="F4568" s="14" t="s">
        <v>16</v>
      </c>
      <c r="G4568" s="20" t="s">
        <v>21</v>
      </c>
      <c r="H4568" s="14" t="s">
        <v>18</v>
      </c>
      <c r="I4568" s="22">
        <v>2022.0</v>
      </c>
      <c r="J4568" s="16" t="str">
        <f>IFERROR(__xludf.DUMMYFUNCTION("FILTER('CLASFICACIÓN'!$F$3:$F5618,'CLASFICACIÓN'!$G$3:$G5618=M4568)"),"SOLO 2022 Y 2024")</f>
        <v>SOLO 2022 Y 2024</v>
      </c>
      <c r="K4568" s="16"/>
      <c r="L4568" s="14" t="s">
        <v>183</v>
      </c>
      <c r="M4568" s="16" t="str">
        <f t="shared" si="1"/>
        <v>50552 TUPAC AMARU II4 Primaria</v>
      </c>
      <c r="N4568" s="23"/>
      <c r="O4568" s="17"/>
      <c r="P4568" s="17"/>
      <c r="Q4568" s="17"/>
      <c r="R4568" s="17"/>
      <c r="S4568" s="17"/>
      <c r="T4568" s="17"/>
    </row>
    <row r="4569">
      <c r="A4569" s="21">
        <v>697.0</v>
      </c>
      <c r="B4569" s="14" t="s">
        <v>90</v>
      </c>
      <c r="C4569" s="14" t="s">
        <v>14</v>
      </c>
      <c r="D4569" s="20" t="s">
        <v>20</v>
      </c>
      <c r="E4569" s="12" t="str">
        <f>IFERROR(__xludf.DUMMYFUNCTION("FILTER(colegios!$B$2:$B5618,colegios!$A$2:$A5618=L4569)"),"50552 TUPAC AMARU II")</f>
        <v>50552 TUPAC AMARU II</v>
      </c>
      <c r="F4569" s="14" t="s">
        <v>16</v>
      </c>
      <c r="G4569" s="20" t="s">
        <v>21</v>
      </c>
      <c r="H4569" s="14" t="s">
        <v>18</v>
      </c>
      <c r="I4569" s="22">
        <v>2022.0</v>
      </c>
      <c r="J4569" s="16" t="str">
        <f>IFERROR(__xludf.DUMMYFUNCTION("FILTER('CLASFICACIÓN'!$F$3:$F5618,'CLASFICACIÓN'!$G$3:$G5618=M4569)"),"SOLO 2022 Y 2024")</f>
        <v>SOLO 2022 Y 2024</v>
      </c>
      <c r="K4569" s="16"/>
      <c r="L4569" s="14" t="s">
        <v>183</v>
      </c>
      <c r="M4569" s="16" t="str">
        <f t="shared" si="1"/>
        <v>50552 TUPAC AMARU II4 Primaria</v>
      </c>
      <c r="N4569" s="23"/>
      <c r="O4569" s="17"/>
      <c r="P4569" s="17"/>
      <c r="Q4569" s="17"/>
      <c r="R4569" s="17"/>
      <c r="S4569" s="17"/>
      <c r="T4569" s="17"/>
    </row>
    <row r="4570">
      <c r="A4570" s="21">
        <v>698.0</v>
      </c>
      <c r="B4570" s="14" t="s">
        <v>90</v>
      </c>
      <c r="C4570" s="14" t="s">
        <v>14</v>
      </c>
      <c r="D4570" s="20" t="s">
        <v>20</v>
      </c>
      <c r="E4570" s="12" t="str">
        <f>IFERROR(__xludf.DUMMYFUNCTION("FILTER(colegios!$B$2:$B5618,colegios!$A$2:$A5618=L4570)"),"50552 TUPAC AMARU II")</f>
        <v>50552 TUPAC AMARU II</v>
      </c>
      <c r="F4570" s="14" t="s">
        <v>16</v>
      </c>
      <c r="G4570" s="20" t="s">
        <v>17</v>
      </c>
      <c r="H4570" s="14" t="s">
        <v>18</v>
      </c>
      <c r="I4570" s="22">
        <v>2022.0</v>
      </c>
      <c r="J4570" s="16" t="str">
        <f>IFERROR(__xludf.DUMMYFUNCTION("FILTER('CLASFICACIÓN'!$F$3:$F5618,'CLASFICACIÓN'!$G$3:$G5618=M4570)"),"SOLO 2022 Y 2024")</f>
        <v>SOLO 2022 Y 2024</v>
      </c>
      <c r="K4570" s="16"/>
      <c r="L4570" s="14" t="s">
        <v>183</v>
      </c>
      <c r="M4570" s="16" t="str">
        <f t="shared" si="1"/>
        <v>50552 TUPAC AMARU II4 Primaria</v>
      </c>
      <c r="N4570" s="23"/>
      <c r="O4570" s="17"/>
      <c r="P4570" s="17"/>
      <c r="Q4570" s="17"/>
      <c r="R4570" s="17"/>
      <c r="S4570" s="17"/>
      <c r="T4570" s="17"/>
    </row>
    <row r="4571">
      <c r="A4571" s="21">
        <v>699.0</v>
      </c>
      <c r="B4571" s="14" t="s">
        <v>90</v>
      </c>
      <c r="C4571" s="14" t="s">
        <v>14</v>
      </c>
      <c r="D4571" s="20" t="s">
        <v>20</v>
      </c>
      <c r="E4571" s="12" t="str">
        <f>IFERROR(__xludf.DUMMYFUNCTION("FILTER(colegios!$B$2:$B5618,colegios!$A$2:$A5618=L4571)"),"50552 TUPAC AMARU II")</f>
        <v>50552 TUPAC AMARU II</v>
      </c>
      <c r="F4571" s="14" t="s">
        <v>16</v>
      </c>
      <c r="G4571" s="20" t="s">
        <v>21</v>
      </c>
      <c r="H4571" s="14" t="s">
        <v>18</v>
      </c>
      <c r="I4571" s="22">
        <v>2022.0</v>
      </c>
      <c r="J4571" s="16" t="str">
        <f>IFERROR(__xludf.DUMMYFUNCTION("FILTER('CLASFICACIÓN'!$F$3:$F5618,'CLASFICACIÓN'!$G$3:$G5618=M4571)"),"SOLO 2022 Y 2024")</f>
        <v>SOLO 2022 Y 2024</v>
      </c>
      <c r="K4571" s="16"/>
      <c r="L4571" s="14" t="s">
        <v>183</v>
      </c>
      <c r="M4571" s="16" t="str">
        <f t="shared" si="1"/>
        <v>50552 TUPAC AMARU II4 Primaria</v>
      </c>
      <c r="N4571" s="23"/>
      <c r="O4571" s="17"/>
      <c r="P4571" s="17"/>
      <c r="Q4571" s="17"/>
      <c r="R4571" s="17"/>
      <c r="S4571" s="17"/>
      <c r="T4571" s="17"/>
    </row>
    <row r="4572">
      <c r="A4572" s="21">
        <v>700.0</v>
      </c>
      <c r="B4572" s="14" t="s">
        <v>90</v>
      </c>
      <c r="C4572" s="14" t="s">
        <v>14</v>
      </c>
      <c r="D4572" s="20" t="s">
        <v>20</v>
      </c>
      <c r="E4572" s="12" t="str">
        <f>IFERROR(__xludf.DUMMYFUNCTION("FILTER(colegios!$B$2:$B5618,colegios!$A$2:$A5618=L4572)"),"50552 TUPAC AMARU II")</f>
        <v>50552 TUPAC AMARU II</v>
      </c>
      <c r="F4572" s="14" t="s">
        <v>16</v>
      </c>
      <c r="G4572" s="20" t="s">
        <v>17</v>
      </c>
      <c r="H4572" s="14" t="s">
        <v>18</v>
      </c>
      <c r="I4572" s="22">
        <v>2022.0</v>
      </c>
      <c r="J4572" s="16" t="str">
        <f>IFERROR(__xludf.DUMMYFUNCTION("FILTER('CLASFICACIÓN'!$F$3:$F5618,'CLASFICACIÓN'!$G$3:$G5618=M4572)"),"SOLO 2022 Y 2024")</f>
        <v>SOLO 2022 Y 2024</v>
      </c>
      <c r="K4572" s="16"/>
      <c r="L4572" s="14" t="s">
        <v>183</v>
      </c>
      <c r="M4572" s="16" t="str">
        <f t="shared" si="1"/>
        <v>50552 TUPAC AMARU II4 Primaria</v>
      </c>
      <c r="N4572" s="23"/>
      <c r="O4572" s="17"/>
      <c r="P4572" s="17"/>
      <c r="Q4572" s="17"/>
      <c r="R4572" s="17"/>
      <c r="S4572" s="17"/>
      <c r="T4572" s="17"/>
    </row>
    <row r="4573">
      <c r="A4573" s="21">
        <v>701.0</v>
      </c>
      <c r="B4573" s="14" t="s">
        <v>90</v>
      </c>
      <c r="C4573" s="14" t="s">
        <v>14</v>
      </c>
      <c r="D4573" s="20" t="s">
        <v>20</v>
      </c>
      <c r="E4573" s="12" t="str">
        <f>IFERROR(__xludf.DUMMYFUNCTION("FILTER(colegios!$B$2:$B5618,colegios!$A$2:$A5618=L4573)"),"50552 TUPAC AMARU II")</f>
        <v>50552 TUPAC AMARU II</v>
      </c>
      <c r="F4573" s="14" t="s">
        <v>16</v>
      </c>
      <c r="G4573" s="20" t="s">
        <v>17</v>
      </c>
      <c r="H4573" s="14" t="s">
        <v>18</v>
      </c>
      <c r="I4573" s="22">
        <v>2022.0</v>
      </c>
      <c r="J4573" s="16" t="str">
        <f>IFERROR(__xludf.DUMMYFUNCTION("FILTER('CLASFICACIÓN'!$F$3:$F5618,'CLASFICACIÓN'!$G$3:$G5618=M4573)"),"SOLO 2022 Y 2024")</f>
        <v>SOLO 2022 Y 2024</v>
      </c>
      <c r="K4573" s="16"/>
      <c r="L4573" s="14" t="s">
        <v>183</v>
      </c>
      <c r="M4573" s="16" t="str">
        <f t="shared" si="1"/>
        <v>50552 TUPAC AMARU II4 Primaria</v>
      </c>
      <c r="N4573" s="23"/>
      <c r="O4573" s="17"/>
      <c r="P4573" s="17"/>
      <c r="Q4573" s="17"/>
      <c r="R4573" s="17"/>
      <c r="S4573" s="17"/>
      <c r="T4573" s="17"/>
    </row>
    <row r="4574">
      <c r="A4574" s="21">
        <v>702.0</v>
      </c>
      <c r="B4574" s="14" t="s">
        <v>90</v>
      </c>
      <c r="C4574" s="14" t="s">
        <v>14</v>
      </c>
      <c r="D4574" s="20" t="s">
        <v>20</v>
      </c>
      <c r="E4574" s="12" t="str">
        <f>IFERROR(__xludf.DUMMYFUNCTION("FILTER(colegios!$B$2:$B5618,colegios!$A$2:$A5618=L4574)"),"50552 TUPAC AMARU II")</f>
        <v>50552 TUPAC AMARU II</v>
      </c>
      <c r="F4574" s="14" t="s">
        <v>16</v>
      </c>
      <c r="G4574" s="20" t="s">
        <v>17</v>
      </c>
      <c r="H4574" s="14" t="s">
        <v>24</v>
      </c>
      <c r="I4574" s="22">
        <v>2022.0</v>
      </c>
      <c r="J4574" s="16" t="str">
        <f>IFERROR(__xludf.DUMMYFUNCTION("FILTER('CLASFICACIÓN'!$F$3:$F5618,'CLASFICACIÓN'!$G$3:$G5618=M4574)"),"SOLO 2022 Y 2024")</f>
        <v>SOLO 2022 Y 2024</v>
      </c>
      <c r="K4574" s="16"/>
      <c r="L4574" s="14" t="s">
        <v>183</v>
      </c>
      <c r="M4574" s="16" t="str">
        <f t="shared" si="1"/>
        <v>50552 TUPAC AMARU II4 Primaria</v>
      </c>
      <c r="N4574" s="23"/>
      <c r="O4574" s="17"/>
      <c r="P4574" s="17"/>
      <c r="Q4574" s="17"/>
      <c r="R4574" s="17"/>
      <c r="S4574" s="17"/>
      <c r="T4574" s="17"/>
    </row>
    <row r="4575">
      <c r="A4575" s="21">
        <v>703.0</v>
      </c>
      <c r="B4575" s="14" t="s">
        <v>90</v>
      </c>
      <c r="C4575" s="14" t="s">
        <v>14</v>
      </c>
      <c r="D4575" s="20" t="s">
        <v>20</v>
      </c>
      <c r="E4575" s="12" t="str">
        <f>IFERROR(__xludf.DUMMYFUNCTION("FILTER(colegios!$B$2:$B5618,colegios!$A$2:$A5618=L4575)"),"50552 TUPAC AMARU II")</f>
        <v>50552 TUPAC AMARU II</v>
      </c>
      <c r="F4575" s="14" t="s">
        <v>16</v>
      </c>
      <c r="G4575" s="20" t="s">
        <v>17</v>
      </c>
      <c r="H4575" s="14" t="s">
        <v>24</v>
      </c>
      <c r="I4575" s="22">
        <v>2022.0</v>
      </c>
      <c r="J4575" s="16" t="str">
        <f>IFERROR(__xludf.DUMMYFUNCTION("FILTER('CLASFICACIÓN'!$F$3:$F5618,'CLASFICACIÓN'!$G$3:$G5618=M4575)"),"SOLO 2022 Y 2024")</f>
        <v>SOLO 2022 Y 2024</v>
      </c>
      <c r="K4575" s="16"/>
      <c r="L4575" s="14" t="s">
        <v>183</v>
      </c>
      <c r="M4575" s="16" t="str">
        <f t="shared" si="1"/>
        <v>50552 TUPAC AMARU II4 Primaria</v>
      </c>
      <c r="N4575" s="23"/>
      <c r="O4575" s="17"/>
      <c r="P4575" s="17"/>
      <c r="Q4575" s="17"/>
      <c r="R4575" s="17"/>
      <c r="S4575" s="17"/>
      <c r="T4575" s="17"/>
    </row>
    <row r="4576">
      <c r="A4576" s="21">
        <v>704.0</v>
      </c>
      <c r="B4576" s="14" t="s">
        <v>90</v>
      </c>
      <c r="C4576" s="14" t="s">
        <v>14</v>
      </c>
      <c r="D4576" s="20" t="s">
        <v>20</v>
      </c>
      <c r="E4576" s="12" t="str">
        <f>IFERROR(__xludf.DUMMYFUNCTION("FILTER(colegios!$B$2:$B5618,colegios!$A$2:$A5618=L4576)"),"50552 TUPAC AMARU II")</f>
        <v>50552 TUPAC AMARU II</v>
      </c>
      <c r="F4576" s="14" t="s">
        <v>16</v>
      </c>
      <c r="G4576" s="20" t="s">
        <v>17</v>
      </c>
      <c r="H4576" s="14" t="s">
        <v>24</v>
      </c>
      <c r="I4576" s="22">
        <v>2022.0</v>
      </c>
      <c r="J4576" s="16" t="str">
        <f>IFERROR(__xludf.DUMMYFUNCTION("FILTER('CLASFICACIÓN'!$F$3:$F5618,'CLASFICACIÓN'!$G$3:$G5618=M4576)"),"SOLO 2022 Y 2024")</f>
        <v>SOLO 2022 Y 2024</v>
      </c>
      <c r="K4576" s="16"/>
      <c r="L4576" s="14" t="s">
        <v>183</v>
      </c>
      <c r="M4576" s="16" t="str">
        <f t="shared" si="1"/>
        <v>50552 TUPAC AMARU II4 Primaria</v>
      </c>
      <c r="N4576" s="23"/>
      <c r="O4576" s="17"/>
      <c r="P4576" s="17"/>
      <c r="Q4576" s="17"/>
      <c r="R4576" s="17"/>
      <c r="S4576" s="17"/>
      <c r="T4576" s="17"/>
    </row>
    <row r="4577">
      <c r="A4577" s="21">
        <v>705.0</v>
      </c>
      <c r="B4577" s="14" t="s">
        <v>90</v>
      </c>
      <c r="C4577" s="14" t="s">
        <v>14</v>
      </c>
      <c r="D4577" s="20" t="s">
        <v>20</v>
      </c>
      <c r="E4577" s="12" t="str">
        <f>IFERROR(__xludf.DUMMYFUNCTION("FILTER(colegios!$B$2:$B5618,colegios!$A$2:$A5618=L4577)"),"50552 TUPAC AMARU II")</f>
        <v>50552 TUPAC AMARU II</v>
      </c>
      <c r="F4577" s="14" t="s">
        <v>16</v>
      </c>
      <c r="G4577" s="20" t="s">
        <v>17</v>
      </c>
      <c r="H4577" s="14" t="s">
        <v>24</v>
      </c>
      <c r="I4577" s="22">
        <v>2022.0</v>
      </c>
      <c r="J4577" s="16" t="str">
        <f>IFERROR(__xludf.DUMMYFUNCTION("FILTER('CLASFICACIÓN'!$F$3:$F5618,'CLASFICACIÓN'!$G$3:$G5618=M4577)"),"SOLO 2022 Y 2024")</f>
        <v>SOLO 2022 Y 2024</v>
      </c>
      <c r="K4577" s="16"/>
      <c r="L4577" s="14" t="s">
        <v>183</v>
      </c>
      <c r="M4577" s="16" t="str">
        <f t="shared" si="1"/>
        <v>50552 TUPAC AMARU II4 Primaria</v>
      </c>
      <c r="N4577" s="23"/>
      <c r="O4577" s="17"/>
      <c r="P4577" s="17"/>
      <c r="Q4577" s="17"/>
      <c r="R4577" s="17"/>
      <c r="S4577" s="17"/>
      <c r="T4577" s="17"/>
    </row>
    <row r="4578">
      <c r="A4578" s="21">
        <v>706.0</v>
      </c>
      <c r="B4578" s="14" t="s">
        <v>90</v>
      </c>
      <c r="C4578" s="14" t="s">
        <v>14</v>
      </c>
      <c r="D4578" s="20" t="s">
        <v>20</v>
      </c>
      <c r="E4578" s="12" t="str">
        <f>IFERROR(__xludf.DUMMYFUNCTION("FILTER(colegios!$B$2:$B5618,colegios!$A$2:$A5618=L4578)"),"50552 TUPAC AMARU II")</f>
        <v>50552 TUPAC AMARU II</v>
      </c>
      <c r="F4578" s="14" t="s">
        <v>16</v>
      </c>
      <c r="G4578" s="20" t="s">
        <v>21</v>
      </c>
      <c r="H4578" s="14" t="s">
        <v>24</v>
      </c>
      <c r="I4578" s="22">
        <v>2022.0</v>
      </c>
      <c r="J4578" s="16" t="str">
        <f>IFERROR(__xludf.DUMMYFUNCTION("FILTER('CLASFICACIÓN'!$F$3:$F5618,'CLASFICACIÓN'!$G$3:$G5618=M4578)"),"SOLO 2022 Y 2024")</f>
        <v>SOLO 2022 Y 2024</v>
      </c>
      <c r="K4578" s="16"/>
      <c r="L4578" s="14" t="s">
        <v>183</v>
      </c>
      <c r="M4578" s="16" t="str">
        <f t="shared" si="1"/>
        <v>50552 TUPAC AMARU II4 Primaria</v>
      </c>
      <c r="N4578" s="23"/>
      <c r="O4578" s="17"/>
      <c r="P4578" s="17"/>
      <c r="Q4578" s="17"/>
      <c r="R4578" s="17"/>
      <c r="S4578" s="17"/>
      <c r="T4578" s="17"/>
    </row>
    <row r="4579">
      <c r="A4579" s="21">
        <v>707.0</v>
      </c>
      <c r="B4579" s="14" t="s">
        <v>90</v>
      </c>
      <c r="C4579" s="14" t="s">
        <v>14</v>
      </c>
      <c r="D4579" s="20" t="s">
        <v>20</v>
      </c>
      <c r="E4579" s="12" t="str">
        <f>IFERROR(__xludf.DUMMYFUNCTION("FILTER(colegios!$B$2:$B5618,colegios!$A$2:$A5618=L4579)"),"50552 TUPAC AMARU II")</f>
        <v>50552 TUPAC AMARU II</v>
      </c>
      <c r="F4579" s="14" t="s">
        <v>16</v>
      </c>
      <c r="G4579" s="20" t="s">
        <v>21</v>
      </c>
      <c r="H4579" s="14" t="s">
        <v>24</v>
      </c>
      <c r="I4579" s="22">
        <v>2022.0</v>
      </c>
      <c r="J4579" s="16" t="str">
        <f>IFERROR(__xludf.DUMMYFUNCTION("FILTER('CLASFICACIÓN'!$F$3:$F5618,'CLASFICACIÓN'!$G$3:$G5618=M4579)"),"SOLO 2022 Y 2024")</f>
        <v>SOLO 2022 Y 2024</v>
      </c>
      <c r="K4579" s="16"/>
      <c r="L4579" s="14" t="s">
        <v>183</v>
      </c>
      <c r="M4579" s="16" t="str">
        <f t="shared" si="1"/>
        <v>50552 TUPAC AMARU II4 Primaria</v>
      </c>
      <c r="N4579" s="23"/>
      <c r="O4579" s="17"/>
      <c r="P4579" s="17"/>
      <c r="Q4579" s="17"/>
      <c r="R4579" s="17"/>
      <c r="S4579" s="17"/>
      <c r="T4579" s="17"/>
    </row>
    <row r="4580">
      <c r="A4580" s="21">
        <v>708.0</v>
      </c>
      <c r="B4580" s="14" t="s">
        <v>90</v>
      </c>
      <c r="C4580" s="14" t="s">
        <v>14</v>
      </c>
      <c r="D4580" s="20" t="s">
        <v>20</v>
      </c>
      <c r="E4580" s="12" t="str">
        <f>IFERROR(__xludf.DUMMYFUNCTION("FILTER(colegios!$B$2:$B5618,colegios!$A$2:$A5618=L4580)"),"50552 TUPAC AMARU II")</f>
        <v>50552 TUPAC AMARU II</v>
      </c>
      <c r="F4580" s="14" t="s">
        <v>16</v>
      </c>
      <c r="G4580" s="20" t="s">
        <v>17</v>
      </c>
      <c r="H4580" s="14" t="s">
        <v>24</v>
      </c>
      <c r="I4580" s="22">
        <v>2022.0</v>
      </c>
      <c r="J4580" s="16" t="str">
        <f>IFERROR(__xludf.DUMMYFUNCTION("FILTER('CLASFICACIÓN'!$F$3:$F5618,'CLASFICACIÓN'!$G$3:$G5618=M4580)"),"SOLO 2022 Y 2024")</f>
        <v>SOLO 2022 Y 2024</v>
      </c>
      <c r="K4580" s="16"/>
      <c r="L4580" s="14" t="s">
        <v>183</v>
      </c>
      <c r="M4580" s="16" t="str">
        <f t="shared" si="1"/>
        <v>50552 TUPAC AMARU II4 Primaria</v>
      </c>
      <c r="N4580" s="23"/>
      <c r="O4580" s="17"/>
      <c r="P4580" s="17"/>
      <c r="Q4580" s="17"/>
      <c r="R4580" s="17"/>
      <c r="S4580" s="17"/>
      <c r="T4580" s="17"/>
    </row>
    <row r="4581">
      <c r="A4581" s="21">
        <v>709.0</v>
      </c>
      <c r="B4581" s="14" t="s">
        <v>90</v>
      </c>
      <c r="C4581" s="14" t="s">
        <v>14</v>
      </c>
      <c r="D4581" s="20" t="s">
        <v>20</v>
      </c>
      <c r="E4581" s="12" t="str">
        <f>IFERROR(__xludf.DUMMYFUNCTION("FILTER(colegios!$B$2:$B5618,colegios!$A$2:$A5618=L4581)"),"50552 TUPAC AMARU II")</f>
        <v>50552 TUPAC AMARU II</v>
      </c>
      <c r="F4581" s="14" t="s">
        <v>16</v>
      </c>
      <c r="G4581" s="20" t="s">
        <v>21</v>
      </c>
      <c r="H4581" s="14" t="s">
        <v>24</v>
      </c>
      <c r="I4581" s="22">
        <v>2022.0</v>
      </c>
      <c r="J4581" s="16" t="str">
        <f>IFERROR(__xludf.DUMMYFUNCTION("FILTER('CLASFICACIÓN'!$F$3:$F5618,'CLASFICACIÓN'!$G$3:$G5618=M4581)"),"SOLO 2022 Y 2024")</f>
        <v>SOLO 2022 Y 2024</v>
      </c>
      <c r="K4581" s="16"/>
      <c r="L4581" s="14" t="s">
        <v>183</v>
      </c>
      <c r="M4581" s="16" t="str">
        <f t="shared" si="1"/>
        <v>50552 TUPAC AMARU II4 Primaria</v>
      </c>
      <c r="N4581" s="23"/>
      <c r="O4581" s="17"/>
      <c r="P4581" s="17"/>
      <c r="Q4581" s="17"/>
      <c r="R4581" s="17"/>
      <c r="S4581" s="17"/>
      <c r="T4581" s="17"/>
    </row>
    <row r="4582">
      <c r="A4582" s="21">
        <v>710.0</v>
      </c>
      <c r="B4582" s="14" t="s">
        <v>90</v>
      </c>
      <c r="C4582" s="14" t="s">
        <v>14</v>
      </c>
      <c r="D4582" s="20" t="s">
        <v>20</v>
      </c>
      <c r="E4582" s="12" t="str">
        <f>IFERROR(__xludf.DUMMYFUNCTION("FILTER(colegios!$B$2:$B5618,colegios!$A$2:$A5618=L4582)"),"50552 TUPAC AMARU II")</f>
        <v>50552 TUPAC AMARU II</v>
      </c>
      <c r="F4582" s="14" t="s">
        <v>16</v>
      </c>
      <c r="G4582" s="20" t="s">
        <v>17</v>
      </c>
      <c r="H4582" s="14" t="s">
        <v>24</v>
      </c>
      <c r="I4582" s="22">
        <v>2022.0</v>
      </c>
      <c r="J4582" s="16" t="str">
        <f>IFERROR(__xludf.DUMMYFUNCTION("FILTER('CLASFICACIÓN'!$F$3:$F5618,'CLASFICACIÓN'!$G$3:$G5618=M4582)"),"SOLO 2022 Y 2024")</f>
        <v>SOLO 2022 Y 2024</v>
      </c>
      <c r="K4582" s="16"/>
      <c r="L4582" s="14" t="s">
        <v>183</v>
      </c>
      <c r="M4582" s="16" t="str">
        <f t="shared" si="1"/>
        <v>50552 TUPAC AMARU II4 Primaria</v>
      </c>
      <c r="N4582" s="23"/>
      <c r="O4582" s="17"/>
      <c r="P4582" s="17"/>
      <c r="Q4582" s="17"/>
      <c r="R4582" s="17"/>
      <c r="S4582" s="17"/>
      <c r="T4582" s="17"/>
    </row>
    <row r="4583">
      <c r="A4583" s="21">
        <v>711.0</v>
      </c>
      <c r="B4583" s="14" t="s">
        <v>90</v>
      </c>
      <c r="C4583" s="14" t="s">
        <v>14</v>
      </c>
      <c r="D4583" s="20" t="s">
        <v>20</v>
      </c>
      <c r="E4583" s="12" t="str">
        <f>IFERROR(__xludf.DUMMYFUNCTION("FILTER(colegios!$B$2:$B5618,colegios!$A$2:$A5618=L4583)"),"50552 TUPAC AMARU II")</f>
        <v>50552 TUPAC AMARU II</v>
      </c>
      <c r="F4583" s="14" t="s">
        <v>16</v>
      </c>
      <c r="G4583" s="20" t="s">
        <v>21</v>
      </c>
      <c r="H4583" s="14" t="s">
        <v>24</v>
      </c>
      <c r="I4583" s="22">
        <v>2022.0</v>
      </c>
      <c r="J4583" s="16" t="str">
        <f>IFERROR(__xludf.DUMMYFUNCTION("FILTER('CLASFICACIÓN'!$F$3:$F5618,'CLASFICACIÓN'!$G$3:$G5618=M4583)"),"SOLO 2022 Y 2024")</f>
        <v>SOLO 2022 Y 2024</v>
      </c>
      <c r="K4583" s="16"/>
      <c r="L4583" s="14" t="s">
        <v>183</v>
      </c>
      <c r="M4583" s="16" t="str">
        <f t="shared" si="1"/>
        <v>50552 TUPAC AMARU II4 Primaria</v>
      </c>
      <c r="N4583" s="23"/>
      <c r="O4583" s="17"/>
      <c r="P4583" s="17"/>
      <c r="Q4583" s="17"/>
      <c r="R4583" s="17"/>
      <c r="S4583" s="17"/>
      <c r="T4583" s="17"/>
    </row>
    <row r="4584">
      <c r="A4584" s="21">
        <v>712.0</v>
      </c>
      <c r="B4584" s="14" t="s">
        <v>90</v>
      </c>
      <c r="C4584" s="14" t="s">
        <v>14</v>
      </c>
      <c r="D4584" s="20" t="s">
        <v>20</v>
      </c>
      <c r="E4584" s="12" t="str">
        <f>IFERROR(__xludf.DUMMYFUNCTION("FILTER(colegios!$B$2:$B5618,colegios!$A$2:$A5618=L4584)"),"50552 TUPAC AMARU II")</f>
        <v>50552 TUPAC AMARU II</v>
      </c>
      <c r="F4584" s="14" t="s">
        <v>16</v>
      </c>
      <c r="G4584" s="20" t="s">
        <v>17</v>
      </c>
      <c r="H4584" s="14" t="s">
        <v>24</v>
      </c>
      <c r="I4584" s="22">
        <v>2022.0</v>
      </c>
      <c r="J4584" s="16" t="str">
        <f>IFERROR(__xludf.DUMMYFUNCTION("FILTER('CLASFICACIÓN'!$F$3:$F5618,'CLASFICACIÓN'!$G$3:$G5618=M4584)"),"SOLO 2022 Y 2024")</f>
        <v>SOLO 2022 Y 2024</v>
      </c>
      <c r="K4584" s="16"/>
      <c r="L4584" s="14" t="s">
        <v>183</v>
      </c>
      <c r="M4584" s="16" t="str">
        <f t="shared" si="1"/>
        <v>50552 TUPAC AMARU II4 Primaria</v>
      </c>
      <c r="N4584" s="23"/>
      <c r="O4584" s="17"/>
      <c r="P4584" s="17"/>
      <c r="Q4584" s="17"/>
      <c r="R4584" s="17"/>
      <c r="S4584" s="17"/>
      <c r="T4584" s="17"/>
    </row>
    <row r="4585">
      <c r="A4585" s="21">
        <v>713.0</v>
      </c>
      <c r="B4585" s="14" t="s">
        <v>90</v>
      </c>
      <c r="C4585" s="14" t="s">
        <v>14</v>
      </c>
      <c r="D4585" s="20" t="s">
        <v>20</v>
      </c>
      <c r="E4585" s="12" t="str">
        <f>IFERROR(__xludf.DUMMYFUNCTION("FILTER(colegios!$B$2:$B5618,colegios!$A$2:$A5618=L4585)"),"50552 TUPAC AMARU II")</f>
        <v>50552 TUPAC AMARU II</v>
      </c>
      <c r="F4585" s="14" t="s">
        <v>16</v>
      </c>
      <c r="G4585" s="20" t="s">
        <v>21</v>
      </c>
      <c r="H4585" s="14" t="s">
        <v>24</v>
      </c>
      <c r="I4585" s="22">
        <v>2022.0</v>
      </c>
      <c r="J4585" s="16" t="str">
        <f>IFERROR(__xludf.DUMMYFUNCTION("FILTER('CLASFICACIÓN'!$F$3:$F5618,'CLASFICACIÓN'!$G$3:$G5618=M4585)"),"SOLO 2022 Y 2024")</f>
        <v>SOLO 2022 Y 2024</v>
      </c>
      <c r="K4585" s="16"/>
      <c r="L4585" s="14" t="s">
        <v>183</v>
      </c>
      <c r="M4585" s="16" t="str">
        <f t="shared" si="1"/>
        <v>50552 TUPAC AMARU II4 Primaria</v>
      </c>
      <c r="N4585" s="23"/>
      <c r="O4585" s="17"/>
      <c r="P4585" s="17"/>
      <c r="Q4585" s="17"/>
      <c r="R4585" s="17"/>
      <c r="S4585" s="17"/>
      <c r="T4585" s="17"/>
    </row>
    <row r="4586">
      <c r="A4586" s="21">
        <v>714.0</v>
      </c>
      <c r="B4586" s="14" t="s">
        <v>90</v>
      </c>
      <c r="C4586" s="14" t="s">
        <v>14</v>
      </c>
      <c r="D4586" s="20" t="s">
        <v>20</v>
      </c>
      <c r="E4586" s="12" t="str">
        <f>IFERROR(__xludf.DUMMYFUNCTION("FILTER(colegios!$B$2:$B5618,colegios!$A$2:$A5618=L4586)"),"50552 TUPAC AMARU II")</f>
        <v>50552 TUPAC AMARU II</v>
      </c>
      <c r="F4586" s="14" t="s">
        <v>16</v>
      </c>
      <c r="G4586" s="20" t="s">
        <v>17</v>
      </c>
      <c r="H4586" s="14" t="s">
        <v>24</v>
      </c>
      <c r="I4586" s="22">
        <v>2022.0</v>
      </c>
      <c r="J4586" s="16" t="str">
        <f>IFERROR(__xludf.DUMMYFUNCTION("FILTER('CLASFICACIÓN'!$F$3:$F5618,'CLASFICACIÓN'!$G$3:$G5618=M4586)"),"SOLO 2022 Y 2024")</f>
        <v>SOLO 2022 Y 2024</v>
      </c>
      <c r="K4586" s="16"/>
      <c r="L4586" s="14" t="s">
        <v>183</v>
      </c>
      <c r="M4586" s="16" t="str">
        <f t="shared" si="1"/>
        <v>50552 TUPAC AMARU II4 Primaria</v>
      </c>
      <c r="N4586" s="23"/>
      <c r="O4586" s="17"/>
      <c r="P4586" s="17"/>
      <c r="Q4586" s="17"/>
      <c r="R4586" s="17"/>
      <c r="S4586" s="17"/>
      <c r="T4586" s="17"/>
    </row>
    <row r="4587">
      <c r="A4587" s="21">
        <v>715.0</v>
      </c>
      <c r="B4587" s="14" t="s">
        <v>90</v>
      </c>
      <c r="C4587" s="14" t="s">
        <v>14</v>
      </c>
      <c r="D4587" s="20" t="s">
        <v>20</v>
      </c>
      <c r="E4587" s="12" t="str">
        <f>IFERROR(__xludf.DUMMYFUNCTION("FILTER(colegios!$B$2:$B5618,colegios!$A$2:$A5618=L4587)"),"50552 TUPAC AMARU II")</f>
        <v>50552 TUPAC AMARU II</v>
      </c>
      <c r="F4587" s="14" t="s">
        <v>16</v>
      </c>
      <c r="G4587" s="20" t="s">
        <v>17</v>
      </c>
      <c r="H4587" s="14" t="s">
        <v>24</v>
      </c>
      <c r="I4587" s="22">
        <v>2022.0</v>
      </c>
      <c r="J4587" s="16" t="str">
        <f>IFERROR(__xludf.DUMMYFUNCTION("FILTER('CLASFICACIÓN'!$F$3:$F5618,'CLASFICACIÓN'!$G$3:$G5618=M4587)"),"SOLO 2022 Y 2024")</f>
        <v>SOLO 2022 Y 2024</v>
      </c>
      <c r="K4587" s="16"/>
      <c r="L4587" s="14" t="s">
        <v>183</v>
      </c>
      <c r="M4587" s="16" t="str">
        <f t="shared" si="1"/>
        <v>50552 TUPAC AMARU II4 Primaria</v>
      </c>
      <c r="N4587" s="23"/>
      <c r="O4587" s="17"/>
      <c r="P4587" s="17"/>
      <c r="Q4587" s="17"/>
      <c r="R4587" s="17"/>
      <c r="S4587" s="17"/>
      <c r="T4587" s="17"/>
    </row>
    <row r="4588">
      <c r="A4588" s="21">
        <v>716.0</v>
      </c>
      <c r="B4588" s="14" t="s">
        <v>90</v>
      </c>
      <c r="C4588" s="14" t="s">
        <v>14</v>
      </c>
      <c r="D4588" s="20" t="s">
        <v>20</v>
      </c>
      <c r="E4588" s="12" t="str">
        <f>IFERROR(__xludf.DUMMYFUNCTION("FILTER(colegios!$B$2:$B5618,colegios!$A$2:$A5618=L4588)"),"50552 TUPAC AMARU II")</f>
        <v>50552 TUPAC AMARU II</v>
      </c>
      <c r="F4588" s="14" t="s">
        <v>16</v>
      </c>
      <c r="G4588" s="20" t="s">
        <v>21</v>
      </c>
      <c r="H4588" s="14" t="s">
        <v>24</v>
      </c>
      <c r="I4588" s="22">
        <v>2022.0</v>
      </c>
      <c r="J4588" s="16" t="str">
        <f>IFERROR(__xludf.DUMMYFUNCTION("FILTER('CLASFICACIÓN'!$F$3:$F5618,'CLASFICACIÓN'!$G$3:$G5618=M4588)"),"SOLO 2022 Y 2024")</f>
        <v>SOLO 2022 Y 2024</v>
      </c>
      <c r="K4588" s="16"/>
      <c r="L4588" s="14" t="s">
        <v>183</v>
      </c>
      <c r="M4588" s="16" t="str">
        <f t="shared" si="1"/>
        <v>50552 TUPAC AMARU II4 Primaria</v>
      </c>
      <c r="N4588" s="23"/>
      <c r="O4588" s="17"/>
      <c r="P4588" s="17"/>
      <c r="Q4588" s="17"/>
      <c r="R4588" s="17"/>
      <c r="S4588" s="17"/>
      <c r="T4588" s="17"/>
    </row>
    <row r="4589">
      <c r="A4589" s="21">
        <v>717.0</v>
      </c>
      <c r="B4589" s="14" t="s">
        <v>90</v>
      </c>
      <c r="C4589" s="14" t="s">
        <v>14</v>
      </c>
      <c r="D4589" s="20" t="s">
        <v>20</v>
      </c>
      <c r="E4589" s="12" t="str">
        <f>IFERROR(__xludf.DUMMYFUNCTION("FILTER(colegios!$B$2:$B5618,colegios!$A$2:$A5618=L4589)"),"50552 TUPAC AMARU II")</f>
        <v>50552 TUPAC AMARU II</v>
      </c>
      <c r="F4589" s="14" t="s">
        <v>16</v>
      </c>
      <c r="G4589" s="20" t="s">
        <v>17</v>
      </c>
      <c r="H4589" s="14" t="s">
        <v>24</v>
      </c>
      <c r="I4589" s="22">
        <v>2022.0</v>
      </c>
      <c r="J4589" s="16" t="str">
        <f>IFERROR(__xludf.DUMMYFUNCTION("FILTER('CLASFICACIÓN'!$F$3:$F5618,'CLASFICACIÓN'!$G$3:$G5618=M4589)"),"SOLO 2022 Y 2024")</f>
        <v>SOLO 2022 Y 2024</v>
      </c>
      <c r="K4589" s="16"/>
      <c r="L4589" s="14" t="s">
        <v>183</v>
      </c>
      <c r="M4589" s="16" t="str">
        <f t="shared" si="1"/>
        <v>50552 TUPAC AMARU II4 Primaria</v>
      </c>
      <c r="N4589" s="23"/>
      <c r="O4589" s="17"/>
      <c r="P4589" s="17"/>
      <c r="Q4589" s="17"/>
      <c r="R4589" s="17"/>
      <c r="S4589" s="17"/>
      <c r="T4589" s="17"/>
    </row>
    <row r="4590">
      <c r="A4590" s="21">
        <v>718.0</v>
      </c>
      <c r="B4590" s="14" t="s">
        <v>90</v>
      </c>
      <c r="C4590" s="14" t="s">
        <v>14</v>
      </c>
      <c r="D4590" s="20" t="s">
        <v>20</v>
      </c>
      <c r="E4590" s="12" t="str">
        <f>IFERROR(__xludf.DUMMYFUNCTION("FILTER(colegios!$B$2:$B5618,colegios!$A$2:$A5618=L4590)"),"50552 TUPAC AMARU II")</f>
        <v>50552 TUPAC AMARU II</v>
      </c>
      <c r="F4590" s="14" t="s">
        <v>16</v>
      </c>
      <c r="G4590" s="20" t="s">
        <v>21</v>
      </c>
      <c r="H4590" s="14" t="s">
        <v>24</v>
      </c>
      <c r="I4590" s="22">
        <v>2022.0</v>
      </c>
      <c r="J4590" s="16" t="str">
        <f>IFERROR(__xludf.DUMMYFUNCTION("FILTER('CLASFICACIÓN'!$F$3:$F5618,'CLASFICACIÓN'!$G$3:$G5618=M4590)"),"SOLO 2022 Y 2024")</f>
        <v>SOLO 2022 Y 2024</v>
      </c>
      <c r="K4590" s="16"/>
      <c r="L4590" s="14" t="s">
        <v>183</v>
      </c>
      <c r="M4590" s="16" t="str">
        <f t="shared" si="1"/>
        <v>50552 TUPAC AMARU II4 Primaria</v>
      </c>
      <c r="N4590" s="23"/>
      <c r="O4590" s="17"/>
      <c r="P4590" s="17"/>
      <c r="Q4590" s="17"/>
      <c r="R4590" s="17"/>
      <c r="S4590" s="17"/>
      <c r="T4590" s="17"/>
    </row>
    <row r="4591">
      <c r="A4591" s="21">
        <v>719.0</v>
      </c>
      <c r="B4591" s="14" t="s">
        <v>90</v>
      </c>
      <c r="C4591" s="14" t="s">
        <v>14</v>
      </c>
      <c r="D4591" s="20" t="s">
        <v>20</v>
      </c>
      <c r="E4591" s="12" t="str">
        <f>IFERROR(__xludf.DUMMYFUNCTION("FILTER(colegios!$B$2:$B5618,colegios!$A$2:$A5618=L4591)"),"50552 TUPAC AMARU II")</f>
        <v>50552 TUPAC AMARU II</v>
      </c>
      <c r="F4591" s="14" t="s">
        <v>16</v>
      </c>
      <c r="G4591" s="20" t="s">
        <v>17</v>
      </c>
      <c r="H4591" s="14" t="s">
        <v>24</v>
      </c>
      <c r="I4591" s="22">
        <v>2022.0</v>
      </c>
      <c r="J4591" s="16" t="str">
        <f>IFERROR(__xludf.DUMMYFUNCTION("FILTER('CLASFICACIÓN'!$F$3:$F5618,'CLASFICACIÓN'!$G$3:$G5618=M4591)"),"SOLO 2022 Y 2024")</f>
        <v>SOLO 2022 Y 2024</v>
      </c>
      <c r="K4591" s="16"/>
      <c r="L4591" s="14" t="s">
        <v>183</v>
      </c>
      <c r="M4591" s="16" t="str">
        <f t="shared" si="1"/>
        <v>50552 TUPAC AMARU II4 Primaria</v>
      </c>
      <c r="N4591" s="23"/>
      <c r="O4591" s="17"/>
      <c r="P4591" s="17"/>
      <c r="Q4591" s="17"/>
      <c r="R4591" s="17"/>
      <c r="S4591" s="17"/>
      <c r="T4591" s="17"/>
    </row>
    <row r="4592">
      <c r="A4592" s="21">
        <v>720.0</v>
      </c>
      <c r="B4592" s="14" t="s">
        <v>90</v>
      </c>
      <c r="C4592" s="14" t="s">
        <v>14</v>
      </c>
      <c r="D4592" s="20" t="s">
        <v>20</v>
      </c>
      <c r="E4592" s="12" t="str">
        <f>IFERROR(__xludf.DUMMYFUNCTION("FILTER(colegios!$B$2:$B5618,colegios!$A$2:$A5618=L4592)"),"50552 TUPAC AMARU II")</f>
        <v>50552 TUPAC AMARU II</v>
      </c>
      <c r="F4592" s="14" t="s">
        <v>16</v>
      </c>
      <c r="G4592" s="20" t="s">
        <v>17</v>
      </c>
      <c r="H4592" s="14" t="s">
        <v>24</v>
      </c>
      <c r="I4592" s="22">
        <v>2022.0</v>
      </c>
      <c r="J4592" s="16" t="str">
        <f>IFERROR(__xludf.DUMMYFUNCTION("FILTER('CLASFICACIÓN'!$F$3:$F5618,'CLASFICACIÓN'!$G$3:$G5618=M4592)"),"SOLO 2022 Y 2024")</f>
        <v>SOLO 2022 Y 2024</v>
      </c>
      <c r="K4592" s="16"/>
      <c r="L4592" s="14" t="s">
        <v>183</v>
      </c>
      <c r="M4592" s="16" t="str">
        <f t="shared" si="1"/>
        <v>50552 TUPAC AMARU II4 Primaria</v>
      </c>
      <c r="N4592" s="23"/>
      <c r="O4592" s="17"/>
      <c r="P4592" s="17"/>
      <c r="Q4592" s="17"/>
      <c r="R4592" s="17"/>
      <c r="S4592" s="17"/>
      <c r="T4592" s="17"/>
    </row>
    <row r="4593">
      <c r="A4593" s="21">
        <v>721.0</v>
      </c>
      <c r="B4593" s="14" t="s">
        <v>90</v>
      </c>
      <c r="C4593" s="14" t="s">
        <v>14</v>
      </c>
      <c r="D4593" s="20" t="s">
        <v>20</v>
      </c>
      <c r="E4593" s="12" t="str">
        <f>IFERROR(__xludf.DUMMYFUNCTION("FILTER(colegios!$B$2:$B5618,colegios!$A$2:$A5618=L4593)"),"50552 TUPAC AMARU II")</f>
        <v>50552 TUPAC AMARU II</v>
      </c>
      <c r="F4593" s="14" t="s">
        <v>16</v>
      </c>
      <c r="G4593" s="20" t="s">
        <v>17</v>
      </c>
      <c r="H4593" s="14" t="s">
        <v>24</v>
      </c>
      <c r="I4593" s="22">
        <v>2022.0</v>
      </c>
      <c r="J4593" s="16" t="str">
        <f>IFERROR(__xludf.DUMMYFUNCTION("FILTER('CLASFICACIÓN'!$F$3:$F5618,'CLASFICACIÓN'!$G$3:$G5618=M4593)"),"SOLO 2022 Y 2024")</f>
        <v>SOLO 2022 Y 2024</v>
      </c>
      <c r="K4593" s="16"/>
      <c r="L4593" s="14" t="s">
        <v>183</v>
      </c>
      <c r="M4593" s="16" t="str">
        <f t="shared" si="1"/>
        <v>50552 TUPAC AMARU II4 Primaria</v>
      </c>
      <c r="N4593" s="23"/>
      <c r="O4593" s="17"/>
      <c r="P4593" s="17"/>
      <c r="Q4593" s="17"/>
      <c r="R4593" s="17"/>
      <c r="S4593" s="17"/>
      <c r="T4593" s="17"/>
    </row>
    <row r="4594">
      <c r="A4594" s="21">
        <v>722.0</v>
      </c>
      <c r="B4594" s="14" t="s">
        <v>90</v>
      </c>
      <c r="C4594" s="14" t="s">
        <v>14</v>
      </c>
      <c r="D4594" s="20" t="s">
        <v>20</v>
      </c>
      <c r="E4594" s="12" t="str">
        <f>IFERROR(__xludf.DUMMYFUNCTION("FILTER(colegios!$B$2:$B5618,colegios!$A$2:$A5618=L4594)"),"50552 TUPAC AMARU II")</f>
        <v>50552 TUPAC AMARU II</v>
      </c>
      <c r="F4594" s="14" t="s">
        <v>16</v>
      </c>
      <c r="G4594" s="20" t="s">
        <v>17</v>
      </c>
      <c r="H4594" s="14" t="s">
        <v>24</v>
      </c>
      <c r="I4594" s="22">
        <v>2022.0</v>
      </c>
      <c r="J4594" s="16" t="str">
        <f>IFERROR(__xludf.DUMMYFUNCTION("FILTER('CLASFICACIÓN'!$F$3:$F5618,'CLASFICACIÓN'!$G$3:$G5618=M4594)"),"SOLO 2022 Y 2024")</f>
        <v>SOLO 2022 Y 2024</v>
      </c>
      <c r="K4594" s="16"/>
      <c r="L4594" s="14" t="s">
        <v>183</v>
      </c>
      <c r="M4594" s="16" t="str">
        <f t="shared" si="1"/>
        <v>50552 TUPAC AMARU II4 Primaria</v>
      </c>
      <c r="N4594" s="23"/>
      <c r="O4594" s="17"/>
      <c r="P4594" s="17"/>
      <c r="Q4594" s="17"/>
      <c r="R4594" s="17"/>
      <c r="S4594" s="17"/>
      <c r="T4594" s="17"/>
    </row>
    <row r="4595">
      <c r="A4595" s="21">
        <v>723.0</v>
      </c>
      <c r="B4595" s="14" t="s">
        <v>90</v>
      </c>
      <c r="C4595" s="14" t="s">
        <v>14</v>
      </c>
      <c r="D4595" s="20" t="s">
        <v>20</v>
      </c>
      <c r="E4595" s="12" t="str">
        <f>IFERROR(__xludf.DUMMYFUNCTION("FILTER(colegios!$B$2:$B5618,colegios!$A$2:$A5618=L4595)"),"50552 TUPAC AMARU II")</f>
        <v>50552 TUPAC AMARU II</v>
      </c>
      <c r="F4595" s="14" t="s">
        <v>16</v>
      </c>
      <c r="G4595" s="20" t="s">
        <v>21</v>
      </c>
      <c r="H4595" s="14" t="s">
        <v>24</v>
      </c>
      <c r="I4595" s="22">
        <v>2022.0</v>
      </c>
      <c r="J4595" s="16" t="str">
        <f>IFERROR(__xludf.DUMMYFUNCTION("FILTER('CLASFICACIÓN'!$F$3:$F5618,'CLASFICACIÓN'!$G$3:$G5618=M4595)"),"SOLO 2022 Y 2024")</f>
        <v>SOLO 2022 Y 2024</v>
      </c>
      <c r="K4595" s="16"/>
      <c r="L4595" s="14" t="s">
        <v>183</v>
      </c>
      <c r="M4595" s="16" t="str">
        <f t="shared" si="1"/>
        <v>50552 TUPAC AMARU II4 Primaria</v>
      </c>
      <c r="N4595" s="23"/>
      <c r="O4595" s="17"/>
      <c r="P4595" s="17"/>
      <c r="Q4595" s="17"/>
      <c r="R4595" s="17"/>
      <c r="S4595" s="17"/>
      <c r="T4595" s="17"/>
    </row>
    <row r="4596">
      <c r="A4596" s="21">
        <v>724.0</v>
      </c>
      <c r="B4596" s="14" t="s">
        <v>90</v>
      </c>
      <c r="C4596" s="14" t="s">
        <v>14</v>
      </c>
      <c r="D4596" s="20" t="s">
        <v>20</v>
      </c>
      <c r="E4596" s="12" t="str">
        <f>IFERROR(__xludf.DUMMYFUNCTION("FILTER(colegios!$B$2:$B5618,colegios!$A$2:$A5618=L4596)"),"50552 TUPAC AMARU II")</f>
        <v>50552 TUPAC AMARU II</v>
      </c>
      <c r="F4596" s="14" t="s">
        <v>16</v>
      </c>
      <c r="G4596" s="20" t="s">
        <v>17</v>
      </c>
      <c r="H4596" s="14" t="s">
        <v>24</v>
      </c>
      <c r="I4596" s="22">
        <v>2022.0</v>
      </c>
      <c r="J4596" s="16" t="str">
        <f>IFERROR(__xludf.DUMMYFUNCTION("FILTER('CLASFICACIÓN'!$F$3:$F5618,'CLASFICACIÓN'!$G$3:$G5618=M4596)"),"SOLO 2022 Y 2024")</f>
        <v>SOLO 2022 Y 2024</v>
      </c>
      <c r="K4596" s="16"/>
      <c r="L4596" s="14" t="s">
        <v>183</v>
      </c>
      <c r="M4596" s="16" t="str">
        <f t="shared" si="1"/>
        <v>50552 TUPAC AMARU II4 Primaria</v>
      </c>
      <c r="N4596" s="23"/>
      <c r="O4596" s="17"/>
      <c r="P4596" s="17"/>
      <c r="Q4596" s="17"/>
      <c r="R4596" s="17"/>
      <c r="S4596" s="17"/>
      <c r="T4596" s="17"/>
    </row>
    <row r="4597">
      <c r="A4597" s="21">
        <v>725.0</v>
      </c>
      <c r="B4597" s="14" t="s">
        <v>90</v>
      </c>
      <c r="C4597" s="14" t="s">
        <v>14</v>
      </c>
      <c r="D4597" s="20" t="s">
        <v>20</v>
      </c>
      <c r="E4597" s="12" t="str">
        <f>IFERROR(__xludf.DUMMYFUNCTION("FILTER(colegios!$B$2:$B5618,colegios!$A$2:$A5618=L4597)"),"50552 TUPAC AMARU II")</f>
        <v>50552 TUPAC AMARU II</v>
      </c>
      <c r="F4597" s="14" t="s">
        <v>16</v>
      </c>
      <c r="G4597" s="20" t="s">
        <v>21</v>
      </c>
      <c r="H4597" s="14" t="s">
        <v>24</v>
      </c>
      <c r="I4597" s="22">
        <v>2022.0</v>
      </c>
      <c r="J4597" s="16" t="str">
        <f>IFERROR(__xludf.DUMMYFUNCTION("FILTER('CLASFICACIÓN'!$F$3:$F5618,'CLASFICACIÓN'!$G$3:$G5618=M4597)"),"SOLO 2022 Y 2024")</f>
        <v>SOLO 2022 Y 2024</v>
      </c>
      <c r="K4597" s="16"/>
      <c r="L4597" s="14" t="s">
        <v>183</v>
      </c>
      <c r="M4597" s="16" t="str">
        <f t="shared" si="1"/>
        <v>50552 TUPAC AMARU II4 Primaria</v>
      </c>
      <c r="N4597" s="23"/>
      <c r="O4597" s="17"/>
      <c r="P4597" s="17"/>
      <c r="Q4597" s="17"/>
      <c r="R4597" s="17"/>
      <c r="S4597" s="17"/>
      <c r="T4597" s="17"/>
    </row>
    <row r="4598">
      <c r="A4598" s="21">
        <v>726.0</v>
      </c>
      <c r="B4598" s="14" t="s">
        <v>90</v>
      </c>
      <c r="C4598" s="14" t="s">
        <v>14</v>
      </c>
      <c r="D4598" s="20" t="s">
        <v>20</v>
      </c>
      <c r="E4598" s="12" t="str">
        <f>IFERROR(__xludf.DUMMYFUNCTION("FILTER(colegios!$B$2:$B5618,colegios!$A$2:$A5618=L4598)"),"50552 TUPAC AMARU II")</f>
        <v>50552 TUPAC AMARU II</v>
      </c>
      <c r="F4598" s="14" t="s">
        <v>16</v>
      </c>
      <c r="G4598" s="20" t="s">
        <v>17</v>
      </c>
      <c r="H4598" s="14" t="s">
        <v>24</v>
      </c>
      <c r="I4598" s="22">
        <v>2022.0</v>
      </c>
      <c r="J4598" s="16" t="str">
        <f>IFERROR(__xludf.DUMMYFUNCTION("FILTER('CLASFICACIÓN'!$F$3:$F5618,'CLASFICACIÓN'!$G$3:$G5618=M4598)"),"SOLO 2022 Y 2024")</f>
        <v>SOLO 2022 Y 2024</v>
      </c>
      <c r="K4598" s="16"/>
      <c r="L4598" s="14" t="s">
        <v>183</v>
      </c>
      <c r="M4598" s="16" t="str">
        <f t="shared" si="1"/>
        <v>50552 TUPAC AMARU II4 Primaria</v>
      </c>
      <c r="N4598" s="23"/>
      <c r="O4598" s="17"/>
      <c r="P4598" s="17"/>
      <c r="Q4598" s="17"/>
      <c r="R4598" s="17"/>
      <c r="S4598" s="17"/>
      <c r="T4598" s="17"/>
    </row>
    <row r="4599">
      <c r="A4599" s="21">
        <v>727.0</v>
      </c>
      <c r="B4599" s="14" t="s">
        <v>90</v>
      </c>
      <c r="C4599" s="14" t="s">
        <v>14</v>
      </c>
      <c r="D4599" s="20" t="s">
        <v>20</v>
      </c>
      <c r="E4599" s="12" t="str">
        <f>IFERROR(__xludf.DUMMYFUNCTION("FILTER(colegios!$B$2:$B5618,colegios!$A$2:$A5618=L4599)"),"50552 TUPAC AMARU II")</f>
        <v>50552 TUPAC AMARU II</v>
      </c>
      <c r="F4599" s="14" t="s">
        <v>16</v>
      </c>
      <c r="G4599" s="20" t="s">
        <v>21</v>
      </c>
      <c r="H4599" s="14" t="s">
        <v>24</v>
      </c>
      <c r="I4599" s="22">
        <v>2022.0</v>
      </c>
      <c r="J4599" s="16" t="str">
        <f>IFERROR(__xludf.DUMMYFUNCTION("FILTER('CLASFICACIÓN'!$F$3:$F5618,'CLASFICACIÓN'!$G$3:$G5618=M4599)"),"SOLO 2022 Y 2024")</f>
        <v>SOLO 2022 Y 2024</v>
      </c>
      <c r="K4599" s="16"/>
      <c r="L4599" s="14" t="s">
        <v>183</v>
      </c>
      <c r="M4599" s="16" t="str">
        <f t="shared" si="1"/>
        <v>50552 TUPAC AMARU II4 Primaria</v>
      </c>
      <c r="N4599" s="23"/>
      <c r="O4599" s="17"/>
      <c r="P4599" s="17"/>
      <c r="Q4599" s="17"/>
      <c r="R4599" s="17"/>
      <c r="S4599" s="17"/>
      <c r="T4599" s="17"/>
    </row>
    <row r="4600">
      <c r="A4600" s="21">
        <v>728.0</v>
      </c>
      <c r="B4600" s="14" t="s">
        <v>90</v>
      </c>
      <c r="C4600" s="14" t="s">
        <v>14</v>
      </c>
      <c r="D4600" s="20" t="s">
        <v>20</v>
      </c>
      <c r="E4600" s="12" t="str">
        <f>IFERROR(__xludf.DUMMYFUNCTION("FILTER(colegios!$B$2:$B5618,colegios!$A$2:$A5618=L4600)"),"50552 TUPAC AMARU II")</f>
        <v>50552 TUPAC AMARU II</v>
      </c>
      <c r="F4600" s="14" t="s">
        <v>16</v>
      </c>
      <c r="G4600" s="20" t="s">
        <v>17</v>
      </c>
      <c r="H4600" s="14" t="s">
        <v>24</v>
      </c>
      <c r="I4600" s="22">
        <v>2022.0</v>
      </c>
      <c r="J4600" s="16" t="str">
        <f>IFERROR(__xludf.DUMMYFUNCTION("FILTER('CLASFICACIÓN'!$F$3:$F5618,'CLASFICACIÓN'!$G$3:$G5618=M4600)"),"SOLO 2022 Y 2024")</f>
        <v>SOLO 2022 Y 2024</v>
      </c>
      <c r="K4600" s="16"/>
      <c r="L4600" s="14" t="s">
        <v>183</v>
      </c>
      <c r="M4600" s="16" t="str">
        <f t="shared" si="1"/>
        <v>50552 TUPAC AMARU II4 Primaria</v>
      </c>
      <c r="N4600" s="23"/>
      <c r="O4600" s="17"/>
      <c r="P4600" s="17"/>
      <c r="Q4600" s="17"/>
      <c r="R4600" s="17"/>
      <c r="S4600" s="17"/>
      <c r="T4600" s="17"/>
    </row>
    <row r="4601">
      <c r="A4601" s="21">
        <v>729.0</v>
      </c>
      <c r="B4601" s="14" t="s">
        <v>90</v>
      </c>
      <c r="C4601" s="14" t="s">
        <v>14</v>
      </c>
      <c r="D4601" s="20" t="s">
        <v>20</v>
      </c>
      <c r="E4601" s="12" t="str">
        <f>IFERROR(__xludf.DUMMYFUNCTION("FILTER(colegios!$B$2:$B5618,colegios!$A$2:$A5618=L4601)"),"50535")</f>
        <v>50535</v>
      </c>
      <c r="F4601" s="14" t="s">
        <v>16</v>
      </c>
      <c r="G4601" s="20" t="s">
        <v>21</v>
      </c>
      <c r="H4601" s="14" t="s">
        <v>18</v>
      </c>
      <c r="I4601" s="22">
        <v>2022.0</v>
      </c>
      <c r="J4601" s="16" t="str">
        <f>IFERROR(__xludf.DUMMYFUNCTION("FILTER('CLASFICACIÓN'!$F$3:$F5618,'CLASFICACIÓN'!$G$3:$G5618=M4601)"),"SOLO LINEA BASE")</f>
        <v>SOLO LINEA BASE</v>
      </c>
      <c r="K4601" s="16"/>
      <c r="L4601" s="14" t="s">
        <v>184</v>
      </c>
      <c r="M4601" s="16" t="str">
        <f t="shared" si="1"/>
        <v>505354 Primaria</v>
      </c>
      <c r="N4601" s="23"/>
      <c r="O4601" s="17"/>
      <c r="P4601" s="17"/>
      <c r="Q4601" s="17"/>
      <c r="R4601" s="17"/>
      <c r="S4601" s="17"/>
      <c r="T4601" s="17"/>
    </row>
    <row r="4602">
      <c r="A4602" s="21">
        <v>730.0</v>
      </c>
      <c r="B4602" s="14" t="s">
        <v>90</v>
      </c>
      <c r="C4602" s="14" t="s">
        <v>14</v>
      </c>
      <c r="D4602" s="20" t="s">
        <v>20</v>
      </c>
      <c r="E4602" s="12" t="str">
        <f>IFERROR(__xludf.DUMMYFUNCTION("FILTER(colegios!$B$2:$B5618,colegios!$A$2:$A5618=L4602)"),"50976")</f>
        <v>50976</v>
      </c>
      <c r="F4602" s="14" t="s">
        <v>16</v>
      </c>
      <c r="G4602" s="20" t="s">
        <v>17</v>
      </c>
      <c r="H4602" s="14" t="s">
        <v>18</v>
      </c>
      <c r="I4602" s="22">
        <v>2022.0</v>
      </c>
      <c r="J4602" s="16" t="str">
        <f>IFERROR(__xludf.DUMMYFUNCTION("FILTER('CLASFICACIÓN'!$F$3:$F5618,'CLASFICACIÓN'!$G$3:$G5618=M4602)"),"SOLO LINEA BASE")</f>
        <v>SOLO LINEA BASE</v>
      </c>
      <c r="K4602" s="16"/>
      <c r="L4602" s="14" t="s">
        <v>185</v>
      </c>
      <c r="M4602" s="16" t="str">
        <f t="shared" si="1"/>
        <v>509764 Primaria</v>
      </c>
      <c r="N4602" s="23"/>
      <c r="O4602" s="17"/>
      <c r="P4602" s="17"/>
      <c r="Q4602" s="17"/>
      <c r="R4602" s="17"/>
      <c r="S4602" s="17"/>
      <c r="T4602" s="17"/>
    </row>
    <row r="4603">
      <c r="A4603" s="21">
        <v>731.0</v>
      </c>
      <c r="B4603" s="14" t="s">
        <v>90</v>
      </c>
      <c r="C4603" s="14" t="s">
        <v>14</v>
      </c>
      <c r="D4603" s="20" t="s">
        <v>20</v>
      </c>
      <c r="E4603" s="12" t="str">
        <f>IFERROR(__xludf.DUMMYFUNCTION("FILTER(colegios!$B$2:$B5618,colegios!$A$2:$A5618=L4603)"),"50715")</f>
        <v>50715</v>
      </c>
      <c r="F4603" s="14" t="s">
        <v>16</v>
      </c>
      <c r="G4603" s="20" t="s">
        <v>17</v>
      </c>
      <c r="H4603" s="14" t="s">
        <v>18</v>
      </c>
      <c r="I4603" s="22">
        <v>2022.0</v>
      </c>
      <c r="J4603" s="16" t="str">
        <f>IFERROR(__xludf.DUMMYFUNCTION("FILTER('CLASFICACIÓN'!$F$3:$F5618,'CLASFICACIÓN'!$G$3:$G5618=M4603)"),"LOS 3 AÑOS")</f>
        <v>LOS 3 AÑOS</v>
      </c>
      <c r="K4603" s="16"/>
      <c r="L4603" s="14" t="s">
        <v>186</v>
      </c>
      <c r="M4603" s="16" t="str">
        <f t="shared" si="1"/>
        <v>507154 Primaria</v>
      </c>
      <c r="N4603" s="23"/>
      <c r="O4603" s="17"/>
      <c r="P4603" s="17"/>
      <c r="Q4603" s="17"/>
      <c r="R4603" s="17"/>
      <c r="S4603" s="17"/>
      <c r="T4603" s="17"/>
    </row>
    <row r="4604">
      <c r="A4604" s="21">
        <v>732.0</v>
      </c>
      <c r="B4604" s="14" t="s">
        <v>90</v>
      </c>
      <c r="C4604" s="14" t="s">
        <v>14</v>
      </c>
      <c r="D4604" s="20" t="s">
        <v>20</v>
      </c>
      <c r="E4604" s="12" t="str">
        <f>IFERROR(__xludf.DUMMYFUNCTION("FILTER(colegios!$B$2:$B5618,colegios!$A$2:$A5618=L4604)"),"501432 PAPA FRANCISCO I")</f>
        <v>501432 PAPA FRANCISCO I</v>
      </c>
      <c r="F4604" s="14" t="s">
        <v>16</v>
      </c>
      <c r="G4604" s="20" t="s">
        <v>21</v>
      </c>
      <c r="H4604" s="14" t="s">
        <v>18</v>
      </c>
      <c r="I4604" s="22">
        <v>2022.0</v>
      </c>
      <c r="J4604" s="16" t="str">
        <f>IFERROR(__xludf.DUMMYFUNCTION("FILTER('CLASFICACIÓN'!$F$3:$F5618,'CLASFICACIÓN'!$G$3:$G5618=M4604)"),"LOS 3 AÑOS")</f>
        <v>LOS 3 AÑOS</v>
      </c>
      <c r="K4604" s="16"/>
      <c r="L4604" s="14" t="s">
        <v>187</v>
      </c>
      <c r="M4604" s="16" t="str">
        <f t="shared" si="1"/>
        <v>501432 PAPA FRANCISCO I4 Primaria</v>
      </c>
      <c r="N4604" s="23"/>
      <c r="O4604" s="17"/>
      <c r="P4604" s="17"/>
      <c r="Q4604" s="17"/>
      <c r="R4604" s="17"/>
      <c r="S4604" s="17"/>
      <c r="T4604" s="17"/>
    </row>
    <row r="4605">
      <c r="A4605" s="21">
        <v>733.0</v>
      </c>
      <c r="B4605" s="14" t="s">
        <v>90</v>
      </c>
      <c r="C4605" s="14" t="s">
        <v>14</v>
      </c>
      <c r="D4605" s="20" t="s">
        <v>20</v>
      </c>
      <c r="E4605" s="12" t="str">
        <f>IFERROR(__xludf.DUMMYFUNCTION("FILTER(colegios!$B$2:$B5618,colegios!$A$2:$A5618=L4605)"),"50553")</f>
        <v>50553</v>
      </c>
      <c r="F4605" s="14" t="s">
        <v>16</v>
      </c>
      <c r="G4605" s="20" t="s">
        <v>21</v>
      </c>
      <c r="H4605" s="14" t="s">
        <v>18</v>
      </c>
      <c r="I4605" s="22">
        <v>2022.0</v>
      </c>
      <c r="J4605" s="16" t="str">
        <f>IFERROR(__xludf.DUMMYFUNCTION("FILTER('CLASFICACIÓN'!$F$3:$F5618,'CLASFICACIÓN'!$G$3:$G5618=M4605)"),"LOS 3 AÑOS")</f>
        <v>LOS 3 AÑOS</v>
      </c>
      <c r="K4605" s="16"/>
      <c r="L4605" s="14" t="s">
        <v>188</v>
      </c>
      <c r="M4605" s="16" t="str">
        <f t="shared" si="1"/>
        <v>505534 Primaria</v>
      </c>
      <c r="N4605" s="23"/>
      <c r="O4605" s="17"/>
      <c r="P4605" s="17"/>
      <c r="Q4605" s="17"/>
      <c r="R4605" s="17"/>
      <c r="S4605" s="17"/>
      <c r="T4605" s="17"/>
    </row>
    <row r="4606">
      <c r="A4606" s="21">
        <v>734.0</v>
      </c>
      <c r="B4606" s="14" t="s">
        <v>90</v>
      </c>
      <c r="C4606" s="14" t="s">
        <v>14</v>
      </c>
      <c r="D4606" s="20" t="s">
        <v>20</v>
      </c>
      <c r="E4606" s="12" t="str">
        <f>IFERROR(__xludf.DUMMYFUNCTION("FILTER(colegios!$B$2:$B5618,colegios!$A$2:$A5618=L4606)"),"50492 CORAZON DE JESUS")</f>
        <v>50492 CORAZON DE JESUS</v>
      </c>
      <c r="F4606" s="14" t="s">
        <v>16</v>
      </c>
      <c r="G4606" s="20" t="s">
        <v>17</v>
      </c>
      <c r="H4606" s="14" t="s">
        <v>18</v>
      </c>
      <c r="I4606" s="22">
        <v>2022.0</v>
      </c>
      <c r="J4606" s="16" t="str">
        <f>IFERROR(__xludf.DUMMYFUNCTION("FILTER('CLASFICACIÓN'!$F$3:$F5618,'CLASFICACIÓN'!$G$3:$G5618=M4606)"),"LOS 3 AÑOS")</f>
        <v>LOS 3 AÑOS</v>
      </c>
      <c r="K4606" s="16"/>
      <c r="L4606" s="14" t="s">
        <v>189</v>
      </c>
      <c r="M4606" s="16" t="str">
        <f t="shared" si="1"/>
        <v>50492 CORAZON DE JESUS4 Primaria</v>
      </c>
      <c r="N4606" s="23"/>
      <c r="O4606" s="17"/>
      <c r="P4606" s="17"/>
      <c r="Q4606" s="17"/>
      <c r="R4606" s="17"/>
      <c r="S4606" s="17"/>
      <c r="T4606" s="17"/>
    </row>
    <row r="4607">
      <c r="A4607" s="21">
        <v>735.0</v>
      </c>
      <c r="B4607" s="14" t="s">
        <v>90</v>
      </c>
      <c r="C4607" s="14" t="s">
        <v>14</v>
      </c>
      <c r="D4607" s="20" t="s">
        <v>20</v>
      </c>
      <c r="E4607" s="12" t="str">
        <f>IFERROR(__xludf.DUMMYFUNCTION("FILTER(colegios!$B$2:$B5618,colegios!$A$2:$A5618=L4607)"),"50492 CORAZON DE JESUS")</f>
        <v>50492 CORAZON DE JESUS</v>
      </c>
      <c r="F4607" s="14" t="s">
        <v>16</v>
      </c>
      <c r="G4607" s="20" t="s">
        <v>21</v>
      </c>
      <c r="H4607" s="14" t="s">
        <v>18</v>
      </c>
      <c r="I4607" s="22">
        <v>2022.0</v>
      </c>
      <c r="J4607" s="16" t="str">
        <f>IFERROR(__xludf.DUMMYFUNCTION("FILTER('CLASFICACIÓN'!$F$3:$F5618,'CLASFICACIÓN'!$G$3:$G5618=M4607)"),"LOS 3 AÑOS")</f>
        <v>LOS 3 AÑOS</v>
      </c>
      <c r="K4607" s="16"/>
      <c r="L4607" s="14" t="s">
        <v>189</v>
      </c>
      <c r="M4607" s="16" t="str">
        <f t="shared" si="1"/>
        <v>50492 CORAZON DE JESUS4 Primaria</v>
      </c>
      <c r="N4607" s="23"/>
      <c r="O4607" s="17"/>
      <c r="P4607" s="17"/>
      <c r="Q4607" s="17"/>
      <c r="R4607" s="17"/>
      <c r="S4607" s="17"/>
      <c r="T4607" s="17"/>
    </row>
    <row r="4608">
      <c r="A4608" s="21">
        <v>736.0</v>
      </c>
      <c r="B4608" s="14" t="s">
        <v>90</v>
      </c>
      <c r="C4608" s="14" t="s">
        <v>14</v>
      </c>
      <c r="D4608" s="20" t="s">
        <v>20</v>
      </c>
      <c r="E4608" s="12" t="str">
        <f>IFERROR(__xludf.DUMMYFUNCTION("FILTER(colegios!$B$2:$B5618,colegios!$A$2:$A5618=L4608)"),"50492 CORAZON DE JESUS")</f>
        <v>50492 CORAZON DE JESUS</v>
      </c>
      <c r="F4608" s="14" t="s">
        <v>16</v>
      </c>
      <c r="G4608" s="20" t="s">
        <v>21</v>
      </c>
      <c r="H4608" s="14" t="s">
        <v>18</v>
      </c>
      <c r="I4608" s="22">
        <v>2022.0</v>
      </c>
      <c r="J4608" s="16" t="str">
        <f>IFERROR(__xludf.DUMMYFUNCTION("FILTER('CLASFICACIÓN'!$F$3:$F5618,'CLASFICACIÓN'!$G$3:$G5618=M4608)"),"LOS 3 AÑOS")</f>
        <v>LOS 3 AÑOS</v>
      </c>
      <c r="K4608" s="16"/>
      <c r="L4608" s="14" t="s">
        <v>189</v>
      </c>
      <c r="M4608" s="16" t="str">
        <f t="shared" si="1"/>
        <v>50492 CORAZON DE JESUS4 Primaria</v>
      </c>
      <c r="N4608" s="23"/>
      <c r="O4608" s="17"/>
      <c r="P4608" s="17"/>
      <c r="Q4608" s="17"/>
      <c r="R4608" s="17"/>
      <c r="S4608" s="17"/>
      <c r="T4608" s="17"/>
    </row>
    <row r="4609">
      <c r="A4609" s="21">
        <v>737.0</v>
      </c>
      <c r="B4609" s="14" t="s">
        <v>90</v>
      </c>
      <c r="C4609" s="14" t="s">
        <v>14</v>
      </c>
      <c r="D4609" s="20" t="s">
        <v>20</v>
      </c>
      <c r="E4609" s="12" t="str">
        <f>IFERROR(__xludf.DUMMYFUNCTION("FILTER(colegios!$B$2:$B5618,colegios!$A$2:$A5618=L4609)"),"50492 CORAZON DE JESUS")</f>
        <v>50492 CORAZON DE JESUS</v>
      </c>
      <c r="F4609" s="14" t="s">
        <v>16</v>
      </c>
      <c r="G4609" s="20" t="s">
        <v>21</v>
      </c>
      <c r="H4609" s="14" t="s">
        <v>18</v>
      </c>
      <c r="I4609" s="22">
        <v>2022.0</v>
      </c>
      <c r="J4609" s="16" t="str">
        <f>IFERROR(__xludf.DUMMYFUNCTION("FILTER('CLASFICACIÓN'!$F$3:$F5618,'CLASFICACIÓN'!$G$3:$G5618=M4609)"),"LOS 3 AÑOS")</f>
        <v>LOS 3 AÑOS</v>
      </c>
      <c r="K4609" s="16"/>
      <c r="L4609" s="14" t="s">
        <v>189</v>
      </c>
      <c r="M4609" s="16" t="str">
        <f t="shared" si="1"/>
        <v>50492 CORAZON DE JESUS4 Primaria</v>
      </c>
      <c r="N4609" s="23"/>
      <c r="O4609" s="17"/>
      <c r="P4609" s="17"/>
      <c r="Q4609" s="17"/>
      <c r="R4609" s="17"/>
      <c r="S4609" s="17"/>
      <c r="T4609" s="17"/>
    </row>
    <row r="4610">
      <c r="A4610" s="21">
        <v>738.0</v>
      </c>
      <c r="B4610" s="14" t="s">
        <v>90</v>
      </c>
      <c r="C4610" s="14" t="s">
        <v>14</v>
      </c>
      <c r="D4610" s="20" t="s">
        <v>20</v>
      </c>
      <c r="E4610" s="12" t="str">
        <f>IFERROR(__xludf.DUMMYFUNCTION("FILTER(colegios!$B$2:$B5618,colegios!$A$2:$A5618=L4610)"),"50492 CORAZON DE JESUS")</f>
        <v>50492 CORAZON DE JESUS</v>
      </c>
      <c r="F4610" s="14" t="s">
        <v>16</v>
      </c>
      <c r="G4610" s="20" t="s">
        <v>21</v>
      </c>
      <c r="H4610" s="14" t="s">
        <v>18</v>
      </c>
      <c r="I4610" s="22">
        <v>2022.0</v>
      </c>
      <c r="J4610" s="16" t="str">
        <f>IFERROR(__xludf.DUMMYFUNCTION("FILTER('CLASFICACIÓN'!$F$3:$F5618,'CLASFICACIÓN'!$G$3:$G5618=M4610)"),"LOS 3 AÑOS")</f>
        <v>LOS 3 AÑOS</v>
      </c>
      <c r="K4610" s="16"/>
      <c r="L4610" s="14" t="s">
        <v>189</v>
      </c>
      <c r="M4610" s="16" t="str">
        <f t="shared" si="1"/>
        <v>50492 CORAZON DE JESUS4 Primaria</v>
      </c>
      <c r="N4610" s="23"/>
      <c r="O4610" s="17"/>
      <c r="P4610" s="17"/>
      <c r="Q4610" s="17"/>
      <c r="R4610" s="17"/>
      <c r="S4610" s="17"/>
      <c r="T4610" s="17"/>
    </row>
    <row r="4611">
      <c r="A4611" s="21">
        <v>739.0</v>
      </c>
      <c r="B4611" s="14" t="s">
        <v>90</v>
      </c>
      <c r="C4611" s="14" t="s">
        <v>14</v>
      </c>
      <c r="D4611" s="20" t="s">
        <v>20</v>
      </c>
      <c r="E4611" s="12" t="str">
        <f>IFERROR(__xludf.DUMMYFUNCTION("FILTER(colegios!$B$2:$B5618,colegios!$A$2:$A5618=L4611)"),"50492 CORAZON DE JESUS")</f>
        <v>50492 CORAZON DE JESUS</v>
      </c>
      <c r="F4611" s="14" t="s">
        <v>16</v>
      </c>
      <c r="G4611" s="20" t="s">
        <v>21</v>
      </c>
      <c r="H4611" s="14" t="s">
        <v>18</v>
      </c>
      <c r="I4611" s="22">
        <v>2022.0</v>
      </c>
      <c r="J4611" s="16" t="str">
        <f>IFERROR(__xludf.DUMMYFUNCTION("FILTER('CLASFICACIÓN'!$F$3:$F5618,'CLASFICACIÓN'!$G$3:$G5618=M4611)"),"LOS 3 AÑOS")</f>
        <v>LOS 3 AÑOS</v>
      </c>
      <c r="K4611" s="16"/>
      <c r="L4611" s="14" t="s">
        <v>189</v>
      </c>
      <c r="M4611" s="16" t="str">
        <f t="shared" si="1"/>
        <v>50492 CORAZON DE JESUS4 Primaria</v>
      </c>
      <c r="N4611" s="23"/>
      <c r="O4611" s="17"/>
      <c r="P4611" s="17"/>
      <c r="Q4611" s="17"/>
      <c r="R4611" s="17"/>
      <c r="S4611" s="17"/>
      <c r="T4611" s="17"/>
    </row>
    <row r="4612">
      <c r="A4612" s="21">
        <v>740.0</v>
      </c>
      <c r="B4612" s="14" t="s">
        <v>90</v>
      </c>
      <c r="C4612" s="14" t="s">
        <v>14</v>
      </c>
      <c r="D4612" s="20" t="s">
        <v>20</v>
      </c>
      <c r="E4612" s="12" t="str">
        <f>IFERROR(__xludf.DUMMYFUNCTION("FILTER(colegios!$B$2:$B5618,colegios!$A$2:$A5618=L4612)"),"50492 CORAZON DE JESUS")</f>
        <v>50492 CORAZON DE JESUS</v>
      </c>
      <c r="F4612" s="14" t="s">
        <v>16</v>
      </c>
      <c r="G4612" s="20" t="s">
        <v>21</v>
      </c>
      <c r="H4612" s="14" t="s">
        <v>18</v>
      </c>
      <c r="I4612" s="22">
        <v>2022.0</v>
      </c>
      <c r="J4612" s="16" t="str">
        <f>IFERROR(__xludf.DUMMYFUNCTION("FILTER('CLASFICACIÓN'!$F$3:$F5618,'CLASFICACIÓN'!$G$3:$G5618=M4612)"),"LOS 3 AÑOS")</f>
        <v>LOS 3 AÑOS</v>
      </c>
      <c r="K4612" s="16"/>
      <c r="L4612" s="14" t="s">
        <v>189</v>
      </c>
      <c r="M4612" s="16" t="str">
        <f t="shared" si="1"/>
        <v>50492 CORAZON DE JESUS4 Primaria</v>
      </c>
      <c r="N4612" s="23"/>
      <c r="O4612" s="17"/>
      <c r="P4612" s="17"/>
      <c r="Q4612" s="17"/>
      <c r="R4612" s="17"/>
      <c r="S4612" s="17"/>
      <c r="T4612" s="17"/>
    </row>
    <row r="4613">
      <c r="A4613" s="21">
        <v>741.0</v>
      </c>
      <c r="B4613" s="14" t="s">
        <v>90</v>
      </c>
      <c r="C4613" s="14" t="s">
        <v>14</v>
      </c>
      <c r="D4613" s="20" t="s">
        <v>20</v>
      </c>
      <c r="E4613" s="12" t="str">
        <f>IFERROR(__xludf.DUMMYFUNCTION("FILTER(colegios!$B$2:$B5618,colegios!$A$2:$A5618=L4613)"),"50492 CORAZON DE JESUS")</f>
        <v>50492 CORAZON DE JESUS</v>
      </c>
      <c r="F4613" s="14" t="s">
        <v>16</v>
      </c>
      <c r="G4613" s="20" t="s">
        <v>21</v>
      </c>
      <c r="H4613" s="14" t="s">
        <v>18</v>
      </c>
      <c r="I4613" s="22">
        <v>2022.0</v>
      </c>
      <c r="J4613" s="16" t="str">
        <f>IFERROR(__xludf.DUMMYFUNCTION("FILTER('CLASFICACIÓN'!$F$3:$F5618,'CLASFICACIÓN'!$G$3:$G5618=M4613)"),"LOS 3 AÑOS")</f>
        <v>LOS 3 AÑOS</v>
      </c>
      <c r="K4613" s="16"/>
      <c r="L4613" s="14" t="s">
        <v>189</v>
      </c>
      <c r="M4613" s="16" t="str">
        <f t="shared" si="1"/>
        <v>50492 CORAZON DE JESUS4 Primaria</v>
      </c>
      <c r="N4613" s="23"/>
      <c r="O4613" s="17"/>
      <c r="P4613" s="17"/>
      <c r="Q4613" s="17"/>
      <c r="R4613" s="17"/>
      <c r="S4613" s="17"/>
      <c r="T4613" s="17"/>
    </row>
    <row r="4614">
      <c r="A4614" s="21">
        <v>742.0</v>
      </c>
      <c r="B4614" s="14" t="s">
        <v>90</v>
      </c>
      <c r="C4614" s="14" t="s">
        <v>14</v>
      </c>
      <c r="D4614" s="20" t="s">
        <v>20</v>
      </c>
      <c r="E4614" s="12" t="str">
        <f>IFERROR(__xludf.DUMMYFUNCTION("FILTER(colegios!$B$2:$B5618,colegios!$A$2:$A5618=L4614)"),"50492 CORAZON DE JESUS")</f>
        <v>50492 CORAZON DE JESUS</v>
      </c>
      <c r="F4614" s="14" t="s">
        <v>16</v>
      </c>
      <c r="G4614" s="20" t="s">
        <v>17</v>
      </c>
      <c r="H4614" s="14" t="s">
        <v>18</v>
      </c>
      <c r="I4614" s="22">
        <v>2022.0</v>
      </c>
      <c r="J4614" s="16" t="str">
        <f>IFERROR(__xludf.DUMMYFUNCTION("FILTER('CLASFICACIÓN'!$F$3:$F5618,'CLASFICACIÓN'!$G$3:$G5618=M4614)"),"LOS 3 AÑOS")</f>
        <v>LOS 3 AÑOS</v>
      </c>
      <c r="K4614" s="16"/>
      <c r="L4614" s="14" t="s">
        <v>189</v>
      </c>
      <c r="M4614" s="16" t="str">
        <f t="shared" si="1"/>
        <v>50492 CORAZON DE JESUS4 Primaria</v>
      </c>
      <c r="N4614" s="23"/>
      <c r="O4614" s="17"/>
      <c r="P4614" s="17"/>
      <c r="Q4614" s="17"/>
      <c r="R4614" s="17"/>
      <c r="S4614" s="17"/>
      <c r="T4614" s="17"/>
    </row>
    <row r="4615">
      <c r="A4615" s="21">
        <v>743.0</v>
      </c>
      <c r="B4615" s="14" t="s">
        <v>90</v>
      </c>
      <c r="C4615" s="14" t="s">
        <v>14</v>
      </c>
      <c r="D4615" s="20" t="s">
        <v>20</v>
      </c>
      <c r="E4615" s="12" t="str">
        <f>IFERROR(__xludf.DUMMYFUNCTION("FILTER(colegios!$B$2:$B5618,colegios!$A$2:$A5618=L4615)"),"50492 CORAZON DE JESUS")</f>
        <v>50492 CORAZON DE JESUS</v>
      </c>
      <c r="F4615" s="14" t="s">
        <v>16</v>
      </c>
      <c r="G4615" s="20" t="s">
        <v>21</v>
      </c>
      <c r="H4615" s="14" t="s">
        <v>18</v>
      </c>
      <c r="I4615" s="22">
        <v>2022.0</v>
      </c>
      <c r="J4615" s="16" t="str">
        <f>IFERROR(__xludf.DUMMYFUNCTION("FILTER('CLASFICACIÓN'!$F$3:$F5618,'CLASFICACIÓN'!$G$3:$G5618=M4615)"),"LOS 3 AÑOS")</f>
        <v>LOS 3 AÑOS</v>
      </c>
      <c r="K4615" s="16"/>
      <c r="L4615" s="14" t="s">
        <v>189</v>
      </c>
      <c r="M4615" s="16" t="str">
        <f t="shared" si="1"/>
        <v>50492 CORAZON DE JESUS4 Primaria</v>
      </c>
      <c r="N4615" s="23"/>
      <c r="O4615" s="17"/>
      <c r="P4615" s="17"/>
      <c r="Q4615" s="17"/>
      <c r="R4615" s="17"/>
      <c r="S4615" s="17"/>
      <c r="T4615" s="17"/>
    </row>
    <row r="4616">
      <c r="A4616" s="21">
        <v>744.0</v>
      </c>
      <c r="B4616" s="14" t="s">
        <v>90</v>
      </c>
      <c r="C4616" s="14" t="s">
        <v>14</v>
      </c>
      <c r="D4616" s="20" t="s">
        <v>20</v>
      </c>
      <c r="E4616" s="12" t="str">
        <f>IFERROR(__xludf.DUMMYFUNCTION("FILTER(colegios!$B$2:$B5618,colegios!$A$2:$A5618=L4616)"),"50492 CORAZON DE JESUS")</f>
        <v>50492 CORAZON DE JESUS</v>
      </c>
      <c r="F4616" s="14" t="s">
        <v>16</v>
      </c>
      <c r="G4616" s="20" t="s">
        <v>17</v>
      </c>
      <c r="H4616" s="14" t="s">
        <v>18</v>
      </c>
      <c r="I4616" s="22">
        <v>2022.0</v>
      </c>
      <c r="J4616" s="16" t="str">
        <f>IFERROR(__xludf.DUMMYFUNCTION("FILTER('CLASFICACIÓN'!$F$3:$F5618,'CLASFICACIÓN'!$G$3:$G5618=M4616)"),"LOS 3 AÑOS")</f>
        <v>LOS 3 AÑOS</v>
      </c>
      <c r="K4616" s="16"/>
      <c r="L4616" s="14" t="s">
        <v>189</v>
      </c>
      <c r="M4616" s="16" t="str">
        <f t="shared" si="1"/>
        <v>50492 CORAZON DE JESUS4 Primaria</v>
      </c>
      <c r="N4616" s="23"/>
      <c r="O4616" s="17"/>
      <c r="P4616" s="17"/>
      <c r="Q4616" s="17"/>
      <c r="R4616" s="17"/>
      <c r="S4616" s="17"/>
      <c r="T4616" s="17"/>
    </row>
    <row r="4617">
      <c r="A4617" s="21">
        <v>745.0</v>
      </c>
      <c r="B4617" s="14" t="s">
        <v>90</v>
      </c>
      <c r="C4617" s="14" t="s">
        <v>14</v>
      </c>
      <c r="D4617" s="20" t="s">
        <v>20</v>
      </c>
      <c r="E4617" s="12" t="str">
        <f>IFERROR(__xludf.DUMMYFUNCTION("FILTER(colegios!$B$2:$B5618,colegios!$A$2:$A5618=L4617)"),"50492 CORAZON DE JESUS")</f>
        <v>50492 CORAZON DE JESUS</v>
      </c>
      <c r="F4617" s="14" t="s">
        <v>16</v>
      </c>
      <c r="G4617" s="20" t="s">
        <v>17</v>
      </c>
      <c r="H4617" s="14" t="s">
        <v>18</v>
      </c>
      <c r="I4617" s="22">
        <v>2022.0</v>
      </c>
      <c r="J4617" s="16" t="str">
        <f>IFERROR(__xludf.DUMMYFUNCTION("FILTER('CLASFICACIÓN'!$F$3:$F5618,'CLASFICACIÓN'!$G$3:$G5618=M4617)"),"LOS 3 AÑOS")</f>
        <v>LOS 3 AÑOS</v>
      </c>
      <c r="K4617" s="16"/>
      <c r="L4617" s="14" t="s">
        <v>189</v>
      </c>
      <c r="M4617" s="16" t="str">
        <f t="shared" si="1"/>
        <v>50492 CORAZON DE JESUS4 Primaria</v>
      </c>
      <c r="N4617" s="23"/>
      <c r="O4617" s="17"/>
      <c r="P4617" s="17"/>
      <c r="Q4617" s="17"/>
      <c r="R4617" s="17"/>
      <c r="S4617" s="17"/>
      <c r="T4617" s="17"/>
    </row>
    <row r="4618">
      <c r="A4618" s="21">
        <v>746.0</v>
      </c>
      <c r="B4618" s="14" t="s">
        <v>90</v>
      </c>
      <c r="C4618" s="14" t="s">
        <v>14</v>
      </c>
      <c r="D4618" s="20" t="s">
        <v>20</v>
      </c>
      <c r="E4618" s="12" t="str">
        <f>IFERROR(__xludf.DUMMYFUNCTION("FILTER(colegios!$B$2:$B5618,colegios!$A$2:$A5618=L4618)"),"50492 CORAZON DE JESUS")</f>
        <v>50492 CORAZON DE JESUS</v>
      </c>
      <c r="F4618" s="14" t="s">
        <v>16</v>
      </c>
      <c r="G4618" s="20" t="s">
        <v>17</v>
      </c>
      <c r="H4618" s="14" t="s">
        <v>18</v>
      </c>
      <c r="I4618" s="22">
        <v>2022.0</v>
      </c>
      <c r="J4618" s="16" t="str">
        <f>IFERROR(__xludf.DUMMYFUNCTION("FILTER('CLASFICACIÓN'!$F$3:$F5618,'CLASFICACIÓN'!$G$3:$G5618=M4618)"),"LOS 3 AÑOS")</f>
        <v>LOS 3 AÑOS</v>
      </c>
      <c r="K4618" s="16"/>
      <c r="L4618" s="14" t="s">
        <v>189</v>
      </c>
      <c r="M4618" s="16" t="str">
        <f t="shared" si="1"/>
        <v>50492 CORAZON DE JESUS4 Primaria</v>
      </c>
      <c r="N4618" s="23"/>
      <c r="O4618" s="17"/>
      <c r="P4618" s="17"/>
      <c r="Q4618" s="17"/>
      <c r="R4618" s="17"/>
      <c r="S4618" s="17"/>
      <c r="T4618" s="17"/>
    </row>
    <row r="4619">
      <c r="A4619" s="21">
        <v>747.0</v>
      </c>
      <c r="B4619" s="14" t="s">
        <v>90</v>
      </c>
      <c r="C4619" s="14" t="s">
        <v>14</v>
      </c>
      <c r="D4619" s="20" t="s">
        <v>20</v>
      </c>
      <c r="E4619" s="12" t="str">
        <f>IFERROR(__xludf.DUMMYFUNCTION("FILTER(colegios!$B$2:$B5618,colegios!$A$2:$A5618=L4619)"),"50492 CORAZON DE JESUS")</f>
        <v>50492 CORAZON DE JESUS</v>
      </c>
      <c r="F4619" s="14" t="s">
        <v>16</v>
      </c>
      <c r="G4619" s="20" t="s">
        <v>21</v>
      </c>
      <c r="H4619" s="14" t="s">
        <v>18</v>
      </c>
      <c r="I4619" s="22">
        <v>2022.0</v>
      </c>
      <c r="J4619" s="16" t="str">
        <f>IFERROR(__xludf.DUMMYFUNCTION("FILTER('CLASFICACIÓN'!$F$3:$F5618,'CLASFICACIÓN'!$G$3:$G5618=M4619)"),"LOS 3 AÑOS")</f>
        <v>LOS 3 AÑOS</v>
      </c>
      <c r="K4619" s="16"/>
      <c r="L4619" s="14" t="s">
        <v>189</v>
      </c>
      <c r="M4619" s="16" t="str">
        <f t="shared" si="1"/>
        <v>50492 CORAZON DE JESUS4 Primaria</v>
      </c>
      <c r="N4619" s="23"/>
      <c r="O4619" s="17"/>
      <c r="P4619" s="17"/>
      <c r="Q4619" s="17"/>
      <c r="R4619" s="17"/>
      <c r="S4619" s="17"/>
      <c r="T4619" s="17"/>
    </row>
    <row r="4620">
      <c r="A4620" s="21">
        <v>748.0</v>
      </c>
      <c r="B4620" s="14" t="s">
        <v>90</v>
      </c>
      <c r="C4620" s="14" t="s">
        <v>14</v>
      </c>
      <c r="D4620" s="20" t="s">
        <v>20</v>
      </c>
      <c r="E4620" s="12" t="str">
        <f>IFERROR(__xludf.DUMMYFUNCTION("FILTER(colegios!$B$2:$B5618,colegios!$A$2:$A5618=L4620)"),"50492 CORAZON DE JESUS")</f>
        <v>50492 CORAZON DE JESUS</v>
      </c>
      <c r="F4620" s="14" t="s">
        <v>16</v>
      </c>
      <c r="G4620" s="20" t="s">
        <v>21</v>
      </c>
      <c r="H4620" s="14" t="s">
        <v>18</v>
      </c>
      <c r="I4620" s="22">
        <v>2022.0</v>
      </c>
      <c r="J4620" s="16" t="str">
        <f>IFERROR(__xludf.DUMMYFUNCTION("FILTER('CLASFICACIÓN'!$F$3:$F5618,'CLASFICACIÓN'!$G$3:$G5618=M4620)"),"LOS 3 AÑOS")</f>
        <v>LOS 3 AÑOS</v>
      </c>
      <c r="K4620" s="16"/>
      <c r="L4620" s="14" t="s">
        <v>189</v>
      </c>
      <c r="M4620" s="16" t="str">
        <f t="shared" si="1"/>
        <v>50492 CORAZON DE JESUS4 Primaria</v>
      </c>
      <c r="N4620" s="23"/>
      <c r="O4620" s="17"/>
      <c r="P4620" s="17"/>
      <c r="Q4620" s="17"/>
      <c r="R4620" s="17"/>
      <c r="S4620" s="17"/>
      <c r="T4620" s="17"/>
    </row>
    <row r="4621">
      <c r="A4621" s="21">
        <v>749.0</v>
      </c>
      <c r="B4621" s="14" t="s">
        <v>90</v>
      </c>
      <c r="C4621" s="14" t="s">
        <v>14</v>
      </c>
      <c r="D4621" s="20" t="s">
        <v>20</v>
      </c>
      <c r="E4621" s="12" t="str">
        <f>IFERROR(__xludf.DUMMYFUNCTION("FILTER(colegios!$B$2:$B5618,colegios!$A$2:$A5618=L4621)"),"50492 CORAZON DE JESUS")</f>
        <v>50492 CORAZON DE JESUS</v>
      </c>
      <c r="F4621" s="14" t="s">
        <v>16</v>
      </c>
      <c r="G4621" s="20" t="s">
        <v>21</v>
      </c>
      <c r="H4621" s="14" t="s">
        <v>18</v>
      </c>
      <c r="I4621" s="22">
        <v>2022.0</v>
      </c>
      <c r="J4621" s="16" t="str">
        <f>IFERROR(__xludf.DUMMYFUNCTION("FILTER('CLASFICACIÓN'!$F$3:$F5618,'CLASFICACIÓN'!$G$3:$G5618=M4621)"),"LOS 3 AÑOS")</f>
        <v>LOS 3 AÑOS</v>
      </c>
      <c r="K4621" s="16"/>
      <c r="L4621" s="14" t="s">
        <v>189</v>
      </c>
      <c r="M4621" s="16" t="str">
        <f t="shared" si="1"/>
        <v>50492 CORAZON DE JESUS4 Primaria</v>
      </c>
      <c r="N4621" s="23"/>
      <c r="O4621" s="17"/>
      <c r="P4621" s="17"/>
      <c r="Q4621" s="17"/>
      <c r="R4621" s="17"/>
      <c r="S4621" s="17"/>
      <c r="T4621" s="17"/>
    </row>
    <row r="4622">
      <c r="A4622" s="21">
        <v>750.0</v>
      </c>
      <c r="B4622" s="14" t="s">
        <v>90</v>
      </c>
      <c r="C4622" s="14" t="s">
        <v>14</v>
      </c>
      <c r="D4622" s="20" t="s">
        <v>20</v>
      </c>
      <c r="E4622" s="12" t="str">
        <f>IFERROR(__xludf.DUMMYFUNCTION("FILTER(colegios!$B$2:$B5618,colegios!$A$2:$A5618=L4622)"),"50492 CORAZON DE JESUS")</f>
        <v>50492 CORAZON DE JESUS</v>
      </c>
      <c r="F4622" s="14" t="s">
        <v>16</v>
      </c>
      <c r="G4622" s="20" t="s">
        <v>17</v>
      </c>
      <c r="H4622" s="14" t="s">
        <v>18</v>
      </c>
      <c r="I4622" s="22">
        <v>2022.0</v>
      </c>
      <c r="J4622" s="16" t="str">
        <f>IFERROR(__xludf.DUMMYFUNCTION("FILTER('CLASFICACIÓN'!$F$3:$F5618,'CLASFICACIÓN'!$G$3:$G5618=M4622)"),"LOS 3 AÑOS")</f>
        <v>LOS 3 AÑOS</v>
      </c>
      <c r="K4622" s="16"/>
      <c r="L4622" s="14" t="s">
        <v>189</v>
      </c>
      <c r="M4622" s="16" t="str">
        <f t="shared" si="1"/>
        <v>50492 CORAZON DE JESUS4 Primaria</v>
      </c>
      <c r="N4622" s="23"/>
      <c r="O4622" s="17"/>
      <c r="P4622" s="17"/>
      <c r="Q4622" s="17"/>
      <c r="R4622" s="17"/>
      <c r="S4622" s="17"/>
      <c r="T4622" s="17"/>
    </row>
    <row r="4623">
      <c r="A4623" s="21">
        <v>751.0</v>
      </c>
      <c r="B4623" s="14" t="s">
        <v>90</v>
      </c>
      <c r="C4623" s="14" t="s">
        <v>14</v>
      </c>
      <c r="D4623" s="20" t="s">
        <v>20</v>
      </c>
      <c r="E4623" s="12" t="str">
        <f>IFERROR(__xludf.DUMMYFUNCTION("FILTER(colegios!$B$2:$B5618,colegios!$A$2:$A5618=L4623)"),"50492 CORAZON DE JESUS")</f>
        <v>50492 CORAZON DE JESUS</v>
      </c>
      <c r="F4623" s="14" t="s">
        <v>16</v>
      </c>
      <c r="G4623" s="20" t="s">
        <v>21</v>
      </c>
      <c r="H4623" s="14" t="s">
        <v>18</v>
      </c>
      <c r="I4623" s="22">
        <v>2022.0</v>
      </c>
      <c r="J4623" s="16" t="str">
        <f>IFERROR(__xludf.DUMMYFUNCTION("FILTER('CLASFICACIÓN'!$F$3:$F5618,'CLASFICACIÓN'!$G$3:$G5618=M4623)"),"LOS 3 AÑOS")</f>
        <v>LOS 3 AÑOS</v>
      </c>
      <c r="K4623" s="16"/>
      <c r="L4623" s="14" t="s">
        <v>189</v>
      </c>
      <c r="M4623" s="16" t="str">
        <f t="shared" si="1"/>
        <v>50492 CORAZON DE JESUS4 Primaria</v>
      </c>
      <c r="N4623" s="23"/>
      <c r="O4623" s="17"/>
      <c r="P4623" s="17"/>
      <c r="Q4623" s="17"/>
      <c r="R4623" s="17"/>
      <c r="S4623" s="17"/>
      <c r="T4623" s="17"/>
    </row>
    <row r="4624">
      <c r="A4624" s="21">
        <v>752.0</v>
      </c>
      <c r="B4624" s="14" t="s">
        <v>90</v>
      </c>
      <c r="C4624" s="14" t="s">
        <v>14</v>
      </c>
      <c r="D4624" s="20" t="s">
        <v>20</v>
      </c>
      <c r="E4624" s="12" t="str">
        <f>IFERROR(__xludf.DUMMYFUNCTION("FILTER(colegios!$B$2:$B5618,colegios!$A$2:$A5618=L4624)"),"50492 CORAZON DE JESUS")</f>
        <v>50492 CORAZON DE JESUS</v>
      </c>
      <c r="F4624" s="14" t="s">
        <v>16</v>
      </c>
      <c r="G4624" s="20" t="s">
        <v>17</v>
      </c>
      <c r="H4624" s="14" t="s">
        <v>18</v>
      </c>
      <c r="I4624" s="22">
        <v>2022.0</v>
      </c>
      <c r="J4624" s="16" t="str">
        <f>IFERROR(__xludf.DUMMYFUNCTION("FILTER('CLASFICACIÓN'!$F$3:$F5618,'CLASFICACIÓN'!$G$3:$G5618=M4624)"),"LOS 3 AÑOS")</f>
        <v>LOS 3 AÑOS</v>
      </c>
      <c r="K4624" s="16"/>
      <c r="L4624" s="14" t="s">
        <v>189</v>
      </c>
      <c r="M4624" s="16" t="str">
        <f t="shared" si="1"/>
        <v>50492 CORAZON DE JESUS4 Primaria</v>
      </c>
      <c r="N4624" s="23"/>
      <c r="O4624" s="17"/>
      <c r="P4624" s="17"/>
      <c r="Q4624" s="17"/>
      <c r="R4624" s="17"/>
      <c r="S4624" s="17"/>
      <c r="T4624" s="17"/>
    </row>
    <row r="4625">
      <c r="A4625" s="21">
        <v>753.0</v>
      </c>
      <c r="B4625" s="14" t="s">
        <v>90</v>
      </c>
      <c r="C4625" s="14" t="s">
        <v>14</v>
      </c>
      <c r="D4625" s="20" t="s">
        <v>20</v>
      </c>
      <c r="E4625" s="12" t="str">
        <f>IFERROR(__xludf.DUMMYFUNCTION("FILTER(colegios!$B$2:$B5618,colegios!$A$2:$A5618=L4625)"),"50492 CORAZON DE JESUS")</f>
        <v>50492 CORAZON DE JESUS</v>
      </c>
      <c r="F4625" s="14" t="s">
        <v>16</v>
      </c>
      <c r="G4625" s="20" t="s">
        <v>17</v>
      </c>
      <c r="H4625" s="14" t="s">
        <v>18</v>
      </c>
      <c r="I4625" s="22">
        <v>2022.0</v>
      </c>
      <c r="J4625" s="16" t="str">
        <f>IFERROR(__xludf.DUMMYFUNCTION("FILTER('CLASFICACIÓN'!$F$3:$F5618,'CLASFICACIÓN'!$G$3:$G5618=M4625)"),"LOS 3 AÑOS")</f>
        <v>LOS 3 AÑOS</v>
      </c>
      <c r="K4625" s="16"/>
      <c r="L4625" s="14" t="s">
        <v>189</v>
      </c>
      <c r="M4625" s="16" t="str">
        <f t="shared" si="1"/>
        <v>50492 CORAZON DE JESUS4 Primaria</v>
      </c>
      <c r="N4625" s="23"/>
      <c r="O4625" s="17"/>
      <c r="P4625" s="17"/>
      <c r="Q4625" s="17"/>
      <c r="R4625" s="17"/>
      <c r="S4625" s="17"/>
      <c r="T4625" s="17"/>
    </row>
    <row r="4626">
      <c r="A4626" s="21">
        <v>754.0</v>
      </c>
      <c r="B4626" s="14" t="s">
        <v>90</v>
      </c>
      <c r="C4626" s="14" t="s">
        <v>14</v>
      </c>
      <c r="D4626" s="20" t="s">
        <v>20</v>
      </c>
      <c r="E4626" s="12" t="str">
        <f>IFERROR(__xludf.DUMMYFUNCTION("FILTER(colegios!$B$2:$B5618,colegios!$A$2:$A5618=L4626)"),"50492 CORAZON DE JESUS")</f>
        <v>50492 CORAZON DE JESUS</v>
      </c>
      <c r="F4626" s="14" t="s">
        <v>16</v>
      </c>
      <c r="G4626" s="20" t="s">
        <v>17</v>
      </c>
      <c r="H4626" s="14" t="s">
        <v>18</v>
      </c>
      <c r="I4626" s="22">
        <v>2022.0</v>
      </c>
      <c r="J4626" s="16" t="str">
        <f>IFERROR(__xludf.DUMMYFUNCTION("FILTER('CLASFICACIÓN'!$F$3:$F5618,'CLASFICACIÓN'!$G$3:$G5618=M4626)"),"LOS 3 AÑOS")</f>
        <v>LOS 3 AÑOS</v>
      </c>
      <c r="K4626" s="16"/>
      <c r="L4626" s="14" t="s">
        <v>189</v>
      </c>
      <c r="M4626" s="16" t="str">
        <f t="shared" si="1"/>
        <v>50492 CORAZON DE JESUS4 Primaria</v>
      </c>
      <c r="N4626" s="23"/>
      <c r="O4626" s="17"/>
      <c r="P4626" s="17"/>
      <c r="Q4626" s="17"/>
      <c r="R4626" s="17"/>
      <c r="S4626" s="17"/>
      <c r="T4626" s="17"/>
    </row>
    <row r="4627">
      <c r="A4627" s="21">
        <v>755.0</v>
      </c>
      <c r="B4627" s="14" t="s">
        <v>90</v>
      </c>
      <c r="C4627" s="14" t="s">
        <v>14</v>
      </c>
      <c r="D4627" s="20" t="s">
        <v>20</v>
      </c>
      <c r="E4627" s="12" t="str">
        <f>IFERROR(__xludf.DUMMYFUNCTION("FILTER(colegios!$B$2:$B5618,colegios!$A$2:$A5618=L4627)"),"50492 CORAZON DE JESUS")</f>
        <v>50492 CORAZON DE JESUS</v>
      </c>
      <c r="F4627" s="14" t="s">
        <v>16</v>
      </c>
      <c r="G4627" s="20" t="s">
        <v>17</v>
      </c>
      <c r="H4627" s="14" t="s">
        <v>18</v>
      </c>
      <c r="I4627" s="22">
        <v>2022.0</v>
      </c>
      <c r="J4627" s="16" t="str">
        <f>IFERROR(__xludf.DUMMYFUNCTION("FILTER('CLASFICACIÓN'!$F$3:$F5618,'CLASFICACIÓN'!$G$3:$G5618=M4627)"),"LOS 3 AÑOS")</f>
        <v>LOS 3 AÑOS</v>
      </c>
      <c r="K4627" s="16"/>
      <c r="L4627" s="14" t="s">
        <v>189</v>
      </c>
      <c r="M4627" s="16" t="str">
        <f t="shared" si="1"/>
        <v>50492 CORAZON DE JESUS4 Primaria</v>
      </c>
      <c r="N4627" s="23"/>
      <c r="O4627" s="17"/>
      <c r="P4627" s="17"/>
      <c r="Q4627" s="17"/>
      <c r="R4627" s="17"/>
      <c r="S4627" s="17"/>
      <c r="T4627" s="17"/>
    </row>
    <row r="4628">
      <c r="A4628" s="21">
        <v>756.0</v>
      </c>
      <c r="B4628" s="14" t="s">
        <v>90</v>
      </c>
      <c r="C4628" s="14" t="s">
        <v>14</v>
      </c>
      <c r="D4628" s="20" t="s">
        <v>20</v>
      </c>
      <c r="E4628" s="12" t="str">
        <f>IFERROR(__xludf.DUMMYFUNCTION("FILTER(colegios!$B$2:$B5618,colegios!$A$2:$A5618=L4628)"),"50492 CORAZON DE JESUS")</f>
        <v>50492 CORAZON DE JESUS</v>
      </c>
      <c r="F4628" s="14" t="s">
        <v>16</v>
      </c>
      <c r="G4628" s="20" t="s">
        <v>21</v>
      </c>
      <c r="H4628" s="14" t="s">
        <v>18</v>
      </c>
      <c r="I4628" s="22">
        <v>2022.0</v>
      </c>
      <c r="J4628" s="16" t="str">
        <f>IFERROR(__xludf.DUMMYFUNCTION("FILTER('CLASFICACIÓN'!$F$3:$F5618,'CLASFICACIÓN'!$G$3:$G5618=M4628)"),"LOS 3 AÑOS")</f>
        <v>LOS 3 AÑOS</v>
      </c>
      <c r="K4628" s="16"/>
      <c r="L4628" s="14" t="s">
        <v>189</v>
      </c>
      <c r="M4628" s="16" t="str">
        <f t="shared" si="1"/>
        <v>50492 CORAZON DE JESUS4 Primaria</v>
      </c>
      <c r="N4628" s="23"/>
      <c r="O4628" s="17"/>
      <c r="P4628" s="17"/>
      <c r="Q4628" s="17"/>
      <c r="R4628" s="17"/>
      <c r="S4628" s="17"/>
      <c r="T4628" s="17"/>
    </row>
    <row r="4629">
      <c r="A4629" s="21">
        <v>757.0</v>
      </c>
      <c r="B4629" s="14" t="s">
        <v>90</v>
      </c>
      <c r="C4629" s="14" t="s">
        <v>14</v>
      </c>
      <c r="D4629" s="20" t="s">
        <v>20</v>
      </c>
      <c r="E4629" s="12" t="str">
        <f>IFERROR(__xludf.DUMMYFUNCTION("FILTER(colegios!$B$2:$B5618,colegios!$A$2:$A5618=L4629)"),"50492 CORAZON DE JESUS")</f>
        <v>50492 CORAZON DE JESUS</v>
      </c>
      <c r="F4629" s="14" t="s">
        <v>16</v>
      </c>
      <c r="G4629" s="20" t="s">
        <v>21</v>
      </c>
      <c r="H4629" s="14" t="s">
        <v>18</v>
      </c>
      <c r="I4629" s="22">
        <v>2022.0</v>
      </c>
      <c r="J4629" s="16" t="str">
        <f>IFERROR(__xludf.DUMMYFUNCTION("FILTER('CLASFICACIÓN'!$F$3:$F5618,'CLASFICACIÓN'!$G$3:$G5618=M4629)"),"LOS 3 AÑOS")</f>
        <v>LOS 3 AÑOS</v>
      </c>
      <c r="K4629" s="16"/>
      <c r="L4629" s="14" t="s">
        <v>189</v>
      </c>
      <c r="M4629" s="16" t="str">
        <f t="shared" si="1"/>
        <v>50492 CORAZON DE JESUS4 Primaria</v>
      </c>
      <c r="N4629" s="23"/>
      <c r="O4629" s="17"/>
      <c r="P4629" s="17"/>
      <c r="Q4629" s="17"/>
      <c r="R4629" s="17"/>
      <c r="S4629" s="17"/>
      <c r="T4629" s="17"/>
    </row>
    <row r="4630">
      <c r="A4630" s="21">
        <v>758.0</v>
      </c>
      <c r="B4630" s="14" t="s">
        <v>90</v>
      </c>
      <c r="C4630" s="14" t="s">
        <v>14</v>
      </c>
      <c r="D4630" s="20" t="s">
        <v>20</v>
      </c>
      <c r="E4630" s="12" t="str">
        <f>IFERROR(__xludf.DUMMYFUNCTION("FILTER(colegios!$B$2:$B5618,colegios!$A$2:$A5618=L4630)"),"50492 CORAZON DE JESUS")</f>
        <v>50492 CORAZON DE JESUS</v>
      </c>
      <c r="F4630" s="14" t="s">
        <v>16</v>
      </c>
      <c r="G4630" s="20" t="s">
        <v>21</v>
      </c>
      <c r="H4630" s="14" t="s">
        <v>18</v>
      </c>
      <c r="I4630" s="22">
        <v>2022.0</v>
      </c>
      <c r="J4630" s="16" t="str">
        <f>IFERROR(__xludf.DUMMYFUNCTION("FILTER('CLASFICACIÓN'!$F$3:$F5618,'CLASFICACIÓN'!$G$3:$G5618=M4630)"),"LOS 3 AÑOS")</f>
        <v>LOS 3 AÑOS</v>
      </c>
      <c r="K4630" s="16"/>
      <c r="L4630" s="14" t="s">
        <v>189</v>
      </c>
      <c r="M4630" s="16" t="str">
        <f t="shared" si="1"/>
        <v>50492 CORAZON DE JESUS4 Primaria</v>
      </c>
      <c r="N4630" s="23"/>
      <c r="O4630" s="17"/>
      <c r="P4630" s="17"/>
      <c r="Q4630" s="17"/>
      <c r="R4630" s="17"/>
      <c r="S4630" s="17"/>
      <c r="T4630" s="17"/>
    </row>
    <row r="4631">
      <c r="A4631" s="21">
        <v>759.0</v>
      </c>
      <c r="B4631" s="14" t="s">
        <v>90</v>
      </c>
      <c r="C4631" s="14" t="s">
        <v>14</v>
      </c>
      <c r="D4631" s="20" t="s">
        <v>20</v>
      </c>
      <c r="E4631" s="12" t="str">
        <f>IFERROR(__xludf.DUMMYFUNCTION("FILTER(colegios!$B$2:$B5618,colegios!$A$2:$A5618=L4631)"),"50492 CORAZON DE JESUS")</f>
        <v>50492 CORAZON DE JESUS</v>
      </c>
      <c r="F4631" s="14" t="s">
        <v>16</v>
      </c>
      <c r="G4631" s="20" t="s">
        <v>21</v>
      </c>
      <c r="H4631" s="14" t="s">
        <v>18</v>
      </c>
      <c r="I4631" s="22">
        <v>2022.0</v>
      </c>
      <c r="J4631" s="16" t="str">
        <f>IFERROR(__xludf.DUMMYFUNCTION("FILTER('CLASFICACIÓN'!$F$3:$F5618,'CLASFICACIÓN'!$G$3:$G5618=M4631)"),"LOS 3 AÑOS")</f>
        <v>LOS 3 AÑOS</v>
      </c>
      <c r="K4631" s="16"/>
      <c r="L4631" s="14" t="s">
        <v>189</v>
      </c>
      <c r="M4631" s="16" t="str">
        <f t="shared" si="1"/>
        <v>50492 CORAZON DE JESUS4 Primaria</v>
      </c>
      <c r="N4631" s="23"/>
      <c r="O4631" s="17"/>
      <c r="P4631" s="17"/>
      <c r="Q4631" s="17"/>
      <c r="R4631" s="17"/>
      <c r="S4631" s="17"/>
      <c r="T4631" s="17"/>
    </row>
    <row r="4632">
      <c r="A4632" s="21">
        <v>760.0</v>
      </c>
      <c r="B4632" s="14" t="s">
        <v>90</v>
      </c>
      <c r="C4632" s="14" t="s">
        <v>14</v>
      </c>
      <c r="D4632" s="20" t="s">
        <v>20</v>
      </c>
      <c r="E4632" s="12" t="str">
        <f>IFERROR(__xludf.DUMMYFUNCTION("FILTER(colegios!$B$2:$B5618,colegios!$A$2:$A5618=L4632)"),"50492 CORAZON DE JESUS")</f>
        <v>50492 CORAZON DE JESUS</v>
      </c>
      <c r="F4632" s="14" t="s">
        <v>16</v>
      </c>
      <c r="G4632" s="20" t="s">
        <v>17</v>
      </c>
      <c r="H4632" s="14" t="s">
        <v>18</v>
      </c>
      <c r="I4632" s="22">
        <v>2022.0</v>
      </c>
      <c r="J4632" s="16" t="str">
        <f>IFERROR(__xludf.DUMMYFUNCTION("FILTER('CLASFICACIÓN'!$F$3:$F5618,'CLASFICACIÓN'!$G$3:$G5618=M4632)"),"LOS 3 AÑOS")</f>
        <v>LOS 3 AÑOS</v>
      </c>
      <c r="K4632" s="16"/>
      <c r="L4632" s="14" t="s">
        <v>189</v>
      </c>
      <c r="M4632" s="16" t="str">
        <f t="shared" si="1"/>
        <v>50492 CORAZON DE JESUS4 Primaria</v>
      </c>
      <c r="N4632" s="23"/>
      <c r="O4632" s="17"/>
      <c r="P4632" s="17"/>
      <c r="Q4632" s="17"/>
      <c r="R4632" s="17"/>
      <c r="S4632" s="17"/>
      <c r="T4632" s="17"/>
    </row>
    <row r="4633">
      <c r="A4633" s="21">
        <v>761.0</v>
      </c>
      <c r="B4633" s="14" t="s">
        <v>90</v>
      </c>
      <c r="C4633" s="14" t="s">
        <v>14</v>
      </c>
      <c r="D4633" s="20" t="s">
        <v>20</v>
      </c>
      <c r="E4633" s="12" t="str">
        <f>IFERROR(__xludf.DUMMYFUNCTION("FILTER(colegios!$B$2:$B5618,colegios!$A$2:$A5618=L4633)"),"50492 CORAZON DE JESUS")</f>
        <v>50492 CORAZON DE JESUS</v>
      </c>
      <c r="F4633" s="14" t="s">
        <v>16</v>
      </c>
      <c r="G4633" s="20" t="s">
        <v>17</v>
      </c>
      <c r="H4633" s="14" t="s">
        <v>18</v>
      </c>
      <c r="I4633" s="22">
        <v>2022.0</v>
      </c>
      <c r="J4633" s="16" t="str">
        <f>IFERROR(__xludf.DUMMYFUNCTION("FILTER('CLASFICACIÓN'!$F$3:$F5618,'CLASFICACIÓN'!$G$3:$G5618=M4633)"),"LOS 3 AÑOS")</f>
        <v>LOS 3 AÑOS</v>
      </c>
      <c r="K4633" s="16"/>
      <c r="L4633" s="14" t="s">
        <v>189</v>
      </c>
      <c r="M4633" s="16" t="str">
        <f t="shared" si="1"/>
        <v>50492 CORAZON DE JESUS4 Primaria</v>
      </c>
      <c r="N4633" s="23"/>
      <c r="O4633" s="17"/>
      <c r="P4633" s="17"/>
      <c r="Q4633" s="17"/>
      <c r="R4633" s="17"/>
      <c r="S4633" s="17"/>
      <c r="T4633" s="17"/>
    </row>
    <row r="4634">
      <c r="A4634" s="21">
        <v>762.0</v>
      </c>
      <c r="B4634" s="14" t="s">
        <v>90</v>
      </c>
      <c r="C4634" s="14" t="s">
        <v>14</v>
      </c>
      <c r="D4634" s="20" t="s">
        <v>20</v>
      </c>
      <c r="E4634" s="12" t="str">
        <f>IFERROR(__xludf.DUMMYFUNCTION("FILTER(colegios!$B$2:$B5618,colegios!$A$2:$A5618=L4634)"),"50492 CORAZON DE JESUS")</f>
        <v>50492 CORAZON DE JESUS</v>
      </c>
      <c r="F4634" s="14" t="s">
        <v>16</v>
      </c>
      <c r="G4634" s="20" t="s">
        <v>17</v>
      </c>
      <c r="H4634" s="14" t="s">
        <v>18</v>
      </c>
      <c r="I4634" s="22">
        <v>2022.0</v>
      </c>
      <c r="J4634" s="16" t="str">
        <f>IFERROR(__xludf.DUMMYFUNCTION("FILTER('CLASFICACIÓN'!$F$3:$F5618,'CLASFICACIÓN'!$G$3:$G5618=M4634)"),"LOS 3 AÑOS")</f>
        <v>LOS 3 AÑOS</v>
      </c>
      <c r="K4634" s="16"/>
      <c r="L4634" s="14" t="s">
        <v>189</v>
      </c>
      <c r="M4634" s="16" t="str">
        <f t="shared" si="1"/>
        <v>50492 CORAZON DE JESUS4 Primaria</v>
      </c>
      <c r="N4634" s="23"/>
      <c r="O4634" s="17"/>
      <c r="P4634" s="17"/>
      <c r="Q4634" s="17"/>
      <c r="R4634" s="17"/>
      <c r="S4634" s="17"/>
      <c r="T4634" s="17"/>
    </row>
    <row r="4635">
      <c r="A4635" s="21">
        <v>763.0</v>
      </c>
      <c r="B4635" s="14" t="s">
        <v>90</v>
      </c>
      <c r="C4635" s="14" t="s">
        <v>14</v>
      </c>
      <c r="D4635" s="20" t="s">
        <v>20</v>
      </c>
      <c r="E4635" s="12" t="str">
        <f>IFERROR(__xludf.DUMMYFUNCTION("FILTER(colegios!$B$2:$B5618,colegios!$A$2:$A5618=L4635)"),"50492 CORAZON DE JESUS")</f>
        <v>50492 CORAZON DE JESUS</v>
      </c>
      <c r="F4635" s="14" t="s">
        <v>16</v>
      </c>
      <c r="G4635" s="20" t="s">
        <v>17</v>
      </c>
      <c r="H4635" s="14" t="s">
        <v>18</v>
      </c>
      <c r="I4635" s="22">
        <v>2022.0</v>
      </c>
      <c r="J4635" s="16" t="str">
        <f>IFERROR(__xludf.DUMMYFUNCTION("FILTER('CLASFICACIÓN'!$F$3:$F5618,'CLASFICACIÓN'!$G$3:$G5618=M4635)"),"LOS 3 AÑOS")</f>
        <v>LOS 3 AÑOS</v>
      </c>
      <c r="K4635" s="16"/>
      <c r="L4635" s="14" t="s">
        <v>189</v>
      </c>
      <c r="M4635" s="16" t="str">
        <f t="shared" si="1"/>
        <v>50492 CORAZON DE JESUS4 Primaria</v>
      </c>
      <c r="N4635" s="23"/>
      <c r="O4635" s="17"/>
      <c r="P4635" s="17"/>
      <c r="Q4635" s="17"/>
      <c r="R4635" s="17"/>
      <c r="S4635" s="17"/>
      <c r="T4635" s="17"/>
    </row>
    <row r="4636">
      <c r="A4636" s="21">
        <v>764.0</v>
      </c>
      <c r="B4636" s="14" t="s">
        <v>90</v>
      </c>
      <c r="C4636" s="14" t="s">
        <v>14</v>
      </c>
      <c r="D4636" s="20" t="s">
        <v>20</v>
      </c>
      <c r="E4636" s="12" t="str">
        <f>IFERROR(__xludf.DUMMYFUNCTION("FILTER(colegios!$B$2:$B5618,colegios!$A$2:$A5618=L4636)"),"50492 CORAZON DE JESUS")</f>
        <v>50492 CORAZON DE JESUS</v>
      </c>
      <c r="F4636" s="14" t="s">
        <v>16</v>
      </c>
      <c r="G4636" s="20" t="s">
        <v>21</v>
      </c>
      <c r="H4636" s="14" t="s">
        <v>18</v>
      </c>
      <c r="I4636" s="22">
        <v>2022.0</v>
      </c>
      <c r="J4636" s="16" t="str">
        <f>IFERROR(__xludf.DUMMYFUNCTION("FILTER('CLASFICACIÓN'!$F$3:$F5618,'CLASFICACIÓN'!$G$3:$G5618=M4636)"),"LOS 3 AÑOS")</f>
        <v>LOS 3 AÑOS</v>
      </c>
      <c r="K4636" s="16"/>
      <c r="L4636" s="14" t="s">
        <v>189</v>
      </c>
      <c r="M4636" s="16" t="str">
        <f t="shared" si="1"/>
        <v>50492 CORAZON DE JESUS4 Primaria</v>
      </c>
      <c r="N4636" s="23"/>
      <c r="O4636" s="17"/>
      <c r="P4636" s="17"/>
      <c r="Q4636" s="17"/>
      <c r="R4636" s="17"/>
      <c r="S4636" s="17"/>
      <c r="T4636" s="17"/>
    </row>
    <row r="4637">
      <c r="A4637" s="21">
        <v>765.0</v>
      </c>
      <c r="B4637" s="14" t="s">
        <v>90</v>
      </c>
      <c r="C4637" s="14" t="s">
        <v>14</v>
      </c>
      <c r="D4637" s="20" t="s">
        <v>20</v>
      </c>
      <c r="E4637" s="12" t="str">
        <f>IFERROR(__xludf.DUMMYFUNCTION("FILTER(colegios!$B$2:$B5618,colegios!$A$2:$A5618=L4637)"),"50492 CORAZON DE JESUS")</f>
        <v>50492 CORAZON DE JESUS</v>
      </c>
      <c r="F4637" s="14" t="s">
        <v>16</v>
      </c>
      <c r="G4637" s="20" t="s">
        <v>17</v>
      </c>
      <c r="H4637" s="14" t="s">
        <v>18</v>
      </c>
      <c r="I4637" s="22">
        <v>2022.0</v>
      </c>
      <c r="J4637" s="16" t="str">
        <f>IFERROR(__xludf.DUMMYFUNCTION("FILTER('CLASFICACIÓN'!$F$3:$F5618,'CLASFICACIÓN'!$G$3:$G5618=M4637)"),"LOS 3 AÑOS")</f>
        <v>LOS 3 AÑOS</v>
      </c>
      <c r="K4637" s="16"/>
      <c r="L4637" s="14" t="s">
        <v>189</v>
      </c>
      <c r="M4637" s="16" t="str">
        <f t="shared" si="1"/>
        <v>50492 CORAZON DE JESUS4 Primaria</v>
      </c>
      <c r="N4637" s="23"/>
      <c r="O4637" s="17"/>
      <c r="P4637" s="17"/>
      <c r="Q4637" s="17"/>
      <c r="R4637" s="17"/>
      <c r="S4637" s="17"/>
      <c r="T4637" s="17"/>
    </row>
    <row r="4638">
      <c r="A4638" s="21">
        <v>766.0</v>
      </c>
      <c r="B4638" s="14" t="s">
        <v>90</v>
      </c>
      <c r="C4638" s="14" t="s">
        <v>14</v>
      </c>
      <c r="D4638" s="20" t="s">
        <v>20</v>
      </c>
      <c r="E4638" s="12" t="str">
        <f>IFERROR(__xludf.DUMMYFUNCTION("FILTER(colegios!$B$2:$B5618,colegios!$A$2:$A5618=L4638)"),"50492 CORAZON DE JESUS")</f>
        <v>50492 CORAZON DE JESUS</v>
      </c>
      <c r="F4638" s="14" t="s">
        <v>16</v>
      </c>
      <c r="G4638" s="20" t="s">
        <v>17</v>
      </c>
      <c r="H4638" s="14" t="s">
        <v>18</v>
      </c>
      <c r="I4638" s="22">
        <v>2022.0</v>
      </c>
      <c r="J4638" s="16" t="str">
        <f>IFERROR(__xludf.DUMMYFUNCTION("FILTER('CLASFICACIÓN'!$F$3:$F5618,'CLASFICACIÓN'!$G$3:$G5618=M4638)"),"LOS 3 AÑOS")</f>
        <v>LOS 3 AÑOS</v>
      </c>
      <c r="K4638" s="16"/>
      <c r="L4638" s="14" t="s">
        <v>189</v>
      </c>
      <c r="M4638" s="16" t="str">
        <f t="shared" si="1"/>
        <v>50492 CORAZON DE JESUS4 Primaria</v>
      </c>
      <c r="N4638" s="23"/>
      <c r="O4638" s="17"/>
      <c r="P4638" s="17"/>
      <c r="Q4638" s="17"/>
      <c r="R4638" s="17"/>
      <c r="S4638" s="17"/>
      <c r="T4638" s="17"/>
    </row>
    <row r="4639">
      <c r="A4639" s="21">
        <v>767.0</v>
      </c>
      <c r="B4639" s="14" t="s">
        <v>90</v>
      </c>
      <c r="C4639" s="14" t="s">
        <v>14</v>
      </c>
      <c r="D4639" s="20" t="s">
        <v>20</v>
      </c>
      <c r="E4639" s="12" t="str">
        <f>IFERROR(__xludf.DUMMYFUNCTION("FILTER(colegios!$B$2:$B5618,colegios!$A$2:$A5618=L4639)"),"50492 CORAZON DE JESUS")</f>
        <v>50492 CORAZON DE JESUS</v>
      </c>
      <c r="F4639" s="14" t="s">
        <v>16</v>
      </c>
      <c r="G4639" s="20" t="s">
        <v>21</v>
      </c>
      <c r="H4639" s="14" t="s">
        <v>18</v>
      </c>
      <c r="I4639" s="22">
        <v>2022.0</v>
      </c>
      <c r="J4639" s="16" t="str">
        <f>IFERROR(__xludf.DUMMYFUNCTION("FILTER('CLASFICACIÓN'!$F$3:$F5618,'CLASFICACIÓN'!$G$3:$G5618=M4639)"),"LOS 3 AÑOS")</f>
        <v>LOS 3 AÑOS</v>
      </c>
      <c r="K4639" s="16"/>
      <c r="L4639" s="14" t="s">
        <v>189</v>
      </c>
      <c r="M4639" s="16" t="str">
        <f t="shared" si="1"/>
        <v>50492 CORAZON DE JESUS4 Primaria</v>
      </c>
      <c r="N4639" s="23"/>
      <c r="O4639" s="17"/>
      <c r="P4639" s="17"/>
      <c r="Q4639" s="17"/>
      <c r="R4639" s="17"/>
      <c r="S4639" s="17"/>
      <c r="T4639" s="17"/>
    </row>
    <row r="4640">
      <c r="A4640" s="21">
        <v>768.0</v>
      </c>
      <c r="B4640" s="14" t="s">
        <v>90</v>
      </c>
      <c r="C4640" s="14" t="s">
        <v>14</v>
      </c>
      <c r="D4640" s="20" t="s">
        <v>20</v>
      </c>
      <c r="E4640" s="12" t="str">
        <f>IFERROR(__xludf.DUMMYFUNCTION("FILTER(colegios!$B$2:$B5618,colegios!$A$2:$A5618=L4640)"),"50492 CORAZON DE JESUS")</f>
        <v>50492 CORAZON DE JESUS</v>
      </c>
      <c r="F4640" s="14" t="s">
        <v>16</v>
      </c>
      <c r="G4640" s="20" t="s">
        <v>21</v>
      </c>
      <c r="H4640" s="14" t="s">
        <v>18</v>
      </c>
      <c r="I4640" s="22">
        <v>2022.0</v>
      </c>
      <c r="J4640" s="16" t="str">
        <f>IFERROR(__xludf.DUMMYFUNCTION("FILTER('CLASFICACIÓN'!$F$3:$F5618,'CLASFICACIÓN'!$G$3:$G5618=M4640)"),"LOS 3 AÑOS")</f>
        <v>LOS 3 AÑOS</v>
      </c>
      <c r="K4640" s="16"/>
      <c r="L4640" s="14" t="s">
        <v>189</v>
      </c>
      <c r="M4640" s="16" t="str">
        <f t="shared" si="1"/>
        <v>50492 CORAZON DE JESUS4 Primaria</v>
      </c>
      <c r="N4640" s="23"/>
      <c r="O4640" s="17"/>
      <c r="P4640" s="17"/>
      <c r="Q4640" s="17"/>
      <c r="R4640" s="17"/>
      <c r="S4640" s="17"/>
      <c r="T4640" s="17"/>
    </row>
    <row r="4641">
      <c r="A4641" s="21">
        <v>769.0</v>
      </c>
      <c r="B4641" s="14" t="s">
        <v>90</v>
      </c>
      <c r="C4641" s="14" t="s">
        <v>14</v>
      </c>
      <c r="D4641" s="20" t="s">
        <v>20</v>
      </c>
      <c r="E4641" s="12" t="str">
        <f>IFERROR(__xludf.DUMMYFUNCTION("FILTER(colegios!$B$2:$B5618,colegios!$A$2:$A5618=L4641)"),"50492 CORAZON DE JESUS")</f>
        <v>50492 CORAZON DE JESUS</v>
      </c>
      <c r="F4641" s="14" t="s">
        <v>16</v>
      </c>
      <c r="G4641" s="20" t="s">
        <v>17</v>
      </c>
      <c r="H4641" s="14" t="s">
        <v>18</v>
      </c>
      <c r="I4641" s="22">
        <v>2022.0</v>
      </c>
      <c r="J4641" s="16" t="str">
        <f>IFERROR(__xludf.DUMMYFUNCTION("FILTER('CLASFICACIÓN'!$F$3:$F5618,'CLASFICACIÓN'!$G$3:$G5618=M4641)"),"LOS 3 AÑOS")</f>
        <v>LOS 3 AÑOS</v>
      </c>
      <c r="K4641" s="16"/>
      <c r="L4641" s="14" t="s">
        <v>189</v>
      </c>
      <c r="M4641" s="16" t="str">
        <f t="shared" si="1"/>
        <v>50492 CORAZON DE JESUS4 Primaria</v>
      </c>
      <c r="N4641" s="23"/>
      <c r="O4641" s="17"/>
      <c r="P4641" s="17"/>
      <c r="Q4641" s="17"/>
      <c r="R4641" s="17"/>
      <c r="S4641" s="17"/>
      <c r="T4641" s="17"/>
    </row>
    <row r="4642">
      <c r="A4642" s="21">
        <v>770.0</v>
      </c>
      <c r="B4642" s="14" t="s">
        <v>90</v>
      </c>
      <c r="C4642" s="14" t="s">
        <v>14</v>
      </c>
      <c r="D4642" s="20" t="s">
        <v>20</v>
      </c>
      <c r="E4642" s="12" t="str">
        <f>IFERROR(__xludf.DUMMYFUNCTION("FILTER(colegios!$B$2:$B5618,colegios!$A$2:$A5618=L4642)"),"50492 CORAZON DE JESUS")</f>
        <v>50492 CORAZON DE JESUS</v>
      </c>
      <c r="F4642" s="14" t="s">
        <v>16</v>
      </c>
      <c r="G4642" s="20" t="s">
        <v>21</v>
      </c>
      <c r="H4642" s="14" t="s">
        <v>18</v>
      </c>
      <c r="I4642" s="22">
        <v>2022.0</v>
      </c>
      <c r="J4642" s="16" t="str">
        <f>IFERROR(__xludf.DUMMYFUNCTION("FILTER('CLASFICACIÓN'!$F$3:$F5618,'CLASFICACIÓN'!$G$3:$G5618=M4642)"),"LOS 3 AÑOS")</f>
        <v>LOS 3 AÑOS</v>
      </c>
      <c r="K4642" s="16"/>
      <c r="L4642" s="14" t="s">
        <v>189</v>
      </c>
      <c r="M4642" s="16" t="str">
        <f t="shared" si="1"/>
        <v>50492 CORAZON DE JESUS4 Primaria</v>
      </c>
      <c r="N4642" s="23"/>
      <c r="O4642" s="17"/>
      <c r="P4642" s="17"/>
      <c r="Q4642" s="17"/>
      <c r="R4642" s="17"/>
      <c r="S4642" s="17"/>
      <c r="T4642" s="17"/>
    </row>
    <row r="4643">
      <c r="A4643" s="21">
        <v>771.0</v>
      </c>
      <c r="B4643" s="14" t="s">
        <v>90</v>
      </c>
      <c r="C4643" s="14" t="s">
        <v>14</v>
      </c>
      <c r="D4643" s="20" t="s">
        <v>20</v>
      </c>
      <c r="E4643" s="12" t="str">
        <f>IFERROR(__xludf.DUMMYFUNCTION("FILTER(colegios!$B$2:$B5618,colegios!$A$2:$A5618=L4643)"),"50492 CORAZON DE JESUS")</f>
        <v>50492 CORAZON DE JESUS</v>
      </c>
      <c r="F4643" s="14" t="s">
        <v>16</v>
      </c>
      <c r="G4643" s="20" t="s">
        <v>17</v>
      </c>
      <c r="H4643" s="14" t="s">
        <v>18</v>
      </c>
      <c r="I4643" s="22">
        <v>2022.0</v>
      </c>
      <c r="J4643" s="16" t="str">
        <f>IFERROR(__xludf.DUMMYFUNCTION("FILTER('CLASFICACIÓN'!$F$3:$F5618,'CLASFICACIÓN'!$G$3:$G5618=M4643)"),"LOS 3 AÑOS")</f>
        <v>LOS 3 AÑOS</v>
      </c>
      <c r="K4643" s="16"/>
      <c r="L4643" s="14" t="s">
        <v>189</v>
      </c>
      <c r="M4643" s="16" t="str">
        <f t="shared" si="1"/>
        <v>50492 CORAZON DE JESUS4 Primaria</v>
      </c>
      <c r="N4643" s="23"/>
      <c r="O4643" s="17"/>
      <c r="P4643" s="17"/>
      <c r="Q4643" s="17"/>
      <c r="R4643" s="17"/>
      <c r="S4643" s="17"/>
      <c r="T4643" s="17"/>
    </row>
    <row r="4644">
      <c r="A4644" s="21">
        <v>772.0</v>
      </c>
      <c r="B4644" s="14" t="s">
        <v>90</v>
      </c>
      <c r="C4644" s="14" t="s">
        <v>14</v>
      </c>
      <c r="D4644" s="20" t="s">
        <v>20</v>
      </c>
      <c r="E4644" s="12" t="str">
        <f>IFERROR(__xludf.DUMMYFUNCTION("FILTER(colegios!$B$2:$B5618,colegios!$A$2:$A5618=L4644)"),"50492 CORAZON DE JESUS")</f>
        <v>50492 CORAZON DE JESUS</v>
      </c>
      <c r="F4644" s="14" t="s">
        <v>16</v>
      </c>
      <c r="G4644" s="20" t="s">
        <v>17</v>
      </c>
      <c r="H4644" s="14" t="s">
        <v>18</v>
      </c>
      <c r="I4644" s="22">
        <v>2022.0</v>
      </c>
      <c r="J4644" s="16" t="str">
        <f>IFERROR(__xludf.DUMMYFUNCTION("FILTER('CLASFICACIÓN'!$F$3:$F5618,'CLASFICACIÓN'!$G$3:$G5618=M4644)"),"LOS 3 AÑOS")</f>
        <v>LOS 3 AÑOS</v>
      </c>
      <c r="K4644" s="16"/>
      <c r="L4644" s="14" t="s">
        <v>189</v>
      </c>
      <c r="M4644" s="16" t="str">
        <f t="shared" si="1"/>
        <v>50492 CORAZON DE JESUS4 Primaria</v>
      </c>
      <c r="N4644" s="23"/>
      <c r="O4644" s="17"/>
      <c r="P4644" s="17"/>
      <c r="Q4644" s="17"/>
      <c r="R4644" s="17"/>
      <c r="S4644" s="17"/>
      <c r="T4644" s="17"/>
    </row>
    <row r="4645">
      <c r="A4645" s="21">
        <v>773.0</v>
      </c>
      <c r="B4645" s="14" t="s">
        <v>90</v>
      </c>
      <c r="C4645" s="14" t="s">
        <v>14</v>
      </c>
      <c r="D4645" s="20" t="s">
        <v>20</v>
      </c>
      <c r="E4645" s="12" t="str">
        <f>IFERROR(__xludf.DUMMYFUNCTION("FILTER(colegios!$B$2:$B5618,colegios!$A$2:$A5618=L4645)"),"50492 CORAZON DE JESUS")</f>
        <v>50492 CORAZON DE JESUS</v>
      </c>
      <c r="F4645" s="14" t="s">
        <v>16</v>
      </c>
      <c r="G4645" s="20" t="s">
        <v>17</v>
      </c>
      <c r="H4645" s="14" t="s">
        <v>18</v>
      </c>
      <c r="I4645" s="22">
        <v>2022.0</v>
      </c>
      <c r="J4645" s="16" t="str">
        <f>IFERROR(__xludf.DUMMYFUNCTION("FILTER('CLASFICACIÓN'!$F$3:$F5618,'CLASFICACIÓN'!$G$3:$G5618=M4645)"),"LOS 3 AÑOS")</f>
        <v>LOS 3 AÑOS</v>
      </c>
      <c r="K4645" s="16"/>
      <c r="L4645" s="14" t="s">
        <v>189</v>
      </c>
      <c r="M4645" s="16" t="str">
        <f t="shared" si="1"/>
        <v>50492 CORAZON DE JESUS4 Primaria</v>
      </c>
      <c r="N4645" s="23"/>
      <c r="O4645" s="17"/>
      <c r="P4645" s="17"/>
      <c r="Q4645" s="17"/>
      <c r="R4645" s="17"/>
      <c r="S4645" s="17"/>
      <c r="T4645" s="17"/>
    </row>
    <row r="4646">
      <c r="A4646" s="21">
        <v>774.0</v>
      </c>
      <c r="B4646" s="14" t="s">
        <v>90</v>
      </c>
      <c r="C4646" s="14" t="s">
        <v>14</v>
      </c>
      <c r="D4646" s="20" t="s">
        <v>20</v>
      </c>
      <c r="E4646" s="12" t="str">
        <f>IFERROR(__xludf.DUMMYFUNCTION("FILTER(colegios!$B$2:$B5618,colegios!$A$2:$A5618=L4646)"),"50492 CORAZON DE JESUS")</f>
        <v>50492 CORAZON DE JESUS</v>
      </c>
      <c r="F4646" s="14" t="s">
        <v>16</v>
      </c>
      <c r="G4646" s="20" t="s">
        <v>17</v>
      </c>
      <c r="H4646" s="14" t="s">
        <v>18</v>
      </c>
      <c r="I4646" s="22">
        <v>2022.0</v>
      </c>
      <c r="J4646" s="16" t="str">
        <f>IFERROR(__xludf.DUMMYFUNCTION("FILTER('CLASFICACIÓN'!$F$3:$F5618,'CLASFICACIÓN'!$G$3:$G5618=M4646)"),"LOS 3 AÑOS")</f>
        <v>LOS 3 AÑOS</v>
      </c>
      <c r="K4646" s="16"/>
      <c r="L4646" s="14" t="s">
        <v>189</v>
      </c>
      <c r="M4646" s="16" t="str">
        <f t="shared" si="1"/>
        <v>50492 CORAZON DE JESUS4 Primaria</v>
      </c>
      <c r="N4646" s="23"/>
      <c r="O4646" s="17"/>
      <c r="P4646" s="17"/>
      <c r="Q4646" s="17"/>
      <c r="R4646" s="17"/>
      <c r="S4646" s="17"/>
      <c r="T4646" s="17"/>
    </row>
    <row r="4647">
      <c r="A4647" s="21">
        <v>775.0</v>
      </c>
      <c r="B4647" s="14" t="s">
        <v>90</v>
      </c>
      <c r="C4647" s="14" t="s">
        <v>14</v>
      </c>
      <c r="D4647" s="20" t="s">
        <v>20</v>
      </c>
      <c r="E4647" s="12" t="str">
        <f>IFERROR(__xludf.DUMMYFUNCTION("FILTER(colegios!$B$2:$B5618,colegios!$A$2:$A5618=L4647)"),"50492 CORAZON DE JESUS")</f>
        <v>50492 CORAZON DE JESUS</v>
      </c>
      <c r="F4647" s="14" t="s">
        <v>16</v>
      </c>
      <c r="G4647" s="20" t="s">
        <v>21</v>
      </c>
      <c r="H4647" s="14" t="s">
        <v>18</v>
      </c>
      <c r="I4647" s="22">
        <v>2022.0</v>
      </c>
      <c r="J4647" s="16" t="str">
        <f>IFERROR(__xludf.DUMMYFUNCTION("FILTER('CLASFICACIÓN'!$F$3:$F5618,'CLASFICACIÓN'!$G$3:$G5618=M4647)"),"LOS 3 AÑOS")</f>
        <v>LOS 3 AÑOS</v>
      </c>
      <c r="K4647" s="16"/>
      <c r="L4647" s="14" t="s">
        <v>189</v>
      </c>
      <c r="M4647" s="16" t="str">
        <f t="shared" si="1"/>
        <v>50492 CORAZON DE JESUS4 Primaria</v>
      </c>
      <c r="N4647" s="23"/>
      <c r="O4647" s="17"/>
      <c r="P4647" s="17"/>
      <c r="Q4647" s="17"/>
      <c r="R4647" s="17"/>
      <c r="S4647" s="17"/>
      <c r="T4647" s="17"/>
    </row>
    <row r="4648">
      <c r="A4648" s="21">
        <v>776.0</v>
      </c>
      <c r="B4648" s="14" t="s">
        <v>90</v>
      </c>
      <c r="C4648" s="14" t="s">
        <v>14</v>
      </c>
      <c r="D4648" s="20" t="s">
        <v>20</v>
      </c>
      <c r="E4648" s="12" t="str">
        <f>IFERROR(__xludf.DUMMYFUNCTION("FILTER(colegios!$B$2:$B5618,colegios!$A$2:$A5618=L4648)"),"50492 CORAZON DE JESUS")</f>
        <v>50492 CORAZON DE JESUS</v>
      </c>
      <c r="F4648" s="14" t="s">
        <v>16</v>
      </c>
      <c r="G4648" s="20" t="s">
        <v>21</v>
      </c>
      <c r="H4648" s="14" t="s">
        <v>18</v>
      </c>
      <c r="I4648" s="22">
        <v>2022.0</v>
      </c>
      <c r="J4648" s="16" t="str">
        <f>IFERROR(__xludf.DUMMYFUNCTION("FILTER('CLASFICACIÓN'!$F$3:$F5618,'CLASFICACIÓN'!$G$3:$G5618=M4648)"),"LOS 3 AÑOS")</f>
        <v>LOS 3 AÑOS</v>
      </c>
      <c r="K4648" s="16"/>
      <c r="L4648" s="14" t="s">
        <v>189</v>
      </c>
      <c r="M4648" s="16" t="str">
        <f t="shared" si="1"/>
        <v>50492 CORAZON DE JESUS4 Primaria</v>
      </c>
      <c r="N4648" s="23"/>
      <c r="O4648" s="17"/>
      <c r="P4648" s="17"/>
      <c r="Q4648" s="17"/>
      <c r="R4648" s="17"/>
      <c r="S4648" s="17"/>
      <c r="T4648" s="17"/>
    </row>
    <row r="4649">
      <c r="A4649" s="21">
        <v>777.0</v>
      </c>
      <c r="B4649" s="14" t="s">
        <v>90</v>
      </c>
      <c r="C4649" s="14" t="s">
        <v>14</v>
      </c>
      <c r="D4649" s="20" t="s">
        <v>20</v>
      </c>
      <c r="E4649" s="12" t="str">
        <f>IFERROR(__xludf.DUMMYFUNCTION("FILTER(colegios!$B$2:$B5618,colegios!$A$2:$A5618=L4649)"),"50492 CORAZON DE JESUS")</f>
        <v>50492 CORAZON DE JESUS</v>
      </c>
      <c r="F4649" s="14" t="s">
        <v>16</v>
      </c>
      <c r="G4649" s="20" t="s">
        <v>21</v>
      </c>
      <c r="H4649" s="14" t="s">
        <v>18</v>
      </c>
      <c r="I4649" s="22">
        <v>2022.0</v>
      </c>
      <c r="J4649" s="16" t="str">
        <f>IFERROR(__xludf.DUMMYFUNCTION("FILTER('CLASFICACIÓN'!$F$3:$F5618,'CLASFICACIÓN'!$G$3:$G5618=M4649)"),"LOS 3 AÑOS")</f>
        <v>LOS 3 AÑOS</v>
      </c>
      <c r="K4649" s="16"/>
      <c r="L4649" s="14" t="s">
        <v>189</v>
      </c>
      <c r="M4649" s="16" t="str">
        <f t="shared" si="1"/>
        <v>50492 CORAZON DE JESUS4 Primaria</v>
      </c>
      <c r="N4649" s="23"/>
      <c r="O4649" s="17"/>
      <c r="P4649" s="17"/>
      <c r="Q4649" s="17"/>
      <c r="R4649" s="17"/>
      <c r="S4649" s="17"/>
      <c r="T4649" s="17"/>
    </row>
    <row r="4650">
      <c r="A4650" s="21">
        <v>778.0</v>
      </c>
      <c r="B4650" s="14" t="s">
        <v>90</v>
      </c>
      <c r="C4650" s="14" t="s">
        <v>14</v>
      </c>
      <c r="D4650" s="20" t="s">
        <v>20</v>
      </c>
      <c r="E4650" s="12" t="str">
        <f>IFERROR(__xludf.DUMMYFUNCTION("FILTER(colegios!$B$2:$B5618,colegios!$A$2:$A5618=L4650)"),"50492 CORAZON DE JESUS")</f>
        <v>50492 CORAZON DE JESUS</v>
      </c>
      <c r="F4650" s="14" t="s">
        <v>16</v>
      </c>
      <c r="G4650" s="20" t="s">
        <v>17</v>
      </c>
      <c r="H4650" s="14" t="s">
        <v>18</v>
      </c>
      <c r="I4650" s="22">
        <v>2022.0</v>
      </c>
      <c r="J4650" s="16" t="str">
        <f>IFERROR(__xludf.DUMMYFUNCTION("FILTER('CLASFICACIÓN'!$F$3:$F5618,'CLASFICACIÓN'!$G$3:$G5618=M4650)"),"LOS 3 AÑOS")</f>
        <v>LOS 3 AÑOS</v>
      </c>
      <c r="K4650" s="16"/>
      <c r="L4650" s="14" t="s">
        <v>189</v>
      </c>
      <c r="M4650" s="16" t="str">
        <f t="shared" si="1"/>
        <v>50492 CORAZON DE JESUS4 Primaria</v>
      </c>
      <c r="N4650" s="23"/>
      <c r="O4650" s="17"/>
      <c r="P4650" s="17"/>
      <c r="Q4650" s="17"/>
      <c r="R4650" s="17"/>
      <c r="S4650" s="17"/>
      <c r="T4650" s="17"/>
    </row>
    <row r="4651">
      <c r="A4651" s="21">
        <v>779.0</v>
      </c>
      <c r="B4651" s="14" t="s">
        <v>90</v>
      </c>
      <c r="C4651" s="14" t="s">
        <v>14</v>
      </c>
      <c r="D4651" s="20" t="s">
        <v>20</v>
      </c>
      <c r="E4651" s="12" t="str">
        <f>IFERROR(__xludf.DUMMYFUNCTION("FILTER(colegios!$B$2:$B5618,colegios!$A$2:$A5618=L4651)"),"50492 CORAZON DE JESUS")</f>
        <v>50492 CORAZON DE JESUS</v>
      </c>
      <c r="F4651" s="14" t="s">
        <v>16</v>
      </c>
      <c r="G4651" s="20" t="s">
        <v>17</v>
      </c>
      <c r="H4651" s="14" t="s">
        <v>18</v>
      </c>
      <c r="I4651" s="22">
        <v>2022.0</v>
      </c>
      <c r="J4651" s="16" t="str">
        <f>IFERROR(__xludf.DUMMYFUNCTION("FILTER('CLASFICACIÓN'!$F$3:$F5618,'CLASFICACIÓN'!$G$3:$G5618=M4651)"),"LOS 3 AÑOS")</f>
        <v>LOS 3 AÑOS</v>
      </c>
      <c r="K4651" s="16"/>
      <c r="L4651" s="14" t="s">
        <v>189</v>
      </c>
      <c r="M4651" s="16" t="str">
        <f t="shared" si="1"/>
        <v>50492 CORAZON DE JESUS4 Primaria</v>
      </c>
      <c r="N4651" s="23"/>
      <c r="O4651" s="17"/>
      <c r="P4651" s="17"/>
      <c r="Q4651" s="17"/>
      <c r="R4651" s="17"/>
      <c r="S4651" s="17"/>
      <c r="T4651" s="17"/>
    </row>
    <row r="4652">
      <c r="A4652" s="21">
        <v>780.0</v>
      </c>
      <c r="B4652" s="14" t="s">
        <v>90</v>
      </c>
      <c r="C4652" s="14" t="s">
        <v>14</v>
      </c>
      <c r="D4652" s="20" t="s">
        <v>20</v>
      </c>
      <c r="E4652" s="12" t="str">
        <f>IFERROR(__xludf.DUMMYFUNCTION("FILTER(colegios!$B$2:$B5618,colegios!$A$2:$A5618=L4652)"),"50492 CORAZON DE JESUS")</f>
        <v>50492 CORAZON DE JESUS</v>
      </c>
      <c r="F4652" s="14" t="s">
        <v>16</v>
      </c>
      <c r="G4652" s="20" t="s">
        <v>17</v>
      </c>
      <c r="H4652" s="14" t="s">
        <v>18</v>
      </c>
      <c r="I4652" s="22">
        <v>2022.0</v>
      </c>
      <c r="J4652" s="16" t="str">
        <f>IFERROR(__xludf.DUMMYFUNCTION("FILTER('CLASFICACIÓN'!$F$3:$F5618,'CLASFICACIÓN'!$G$3:$G5618=M4652)"),"LOS 3 AÑOS")</f>
        <v>LOS 3 AÑOS</v>
      </c>
      <c r="K4652" s="16"/>
      <c r="L4652" s="14" t="s">
        <v>189</v>
      </c>
      <c r="M4652" s="16" t="str">
        <f t="shared" si="1"/>
        <v>50492 CORAZON DE JESUS4 Primaria</v>
      </c>
      <c r="N4652" s="23"/>
      <c r="O4652" s="17"/>
      <c r="P4652" s="17"/>
      <c r="Q4652" s="17"/>
      <c r="R4652" s="17"/>
      <c r="S4652" s="17"/>
      <c r="T4652" s="17"/>
    </row>
    <row r="4653">
      <c r="A4653" s="21">
        <v>781.0</v>
      </c>
      <c r="B4653" s="14" t="s">
        <v>90</v>
      </c>
      <c r="C4653" s="14" t="s">
        <v>14</v>
      </c>
      <c r="D4653" s="20" t="s">
        <v>20</v>
      </c>
      <c r="E4653" s="12" t="str">
        <f>IFERROR(__xludf.DUMMYFUNCTION("FILTER(colegios!$B$2:$B5618,colegios!$A$2:$A5618=L4653)"),"50492 CORAZON DE JESUS")</f>
        <v>50492 CORAZON DE JESUS</v>
      </c>
      <c r="F4653" s="14" t="s">
        <v>16</v>
      </c>
      <c r="G4653" s="20" t="s">
        <v>21</v>
      </c>
      <c r="H4653" s="14" t="s">
        <v>18</v>
      </c>
      <c r="I4653" s="22">
        <v>2022.0</v>
      </c>
      <c r="J4653" s="16" t="str">
        <f>IFERROR(__xludf.DUMMYFUNCTION("FILTER('CLASFICACIÓN'!$F$3:$F5618,'CLASFICACIÓN'!$G$3:$G5618=M4653)"),"LOS 3 AÑOS")</f>
        <v>LOS 3 AÑOS</v>
      </c>
      <c r="K4653" s="16"/>
      <c r="L4653" s="14" t="s">
        <v>189</v>
      </c>
      <c r="M4653" s="16" t="str">
        <f t="shared" si="1"/>
        <v>50492 CORAZON DE JESUS4 Primaria</v>
      </c>
      <c r="N4653" s="23"/>
      <c r="O4653" s="17"/>
      <c r="P4653" s="17"/>
      <c r="Q4653" s="17"/>
      <c r="R4653" s="17"/>
      <c r="S4653" s="17"/>
      <c r="T4653" s="17"/>
    </row>
    <row r="4654">
      <c r="A4654" s="21">
        <v>782.0</v>
      </c>
      <c r="B4654" s="14" t="s">
        <v>90</v>
      </c>
      <c r="C4654" s="14" t="s">
        <v>14</v>
      </c>
      <c r="D4654" s="20" t="s">
        <v>20</v>
      </c>
      <c r="E4654" s="12" t="str">
        <f>IFERROR(__xludf.DUMMYFUNCTION("FILTER(colegios!$B$2:$B5618,colegios!$A$2:$A5618=L4654)"),"50492 CORAZON DE JESUS")</f>
        <v>50492 CORAZON DE JESUS</v>
      </c>
      <c r="F4654" s="14" t="s">
        <v>16</v>
      </c>
      <c r="G4654" s="20" t="s">
        <v>21</v>
      </c>
      <c r="H4654" s="14" t="s">
        <v>18</v>
      </c>
      <c r="I4654" s="22">
        <v>2022.0</v>
      </c>
      <c r="J4654" s="16" t="str">
        <f>IFERROR(__xludf.DUMMYFUNCTION("FILTER('CLASFICACIÓN'!$F$3:$F5618,'CLASFICACIÓN'!$G$3:$G5618=M4654)"),"LOS 3 AÑOS")</f>
        <v>LOS 3 AÑOS</v>
      </c>
      <c r="K4654" s="16"/>
      <c r="L4654" s="14" t="s">
        <v>189</v>
      </c>
      <c r="M4654" s="16" t="str">
        <f t="shared" si="1"/>
        <v>50492 CORAZON DE JESUS4 Primaria</v>
      </c>
      <c r="N4654" s="23"/>
      <c r="O4654" s="17"/>
      <c r="P4654" s="17"/>
      <c r="Q4654" s="17"/>
      <c r="R4654" s="17"/>
      <c r="S4654" s="17"/>
      <c r="T4654" s="17"/>
    </row>
    <row r="4655">
      <c r="A4655" s="21">
        <v>783.0</v>
      </c>
      <c r="B4655" s="14" t="s">
        <v>90</v>
      </c>
      <c r="C4655" s="14" t="s">
        <v>14</v>
      </c>
      <c r="D4655" s="20" t="s">
        <v>20</v>
      </c>
      <c r="E4655" s="12" t="str">
        <f>IFERROR(__xludf.DUMMYFUNCTION("FILTER(colegios!$B$2:$B5618,colegios!$A$2:$A5618=L4655)"),"50492 CORAZON DE JESUS")</f>
        <v>50492 CORAZON DE JESUS</v>
      </c>
      <c r="F4655" s="14" t="s">
        <v>16</v>
      </c>
      <c r="G4655" s="20" t="s">
        <v>17</v>
      </c>
      <c r="H4655" s="14" t="s">
        <v>18</v>
      </c>
      <c r="I4655" s="22">
        <v>2022.0</v>
      </c>
      <c r="J4655" s="16" t="str">
        <f>IFERROR(__xludf.DUMMYFUNCTION("FILTER('CLASFICACIÓN'!$F$3:$F5618,'CLASFICACIÓN'!$G$3:$G5618=M4655)"),"LOS 3 AÑOS")</f>
        <v>LOS 3 AÑOS</v>
      </c>
      <c r="K4655" s="16"/>
      <c r="L4655" s="14" t="s">
        <v>189</v>
      </c>
      <c r="M4655" s="16" t="str">
        <f t="shared" si="1"/>
        <v>50492 CORAZON DE JESUS4 Primaria</v>
      </c>
      <c r="N4655" s="23"/>
      <c r="O4655" s="17"/>
      <c r="P4655" s="17"/>
      <c r="Q4655" s="17"/>
      <c r="R4655" s="17"/>
      <c r="S4655" s="17"/>
      <c r="T4655" s="17"/>
    </row>
    <row r="4656">
      <c r="A4656" s="21">
        <v>784.0</v>
      </c>
      <c r="B4656" s="14" t="s">
        <v>90</v>
      </c>
      <c r="C4656" s="14" t="s">
        <v>14</v>
      </c>
      <c r="D4656" s="20" t="s">
        <v>20</v>
      </c>
      <c r="E4656" s="12" t="str">
        <f>IFERROR(__xludf.DUMMYFUNCTION("FILTER(colegios!$B$2:$B5618,colegios!$A$2:$A5618=L4656)"),"50492 CORAZON DE JESUS")</f>
        <v>50492 CORAZON DE JESUS</v>
      </c>
      <c r="F4656" s="14" t="s">
        <v>16</v>
      </c>
      <c r="G4656" s="20" t="s">
        <v>17</v>
      </c>
      <c r="H4656" s="14" t="s">
        <v>18</v>
      </c>
      <c r="I4656" s="22">
        <v>2022.0</v>
      </c>
      <c r="J4656" s="16" t="str">
        <f>IFERROR(__xludf.DUMMYFUNCTION("FILTER('CLASFICACIÓN'!$F$3:$F5618,'CLASFICACIÓN'!$G$3:$G5618=M4656)"),"LOS 3 AÑOS")</f>
        <v>LOS 3 AÑOS</v>
      </c>
      <c r="K4656" s="16"/>
      <c r="L4656" s="14" t="s">
        <v>189</v>
      </c>
      <c r="M4656" s="16" t="str">
        <f t="shared" si="1"/>
        <v>50492 CORAZON DE JESUS4 Primaria</v>
      </c>
      <c r="N4656" s="23"/>
      <c r="O4656" s="17"/>
      <c r="P4656" s="17"/>
      <c r="Q4656" s="17"/>
      <c r="R4656" s="17"/>
      <c r="S4656" s="17"/>
      <c r="T4656" s="17"/>
    </row>
    <row r="4657">
      <c r="A4657" s="21">
        <v>785.0</v>
      </c>
      <c r="B4657" s="14" t="s">
        <v>90</v>
      </c>
      <c r="C4657" s="14" t="s">
        <v>14</v>
      </c>
      <c r="D4657" s="20" t="s">
        <v>20</v>
      </c>
      <c r="E4657" s="12" t="str">
        <f>IFERROR(__xludf.DUMMYFUNCTION("FILTER(colegios!$B$2:$B5618,colegios!$A$2:$A5618=L4657)"),"50492 CORAZON DE JESUS")</f>
        <v>50492 CORAZON DE JESUS</v>
      </c>
      <c r="F4657" s="14" t="s">
        <v>16</v>
      </c>
      <c r="G4657" s="20" t="s">
        <v>17</v>
      </c>
      <c r="H4657" s="14" t="s">
        <v>18</v>
      </c>
      <c r="I4657" s="22">
        <v>2022.0</v>
      </c>
      <c r="J4657" s="16" t="str">
        <f>IFERROR(__xludf.DUMMYFUNCTION("FILTER('CLASFICACIÓN'!$F$3:$F5618,'CLASFICACIÓN'!$G$3:$G5618=M4657)"),"LOS 3 AÑOS")</f>
        <v>LOS 3 AÑOS</v>
      </c>
      <c r="K4657" s="16"/>
      <c r="L4657" s="14" t="s">
        <v>189</v>
      </c>
      <c r="M4657" s="16" t="str">
        <f t="shared" si="1"/>
        <v>50492 CORAZON DE JESUS4 Primaria</v>
      </c>
      <c r="N4657" s="23"/>
      <c r="O4657" s="17"/>
      <c r="P4657" s="17"/>
      <c r="Q4657" s="17"/>
      <c r="R4657" s="17"/>
      <c r="S4657" s="17"/>
      <c r="T4657" s="17"/>
    </row>
    <row r="4658">
      <c r="A4658" s="21">
        <v>786.0</v>
      </c>
      <c r="B4658" s="14" t="s">
        <v>90</v>
      </c>
      <c r="C4658" s="14" t="s">
        <v>14</v>
      </c>
      <c r="D4658" s="20" t="s">
        <v>20</v>
      </c>
      <c r="E4658" s="12" t="str">
        <f>IFERROR(__xludf.DUMMYFUNCTION("FILTER(colegios!$B$2:$B5618,colegios!$A$2:$A5618=L4658)"),"50492 CORAZON DE JESUS")</f>
        <v>50492 CORAZON DE JESUS</v>
      </c>
      <c r="F4658" s="14" t="s">
        <v>16</v>
      </c>
      <c r="G4658" s="20" t="s">
        <v>21</v>
      </c>
      <c r="H4658" s="14" t="s">
        <v>18</v>
      </c>
      <c r="I4658" s="22">
        <v>2022.0</v>
      </c>
      <c r="J4658" s="16" t="str">
        <f>IFERROR(__xludf.DUMMYFUNCTION("FILTER('CLASFICACIÓN'!$F$3:$F5618,'CLASFICACIÓN'!$G$3:$G5618=M4658)"),"LOS 3 AÑOS")</f>
        <v>LOS 3 AÑOS</v>
      </c>
      <c r="K4658" s="16"/>
      <c r="L4658" s="14" t="s">
        <v>189</v>
      </c>
      <c r="M4658" s="16" t="str">
        <f t="shared" si="1"/>
        <v>50492 CORAZON DE JESUS4 Primaria</v>
      </c>
      <c r="N4658" s="23"/>
      <c r="O4658" s="17"/>
      <c r="P4658" s="17"/>
      <c r="Q4658" s="17"/>
      <c r="R4658" s="17"/>
      <c r="S4658" s="17"/>
      <c r="T4658" s="17"/>
    </row>
    <row r="4659">
      <c r="A4659" s="21">
        <v>787.0</v>
      </c>
      <c r="B4659" s="14" t="s">
        <v>90</v>
      </c>
      <c r="C4659" s="14" t="s">
        <v>14</v>
      </c>
      <c r="D4659" s="20" t="s">
        <v>20</v>
      </c>
      <c r="E4659" s="12" t="str">
        <f>IFERROR(__xludf.DUMMYFUNCTION("FILTER(colegios!$B$2:$B5618,colegios!$A$2:$A5618=L4659)"),"50492 CORAZON DE JESUS")</f>
        <v>50492 CORAZON DE JESUS</v>
      </c>
      <c r="F4659" s="14" t="s">
        <v>16</v>
      </c>
      <c r="G4659" s="20" t="s">
        <v>17</v>
      </c>
      <c r="H4659" s="14" t="s">
        <v>18</v>
      </c>
      <c r="I4659" s="22">
        <v>2022.0</v>
      </c>
      <c r="J4659" s="16" t="str">
        <f>IFERROR(__xludf.DUMMYFUNCTION("FILTER('CLASFICACIÓN'!$F$3:$F5618,'CLASFICACIÓN'!$G$3:$G5618=M4659)"),"LOS 3 AÑOS")</f>
        <v>LOS 3 AÑOS</v>
      </c>
      <c r="K4659" s="16"/>
      <c r="L4659" s="14" t="s">
        <v>189</v>
      </c>
      <c r="M4659" s="16" t="str">
        <f t="shared" si="1"/>
        <v>50492 CORAZON DE JESUS4 Primaria</v>
      </c>
      <c r="N4659" s="23"/>
      <c r="O4659" s="17"/>
      <c r="P4659" s="17"/>
      <c r="Q4659" s="17"/>
      <c r="R4659" s="17"/>
      <c r="S4659" s="17"/>
      <c r="T4659" s="17"/>
    </row>
    <row r="4660">
      <c r="A4660" s="21">
        <v>788.0</v>
      </c>
      <c r="B4660" s="14" t="s">
        <v>90</v>
      </c>
      <c r="C4660" s="14" t="s">
        <v>14</v>
      </c>
      <c r="D4660" s="20" t="s">
        <v>20</v>
      </c>
      <c r="E4660" s="12" t="str">
        <f>IFERROR(__xludf.DUMMYFUNCTION("FILTER(colegios!$B$2:$B5618,colegios!$A$2:$A5618=L4660)"),"50492 CORAZON DE JESUS")</f>
        <v>50492 CORAZON DE JESUS</v>
      </c>
      <c r="F4660" s="14" t="s">
        <v>16</v>
      </c>
      <c r="G4660" s="20" t="s">
        <v>21</v>
      </c>
      <c r="H4660" s="14" t="s">
        <v>18</v>
      </c>
      <c r="I4660" s="22">
        <v>2022.0</v>
      </c>
      <c r="J4660" s="16" t="str">
        <f>IFERROR(__xludf.DUMMYFUNCTION("FILTER('CLASFICACIÓN'!$F$3:$F5618,'CLASFICACIÓN'!$G$3:$G5618=M4660)"),"LOS 3 AÑOS")</f>
        <v>LOS 3 AÑOS</v>
      </c>
      <c r="K4660" s="16"/>
      <c r="L4660" s="14" t="s">
        <v>189</v>
      </c>
      <c r="M4660" s="16" t="str">
        <f t="shared" si="1"/>
        <v>50492 CORAZON DE JESUS4 Primaria</v>
      </c>
      <c r="N4660" s="23"/>
      <c r="O4660" s="17"/>
      <c r="P4660" s="17"/>
      <c r="Q4660" s="17"/>
      <c r="R4660" s="17"/>
      <c r="S4660" s="17"/>
      <c r="T4660" s="17"/>
    </row>
    <row r="4661">
      <c r="A4661" s="21">
        <v>789.0</v>
      </c>
      <c r="B4661" s="14" t="s">
        <v>90</v>
      </c>
      <c r="C4661" s="14" t="s">
        <v>14</v>
      </c>
      <c r="D4661" s="20" t="s">
        <v>20</v>
      </c>
      <c r="E4661" s="12" t="str">
        <f>IFERROR(__xludf.DUMMYFUNCTION("FILTER(colegios!$B$2:$B5618,colegios!$A$2:$A5618=L4661)"),"50492 CORAZON DE JESUS")</f>
        <v>50492 CORAZON DE JESUS</v>
      </c>
      <c r="F4661" s="14" t="s">
        <v>16</v>
      </c>
      <c r="G4661" s="20" t="s">
        <v>21</v>
      </c>
      <c r="H4661" s="14" t="s">
        <v>18</v>
      </c>
      <c r="I4661" s="22">
        <v>2022.0</v>
      </c>
      <c r="J4661" s="16" t="str">
        <f>IFERROR(__xludf.DUMMYFUNCTION("FILTER('CLASFICACIÓN'!$F$3:$F5618,'CLASFICACIÓN'!$G$3:$G5618=M4661)"),"LOS 3 AÑOS")</f>
        <v>LOS 3 AÑOS</v>
      </c>
      <c r="K4661" s="16"/>
      <c r="L4661" s="14" t="s">
        <v>189</v>
      </c>
      <c r="M4661" s="16" t="str">
        <f t="shared" si="1"/>
        <v>50492 CORAZON DE JESUS4 Primaria</v>
      </c>
      <c r="N4661" s="23"/>
      <c r="O4661" s="17"/>
      <c r="P4661" s="17"/>
      <c r="Q4661" s="17"/>
      <c r="R4661" s="17"/>
      <c r="S4661" s="17"/>
      <c r="T4661" s="17"/>
    </row>
    <row r="4662">
      <c r="A4662" s="21">
        <v>790.0</v>
      </c>
      <c r="B4662" s="14" t="s">
        <v>90</v>
      </c>
      <c r="C4662" s="14" t="s">
        <v>14</v>
      </c>
      <c r="D4662" s="20" t="s">
        <v>20</v>
      </c>
      <c r="E4662" s="12" t="str">
        <f>IFERROR(__xludf.DUMMYFUNCTION("FILTER(colegios!$B$2:$B5618,colegios!$A$2:$A5618=L4662)"),"50492 CORAZON DE JESUS")</f>
        <v>50492 CORAZON DE JESUS</v>
      </c>
      <c r="F4662" s="14" t="s">
        <v>16</v>
      </c>
      <c r="G4662" s="20" t="s">
        <v>21</v>
      </c>
      <c r="H4662" s="14" t="s">
        <v>18</v>
      </c>
      <c r="I4662" s="22">
        <v>2022.0</v>
      </c>
      <c r="J4662" s="16" t="str">
        <f>IFERROR(__xludf.DUMMYFUNCTION("FILTER('CLASFICACIÓN'!$F$3:$F5618,'CLASFICACIÓN'!$G$3:$G5618=M4662)"),"LOS 3 AÑOS")</f>
        <v>LOS 3 AÑOS</v>
      </c>
      <c r="K4662" s="16"/>
      <c r="L4662" s="14" t="s">
        <v>189</v>
      </c>
      <c r="M4662" s="16" t="str">
        <f t="shared" si="1"/>
        <v>50492 CORAZON DE JESUS4 Primaria</v>
      </c>
      <c r="N4662" s="23"/>
      <c r="O4662" s="17"/>
      <c r="P4662" s="17"/>
      <c r="Q4662" s="17"/>
      <c r="R4662" s="17"/>
      <c r="S4662" s="17"/>
      <c r="T4662" s="17"/>
    </row>
    <row r="4663">
      <c r="A4663" s="21">
        <v>791.0</v>
      </c>
      <c r="B4663" s="14" t="s">
        <v>90</v>
      </c>
      <c r="C4663" s="14" t="s">
        <v>14</v>
      </c>
      <c r="D4663" s="20" t="s">
        <v>20</v>
      </c>
      <c r="E4663" s="12" t="str">
        <f>IFERROR(__xludf.DUMMYFUNCTION("FILTER(colegios!$B$2:$B5618,colegios!$A$2:$A5618=L4663)"),"50492 CORAZON DE JESUS")</f>
        <v>50492 CORAZON DE JESUS</v>
      </c>
      <c r="F4663" s="14" t="s">
        <v>16</v>
      </c>
      <c r="G4663" s="20" t="s">
        <v>21</v>
      </c>
      <c r="H4663" s="14" t="s">
        <v>18</v>
      </c>
      <c r="I4663" s="22">
        <v>2022.0</v>
      </c>
      <c r="J4663" s="16" t="str">
        <f>IFERROR(__xludf.DUMMYFUNCTION("FILTER('CLASFICACIÓN'!$F$3:$F5618,'CLASFICACIÓN'!$G$3:$G5618=M4663)"),"LOS 3 AÑOS")</f>
        <v>LOS 3 AÑOS</v>
      </c>
      <c r="K4663" s="16"/>
      <c r="L4663" s="14" t="s">
        <v>189</v>
      </c>
      <c r="M4663" s="16" t="str">
        <f t="shared" si="1"/>
        <v>50492 CORAZON DE JESUS4 Primaria</v>
      </c>
      <c r="N4663" s="23"/>
      <c r="O4663" s="17"/>
      <c r="P4663" s="17"/>
      <c r="Q4663" s="17"/>
      <c r="R4663" s="17"/>
      <c r="S4663" s="17"/>
      <c r="T4663" s="17"/>
    </row>
    <row r="4664">
      <c r="A4664" s="21">
        <v>792.0</v>
      </c>
      <c r="B4664" s="14" t="s">
        <v>90</v>
      </c>
      <c r="C4664" s="14" t="s">
        <v>14</v>
      </c>
      <c r="D4664" s="20" t="s">
        <v>20</v>
      </c>
      <c r="E4664" s="12" t="str">
        <f>IFERROR(__xludf.DUMMYFUNCTION("FILTER(colegios!$B$2:$B5618,colegios!$A$2:$A5618=L4664)"),"50492 CORAZON DE JESUS")</f>
        <v>50492 CORAZON DE JESUS</v>
      </c>
      <c r="F4664" s="14" t="s">
        <v>16</v>
      </c>
      <c r="G4664" s="20" t="s">
        <v>21</v>
      </c>
      <c r="H4664" s="14" t="s">
        <v>18</v>
      </c>
      <c r="I4664" s="22">
        <v>2022.0</v>
      </c>
      <c r="J4664" s="16" t="str">
        <f>IFERROR(__xludf.DUMMYFUNCTION("FILTER('CLASFICACIÓN'!$F$3:$F5618,'CLASFICACIÓN'!$G$3:$G5618=M4664)"),"LOS 3 AÑOS")</f>
        <v>LOS 3 AÑOS</v>
      </c>
      <c r="K4664" s="16"/>
      <c r="L4664" s="14" t="s">
        <v>189</v>
      </c>
      <c r="M4664" s="16" t="str">
        <f t="shared" si="1"/>
        <v>50492 CORAZON DE JESUS4 Primaria</v>
      </c>
      <c r="N4664" s="23"/>
      <c r="O4664" s="17"/>
      <c r="P4664" s="17"/>
      <c r="Q4664" s="17"/>
      <c r="R4664" s="17"/>
      <c r="S4664" s="17"/>
      <c r="T4664" s="17"/>
    </row>
    <row r="4665">
      <c r="A4665" s="21">
        <v>793.0</v>
      </c>
      <c r="B4665" s="14" t="s">
        <v>90</v>
      </c>
      <c r="C4665" s="14" t="s">
        <v>14</v>
      </c>
      <c r="D4665" s="20" t="s">
        <v>20</v>
      </c>
      <c r="E4665" s="12" t="str">
        <f>IFERROR(__xludf.DUMMYFUNCTION("FILTER(colegios!$B$2:$B5618,colegios!$A$2:$A5618=L4665)"),"50492 CORAZON DE JESUS")</f>
        <v>50492 CORAZON DE JESUS</v>
      </c>
      <c r="F4665" s="14" t="s">
        <v>16</v>
      </c>
      <c r="G4665" s="20" t="s">
        <v>17</v>
      </c>
      <c r="H4665" s="14" t="s">
        <v>18</v>
      </c>
      <c r="I4665" s="22">
        <v>2022.0</v>
      </c>
      <c r="J4665" s="16" t="str">
        <f>IFERROR(__xludf.DUMMYFUNCTION("FILTER('CLASFICACIÓN'!$F$3:$F5618,'CLASFICACIÓN'!$G$3:$G5618=M4665)"),"LOS 3 AÑOS")</f>
        <v>LOS 3 AÑOS</v>
      </c>
      <c r="K4665" s="16"/>
      <c r="L4665" s="14" t="s">
        <v>189</v>
      </c>
      <c r="M4665" s="16" t="str">
        <f t="shared" si="1"/>
        <v>50492 CORAZON DE JESUS4 Primaria</v>
      </c>
      <c r="N4665" s="23"/>
      <c r="O4665" s="17"/>
      <c r="P4665" s="17"/>
      <c r="Q4665" s="17"/>
      <c r="R4665" s="17"/>
      <c r="S4665" s="17"/>
      <c r="T4665" s="17"/>
    </row>
    <row r="4666">
      <c r="A4666" s="21">
        <v>794.0</v>
      </c>
      <c r="B4666" s="14" t="s">
        <v>90</v>
      </c>
      <c r="C4666" s="14" t="s">
        <v>14</v>
      </c>
      <c r="D4666" s="20" t="s">
        <v>20</v>
      </c>
      <c r="E4666" s="12" t="str">
        <f>IFERROR(__xludf.DUMMYFUNCTION("FILTER(colegios!$B$2:$B5618,colegios!$A$2:$A5618=L4666)"),"50492 CORAZON DE JESUS")</f>
        <v>50492 CORAZON DE JESUS</v>
      </c>
      <c r="F4666" s="14" t="s">
        <v>16</v>
      </c>
      <c r="G4666" s="20" t="s">
        <v>21</v>
      </c>
      <c r="H4666" s="14" t="s">
        <v>18</v>
      </c>
      <c r="I4666" s="22">
        <v>2022.0</v>
      </c>
      <c r="J4666" s="16" t="str">
        <f>IFERROR(__xludf.DUMMYFUNCTION("FILTER('CLASFICACIÓN'!$F$3:$F5618,'CLASFICACIÓN'!$G$3:$G5618=M4666)"),"LOS 3 AÑOS")</f>
        <v>LOS 3 AÑOS</v>
      </c>
      <c r="K4666" s="16"/>
      <c r="L4666" s="14" t="s">
        <v>189</v>
      </c>
      <c r="M4666" s="16" t="str">
        <f t="shared" si="1"/>
        <v>50492 CORAZON DE JESUS4 Primaria</v>
      </c>
      <c r="N4666" s="23"/>
      <c r="O4666" s="17"/>
      <c r="P4666" s="17"/>
      <c r="Q4666" s="17"/>
      <c r="R4666" s="17"/>
      <c r="S4666" s="17"/>
      <c r="T4666" s="17"/>
    </row>
    <row r="4667">
      <c r="A4667" s="21">
        <v>795.0</v>
      </c>
      <c r="B4667" s="14" t="s">
        <v>90</v>
      </c>
      <c r="C4667" s="14" t="s">
        <v>14</v>
      </c>
      <c r="D4667" s="20" t="s">
        <v>20</v>
      </c>
      <c r="E4667" s="12" t="str">
        <f>IFERROR(__xludf.DUMMYFUNCTION("FILTER(colegios!$B$2:$B5618,colegios!$A$2:$A5618=L4667)"),"50492 CORAZON DE JESUS")</f>
        <v>50492 CORAZON DE JESUS</v>
      </c>
      <c r="F4667" s="14" t="s">
        <v>16</v>
      </c>
      <c r="G4667" s="20" t="s">
        <v>17</v>
      </c>
      <c r="H4667" s="14" t="s">
        <v>18</v>
      </c>
      <c r="I4667" s="22">
        <v>2022.0</v>
      </c>
      <c r="J4667" s="16" t="str">
        <f>IFERROR(__xludf.DUMMYFUNCTION("FILTER('CLASFICACIÓN'!$F$3:$F5618,'CLASFICACIÓN'!$G$3:$G5618=M4667)"),"LOS 3 AÑOS")</f>
        <v>LOS 3 AÑOS</v>
      </c>
      <c r="K4667" s="16"/>
      <c r="L4667" s="14" t="s">
        <v>189</v>
      </c>
      <c r="M4667" s="16" t="str">
        <f t="shared" si="1"/>
        <v>50492 CORAZON DE JESUS4 Primaria</v>
      </c>
      <c r="N4667" s="23"/>
      <c r="O4667" s="17"/>
      <c r="P4667" s="17"/>
      <c r="Q4667" s="17"/>
      <c r="R4667" s="17"/>
      <c r="S4667" s="17"/>
      <c r="T4667" s="17"/>
    </row>
    <row r="4668">
      <c r="A4668" s="21">
        <v>796.0</v>
      </c>
      <c r="B4668" s="14" t="s">
        <v>90</v>
      </c>
      <c r="C4668" s="14" t="s">
        <v>14</v>
      </c>
      <c r="D4668" s="20" t="s">
        <v>20</v>
      </c>
      <c r="E4668" s="12" t="str">
        <f>IFERROR(__xludf.DUMMYFUNCTION("FILTER(colegios!$B$2:$B5618,colegios!$A$2:$A5618=L4668)"),"50492 CORAZON DE JESUS")</f>
        <v>50492 CORAZON DE JESUS</v>
      </c>
      <c r="F4668" s="14" t="s">
        <v>16</v>
      </c>
      <c r="G4668" s="20" t="s">
        <v>21</v>
      </c>
      <c r="H4668" s="14" t="s">
        <v>18</v>
      </c>
      <c r="I4668" s="22">
        <v>2022.0</v>
      </c>
      <c r="J4668" s="16" t="str">
        <f>IFERROR(__xludf.DUMMYFUNCTION("FILTER('CLASFICACIÓN'!$F$3:$F5618,'CLASFICACIÓN'!$G$3:$G5618=M4668)"),"LOS 3 AÑOS")</f>
        <v>LOS 3 AÑOS</v>
      </c>
      <c r="K4668" s="16"/>
      <c r="L4668" s="14" t="s">
        <v>189</v>
      </c>
      <c r="M4668" s="16" t="str">
        <f t="shared" si="1"/>
        <v>50492 CORAZON DE JESUS4 Primaria</v>
      </c>
      <c r="N4668" s="23"/>
      <c r="O4668" s="17"/>
      <c r="P4668" s="17"/>
      <c r="Q4668" s="17"/>
      <c r="R4668" s="17"/>
      <c r="S4668" s="17"/>
      <c r="T4668" s="17"/>
    </row>
    <row r="4669">
      <c r="A4669" s="21">
        <v>797.0</v>
      </c>
      <c r="B4669" s="14" t="s">
        <v>90</v>
      </c>
      <c r="C4669" s="14" t="s">
        <v>14</v>
      </c>
      <c r="D4669" s="20" t="s">
        <v>20</v>
      </c>
      <c r="E4669" s="12" t="str">
        <f>IFERROR(__xludf.DUMMYFUNCTION("FILTER(colegios!$B$2:$B5618,colegios!$A$2:$A5618=L4669)"),"50492 CORAZON DE JESUS")</f>
        <v>50492 CORAZON DE JESUS</v>
      </c>
      <c r="F4669" s="14" t="s">
        <v>16</v>
      </c>
      <c r="G4669" s="20" t="s">
        <v>17</v>
      </c>
      <c r="H4669" s="14" t="s">
        <v>18</v>
      </c>
      <c r="I4669" s="22">
        <v>2022.0</v>
      </c>
      <c r="J4669" s="16" t="str">
        <f>IFERROR(__xludf.DUMMYFUNCTION("FILTER('CLASFICACIÓN'!$F$3:$F5618,'CLASFICACIÓN'!$G$3:$G5618=M4669)"),"LOS 3 AÑOS")</f>
        <v>LOS 3 AÑOS</v>
      </c>
      <c r="K4669" s="16"/>
      <c r="L4669" s="14" t="s">
        <v>189</v>
      </c>
      <c r="M4669" s="16" t="str">
        <f t="shared" si="1"/>
        <v>50492 CORAZON DE JESUS4 Primaria</v>
      </c>
      <c r="N4669" s="23"/>
      <c r="O4669" s="17"/>
      <c r="P4669" s="17"/>
      <c r="Q4669" s="17"/>
      <c r="R4669" s="17"/>
      <c r="S4669" s="17"/>
      <c r="T4669" s="17"/>
    </row>
    <row r="4670">
      <c r="A4670" s="21">
        <v>798.0</v>
      </c>
      <c r="B4670" s="14" t="s">
        <v>90</v>
      </c>
      <c r="C4670" s="14" t="s">
        <v>14</v>
      </c>
      <c r="D4670" s="20" t="s">
        <v>20</v>
      </c>
      <c r="E4670" s="12" t="str">
        <f>IFERROR(__xludf.DUMMYFUNCTION("FILTER(colegios!$B$2:$B5618,colegios!$A$2:$A5618=L4670)"),"50492 CORAZON DE JESUS")</f>
        <v>50492 CORAZON DE JESUS</v>
      </c>
      <c r="F4670" s="14" t="s">
        <v>16</v>
      </c>
      <c r="G4670" s="20" t="s">
        <v>21</v>
      </c>
      <c r="H4670" s="14" t="s">
        <v>18</v>
      </c>
      <c r="I4670" s="22">
        <v>2022.0</v>
      </c>
      <c r="J4670" s="16" t="str">
        <f>IFERROR(__xludf.DUMMYFUNCTION("FILTER('CLASFICACIÓN'!$F$3:$F5618,'CLASFICACIÓN'!$G$3:$G5618=M4670)"),"LOS 3 AÑOS")</f>
        <v>LOS 3 AÑOS</v>
      </c>
      <c r="K4670" s="16"/>
      <c r="L4670" s="14" t="s">
        <v>189</v>
      </c>
      <c r="M4670" s="16" t="str">
        <f t="shared" si="1"/>
        <v>50492 CORAZON DE JESUS4 Primaria</v>
      </c>
      <c r="N4670" s="23"/>
      <c r="O4670" s="17"/>
      <c r="P4670" s="17"/>
      <c r="Q4670" s="17"/>
      <c r="R4670" s="17"/>
      <c r="S4670" s="17"/>
      <c r="T4670" s="17"/>
    </row>
    <row r="4671">
      <c r="A4671" s="21">
        <v>799.0</v>
      </c>
      <c r="B4671" s="14" t="s">
        <v>90</v>
      </c>
      <c r="C4671" s="14" t="s">
        <v>14</v>
      </c>
      <c r="D4671" s="20" t="s">
        <v>20</v>
      </c>
      <c r="E4671" s="12" t="str">
        <f>IFERROR(__xludf.DUMMYFUNCTION("FILTER(colegios!$B$2:$B5618,colegios!$A$2:$A5618=L4671)"),"50492 CORAZON DE JESUS")</f>
        <v>50492 CORAZON DE JESUS</v>
      </c>
      <c r="F4671" s="14" t="s">
        <v>16</v>
      </c>
      <c r="G4671" s="20" t="s">
        <v>17</v>
      </c>
      <c r="H4671" s="14" t="s">
        <v>18</v>
      </c>
      <c r="I4671" s="22">
        <v>2022.0</v>
      </c>
      <c r="J4671" s="16" t="str">
        <f>IFERROR(__xludf.DUMMYFUNCTION("FILTER('CLASFICACIÓN'!$F$3:$F5618,'CLASFICACIÓN'!$G$3:$G5618=M4671)"),"LOS 3 AÑOS")</f>
        <v>LOS 3 AÑOS</v>
      </c>
      <c r="K4671" s="16"/>
      <c r="L4671" s="14" t="s">
        <v>189</v>
      </c>
      <c r="M4671" s="16" t="str">
        <f t="shared" si="1"/>
        <v>50492 CORAZON DE JESUS4 Primaria</v>
      </c>
      <c r="N4671" s="23"/>
      <c r="O4671" s="17"/>
      <c r="P4671" s="17"/>
      <c r="Q4671" s="17"/>
      <c r="R4671" s="17"/>
      <c r="S4671" s="17"/>
      <c r="T4671" s="17"/>
    </row>
    <row r="4672">
      <c r="A4672" s="21">
        <v>800.0</v>
      </c>
      <c r="B4672" s="14" t="s">
        <v>90</v>
      </c>
      <c r="C4672" s="14" t="s">
        <v>14</v>
      </c>
      <c r="D4672" s="20" t="s">
        <v>20</v>
      </c>
      <c r="E4672" s="12" t="str">
        <f>IFERROR(__xludf.DUMMYFUNCTION("FILTER(colegios!$B$2:$B5618,colegios!$A$2:$A5618=L4672)"),"50492 CORAZON DE JESUS")</f>
        <v>50492 CORAZON DE JESUS</v>
      </c>
      <c r="F4672" s="14" t="s">
        <v>16</v>
      </c>
      <c r="G4672" s="20" t="s">
        <v>17</v>
      </c>
      <c r="H4672" s="14" t="s">
        <v>18</v>
      </c>
      <c r="I4672" s="22">
        <v>2022.0</v>
      </c>
      <c r="J4672" s="16" t="str">
        <f>IFERROR(__xludf.DUMMYFUNCTION("FILTER('CLASFICACIÓN'!$F$3:$F5618,'CLASFICACIÓN'!$G$3:$G5618=M4672)"),"LOS 3 AÑOS")</f>
        <v>LOS 3 AÑOS</v>
      </c>
      <c r="K4672" s="16"/>
      <c r="L4672" s="14" t="s">
        <v>189</v>
      </c>
      <c r="M4672" s="16" t="str">
        <f t="shared" si="1"/>
        <v>50492 CORAZON DE JESUS4 Primaria</v>
      </c>
      <c r="N4672" s="23"/>
      <c r="O4672" s="17"/>
      <c r="P4672" s="17"/>
      <c r="Q4672" s="17"/>
      <c r="R4672" s="17"/>
      <c r="S4672" s="17"/>
      <c r="T4672" s="17"/>
    </row>
    <row r="4673">
      <c r="A4673" s="21">
        <v>801.0</v>
      </c>
      <c r="B4673" s="14" t="s">
        <v>90</v>
      </c>
      <c r="C4673" s="14" t="s">
        <v>14</v>
      </c>
      <c r="D4673" s="20" t="s">
        <v>20</v>
      </c>
      <c r="E4673" s="12" t="str">
        <f>IFERROR(__xludf.DUMMYFUNCTION("FILTER(colegios!$B$2:$B5618,colegios!$A$2:$A5618=L4673)"),"50492 CORAZON DE JESUS")</f>
        <v>50492 CORAZON DE JESUS</v>
      </c>
      <c r="F4673" s="14" t="s">
        <v>16</v>
      </c>
      <c r="G4673" s="20" t="s">
        <v>17</v>
      </c>
      <c r="H4673" s="14" t="s">
        <v>18</v>
      </c>
      <c r="I4673" s="22">
        <v>2022.0</v>
      </c>
      <c r="J4673" s="16" t="str">
        <f>IFERROR(__xludf.DUMMYFUNCTION("FILTER('CLASFICACIÓN'!$F$3:$F5618,'CLASFICACIÓN'!$G$3:$G5618=M4673)"),"LOS 3 AÑOS")</f>
        <v>LOS 3 AÑOS</v>
      </c>
      <c r="K4673" s="16"/>
      <c r="L4673" s="14" t="s">
        <v>189</v>
      </c>
      <c r="M4673" s="16" t="str">
        <f t="shared" si="1"/>
        <v>50492 CORAZON DE JESUS4 Primaria</v>
      </c>
      <c r="N4673" s="23"/>
      <c r="O4673" s="17"/>
      <c r="P4673" s="17"/>
      <c r="Q4673" s="17"/>
      <c r="R4673" s="17"/>
      <c r="S4673" s="17"/>
      <c r="T4673" s="17"/>
    </row>
    <row r="4674">
      <c r="A4674" s="21">
        <v>802.0</v>
      </c>
      <c r="B4674" s="14" t="s">
        <v>90</v>
      </c>
      <c r="C4674" s="14" t="s">
        <v>14</v>
      </c>
      <c r="D4674" s="20" t="s">
        <v>20</v>
      </c>
      <c r="E4674" s="12" t="str">
        <f>IFERROR(__xludf.DUMMYFUNCTION("FILTER(colegios!$B$2:$B5618,colegios!$A$2:$A5618=L4674)"),"50492 CORAZON DE JESUS")</f>
        <v>50492 CORAZON DE JESUS</v>
      </c>
      <c r="F4674" s="14" t="s">
        <v>16</v>
      </c>
      <c r="G4674" s="20" t="s">
        <v>17</v>
      </c>
      <c r="H4674" s="14" t="s">
        <v>18</v>
      </c>
      <c r="I4674" s="22">
        <v>2022.0</v>
      </c>
      <c r="J4674" s="16" t="str">
        <f>IFERROR(__xludf.DUMMYFUNCTION("FILTER('CLASFICACIÓN'!$F$3:$F5618,'CLASFICACIÓN'!$G$3:$G5618=M4674)"),"LOS 3 AÑOS")</f>
        <v>LOS 3 AÑOS</v>
      </c>
      <c r="K4674" s="16"/>
      <c r="L4674" s="14" t="s">
        <v>189</v>
      </c>
      <c r="M4674" s="16" t="str">
        <f t="shared" si="1"/>
        <v>50492 CORAZON DE JESUS4 Primaria</v>
      </c>
      <c r="N4674" s="23"/>
      <c r="O4674" s="17"/>
      <c r="P4674" s="17"/>
      <c r="Q4674" s="17"/>
      <c r="R4674" s="17"/>
      <c r="S4674" s="17"/>
      <c r="T4674" s="17"/>
    </row>
    <row r="4675">
      <c r="A4675" s="21">
        <v>803.0</v>
      </c>
      <c r="B4675" s="14" t="s">
        <v>90</v>
      </c>
      <c r="C4675" s="14" t="s">
        <v>14</v>
      </c>
      <c r="D4675" s="20" t="s">
        <v>20</v>
      </c>
      <c r="E4675" s="12" t="str">
        <f>IFERROR(__xludf.DUMMYFUNCTION("FILTER(colegios!$B$2:$B5618,colegios!$A$2:$A5618=L4675)"),"50492 CORAZON DE JESUS")</f>
        <v>50492 CORAZON DE JESUS</v>
      </c>
      <c r="F4675" s="14" t="s">
        <v>16</v>
      </c>
      <c r="G4675" s="20" t="s">
        <v>17</v>
      </c>
      <c r="H4675" s="14" t="s">
        <v>18</v>
      </c>
      <c r="I4675" s="22">
        <v>2022.0</v>
      </c>
      <c r="J4675" s="16" t="str">
        <f>IFERROR(__xludf.DUMMYFUNCTION("FILTER('CLASFICACIÓN'!$F$3:$F5618,'CLASFICACIÓN'!$G$3:$G5618=M4675)"),"LOS 3 AÑOS")</f>
        <v>LOS 3 AÑOS</v>
      </c>
      <c r="K4675" s="16"/>
      <c r="L4675" s="14" t="s">
        <v>189</v>
      </c>
      <c r="M4675" s="16" t="str">
        <f t="shared" si="1"/>
        <v>50492 CORAZON DE JESUS4 Primaria</v>
      </c>
      <c r="N4675" s="23"/>
      <c r="O4675" s="17"/>
      <c r="P4675" s="17"/>
      <c r="Q4675" s="17"/>
      <c r="R4675" s="17"/>
      <c r="S4675" s="17"/>
      <c r="T4675" s="17"/>
    </row>
    <row r="4676">
      <c r="A4676" s="21">
        <v>804.0</v>
      </c>
      <c r="B4676" s="14" t="s">
        <v>90</v>
      </c>
      <c r="C4676" s="14" t="s">
        <v>14</v>
      </c>
      <c r="D4676" s="20" t="s">
        <v>20</v>
      </c>
      <c r="E4676" s="12" t="str">
        <f>IFERROR(__xludf.DUMMYFUNCTION("FILTER(colegios!$B$2:$B5618,colegios!$A$2:$A5618=L4676)"),"50492 CORAZON DE JESUS")</f>
        <v>50492 CORAZON DE JESUS</v>
      </c>
      <c r="F4676" s="14" t="s">
        <v>16</v>
      </c>
      <c r="G4676" s="20" t="s">
        <v>21</v>
      </c>
      <c r="H4676" s="14" t="s">
        <v>18</v>
      </c>
      <c r="I4676" s="22">
        <v>2022.0</v>
      </c>
      <c r="J4676" s="16" t="str">
        <f>IFERROR(__xludf.DUMMYFUNCTION("FILTER('CLASFICACIÓN'!$F$3:$F5618,'CLASFICACIÓN'!$G$3:$G5618=M4676)"),"LOS 3 AÑOS")</f>
        <v>LOS 3 AÑOS</v>
      </c>
      <c r="K4676" s="16"/>
      <c r="L4676" s="14" t="s">
        <v>189</v>
      </c>
      <c r="M4676" s="16" t="str">
        <f t="shared" si="1"/>
        <v>50492 CORAZON DE JESUS4 Primaria</v>
      </c>
      <c r="N4676" s="23"/>
      <c r="O4676" s="17"/>
      <c r="P4676" s="17"/>
      <c r="Q4676" s="17"/>
      <c r="R4676" s="17"/>
      <c r="S4676" s="17"/>
      <c r="T4676" s="17"/>
    </row>
    <row r="4677">
      <c r="A4677" s="21">
        <v>805.0</v>
      </c>
      <c r="B4677" s="14" t="s">
        <v>90</v>
      </c>
      <c r="C4677" s="14" t="s">
        <v>14</v>
      </c>
      <c r="D4677" s="20" t="s">
        <v>20</v>
      </c>
      <c r="E4677" s="12" t="str">
        <f>IFERROR(__xludf.DUMMYFUNCTION("FILTER(colegios!$B$2:$B5618,colegios!$A$2:$A5618=L4677)"),"50492 CORAZON DE JESUS")</f>
        <v>50492 CORAZON DE JESUS</v>
      </c>
      <c r="F4677" s="14" t="s">
        <v>16</v>
      </c>
      <c r="G4677" s="20" t="s">
        <v>17</v>
      </c>
      <c r="H4677" s="14" t="s">
        <v>18</v>
      </c>
      <c r="I4677" s="22">
        <v>2022.0</v>
      </c>
      <c r="J4677" s="16" t="str">
        <f>IFERROR(__xludf.DUMMYFUNCTION("FILTER('CLASFICACIÓN'!$F$3:$F5618,'CLASFICACIÓN'!$G$3:$G5618=M4677)"),"LOS 3 AÑOS")</f>
        <v>LOS 3 AÑOS</v>
      </c>
      <c r="K4677" s="16"/>
      <c r="L4677" s="14" t="s">
        <v>189</v>
      </c>
      <c r="M4677" s="16" t="str">
        <f t="shared" si="1"/>
        <v>50492 CORAZON DE JESUS4 Primaria</v>
      </c>
      <c r="N4677" s="23"/>
      <c r="O4677" s="17"/>
      <c r="P4677" s="17"/>
      <c r="Q4677" s="17"/>
      <c r="R4677" s="17"/>
      <c r="S4677" s="17"/>
      <c r="T4677" s="17"/>
    </row>
    <row r="4678">
      <c r="A4678" s="21">
        <v>806.0</v>
      </c>
      <c r="B4678" s="14" t="s">
        <v>90</v>
      </c>
      <c r="C4678" s="14" t="s">
        <v>14</v>
      </c>
      <c r="D4678" s="20" t="s">
        <v>20</v>
      </c>
      <c r="E4678" s="12" t="str">
        <f>IFERROR(__xludf.DUMMYFUNCTION("FILTER(colegios!$B$2:$B5618,colegios!$A$2:$A5618=L4678)"),"50492 CORAZON DE JESUS")</f>
        <v>50492 CORAZON DE JESUS</v>
      </c>
      <c r="F4678" s="14" t="s">
        <v>16</v>
      </c>
      <c r="G4678" s="20" t="s">
        <v>17</v>
      </c>
      <c r="H4678" s="14" t="s">
        <v>18</v>
      </c>
      <c r="I4678" s="22">
        <v>2022.0</v>
      </c>
      <c r="J4678" s="16" t="str">
        <f>IFERROR(__xludf.DUMMYFUNCTION("FILTER('CLASFICACIÓN'!$F$3:$F5618,'CLASFICACIÓN'!$G$3:$G5618=M4678)"),"LOS 3 AÑOS")</f>
        <v>LOS 3 AÑOS</v>
      </c>
      <c r="K4678" s="16"/>
      <c r="L4678" s="14" t="s">
        <v>189</v>
      </c>
      <c r="M4678" s="16" t="str">
        <f t="shared" si="1"/>
        <v>50492 CORAZON DE JESUS4 Primaria</v>
      </c>
      <c r="N4678" s="23"/>
      <c r="O4678" s="17"/>
      <c r="P4678" s="17"/>
      <c r="Q4678" s="17"/>
      <c r="R4678" s="17"/>
      <c r="S4678" s="17"/>
      <c r="T4678" s="17"/>
    </row>
    <row r="4679">
      <c r="A4679" s="21">
        <v>807.0</v>
      </c>
      <c r="B4679" s="14" t="s">
        <v>90</v>
      </c>
      <c r="C4679" s="14" t="s">
        <v>14</v>
      </c>
      <c r="D4679" s="20" t="s">
        <v>20</v>
      </c>
      <c r="E4679" s="12" t="str">
        <f>IFERROR(__xludf.DUMMYFUNCTION("FILTER(colegios!$B$2:$B5618,colegios!$A$2:$A5618=L4679)"),"50492 CORAZON DE JESUS")</f>
        <v>50492 CORAZON DE JESUS</v>
      </c>
      <c r="F4679" s="14" t="s">
        <v>16</v>
      </c>
      <c r="G4679" s="20" t="s">
        <v>21</v>
      </c>
      <c r="H4679" s="14" t="s">
        <v>18</v>
      </c>
      <c r="I4679" s="22">
        <v>2022.0</v>
      </c>
      <c r="J4679" s="16" t="str">
        <f>IFERROR(__xludf.DUMMYFUNCTION("FILTER('CLASFICACIÓN'!$F$3:$F5618,'CLASFICACIÓN'!$G$3:$G5618=M4679)"),"LOS 3 AÑOS")</f>
        <v>LOS 3 AÑOS</v>
      </c>
      <c r="K4679" s="16"/>
      <c r="L4679" s="14" t="s">
        <v>189</v>
      </c>
      <c r="M4679" s="16" t="str">
        <f t="shared" si="1"/>
        <v>50492 CORAZON DE JESUS4 Primaria</v>
      </c>
      <c r="N4679" s="23"/>
      <c r="O4679" s="17"/>
      <c r="P4679" s="17"/>
      <c r="Q4679" s="17"/>
      <c r="R4679" s="17"/>
      <c r="S4679" s="17"/>
      <c r="T4679" s="17"/>
    </row>
    <row r="4680">
      <c r="A4680" s="21">
        <v>808.0</v>
      </c>
      <c r="B4680" s="14" t="s">
        <v>90</v>
      </c>
      <c r="C4680" s="14" t="s">
        <v>14</v>
      </c>
      <c r="D4680" s="20" t="s">
        <v>20</v>
      </c>
      <c r="E4680" s="12" t="str">
        <f>IFERROR(__xludf.DUMMYFUNCTION("FILTER(colegios!$B$2:$B5618,colegios!$A$2:$A5618=L4680)"),"50492 CORAZON DE JESUS")</f>
        <v>50492 CORAZON DE JESUS</v>
      </c>
      <c r="F4680" s="14" t="s">
        <v>16</v>
      </c>
      <c r="G4680" s="20" t="s">
        <v>17</v>
      </c>
      <c r="H4680" s="14" t="s">
        <v>18</v>
      </c>
      <c r="I4680" s="22">
        <v>2022.0</v>
      </c>
      <c r="J4680" s="16" t="str">
        <f>IFERROR(__xludf.DUMMYFUNCTION("FILTER('CLASFICACIÓN'!$F$3:$F5618,'CLASFICACIÓN'!$G$3:$G5618=M4680)"),"LOS 3 AÑOS")</f>
        <v>LOS 3 AÑOS</v>
      </c>
      <c r="K4680" s="16"/>
      <c r="L4680" s="14" t="s">
        <v>189</v>
      </c>
      <c r="M4680" s="16" t="str">
        <f t="shared" si="1"/>
        <v>50492 CORAZON DE JESUS4 Primaria</v>
      </c>
      <c r="N4680" s="23"/>
      <c r="O4680" s="17"/>
      <c r="P4680" s="17"/>
      <c r="Q4680" s="17"/>
      <c r="R4680" s="17"/>
      <c r="S4680" s="17"/>
      <c r="T4680" s="17"/>
    </row>
    <row r="4681">
      <c r="A4681" s="21">
        <v>809.0</v>
      </c>
      <c r="B4681" s="14" t="s">
        <v>90</v>
      </c>
      <c r="C4681" s="14" t="s">
        <v>14</v>
      </c>
      <c r="D4681" s="20" t="s">
        <v>20</v>
      </c>
      <c r="E4681" s="12" t="str">
        <f>IFERROR(__xludf.DUMMYFUNCTION("FILTER(colegios!$B$2:$B5618,colegios!$A$2:$A5618=L4681)"),"50492 CORAZON DE JESUS")</f>
        <v>50492 CORAZON DE JESUS</v>
      </c>
      <c r="F4681" s="14" t="s">
        <v>16</v>
      </c>
      <c r="G4681" s="20" t="s">
        <v>17</v>
      </c>
      <c r="H4681" s="14" t="s">
        <v>18</v>
      </c>
      <c r="I4681" s="22">
        <v>2022.0</v>
      </c>
      <c r="J4681" s="16" t="str">
        <f>IFERROR(__xludf.DUMMYFUNCTION("FILTER('CLASFICACIÓN'!$F$3:$F5618,'CLASFICACIÓN'!$G$3:$G5618=M4681)"),"LOS 3 AÑOS")</f>
        <v>LOS 3 AÑOS</v>
      </c>
      <c r="K4681" s="16"/>
      <c r="L4681" s="14" t="s">
        <v>189</v>
      </c>
      <c r="M4681" s="16" t="str">
        <f t="shared" si="1"/>
        <v>50492 CORAZON DE JESUS4 Primaria</v>
      </c>
      <c r="N4681" s="23"/>
      <c r="O4681" s="17"/>
      <c r="P4681" s="17"/>
      <c r="Q4681" s="17"/>
      <c r="R4681" s="17"/>
      <c r="S4681" s="17"/>
      <c r="T4681" s="17"/>
    </row>
    <row r="4682">
      <c r="A4682" s="21">
        <v>810.0</v>
      </c>
      <c r="B4682" s="14" t="s">
        <v>90</v>
      </c>
      <c r="C4682" s="14" t="s">
        <v>14</v>
      </c>
      <c r="D4682" s="20" t="s">
        <v>20</v>
      </c>
      <c r="E4682" s="12" t="str">
        <f>IFERROR(__xludf.DUMMYFUNCTION("FILTER(colegios!$B$2:$B5618,colegios!$A$2:$A5618=L4682)"),"50492 CORAZON DE JESUS")</f>
        <v>50492 CORAZON DE JESUS</v>
      </c>
      <c r="F4682" s="14" t="s">
        <v>16</v>
      </c>
      <c r="G4682" s="20" t="s">
        <v>21</v>
      </c>
      <c r="H4682" s="14" t="s">
        <v>18</v>
      </c>
      <c r="I4682" s="22">
        <v>2022.0</v>
      </c>
      <c r="J4682" s="16" t="str">
        <f>IFERROR(__xludf.DUMMYFUNCTION("FILTER('CLASFICACIÓN'!$F$3:$F5618,'CLASFICACIÓN'!$G$3:$G5618=M4682)"),"LOS 3 AÑOS")</f>
        <v>LOS 3 AÑOS</v>
      </c>
      <c r="K4682" s="16"/>
      <c r="L4682" s="14" t="s">
        <v>189</v>
      </c>
      <c r="M4682" s="16" t="str">
        <f t="shared" si="1"/>
        <v>50492 CORAZON DE JESUS4 Primaria</v>
      </c>
      <c r="N4682" s="23"/>
      <c r="O4682" s="17"/>
      <c r="P4682" s="17"/>
      <c r="Q4682" s="17"/>
      <c r="R4682" s="17"/>
      <c r="S4682" s="17"/>
      <c r="T4682" s="17"/>
    </row>
    <row r="4683">
      <c r="A4683" s="21">
        <v>811.0</v>
      </c>
      <c r="B4683" s="14" t="s">
        <v>90</v>
      </c>
      <c r="C4683" s="14" t="s">
        <v>14</v>
      </c>
      <c r="D4683" s="20" t="s">
        <v>20</v>
      </c>
      <c r="E4683" s="12" t="str">
        <f>IFERROR(__xludf.DUMMYFUNCTION("FILTER(colegios!$B$2:$B5618,colegios!$A$2:$A5618=L4683)"),"50492 CORAZON DE JESUS")</f>
        <v>50492 CORAZON DE JESUS</v>
      </c>
      <c r="F4683" s="14" t="s">
        <v>16</v>
      </c>
      <c r="G4683" s="20" t="s">
        <v>17</v>
      </c>
      <c r="H4683" s="14" t="s">
        <v>18</v>
      </c>
      <c r="I4683" s="22">
        <v>2022.0</v>
      </c>
      <c r="J4683" s="16" t="str">
        <f>IFERROR(__xludf.DUMMYFUNCTION("FILTER('CLASFICACIÓN'!$F$3:$F5618,'CLASFICACIÓN'!$G$3:$G5618=M4683)"),"LOS 3 AÑOS")</f>
        <v>LOS 3 AÑOS</v>
      </c>
      <c r="K4683" s="16"/>
      <c r="L4683" s="14" t="s">
        <v>189</v>
      </c>
      <c r="M4683" s="16" t="str">
        <f t="shared" si="1"/>
        <v>50492 CORAZON DE JESUS4 Primaria</v>
      </c>
      <c r="N4683" s="23"/>
      <c r="O4683" s="17"/>
      <c r="P4683" s="17"/>
      <c r="Q4683" s="17"/>
      <c r="R4683" s="17"/>
      <c r="S4683" s="17"/>
      <c r="T4683" s="17"/>
    </row>
    <row r="4684">
      <c r="A4684" s="21">
        <v>812.0</v>
      </c>
      <c r="B4684" s="14" t="s">
        <v>90</v>
      </c>
      <c r="C4684" s="14" t="s">
        <v>14</v>
      </c>
      <c r="D4684" s="20" t="s">
        <v>20</v>
      </c>
      <c r="E4684" s="12" t="str">
        <f>IFERROR(__xludf.DUMMYFUNCTION("FILTER(colegios!$B$2:$B5618,colegios!$A$2:$A5618=L4684)"),"50492 CORAZON DE JESUS")</f>
        <v>50492 CORAZON DE JESUS</v>
      </c>
      <c r="F4684" s="14" t="s">
        <v>16</v>
      </c>
      <c r="G4684" s="20" t="s">
        <v>17</v>
      </c>
      <c r="H4684" s="14" t="s">
        <v>18</v>
      </c>
      <c r="I4684" s="22">
        <v>2022.0</v>
      </c>
      <c r="J4684" s="16" t="str">
        <f>IFERROR(__xludf.DUMMYFUNCTION("FILTER('CLASFICACIÓN'!$F$3:$F5618,'CLASFICACIÓN'!$G$3:$G5618=M4684)"),"LOS 3 AÑOS")</f>
        <v>LOS 3 AÑOS</v>
      </c>
      <c r="K4684" s="16"/>
      <c r="L4684" s="14" t="s">
        <v>189</v>
      </c>
      <c r="M4684" s="16" t="str">
        <f t="shared" si="1"/>
        <v>50492 CORAZON DE JESUS4 Primaria</v>
      </c>
      <c r="N4684" s="23"/>
      <c r="O4684" s="17"/>
      <c r="P4684" s="17"/>
      <c r="Q4684" s="17"/>
      <c r="R4684" s="17"/>
      <c r="S4684" s="17"/>
      <c r="T4684" s="17"/>
    </row>
    <row r="4685">
      <c r="A4685" s="21">
        <v>813.0</v>
      </c>
      <c r="B4685" s="14" t="s">
        <v>90</v>
      </c>
      <c r="C4685" s="14" t="s">
        <v>14</v>
      </c>
      <c r="D4685" s="20" t="s">
        <v>20</v>
      </c>
      <c r="E4685" s="12" t="str">
        <f>IFERROR(__xludf.DUMMYFUNCTION("FILTER(colegios!$B$2:$B5618,colegios!$A$2:$A5618=L4685)"),"50492 CORAZON DE JESUS")</f>
        <v>50492 CORAZON DE JESUS</v>
      </c>
      <c r="F4685" s="14" t="s">
        <v>16</v>
      </c>
      <c r="G4685" s="20" t="s">
        <v>17</v>
      </c>
      <c r="H4685" s="14" t="s">
        <v>18</v>
      </c>
      <c r="I4685" s="22">
        <v>2022.0</v>
      </c>
      <c r="J4685" s="16" t="str">
        <f>IFERROR(__xludf.DUMMYFUNCTION("FILTER('CLASFICACIÓN'!$F$3:$F5618,'CLASFICACIÓN'!$G$3:$G5618=M4685)"),"LOS 3 AÑOS")</f>
        <v>LOS 3 AÑOS</v>
      </c>
      <c r="K4685" s="16"/>
      <c r="L4685" s="14" t="s">
        <v>189</v>
      </c>
      <c r="M4685" s="16" t="str">
        <f t="shared" si="1"/>
        <v>50492 CORAZON DE JESUS4 Primaria</v>
      </c>
      <c r="N4685" s="23"/>
      <c r="O4685" s="17"/>
      <c r="P4685" s="17"/>
      <c r="Q4685" s="17"/>
      <c r="R4685" s="17"/>
      <c r="S4685" s="17"/>
      <c r="T4685" s="17"/>
    </row>
    <row r="4686">
      <c r="A4686" s="21">
        <v>814.0</v>
      </c>
      <c r="B4686" s="14" t="s">
        <v>90</v>
      </c>
      <c r="C4686" s="14" t="s">
        <v>14</v>
      </c>
      <c r="D4686" s="20" t="s">
        <v>20</v>
      </c>
      <c r="E4686" s="12" t="str">
        <f>IFERROR(__xludf.DUMMYFUNCTION("FILTER(colegios!$B$2:$B5618,colegios!$A$2:$A5618=L4686)"),"50492 CORAZON DE JESUS")</f>
        <v>50492 CORAZON DE JESUS</v>
      </c>
      <c r="F4686" s="14" t="s">
        <v>16</v>
      </c>
      <c r="G4686" s="20" t="s">
        <v>21</v>
      </c>
      <c r="H4686" s="14" t="s">
        <v>24</v>
      </c>
      <c r="I4686" s="22">
        <v>2022.0</v>
      </c>
      <c r="J4686" s="16" t="str">
        <f>IFERROR(__xludf.DUMMYFUNCTION("FILTER('CLASFICACIÓN'!$F$3:$F5618,'CLASFICACIÓN'!$G$3:$G5618=M4686)"),"LOS 3 AÑOS")</f>
        <v>LOS 3 AÑOS</v>
      </c>
      <c r="K4686" s="16"/>
      <c r="L4686" s="14" t="s">
        <v>189</v>
      </c>
      <c r="M4686" s="16" t="str">
        <f t="shared" si="1"/>
        <v>50492 CORAZON DE JESUS4 Primaria</v>
      </c>
      <c r="N4686" s="23"/>
      <c r="O4686" s="17"/>
      <c r="P4686" s="17"/>
      <c r="Q4686" s="17"/>
      <c r="R4686" s="17"/>
      <c r="S4686" s="17"/>
      <c r="T4686" s="17"/>
    </row>
    <row r="4687">
      <c r="A4687" s="21">
        <v>815.0</v>
      </c>
      <c r="B4687" s="14" t="s">
        <v>90</v>
      </c>
      <c r="C4687" s="14" t="s">
        <v>14</v>
      </c>
      <c r="D4687" s="20" t="s">
        <v>20</v>
      </c>
      <c r="E4687" s="12" t="str">
        <f>IFERROR(__xludf.DUMMYFUNCTION("FILTER(colegios!$B$2:$B5618,colegios!$A$2:$A5618=L4687)"),"50492 CORAZON DE JESUS")</f>
        <v>50492 CORAZON DE JESUS</v>
      </c>
      <c r="F4687" s="14" t="s">
        <v>16</v>
      </c>
      <c r="G4687" s="20" t="s">
        <v>17</v>
      </c>
      <c r="H4687" s="14" t="s">
        <v>24</v>
      </c>
      <c r="I4687" s="22">
        <v>2022.0</v>
      </c>
      <c r="J4687" s="16" t="str">
        <f>IFERROR(__xludf.DUMMYFUNCTION("FILTER('CLASFICACIÓN'!$F$3:$F5618,'CLASFICACIÓN'!$G$3:$G5618=M4687)"),"LOS 3 AÑOS")</f>
        <v>LOS 3 AÑOS</v>
      </c>
      <c r="K4687" s="16"/>
      <c r="L4687" s="14" t="s">
        <v>189</v>
      </c>
      <c r="M4687" s="16" t="str">
        <f t="shared" si="1"/>
        <v>50492 CORAZON DE JESUS4 Primaria</v>
      </c>
      <c r="N4687" s="23"/>
      <c r="O4687" s="17"/>
      <c r="P4687" s="17"/>
      <c r="Q4687" s="17"/>
      <c r="R4687" s="17"/>
      <c r="S4687" s="17"/>
      <c r="T4687" s="17"/>
    </row>
    <row r="4688">
      <c r="A4688" s="21">
        <v>816.0</v>
      </c>
      <c r="B4688" s="14" t="s">
        <v>90</v>
      </c>
      <c r="C4688" s="14" t="s">
        <v>14</v>
      </c>
      <c r="D4688" s="20" t="s">
        <v>20</v>
      </c>
      <c r="E4688" s="12" t="str">
        <f>IFERROR(__xludf.DUMMYFUNCTION("FILTER(colegios!$B$2:$B5618,colegios!$A$2:$A5618=L4688)"),"50492 CORAZON DE JESUS")</f>
        <v>50492 CORAZON DE JESUS</v>
      </c>
      <c r="F4688" s="14" t="s">
        <v>16</v>
      </c>
      <c r="G4688" s="20" t="s">
        <v>21</v>
      </c>
      <c r="H4688" s="14" t="s">
        <v>24</v>
      </c>
      <c r="I4688" s="22">
        <v>2022.0</v>
      </c>
      <c r="J4688" s="16" t="str">
        <f>IFERROR(__xludf.DUMMYFUNCTION("FILTER('CLASFICACIÓN'!$F$3:$F5618,'CLASFICACIÓN'!$G$3:$G5618=M4688)"),"LOS 3 AÑOS")</f>
        <v>LOS 3 AÑOS</v>
      </c>
      <c r="K4688" s="16"/>
      <c r="L4688" s="14" t="s">
        <v>189</v>
      </c>
      <c r="M4688" s="16" t="str">
        <f t="shared" si="1"/>
        <v>50492 CORAZON DE JESUS4 Primaria</v>
      </c>
      <c r="N4688" s="23"/>
      <c r="O4688" s="17"/>
      <c r="P4688" s="17"/>
      <c r="Q4688" s="17"/>
      <c r="R4688" s="17"/>
      <c r="S4688" s="17"/>
      <c r="T4688" s="17"/>
    </row>
    <row r="4689">
      <c r="A4689" s="21">
        <v>817.0</v>
      </c>
      <c r="B4689" s="14" t="s">
        <v>90</v>
      </c>
      <c r="C4689" s="14" t="s">
        <v>14</v>
      </c>
      <c r="D4689" s="20" t="s">
        <v>20</v>
      </c>
      <c r="E4689" s="12" t="str">
        <f>IFERROR(__xludf.DUMMYFUNCTION("FILTER(colegios!$B$2:$B5618,colegios!$A$2:$A5618=L4689)"),"50492 CORAZON DE JESUS")</f>
        <v>50492 CORAZON DE JESUS</v>
      </c>
      <c r="F4689" s="14" t="s">
        <v>16</v>
      </c>
      <c r="G4689" s="20" t="s">
        <v>21</v>
      </c>
      <c r="H4689" s="14" t="s">
        <v>24</v>
      </c>
      <c r="I4689" s="22">
        <v>2022.0</v>
      </c>
      <c r="J4689" s="16" t="str">
        <f>IFERROR(__xludf.DUMMYFUNCTION("FILTER('CLASFICACIÓN'!$F$3:$F5618,'CLASFICACIÓN'!$G$3:$G5618=M4689)"),"LOS 3 AÑOS")</f>
        <v>LOS 3 AÑOS</v>
      </c>
      <c r="K4689" s="16"/>
      <c r="L4689" s="14" t="s">
        <v>189</v>
      </c>
      <c r="M4689" s="16" t="str">
        <f t="shared" si="1"/>
        <v>50492 CORAZON DE JESUS4 Primaria</v>
      </c>
      <c r="N4689" s="23"/>
      <c r="O4689" s="17"/>
      <c r="P4689" s="17"/>
      <c r="Q4689" s="17"/>
      <c r="R4689" s="17"/>
      <c r="S4689" s="17"/>
      <c r="T4689" s="17"/>
    </row>
    <row r="4690">
      <c r="A4690" s="21">
        <v>818.0</v>
      </c>
      <c r="B4690" s="14" t="s">
        <v>90</v>
      </c>
      <c r="C4690" s="14" t="s">
        <v>14</v>
      </c>
      <c r="D4690" s="20" t="s">
        <v>20</v>
      </c>
      <c r="E4690" s="12" t="str">
        <f>IFERROR(__xludf.DUMMYFUNCTION("FILTER(colegios!$B$2:$B5618,colegios!$A$2:$A5618=L4690)"),"50492 CORAZON DE JESUS")</f>
        <v>50492 CORAZON DE JESUS</v>
      </c>
      <c r="F4690" s="14" t="s">
        <v>16</v>
      </c>
      <c r="G4690" s="20" t="s">
        <v>17</v>
      </c>
      <c r="H4690" s="14" t="s">
        <v>24</v>
      </c>
      <c r="I4690" s="22">
        <v>2022.0</v>
      </c>
      <c r="J4690" s="16" t="str">
        <f>IFERROR(__xludf.DUMMYFUNCTION("FILTER('CLASFICACIÓN'!$F$3:$F5618,'CLASFICACIÓN'!$G$3:$G5618=M4690)"),"LOS 3 AÑOS")</f>
        <v>LOS 3 AÑOS</v>
      </c>
      <c r="K4690" s="16"/>
      <c r="L4690" s="14" t="s">
        <v>189</v>
      </c>
      <c r="M4690" s="16" t="str">
        <f t="shared" si="1"/>
        <v>50492 CORAZON DE JESUS4 Primaria</v>
      </c>
      <c r="N4690" s="23"/>
      <c r="O4690" s="17"/>
      <c r="P4690" s="17"/>
      <c r="Q4690" s="17"/>
      <c r="R4690" s="17"/>
      <c r="S4690" s="17"/>
      <c r="T4690" s="17"/>
    </row>
    <row r="4691">
      <c r="A4691" s="21">
        <v>819.0</v>
      </c>
      <c r="B4691" s="14" t="s">
        <v>90</v>
      </c>
      <c r="C4691" s="14" t="s">
        <v>14</v>
      </c>
      <c r="D4691" s="20" t="s">
        <v>20</v>
      </c>
      <c r="E4691" s="12" t="str">
        <f>IFERROR(__xludf.DUMMYFUNCTION("FILTER(colegios!$B$2:$B5618,colegios!$A$2:$A5618=L4691)"),"50492 CORAZON DE JESUS")</f>
        <v>50492 CORAZON DE JESUS</v>
      </c>
      <c r="F4691" s="14" t="s">
        <v>16</v>
      </c>
      <c r="G4691" s="20" t="s">
        <v>17</v>
      </c>
      <c r="H4691" s="14" t="s">
        <v>24</v>
      </c>
      <c r="I4691" s="22">
        <v>2022.0</v>
      </c>
      <c r="J4691" s="16" t="str">
        <f>IFERROR(__xludf.DUMMYFUNCTION("FILTER('CLASFICACIÓN'!$F$3:$F5618,'CLASFICACIÓN'!$G$3:$G5618=M4691)"),"LOS 3 AÑOS")</f>
        <v>LOS 3 AÑOS</v>
      </c>
      <c r="K4691" s="16"/>
      <c r="L4691" s="14" t="s">
        <v>189</v>
      </c>
      <c r="M4691" s="16" t="str">
        <f t="shared" si="1"/>
        <v>50492 CORAZON DE JESUS4 Primaria</v>
      </c>
      <c r="N4691" s="23"/>
      <c r="O4691" s="17"/>
      <c r="P4691" s="17"/>
      <c r="Q4691" s="17"/>
      <c r="R4691" s="17"/>
      <c r="S4691" s="17"/>
      <c r="T4691" s="17"/>
    </row>
    <row r="4692">
      <c r="A4692" s="21">
        <v>820.0</v>
      </c>
      <c r="B4692" s="14" t="s">
        <v>90</v>
      </c>
      <c r="C4692" s="14" t="s">
        <v>14</v>
      </c>
      <c r="D4692" s="20" t="s">
        <v>20</v>
      </c>
      <c r="E4692" s="12" t="str">
        <f>IFERROR(__xludf.DUMMYFUNCTION("FILTER(colegios!$B$2:$B5618,colegios!$A$2:$A5618=L4692)"),"50492 CORAZON DE JESUS")</f>
        <v>50492 CORAZON DE JESUS</v>
      </c>
      <c r="F4692" s="14" t="s">
        <v>16</v>
      </c>
      <c r="G4692" s="20" t="s">
        <v>17</v>
      </c>
      <c r="H4692" s="14" t="s">
        <v>24</v>
      </c>
      <c r="I4692" s="22">
        <v>2022.0</v>
      </c>
      <c r="J4692" s="16" t="str">
        <f>IFERROR(__xludf.DUMMYFUNCTION("FILTER('CLASFICACIÓN'!$F$3:$F5618,'CLASFICACIÓN'!$G$3:$G5618=M4692)"),"LOS 3 AÑOS")</f>
        <v>LOS 3 AÑOS</v>
      </c>
      <c r="K4692" s="16"/>
      <c r="L4692" s="14" t="s">
        <v>189</v>
      </c>
      <c r="M4692" s="16" t="str">
        <f t="shared" si="1"/>
        <v>50492 CORAZON DE JESUS4 Primaria</v>
      </c>
      <c r="N4692" s="23"/>
      <c r="O4692" s="17"/>
      <c r="P4692" s="17"/>
      <c r="Q4692" s="17"/>
      <c r="R4692" s="17"/>
      <c r="S4692" s="17"/>
      <c r="T4692" s="17"/>
    </row>
    <row r="4693">
      <c r="A4693" s="21">
        <v>821.0</v>
      </c>
      <c r="B4693" s="14" t="s">
        <v>90</v>
      </c>
      <c r="C4693" s="14" t="s">
        <v>14</v>
      </c>
      <c r="D4693" s="20" t="s">
        <v>20</v>
      </c>
      <c r="E4693" s="12" t="str">
        <f>IFERROR(__xludf.DUMMYFUNCTION("FILTER(colegios!$B$2:$B5618,colegios!$A$2:$A5618=L4693)"),"50492 CORAZON DE JESUS")</f>
        <v>50492 CORAZON DE JESUS</v>
      </c>
      <c r="F4693" s="14" t="s">
        <v>16</v>
      </c>
      <c r="G4693" s="20" t="s">
        <v>21</v>
      </c>
      <c r="H4693" s="14" t="s">
        <v>24</v>
      </c>
      <c r="I4693" s="22">
        <v>2022.0</v>
      </c>
      <c r="J4693" s="16" t="str">
        <f>IFERROR(__xludf.DUMMYFUNCTION("FILTER('CLASFICACIÓN'!$F$3:$F5618,'CLASFICACIÓN'!$G$3:$G5618=M4693)"),"LOS 3 AÑOS")</f>
        <v>LOS 3 AÑOS</v>
      </c>
      <c r="K4693" s="16"/>
      <c r="L4693" s="14" t="s">
        <v>189</v>
      </c>
      <c r="M4693" s="16" t="str">
        <f t="shared" si="1"/>
        <v>50492 CORAZON DE JESUS4 Primaria</v>
      </c>
      <c r="N4693" s="23"/>
      <c r="O4693" s="17"/>
      <c r="P4693" s="17"/>
      <c r="Q4693" s="17"/>
      <c r="R4693" s="17"/>
      <c r="S4693" s="17"/>
      <c r="T4693" s="17"/>
    </row>
    <row r="4694">
      <c r="A4694" s="21">
        <v>822.0</v>
      </c>
      <c r="B4694" s="14" t="s">
        <v>90</v>
      </c>
      <c r="C4694" s="14" t="s">
        <v>14</v>
      </c>
      <c r="D4694" s="20" t="s">
        <v>20</v>
      </c>
      <c r="E4694" s="12" t="str">
        <f>IFERROR(__xludf.DUMMYFUNCTION("FILTER(colegios!$B$2:$B5618,colegios!$A$2:$A5618=L4694)"),"50492 CORAZON DE JESUS")</f>
        <v>50492 CORAZON DE JESUS</v>
      </c>
      <c r="F4694" s="14" t="s">
        <v>16</v>
      </c>
      <c r="G4694" s="20" t="s">
        <v>21</v>
      </c>
      <c r="H4694" s="14" t="s">
        <v>24</v>
      </c>
      <c r="I4694" s="22">
        <v>2022.0</v>
      </c>
      <c r="J4694" s="16" t="str">
        <f>IFERROR(__xludf.DUMMYFUNCTION("FILTER('CLASFICACIÓN'!$F$3:$F5618,'CLASFICACIÓN'!$G$3:$G5618=M4694)"),"LOS 3 AÑOS")</f>
        <v>LOS 3 AÑOS</v>
      </c>
      <c r="K4694" s="16"/>
      <c r="L4694" s="14" t="s">
        <v>189</v>
      </c>
      <c r="M4694" s="16" t="str">
        <f t="shared" si="1"/>
        <v>50492 CORAZON DE JESUS4 Primaria</v>
      </c>
      <c r="N4694" s="23"/>
      <c r="O4694" s="17"/>
      <c r="P4694" s="17"/>
      <c r="Q4694" s="17"/>
      <c r="R4694" s="17"/>
      <c r="S4694" s="17"/>
      <c r="T4694" s="17"/>
    </row>
    <row r="4695">
      <c r="A4695" s="21">
        <v>823.0</v>
      </c>
      <c r="B4695" s="14" t="s">
        <v>90</v>
      </c>
      <c r="C4695" s="14" t="s">
        <v>14</v>
      </c>
      <c r="D4695" s="20" t="s">
        <v>20</v>
      </c>
      <c r="E4695" s="12" t="str">
        <f>IFERROR(__xludf.DUMMYFUNCTION("FILTER(colegios!$B$2:$B5618,colegios!$A$2:$A5618=L4695)"),"50492 CORAZON DE JESUS")</f>
        <v>50492 CORAZON DE JESUS</v>
      </c>
      <c r="F4695" s="14" t="s">
        <v>16</v>
      </c>
      <c r="G4695" s="20" t="s">
        <v>17</v>
      </c>
      <c r="H4695" s="14" t="s">
        <v>24</v>
      </c>
      <c r="I4695" s="22">
        <v>2022.0</v>
      </c>
      <c r="J4695" s="16" t="str">
        <f>IFERROR(__xludf.DUMMYFUNCTION("FILTER('CLASFICACIÓN'!$F$3:$F5618,'CLASFICACIÓN'!$G$3:$G5618=M4695)"),"LOS 3 AÑOS")</f>
        <v>LOS 3 AÑOS</v>
      </c>
      <c r="K4695" s="16"/>
      <c r="L4695" s="14" t="s">
        <v>189</v>
      </c>
      <c r="M4695" s="16" t="str">
        <f t="shared" si="1"/>
        <v>50492 CORAZON DE JESUS4 Primaria</v>
      </c>
      <c r="N4695" s="23"/>
      <c r="O4695" s="17"/>
      <c r="P4695" s="17"/>
      <c r="Q4695" s="17"/>
      <c r="R4695" s="17"/>
      <c r="S4695" s="17"/>
      <c r="T4695" s="17"/>
    </row>
    <row r="4696">
      <c r="A4696" s="21">
        <v>824.0</v>
      </c>
      <c r="B4696" s="14" t="s">
        <v>90</v>
      </c>
      <c r="C4696" s="14" t="s">
        <v>14</v>
      </c>
      <c r="D4696" s="20" t="s">
        <v>20</v>
      </c>
      <c r="E4696" s="12" t="str">
        <f>IFERROR(__xludf.DUMMYFUNCTION("FILTER(colegios!$B$2:$B5618,colegios!$A$2:$A5618=L4696)"),"50492 CORAZON DE JESUS")</f>
        <v>50492 CORAZON DE JESUS</v>
      </c>
      <c r="F4696" s="14" t="s">
        <v>16</v>
      </c>
      <c r="G4696" s="20" t="s">
        <v>21</v>
      </c>
      <c r="H4696" s="14" t="s">
        <v>24</v>
      </c>
      <c r="I4696" s="22">
        <v>2022.0</v>
      </c>
      <c r="J4696" s="16" t="str">
        <f>IFERROR(__xludf.DUMMYFUNCTION("FILTER('CLASFICACIÓN'!$F$3:$F5618,'CLASFICACIÓN'!$G$3:$G5618=M4696)"),"LOS 3 AÑOS")</f>
        <v>LOS 3 AÑOS</v>
      </c>
      <c r="K4696" s="16"/>
      <c r="L4696" s="14" t="s">
        <v>189</v>
      </c>
      <c r="M4696" s="16" t="str">
        <f t="shared" si="1"/>
        <v>50492 CORAZON DE JESUS4 Primaria</v>
      </c>
      <c r="N4696" s="23"/>
      <c r="O4696" s="17"/>
      <c r="P4696" s="17"/>
      <c r="Q4696" s="17"/>
      <c r="R4696" s="17"/>
      <c r="S4696" s="17"/>
      <c r="T4696" s="17"/>
    </row>
    <row r="4697">
      <c r="A4697" s="21">
        <v>825.0</v>
      </c>
      <c r="B4697" s="14" t="s">
        <v>90</v>
      </c>
      <c r="C4697" s="14" t="s">
        <v>14</v>
      </c>
      <c r="D4697" s="20" t="s">
        <v>20</v>
      </c>
      <c r="E4697" s="12" t="str">
        <f>IFERROR(__xludf.DUMMYFUNCTION("FILTER(colegios!$B$2:$B5618,colegios!$A$2:$A5618=L4697)"),"50492 CORAZON DE JESUS")</f>
        <v>50492 CORAZON DE JESUS</v>
      </c>
      <c r="F4697" s="14" t="s">
        <v>16</v>
      </c>
      <c r="G4697" s="20" t="s">
        <v>21</v>
      </c>
      <c r="H4697" s="14" t="s">
        <v>24</v>
      </c>
      <c r="I4697" s="22">
        <v>2022.0</v>
      </c>
      <c r="J4697" s="16" t="str">
        <f>IFERROR(__xludf.DUMMYFUNCTION("FILTER('CLASFICACIÓN'!$F$3:$F5618,'CLASFICACIÓN'!$G$3:$G5618=M4697)"),"LOS 3 AÑOS")</f>
        <v>LOS 3 AÑOS</v>
      </c>
      <c r="K4697" s="16"/>
      <c r="L4697" s="14" t="s">
        <v>189</v>
      </c>
      <c r="M4697" s="16" t="str">
        <f t="shared" si="1"/>
        <v>50492 CORAZON DE JESUS4 Primaria</v>
      </c>
      <c r="N4697" s="23"/>
      <c r="O4697" s="17"/>
      <c r="P4697" s="17"/>
      <c r="Q4697" s="17"/>
      <c r="R4697" s="17"/>
      <c r="S4697" s="17"/>
      <c r="T4697" s="17"/>
    </row>
    <row r="4698">
      <c r="A4698" s="21">
        <v>826.0</v>
      </c>
      <c r="B4698" s="14" t="s">
        <v>90</v>
      </c>
      <c r="C4698" s="14" t="s">
        <v>14</v>
      </c>
      <c r="D4698" s="20" t="s">
        <v>20</v>
      </c>
      <c r="E4698" s="12" t="str">
        <f>IFERROR(__xludf.DUMMYFUNCTION("FILTER(colegios!$B$2:$B5618,colegios!$A$2:$A5618=L4698)"),"50492 CORAZON DE JESUS")</f>
        <v>50492 CORAZON DE JESUS</v>
      </c>
      <c r="F4698" s="14" t="s">
        <v>16</v>
      </c>
      <c r="G4698" s="20" t="s">
        <v>17</v>
      </c>
      <c r="H4698" s="14" t="s">
        <v>24</v>
      </c>
      <c r="I4698" s="22">
        <v>2022.0</v>
      </c>
      <c r="J4698" s="16" t="str">
        <f>IFERROR(__xludf.DUMMYFUNCTION("FILTER('CLASFICACIÓN'!$F$3:$F5618,'CLASFICACIÓN'!$G$3:$G5618=M4698)"),"LOS 3 AÑOS")</f>
        <v>LOS 3 AÑOS</v>
      </c>
      <c r="K4698" s="16"/>
      <c r="L4698" s="14" t="s">
        <v>189</v>
      </c>
      <c r="M4698" s="16" t="str">
        <f t="shared" si="1"/>
        <v>50492 CORAZON DE JESUS4 Primaria</v>
      </c>
      <c r="N4698" s="23"/>
      <c r="O4698" s="17"/>
      <c r="P4698" s="17"/>
      <c r="Q4698" s="17"/>
      <c r="R4698" s="17"/>
      <c r="S4698" s="17"/>
      <c r="T4698" s="17"/>
    </row>
    <row r="4699">
      <c r="A4699" s="21">
        <v>827.0</v>
      </c>
      <c r="B4699" s="14" t="s">
        <v>90</v>
      </c>
      <c r="C4699" s="14" t="s">
        <v>14</v>
      </c>
      <c r="D4699" s="20" t="s">
        <v>20</v>
      </c>
      <c r="E4699" s="12" t="str">
        <f>IFERROR(__xludf.DUMMYFUNCTION("FILTER(colegios!$B$2:$B5618,colegios!$A$2:$A5618=L4699)"),"50492 CORAZON DE JESUS")</f>
        <v>50492 CORAZON DE JESUS</v>
      </c>
      <c r="F4699" s="14" t="s">
        <v>16</v>
      </c>
      <c r="G4699" s="20" t="s">
        <v>21</v>
      </c>
      <c r="H4699" s="14" t="s">
        <v>24</v>
      </c>
      <c r="I4699" s="22">
        <v>2022.0</v>
      </c>
      <c r="J4699" s="16" t="str">
        <f>IFERROR(__xludf.DUMMYFUNCTION("FILTER('CLASFICACIÓN'!$F$3:$F5618,'CLASFICACIÓN'!$G$3:$G5618=M4699)"),"LOS 3 AÑOS")</f>
        <v>LOS 3 AÑOS</v>
      </c>
      <c r="K4699" s="16"/>
      <c r="L4699" s="14" t="s">
        <v>189</v>
      </c>
      <c r="M4699" s="16" t="str">
        <f t="shared" si="1"/>
        <v>50492 CORAZON DE JESUS4 Primaria</v>
      </c>
      <c r="N4699" s="23"/>
      <c r="O4699" s="17"/>
      <c r="P4699" s="17"/>
      <c r="Q4699" s="17"/>
      <c r="R4699" s="17"/>
      <c r="S4699" s="17"/>
      <c r="T4699" s="17"/>
    </row>
    <row r="4700">
      <c r="A4700" s="21">
        <v>828.0</v>
      </c>
      <c r="B4700" s="14" t="s">
        <v>90</v>
      </c>
      <c r="C4700" s="14" t="s">
        <v>14</v>
      </c>
      <c r="D4700" s="20" t="s">
        <v>20</v>
      </c>
      <c r="E4700" s="12" t="str">
        <f>IFERROR(__xludf.DUMMYFUNCTION("FILTER(colegios!$B$2:$B5618,colegios!$A$2:$A5618=L4700)"),"50492 CORAZON DE JESUS")</f>
        <v>50492 CORAZON DE JESUS</v>
      </c>
      <c r="F4700" s="14" t="s">
        <v>16</v>
      </c>
      <c r="G4700" s="20" t="s">
        <v>17</v>
      </c>
      <c r="H4700" s="14" t="s">
        <v>24</v>
      </c>
      <c r="I4700" s="22">
        <v>2022.0</v>
      </c>
      <c r="J4700" s="16" t="str">
        <f>IFERROR(__xludf.DUMMYFUNCTION("FILTER('CLASFICACIÓN'!$F$3:$F5618,'CLASFICACIÓN'!$G$3:$G5618=M4700)"),"LOS 3 AÑOS")</f>
        <v>LOS 3 AÑOS</v>
      </c>
      <c r="K4700" s="16"/>
      <c r="L4700" s="14" t="s">
        <v>189</v>
      </c>
      <c r="M4700" s="16" t="str">
        <f t="shared" si="1"/>
        <v>50492 CORAZON DE JESUS4 Primaria</v>
      </c>
      <c r="N4700" s="23"/>
      <c r="O4700" s="17"/>
      <c r="P4700" s="17"/>
      <c r="Q4700" s="17"/>
      <c r="R4700" s="17"/>
      <c r="S4700" s="17"/>
      <c r="T4700" s="17"/>
    </row>
    <row r="4701">
      <c r="A4701" s="21">
        <v>829.0</v>
      </c>
      <c r="B4701" s="14" t="s">
        <v>90</v>
      </c>
      <c r="C4701" s="14" t="s">
        <v>14</v>
      </c>
      <c r="D4701" s="20" t="s">
        <v>20</v>
      </c>
      <c r="E4701" s="12" t="str">
        <f>IFERROR(__xludf.DUMMYFUNCTION("FILTER(colegios!$B$2:$B5618,colegios!$A$2:$A5618=L4701)"),"50492 CORAZON DE JESUS")</f>
        <v>50492 CORAZON DE JESUS</v>
      </c>
      <c r="F4701" s="14" t="s">
        <v>16</v>
      </c>
      <c r="G4701" s="20" t="s">
        <v>17</v>
      </c>
      <c r="H4701" s="14" t="s">
        <v>32</v>
      </c>
      <c r="I4701" s="22">
        <v>2022.0</v>
      </c>
      <c r="J4701" s="16" t="str">
        <f>IFERROR(__xludf.DUMMYFUNCTION("FILTER('CLASFICACIÓN'!$F$3:$F5618,'CLASFICACIÓN'!$G$3:$G5618=M4701)"),"LOS 3 AÑOS")</f>
        <v>LOS 3 AÑOS</v>
      </c>
      <c r="K4701" s="16"/>
      <c r="L4701" s="14" t="s">
        <v>189</v>
      </c>
      <c r="M4701" s="16" t="str">
        <f t="shared" si="1"/>
        <v>50492 CORAZON DE JESUS4 Primaria</v>
      </c>
      <c r="N4701" s="23"/>
      <c r="O4701" s="17"/>
      <c r="P4701" s="17"/>
      <c r="Q4701" s="17"/>
      <c r="R4701" s="17"/>
      <c r="S4701" s="17"/>
      <c r="T4701" s="17"/>
    </row>
    <row r="4702">
      <c r="A4702" s="21">
        <v>830.0</v>
      </c>
      <c r="B4702" s="14" t="s">
        <v>90</v>
      </c>
      <c r="C4702" s="14" t="s">
        <v>14</v>
      </c>
      <c r="D4702" s="20" t="s">
        <v>20</v>
      </c>
      <c r="E4702" s="12" t="str">
        <f>IFERROR(__xludf.DUMMYFUNCTION("FILTER(colegios!$B$2:$B5618,colegios!$A$2:$A5618=L4702)"),"50492 CORAZON DE JESUS")</f>
        <v>50492 CORAZON DE JESUS</v>
      </c>
      <c r="F4702" s="14" t="s">
        <v>16</v>
      </c>
      <c r="G4702" s="20" t="s">
        <v>17</v>
      </c>
      <c r="H4702" s="14" t="s">
        <v>32</v>
      </c>
      <c r="I4702" s="22">
        <v>2022.0</v>
      </c>
      <c r="J4702" s="16" t="str">
        <f>IFERROR(__xludf.DUMMYFUNCTION("FILTER('CLASFICACIÓN'!$F$3:$F5618,'CLASFICACIÓN'!$G$3:$G5618=M4702)"),"LOS 3 AÑOS")</f>
        <v>LOS 3 AÑOS</v>
      </c>
      <c r="K4702" s="16"/>
      <c r="L4702" s="14" t="s">
        <v>189</v>
      </c>
      <c r="M4702" s="16" t="str">
        <f t="shared" si="1"/>
        <v>50492 CORAZON DE JESUS4 Primaria</v>
      </c>
      <c r="N4702" s="23"/>
      <c r="O4702" s="17"/>
      <c r="P4702" s="17"/>
      <c r="Q4702" s="17"/>
      <c r="R4702" s="17"/>
      <c r="S4702" s="17"/>
      <c r="T4702" s="17"/>
    </row>
    <row r="4703">
      <c r="A4703" s="21">
        <v>831.0</v>
      </c>
      <c r="B4703" s="14" t="s">
        <v>90</v>
      </c>
      <c r="C4703" s="14" t="s">
        <v>14</v>
      </c>
      <c r="D4703" s="20" t="s">
        <v>20</v>
      </c>
      <c r="E4703" s="12" t="str">
        <f>IFERROR(__xludf.DUMMYFUNCTION("FILTER(colegios!$B$2:$B5618,colegios!$A$2:$A5618=L4703)"),"50492 CORAZON DE JESUS")</f>
        <v>50492 CORAZON DE JESUS</v>
      </c>
      <c r="F4703" s="14" t="s">
        <v>16</v>
      </c>
      <c r="G4703" s="20" t="s">
        <v>21</v>
      </c>
      <c r="H4703" s="14" t="s">
        <v>32</v>
      </c>
      <c r="I4703" s="22">
        <v>2022.0</v>
      </c>
      <c r="J4703" s="16" t="str">
        <f>IFERROR(__xludf.DUMMYFUNCTION("FILTER('CLASFICACIÓN'!$F$3:$F5618,'CLASFICACIÓN'!$G$3:$G5618=M4703)"),"LOS 3 AÑOS")</f>
        <v>LOS 3 AÑOS</v>
      </c>
      <c r="K4703" s="16"/>
      <c r="L4703" s="14" t="s">
        <v>189</v>
      </c>
      <c r="M4703" s="16" t="str">
        <f t="shared" si="1"/>
        <v>50492 CORAZON DE JESUS4 Primaria</v>
      </c>
      <c r="N4703" s="23"/>
      <c r="O4703" s="17"/>
      <c r="P4703" s="17"/>
      <c r="Q4703" s="17"/>
      <c r="R4703" s="17"/>
      <c r="S4703" s="17"/>
      <c r="T4703" s="17"/>
    </row>
    <row r="4704">
      <c r="A4704" s="21">
        <v>832.0</v>
      </c>
      <c r="B4704" s="14" t="s">
        <v>90</v>
      </c>
      <c r="C4704" s="14" t="s">
        <v>14</v>
      </c>
      <c r="D4704" s="20" t="s">
        <v>20</v>
      </c>
      <c r="E4704" s="12" t="str">
        <f>IFERROR(__xludf.DUMMYFUNCTION("FILTER(colegios!$B$2:$B5618,colegios!$A$2:$A5618=L4704)"),"50492 CORAZON DE JESUS")</f>
        <v>50492 CORAZON DE JESUS</v>
      </c>
      <c r="F4704" s="14" t="s">
        <v>16</v>
      </c>
      <c r="G4704" s="20" t="s">
        <v>17</v>
      </c>
      <c r="H4704" s="14" t="s">
        <v>32</v>
      </c>
      <c r="I4704" s="22">
        <v>2022.0</v>
      </c>
      <c r="J4704" s="16" t="str">
        <f>IFERROR(__xludf.DUMMYFUNCTION("FILTER('CLASFICACIÓN'!$F$3:$F5618,'CLASFICACIÓN'!$G$3:$G5618=M4704)"),"LOS 3 AÑOS")</f>
        <v>LOS 3 AÑOS</v>
      </c>
      <c r="K4704" s="16"/>
      <c r="L4704" s="14" t="s">
        <v>189</v>
      </c>
      <c r="M4704" s="16" t="str">
        <f t="shared" si="1"/>
        <v>50492 CORAZON DE JESUS4 Primaria</v>
      </c>
      <c r="N4704" s="23"/>
      <c r="O4704" s="17"/>
      <c r="P4704" s="17"/>
      <c r="Q4704" s="17"/>
      <c r="R4704" s="17"/>
      <c r="S4704" s="17"/>
      <c r="T4704" s="17"/>
    </row>
    <row r="4705">
      <c r="A4705" s="21">
        <v>833.0</v>
      </c>
      <c r="B4705" s="14" t="s">
        <v>90</v>
      </c>
      <c r="C4705" s="14" t="s">
        <v>14</v>
      </c>
      <c r="D4705" s="20" t="s">
        <v>20</v>
      </c>
      <c r="E4705" s="12" t="str">
        <f>IFERROR(__xludf.DUMMYFUNCTION("FILTER(colegios!$B$2:$B5618,colegios!$A$2:$A5618=L4705)"),"50492 CORAZON DE JESUS")</f>
        <v>50492 CORAZON DE JESUS</v>
      </c>
      <c r="F4705" s="14" t="s">
        <v>16</v>
      </c>
      <c r="G4705" s="20" t="s">
        <v>17</v>
      </c>
      <c r="H4705" s="14" t="s">
        <v>32</v>
      </c>
      <c r="I4705" s="22">
        <v>2022.0</v>
      </c>
      <c r="J4705" s="16" t="str">
        <f>IFERROR(__xludf.DUMMYFUNCTION("FILTER('CLASFICACIÓN'!$F$3:$F5618,'CLASFICACIÓN'!$G$3:$G5618=M4705)"),"LOS 3 AÑOS")</f>
        <v>LOS 3 AÑOS</v>
      </c>
      <c r="K4705" s="16"/>
      <c r="L4705" s="14" t="s">
        <v>189</v>
      </c>
      <c r="M4705" s="16" t="str">
        <f t="shared" si="1"/>
        <v>50492 CORAZON DE JESUS4 Primaria</v>
      </c>
      <c r="N4705" s="23"/>
      <c r="O4705" s="17"/>
      <c r="P4705" s="17"/>
      <c r="Q4705" s="17"/>
      <c r="R4705" s="17"/>
      <c r="S4705" s="17"/>
      <c r="T4705" s="17"/>
    </row>
    <row r="4706">
      <c r="A4706" s="21">
        <v>834.0</v>
      </c>
      <c r="B4706" s="14" t="s">
        <v>90</v>
      </c>
      <c r="C4706" s="14" t="s">
        <v>14</v>
      </c>
      <c r="D4706" s="20" t="s">
        <v>20</v>
      </c>
      <c r="E4706" s="12" t="str">
        <f>IFERROR(__xludf.DUMMYFUNCTION("FILTER(colegios!$B$2:$B5618,colegios!$A$2:$A5618=L4706)"),"501455 CRISTO REY TTIKARIY")</f>
        <v>501455 CRISTO REY TTIKARIY</v>
      </c>
      <c r="F4706" s="14" t="s">
        <v>16</v>
      </c>
      <c r="G4706" s="20" t="s">
        <v>17</v>
      </c>
      <c r="H4706" s="14" t="s">
        <v>18</v>
      </c>
      <c r="I4706" s="22">
        <v>2022.0</v>
      </c>
      <c r="J4706" s="16" t="str">
        <f>IFERROR(__xludf.DUMMYFUNCTION("FILTER('CLASFICACIÓN'!$F$3:$F5618,'CLASFICACIÓN'!$G$3:$G5618=M4706)"),"LOS 3 AÑOS")</f>
        <v>LOS 3 AÑOS</v>
      </c>
      <c r="K4706" s="16"/>
      <c r="L4706" s="14" t="s">
        <v>190</v>
      </c>
      <c r="M4706" s="16" t="str">
        <f t="shared" si="1"/>
        <v>501455 CRISTO REY TTIKARIY4 Primaria</v>
      </c>
      <c r="N4706" s="23"/>
      <c r="O4706" s="17"/>
      <c r="P4706" s="17"/>
      <c r="Q4706" s="17"/>
      <c r="R4706" s="17"/>
      <c r="S4706" s="17"/>
      <c r="T4706" s="17"/>
    </row>
    <row r="4707">
      <c r="A4707" s="21">
        <v>835.0</v>
      </c>
      <c r="B4707" s="14" t="s">
        <v>90</v>
      </c>
      <c r="C4707" s="14" t="s">
        <v>14</v>
      </c>
      <c r="D4707" s="20" t="s">
        <v>20</v>
      </c>
      <c r="E4707" s="12" t="str">
        <f>IFERROR(__xludf.DUMMYFUNCTION("FILTER(colegios!$B$2:$B5618,colegios!$A$2:$A5618=L4707)"),"501455 CRISTO REY TTIKARIY")</f>
        <v>501455 CRISTO REY TTIKARIY</v>
      </c>
      <c r="F4707" s="14" t="s">
        <v>16</v>
      </c>
      <c r="G4707" s="20" t="s">
        <v>21</v>
      </c>
      <c r="H4707" s="14" t="s">
        <v>18</v>
      </c>
      <c r="I4707" s="22">
        <v>2022.0</v>
      </c>
      <c r="J4707" s="16" t="str">
        <f>IFERROR(__xludf.DUMMYFUNCTION("FILTER('CLASFICACIÓN'!$F$3:$F5618,'CLASFICACIÓN'!$G$3:$G5618=M4707)"),"LOS 3 AÑOS")</f>
        <v>LOS 3 AÑOS</v>
      </c>
      <c r="K4707" s="16"/>
      <c r="L4707" s="14" t="s">
        <v>190</v>
      </c>
      <c r="M4707" s="16" t="str">
        <f t="shared" si="1"/>
        <v>501455 CRISTO REY TTIKARIY4 Primaria</v>
      </c>
      <c r="N4707" s="23"/>
      <c r="O4707" s="17"/>
      <c r="P4707" s="17"/>
      <c r="Q4707" s="17"/>
      <c r="R4707" s="17"/>
      <c r="S4707" s="17"/>
      <c r="T4707" s="17"/>
    </row>
    <row r="4708">
      <c r="A4708" s="21">
        <v>836.0</v>
      </c>
      <c r="B4708" s="14" t="s">
        <v>90</v>
      </c>
      <c r="C4708" s="14" t="s">
        <v>14</v>
      </c>
      <c r="D4708" s="20" t="s">
        <v>20</v>
      </c>
      <c r="E4708" s="12" t="str">
        <f>IFERROR(__xludf.DUMMYFUNCTION("FILTER(colegios!$B$2:$B5618,colegios!$A$2:$A5618=L4708)"),"501455 CRISTO REY TTIKARIY")</f>
        <v>501455 CRISTO REY TTIKARIY</v>
      </c>
      <c r="F4708" s="14" t="s">
        <v>16</v>
      </c>
      <c r="G4708" s="20" t="s">
        <v>21</v>
      </c>
      <c r="H4708" s="14" t="s">
        <v>18</v>
      </c>
      <c r="I4708" s="22">
        <v>2022.0</v>
      </c>
      <c r="J4708" s="16" t="str">
        <f>IFERROR(__xludf.DUMMYFUNCTION("FILTER('CLASFICACIÓN'!$F$3:$F5618,'CLASFICACIÓN'!$G$3:$G5618=M4708)"),"LOS 3 AÑOS")</f>
        <v>LOS 3 AÑOS</v>
      </c>
      <c r="K4708" s="16"/>
      <c r="L4708" s="14" t="s">
        <v>190</v>
      </c>
      <c r="M4708" s="16" t="str">
        <f t="shared" si="1"/>
        <v>501455 CRISTO REY TTIKARIY4 Primaria</v>
      </c>
      <c r="N4708" s="23"/>
      <c r="O4708" s="17"/>
      <c r="P4708" s="17"/>
      <c r="Q4708" s="17"/>
      <c r="R4708" s="17"/>
      <c r="S4708" s="17"/>
      <c r="T4708" s="17"/>
    </row>
    <row r="4709">
      <c r="A4709" s="21">
        <v>837.0</v>
      </c>
      <c r="B4709" s="14" t="s">
        <v>90</v>
      </c>
      <c r="C4709" s="14" t="s">
        <v>14</v>
      </c>
      <c r="D4709" s="20" t="s">
        <v>20</v>
      </c>
      <c r="E4709" s="12" t="str">
        <f>IFERROR(__xludf.DUMMYFUNCTION("FILTER(colegios!$B$2:$B5618,colegios!$A$2:$A5618=L4709)"),"501455 CRISTO REY TTIKARIY")</f>
        <v>501455 CRISTO REY TTIKARIY</v>
      </c>
      <c r="F4709" s="14" t="s">
        <v>16</v>
      </c>
      <c r="G4709" s="20" t="s">
        <v>21</v>
      </c>
      <c r="H4709" s="14" t="s">
        <v>18</v>
      </c>
      <c r="I4709" s="22">
        <v>2022.0</v>
      </c>
      <c r="J4709" s="16" t="str">
        <f>IFERROR(__xludf.DUMMYFUNCTION("FILTER('CLASFICACIÓN'!$F$3:$F5618,'CLASFICACIÓN'!$G$3:$G5618=M4709)"),"LOS 3 AÑOS")</f>
        <v>LOS 3 AÑOS</v>
      </c>
      <c r="K4709" s="16"/>
      <c r="L4709" s="14" t="s">
        <v>190</v>
      </c>
      <c r="M4709" s="16" t="str">
        <f t="shared" si="1"/>
        <v>501455 CRISTO REY TTIKARIY4 Primaria</v>
      </c>
      <c r="N4709" s="23"/>
      <c r="O4709" s="17"/>
      <c r="P4709" s="17"/>
      <c r="Q4709" s="17"/>
      <c r="R4709" s="17"/>
      <c r="S4709" s="17"/>
      <c r="T4709" s="17"/>
    </row>
    <row r="4710">
      <c r="A4710" s="21">
        <v>838.0</v>
      </c>
      <c r="B4710" s="14" t="s">
        <v>90</v>
      </c>
      <c r="C4710" s="14" t="s">
        <v>14</v>
      </c>
      <c r="D4710" s="20" t="s">
        <v>20</v>
      </c>
      <c r="E4710" s="12" t="str">
        <f>IFERROR(__xludf.DUMMYFUNCTION("FILTER(colegios!$B$2:$B5618,colegios!$A$2:$A5618=L4710)"),"501455 CRISTO REY TTIKARIY")</f>
        <v>501455 CRISTO REY TTIKARIY</v>
      </c>
      <c r="F4710" s="14" t="s">
        <v>16</v>
      </c>
      <c r="G4710" s="20" t="s">
        <v>17</v>
      </c>
      <c r="H4710" s="14" t="s">
        <v>18</v>
      </c>
      <c r="I4710" s="22">
        <v>2022.0</v>
      </c>
      <c r="J4710" s="16" t="str">
        <f>IFERROR(__xludf.DUMMYFUNCTION("FILTER('CLASFICACIÓN'!$F$3:$F5618,'CLASFICACIÓN'!$G$3:$G5618=M4710)"),"LOS 3 AÑOS")</f>
        <v>LOS 3 AÑOS</v>
      </c>
      <c r="K4710" s="16"/>
      <c r="L4710" s="14" t="s">
        <v>190</v>
      </c>
      <c r="M4710" s="16" t="str">
        <f t="shared" si="1"/>
        <v>501455 CRISTO REY TTIKARIY4 Primaria</v>
      </c>
      <c r="N4710" s="23"/>
      <c r="O4710" s="17"/>
      <c r="P4710" s="17"/>
      <c r="Q4710" s="17"/>
      <c r="R4710" s="17"/>
      <c r="S4710" s="17"/>
      <c r="T4710" s="17"/>
    </row>
    <row r="4711">
      <c r="A4711" s="21">
        <v>839.0</v>
      </c>
      <c r="B4711" s="14" t="s">
        <v>90</v>
      </c>
      <c r="C4711" s="14" t="s">
        <v>14</v>
      </c>
      <c r="D4711" s="20" t="s">
        <v>20</v>
      </c>
      <c r="E4711" s="12" t="str">
        <f>IFERROR(__xludf.DUMMYFUNCTION("FILTER(colegios!$B$2:$B5618,colegios!$A$2:$A5618=L4711)"),"501455 CRISTO REY TTIKARIY")</f>
        <v>501455 CRISTO REY TTIKARIY</v>
      </c>
      <c r="F4711" s="14" t="s">
        <v>16</v>
      </c>
      <c r="G4711" s="20" t="s">
        <v>17</v>
      </c>
      <c r="H4711" s="14" t="s">
        <v>18</v>
      </c>
      <c r="I4711" s="22">
        <v>2022.0</v>
      </c>
      <c r="J4711" s="16" t="str">
        <f>IFERROR(__xludf.DUMMYFUNCTION("FILTER('CLASFICACIÓN'!$F$3:$F5618,'CLASFICACIÓN'!$G$3:$G5618=M4711)"),"LOS 3 AÑOS")</f>
        <v>LOS 3 AÑOS</v>
      </c>
      <c r="K4711" s="16"/>
      <c r="L4711" s="14" t="s">
        <v>190</v>
      </c>
      <c r="M4711" s="16" t="str">
        <f t="shared" si="1"/>
        <v>501455 CRISTO REY TTIKARIY4 Primaria</v>
      </c>
      <c r="N4711" s="23"/>
      <c r="O4711" s="17"/>
      <c r="P4711" s="17"/>
      <c r="Q4711" s="17"/>
      <c r="R4711" s="17"/>
      <c r="S4711" s="17"/>
      <c r="T4711" s="17"/>
    </row>
    <row r="4712">
      <c r="A4712" s="21">
        <v>840.0</v>
      </c>
      <c r="B4712" s="14" t="s">
        <v>90</v>
      </c>
      <c r="C4712" s="14" t="s">
        <v>14</v>
      </c>
      <c r="D4712" s="20" t="s">
        <v>20</v>
      </c>
      <c r="E4712" s="12" t="str">
        <f>IFERROR(__xludf.DUMMYFUNCTION("FILTER(colegios!$B$2:$B5618,colegios!$A$2:$A5618=L4712)"),"501455 CRISTO REY TTIKARIY")</f>
        <v>501455 CRISTO REY TTIKARIY</v>
      </c>
      <c r="F4712" s="14" t="s">
        <v>16</v>
      </c>
      <c r="G4712" s="20" t="s">
        <v>17</v>
      </c>
      <c r="H4712" s="14" t="s">
        <v>18</v>
      </c>
      <c r="I4712" s="22">
        <v>2022.0</v>
      </c>
      <c r="J4712" s="16" t="str">
        <f>IFERROR(__xludf.DUMMYFUNCTION("FILTER('CLASFICACIÓN'!$F$3:$F5618,'CLASFICACIÓN'!$G$3:$G5618=M4712)"),"LOS 3 AÑOS")</f>
        <v>LOS 3 AÑOS</v>
      </c>
      <c r="K4712" s="16"/>
      <c r="L4712" s="14" t="s">
        <v>190</v>
      </c>
      <c r="M4712" s="16" t="str">
        <f t="shared" si="1"/>
        <v>501455 CRISTO REY TTIKARIY4 Primaria</v>
      </c>
      <c r="N4712" s="23"/>
      <c r="O4712" s="17"/>
      <c r="P4712" s="17"/>
      <c r="Q4712" s="17"/>
      <c r="R4712" s="17"/>
      <c r="S4712" s="17"/>
      <c r="T4712" s="17"/>
    </row>
    <row r="4713">
      <c r="A4713" s="21">
        <v>841.0</v>
      </c>
      <c r="B4713" s="14" t="s">
        <v>90</v>
      </c>
      <c r="C4713" s="14" t="s">
        <v>14</v>
      </c>
      <c r="D4713" s="20" t="s">
        <v>20</v>
      </c>
      <c r="E4713" s="12" t="str">
        <f>IFERROR(__xludf.DUMMYFUNCTION("FILTER(colegios!$B$2:$B5618,colegios!$A$2:$A5618=L4713)"),"501455 CRISTO REY TTIKARIY")</f>
        <v>501455 CRISTO REY TTIKARIY</v>
      </c>
      <c r="F4713" s="14" t="s">
        <v>16</v>
      </c>
      <c r="G4713" s="20" t="s">
        <v>21</v>
      </c>
      <c r="H4713" s="14" t="s">
        <v>18</v>
      </c>
      <c r="I4713" s="22">
        <v>2022.0</v>
      </c>
      <c r="J4713" s="16" t="str">
        <f>IFERROR(__xludf.DUMMYFUNCTION("FILTER('CLASFICACIÓN'!$F$3:$F5618,'CLASFICACIÓN'!$G$3:$G5618=M4713)"),"LOS 3 AÑOS")</f>
        <v>LOS 3 AÑOS</v>
      </c>
      <c r="K4713" s="16"/>
      <c r="L4713" s="14" t="s">
        <v>190</v>
      </c>
      <c r="M4713" s="16" t="str">
        <f t="shared" si="1"/>
        <v>501455 CRISTO REY TTIKARIY4 Primaria</v>
      </c>
      <c r="N4713" s="23"/>
      <c r="O4713" s="17"/>
      <c r="P4713" s="17"/>
      <c r="Q4713" s="17"/>
      <c r="R4713" s="17"/>
      <c r="S4713" s="17"/>
      <c r="T4713" s="17"/>
    </row>
    <row r="4714">
      <c r="A4714" s="21">
        <v>842.0</v>
      </c>
      <c r="B4714" s="14" t="s">
        <v>90</v>
      </c>
      <c r="C4714" s="14" t="s">
        <v>14</v>
      </c>
      <c r="D4714" s="20" t="s">
        <v>20</v>
      </c>
      <c r="E4714" s="12" t="str">
        <f>IFERROR(__xludf.DUMMYFUNCTION("FILTER(colegios!$B$2:$B5618,colegios!$A$2:$A5618=L4714)"),"501455 CRISTO REY TTIKARIY")</f>
        <v>501455 CRISTO REY TTIKARIY</v>
      </c>
      <c r="F4714" s="14" t="s">
        <v>16</v>
      </c>
      <c r="G4714" s="20" t="s">
        <v>21</v>
      </c>
      <c r="H4714" s="14" t="s">
        <v>18</v>
      </c>
      <c r="I4714" s="22">
        <v>2022.0</v>
      </c>
      <c r="J4714" s="16" t="str">
        <f>IFERROR(__xludf.DUMMYFUNCTION("FILTER('CLASFICACIÓN'!$F$3:$F5618,'CLASFICACIÓN'!$G$3:$G5618=M4714)"),"LOS 3 AÑOS")</f>
        <v>LOS 3 AÑOS</v>
      </c>
      <c r="K4714" s="16"/>
      <c r="L4714" s="14" t="s">
        <v>190</v>
      </c>
      <c r="M4714" s="16" t="str">
        <f t="shared" si="1"/>
        <v>501455 CRISTO REY TTIKARIY4 Primaria</v>
      </c>
      <c r="N4714" s="23"/>
      <c r="O4714" s="17"/>
      <c r="P4714" s="17"/>
      <c r="Q4714" s="17"/>
      <c r="R4714" s="17"/>
      <c r="S4714" s="17"/>
      <c r="T4714" s="17"/>
    </row>
    <row r="4715">
      <c r="A4715" s="21">
        <v>843.0</v>
      </c>
      <c r="B4715" s="14" t="s">
        <v>90</v>
      </c>
      <c r="C4715" s="14" t="s">
        <v>14</v>
      </c>
      <c r="D4715" s="20" t="s">
        <v>20</v>
      </c>
      <c r="E4715" s="12" t="str">
        <f>IFERROR(__xludf.DUMMYFUNCTION("FILTER(colegios!$B$2:$B5618,colegios!$A$2:$A5618=L4715)"),"501455 CRISTO REY TTIKARIY")</f>
        <v>501455 CRISTO REY TTIKARIY</v>
      </c>
      <c r="F4715" s="14" t="s">
        <v>16</v>
      </c>
      <c r="G4715" s="20" t="s">
        <v>17</v>
      </c>
      <c r="H4715" s="14" t="s">
        <v>18</v>
      </c>
      <c r="I4715" s="22">
        <v>2022.0</v>
      </c>
      <c r="J4715" s="16" t="str">
        <f>IFERROR(__xludf.DUMMYFUNCTION("FILTER('CLASFICACIÓN'!$F$3:$F5618,'CLASFICACIÓN'!$G$3:$G5618=M4715)"),"LOS 3 AÑOS")</f>
        <v>LOS 3 AÑOS</v>
      </c>
      <c r="K4715" s="16"/>
      <c r="L4715" s="14" t="s">
        <v>190</v>
      </c>
      <c r="M4715" s="16" t="str">
        <f t="shared" si="1"/>
        <v>501455 CRISTO REY TTIKARIY4 Primaria</v>
      </c>
      <c r="N4715" s="23"/>
      <c r="O4715" s="17"/>
      <c r="P4715" s="17"/>
      <c r="Q4715" s="17"/>
      <c r="R4715" s="17"/>
      <c r="S4715" s="17"/>
      <c r="T4715" s="17"/>
    </row>
    <row r="4716">
      <c r="A4716" s="21">
        <v>844.0</v>
      </c>
      <c r="B4716" s="14" t="s">
        <v>90</v>
      </c>
      <c r="C4716" s="14" t="s">
        <v>14</v>
      </c>
      <c r="D4716" s="20" t="s">
        <v>20</v>
      </c>
      <c r="E4716" s="12" t="str">
        <f>IFERROR(__xludf.DUMMYFUNCTION("FILTER(colegios!$B$2:$B5618,colegios!$A$2:$A5618=L4716)"),"501455 CRISTO REY TTIKARIY")</f>
        <v>501455 CRISTO REY TTIKARIY</v>
      </c>
      <c r="F4716" s="14" t="s">
        <v>16</v>
      </c>
      <c r="G4716" s="20" t="s">
        <v>21</v>
      </c>
      <c r="H4716" s="14" t="s">
        <v>18</v>
      </c>
      <c r="I4716" s="22">
        <v>2022.0</v>
      </c>
      <c r="J4716" s="16" t="str">
        <f>IFERROR(__xludf.DUMMYFUNCTION("FILTER('CLASFICACIÓN'!$F$3:$F5618,'CLASFICACIÓN'!$G$3:$G5618=M4716)"),"LOS 3 AÑOS")</f>
        <v>LOS 3 AÑOS</v>
      </c>
      <c r="K4716" s="16"/>
      <c r="L4716" s="14" t="s">
        <v>190</v>
      </c>
      <c r="M4716" s="16" t="str">
        <f t="shared" si="1"/>
        <v>501455 CRISTO REY TTIKARIY4 Primaria</v>
      </c>
      <c r="N4716" s="23"/>
      <c r="O4716" s="17"/>
      <c r="P4716" s="17"/>
      <c r="Q4716" s="17"/>
      <c r="R4716" s="17"/>
      <c r="S4716" s="17"/>
      <c r="T4716" s="17"/>
    </row>
    <row r="4717">
      <c r="A4717" s="21">
        <v>845.0</v>
      </c>
      <c r="B4717" s="14" t="s">
        <v>90</v>
      </c>
      <c r="C4717" s="14" t="s">
        <v>14</v>
      </c>
      <c r="D4717" s="20" t="s">
        <v>20</v>
      </c>
      <c r="E4717" s="12" t="str">
        <f>IFERROR(__xludf.DUMMYFUNCTION("FILTER(colegios!$B$2:$B5618,colegios!$A$2:$A5618=L4717)"),"501455 CRISTO REY TTIKARIY")</f>
        <v>501455 CRISTO REY TTIKARIY</v>
      </c>
      <c r="F4717" s="14" t="s">
        <v>16</v>
      </c>
      <c r="G4717" s="20" t="s">
        <v>21</v>
      </c>
      <c r="H4717" s="14" t="s">
        <v>18</v>
      </c>
      <c r="I4717" s="22">
        <v>2022.0</v>
      </c>
      <c r="J4717" s="16" t="str">
        <f>IFERROR(__xludf.DUMMYFUNCTION("FILTER('CLASFICACIÓN'!$F$3:$F5618,'CLASFICACIÓN'!$G$3:$G5618=M4717)"),"LOS 3 AÑOS")</f>
        <v>LOS 3 AÑOS</v>
      </c>
      <c r="K4717" s="16"/>
      <c r="L4717" s="14" t="s">
        <v>190</v>
      </c>
      <c r="M4717" s="16" t="str">
        <f t="shared" si="1"/>
        <v>501455 CRISTO REY TTIKARIY4 Primaria</v>
      </c>
      <c r="N4717" s="23"/>
      <c r="O4717" s="17"/>
      <c r="P4717" s="17"/>
      <c r="Q4717" s="17"/>
      <c r="R4717" s="17"/>
      <c r="S4717" s="17"/>
      <c r="T4717" s="17"/>
    </row>
    <row r="4718">
      <c r="A4718" s="21">
        <v>846.0</v>
      </c>
      <c r="B4718" s="14" t="s">
        <v>90</v>
      </c>
      <c r="C4718" s="14" t="s">
        <v>14</v>
      </c>
      <c r="D4718" s="20" t="s">
        <v>20</v>
      </c>
      <c r="E4718" s="12" t="str">
        <f>IFERROR(__xludf.DUMMYFUNCTION("FILTER(colegios!$B$2:$B5618,colegios!$A$2:$A5618=L4718)"),"501455 CRISTO REY TTIKARIY")</f>
        <v>501455 CRISTO REY TTIKARIY</v>
      </c>
      <c r="F4718" s="14" t="s">
        <v>16</v>
      </c>
      <c r="G4718" s="20" t="s">
        <v>21</v>
      </c>
      <c r="H4718" s="14" t="s">
        <v>18</v>
      </c>
      <c r="I4718" s="22">
        <v>2022.0</v>
      </c>
      <c r="J4718" s="16" t="str">
        <f>IFERROR(__xludf.DUMMYFUNCTION("FILTER('CLASFICACIÓN'!$F$3:$F5618,'CLASFICACIÓN'!$G$3:$G5618=M4718)"),"LOS 3 AÑOS")</f>
        <v>LOS 3 AÑOS</v>
      </c>
      <c r="K4718" s="16"/>
      <c r="L4718" s="14" t="s">
        <v>190</v>
      </c>
      <c r="M4718" s="16" t="str">
        <f t="shared" si="1"/>
        <v>501455 CRISTO REY TTIKARIY4 Primaria</v>
      </c>
      <c r="N4718" s="23"/>
      <c r="O4718" s="17"/>
      <c r="P4718" s="17"/>
      <c r="Q4718" s="17"/>
      <c r="R4718" s="17"/>
      <c r="S4718" s="17"/>
      <c r="T4718" s="17"/>
    </row>
    <row r="4719">
      <c r="A4719" s="21">
        <v>847.0</v>
      </c>
      <c r="B4719" s="14" t="s">
        <v>90</v>
      </c>
      <c r="C4719" s="14" t="s">
        <v>14</v>
      </c>
      <c r="D4719" s="20" t="s">
        <v>20</v>
      </c>
      <c r="E4719" s="12" t="str">
        <f>IFERROR(__xludf.DUMMYFUNCTION("FILTER(colegios!$B$2:$B5618,colegios!$A$2:$A5618=L4719)"),"501455 CRISTO REY TTIKARIY")</f>
        <v>501455 CRISTO REY TTIKARIY</v>
      </c>
      <c r="F4719" s="14" t="s">
        <v>16</v>
      </c>
      <c r="G4719" s="20" t="s">
        <v>17</v>
      </c>
      <c r="H4719" s="14" t="s">
        <v>18</v>
      </c>
      <c r="I4719" s="22">
        <v>2022.0</v>
      </c>
      <c r="J4719" s="16" t="str">
        <f>IFERROR(__xludf.DUMMYFUNCTION("FILTER('CLASFICACIÓN'!$F$3:$F5618,'CLASFICACIÓN'!$G$3:$G5618=M4719)"),"LOS 3 AÑOS")</f>
        <v>LOS 3 AÑOS</v>
      </c>
      <c r="K4719" s="16"/>
      <c r="L4719" s="14" t="s">
        <v>190</v>
      </c>
      <c r="M4719" s="16" t="str">
        <f t="shared" si="1"/>
        <v>501455 CRISTO REY TTIKARIY4 Primaria</v>
      </c>
      <c r="N4719" s="23"/>
      <c r="O4719" s="17"/>
      <c r="P4719" s="17"/>
      <c r="Q4719" s="17"/>
      <c r="R4719" s="17"/>
      <c r="S4719" s="17"/>
      <c r="T4719" s="17"/>
    </row>
    <row r="4720">
      <c r="A4720" s="21">
        <v>848.0</v>
      </c>
      <c r="B4720" s="14" t="s">
        <v>90</v>
      </c>
      <c r="C4720" s="14" t="s">
        <v>14</v>
      </c>
      <c r="D4720" s="20" t="s">
        <v>20</v>
      </c>
      <c r="E4720" s="12" t="str">
        <f>IFERROR(__xludf.DUMMYFUNCTION("FILTER(colegios!$B$2:$B5618,colegios!$A$2:$A5618=L4720)"),"501455 CRISTO REY TTIKARIY")</f>
        <v>501455 CRISTO REY TTIKARIY</v>
      </c>
      <c r="F4720" s="14" t="s">
        <v>16</v>
      </c>
      <c r="G4720" s="20" t="s">
        <v>21</v>
      </c>
      <c r="H4720" s="14" t="s">
        <v>18</v>
      </c>
      <c r="I4720" s="22">
        <v>2022.0</v>
      </c>
      <c r="J4720" s="16" t="str">
        <f>IFERROR(__xludf.DUMMYFUNCTION("FILTER('CLASFICACIÓN'!$F$3:$F5618,'CLASFICACIÓN'!$G$3:$G5618=M4720)"),"LOS 3 AÑOS")</f>
        <v>LOS 3 AÑOS</v>
      </c>
      <c r="K4720" s="16"/>
      <c r="L4720" s="14" t="s">
        <v>190</v>
      </c>
      <c r="M4720" s="16" t="str">
        <f t="shared" si="1"/>
        <v>501455 CRISTO REY TTIKARIY4 Primaria</v>
      </c>
      <c r="N4720" s="23"/>
      <c r="O4720" s="17"/>
      <c r="P4720" s="17"/>
      <c r="Q4720" s="17"/>
      <c r="R4720" s="17"/>
      <c r="S4720" s="17"/>
      <c r="T4720" s="17"/>
    </row>
    <row r="4721">
      <c r="A4721" s="21">
        <v>849.0</v>
      </c>
      <c r="B4721" s="14" t="s">
        <v>90</v>
      </c>
      <c r="C4721" s="14" t="s">
        <v>14</v>
      </c>
      <c r="D4721" s="20" t="s">
        <v>20</v>
      </c>
      <c r="E4721" s="12" t="str">
        <f>IFERROR(__xludf.DUMMYFUNCTION("FILTER(colegios!$B$2:$B5618,colegios!$A$2:$A5618=L4721)"),"501455 CRISTO REY TTIKARIY")</f>
        <v>501455 CRISTO REY TTIKARIY</v>
      </c>
      <c r="F4721" s="14" t="s">
        <v>16</v>
      </c>
      <c r="G4721" s="20" t="s">
        <v>17</v>
      </c>
      <c r="H4721" s="14" t="s">
        <v>18</v>
      </c>
      <c r="I4721" s="22">
        <v>2022.0</v>
      </c>
      <c r="J4721" s="16" t="str">
        <f>IFERROR(__xludf.DUMMYFUNCTION("FILTER('CLASFICACIÓN'!$F$3:$F5618,'CLASFICACIÓN'!$G$3:$G5618=M4721)"),"LOS 3 AÑOS")</f>
        <v>LOS 3 AÑOS</v>
      </c>
      <c r="K4721" s="16"/>
      <c r="L4721" s="14" t="s">
        <v>190</v>
      </c>
      <c r="M4721" s="16" t="str">
        <f t="shared" si="1"/>
        <v>501455 CRISTO REY TTIKARIY4 Primaria</v>
      </c>
      <c r="N4721" s="23"/>
      <c r="O4721" s="17"/>
      <c r="P4721" s="17"/>
      <c r="Q4721" s="17"/>
      <c r="R4721" s="17"/>
      <c r="S4721" s="17"/>
      <c r="T4721" s="17"/>
    </row>
    <row r="4722">
      <c r="A4722" s="21">
        <v>850.0</v>
      </c>
      <c r="B4722" s="14" t="s">
        <v>90</v>
      </c>
      <c r="C4722" s="14" t="s">
        <v>14</v>
      </c>
      <c r="D4722" s="20" t="s">
        <v>20</v>
      </c>
      <c r="E4722" s="12" t="str">
        <f>IFERROR(__xludf.DUMMYFUNCTION("FILTER(colegios!$B$2:$B5618,colegios!$A$2:$A5618=L4722)"),"501455 CRISTO REY TTIKARIY")</f>
        <v>501455 CRISTO REY TTIKARIY</v>
      </c>
      <c r="F4722" s="14" t="s">
        <v>16</v>
      </c>
      <c r="G4722" s="20" t="s">
        <v>17</v>
      </c>
      <c r="H4722" s="14" t="s">
        <v>18</v>
      </c>
      <c r="I4722" s="22">
        <v>2022.0</v>
      </c>
      <c r="J4722" s="16" t="str">
        <f>IFERROR(__xludf.DUMMYFUNCTION("FILTER('CLASFICACIÓN'!$F$3:$F5618,'CLASFICACIÓN'!$G$3:$G5618=M4722)"),"LOS 3 AÑOS")</f>
        <v>LOS 3 AÑOS</v>
      </c>
      <c r="K4722" s="16"/>
      <c r="L4722" s="14" t="s">
        <v>190</v>
      </c>
      <c r="M4722" s="16" t="str">
        <f t="shared" si="1"/>
        <v>501455 CRISTO REY TTIKARIY4 Primaria</v>
      </c>
      <c r="N4722" s="23"/>
      <c r="O4722" s="17"/>
      <c r="P4722" s="17"/>
      <c r="Q4722" s="17"/>
      <c r="R4722" s="17"/>
      <c r="S4722" s="17"/>
      <c r="T4722" s="17"/>
    </row>
    <row r="4723">
      <c r="A4723" s="21">
        <v>851.0</v>
      </c>
      <c r="B4723" s="14" t="s">
        <v>90</v>
      </c>
      <c r="C4723" s="14" t="s">
        <v>14</v>
      </c>
      <c r="D4723" s="20" t="s">
        <v>20</v>
      </c>
      <c r="E4723" s="12" t="str">
        <f>IFERROR(__xludf.DUMMYFUNCTION("FILTER(colegios!$B$2:$B5618,colegios!$A$2:$A5618=L4723)"),"501455 CRISTO REY TTIKARIY")</f>
        <v>501455 CRISTO REY TTIKARIY</v>
      </c>
      <c r="F4723" s="14" t="s">
        <v>16</v>
      </c>
      <c r="G4723" s="20" t="s">
        <v>17</v>
      </c>
      <c r="H4723" s="14" t="s">
        <v>18</v>
      </c>
      <c r="I4723" s="22">
        <v>2022.0</v>
      </c>
      <c r="J4723" s="16" t="str">
        <f>IFERROR(__xludf.DUMMYFUNCTION("FILTER('CLASFICACIÓN'!$F$3:$F5618,'CLASFICACIÓN'!$G$3:$G5618=M4723)"),"LOS 3 AÑOS")</f>
        <v>LOS 3 AÑOS</v>
      </c>
      <c r="K4723" s="16"/>
      <c r="L4723" s="14" t="s">
        <v>190</v>
      </c>
      <c r="M4723" s="16" t="str">
        <f t="shared" si="1"/>
        <v>501455 CRISTO REY TTIKARIY4 Primaria</v>
      </c>
      <c r="N4723" s="23"/>
      <c r="O4723" s="17"/>
      <c r="P4723" s="17"/>
      <c r="Q4723" s="17"/>
      <c r="R4723" s="17"/>
      <c r="S4723" s="17"/>
      <c r="T4723" s="17"/>
    </row>
    <row r="4724">
      <c r="A4724" s="21">
        <v>852.0</v>
      </c>
      <c r="B4724" s="14" t="s">
        <v>90</v>
      </c>
      <c r="C4724" s="14" t="s">
        <v>14</v>
      </c>
      <c r="D4724" s="20" t="s">
        <v>20</v>
      </c>
      <c r="E4724" s="12" t="str">
        <f>IFERROR(__xludf.DUMMYFUNCTION("FILTER(colegios!$B$2:$B5618,colegios!$A$2:$A5618=L4724)"),"501455 CRISTO REY TTIKARIY")</f>
        <v>501455 CRISTO REY TTIKARIY</v>
      </c>
      <c r="F4724" s="14" t="s">
        <v>16</v>
      </c>
      <c r="G4724" s="20" t="s">
        <v>21</v>
      </c>
      <c r="H4724" s="14" t="s">
        <v>18</v>
      </c>
      <c r="I4724" s="22">
        <v>2022.0</v>
      </c>
      <c r="J4724" s="16" t="str">
        <f>IFERROR(__xludf.DUMMYFUNCTION("FILTER('CLASFICACIÓN'!$F$3:$F5618,'CLASFICACIÓN'!$G$3:$G5618=M4724)"),"LOS 3 AÑOS")</f>
        <v>LOS 3 AÑOS</v>
      </c>
      <c r="K4724" s="16"/>
      <c r="L4724" s="14" t="s">
        <v>190</v>
      </c>
      <c r="M4724" s="16" t="str">
        <f t="shared" si="1"/>
        <v>501455 CRISTO REY TTIKARIY4 Primaria</v>
      </c>
      <c r="N4724" s="23"/>
      <c r="O4724" s="17"/>
      <c r="P4724" s="17"/>
      <c r="Q4724" s="17"/>
      <c r="R4724" s="17"/>
      <c r="S4724" s="17"/>
      <c r="T4724" s="17"/>
    </row>
    <row r="4725">
      <c r="A4725" s="21">
        <v>853.0</v>
      </c>
      <c r="B4725" s="14" t="s">
        <v>90</v>
      </c>
      <c r="C4725" s="14" t="s">
        <v>14</v>
      </c>
      <c r="D4725" s="20" t="s">
        <v>20</v>
      </c>
      <c r="E4725" s="12" t="str">
        <f>IFERROR(__xludf.DUMMYFUNCTION("FILTER(colegios!$B$2:$B5618,colegios!$A$2:$A5618=L4725)"),"501455 CRISTO REY TTIKARIY")</f>
        <v>501455 CRISTO REY TTIKARIY</v>
      </c>
      <c r="F4725" s="14" t="s">
        <v>16</v>
      </c>
      <c r="G4725" s="20" t="s">
        <v>17</v>
      </c>
      <c r="H4725" s="14" t="s">
        <v>18</v>
      </c>
      <c r="I4725" s="22">
        <v>2022.0</v>
      </c>
      <c r="J4725" s="16" t="str">
        <f>IFERROR(__xludf.DUMMYFUNCTION("FILTER('CLASFICACIÓN'!$F$3:$F5618,'CLASFICACIÓN'!$G$3:$G5618=M4725)"),"LOS 3 AÑOS")</f>
        <v>LOS 3 AÑOS</v>
      </c>
      <c r="K4725" s="16"/>
      <c r="L4725" s="14" t="s">
        <v>190</v>
      </c>
      <c r="M4725" s="16" t="str">
        <f t="shared" si="1"/>
        <v>501455 CRISTO REY TTIKARIY4 Primaria</v>
      </c>
      <c r="N4725" s="23"/>
      <c r="O4725" s="17"/>
      <c r="P4725" s="17"/>
      <c r="Q4725" s="17"/>
      <c r="R4725" s="17"/>
      <c r="S4725" s="17"/>
      <c r="T4725" s="17"/>
    </row>
    <row r="4726">
      <c r="A4726" s="21">
        <v>854.0</v>
      </c>
      <c r="B4726" s="14" t="s">
        <v>90</v>
      </c>
      <c r="C4726" s="14" t="s">
        <v>14</v>
      </c>
      <c r="D4726" s="20" t="s">
        <v>20</v>
      </c>
      <c r="E4726" s="12" t="str">
        <f>IFERROR(__xludf.DUMMYFUNCTION("FILTER(colegios!$B$2:$B5618,colegios!$A$2:$A5618=L4726)"),"501455 CRISTO REY TTIKARIY")</f>
        <v>501455 CRISTO REY TTIKARIY</v>
      </c>
      <c r="F4726" s="14" t="s">
        <v>16</v>
      </c>
      <c r="G4726" s="20" t="s">
        <v>21</v>
      </c>
      <c r="H4726" s="14" t="s">
        <v>18</v>
      </c>
      <c r="I4726" s="22">
        <v>2022.0</v>
      </c>
      <c r="J4726" s="16" t="str">
        <f>IFERROR(__xludf.DUMMYFUNCTION("FILTER('CLASFICACIÓN'!$F$3:$F5618,'CLASFICACIÓN'!$G$3:$G5618=M4726)"),"LOS 3 AÑOS")</f>
        <v>LOS 3 AÑOS</v>
      </c>
      <c r="K4726" s="16"/>
      <c r="L4726" s="14" t="s">
        <v>190</v>
      </c>
      <c r="M4726" s="16" t="str">
        <f t="shared" si="1"/>
        <v>501455 CRISTO REY TTIKARIY4 Primaria</v>
      </c>
      <c r="N4726" s="23"/>
      <c r="O4726" s="17"/>
      <c r="P4726" s="17"/>
      <c r="Q4726" s="17"/>
      <c r="R4726" s="17"/>
      <c r="S4726" s="17"/>
      <c r="T4726" s="17"/>
    </row>
    <row r="4727">
      <c r="A4727" s="21">
        <v>855.0</v>
      </c>
      <c r="B4727" s="14" t="s">
        <v>90</v>
      </c>
      <c r="C4727" s="14" t="s">
        <v>14</v>
      </c>
      <c r="D4727" s="20" t="s">
        <v>20</v>
      </c>
      <c r="E4727" s="12" t="str">
        <f>IFERROR(__xludf.DUMMYFUNCTION("FILTER(colegios!$B$2:$B5618,colegios!$A$2:$A5618=L4727)"),"501455 CRISTO REY TTIKARIY")</f>
        <v>501455 CRISTO REY TTIKARIY</v>
      </c>
      <c r="F4727" s="14" t="s">
        <v>16</v>
      </c>
      <c r="G4727" s="20" t="s">
        <v>21</v>
      </c>
      <c r="H4727" s="14" t="s">
        <v>18</v>
      </c>
      <c r="I4727" s="22">
        <v>2022.0</v>
      </c>
      <c r="J4727" s="16" t="str">
        <f>IFERROR(__xludf.DUMMYFUNCTION("FILTER('CLASFICACIÓN'!$F$3:$F5618,'CLASFICACIÓN'!$G$3:$G5618=M4727)"),"LOS 3 AÑOS")</f>
        <v>LOS 3 AÑOS</v>
      </c>
      <c r="K4727" s="16"/>
      <c r="L4727" s="14" t="s">
        <v>190</v>
      </c>
      <c r="M4727" s="16" t="str">
        <f t="shared" si="1"/>
        <v>501455 CRISTO REY TTIKARIY4 Primaria</v>
      </c>
      <c r="N4727" s="23"/>
      <c r="O4727" s="17"/>
      <c r="P4727" s="17"/>
      <c r="Q4727" s="17"/>
      <c r="R4727" s="17"/>
      <c r="S4727" s="17"/>
      <c r="T4727" s="17"/>
    </row>
    <row r="4728">
      <c r="A4728" s="21">
        <v>856.0</v>
      </c>
      <c r="B4728" s="14" t="s">
        <v>90</v>
      </c>
      <c r="C4728" s="14" t="s">
        <v>14</v>
      </c>
      <c r="D4728" s="20" t="s">
        <v>20</v>
      </c>
      <c r="E4728" s="12" t="str">
        <f>IFERROR(__xludf.DUMMYFUNCTION("FILTER(colegios!$B$2:$B5618,colegios!$A$2:$A5618=L4728)"),"501455 CRISTO REY TTIKARIY")</f>
        <v>501455 CRISTO REY TTIKARIY</v>
      </c>
      <c r="F4728" s="14" t="s">
        <v>16</v>
      </c>
      <c r="G4728" s="20" t="s">
        <v>21</v>
      </c>
      <c r="H4728" s="14" t="s">
        <v>18</v>
      </c>
      <c r="I4728" s="22">
        <v>2022.0</v>
      </c>
      <c r="J4728" s="16" t="str">
        <f>IFERROR(__xludf.DUMMYFUNCTION("FILTER('CLASFICACIÓN'!$F$3:$F5618,'CLASFICACIÓN'!$G$3:$G5618=M4728)"),"LOS 3 AÑOS")</f>
        <v>LOS 3 AÑOS</v>
      </c>
      <c r="K4728" s="16"/>
      <c r="L4728" s="14" t="s">
        <v>190</v>
      </c>
      <c r="M4728" s="16" t="str">
        <f t="shared" si="1"/>
        <v>501455 CRISTO REY TTIKARIY4 Primaria</v>
      </c>
      <c r="N4728" s="23"/>
      <c r="O4728" s="17"/>
      <c r="P4728" s="17"/>
      <c r="Q4728" s="17"/>
      <c r="R4728" s="17"/>
      <c r="S4728" s="17"/>
      <c r="T4728" s="17"/>
    </row>
    <row r="4729">
      <c r="A4729" s="21">
        <v>857.0</v>
      </c>
      <c r="B4729" s="14" t="s">
        <v>90</v>
      </c>
      <c r="C4729" s="14" t="s">
        <v>14</v>
      </c>
      <c r="D4729" s="20" t="s">
        <v>20</v>
      </c>
      <c r="E4729" s="12" t="str">
        <f>IFERROR(__xludf.DUMMYFUNCTION("FILTER(colegios!$B$2:$B5618,colegios!$A$2:$A5618=L4729)"),"501455 CRISTO REY TTIKARIY")</f>
        <v>501455 CRISTO REY TTIKARIY</v>
      </c>
      <c r="F4729" s="14" t="s">
        <v>16</v>
      </c>
      <c r="G4729" s="20" t="s">
        <v>21</v>
      </c>
      <c r="H4729" s="14" t="s">
        <v>18</v>
      </c>
      <c r="I4729" s="22">
        <v>2022.0</v>
      </c>
      <c r="J4729" s="16" t="str">
        <f>IFERROR(__xludf.DUMMYFUNCTION("FILTER('CLASFICACIÓN'!$F$3:$F5618,'CLASFICACIÓN'!$G$3:$G5618=M4729)"),"LOS 3 AÑOS")</f>
        <v>LOS 3 AÑOS</v>
      </c>
      <c r="K4729" s="16"/>
      <c r="L4729" s="14" t="s">
        <v>190</v>
      </c>
      <c r="M4729" s="16" t="str">
        <f t="shared" si="1"/>
        <v>501455 CRISTO REY TTIKARIY4 Primaria</v>
      </c>
      <c r="N4729" s="23"/>
      <c r="O4729" s="17"/>
      <c r="P4729" s="17"/>
      <c r="Q4729" s="17"/>
      <c r="R4729" s="17"/>
      <c r="S4729" s="17"/>
      <c r="T4729" s="17"/>
    </row>
    <row r="4730">
      <c r="A4730" s="21">
        <v>858.0</v>
      </c>
      <c r="B4730" s="14" t="s">
        <v>90</v>
      </c>
      <c r="C4730" s="14" t="s">
        <v>14</v>
      </c>
      <c r="D4730" s="20" t="s">
        <v>20</v>
      </c>
      <c r="E4730" s="12" t="str">
        <f>IFERROR(__xludf.DUMMYFUNCTION("FILTER(colegios!$B$2:$B5618,colegios!$A$2:$A5618=L4730)"),"501455 CRISTO REY TTIKARIY")</f>
        <v>501455 CRISTO REY TTIKARIY</v>
      </c>
      <c r="F4730" s="14" t="s">
        <v>16</v>
      </c>
      <c r="G4730" s="20" t="s">
        <v>21</v>
      </c>
      <c r="H4730" s="14" t="s">
        <v>18</v>
      </c>
      <c r="I4730" s="22">
        <v>2022.0</v>
      </c>
      <c r="J4730" s="16" t="str">
        <f>IFERROR(__xludf.DUMMYFUNCTION("FILTER('CLASFICACIÓN'!$F$3:$F5618,'CLASFICACIÓN'!$G$3:$G5618=M4730)"),"LOS 3 AÑOS")</f>
        <v>LOS 3 AÑOS</v>
      </c>
      <c r="K4730" s="16"/>
      <c r="L4730" s="14" t="s">
        <v>190</v>
      </c>
      <c r="M4730" s="16" t="str">
        <f t="shared" si="1"/>
        <v>501455 CRISTO REY TTIKARIY4 Primaria</v>
      </c>
      <c r="N4730" s="23"/>
      <c r="O4730" s="17"/>
      <c r="P4730" s="17"/>
      <c r="Q4730" s="17"/>
      <c r="R4730" s="17"/>
      <c r="S4730" s="17"/>
      <c r="T4730" s="17"/>
    </row>
    <row r="4731">
      <c r="A4731" s="21">
        <v>859.0</v>
      </c>
      <c r="B4731" s="14" t="s">
        <v>90</v>
      </c>
      <c r="C4731" s="14" t="s">
        <v>14</v>
      </c>
      <c r="D4731" s="20" t="s">
        <v>20</v>
      </c>
      <c r="E4731" s="12" t="str">
        <f>IFERROR(__xludf.DUMMYFUNCTION("FILTER(colegios!$B$2:$B5618,colegios!$A$2:$A5618=L4731)"),"501455 CRISTO REY TTIKARIY")</f>
        <v>501455 CRISTO REY TTIKARIY</v>
      </c>
      <c r="F4731" s="14" t="s">
        <v>16</v>
      </c>
      <c r="G4731" s="20" t="s">
        <v>21</v>
      </c>
      <c r="H4731" s="14" t="s">
        <v>18</v>
      </c>
      <c r="I4731" s="22">
        <v>2022.0</v>
      </c>
      <c r="J4731" s="16" t="str">
        <f>IFERROR(__xludf.DUMMYFUNCTION("FILTER('CLASFICACIÓN'!$F$3:$F5618,'CLASFICACIÓN'!$G$3:$G5618=M4731)"),"LOS 3 AÑOS")</f>
        <v>LOS 3 AÑOS</v>
      </c>
      <c r="K4731" s="16"/>
      <c r="L4731" s="14" t="s">
        <v>190</v>
      </c>
      <c r="M4731" s="16" t="str">
        <f t="shared" si="1"/>
        <v>501455 CRISTO REY TTIKARIY4 Primaria</v>
      </c>
      <c r="N4731" s="23"/>
      <c r="O4731" s="17"/>
      <c r="P4731" s="17"/>
      <c r="Q4731" s="17"/>
      <c r="R4731" s="17"/>
      <c r="S4731" s="17"/>
      <c r="T4731" s="17"/>
    </row>
    <row r="4732">
      <c r="A4732" s="21">
        <v>860.0</v>
      </c>
      <c r="B4732" s="14" t="s">
        <v>90</v>
      </c>
      <c r="C4732" s="14" t="s">
        <v>14</v>
      </c>
      <c r="D4732" s="20" t="s">
        <v>20</v>
      </c>
      <c r="E4732" s="12" t="str">
        <f>IFERROR(__xludf.DUMMYFUNCTION("FILTER(colegios!$B$2:$B5618,colegios!$A$2:$A5618=L4732)"),"501455 CRISTO REY TTIKARIY")</f>
        <v>501455 CRISTO REY TTIKARIY</v>
      </c>
      <c r="F4732" s="14" t="s">
        <v>16</v>
      </c>
      <c r="G4732" s="20" t="s">
        <v>21</v>
      </c>
      <c r="H4732" s="14" t="s">
        <v>18</v>
      </c>
      <c r="I4732" s="22">
        <v>2022.0</v>
      </c>
      <c r="J4732" s="16" t="str">
        <f>IFERROR(__xludf.DUMMYFUNCTION("FILTER('CLASFICACIÓN'!$F$3:$F5618,'CLASFICACIÓN'!$G$3:$G5618=M4732)"),"LOS 3 AÑOS")</f>
        <v>LOS 3 AÑOS</v>
      </c>
      <c r="K4732" s="16"/>
      <c r="L4732" s="14" t="s">
        <v>190</v>
      </c>
      <c r="M4732" s="16" t="str">
        <f t="shared" si="1"/>
        <v>501455 CRISTO REY TTIKARIY4 Primaria</v>
      </c>
      <c r="N4732" s="23"/>
      <c r="O4732" s="17"/>
      <c r="P4732" s="17"/>
      <c r="Q4732" s="17"/>
      <c r="R4732" s="17"/>
      <c r="S4732" s="17"/>
      <c r="T4732" s="17"/>
    </row>
    <row r="4733">
      <c r="A4733" s="21">
        <v>861.0</v>
      </c>
      <c r="B4733" s="14" t="s">
        <v>90</v>
      </c>
      <c r="C4733" s="14" t="s">
        <v>14</v>
      </c>
      <c r="D4733" s="20" t="s">
        <v>20</v>
      </c>
      <c r="E4733" s="12" t="str">
        <f>IFERROR(__xludf.DUMMYFUNCTION("FILTER(colegios!$B$2:$B5618,colegios!$A$2:$A5618=L4733)"),"501455 CRISTO REY TTIKARIY")</f>
        <v>501455 CRISTO REY TTIKARIY</v>
      </c>
      <c r="F4733" s="14" t="s">
        <v>16</v>
      </c>
      <c r="G4733" s="20" t="s">
        <v>21</v>
      </c>
      <c r="H4733" s="14" t="s">
        <v>18</v>
      </c>
      <c r="I4733" s="22">
        <v>2022.0</v>
      </c>
      <c r="J4733" s="16" t="str">
        <f>IFERROR(__xludf.DUMMYFUNCTION("FILTER('CLASFICACIÓN'!$F$3:$F5618,'CLASFICACIÓN'!$G$3:$G5618=M4733)"),"LOS 3 AÑOS")</f>
        <v>LOS 3 AÑOS</v>
      </c>
      <c r="K4733" s="16"/>
      <c r="L4733" s="14" t="s">
        <v>190</v>
      </c>
      <c r="M4733" s="16" t="str">
        <f t="shared" si="1"/>
        <v>501455 CRISTO REY TTIKARIY4 Primaria</v>
      </c>
      <c r="N4733" s="23"/>
      <c r="O4733" s="17"/>
      <c r="P4733" s="17"/>
      <c r="Q4733" s="17"/>
      <c r="R4733" s="17"/>
      <c r="S4733" s="17"/>
      <c r="T4733" s="17"/>
    </row>
    <row r="4734">
      <c r="A4734" s="21">
        <v>862.0</v>
      </c>
      <c r="B4734" s="14" t="s">
        <v>90</v>
      </c>
      <c r="C4734" s="14" t="s">
        <v>14</v>
      </c>
      <c r="D4734" s="20" t="s">
        <v>20</v>
      </c>
      <c r="E4734" s="12" t="str">
        <f>IFERROR(__xludf.DUMMYFUNCTION("FILTER(colegios!$B$2:$B5618,colegios!$A$2:$A5618=L4734)"),"501455 CRISTO REY TTIKARIY")</f>
        <v>501455 CRISTO REY TTIKARIY</v>
      </c>
      <c r="F4734" s="14" t="s">
        <v>16</v>
      </c>
      <c r="G4734" s="20" t="s">
        <v>17</v>
      </c>
      <c r="H4734" s="14" t="s">
        <v>18</v>
      </c>
      <c r="I4734" s="22">
        <v>2022.0</v>
      </c>
      <c r="J4734" s="16" t="str">
        <f>IFERROR(__xludf.DUMMYFUNCTION("FILTER('CLASFICACIÓN'!$F$3:$F5618,'CLASFICACIÓN'!$G$3:$G5618=M4734)"),"LOS 3 AÑOS")</f>
        <v>LOS 3 AÑOS</v>
      </c>
      <c r="K4734" s="16"/>
      <c r="L4734" s="14" t="s">
        <v>190</v>
      </c>
      <c r="M4734" s="16" t="str">
        <f t="shared" si="1"/>
        <v>501455 CRISTO REY TTIKARIY4 Primaria</v>
      </c>
      <c r="N4734" s="23"/>
      <c r="O4734" s="17"/>
      <c r="P4734" s="17"/>
      <c r="Q4734" s="17"/>
      <c r="R4734" s="17"/>
      <c r="S4734" s="17"/>
      <c r="T4734" s="17"/>
    </row>
    <row r="4735">
      <c r="A4735" s="21">
        <v>863.0</v>
      </c>
      <c r="B4735" s="14" t="s">
        <v>90</v>
      </c>
      <c r="C4735" s="14" t="s">
        <v>14</v>
      </c>
      <c r="D4735" s="20" t="s">
        <v>20</v>
      </c>
      <c r="E4735" s="12" t="str">
        <f>IFERROR(__xludf.DUMMYFUNCTION("FILTER(colegios!$B$2:$B5618,colegios!$A$2:$A5618=L4735)"),"501455 CRISTO REY TTIKARIY")</f>
        <v>501455 CRISTO REY TTIKARIY</v>
      </c>
      <c r="F4735" s="14" t="s">
        <v>16</v>
      </c>
      <c r="G4735" s="20" t="s">
        <v>17</v>
      </c>
      <c r="H4735" s="14" t="s">
        <v>18</v>
      </c>
      <c r="I4735" s="22">
        <v>2022.0</v>
      </c>
      <c r="J4735" s="16" t="str">
        <f>IFERROR(__xludf.DUMMYFUNCTION("FILTER('CLASFICACIÓN'!$F$3:$F5618,'CLASFICACIÓN'!$G$3:$G5618=M4735)"),"LOS 3 AÑOS")</f>
        <v>LOS 3 AÑOS</v>
      </c>
      <c r="K4735" s="16"/>
      <c r="L4735" s="14" t="s">
        <v>190</v>
      </c>
      <c r="M4735" s="16" t="str">
        <f t="shared" si="1"/>
        <v>501455 CRISTO REY TTIKARIY4 Primaria</v>
      </c>
      <c r="N4735" s="23"/>
      <c r="O4735" s="17"/>
      <c r="P4735" s="17"/>
      <c r="Q4735" s="17"/>
      <c r="R4735" s="17"/>
      <c r="S4735" s="17"/>
      <c r="T4735" s="17"/>
    </row>
    <row r="4736">
      <c r="A4736" s="21">
        <v>864.0</v>
      </c>
      <c r="B4736" s="14" t="s">
        <v>90</v>
      </c>
      <c r="C4736" s="14" t="s">
        <v>14</v>
      </c>
      <c r="D4736" s="20" t="s">
        <v>20</v>
      </c>
      <c r="E4736" s="12" t="str">
        <f>IFERROR(__xludf.DUMMYFUNCTION("FILTER(colegios!$B$2:$B5618,colegios!$A$2:$A5618=L4736)"),"501455 CRISTO REY TTIKARIY")</f>
        <v>501455 CRISTO REY TTIKARIY</v>
      </c>
      <c r="F4736" s="14" t="s">
        <v>16</v>
      </c>
      <c r="G4736" s="20" t="s">
        <v>21</v>
      </c>
      <c r="H4736" s="14" t="s">
        <v>18</v>
      </c>
      <c r="I4736" s="22">
        <v>2022.0</v>
      </c>
      <c r="J4736" s="16" t="str">
        <f>IFERROR(__xludf.DUMMYFUNCTION("FILTER('CLASFICACIÓN'!$F$3:$F5618,'CLASFICACIÓN'!$G$3:$G5618=M4736)"),"LOS 3 AÑOS")</f>
        <v>LOS 3 AÑOS</v>
      </c>
      <c r="K4736" s="16"/>
      <c r="L4736" s="14" t="s">
        <v>190</v>
      </c>
      <c r="M4736" s="16" t="str">
        <f t="shared" si="1"/>
        <v>501455 CRISTO REY TTIKARIY4 Primaria</v>
      </c>
      <c r="N4736" s="23"/>
      <c r="O4736" s="17"/>
      <c r="P4736" s="17"/>
      <c r="Q4736" s="17"/>
      <c r="R4736" s="17"/>
      <c r="S4736" s="17"/>
      <c r="T4736" s="17"/>
    </row>
    <row r="4737">
      <c r="A4737" s="21">
        <v>865.0</v>
      </c>
      <c r="B4737" s="14" t="s">
        <v>90</v>
      </c>
      <c r="C4737" s="14" t="s">
        <v>14</v>
      </c>
      <c r="D4737" s="20" t="s">
        <v>20</v>
      </c>
      <c r="E4737" s="12" t="str">
        <f>IFERROR(__xludf.DUMMYFUNCTION("FILTER(colegios!$B$2:$B5618,colegios!$A$2:$A5618=L4737)"),"501455 CRISTO REY TTIKARIY")</f>
        <v>501455 CRISTO REY TTIKARIY</v>
      </c>
      <c r="F4737" s="14" t="s">
        <v>16</v>
      </c>
      <c r="G4737" s="20" t="s">
        <v>17</v>
      </c>
      <c r="H4737" s="14" t="s">
        <v>18</v>
      </c>
      <c r="I4737" s="22">
        <v>2022.0</v>
      </c>
      <c r="J4737" s="16" t="str">
        <f>IFERROR(__xludf.DUMMYFUNCTION("FILTER('CLASFICACIÓN'!$F$3:$F5618,'CLASFICACIÓN'!$G$3:$G5618=M4737)"),"LOS 3 AÑOS")</f>
        <v>LOS 3 AÑOS</v>
      </c>
      <c r="K4737" s="16"/>
      <c r="L4737" s="14" t="s">
        <v>190</v>
      </c>
      <c r="M4737" s="16" t="str">
        <f t="shared" si="1"/>
        <v>501455 CRISTO REY TTIKARIY4 Primaria</v>
      </c>
      <c r="N4737" s="23"/>
      <c r="O4737" s="17"/>
      <c r="P4737" s="17"/>
      <c r="Q4737" s="17"/>
      <c r="R4737" s="17"/>
      <c r="S4737" s="17"/>
      <c r="T4737" s="17"/>
    </row>
    <row r="4738">
      <c r="A4738" s="21">
        <v>866.0</v>
      </c>
      <c r="B4738" s="14" t="s">
        <v>90</v>
      </c>
      <c r="C4738" s="14" t="s">
        <v>14</v>
      </c>
      <c r="D4738" s="20" t="s">
        <v>20</v>
      </c>
      <c r="E4738" s="12" t="str">
        <f>IFERROR(__xludf.DUMMYFUNCTION("FILTER(colegios!$B$2:$B5618,colegios!$A$2:$A5618=L4738)"),"501455 CRISTO REY TTIKARIY")</f>
        <v>501455 CRISTO REY TTIKARIY</v>
      </c>
      <c r="F4738" s="14" t="s">
        <v>16</v>
      </c>
      <c r="G4738" s="20" t="s">
        <v>17</v>
      </c>
      <c r="H4738" s="14" t="s">
        <v>18</v>
      </c>
      <c r="I4738" s="22">
        <v>2022.0</v>
      </c>
      <c r="J4738" s="16" t="str">
        <f>IFERROR(__xludf.DUMMYFUNCTION("FILTER('CLASFICACIÓN'!$F$3:$F5618,'CLASFICACIÓN'!$G$3:$G5618=M4738)"),"LOS 3 AÑOS")</f>
        <v>LOS 3 AÑOS</v>
      </c>
      <c r="K4738" s="16"/>
      <c r="L4738" s="14" t="s">
        <v>190</v>
      </c>
      <c r="M4738" s="16" t="str">
        <f t="shared" si="1"/>
        <v>501455 CRISTO REY TTIKARIY4 Primaria</v>
      </c>
      <c r="N4738" s="23"/>
      <c r="O4738" s="17"/>
      <c r="P4738" s="17"/>
      <c r="Q4738" s="17"/>
      <c r="R4738" s="17"/>
      <c r="S4738" s="17"/>
      <c r="T4738" s="17"/>
    </row>
    <row r="4739">
      <c r="A4739" s="21">
        <v>867.0</v>
      </c>
      <c r="B4739" s="14" t="s">
        <v>90</v>
      </c>
      <c r="C4739" s="14" t="s">
        <v>14</v>
      </c>
      <c r="D4739" s="20" t="s">
        <v>20</v>
      </c>
      <c r="E4739" s="12" t="str">
        <f>IFERROR(__xludf.DUMMYFUNCTION("FILTER(colegios!$B$2:$B5618,colegios!$A$2:$A5618=L4739)"),"501455 CRISTO REY TTIKARIY")</f>
        <v>501455 CRISTO REY TTIKARIY</v>
      </c>
      <c r="F4739" s="14" t="s">
        <v>16</v>
      </c>
      <c r="G4739" s="20" t="s">
        <v>21</v>
      </c>
      <c r="H4739" s="14" t="s">
        <v>18</v>
      </c>
      <c r="I4739" s="22">
        <v>2022.0</v>
      </c>
      <c r="J4739" s="16" t="str">
        <f>IFERROR(__xludf.DUMMYFUNCTION("FILTER('CLASFICACIÓN'!$F$3:$F5618,'CLASFICACIÓN'!$G$3:$G5618=M4739)"),"LOS 3 AÑOS")</f>
        <v>LOS 3 AÑOS</v>
      </c>
      <c r="K4739" s="16"/>
      <c r="L4739" s="14" t="s">
        <v>190</v>
      </c>
      <c r="M4739" s="16" t="str">
        <f t="shared" si="1"/>
        <v>501455 CRISTO REY TTIKARIY4 Primaria</v>
      </c>
      <c r="N4739" s="23"/>
      <c r="O4739" s="17"/>
      <c r="P4739" s="17"/>
      <c r="Q4739" s="17"/>
      <c r="R4739" s="17"/>
      <c r="S4739" s="17"/>
      <c r="T4739" s="17"/>
    </row>
    <row r="4740">
      <c r="A4740" s="21">
        <v>868.0</v>
      </c>
      <c r="B4740" s="14" t="s">
        <v>90</v>
      </c>
      <c r="C4740" s="14" t="s">
        <v>14</v>
      </c>
      <c r="D4740" s="20" t="s">
        <v>20</v>
      </c>
      <c r="E4740" s="12" t="str">
        <f>IFERROR(__xludf.DUMMYFUNCTION("FILTER(colegios!$B$2:$B5618,colegios!$A$2:$A5618=L4740)"),"501455 CRISTO REY TTIKARIY")</f>
        <v>501455 CRISTO REY TTIKARIY</v>
      </c>
      <c r="F4740" s="14" t="s">
        <v>16</v>
      </c>
      <c r="G4740" s="20" t="s">
        <v>17</v>
      </c>
      <c r="H4740" s="14" t="s">
        <v>18</v>
      </c>
      <c r="I4740" s="22">
        <v>2022.0</v>
      </c>
      <c r="J4740" s="16" t="str">
        <f>IFERROR(__xludf.DUMMYFUNCTION("FILTER('CLASFICACIÓN'!$F$3:$F5618,'CLASFICACIÓN'!$G$3:$G5618=M4740)"),"LOS 3 AÑOS")</f>
        <v>LOS 3 AÑOS</v>
      </c>
      <c r="K4740" s="16"/>
      <c r="L4740" s="14" t="s">
        <v>190</v>
      </c>
      <c r="M4740" s="16" t="str">
        <f t="shared" si="1"/>
        <v>501455 CRISTO REY TTIKARIY4 Primaria</v>
      </c>
      <c r="N4740" s="23"/>
      <c r="O4740" s="17"/>
      <c r="P4740" s="17"/>
      <c r="Q4740" s="17"/>
      <c r="R4740" s="17"/>
      <c r="S4740" s="17"/>
      <c r="T4740" s="17"/>
    </row>
    <row r="4741">
      <c r="A4741" s="21">
        <v>869.0</v>
      </c>
      <c r="B4741" s="14" t="s">
        <v>90</v>
      </c>
      <c r="C4741" s="14" t="s">
        <v>14</v>
      </c>
      <c r="D4741" s="20" t="s">
        <v>20</v>
      </c>
      <c r="E4741" s="12" t="str">
        <f>IFERROR(__xludf.DUMMYFUNCTION("FILTER(colegios!$B$2:$B5618,colegios!$A$2:$A5618=L4741)"),"501455 CRISTO REY TTIKARIY")</f>
        <v>501455 CRISTO REY TTIKARIY</v>
      </c>
      <c r="F4741" s="14" t="s">
        <v>16</v>
      </c>
      <c r="G4741" s="20" t="s">
        <v>17</v>
      </c>
      <c r="H4741" s="14" t="s">
        <v>18</v>
      </c>
      <c r="I4741" s="22">
        <v>2022.0</v>
      </c>
      <c r="J4741" s="16" t="str">
        <f>IFERROR(__xludf.DUMMYFUNCTION("FILTER('CLASFICACIÓN'!$F$3:$F5618,'CLASFICACIÓN'!$G$3:$G5618=M4741)"),"LOS 3 AÑOS")</f>
        <v>LOS 3 AÑOS</v>
      </c>
      <c r="K4741" s="16"/>
      <c r="L4741" s="14" t="s">
        <v>190</v>
      </c>
      <c r="M4741" s="16" t="str">
        <f t="shared" si="1"/>
        <v>501455 CRISTO REY TTIKARIY4 Primaria</v>
      </c>
      <c r="N4741" s="23"/>
      <c r="O4741" s="17"/>
      <c r="P4741" s="17"/>
      <c r="Q4741" s="17"/>
      <c r="R4741" s="17"/>
      <c r="S4741" s="17"/>
      <c r="T4741" s="17"/>
    </row>
    <row r="4742">
      <c r="A4742" s="21">
        <v>870.0</v>
      </c>
      <c r="B4742" s="14" t="s">
        <v>90</v>
      </c>
      <c r="C4742" s="14" t="s">
        <v>14</v>
      </c>
      <c r="D4742" s="20" t="s">
        <v>20</v>
      </c>
      <c r="E4742" s="12" t="str">
        <f>IFERROR(__xludf.DUMMYFUNCTION("FILTER(colegios!$B$2:$B5618,colegios!$A$2:$A5618=L4742)"),"501455 CRISTO REY TTIKARIY")</f>
        <v>501455 CRISTO REY TTIKARIY</v>
      </c>
      <c r="F4742" s="14" t="s">
        <v>16</v>
      </c>
      <c r="G4742" s="20" t="s">
        <v>17</v>
      </c>
      <c r="H4742" s="14" t="s">
        <v>18</v>
      </c>
      <c r="I4742" s="22">
        <v>2022.0</v>
      </c>
      <c r="J4742" s="16" t="str">
        <f>IFERROR(__xludf.DUMMYFUNCTION("FILTER('CLASFICACIÓN'!$F$3:$F5618,'CLASFICACIÓN'!$G$3:$G5618=M4742)"),"LOS 3 AÑOS")</f>
        <v>LOS 3 AÑOS</v>
      </c>
      <c r="K4742" s="16"/>
      <c r="L4742" s="14" t="s">
        <v>190</v>
      </c>
      <c r="M4742" s="16" t="str">
        <f t="shared" si="1"/>
        <v>501455 CRISTO REY TTIKARIY4 Primaria</v>
      </c>
      <c r="N4742" s="23"/>
      <c r="O4742" s="17"/>
      <c r="P4742" s="17"/>
      <c r="Q4742" s="17"/>
      <c r="R4742" s="17"/>
      <c r="S4742" s="17"/>
      <c r="T4742" s="17"/>
    </row>
    <row r="4743">
      <c r="A4743" s="21">
        <v>871.0</v>
      </c>
      <c r="B4743" s="14" t="s">
        <v>90</v>
      </c>
      <c r="C4743" s="14" t="s">
        <v>14</v>
      </c>
      <c r="D4743" s="20" t="s">
        <v>20</v>
      </c>
      <c r="E4743" s="12" t="str">
        <f>IFERROR(__xludf.DUMMYFUNCTION("FILTER(colegios!$B$2:$B5618,colegios!$A$2:$A5618=L4743)"),"501455 CRISTO REY TTIKARIY")</f>
        <v>501455 CRISTO REY TTIKARIY</v>
      </c>
      <c r="F4743" s="14" t="s">
        <v>16</v>
      </c>
      <c r="G4743" s="20" t="s">
        <v>17</v>
      </c>
      <c r="H4743" s="14" t="s">
        <v>18</v>
      </c>
      <c r="I4743" s="22">
        <v>2022.0</v>
      </c>
      <c r="J4743" s="16" t="str">
        <f>IFERROR(__xludf.DUMMYFUNCTION("FILTER('CLASFICACIÓN'!$F$3:$F5618,'CLASFICACIÓN'!$G$3:$G5618=M4743)"),"LOS 3 AÑOS")</f>
        <v>LOS 3 AÑOS</v>
      </c>
      <c r="K4743" s="16"/>
      <c r="L4743" s="14" t="s">
        <v>190</v>
      </c>
      <c r="M4743" s="16" t="str">
        <f t="shared" si="1"/>
        <v>501455 CRISTO REY TTIKARIY4 Primaria</v>
      </c>
      <c r="N4743" s="23"/>
      <c r="O4743" s="17"/>
      <c r="P4743" s="17"/>
      <c r="Q4743" s="17"/>
      <c r="R4743" s="17"/>
      <c r="S4743" s="17"/>
      <c r="T4743" s="17"/>
    </row>
    <row r="4744">
      <c r="A4744" s="21">
        <v>872.0</v>
      </c>
      <c r="B4744" s="14" t="s">
        <v>90</v>
      </c>
      <c r="C4744" s="14" t="s">
        <v>14</v>
      </c>
      <c r="D4744" s="20" t="s">
        <v>20</v>
      </c>
      <c r="E4744" s="12" t="str">
        <f>IFERROR(__xludf.DUMMYFUNCTION("FILTER(colegios!$B$2:$B5618,colegios!$A$2:$A5618=L4744)"),"501455 CRISTO REY TTIKARIY")</f>
        <v>501455 CRISTO REY TTIKARIY</v>
      </c>
      <c r="F4744" s="14" t="s">
        <v>16</v>
      </c>
      <c r="G4744" s="20" t="s">
        <v>17</v>
      </c>
      <c r="H4744" s="14" t="s">
        <v>18</v>
      </c>
      <c r="I4744" s="22">
        <v>2022.0</v>
      </c>
      <c r="J4744" s="16" t="str">
        <f>IFERROR(__xludf.DUMMYFUNCTION("FILTER('CLASFICACIÓN'!$F$3:$F5618,'CLASFICACIÓN'!$G$3:$G5618=M4744)"),"LOS 3 AÑOS")</f>
        <v>LOS 3 AÑOS</v>
      </c>
      <c r="K4744" s="16"/>
      <c r="L4744" s="14" t="s">
        <v>190</v>
      </c>
      <c r="M4744" s="16" t="str">
        <f t="shared" si="1"/>
        <v>501455 CRISTO REY TTIKARIY4 Primaria</v>
      </c>
      <c r="N4744" s="23"/>
      <c r="O4744" s="17"/>
      <c r="P4744" s="17"/>
      <c r="Q4744" s="17"/>
      <c r="R4744" s="17"/>
      <c r="S4744" s="17"/>
      <c r="T4744" s="17"/>
    </row>
    <row r="4745">
      <c r="A4745" s="21">
        <v>873.0</v>
      </c>
      <c r="B4745" s="14" t="s">
        <v>90</v>
      </c>
      <c r="C4745" s="14" t="s">
        <v>14</v>
      </c>
      <c r="D4745" s="20" t="s">
        <v>20</v>
      </c>
      <c r="E4745" s="12" t="str">
        <f>IFERROR(__xludf.DUMMYFUNCTION("FILTER(colegios!$B$2:$B5618,colegios!$A$2:$A5618=L4745)"),"501455 CRISTO REY TTIKARIY")</f>
        <v>501455 CRISTO REY TTIKARIY</v>
      </c>
      <c r="F4745" s="14" t="s">
        <v>16</v>
      </c>
      <c r="G4745" s="20" t="s">
        <v>21</v>
      </c>
      <c r="H4745" s="14" t="s">
        <v>18</v>
      </c>
      <c r="I4745" s="22">
        <v>2022.0</v>
      </c>
      <c r="J4745" s="16" t="str">
        <f>IFERROR(__xludf.DUMMYFUNCTION("FILTER('CLASFICACIÓN'!$F$3:$F5618,'CLASFICACIÓN'!$G$3:$G5618=M4745)"),"LOS 3 AÑOS")</f>
        <v>LOS 3 AÑOS</v>
      </c>
      <c r="K4745" s="16"/>
      <c r="L4745" s="14" t="s">
        <v>190</v>
      </c>
      <c r="M4745" s="16" t="str">
        <f t="shared" si="1"/>
        <v>501455 CRISTO REY TTIKARIY4 Primaria</v>
      </c>
      <c r="N4745" s="23"/>
      <c r="O4745" s="17"/>
      <c r="P4745" s="17"/>
      <c r="Q4745" s="17"/>
      <c r="R4745" s="17"/>
      <c r="S4745" s="17"/>
      <c r="T4745" s="17"/>
    </row>
    <row r="4746">
      <c r="A4746" s="21">
        <v>874.0</v>
      </c>
      <c r="B4746" s="14" t="s">
        <v>90</v>
      </c>
      <c r="C4746" s="14" t="s">
        <v>14</v>
      </c>
      <c r="D4746" s="20" t="s">
        <v>20</v>
      </c>
      <c r="E4746" s="12" t="str">
        <f>IFERROR(__xludf.DUMMYFUNCTION("FILTER(colegios!$B$2:$B5618,colegios!$A$2:$A5618=L4746)"),"501455 CRISTO REY TTIKARIY")</f>
        <v>501455 CRISTO REY TTIKARIY</v>
      </c>
      <c r="F4746" s="14" t="s">
        <v>16</v>
      </c>
      <c r="G4746" s="20" t="s">
        <v>17</v>
      </c>
      <c r="H4746" s="14" t="s">
        <v>18</v>
      </c>
      <c r="I4746" s="22">
        <v>2022.0</v>
      </c>
      <c r="J4746" s="16" t="str">
        <f>IFERROR(__xludf.DUMMYFUNCTION("FILTER('CLASFICACIÓN'!$F$3:$F5618,'CLASFICACIÓN'!$G$3:$G5618=M4746)"),"LOS 3 AÑOS")</f>
        <v>LOS 3 AÑOS</v>
      </c>
      <c r="K4746" s="16"/>
      <c r="L4746" s="14" t="s">
        <v>190</v>
      </c>
      <c r="M4746" s="16" t="str">
        <f t="shared" si="1"/>
        <v>501455 CRISTO REY TTIKARIY4 Primaria</v>
      </c>
      <c r="N4746" s="23"/>
      <c r="O4746" s="17"/>
      <c r="P4746" s="17"/>
      <c r="Q4746" s="17"/>
      <c r="R4746" s="17"/>
      <c r="S4746" s="17"/>
      <c r="T4746" s="17"/>
    </row>
    <row r="4747">
      <c r="A4747" s="21">
        <v>875.0</v>
      </c>
      <c r="B4747" s="14" t="s">
        <v>90</v>
      </c>
      <c r="C4747" s="14" t="s">
        <v>14</v>
      </c>
      <c r="D4747" s="20" t="s">
        <v>20</v>
      </c>
      <c r="E4747" s="12" t="str">
        <f>IFERROR(__xludf.DUMMYFUNCTION("FILTER(colegios!$B$2:$B5618,colegios!$A$2:$A5618=L4747)"),"501455 CRISTO REY TTIKARIY")</f>
        <v>501455 CRISTO REY TTIKARIY</v>
      </c>
      <c r="F4747" s="14" t="s">
        <v>16</v>
      </c>
      <c r="G4747" s="20" t="s">
        <v>21</v>
      </c>
      <c r="H4747" s="14" t="s">
        <v>18</v>
      </c>
      <c r="I4747" s="22">
        <v>2022.0</v>
      </c>
      <c r="J4747" s="16" t="str">
        <f>IFERROR(__xludf.DUMMYFUNCTION("FILTER('CLASFICACIÓN'!$F$3:$F5618,'CLASFICACIÓN'!$G$3:$G5618=M4747)"),"LOS 3 AÑOS")</f>
        <v>LOS 3 AÑOS</v>
      </c>
      <c r="K4747" s="16"/>
      <c r="L4747" s="14" t="s">
        <v>190</v>
      </c>
      <c r="M4747" s="16" t="str">
        <f t="shared" si="1"/>
        <v>501455 CRISTO REY TTIKARIY4 Primaria</v>
      </c>
      <c r="N4747" s="23"/>
      <c r="O4747" s="17"/>
      <c r="P4747" s="17"/>
      <c r="Q4747" s="17"/>
      <c r="R4747" s="17"/>
      <c r="S4747" s="17"/>
      <c r="T4747" s="17"/>
    </row>
    <row r="4748">
      <c r="A4748" s="21">
        <v>876.0</v>
      </c>
      <c r="B4748" s="14" t="s">
        <v>90</v>
      </c>
      <c r="C4748" s="14" t="s">
        <v>14</v>
      </c>
      <c r="D4748" s="20" t="s">
        <v>20</v>
      </c>
      <c r="E4748" s="12" t="str">
        <f>IFERROR(__xludf.DUMMYFUNCTION("FILTER(colegios!$B$2:$B5618,colegios!$A$2:$A5618=L4748)"),"501455 CRISTO REY TTIKARIY")</f>
        <v>501455 CRISTO REY TTIKARIY</v>
      </c>
      <c r="F4748" s="14" t="s">
        <v>16</v>
      </c>
      <c r="G4748" s="20" t="s">
        <v>17</v>
      </c>
      <c r="H4748" s="14" t="s">
        <v>18</v>
      </c>
      <c r="I4748" s="22">
        <v>2022.0</v>
      </c>
      <c r="J4748" s="16" t="str">
        <f>IFERROR(__xludf.DUMMYFUNCTION("FILTER('CLASFICACIÓN'!$F$3:$F5618,'CLASFICACIÓN'!$G$3:$G5618=M4748)"),"LOS 3 AÑOS")</f>
        <v>LOS 3 AÑOS</v>
      </c>
      <c r="K4748" s="16"/>
      <c r="L4748" s="14" t="s">
        <v>190</v>
      </c>
      <c r="M4748" s="16" t="str">
        <f t="shared" si="1"/>
        <v>501455 CRISTO REY TTIKARIY4 Primaria</v>
      </c>
      <c r="N4748" s="23"/>
      <c r="O4748" s="17"/>
      <c r="P4748" s="17"/>
      <c r="Q4748" s="17"/>
      <c r="R4748" s="17"/>
      <c r="S4748" s="17"/>
      <c r="T4748" s="17"/>
    </row>
    <row r="4749">
      <c r="A4749" s="21">
        <v>877.0</v>
      </c>
      <c r="B4749" s="14" t="s">
        <v>90</v>
      </c>
      <c r="C4749" s="14" t="s">
        <v>14</v>
      </c>
      <c r="D4749" s="20" t="s">
        <v>20</v>
      </c>
      <c r="E4749" s="12" t="str">
        <f>IFERROR(__xludf.DUMMYFUNCTION("FILTER(colegios!$B$2:$B5618,colegios!$A$2:$A5618=L4749)"),"501455 CRISTO REY TTIKARIY")</f>
        <v>501455 CRISTO REY TTIKARIY</v>
      </c>
      <c r="F4749" s="14" t="s">
        <v>16</v>
      </c>
      <c r="G4749" s="20" t="s">
        <v>17</v>
      </c>
      <c r="H4749" s="14" t="s">
        <v>18</v>
      </c>
      <c r="I4749" s="22">
        <v>2022.0</v>
      </c>
      <c r="J4749" s="16" t="str">
        <f>IFERROR(__xludf.DUMMYFUNCTION("FILTER('CLASFICACIÓN'!$F$3:$F5618,'CLASFICACIÓN'!$G$3:$G5618=M4749)"),"LOS 3 AÑOS")</f>
        <v>LOS 3 AÑOS</v>
      </c>
      <c r="K4749" s="16"/>
      <c r="L4749" s="14" t="s">
        <v>190</v>
      </c>
      <c r="M4749" s="16" t="str">
        <f t="shared" si="1"/>
        <v>501455 CRISTO REY TTIKARIY4 Primaria</v>
      </c>
      <c r="N4749" s="23"/>
      <c r="O4749" s="17"/>
      <c r="P4749" s="17"/>
      <c r="Q4749" s="17"/>
      <c r="R4749" s="17"/>
      <c r="S4749" s="17"/>
      <c r="T4749" s="17"/>
    </row>
    <row r="4750">
      <c r="A4750" s="21">
        <v>878.0</v>
      </c>
      <c r="B4750" s="14" t="s">
        <v>90</v>
      </c>
      <c r="C4750" s="14" t="s">
        <v>14</v>
      </c>
      <c r="D4750" s="20" t="s">
        <v>20</v>
      </c>
      <c r="E4750" s="12" t="str">
        <f>IFERROR(__xludf.DUMMYFUNCTION("FILTER(colegios!$B$2:$B5618,colegios!$A$2:$A5618=L4750)"),"501455 CRISTO REY TTIKARIY")</f>
        <v>501455 CRISTO REY TTIKARIY</v>
      </c>
      <c r="F4750" s="14" t="s">
        <v>16</v>
      </c>
      <c r="G4750" s="20" t="s">
        <v>17</v>
      </c>
      <c r="H4750" s="14" t="s">
        <v>18</v>
      </c>
      <c r="I4750" s="22">
        <v>2022.0</v>
      </c>
      <c r="J4750" s="16" t="str">
        <f>IFERROR(__xludf.DUMMYFUNCTION("FILTER('CLASFICACIÓN'!$F$3:$F5618,'CLASFICACIÓN'!$G$3:$G5618=M4750)"),"LOS 3 AÑOS")</f>
        <v>LOS 3 AÑOS</v>
      </c>
      <c r="K4750" s="16"/>
      <c r="L4750" s="14" t="s">
        <v>190</v>
      </c>
      <c r="M4750" s="16" t="str">
        <f t="shared" si="1"/>
        <v>501455 CRISTO REY TTIKARIY4 Primaria</v>
      </c>
      <c r="N4750" s="23"/>
      <c r="O4750" s="17"/>
      <c r="P4750" s="17"/>
      <c r="Q4750" s="17"/>
      <c r="R4750" s="17"/>
      <c r="S4750" s="17"/>
      <c r="T4750" s="17"/>
    </row>
    <row r="4751">
      <c r="A4751" s="21">
        <v>879.0</v>
      </c>
      <c r="B4751" s="14" t="s">
        <v>90</v>
      </c>
      <c r="C4751" s="14" t="s">
        <v>14</v>
      </c>
      <c r="D4751" s="20" t="s">
        <v>20</v>
      </c>
      <c r="E4751" s="12" t="str">
        <f>IFERROR(__xludf.DUMMYFUNCTION("FILTER(colegios!$B$2:$B5618,colegios!$A$2:$A5618=L4751)"),"501455 CRISTO REY TTIKARIY")</f>
        <v>501455 CRISTO REY TTIKARIY</v>
      </c>
      <c r="F4751" s="14" t="s">
        <v>16</v>
      </c>
      <c r="G4751" s="20" t="s">
        <v>17</v>
      </c>
      <c r="H4751" s="14" t="s">
        <v>18</v>
      </c>
      <c r="I4751" s="22">
        <v>2022.0</v>
      </c>
      <c r="J4751" s="16" t="str">
        <f>IFERROR(__xludf.DUMMYFUNCTION("FILTER('CLASFICACIÓN'!$F$3:$F5618,'CLASFICACIÓN'!$G$3:$G5618=M4751)"),"LOS 3 AÑOS")</f>
        <v>LOS 3 AÑOS</v>
      </c>
      <c r="K4751" s="16"/>
      <c r="L4751" s="14" t="s">
        <v>190</v>
      </c>
      <c r="M4751" s="16" t="str">
        <f t="shared" si="1"/>
        <v>501455 CRISTO REY TTIKARIY4 Primaria</v>
      </c>
      <c r="N4751" s="23"/>
      <c r="O4751" s="17"/>
      <c r="P4751" s="17"/>
      <c r="Q4751" s="17"/>
      <c r="R4751" s="17"/>
      <c r="S4751" s="17"/>
      <c r="T4751" s="17"/>
    </row>
    <row r="4752">
      <c r="A4752" s="21">
        <v>880.0</v>
      </c>
      <c r="B4752" s="14" t="s">
        <v>90</v>
      </c>
      <c r="C4752" s="14" t="s">
        <v>14</v>
      </c>
      <c r="D4752" s="20" t="s">
        <v>20</v>
      </c>
      <c r="E4752" s="12" t="str">
        <f>IFERROR(__xludf.DUMMYFUNCTION("FILTER(colegios!$B$2:$B5618,colegios!$A$2:$A5618=L4752)"),"501455 CRISTO REY TTIKARIY")</f>
        <v>501455 CRISTO REY TTIKARIY</v>
      </c>
      <c r="F4752" s="14" t="s">
        <v>16</v>
      </c>
      <c r="G4752" s="20" t="s">
        <v>21</v>
      </c>
      <c r="H4752" s="14" t="s">
        <v>18</v>
      </c>
      <c r="I4752" s="22">
        <v>2022.0</v>
      </c>
      <c r="J4752" s="16" t="str">
        <f>IFERROR(__xludf.DUMMYFUNCTION("FILTER('CLASFICACIÓN'!$F$3:$F5618,'CLASFICACIÓN'!$G$3:$G5618=M4752)"),"LOS 3 AÑOS")</f>
        <v>LOS 3 AÑOS</v>
      </c>
      <c r="K4752" s="16"/>
      <c r="L4752" s="14" t="s">
        <v>190</v>
      </c>
      <c r="M4752" s="16" t="str">
        <f t="shared" si="1"/>
        <v>501455 CRISTO REY TTIKARIY4 Primaria</v>
      </c>
      <c r="N4752" s="23"/>
      <c r="O4752" s="17"/>
      <c r="P4752" s="17"/>
      <c r="Q4752" s="17"/>
      <c r="R4752" s="17"/>
      <c r="S4752" s="17"/>
      <c r="T4752" s="17"/>
    </row>
    <row r="4753">
      <c r="A4753" s="21">
        <v>881.0</v>
      </c>
      <c r="B4753" s="14" t="s">
        <v>90</v>
      </c>
      <c r="C4753" s="14" t="s">
        <v>14</v>
      </c>
      <c r="D4753" s="20" t="s">
        <v>20</v>
      </c>
      <c r="E4753" s="12" t="str">
        <f>IFERROR(__xludf.DUMMYFUNCTION("FILTER(colegios!$B$2:$B5618,colegios!$A$2:$A5618=L4753)"),"501455 CRISTO REY TTIKARIY")</f>
        <v>501455 CRISTO REY TTIKARIY</v>
      </c>
      <c r="F4753" s="14" t="s">
        <v>16</v>
      </c>
      <c r="G4753" s="20" t="s">
        <v>17</v>
      </c>
      <c r="H4753" s="14" t="s">
        <v>18</v>
      </c>
      <c r="I4753" s="22">
        <v>2022.0</v>
      </c>
      <c r="J4753" s="16" t="str">
        <f>IFERROR(__xludf.DUMMYFUNCTION("FILTER('CLASFICACIÓN'!$F$3:$F5618,'CLASFICACIÓN'!$G$3:$G5618=M4753)"),"LOS 3 AÑOS")</f>
        <v>LOS 3 AÑOS</v>
      </c>
      <c r="K4753" s="16"/>
      <c r="L4753" s="14" t="s">
        <v>190</v>
      </c>
      <c r="M4753" s="16" t="str">
        <f t="shared" si="1"/>
        <v>501455 CRISTO REY TTIKARIY4 Primaria</v>
      </c>
      <c r="N4753" s="23"/>
      <c r="O4753" s="17"/>
      <c r="P4753" s="17"/>
      <c r="Q4753" s="17"/>
      <c r="R4753" s="17"/>
      <c r="S4753" s="17"/>
      <c r="T4753" s="17"/>
    </row>
    <row r="4754">
      <c r="A4754" s="21">
        <v>882.0</v>
      </c>
      <c r="B4754" s="14" t="s">
        <v>90</v>
      </c>
      <c r="C4754" s="14" t="s">
        <v>14</v>
      </c>
      <c r="D4754" s="20" t="s">
        <v>20</v>
      </c>
      <c r="E4754" s="12" t="str">
        <f>IFERROR(__xludf.DUMMYFUNCTION("FILTER(colegios!$B$2:$B5618,colegios!$A$2:$A5618=L4754)"),"501455 CRISTO REY TTIKARIY")</f>
        <v>501455 CRISTO REY TTIKARIY</v>
      </c>
      <c r="F4754" s="14" t="s">
        <v>16</v>
      </c>
      <c r="G4754" s="20" t="s">
        <v>17</v>
      </c>
      <c r="H4754" s="14" t="s">
        <v>18</v>
      </c>
      <c r="I4754" s="22">
        <v>2022.0</v>
      </c>
      <c r="J4754" s="16" t="str">
        <f>IFERROR(__xludf.DUMMYFUNCTION("FILTER('CLASFICACIÓN'!$F$3:$F5618,'CLASFICACIÓN'!$G$3:$G5618=M4754)"),"LOS 3 AÑOS")</f>
        <v>LOS 3 AÑOS</v>
      </c>
      <c r="K4754" s="16"/>
      <c r="L4754" s="14" t="s">
        <v>190</v>
      </c>
      <c r="M4754" s="16" t="str">
        <f t="shared" si="1"/>
        <v>501455 CRISTO REY TTIKARIY4 Primaria</v>
      </c>
      <c r="N4754" s="23"/>
      <c r="O4754" s="17"/>
      <c r="P4754" s="17"/>
      <c r="Q4754" s="17"/>
      <c r="R4754" s="17"/>
      <c r="S4754" s="17"/>
      <c r="T4754" s="17"/>
    </row>
    <row r="4755">
      <c r="A4755" s="21">
        <v>883.0</v>
      </c>
      <c r="B4755" s="14" t="s">
        <v>90</v>
      </c>
      <c r="C4755" s="14" t="s">
        <v>14</v>
      </c>
      <c r="D4755" s="20" t="s">
        <v>20</v>
      </c>
      <c r="E4755" s="12" t="str">
        <f>IFERROR(__xludf.DUMMYFUNCTION("FILTER(colegios!$B$2:$B5618,colegios!$A$2:$A5618=L4755)"),"501455 CRISTO REY TTIKARIY")</f>
        <v>501455 CRISTO REY TTIKARIY</v>
      </c>
      <c r="F4755" s="14" t="s">
        <v>16</v>
      </c>
      <c r="G4755" s="20" t="s">
        <v>21</v>
      </c>
      <c r="H4755" s="14" t="s">
        <v>18</v>
      </c>
      <c r="I4755" s="22">
        <v>2022.0</v>
      </c>
      <c r="J4755" s="16" t="str">
        <f>IFERROR(__xludf.DUMMYFUNCTION("FILTER('CLASFICACIÓN'!$F$3:$F5618,'CLASFICACIÓN'!$G$3:$G5618=M4755)"),"LOS 3 AÑOS")</f>
        <v>LOS 3 AÑOS</v>
      </c>
      <c r="K4755" s="16"/>
      <c r="L4755" s="14" t="s">
        <v>190</v>
      </c>
      <c r="M4755" s="16" t="str">
        <f t="shared" si="1"/>
        <v>501455 CRISTO REY TTIKARIY4 Primaria</v>
      </c>
      <c r="N4755" s="23"/>
      <c r="O4755" s="17"/>
      <c r="P4755" s="17"/>
      <c r="Q4755" s="17"/>
      <c r="R4755" s="17"/>
      <c r="S4755" s="17"/>
      <c r="T4755" s="17"/>
    </row>
    <row r="4756">
      <c r="A4756" s="21">
        <v>884.0</v>
      </c>
      <c r="B4756" s="14" t="s">
        <v>90</v>
      </c>
      <c r="C4756" s="14" t="s">
        <v>14</v>
      </c>
      <c r="D4756" s="20" t="s">
        <v>20</v>
      </c>
      <c r="E4756" s="12" t="str">
        <f>IFERROR(__xludf.DUMMYFUNCTION("FILTER(colegios!$B$2:$B5618,colegios!$A$2:$A5618=L4756)"),"501455 CRISTO REY TTIKARIY")</f>
        <v>501455 CRISTO REY TTIKARIY</v>
      </c>
      <c r="F4756" s="14" t="s">
        <v>16</v>
      </c>
      <c r="G4756" s="20" t="s">
        <v>17</v>
      </c>
      <c r="H4756" s="14" t="s">
        <v>18</v>
      </c>
      <c r="I4756" s="22">
        <v>2022.0</v>
      </c>
      <c r="J4756" s="16" t="str">
        <f>IFERROR(__xludf.DUMMYFUNCTION("FILTER('CLASFICACIÓN'!$F$3:$F5618,'CLASFICACIÓN'!$G$3:$G5618=M4756)"),"LOS 3 AÑOS")</f>
        <v>LOS 3 AÑOS</v>
      </c>
      <c r="K4756" s="16"/>
      <c r="L4756" s="14" t="s">
        <v>190</v>
      </c>
      <c r="M4756" s="16" t="str">
        <f t="shared" si="1"/>
        <v>501455 CRISTO REY TTIKARIY4 Primaria</v>
      </c>
      <c r="N4756" s="23"/>
      <c r="O4756" s="17"/>
      <c r="P4756" s="17"/>
      <c r="Q4756" s="17"/>
      <c r="R4756" s="17"/>
      <c r="S4756" s="17"/>
      <c r="T4756" s="17"/>
    </row>
    <row r="4757">
      <c r="A4757" s="21">
        <v>885.0</v>
      </c>
      <c r="B4757" s="14" t="s">
        <v>90</v>
      </c>
      <c r="C4757" s="14" t="s">
        <v>14</v>
      </c>
      <c r="D4757" s="20" t="s">
        <v>20</v>
      </c>
      <c r="E4757" s="12" t="str">
        <f>IFERROR(__xludf.DUMMYFUNCTION("FILTER(colegios!$B$2:$B5618,colegios!$A$2:$A5618=L4757)"),"501455 CRISTO REY TTIKARIY")</f>
        <v>501455 CRISTO REY TTIKARIY</v>
      </c>
      <c r="F4757" s="14" t="s">
        <v>16</v>
      </c>
      <c r="G4757" s="20" t="s">
        <v>21</v>
      </c>
      <c r="H4757" s="14" t="s">
        <v>18</v>
      </c>
      <c r="I4757" s="22">
        <v>2022.0</v>
      </c>
      <c r="J4757" s="16" t="str">
        <f>IFERROR(__xludf.DUMMYFUNCTION("FILTER('CLASFICACIÓN'!$F$3:$F5618,'CLASFICACIÓN'!$G$3:$G5618=M4757)"),"LOS 3 AÑOS")</f>
        <v>LOS 3 AÑOS</v>
      </c>
      <c r="K4757" s="16"/>
      <c r="L4757" s="14" t="s">
        <v>190</v>
      </c>
      <c r="M4757" s="16" t="str">
        <f t="shared" si="1"/>
        <v>501455 CRISTO REY TTIKARIY4 Primaria</v>
      </c>
      <c r="N4757" s="23"/>
      <c r="O4757" s="17"/>
      <c r="P4757" s="17"/>
      <c r="Q4757" s="17"/>
      <c r="R4757" s="17"/>
      <c r="S4757" s="17"/>
      <c r="T4757" s="17"/>
    </row>
    <row r="4758">
      <c r="A4758" s="21">
        <v>886.0</v>
      </c>
      <c r="B4758" s="14" t="s">
        <v>90</v>
      </c>
      <c r="C4758" s="14" t="s">
        <v>14</v>
      </c>
      <c r="D4758" s="20" t="s">
        <v>20</v>
      </c>
      <c r="E4758" s="12" t="str">
        <f>IFERROR(__xludf.DUMMYFUNCTION("FILTER(colegios!$B$2:$B5618,colegios!$A$2:$A5618=L4758)"),"501455 CRISTO REY TTIKARIY")</f>
        <v>501455 CRISTO REY TTIKARIY</v>
      </c>
      <c r="F4758" s="14" t="s">
        <v>16</v>
      </c>
      <c r="G4758" s="20" t="s">
        <v>21</v>
      </c>
      <c r="H4758" s="14" t="s">
        <v>18</v>
      </c>
      <c r="I4758" s="22">
        <v>2022.0</v>
      </c>
      <c r="J4758" s="16" t="str">
        <f>IFERROR(__xludf.DUMMYFUNCTION("FILTER('CLASFICACIÓN'!$F$3:$F5618,'CLASFICACIÓN'!$G$3:$G5618=M4758)"),"LOS 3 AÑOS")</f>
        <v>LOS 3 AÑOS</v>
      </c>
      <c r="K4758" s="16"/>
      <c r="L4758" s="14" t="s">
        <v>190</v>
      </c>
      <c r="M4758" s="16" t="str">
        <f t="shared" si="1"/>
        <v>501455 CRISTO REY TTIKARIY4 Primaria</v>
      </c>
      <c r="N4758" s="23"/>
      <c r="O4758" s="17"/>
      <c r="P4758" s="17"/>
      <c r="Q4758" s="17"/>
      <c r="R4758" s="17"/>
      <c r="S4758" s="17"/>
      <c r="T4758" s="17"/>
    </row>
    <row r="4759">
      <c r="A4759" s="21">
        <v>887.0</v>
      </c>
      <c r="B4759" s="14" t="s">
        <v>90</v>
      </c>
      <c r="C4759" s="14" t="s">
        <v>14</v>
      </c>
      <c r="D4759" s="20" t="s">
        <v>20</v>
      </c>
      <c r="E4759" s="12" t="str">
        <f>IFERROR(__xludf.DUMMYFUNCTION("FILTER(colegios!$B$2:$B5618,colegios!$A$2:$A5618=L4759)"),"501455 CRISTO REY TTIKARIY")</f>
        <v>501455 CRISTO REY TTIKARIY</v>
      </c>
      <c r="F4759" s="14" t="s">
        <v>16</v>
      </c>
      <c r="G4759" s="20" t="s">
        <v>17</v>
      </c>
      <c r="H4759" s="14" t="s">
        <v>18</v>
      </c>
      <c r="I4759" s="22">
        <v>2022.0</v>
      </c>
      <c r="J4759" s="16" t="str">
        <f>IFERROR(__xludf.DUMMYFUNCTION("FILTER('CLASFICACIÓN'!$F$3:$F5618,'CLASFICACIÓN'!$G$3:$G5618=M4759)"),"LOS 3 AÑOS")</f>
        <v>LOS 3 AÑOS</v>
      </c>
      <c r="K4759" s="16"/>
      <c r="L4759" s="14" t="s">
        <v>190</v>
      </c>
      <c r="M4759" s="16" t="str">
        <f t="shared" si="1"/>
        <v>501455 CRISTO REY TTIKARIY4 Primaria</v>
      </c>
      <c r="N4759" s="23"/>
      <c r="O4759" s="17"/>
      <c r="P4759" s="17"/>
      <c r="Q4759" s="17"/>
      <c r="R4759" s="17"/>
      <c r="S4759" s="17"/>
      <c r="T4759" s="17"/>
    </row>
    <row r="4760">
      <c r="A4760" s="21">
        <v>888.0</v>
      </c>
      <c r="B4760" s="14" t="s">
        <v>90</v>
      </c>
      <c r="C4760" s="14" t="s">
        <v>14</v>
      </c>
      <c r="D4760" s="20" t="s">
        <v>20</v>
      </c>
      <c r="E4760" s="12" t="str">
        <f>IFERROR(__xludf.DUMMYFUNCTION("FILTER(colegios!$B$2:$B5618,colegios!$A$2:$A5618=L4760)"),"501455 CRISTO REY TTIKARIY")</f>
        <v>501455 CRISTO REY TTIKARIY</v>
      </c>
      <c r="F4760" s="14" t="s">
        <v>16</v>
      </c>
      <c r="G4760" s="20" t="s">
        <v>17</v>
      </c>
      <c r="H4760" s="14" t="s">
        <v>18</v>
      </c>
      <c r="I4760" s="22">
        <v>2022.0</v>
      </c>
      <c r="J4760" s="16" t="str">
        <f>IFERROR(__xludf.DUMMYFUNCTION("FILTER('CLASFICACIÓN'!$F$3:$F5618,'CLASFICACIÓN'!$G$3:$G5618=M4760)"),"LOS 3 AÑOS")</f>
        <v>LOS 3 AÑOS</v>
      </c>
      <c r="K4760" s="16"/>
      <c r="L4760" s="14" t="s">
        <v>190</v>
      </c>
      <c r="M4760" s="16" t="str">
        <f t="shared" si="1"/>
        <v>501455 CRISTO REY TTIKARIY4 Primaria</v>
      </c>
      <c r="N4760" s="23"/>
      <c r="O4760" s="17"/>
      <c r="P4760" s="17"/>
      <c r="Q4760" s="17"/>
      <c r="R4760" s="17"/>
      <c r="S4760" s="17"/>
      <c r="T4760" s="17"/>
    </row>
    <row r="4761">
      <c r="A4761" s="21">
        <v>889.0</v>
      </c>
      <c r="B4761" s="14" t="s">
        <v>90</v>
      </c>
      <c r="C4761" s="14" t="s">
        <v>14</v>
      </c>
      <c r="D4761" s="20" t="s">
        <v>20</v>
      </c>
      <c r="E4761" s="12" t="str">
        <f>IFERROR(__xludf.DUMMYFUNCTION("FILTER(colegios!$B$2:$B5618,colegios!$A$2:$A5618=L4761)"),"501455 CRISTO REY TTIKARIY")</f>
        <v>501455 CRISTO REY TTIKARIY</v>
      </c>
      <c r="F4761" s="14" t="s">
        <v>16</v>
      </c>
      <c r="G4761" s="20" t="s">
        <v>17</v>
      </c>
      <c r="H4761" s="14" t="s">
        <v>18</v>
      </c>
      <c r="I4761" s="22">
        <v>2022.0</v>
      </c>
      <c r="J4761" s="16" t="str">
        <f>IFERROR(__xludf.DUMMYFUNCTION("FILTER('CLASFICACIÓN'!$F$3:$F5618,'CLASFICACIÓN'!$G$3:$G5618=M4761)"),"LOS 3 AÑOS")</f>
        <v>LOS 3 AÑOS</v>
      </c>
      <c r="K4761" s="16"/>
      <c r="L4761" s="14" t="s">
        <v>190</v>
      </c>
      <c r="M4761" s="16" t="str">
        <f t="shared" si="1"/>
        <v>501455 CRISTO REY TTIKARIY4 Primaria</v>
      </c>
      <c r="N4761" s="23"/>
      <c r="O4761" s="17"/>
      <c r="P4761" s="17"/>
      <c r="Q4761" s="17"/>
      <c r="R4761" s="17"/>
      <c r="S4761" s="17"/>
      <c r="T4761" s="17"/>
    </row>
    <row r="4762">
      <c r="A4762" s="21">
        <v>890.0</v>
      </c>
      <c r="B4762" s="14" t="s">
        <v>90</v>
      </c>
      <c r="C4762" s="14" t="s">
        <v>14</v>
      </c>
      <c r="D4762" s="20" t="s">
        <v>20</v>
      </c>
      <c r="E4762" s="12" t="str">
        <f>IFERROR(__xludf.DUMMYFUNCTION("FILTER(colegios!$B$2:$B5618,colegios!$A$2:$A5618=L4762)"),"501455 CRISTO REY TTIKARIY")</f>
        <v>501455 CRISTO REY TTIKARIY</v>
      </c>
      <c r="F4762" s="14" t="s">
        <v>16</v>
      </c>
      <c r="G4762" s="20" t="s">
        <v>17</v>
      </c>
      <c r="H4762" s="14" t="s">
        <v>18</v>
      </c>
      <c r="I4762" s="22">
        <v>2022.0</v>
      </c>
      <c r="J4762" s="16" t="str">
        <f>IFERROR(__xludf.DUMMYFUNCTION("FILTER('CLASFICACIÓN'!$F$3:$F5618,'CLASFICACIÓN'!$G$3:$G5618=M4762)"),"LOS 3 AÑOS")</f>
        <v>LOS 3 AÑOS</v>
      </c>
      <c r="K4762" s="16"/>
      <c r="L4762" s="14" t="s">
        <v>190</v>
      </c>
      <c r="M4762" s="16" t="str">
        <f t="shared" si="1"/>
        <v>501455 CRISTO REY TTIKARIY4 Primaria</v>
      </c>
      <c r="N4762" s="23"/>
      <c r="O4762" s="17"/>
      <c r="P4762" s="17"/>
      <c r="Q4762" s="17"/>
      <c r="R4762" s="17"/>
      <c r="S4762" s="17"/>
      <c r="T4762" s="17"/>
    </row>
    <row r="4763">
      <c r="A4763" s="21">
        <v>891.0</v>
      </c>
      <c r="B4763" s="14" t="s">
        <v>90</v>
      </c>
      <c r="C4763" s="14" t="s">
        <v>14</v>
      </c>
      <c r="D4763" s="20" t="s">
        <v>20</v>
      </c>
      <c r="E4763" s="12" t="str">
        <f>IFERROR(__xludf.DUMMYFUNCTION("FILTER(colegios!$B$2:$B5618,colegios!$A$2:$A5618=L4763)"),"501455 CRISTO REY TTIKARIY")</f>
        <v>501455 CRISTO REY TTIKARIY</v>
      </c>
      <c r="F4763" s="14" t="s">
        <v>16</v>
      </c>
      <c r="G4763" s="20" t="s">
        <v>17</v>
      </c>
      <c r="H4763" s="14" t="s">
        <v>18</v>
      </c>
      <c r="I4763" s="22">
        <v>2022.0</v>
      </c>
      <c r="J4763" s="16" t="str">
        <f>IFERROR(__xludf.DUMMYFUNCTION("FILTER('CLASFICACIÓN'!$F$3:$F5618,'CLASFICACIÓN'!$G$3:$G5618=M4763)"),"LOS 3 AÑOS")</f>
        <v>LOS 3 AÑOS</v>
      </c>
      <c r="K4763" s="16"/>
      <c r="L4763" s="14" t="s">
        <v>190</v>
      </c>
      <c r="M4763" s="16" t="str">
        <f t="shared" si="1"/>
        <v>501455 CRISTO REY TTIKARIY4 Primaria</v>
      </c>
      <c r="N4763" s="23"/>
      <c r="O4763" s="17"/>
      <c r="P4763" s="17"/>
      <c r="Q4763" s="17"/>
      <c r="R4763" s="17"/>
      <c r="S4763" s="17"/>
      <c r="T4763" s="17"/>
    </row>
    <row r="4764">
      <c r="A4764" s="21">
        <v>892.0</v>
      </c>
      <c r="B4764" s="14" t="s">
        <v>90</v>
      </c>
      <c r="C4764" s="14" t="s">
        <v>14</v>
      </c>
      <c r="D4764" s="20" t="s">
        <v>20</v>
      </c>
      <c r="E4764" s="12" t="str">
        <f>IFERROR(__xludf.DUMMYFUNCTION("FILTER(colegios!$B$2:$B5618,colegios!$A$2:$A5618=L4764)"),"501455 CRISTO REY TTIKARIY")</f>
        <v>501455 CRISTO REY TTIKARIY</v>
      </c>
      <c r="F4764" s="14" t="s">
        <v>16</v>
      </c>
      <c r="G4764" s="20" t="s">
        <v>21</v>
      </c>
      <c r="H4764" s="14" t="s">
        <v>18</v>
      </c>
      <c r="I4764" s="22">
        <v>2022.0</v>
      </c>
      <c r="J4764" s="16" t="str">
        <f>IFERROR(__xludf.DUMMYFUNCTION("FILTER('CLASFICACIÓN'!$F$3:$F5618,'CLASFICACIÓN'!$G$3:$G5618=M4764)"),"LOS 3 AÑOS")</f>
        <v>LOS 3 AÑOS</v>
      </c>
      <c r="K4764" s="16"/>
      <c r="L4764" s="14" t="s">
        <v>190</v>
      </c>
      <c r="M4764" s="16" t="str">
        <f t="shared" si="1"/>
        <v>501455 CRISTO REY TTIKARIY4 Primaria</v>
      </c>
      <c r="N4764" s="23"/>
      <c r="O4764" s="17"/>
      <c r="P4764" s="17"/>
      <c r="Q4764" s="17"/>
      <c r="R4764" s="17"/>
      <c r="S4764" s="17"/>
      <c r="T4764" s="17"/>
    </row>
    <row r="4765">
      <c r="A4765" s="21">
        <v>893.0</v>
      </c>
      <c r="B4765" s="14" t="s">
        <v>90</v>
      </c>
      <c r="C4765" s="14" t="s">
        <v>14</v>
      </c>
      <c r="D4765" s="20" t="s">
        <v>20</v>
      </c>
      <c r="E4765" s="12" t="str">
        <f>IFERROR(__xludf.DUMMYFUNCTION("FILTER(colegios!$B$2:$B5618,colegios!$A$2:$A5618=L4765)"),"501455 CRISTO REY TTIKARIY")</f>
        <v>501455 CRISTO REY TTIKARIY</v>
      </c>
      <c r="F4765" s="14" t="s">
        <v>16</v>
      </c>
      <c r="G4765" s="20" t="s">
        <v>17</v>
      </c>
      <c r="H4765" s="14" t="s">
        <v>18</v>
      </c>
      <c r="I4765" s="22">
        <v>2022.0</v>
      </c>
      <c r="J4765" s="16" t="str">
        <f>IFERROR(__xludf.DUMMYFUNCTION("FILTER('CLASFICACIÓN'!$F$3:$F5618,'CLASFICACIÓN'!$G$3:$G5618=M4765)"),"LOS 3 AÑOS")</f>
        <v>LOS 3 AÑOS</v>
      </c>
      <c r="K4765" s="16"/>
      <c r="L4765" s="14" t="s">
        <v>190</v>
      </c>
      <c r="M4765" s="16" t="str">
        <f t="shared" si="1"/>
        <v>501455 CRISTO REY TTIKARIY4 Primaria</v>
      </c>
      <c r="N4765" s="23"/>
      <c r="O4765" s="17"/>
      <c r="P4765" s="17"/>
      <c r="Q4765" s="17"/>
      <c r="R4765" s="17"/>
      <c r="S4765" s="17"/>
      <c r="T4765" s="17"/>
    </row>
    <row r="4766">
      <c r="A4766" s="21">
        <v>894.0</v>
      </c>
      <c r="B4766" s="14" t="s">
        <v>90</v>
      </c>
      <c r="C4766" s="14" t="s">
        <v>14</v>
      </c>
      <c r="D4766" s="20" t="s">
        <v>20</v>
      </c>
      <c r="E4766" s="12" t="str">
        <f>IFERROR(__xludf.DUMMYFUNCTION("FILTER(colegios!$B$2:$B5618,colegios!$A$2:$A5618=L4766)"),"501455 CRISTO REY TTIKARIY")</f>
        <v>501455 CRISTO REY TTIKARIY</v>
      </c>
      <c r="F4766" s="14" t="s">
        <v>16</v>
      </c>
      <c r="G4766" s="20" t="s">
        <v>17</v>
      </c>
      <c r="H4766" s="14" t="s">
        <v>18</v>
      </c>
      <c r="I4766" s="22">
        <v>2022.0</v>
      </c>
      <c r="J4766" s="16" t="str">
        <f>IFERROR(__xludf.DUMMYFUNCTION("FILTER('CLASFICACIÓN'!$F$3:$F5618,'CLASFICACIÓN'!$G$3:$G5618=M4766)"),"LOS 3 AÑOS")</f>
        <v>LOS 3 AÑOS</v>
      </c>
      <c r="K4766" s="16"/>
      <c r="L4766" s="14" t="s">
        <v>190</v>
      </c>
      <c r="M4766" s="16" t="str">
        <f t="shared" si="1"/>
        <v>501455 CRISTO REY TTIKARIY4 Primaria</v>
      </c>
      <c r="N4766" s="23"/>
      <c r="O4766" s="17"/>
      <c r="P4766" s="17"/>
      <c r="Q4766" s="17"/>
      <c r="R4766" s="17"/>
      <c r="S4766" s="17"/>
      <c r="T4766" s="17"/>
    </row>
    <row r="4767">
      <c r="A4767" s="21">
        <v>895.0</v>
      </c>
      <c r="B4767" s="14" t="s">
        <v>90</v>
      </c>
      <c r="C4767" s="14" t="s">
        <v>14</v>
      </c>
      <c r="D4767" s="20" t="s">
        <v>20</v>
      </c>
      <c r="E4767" s="12" t="str">
        <f>IFERROR(__xludf.DUMMYFUNCTION("FILTER(colegios!$B$2:$B5618,colegios!$A$2:$A5618=L4767)"),"501455 CRISTO REY TTIKARIY")</f>
        <v>501455 CRISTO REY TTIKARIY</v>
      </c>
      <c r="F4767" s="14" t="s">
        <v>16</v>
      </c>
      <c r="G4767" s="20" t="s">
        <v>21</v>
      </c>
      <c r="H4767" s="14" t="s">
        <v>18</v>
      </c>
      <c r="I4767" s="22">
        <v>2022.0</v>
      </c>
      <c r="J4767" s="16" t="str">
        <f>IFERROR(__xludf.DUMMYFUNCTION("FILTER('CLASFICACIÓN'!$F$3:$F5618,'CLASFICACIÓN'!$G$3:$G5618=M4767)"),"LOS 3 AÑOS")</f>
        <v>LOS 3 AÑOS</v>
      </c>
      <c r="K4767" s="16"/>
      <c r="L4767" s="14" t="s">
        <v>190</v>
      </c>
      <c r="M4767" s="16" t="str">
        <f t="shared" si="1"/>
        <v>501455 CRISTO REY TTIKARIY4 Primaria</v>
      </c>
      <c r="N4767" s="23"/>
      <c r="O4767" s="17"/>
      <c r="P4767" s="17"/>
      <c r="Q4767" s="17"/>
      <c r="R4767" s="17"/>
      <c r="S4767" s="17"/>
      <c r="T4767" s="17"/>
    </row>
    <row r="4768">
      <c r="A4768" s="21">
        <v>896.0</v>
      </c>
      <c r="B4768" s="14" t="s">
        <v>90</v>
      </c>
      <c r="C4768" s="14" t="s">
        <v>14</v>
      </c>
      <c r="D4768" s="20" t="s">
        <v>20</v>
      </c>
      <c r="E4768" s="12" t="str">
        <f>IFERROR(__xludf.DUMMYFUNCTION("FILTER(colegios!$B$2:$B5618,colegios!$A$2:$A5618=L4768)"),"501455 CRISTO REY TTIKARIY")</f>
        <v>501455 CRISTO REY TTIKARIY</v>
      </c>
      <c r="F4768" s="14" t="s">
        <v>16</v>
      </c>
      <c r="G4768" s="20" t="s">
        <v>17</v>
      </c>
      <c r="H4768" s="14" t="s">
        <v>18</v>
      </c>
      <c r="I4768" s="22">
        <v>2022.0</v>
      </c>
      <c r="J4768" s="16" t="str">
        <f>IFERROR(__xludf.DUMMYFUNCTION("FILTER('CLASFICACIÓN'!$F$3:$F5618,'CLASFICACIÓN'!$G$3:$G5618=M4768)"),"LOS 3 AÑOS")</f>
        <v>LOS 3 AÑOS</v>
      </c>
      <c r="K4768" s="16"/>
      <c r="L4768" s="14" t="s">
        <v>190</v>
      </c>
      <c r="M4768" s="16" t="str">
        <f t="shared" si="1"/>
        <v>501455 CRISTO REY TTIKARIY4 Primaria</v>
      </c>
      <c r="N4768" s="23"/>
      <c r="O4768" s="17"/>
      <c r="P4768" s="17"/>
      <c r="Q4768" s="17"/>
      <c r="R4768" s="17"/>
      <c r="S4768" s="17"/>
      <c r="T4768" s="17"/>
    </row>
    <row r="4769">
      <c r="A4769" s="21">
        <v>897.0</v>
      </c>
      <c r="B4769" s="14" t="s">
        <v>90</v>
      </c>
      <c r="C4769" s="14" t="s">
        <v>14</v>
      </c>
      <c r="D4769" s="20" t="s">
        <v>20</v>
      </c>
      <c r="E4769" s="12" t="str">
        <f>IFERROR(__xludf.DUMMYFUNCTION("FILTER(colegios!$B$2:$B5618,colegios!$A$2:$A5618=L4769)"),"501455 CRISTO REY TTIKARIY")</f>
        <v>501455 CRISTO REY TTIKARIY</v>
      </c>
      <c r="F4769" s="14" t="s">
        <v>16</v>
      </c>
      <c r="G4769" s="20" t="s">
        <v>21</v>
      </c>
      <c r="H4769" s="14" t="s">
        <v>18</v>
      </c>
      <c r="I4769" s="22">
        <v>2022.0</v>
      </c>
      <c r="J4769" s="16" t="str">
        <f>IFERROR(__xludf.DUMMYFUNCTION("FILTER('CLASFICACIÓN'!$F$3:$F5618,'CLASFICACIÓN'!$G$3:$G5618=M4769)"),"LOS 3 AÑOS")</f>
        <v>LOS 3 AÑOS</v>
      </c>
      <c r="K4769" s="16"/>
      <c r="L4769" s="14" t="s">
        <v>190</v>
      </c>
      <c r="M4769" s="16" t="str">
        <f t="shared" si="1"/>
        <v>501455 CRISTO REY TTIKARIY4 Primaria</v>
      </c>
      <c r="N4769" s="23"/>
      <c r="O4769" s="17"/>
      <c r="P4769" s="17"/>
      <c r="Q4769" s="17"/>
      <c r="R4769" s="17"/>
      <c r="S4769" s="17"/>
      <c r="T4769" s="17"/>
    </row>
    <row r="4770">
      <c r="A4770" s="21">
        <v>898.0</v>
      </c>
      <c r="B4770" s="14" t="s">
        <v>90</v>
      </c>
      <c r="C4770" s="14" t="s">
        <v>14</v>
      </c>
      <c r="D4770" s="20" t="s">
        <v>20</v>
      </c>
      <c r="E4770" s="12" t="str">
        <f>IFERROR(__xludf.DUMMYFUNCTION("FILTER(colegios!$B$2:$B5618,colegios!$A$2:$A5618=L4770)"),"501455 CRISTO REY TTIKARIY")</f>
        <v>501455 CRISTO REY TTIKARIY</v>
      </c>
      <c r="F4770" s="14" t="s">
        <v>16</v>
      </c>
      <c r="G4770" s="20" t="s">
        <v>21</v>
      </c>
      <c r="H4770" s="14" t="s">
        <v>18</v>
      </c>
      <c r="I4770" s="22">
        <v>2022.0</v>
      </c>
      <c r="J4770" s="16" t="str">
        <f>IFERROR(__xludf.DUMMYFUNCTION("FILTER('CLASFICACIÓN'!$F$3:$F5618,'CLASFICACIÓN'!$G$3:$G5618=M4770)"),"LOS 3 AÑOS")</f>
        <v>LOS 3 AÑOS</v>
      </c>
      <c r="K4770" s="16"/>
      <c r="L4770" s="14" t="s">
        <v>190</v>
      </c>
      <c r="M4770" s="16" t="str">
        <f t="shared" si="1"/>
        <v>501455 CRISTO REY TTIKARIY4 Primaria</v>
      </c>
      <c r="N4770" s="23"/>
      <c r="O4770" s="17"/>
      <c r="P4770" s="17"/>
      <c r="Q4770" s="17"/>
      <c r="R4770" s="17"/>
      <c r="S4770" s="17"/>
      <c r="T4770" s="17"/>
    </row>
    <row r="4771">
      <c r="A4771" s="21">
        <v>899.0</v>
      </c>
      <c r="B4771" s="14" t="s">
        <v>90</v>
      </c>
      <c r="C4771" s="14" t="s">
        <v>14</v>
      </c>
      <c r="D4771" s="20" t="s">
        <v>20</v>
      </c>
      <c r="E4771" s="12" t="str">
        <f>IFERROR(__xludf.DUMMYFUNCTION("FILTER(colegios!$B$2:$B5618,colegios!$A$2:$A5618=L4771)"),"501455 CRISTO REY TTIKARIY")</f>
        <v>501455 CRISTO REY TTIKARIY</v>
      </c>
      <c r="F4771" s="14" t="s">
        <v>16</v>
      </c>
      <c r="G4771" s="20" t="s">
        <v>21</v>
      </c>
      <c r="H4771" s="14" t="s">
        <v>18</v>
      </c>
      <c r="I4771" s="22">
        <v>2022.0</v>
      </c>
      <c r="J4771" s="16" t="str">
        <f>IFERROR(__xludf.DUMMYFUNCTION("FILTER('CLASFICACIÓN'!$F$3:$F5618,'CLASFICACIÓN'!$G$3:$G5618=M4771)"),"LOS 3 AÑOS")</f>
        <v>LOS 3 AÑOS</v>
      </c>
      <c r="K4771" s="16"/>
      <c r="L4771" s="14" t="s">
        <v>190</v>
      </c>
      <c r="M4771" s="16" t="str">
        <f t="shared" si="1"/>
        <v>501455 CRISTO REY TTIKARIY4 Primaria</v>
      </c>
      <c r="N4771" s="23"/>
      <c r="O4771" s="17"/>
      <c r="P4771" s="17"/>
      <c r="Q4771" s="17"/>
      <c r="R4771" s="17"/>
      <c r="S4771" s="17"/>
      <c r="T4771" s="17"/>
    </row>
    <row r="4772">
      <c r="A4772" s="21">
        <v>900.0</v>
      </c>
      <c r="B4772" s="14" t="s">
        <v>90</v>
      </c>
      <c r="C4772" s="14" t="s">
        <v>14</v>
      </c>
      <c r="D4772" s="20" t="s">
        <v>20</v>
      </c>
      <c r="E4772" s="12" t="str">
        <f>IFERROR(__xludf.DUMMYFUNCTION("FILTER(colegios!$B$2:$B5618,colegios!$A$2:$A5618=L4772)"),"501455 CRISTO REY TTIKARIY")</f>
        <v>501455 CRISTO REY TTIKARIY</v>
      </c>
      <c r="F4772" s="14" t="s">
        <v>16</v>
      </c>
      <c r="G4772" s="20" t="s">
        <v>17</v>
      </c>
      <c r="H4772" s="14" t="s">
        <v>18</v>
      </c>
      <c r="I4772" s="22">
        <v>2022.0</v>
      </c>
      <c r="J4772" s="16" t="str">
        <f>IFERROR(__xludf.DUMMYFUNCTION("FILTER('CLASFICACIÓN'!$F$3:$F5618,'CLASFICACIÓN'!$G$3:$G5618=M4772)"),"LOS 3 AÑOS")</f>
        <v>LOS 3 AÑOS</v>
      </c>
      <c r="K4772" s="16"/>
      <c r="L4772" s="14" t="s">
        <v>190</v>
      </c>
      <c r="M4772" s="16" t="str">
        <f t="shared" si="1"/>
        <v>501455 CRISTO REY TTIKARIY4 Primaria</v>
      </c>
      <c r="N4772" s="23"/>
      <c r="O4772" s="17"/>
      <c r="P4772" s="17"/>
      <c r="Q4772" s="17"/>
      <c r="R4772" s="17"/>
      <c r="S4772" s="17"/>
      <c r="T4772" s="17"/>
    </row>
    <row r="4773">
      <c r="A4773" s="21">
        <v>901.0</v>
      </c>
      <c r="B4773" s="14" t="s">
        <v>90</v>
      </c>
      <c r="C4773" s="14" t="s">
        <v>14</v>
      </c>
      <c r="D4773" s="20" t="s">
        <v>20</v>
      </c>
      <c r="E4773" s="12" t="str">
        <f>IFERROR(__xludf.DUMMYFUNCTION("FILTER(colegios!$B$2:$B5618,colegios!$A$2:$A5618=L4773)"),"501455 CRISTO REY TTIKARIY")</f>
        <v>501455 CRISTO REY TTIKARIY</v>
      </c>
      <c r="F4773" s="14" t="s">
        <v>16</v>
      </c>
      <c r="G4773" s="20" t="s">
        <v>17</v>
      </c>
      <c r="H4773" s="14" t="s">
        <v>18</v>
      </c>
      <c r="I4773" s="22">
        <v>2022.0</v>
      </c>
      <c r="J4773" s="16" t="str">
        <f>IFERROR(__xludf.DUMMYFUNCTION("FILTER('CLASFICACIÓN'!$F$3:$F5618,'CLASFICACIÓN'!$G$3:$G5618=M4773)"),"LOS 3 AÑOS")</f>
        <v>LOS 3 AÑOS</v>
      </c>
      <c r="K4773" s="16"/>
      <c r="L4773" s="14" t="s">
        <v>190</v>
      </c>
      <c r="M4773" s="16" t="str">
        <f t="shared" si="1"/>
        <v>501455 CRISTO REY TTIKARIY4 Primaria</v>
      </c>
      <c r="N4773" s="23"/>
      <c r="O4773" s="17"/>
      <c r="P4773" s="17"/>
      <c r="Q4773" s="17"/>
      <c r="R4773" s="17"/>
      <c r="S4773" s="17"/>
      <c r="T4773" s="17"/>
    </row>
    <row r="4774">
      <c r="A4774" s="21">
        <v>902.0</v>
      </c>
      <c r="B4774" s="14" t="s">
        <v>90</v>
      </c>
      <c r="C4774" s="14" t="s">
        <v>14</v>
      </c>
      <c r="D4774" s="20" t="s">
        <v>20</v>
      </c>
      <c r="E4774" s="12" t="str">
        <f>IFERROR(__xludf.DUMMYFUNCTION("FILTER(colegios!$B$2:$B5618,colegios!$A$2:$A5618=L4774)"),"501455 CRISTO REY TTIKARIY")</f>
        <v>501455 CRISTO REY TTIKARIY</v>
      </c>
      <c r="F4774" s="14" t="s">
        <v>16</v>
      </c>
      <c r="G4774" s="20" t="s">
        <v>21</v>
      </c>
      <c r="H4774" s="14" t="s">
        <v>18</v>
      </c>
      <c r="I4774" s="22">
        <v>2022.0</v>
      </c>
      <c r="J4774" s="16" t="str">
        <f>IFERROR(__xludf.DUMMYFUNCTION("FILTER('CLASFICACIÓN'!$F$3:$F5618,'CLASFICACIÓN'!$G$3:$G5618=M4774)"),"LOS 3 AÑOS")</f>
        <v>LOS 3 AÑOS</v>
      </c>
      <c r="K4774" s="16"/>
      <c r="L4774" s="14" t="s">
        <v>190</v>
      </c>
      <c r="M4774" s="16" t="str">
        <f t="shared" si="1"/>
        <v>501455 CRISTO REY TTIKARIY4 Primaria</v>
      </c>
      <c r="N4774" s="23"/>
      <c r="O4774" s="17"/>
      <c r="P4774" s="17"/>
      <c r="Q4774" s="17"/>
      <c r="R4774" s="17"/>
      <c r="S4774" s="17"/>
      <c r="T4774" s="17"/>
    </row>
    <row r="4775">
      <c r="A4775" s="21">
        <v>903.0</v>
      </c>
      <c r="B4775" s="14" t="s">
        <v>90</v>
      </c>
      <c r="C4775" s="14" t="s">
        <v>14</v>
      </c>
      <c r="D4775" s="20" t="s">
        <v>20</v>
      </c>
      <c r="E4775" s="12" t="str">
        <f>IFERROR(__xludf.DUMMYFUNCTION("FILTER(colegios!$B$2:$B5618,colegios!$A$2:$A5618=L4775)"),"501455 CRISTO REY TTIKARIY")</f>
        <v>501455 CRISTO REY TTIKARIY</v>
      </c>
      <c r="F4775" s="14" t="s">
        <v>16</v>
      </c>
      <c r="G4775" s="20" t="s">
        <v>21</v>
      </c>
      <c r="H4775" s="14" t="s">
        <v>18</v>
      </c>
      <c r="I4775" s="22">
        <v>2022.0</v>
      </c>
      <c r="J4775" s="16" t="str">
        <f>IFERROR(__xludf.DUMMYFUNCTION("FILTER('CLASFICACIÓN'!$F$3:$F5618,'CLASFICACIÓN'!$G$3:$G5618=M4775)"),"LOS 3 AÑOS")</f>
        <v>LOS 3 AÑOS</v>
      </c>
      <c r="K4775" s="16"/>
      <c r="L4775" s="14" t="s">
        <v>190</v>
      </c>
      <c r="M4775" s="16" t="str">
        <f t="shared" si="1"/>
        <v>501455 CRISTO REY TTIKARIY4 Primaria</v>
      </c>
      <c r="N4775" s="23"/>
      <c r="O4775" s="17"/>
      <c r="P4775" s="17"/>
      <c r="Q4775" s="17"/>
      <c r="R4775" s="17"/>
      <c r="S4775" s="17"/>
      <c r="T4775" s="17"/>
    </row>
    <row r="4776">
      <c r="A4776" s="21">
        <v>904.0</v>
      </c>
      <c r="B4776" s="14" t="s">
        <v>90</v>
      </c>
      <c r="C4776" s="14" t="s">
        <v>14</v>
      </c>
      <c r="D4776" s="20" t="s">
        <v>20</v>
      </c>
      <c r="E4776" s="12" t="str">
        <f>IFERROR(__xludf.DUMMYFUNCTION("FILTER(colegios!$B$2:$B5618,colegios!$A$2:$A5618=L4776)"),"501455 CRISTO REY TTIKARIY")</f>
        <v>501455 CRISTO REY TTIKARIY</v>
      </c>
      <c r="F4776" s="14" t="s">
        <v>16</v>
      </c>
      <c r="G4776" s="20" t="s">
        <v>21</v>
      </c>
      <c r="H4776" s="14" t="s">
        <v>18</v>
      </c>
      <c r="I4776" s="22">
        <v>2022.0</v>
      </c>
      <c r="J4776" s="16" t="str">
        <f>IFERROR(__xludf.DUMMYFUNCTION("FILTER('CLASFICACIÓN'!$F$3:$F5618,'CLASFICACIÓN'!$G$3:$G5618=M4776)"),"LOS 3 AÑOS")</f>
        <v>LOS 3 AÑOS</v>
      </c>
      <c r="K4776" s="16"/>
      <c r="L4776" s="14" t="s">
        <v>190</v>
      </c>
      <c r="M4776" s="16" t="str">
        <f t="shared" si="1"/>
        <v>501455 CRISTO REY TTIKARIY4 Primaria</v>
      </c>
      <c r="N4776" s="23"/>
      <c r="O4776" s="17"/>
      <c r="P4776" s="17"/>
      <c r="Q4776" s="17"/>
      <c r="R4776" s="17"/>
      <c r="S4776" s="17"/>
      <c r="T4776" s="17"/>
    </row>
    <row r="4777">
      <c r="A4777" s="21">
        <v>905.0</v>
      </c>
      <c r="B4777" s="14" t="s">
        <v>90</v>
      </c>
      <c r="C4777" s="14" t="s">
        <v>14</v>
      </c>
      <c r="D4777" s="20" t="s">
        <v>20</v>
      </c>
      <c r="E4777" s="12" t="str">
        <f>IFERROR(__xludf.DUMMYFUNCTION("FILTER(colegios!$B$2:$B5618,colegios!$A$2:$A5618=L4777)"),"501455 CRISTO REY TTIKARIY")</f>
        <v>501455 CRISTO REY TTIKARIY</v>
      </c>
      <c r="F4777" s="14" t="s">
        <v>16</v>
      </c>
      <c r="G4777" s="20" t="s">
        <v>17</v>
      </c>
      <c r="H4777" s="14" t="s">
        <v>18</v>
      </c>
      <c r="I4777" s="22">
        <v>2022.0</v>
      </c>
      <c r="J4777" s="16" t="str">
        <f>IFERROR(__xludf.DUMMYFUNCTION("FILTER('CLASFICACIÓN'!$F$3:$F5618,'CLASFICACIÓN'!$G$3:$G5618=M4777)"),"LOS 3 AÑOS")</f>
        <v>LOS 3 AÑOS</v>
      </c>
      <c r="K4777" s="16"/>
      <c r="L4777" s="14" t="s">
        <v>190</v>
      </c>
      <c r="M4777" s="16" t="str">
        <f t="shared" si="1"/>
        <v>501455 CRISTO REY TTIKARIY4 Primaria</v>
      </c>
      <c r="N4777" s="23"/>
      <c r="O4777" s="17"/>
      <c r="P4777" s="17"/>
      <c r="Q4777" s="17"/>
      <c r="R4777" s="17"/>
      <c r="S4777" s="17"/>
      <c r="T4777" s="17"/>
    </row>
    <row r="4778">
      <c r="A4778" s="21">
        <v>906.0</v>
      </c>
      <c r="B4778" s="14" t="s">
        <v>90</v>
      </c>
      <c r="C4778" s="14" t="s">
        <v>14</v>
      </c>
      <c r="D4778" s="20" t="s">
        <v>20</v>
      </c>
      <c r="E4778" s="12" t="str">
        <f>IFERROR(__xludf.DUMMYFUNCTION("FILTER(colegios!$B$2:$B5618,colegios!$A$2:$A5618=L4778)"),"501455 CRISTO REY TTIKARIY")</f>
        <v>501455 CRISTO REY TTIKARIY</v>
      </c>
      <c r="F4778" s="14" t="s">
        <v>16</v>
      </c>
      <c r="G4778" s="20" t="s">
        <v>21</v>
      </c>
      <c r="H4778" s="14" t="s">
        <v>18</v>
      </c>
      <c r="I4778" s="22">
        <v>2022.0</v>
      </c>
      <c r="J4778" s="16" t="str">
        <f>IFERROR(__xludf.DUMMYFUNCTION("FILTER('CLASFICACIÓN'!$F$3:$F5618,'CLASFICACIÓN'!$G$3:$G5618=M4778)"),"LOS 3 AÑOS")</f>
        <v>LOS 3 AÑOS</v>
      </c>
      <c r="K4778" s="16"/>
      <c r="L4778" s="14" t="s">
        <v>190</v>
      </c>
      <c r="M4778" s="16" t="str">
        <f t="shared" si="1"/>
        <v>501455 CRISTO REY TTIKARIY4 Primaria</v>
      </c>
      <c r="N4778" s="23"/>
      <c r="O4778" s="17"/>
      <c r="P4778" s="17"/>
      <c r="Q4778" s="17"/>
      <c r="R4778" s="17"/>
      <c r="S4778" s="17"/>
      <c r="T4778" s="17"/>
    </row>
    <row r="4779">
      <c r="A4779" s="21">
        <v>907.0</v>
      </c>
      <c r="B4779" s="14" t="s">
        <v>90</v>
      </c>
      <c r="C4779" s="14" t="s">
        <v>14</v>
      </c>
      <c r="D4779" s="20" t="s">
        <v>20</v>
      </c>
      <c r="E4779" s="12" t="str">
        <f>IFERROR(__xludf.DUMMYFUNCTION("FILTER(colegios!$B$2:$B5618,colegios!$A$2:$A5618=L4779)"),"501455 CRISTO REY TTIKARIY")</f>
        <v>501455 CRISTO REY TTIKARIY</v>
      </c>
      <c r="F4779" s="14" t="s">
        <v>16</v>
      </c>
      <c r="G4779" s="20" t="s">
        <v>17</v>
      </c>
      <c r="H4779" s="14" t="s">
        <v>18</v>
      </c>
      <c r="I4779" s="22">
        <v>2022.0</v>
      </c>
      <c r="J4779" s="16" t="str">
        <f>IFERROR(__xludf.DUMMYFUNCTION("FILTER('CLASFICACIÓN'!$F$3:$F5618,'CLASFICACIÓN'!$G$3:$G5618=M4779)"),"LOS 3 AÑOS")</f>
        <v>LOS 3 AÑOS</v>
      </c>
      <c r="K4779" s="16"/>
      <c r="L4779" s="14" t="s">
        <v>190</v>
      </c>
      <c r="M4779" s="16" t="str">
        <f t="shared" si="1"/>
        <v>501455 CRISTO REY TTIKARIY4 Primaria</v>
      </c>
      <c r="N4779" s="23"/>
      <c r="O4779" s="17"/>
      <c r="P4779" s="17"/>
      <c r="Q4779" s="17"/>
      <c r="R4779" s="17"/>
      <c r="S4779" s="17"/>
      <c r="T4779" s="17"/>
    </row>
    <row r="4780">
      <c r="A4780" s="21">
        <v>908.0</v>
      </c>
      <c r="B4780" s="14" t="s">
        <v>90</v>
      </c>
      <c r="C4780" s="14" t="s">
        <v>14</v>
      </c>
      <c r="D4780" s="20" t="s">
        <v>20</v>
      </c>
      <c r="E4780" s="12" t="str">
        <f>IFERROR(__xludf.DUMMYFUNCTION("FILTER(colegios!$B$2:$B5618,colegios!$A$2:$A5618=L4780)"),"501455 CRISTO REY TTIKARIY")</f>
        <v>501455 CRISTO REY TTIKARIY</v>
      </c>
      <c r="F4780" s="14" t="s">
        <v>16</v>
      </c>
      <c r="G4780" s="20" t="s">
        <v>21</v>
      </c>
      <c r="H4780" s="14" t="s">
        <v>18</v>
      </c>
      <c r="I4780" s="22">
        <v>2022.0</v>
      </c>
      <c r="J4780" s="16" t="str">
        <f>IFERROR(__xludf.DUMMYFUNCTION("FILTER('CLASFICACIÓN'!$F$3:$F5618,'CLASFICACIÓN'!$G$3:$G5618=M4780)"),"LOS 3 AÑOS")</f>
        <v>LOS 3 AÑOS</v>
      </c>
      <c r="K4780" s="16"/>
      <c r="L4780" s="14" t="s">
        <v>190</v>
      </c>
      <c r="M4780" s="16" t="str">
        <f t="shared" si="1"/>
        <v>501455 CRISTO REY TTIKARIY4 Primaria</v>
      </c>
      <c r="N4780" s="23"/>
      <c r="O4780" s="17"/>
      <c r="P4780" s="17"/>
      <c r="Q4780" s="17"/>
      <c r="R4780" s="17"/>
      <c r="S4780" s="17"/>
      <c r="T4780" s="17"/>
    </row>
    <row r="4781">
      <c r="A4781" s="21">
        <v>909.0</v>
      </c>
      <c r="B4781" s="14" t="s">
        <v>90</v>
      </c>
      <c r="C4781" s="14" t="s">
        <v>14</v>
      </c>
      <c r="D4781" s="20" t="s">
        <v>20</v>
      </c>
      <c r="E4781" s="12" t="str">
        <f>IFERROR(__xludf.DUMMYFUNCTION("FILTER(colegios!$B$2:$B5618,colegios!$A$2:$A5618=L4781)"),"501455 CRISTO REY TTIKARIY")</f>
        <v>501455 CRISTO REY TTIKARIY</v>
      </c>
      <c r="F4781" s="14" t="s">
        <v>16</v>
      </c>
      <c r="G4781" s="20" t="s">
        <v>17</v>
      </c>
      <c r="H4781" s="14" t="s">
        <v>18</v>
      </c>
      <c r="I4781" s="22">
        <v>2022.0</v>
      </c>
      <c r="J4781" s="16" t="str">
        <f>IFERROR(__xludf.DUMMYFUNCTION("FILTER('CLASFICACIÓN'!$F$3:$F5618,'CLASFICACIÓN'!$G$3:$G5618=M4781)"),"LOS 3 AÑOS")</f>
        <v>LOS 3 AÑOS</v>
      </c>
      <c r="K4781" s="16"/>
      <c r="L4781" s="14" t="s">
        <v>190</v>
      </c>
      <c r="M4781" s="16" t="str">
        <f t="shared" si="1"/>
        <v>501455 CRISTO REY TTIKARIY4 Primaria</v>
      </c>
      <c r="N4781" s="23"/>
      <c r="O4781" s="17"/>
      <c r="P4781" s="17"/>
      <c r="Q4781" s="17"/>
      <c r="R4781" s="17"/>
      <c r="S4781" s="17"/>
      <c r="T4781" s="17"/>
    </row>
    <row r="4782">
      <c r="A4782" s="21">
        <v>910.0</v>
      </c>
      <c r="B4782" s="14" t="s">
        <v>90</v>
      </c>
      <c r="C4782" s="14" t="s">
        <v>14</v>
      </c>
      <c r="D4782" s="20" t="s">
        <v>20</v>
      </c>
      <c r="E4782" s="12" t="str">
        <f>IFERROR(__xludf.DUMMYFUNCTION("FILTER(colegios!$B$2:$B5618,colegios!$A$2:$A5618=L4782)"),"501455 CRISTO REY TTIKARIY")</f>
        <v>501455 CRISTO REY TTIKARIY</v>
      </c>
      <c r="F4782" s="14" t="s">
        <v>16</v>
      </c>
      <c r="G4782" s="20" t="s">
        <v>17</v>
      </c>
      <c r="H4782" s="14" t="s">
        <v>18</v>
      </c>
      <c r="I4782" s="22">
        <v>2022.0</v>
      </c>
      <c r="J4782" s="16" t="str">
        <f>IFERROR(__xludf.DUMMYFUNCTION("FILTER('CLASFICACIÓN'!$F$3:$F5618,'CLASFICACIÓN'!$G$3:$G5618=M4782)"),"LOS 3 AÑOS")</f>
        <v>LOS 3 AÑOS</v>
      </c>
      <c r="K4782" s="16"/>
      <c r="L4782" s="14" t="s">
        <v>190</v>
      </c>
      <c r="M4782" s="16" t="str">
        <f t="shared" si="1"/>
        <v>501455 CRISTO REY TTIKARIY4 Primaria</v>
      </c>
      <c r="N4782" s="23"/>
      <c r="O4782" s="17"/>
      <c r="P4782" s="17"/>
      <c r="Q4782" s="17"/>
      <c r="R4782" s="17"/>
      <c r="S4782" s="17"/>
      <c r="T4782" s="17"/>
    </row>
    <row r="4783">
      <c r="A4783" s="21">
        <v>911.0</v>
      </c>
      <c r="B4783" s="14" t="s">
        <v>90</v>
      </c>
      <c r="C4783" s="14" t="s">
        <v>14</v>
      </c>
      <c r="D4783" s="20" t="s">
        <v>20</v>
      </c>
      <c r="E4783" s="12" t="str">
        <f>IFERROR(__xludf.DUMMYFUNCTION("FILTER(colegios!$B$2:$B5618,colegios!$A$2:$A5618=L4783)"),"501455 CRISTO REY TTIKARIY")</f>
        <v>501455 CRISTO REY TTIKARIY</v>
      </c>
      <c r="F4783" s="14" t="s">
        <v>16</v>
      </c>
      <c r="G4783" s="20" t="s">
        <v>17</v>
      </c>
      <c r="H4783" s="14" t="s">
        <v>18</v>
      </c>
      <c r="I4783" s="22">
        <v>2022.0</v>
      </c>
      <c r="J4783" s="16" t="str">
        <f>IFERROR(__xludf.DUMMYFUNCTION("FILTER('CLASFICACIÓN'!$F$3:$F5618,'CLASFICACIÓN'!$G$3:$G5618=M4783)"),"LOS 3 AÑOS")</f>
        <v>LOS 3 AÑOS</v>
      </c>
      <c r="K4783" s="16"/>
      <c r="L4783" s="14" t="s">
        <v>190</v>
      </c>
      <c r="M4783" s="16" t="str">
        <f t="shared" si="1"/>
        <v>501455 CRISTO REY TTIKARIY4 Primaria</v>
      </c>
      <c r="N4783" s="23"/>
      <c r="O4783" s="17"/>
      <c r="P4783" s="17"/>
      <c r="Q4783" s="17"/>
      <c r="R4783" s="17"/>
      <c r="S4783" s="17"/>
      <c r="T4783" s="17"/>
    </row>
    <row r="4784">
      <c r="A4784" s="21">
        <v>912.0</v>
      </c>
      <c r="B4784" s="14" t="s">
        <v>90</v>
      </c>
      <c r="C4784" s="14" t="s">
        <v>14</v>
      </c>
      <c r="D4784" s="20" t="s">
        <v>20</v>
      </c>
      <c r="E4784" s="12" t="str">
        <f>IFERROR(__xludf.DUMMYFUNCTION("FILTER(colegios!$B$2:$B5618,colegios!$A$2:$A5618=L4784)"),"501455 CRISTO REY TTIKARIY")</f>
        <v>501455 CRISTO REY TTIKARIY</v>
      </c>
      <c r="F4784" s="14" t="s">
        <v>16</v>
      </c>
      <c r="G4784" s="20" t="s">
        <v>17</v>
      </c>
      <c r="H4784" s="14" t="s">
        <v>18</v>
      </c>
      <c r="I4784" s="22">
        <v>2022.0</v>
      </c>
      <c r="J4784" s="16" t="str">
        <f>IFERROR(__xludf.DUMMYFUNCTION("FILTER('CLASFICACIÓN'!$F$3:$F5618,'CLASFICACIÓN'!$G$3:$G5618=M4784)"),"LOS 3 AÑOS")</f>
        <v>LOS 3 AÑOS</v>
      </c>
      <c r="K4784" s="16"/>
      <c r="L4784" s="14" t="s">
        <v>190</v>
      </c>
      <c r="M4784" s="16" t="str">
        <f t="shared" si="1"/>
        <v>501455 CRISTO REY TTIKARIY4 Primaria</v>
      </c>
      <c r="N4784" s="23"/>
      <c r="O4784" s="17"/>
      <c r="P4784" s="17"/>
      <c r="Q4784" s="17"/>
      <c r="R4784" s="17"/>
      <c r="S4784" s="17"/>
      <c r="T4784" s="17"/>
    </row>
    <row r="4785">
      <c r="A4785" s="21">
        <v>913.0</v>
      </c>
      <c r="B4785" s="14" t="s">
        <v>90</v>
      </c>
      <c r="C4785" s="14" t="s">
        <v>14</v>
      </c>
      <c r="D4785" s="20" t="s">
        <v>20</v>
      </c>
      <c r="E4785" s="12" t="str">
        <f>IFERROR(__xludf.DUMMYFUNCTION("FILTER(colegios!$B$2:$B5618,colegios!$A$2:$A5618=L4785)"),"501455 CRISTO REY TTIKARIY")</f>
        <v>501455 CRISTO REY TTIKARIY</v>
      </c>
      <c r="F4785" s="14" t="s">
        <v>16</v>
      </c>
      <c r="G4785" s="20" t="s">
        <v>17</v>
      </c>
      <c r="H4785" s="14" t="s">
        <v>18</v>
      </c>
      <c r="I4785" s="22">
        <v>2022.0</v>
      </c>
      <c r="J4785" s="16" t="str">
        <f>IFERROR(__xludf.DUMMYFUNCTION("FILTER('CLASFICACIÓN'!$F$3:$F5618,'CLASFICACIÓN'!$G$3:$G5618=M4785)"),"LOS 3 AÑOS")</f>
        <v>LOS 3 AÑOS</v>
      </c>
      <c r="K4785" s="16"/>
      <c r="L4785" s="14" t="s">
        <v>190</v>
      </c>
      <c r="M4785" s="16" t="str">
        <f t="shared" si="1"/>
        <v>501455 CRISTO REY TTIKARIY4 Primaria</v>
      </c>
      <c r="N4785" s="23"/>
      <c r="O4785" s="17"/>
      <c r="P4785" s="17"/>
      <c r="Q4785" s="17"/>
      <c r="R4785" s="17"/>
      <c r="S4785" s="17"/>
      <c r="T4785" s="17"/>
    </row>
    <row r="4786">
      <c r="A4786" s="21">
        <v>914.0</v>
      </c>
      <c r="B4786" s="14" t="s">
        <v>90</v>
      </c>
      <c r="C4786" s="14" t="s">
        <v>14</v>
      </c>
      <c r="D4786" s="20" t="s">
        <v>20</v>
      </c>
      <c r="E4786" s="12" t="str">
        <f>IFERROR(__xludf.DUMMYFUNCTION("FILTER(colegios!$B$2:$B5618,colegios!$A$2:$A5618=L4786)"),"501455 CRISTO REY TTIKARIY")</f>
        <v>501455 CRISTO REY TTIKARIY</v>
      </c>
      <c r="F4786" s="14" t="s">
        <v>16</v>
      </c>
      <c r="G4786" s="20" t="s">
        <v>21</v>
      </c>
      <c r="H4786" s="14" t="s">
        <v>18</v>
      </c>
      <c r="I4786" s="22">
        <v>2022.0</v>
      </c>
      <c r="J4786" s="16" t="str">
        <f>IFERROR(__xludf.DUMMYFUNCTION("FILTER('CLASFICACIÓN'!$F$3:$F5618,'CLASFICACIÓN'!$G$3:$G5618=M4786)"),"LOS 3 AÑOS")</f>
        <v>LOS 3 AÑOS</v>
      </c>
      <c r="K4786" s="16"/>
      <c r="L4786" s="14" t="s">
        <v>190</v>
      </c>
      <c r="M4786" s="16" t="str">
        <f t="shared" si="1"/>
        <v>501455 CRISTO REY TTIKARIY4 Primaria</v>
      </c>
      <c r="N4786" s="23"/>
      <c r="O4786" s="17"/>
      <c r="P4786" s="17"/>
      <c r="Q4786" s="17"/>
      <c r="R4786" s="17"/>
      <c r="S4786" s="17"/>
      <c r="T4786" s="17"/>
    </row>
    <row r="4787">
      <c r="A4787" s="21">
        <v>915.0</v>
      </c>
      <c r="B4787" s="14" t="s">
        <v>90</v>
      </c>
      <c r="C4787" s="14" t="s">
        <v>14</v>
      </c>
      <c r="D4787" s="20" t="s">
        <v>20</v>
      </c>
      <c r="E4787" s="12" t="str">
        <f>IFERROR(__xludf.DUMMYFUNCTION("FILTER(colegios!$B$2:$B5618,colegios!$A$2:$A5618=L4787)"),"501455 CRISTO REY TTIKARIY")</f>
        <v>501455 CRISTO REY TTIKARIY</v>
      </c>
      <c r="F4787" s="14" t="s">
        <v>16</v>
      </c>
      <c r="G4787" s="20" t="s">
        <v>21</v>
      </c>
      <c r="H4787" s="14" t="s">
        <v>18</v>
      </c>
      <c r="I4787" s="22">
        <v>2022.0</v>
      </c>
      <c r="J4787" s="16" t="str">
        <f>IFERROR(__xludf.DUMMYFUNCTION("FILTER('CLASFICACIÓN'!$F$3:$F5618,'CLASFICACIÓN'!$G$3:$G5618=M4787)"),"LOS 3 AÑOS")</f>
        <v>LOS 3 AÑOS</v>
      </c>
      <c r="K4787" s="16"/>
      <c r="L4787" s="14" t="s">
        <v>190</v>
      </c>
      <c r="M4787" s="16" t="str">
        <f t="shared" si="1"/>
        <v>501455 CRISTO REY TTIKARIY4 Primaria</v>
      </c>
      <c r="N4787" s="23"/>
      <c r="O4787" s="17"/>
      <c r="P4787" s="17"/>
      <c r="Q4787" s="17"/>
      <c r="R4787" s="17"/>
      <c r="S4787" s="17"/>
      <c r="T4787" s="17"/>
    </row>
    <row r="4788">
      <c r="A4788" s="21">
        <v>916.0</v>
      </c>
      <c r="B4788" s="14" t="s">
        <v>90</v>
      </c>
      <c r="C4788" s="14" t="s">
        <v>14</v>
      </c>
      <c r="D4788" s="20" t="s">
        <v>20</v>
      </c>
      <c r="E4788" s="12" t="str">
        <f>IFERROR(__xludf.DUMMYFUNCTION("FILTER(colegios!$B$2:$B5618,colegios!$A$2:$A5618=L4788)"),"501455 CRISTO REY TTIKARIY")</f>
        <v>501455 CRISTO REY TTIKARIY</v>
      </c>
      <c r="F4788" s="14" t="s">
        <v>16</v>
      </c>
      <c r="G4788" s="20" t="s">
        <v>17</v>
      </c>
      <c r="H4788" s="14" t="s">
        <v>18</v>
      </c>
      <c r="I4788" s="22">
        <v>2022.0</v>
      </c>
      <c r="J4788" s="16" t="str">
        <f>IFERROR(__xludf.DUMMYFUNCTION("FILTER('CLASFICACIÓN'!$F$3:$F5618,'CLASFICACIÓN'!$G$3:$G5618=M4788)"),"LOS 3 AÑOS")</f>
        <v>LOS 3 AÑOS</v>
      </c>
      <c r="K4788" s="16"/>
      <c r="L4788" s="14" t="s">
        <v>190</v>
      </c>
      <c r="M4788" s="16" t="str">
        <f t="shared" si="1"/>
        <v>501455 CRISTO REY TTIKARIY4 Primaria</v>
      </c>
      <c r="N4788" s="23"/>
      <c r="O4788" s="17"/>
      <c r="P4788" s="17"/>
      <c r="Q4788" s="17"/>
      <c r="R4788" s="17"/>
      <c r="S4788" s="17"/>
      <c r="T4788" s="17"/>
    </row>
    <row r="4789">
      <c r="A4789" s="21">
        <v>917.0</v>
      </c>
      <c r="B4789" s="14" t="s">
        <v>90</v>
      </c>
      <c r="C4789" s="14" t="s">
        <v>14</v>
      </c>
      <c r="D4789" s="20" t="s">
        <v>20</v>
      </c>
      <c r="E4789" s="12" t="str">
        <f>IFERROR(__xludf.DUMMYFUNCTION("FILTER(colegios!$B$2:$B5618,colegios!$A$2:$A5618=L4789)"),"501455 CRISTO REY TTIKARIY")</f>
        <v>501455 CRISTO REY TTIKARIY</v>
      </c>
      <c r="F4789" s="14" t="s">
        <v>16</v>
      </c>
      <c r="G4789" s="20" t="s">
        <v>17</v>
      </c>
      <c r="H4789" s="14" t="s">
        <v>24</v>
      </c>
      <c r="I4789" s="22">
        <v>2022.0</v>
      </c>
      <c r="J4789" s="16" t="str">
        <f>IFERROR(__xludf.DUMMYFUNCTION("FILTER('CLASFICACIÓN'!$F$3:$F5618,'CLASFICACIÓN'!$G$3:$G5618=M4789)"),"LOS 3 AÑOS")</f>
        <v>LOS 3 AÑOS</v>
      </c>
      <c r="K4789" s="16"/>
      <c r="L4789" s="14" t="s">
        <v>190</v>
      </c>
      <c r="M4789" s="16" t="str">
        <f t="shared" si="1"/>
        <v>501455 CRISTO REY TTIKARIY4 Primaria</v>
      </c>
      <c r="N4789" s="23"/>
      <c r="O4789" s="17"/>
      <c r="P4789" s="17"/>
      <c r="Q4789" s="17"/>
      <c r="R4789" s="17"/>
      <c r="S4789" s="17"/>
      <c r="T4789" s="17"/>
    </row>
    <row r="4790">
      <c r="A4790" s="21">
        <v>918.0</v>
      </c>
      <c r="B4790" s="14" t="s">
        <v>90</v>
      </c>
      <c r="C4790" s="14" t="s">
        <v>14</v>
      </c>
      <c r="D4790" s="20" t="s">
        <v>20</v>
      </c>
      <c r="E4790" s="12" t="str">
        <f>IFERROR(__xludf.DUMMYFUNCTION("FILTER(colegios!$B$2:$B5618,colegios!$A$2:$A5618=L4790)"),"501455 CRISTO REY TTIKARIY")</f>
        <v>501455 CRISTO REY TTIKARIY</v>
      </c>
      <c r="F4790" s="14" t="s">
        <v>16</v>
      </c>
      <c r="G4790" s="20" t="s">
        <v>21</v>
      </c>
      <c r="H4790" s="14" t="s">
        <v>24</v>
      </c>
      <c r="I4790" s="22">
        <v>2022.0</v>
      </c>
      <c r="J4790" s="16" t="str">
        <f>IFERROR(__xludf.DUMMYFUNCTION("FILTER('CLASFICACIÓN'!$F$3:$F5618,'CLASFICACIÓN'!$G$3:$G5618=M4790)"),"LOS 3 AÑOS")</f>
        <v>LOS 3 AÑOS</v>
      </c>
      <c r="K4790" s="16"/>
      <c r="L4790" s="14" t="s">
        <v>190</v>
      </c>
      <c r="M4790" s="16" t="str">
        <f t="shared" si="1"/>
        <v>501455 CRISTO REY TTIKARIY4 Primaria</v>
      </c>
      <c r="N4790" s="23"/>
      <c r="O4790" s="17"/>
      <c r="P4790" s="17"/>
      <c r="Q4790" s="17"/>
      <c r="R4790" s="17"/>
      <c r="S4790" s="17"/>
      <c r="T4790" s="17"/>
    </row>
    <row r="4791">
      <c r="A4791" s="21">
        <v>919.0</v>
      </c>
      <c r="B4791" s="14" t="s">
        <v>90</v>
      </c>
      <c r="C4791" s="14" t="s">
        <v>14</v>
      </c>
      <c r="D4791" s="20" t="s">
        <v>20</v>
      </c>
      <c r="E4791" s="12" t="str">
        <f>IFERROR(__xludf.DUMMYFUNCTION("FILTER(colegios!$B$2:$B5618,colegios!$A$2:$A5618=L4791)"),"501455 CRISTO REY TTIKARIY")</f>
        <v>501455 CRISTO REY TTIKARIY</v>
      </c>
      <c r="F4791" s="14" t="s">
        <v>16</v>
      </c>
      <c r="G4791" s="20" t="s">
        <v>21</v>
      </c>
      <c r="H4791" s="14" t="s">
        <v>24</v>
      </c>
      <c r="I4791" s="22">
        <v>2022.0</v>
      </c>
      <c r="J4791" s="16" t="str">
        <f>IFERROR(__xludf.DUMMYFUNCTION("FILTER('CLASFICACIÓN'!$F$3:$F5618,'CLASFICACIÓN'!$G$3:$G5618=M4791)"),"LOS 3 AÑOS")</f>
        <v>LOS 3 AÑOS</v>
      </c>
      <c r="K4791" s="16"/>
      <c r="L4791" s="14" t="s">
        <v>190</v>
      </c>
      <c r="M4791" s="16" t="str">
        <f t="shared" si="1"/>
        <v>501455 CRISTO REY TTIKARIY4 Primaria</v>
      </c>
      <c r="N4791" s="23"/>
      <c r="O4791" s="17"/>
      <c r="P4791" s="17"/>
      <c r="Q4791" s="17"/>
      <c r="R4791" s="17"/>
      <c r="S4791" s="17"/>
      <c r="T4791" s="17"/>
    </row>
    <row r="4792">
      <c r="A4792" s="21">
        <v>920.0</v>
      </c>
      <c r="B4792" s="14" t="s">
        <v>90</v>
      </c>
      <c r="C4792" s="14" t="s">
        <v>14</v>
      </c>
      <c r="D4792" s="20" t="s">
        <v>20</v>
      </c>
      <c r="E4792" s="12" t="str">
        <f>IFERROR(__xludf.DUMMYFUNCTION("FILTER(colegios!$B$2:$B5618,colegios!$A$2:$A5618=L4792)"),"501455 CRISTO REY TTIKARIY")</f>
        <v>501455 CRISTO REY TTIKARIY</v>
      </c>
      <c r="F4792" s="14" t="s">
        <v>16</v>
      </c>
      <c r="G4792" s="20" t="s">
        <v>21</v>
      </c>
      <c r="H4792" s="14" t="s">
        <v>24</v>
      </c>
      <c r="I4792" s="22">
        <v>2022.0</v>
      </c>
      <c r="J4792" s="16" t="str">
        <f>IFERROR(__xludf.DUMMYFUNCTION("FILTER('CLASFICACIÓN'!$F$3:$F5618,'CLASFICACIÓN'!$G$3:$G5618=M4792)"),"LOS 3 AÑOS")</f>
        <v>LOS 3 AÑOS</v>
      </c>
      <c r="K4792" s="16"/>
      <c r="L4792" s="14" t="s">
        <v>190</v>
      </c>
      <c r="M4792" s="16" t="str">
        <f t="shared" si="1"/>
        <v>501455 CRISTO REY TTIKARIY4 Primaria</v>
      </c>
      <c r="N4792" s="23"/>
      <c r="O4792" s="17"/>
      <c r="P4792" s="17"/>
      <c r="Q4792" s="17"/>
      <c r="R4792" s="17"/>
      <c r="S4792" s="17"/>
      <c r="T4792" s="17"/>
    </row>
    <row r="4793">
      <c r="A4793" s="21">
        <v>921.0</v>
      </c>
      <c r="B4793" s="14" t="s">
        <v>90</v>
      </c>
      <c r="C4793" s="14" t="s">
        <v>14</v>
      </c>
      <c r="D4793" s="20" t="s">
        <v>20</v>
      </c>
      <c r="E4793" s="12" t="str">
        <f>IFERROR(__xludf.DUMMYFUNCTION("FILTER(colegios!$B$2:$B5618,colegios!$A$2:$A5618=L4793)"),"501455 CRISTO REY TTIKARIY")</f>
        <v>501455 CRISTO REY TTIKARIY</v>
      </c>
      <c r="F4793" s="14" t="s">
        <v>16</v>
      </c>
      <c r="G4793" s="20" t="s">
        <v>21</v>
      </c>
      <c r="H4793" s="14" t="s">
        <v>24</v>
      </c>
      <c r="I4793" s="22">
        <v>2022.0</v>
      </c>
      <c r="J4793" s="16" t="str">
        <f>IFERROR(__xludf.DUMMYFUNCTION("FILTER('CLASFICACIÓN'!$F$3:$F5618,'CLASFICACIÓN'!$G$3:$G5618=M4793)"),"LOS 3 AÑOS")</f>
        <v>LOS 3 AÑOS</v>
      </c>
      <c r="K4793" s="16"/>
      <c r="L4793" s="14" t="s">
        <v>190</v>
      </c>
      <c r="M4793" s="16" t="str">
        <f t="shared" si="1"/>
        <v>501455 CRISTO REY TTIKARIY4 Primaria</v>
      </c>
      <c r="N4793" s="23"/>
      <c r="O4793" s="17"/>
      <c r="P4793" s="17"/>
      <c r="Q4793" s="17"/>
      <c r="R4793" s="17"/>
      <c r="S4793" s="17"/>
      <c r="T4793" s="17"/>
    </row>
    <row r="4794">
      <c r="A4794" s="21">
        <v>922.0</v>
      </c>
      <c r="B4794" s="14" t="s">
        <v>90</v>
      </c>
      <c r="C4794" s="14" t="s">
        <v>14</v>
      </c>
      <c r="D4794" s="20" t="s">
        <v>20</v>
      </c>
      <c r="E4794" s="12" t="str">
        <f>IFERROR(__xludf.DUMMYFUNCTION("FILTER(colegios!$B$2:$B5618,colegios!$A$2:$A5618=L4794)"),"501455 CRISTO REY TTIKARIY")</f>
        <v>501455 CRISTO REY TTIKARIY</v>
      </c>
      <c r="F4794" s="14" t="s">
        <v>16</v>
      </c>
      <c r="G4794" s="20" t="s">
        <v>21</v>
      </c>
      <c r="H4794" s="14" t="s">
        <v>24</v>
      </c>
      <c r="I4794" s="22">
        <v>2022.0</v>
      </c>
      <c r="J4794" s="16" t="str">
        <f>IFERROR(__xludf.DUMMYFUNCTION("FILTER('CLASFICACIÓN'!$F$3:$F5618,'CLASFICACIÓN'!$G$3:$G5618=M4794)"),"LOS 3 AÑOS")</f>
        <v>LOS 3 AÑOS</v>
      </c>
      <c r="K4794" s="16"/>
      <c r="L4794" s="14" t="s">
        <v>190</v>
      </c>
      <c r="M4794" s="16" t="str">
        <f t="shared" si="1"/>
        <v>501455 CRISTO REY TTIKARIY4 Primaria</v>
      </c>
      <c r="N4794" s="23"/>
      <c r="O4794" s="17"/>
      <c r="P4794" s="17"/>
      <c r="Q4794" s="17"/>
      <c r="R4794" s="17"/>
      <c r="S4794" s="17"/>
      <c r="T4794" s="17"/>
    </row>
    <row r="4795">
      <c r="A4795" s="21">
        <v>923.0</v>
      </c>
      <c r="B4795" s="14" t="s">
        <v>90</v>
      </c>
      <c r="C4795" s="14" t="s">
        <v>14</v>
      </c>
      <c r="D4795" s="20" t="s">
        <v>20</v>
      </c>
      <c r="E4795" s="12" t="str">
        <f>IFERROR(__xludf.DUMMYFUNCTION("FILTER(colegios!$B$2:$B5618,colegios!$A$2:$A5618=L4795)"),"501455 CRISTO REY TTIKARIY")</f>
        <v>501455 CRISTO REY TTIKARIY</v>
      </c>
      <c r="F4795" s="14" t="s">
        <v>16</v>
      </c>
      <c r="G4795" s="20" t="s">
        <v>21</v>
      </c>
      <c r="H4795" s="14" t="s">
        <v>24</v>
      </c>
      <c r="I4795" s="22">
        <v>2022.0</v>
      </c>
      <c r="J4795" s="16" t="str">
        <f>IFERROR(__xludf.DUMMYFUNCTION("FILTER('CLASFICACIÓN'!$F$3:$F5618,'CLASFICACIÓN'!$G$3:$G5618=M4795)"),"LOS 3 AÑOS")</f>
        <v>LOS 3 AÑOS</v>
      </c>
      <c r="K4795" s="16"/>
      <c r="L4795" s="14" t="s">
        <v>190</v>
      </c>
      <c r="M4795" s="16" t="str">
        <f t="shared" si="1"/>
        <v>501455 CRISTO REY TTIKARIY4 Primaria</v>
      </c>
      <c r="N4795" s="23"/>
      <c r="O4795" s="17"/>
      <c r="P4795" s="17"/>
      <c r="Q4795" s="17"/>
      <c r="R4795" s="17"/>
      <c r="S4795" s="17"/>
      <c r="T4795" s="17"/>
    </row>
    <row r="4796">
      <c r="A4796" s="21">
        <v>924.0</v>
      </c>
      <c r="B4796" s="14" t="s">
        <v>90</v>
      </c>
      <c r="C4796" s="14" t="s">
        <v>14</v>
      </c>
      <c r="D4796" s="20" t="s">
        <v>20</v>
      </c>
      <c r="E4796" s="12" t="str">
        <f>IFERROR(__xludf.DUMMYFUNCTION("FILTER(colegios!$B$2:$B5618,colegios!$A$2:$A5618=L4796)"),"501455 CRISTO REY TTIKARIY")</f>
        <v>501455 CRISTO REY TTIKARIY</v>
      </c>
      <c r="F4796" s="14" t="s">
        <v>16</v>
      </c>
      <c r="G4796" s="20" t="s">
        <v>17</v>
      </c>
      <c r="H4796" s="14" t="s">
        <v>24</v>
      </c>
      <c r="I4796" s="22">
        <v>2022.0</v>
      </c>
      <c r="J4796" s="16" t="str">
        <f>IFERROR(__xludf.DUMMYFUNCTION("FILTER('CLASFICACIÓN'!$F$3:$F5618,'CLASFICACIÓN'!$G$3:$G5618=M4796)"),"LOS 3 AÑOS")</f>
        <v>LOS 3 AÑOS</v>
      </c>
      <c r="K4796" s="16"/>
      <c r="L4796" s="14" t="s">
        <v>190</v>
      </c>
      <c r="M4796" s="16" t="str">
        <f t="shared" si="1"/>
        <v>501455 CRISTO REY TTIKARIY4 Primaria</v>
      </c>
      <c r="N4796" s="23"/>
      <c r="O4796" s="17"/>
      <c r="P4796" s="17"/>
      <c r="Q4796" s="17"/>
      <c r="R4796" s="17"/>
      <c r="S4796" s="17"/>
      <c r="T4796" s="17"/>
    </row>
    <row r="4797">
      <c r="A4797" s="21">
        <v>925.0</v>
      </c>
      <c r="B4797" s="14" t="s">
        <v>90</v>
      </c>
      <c r="C4797" s="14" t="s">
        <v>14</v>
      </c>
      <c r="D4797" s="20" t="s">
        <v>20</v>
      </c>
      <c r="E4797" s="12" t="str">
        <f>IFERROR(__xludf.DUMMYFUNCTION("FILTER(colegios!$B$2:$B5618,colegios!$A$2:$A5618=L4797)"),"501455 CRISTO REY TTIKARIY")</f>
        <v>501455 CRISTO REY TTIKARIY</v>
      </c>
      <c r="F4797" s="14" t="s">
        <v>16</v>
      </c>
      <c r="G4797" s="20" t="s">
        <v>17</v>
      </c>
      <c r="H4797" s="14" t="s">
        <v>24</v>
      </c>
      <c r="I4797" s="22">
        <v>2022.0</v>
      </c>
      <c r="J4797" s="16" t="str">
        <f>IFERROR(__xludf.DUMMYFUNCTION("FILTER('CLASFICACIÓN'!$F$3:$F5618,'CLASFICACIÓN'!$G$3:$G5618=M4797)"),"LOS 3 AÑOS")</f>
        <v>LOS 3 AÑOS</v>
      </c>
      <c r="K4797" s="16"/>
      <c r="L4797" s="14" t="s">
        <v>190</v>
      </c>
      <c r="M4797" s="16" t="str">
        <f t="shared" si="1"/>
        <v>501455 CRISTO REY TTIKARIY4 Primaria</v>
      </c>
      <c r="N4797" s="23"/>
      <c r="O4797" s="17"/>
      <c r="P4797" s="17"/>
      <c r="Q4797" s="17"/>
      <c r="R4797" s="17"/>
      <c r="S4797" s="17"/>
      <c r="T4797" s="17"/>
    </row>
    <row r="4798">
      <c r="A4798" s="21">
        <v>926.0</v>
      </c>
      <c r="B4798" s="14" t="s">
        <v>90</v>
      </c>
      <c r="C4798" s="14" t="s">
        <v>14</v>
      </c>
      <c r="D4798" s="20" t="s">
        <v>20</v>
      </c>
      <c r="E4798" s="12" t="str">
        <f>IFERROR(__xludf.DUMMYFUNCTION("FILTER(colegios!$B$2:$B5618,colegios!$A$2:$A5618=L4798)"),"501455 CRISTO REY TTIKARIY")</f>
        <v>501455 CRISTO REY TTIKARIY</v>
      </c>
      <c r="F4798" s="14" t="s">
        <v>16</v>
      </c>
      <c r="G4798" s="20" t="s">
        <v>17</v>
      </c>
      <c r="H4798" s="14" t="s">
        <v>24</v>
      </c>
      <c r="I4798" s="22">
        <v>2022.0</v>
      </c>
      <c r="J4798" s="16" t="str">
        <f>IFERROR(__xludf.DUMMYFUNCTION("FILTER('CLASFICACIÓN'!$F$3:$F5618,'CLASFICACIÓN'!$G$3:$G5618=M4798)"),"LOS 3 AÑOS")</f>
        <v>LOS 3 AÑOS</v>
      </c>
      <c r="K4798" s="16"/>
      <c r="L4798" s="14" t="s">
        <v>190</v>
      </c>
      <c r="M4798" s="16" t="str">
        <f t="shared" si="1"/>
        <v>501455 CRISTO REY TTIKARIY4 Primaria</v>
      </c>
      <c r="N4798" s="23"/>
      <c r="O4798" s="17"/>
      <c r="P4798" s="17"/>
      <c r="Q4798" s="17"/>
      <c r="R4798" s="17"/>
      <c r="S4798" s="17"/>
      <c r="T4798" s="17"/>
    </row>
    <row r="4799">
      <c r="A4799" s="21">
        <v>927.0</v>
      </c>
      <c r="B4799" s="14" t="s">
        <v>90</v>
      </c>
      <c r="C4799" s="14" t="s">
        <v>14</v>
      </c>
      <c r="D4799" s="20" t="s">
        <v>20</v>
      </c>
      <c r="E4799" s="12" t="str">
        <f>IFERROR(__xludf.DUMMYFUNCTION("FILTER(colegios!$B$2:$B5618,colegios!$A$2:$A5618=L4799)"),"501455 CRISTO REY TTIKARIY")</f>
        <v>501455 CRISTO REY TTIKARIY</v>
      </c>
      <c r="F4799" s="14" t="s">
        <v>16</v>
      </c>
      <c r="G4799" s="20" t="s">
        <v>21</v>
      </c>
      <c r="H4799" s="14" t="s">
        <v>24</v>
      </c>
      <c r="I4799" s="22">
        <v>2022.0</v>
      </c>
      <c r="J4799" s="16" t="str">
        <f>IFERROR(__xludf.DUMMYFUNCTION("FILTER('CLASFICACIÓN'!$F$3:$F5618,'CLASFICACIÓN'!$G$3:$G5618=M4799)"),"LOS 3 AÑOS")</f>
        <v>LOS 3 AÑOS</v>
      </c>
      <c r="K4799" s="16"/>
      <c r="L4799" s="14" t="s">
        <v>190</v>
      </c>
      <c r="M4799" s="16" t="str">
        <f t="shared" si="1"/>
        <v>501455 CRISTO REY TTIKARIY4 Primaria</v>
      </c>
      <c r="N4799" s="23"/>
      <c r="O4799" s="17"/>
      <c r="P4799" s="17"/>
      <c r="Q4799" s="17"/>
      <c r="R4799" s="17"/>
      <c r="S4799" s="17"/>
      <c r="T4799" s="17"/>
    </row>
    <row r="4800">
      <c r="A4800" s="21">
        <v>928.0</v>
      </c>
      <c r="B4800" s="14" t="s">
        <v>90</v>
      </c>
      <c r="C4800" s="14" t="s">
        <v>14</v>
      </c>
      <c r="D4800" s="20" t="s">
        <v>20</v>
      </c>
      <c r="E4800" s="12" t="str">
        <f>IFERROR(__xludf.DUMMYFUNCTION("FILTER(colegios!$B$2:$B5618,colegios!$A$2:$A5618=L4800)"),"501455 CRISTO REY TTIKARIY")</f>
        <v>501455 CRISTO REY TTIKARIY</v>
      </c>
      <c r="F4800" s="14" t="s">
        <v>16</v>
      </c>
      <c r="G4800" s="20" t="s">
        <v>21</v>
      </c>
      <c r="H4800" s="14" t="s">
        <v>24</v>
      </c>
      <c r="I4800" s="22">
        <v>2022.0</v>
      </c>
      <c r="J4800" s="16" t="str">
        <f>IFERROR(__xludf.DUMMYFUNCTION("FILTER('CLASFICACIÓN'!$F$3:$F5618,'CLASFICACIÓN'!$G$3:$G5618=M4800)"),"LOS 3 AÑOS")</f>
        <v>LOS 3 AÑOS</v>
      </c>
      <c r="K4800" s="16"/>
      <c r="L4800" s="14" t="s">
        <v>190</v>
      </c>
      <c r="M4800" s="16" t="str">
        <f t="shared" si="1"/>
        <v>501455 CRISTO REY TTIKARIY4 Primaria</v>
      </c>
      <c r="N4800" s="23"/>
      <c r="O4800" s="17"/>
      <c r="P4800" s="17"/>
      <c r="Q4800" s="17"/>
      <c r="R4800" s="17"/>
      <c r="S4800" s="17"/>
      <c r="T4800" s="17"/>
    </row>
    <row r="4801">
      <c r="A4801" s="21">
        <v>929.0</v>
      </c>
      <c r="B4801" s="14" t="s">
        <v>90</v>
      </c>
      <c r="C4801" s="14" t="s">
        <v>14</v>
      </c>
      <c r="D4801" s="20" t="s">
        <v>20</v>
      </c>
      <c r="E4801" s="12" t="str">
        <f>IFERROR(__xludf.DUMMYFUNCTION("FILTER(colegios!$B$2:$B5618,colegios!$A$2:$A5618=L4801)"),"501455 CRISTO REY TTIKARIY")</f>
        <v>501455 CRISTO REY TTIKARIY</v>
      </c>
      <c r="F4801" s="14" t="s">
        <v>16</v>
      </c>
      <c r="G4801" s="20" t="s">
        <v>21</v>
      </c>
      <c r="H4801" s="14" t="s">
        <v>24</v>
      </c>
      <c r="I4801" s="22">
        <v>2022.0</v>
      </c>
      <c r="J4801" s="16" t="str">
        <f>IFERROR(__xludf.DUMMYFUNCTION("FILTER('CLASFICACIÓN'!$F$3:$F5618,'CLASFICACIÓN'!$G$3:$G5618=M4801)"),"LOS 3 AÑOS")</f>
        <v>LOS 3 AÑOS</v>
      </c>
      <c r="K4801" s="16"/>
      <c r="L4801" s="14" t="s">
        <v>190</v>
      </c>
      <c r="M4801" s="16" t="str">
        <f t="shared" si="1"/>
        <v>501455 CRISTO REY TTIKARIY4 Primaria</v>
      </c>
      <c r="N4801" s="23"/>
      <c r="O4801" s="17"/>
      <c r="P4801" s="17"/>
      <c r="Q4801" s="17"/>
      <c r="R4801" s="17"/>
      <c r="S4801" s="17"/>
      <c r="T4801" s="17"/>
    </row>
    <row r="4802">
      <c r="A4802" s="21">
        <v>930.0</v>
      </c>
      <c r="B4802" s="14" t="s">
        <v>90</v>
      </c>
      <c r="C4802" s="14" t="s">
        <v>14</v>
      </c>
      <c r="D4802" s="20" t="s">
        <v>20</v>
      </c>
      <c r="E4802" s="12" t="str">
        <f>IFERROR(__xludf.DUMMYFUNCTION("FILTER(colegios!$B$2:$B5618,colegios!$A$2:$A5618=L4802)"),"501455 CRISTO REY TTIKARIY")</f>
        <v>501455 CRISTO REY TTIKARIY</v>
      </c>
      <c r="F4802" s="14" t="s">
        <v>16</v>
      </c>
      <c r="G4802" s="20" t="s">
        <v>21</v>
      </c>
      <c r="H4802" s="14" t="s">
        <v>24</v>
      </c>
      <c r="I4802" s="22">
        <v>2022.0</v>
      </c>
      <c r="J4802" s="16" t="str">
        <f>IFERROR(__xludf.DUMMYFUNCTION("FILTER('CLASFICACIÓN'!$F$3:$F5618,'CLASFICACIÓN'!$G$3:$G5618=M4802)"),"LOS 3 AÑOS")</f>
        <v>LOS 3 AÑOS</v>
      </c>
      <c r="K4802" s="16"/>
      <c r="L4802" s="14" t="s">
        <v>190</v>
      </c>
      <c r="M4802" s="16" t="str">
        <f t="shared" si="1"/>
        <v>501455 CRISTO REY TTIKARIY4 Primaria</v>
      </c>
      <c r="N4802" s="23"/>
      <c r="O4802" s="17"/>
      <c r="P4802" s="17"/>
      <c r="Q4802" s="17"/>
      <c r="R4802" s="17"/>
      <c r="S4802" s="17"/>
      <c r="T4802" s="17"/>
    </row>
    <row r="4803">
      <c r="A4803" s="21">
        <v>931.0</v>
      </c>
      <c r="B4803" s="14" t="s">
        <v>90</v>
      </c>
      <c r="C4803" s="14" t="s">
        <v>14</v>
      </c>
      <c r="D4803" s="20" t="s">
        <v>20</v>
      </c>
      <c r="E4803" s="12" t="str">
        <f>IFERROR(__xludf.DUMMYFUNCTION("FILTER(colegios!$B$2:$B5618,colegios!$A$2:$A5618=L4803)"),"501455 CRISTO REY TTIKARIY")</f>
        <v>501455 CRISTO REY TTIKARIY</v>
      </c>
      <c r="F4803" s="14" t="s">
        <v>16</v>
      </c>
      <c r="G4803" s="20" t="s">
        <v>17</v>
      </c>
      <c r="H4803" s="14" t="s">
        <v>24</v>
      </c>
      <c r="I4803" s="22">
        <v>2022.0</v>
      </c>
      <c r="J4803" s="16" t="str">
        <f>IFERROR(__xludf.DUMMYFUNCTION("FILTER('CLASFICACIÓN'!$F$3:$F5618,'CLASFICACIÓN'!$G$3:$G5618=M4803)"),"LOS 3 AÑOS")</f>
        <v>LOS 3 AÑOS</v>
      </c>
      <c r="K4803" s="16"/>
      <c r="L4803" s="14" t="s">
        <v>190</v>
      </c>
      <c r="M4803" s="16" t="str">
        <f t="shared" si="1"/>
        <v>501455 CRISTO REY TTIKARIY4 Primaria</v>
      </c>
      <c r="N4803" s="23"/>
      <c r="O4803" s="17"/>
      <c r="P4803" s="17"/>
      <c r="Q4803" s="17"/>
      <c r="R4803" s="17"/>
      <c r="S4803" s="17"/>
      <c r="T4803" s="17"/>
    </row>
    <row r="4804">
      <c r="A4804" s="21">
        <v>932.0</v>
      </c>
      <c r="B4804" s="14" t="s">
        <v>90</v>
      </c>
      <c r="C4804" s="14" t="s">
        <v>14</v>
      </c>
      <c r="D4804" s="20" t="s">
        <v>20</v>
      </c>
      <c r="E4804" s="12" t="str">
        <f>IFERROR(__xludf.DUMMYFUNCTION("FILTER(colegios!$B$2:$B5618,colegios!$A$2:$A5618=L4804)"),"501455 CRISTO REY TTIKARIY")</f>
        <v>501455 CRISTO REY TTIKARIY</v>
      </c>
      <c r="F4804" s="14" t="s">
        <v>16</v>
      </c>
      <c r="G4804" s="20" t="s">
        <v>17</v>
      </c>
      <c r="H4804" s="14" t="s">
        <v>24</v>
      </c>
      <c r="I4804" s="22">
        <v>2022.0</v>
      </c>
      <c r="J4804" s="16" t="str">
        <f>IFERROR(__xludf.DUMMYFUNCTION("FILTER('CLASFICACIÓN'!$F$3:$F5618,'CLASFICACIÓN'!$G$3:$G5618=M4804)"),"LOS 3 AÑOS")</f>
        <v>LOS 3 AÑOS</v>
      </c>
      <c r="K4804" s="16"/>
      <c r="L4804" s="14" t="s">
        <v>190</v>
      </c>
      <c r="M4804" s="16" t="str">
        <f t="shared" si="1"/>
        <v>501455 CRISTO REY TTIKARIY4 Primaria</v>
      </c>
      <c r="N4804" s="23"/>
      <c r="O4804" s="17"/>
      <c r="P4804" s="17"/>
      <c r="Q4804" s="17"/>
      <c r="R4804" s="17"/>
      <c r="S4804" s="17"/>
      <c r="T4804" s="17"/>
    </row>
    <row r="4805">
      <c r="A4805" s="21">
        <v>933.0</v>
      </c>
      <c r="B4805" s="14" t="s">
        <v>90</v>
      </c>
      <c r="C4805" s="14" t="s">
        <v>14</v>
      </c>
      <c r="D4805" s="20" t="s">
        <v>20</v>
      </c>
      <c r="E4805" s="12" t="str">
        <f>IFERROR(__xludf.DUMMYFUNCTION("FILTER(colegios!$B$2:$B5618,colegios!$A$2:$A5618=L4805)"),"501455 CRISTO REY TTIKARIY")</f>
        <v>501455 CRISTO REY TTIKARIY</v>
      </c>
      <c r="F4805" s="14" t="s">
        <v>16</v>
      </c>
      <c r="G4805" s="20" t="s">
        <v>17</v>
      </c>
      <c r="H4805" s="14" t="s">
        <v>24</v>
      </c>
      <c r="I4805" s="22">
        <v>2022.0</v>
      </c>
      <c r="J4805" s="16" t="str">
        <f>IFERROR(__xludf.DUMMYFUNCTION("FILTER('CLASFICACIÓN'!$F$3:$F5618,'CLASFICACIÓN'!$G$3:$G5618=M4805)"),"LOS 3 AÑOS")</f>
        <v>LOS 3 AÑOS</v>
      </c>
      <c r="K4805" s="16"/>
      <c r="L4805" s="14" t="s">
        <v>190</v>
      </c>
      <c r="M4805" s="16" t="str">
        <f t="shared" si="1"/>
        <v>501455 CRISTO REY TTIKARIY4 Primaria</v>
      </c>
      <c r="N4805" s="23"/>
      <c r="O4805" s="17"/>
      <c r="P4805" s="17"/>
      <c r="Q4805" s="17"/>
      <c r="R4805" s="17"/>
      <c r="S4805" s="17"/>
      <c r="T4805" s="17"/>
    </row>
    <row r="4806">
      <c r="A4806" s="21">
        <v>934.0</v>
      </c>
      <c r="B4806" s="14" t="s">
        <v>90</v>
      </c>
      <c r="C4806" s="14" t="s">
        <v>14</v>
      </c>
      <c r="D4806" s="20" t="s">
        <v>20</v>
      </c>
      <c r="E4806" s="12" t="str">
        <f>IFERROR(__xludf.DUMMYFUNCTION("FILTER(colegios!$B$2:$B5618,colegios!$A$2:$A5618=L4806)"),"50550")</f>
        <v>50550</v>
      </c>
      <c r="F4806" s="14" t="s">
        <v>16</v>
      </c>
      <c r="G4806" s="20" t="s">
        <v>17</v>
      </c>
      <c r="H4806" s="14" t="s">
        <v>18</v>
      </c>
      <c r="I4806" s="22">
        <v>2022.0</v>
      </c>
      <c r="J4806" s="16" t="str">
        <f>IFERROR(__xludf.DUMMYFUNCTION("FILTER('CLASFICACIÓN'!$F$3:$F5618,'CLASFICACIÓN'!$G$3:$G5618=M4806)"),"LOS 3 AÑOS")</f>
        <v>LOS 3 AÑOS</v>
      </c>
      <c r="K4806" s="16"/>
      <c r="L4806" s="14" t="s">
        <v>191</v>
      </c>
      <c r="M4806" s="16" t="str">
        <f t="shared" si="1"/>
        <v>505504 Primaria</v>
      </c>
      <c r="N4806" s="23"/>
      <c r="O4806" s="17"/>
      <c r="P4806" s="17"/>
      <c r="Q4806" s="17"/>
      <c r="R4806" s="17"/>
      <c r="S4806" s="17"/>
      <c r="T4806" s="17"/>
    </row>
    <row r="4807">
      <c r="A4807" s="21">
        <v>935.0</v>
      </c>
      <c r="B4807" s="14" t="s">
        <v>90</v>
      </c>
      <c r="C4807" s="14" t="s">
        <v>14</v>
      </c>
      <c r="D4807" s="20" t="s">
        <v>20</v>
      </c>
      <c r="E4807" s="12" t="str">
        <f>IFERROR(__xludf.DUMMYFUNCTION("FILTER(colegios!$B$2:$B5618,colegios!$A$2:$A5618=L4807)"),"50558")</f>
        <v>50558</v>
      </c>
      <c r="F4807" s="14" t="s">
        <v>16</v>
      </c>
      <c r="G4807" s="20" t="s">
        <v>21</v>
      </c>
      <c r="H4807" s="14" t="s">
        <v>18</v>
      </c>
      <c r="I4807" s="22">
        <v>2022.0</v>
      </c>
      <c r="J4807" s="16" t="str">
        <f>IFERROR(__xludf.DUMMYFUNCTION("FILTER('CLASFICACIÓN'!$F$3:$F5618,'CLASFICACIÓN'!$G$3:$G5618=M4807)"),"SOLO 2022 Y 2024")</f>
        <v>SOLO 2022 Y 2024</v>
      </c>
      <c r="K4807" s="16"/>
      <c r="L4807" s="14" t="s">
        <v>192</v>
      </c>
      <c r="M4807" s="16" t="str">
        <f t="shared" si="1"/>
        <v>505584 Primaria</v>
      </c>
      <c r="N4807" s="23"/>
      <c r="O4807" s="17"/>
      <c r="P4807" s="17"/>
      <c r="Q4807" s="17"/>
      <c r="R4807" s="17"/>
      <c r="S4807" s="17"/>
      <c r="T4807" s="17"/>
    </row>
    <row r="4808">
      <c r="A4808" s="21">
        <v>936.0</v>
      </c>
      <c r="B4808" s="14" t="s">
        <v>90</v>
      </c>
      <c r="C4808" s="14" t="s">
        <v>14</v>
      </c>
      <c r="D4808" s="20" t="s">
        <v>20</v>
      </c>
      <c r="E4808" s="12" t="str">
        <f>IFERROR(__xludf.DUMMYFUNCTION("FILTER(colegios!$B$2:$B5618,colegios!$A$2:$A5618=L4808)"),"50854")</f>
        <v>50854</v>
      </c>
      <c r="F4808" s="14" t="s">
        <v>16</v>
      </c>
      <c r="G4808" s="20" t="s">
        <v>17</v>
      </c>
      <c r="H4808" s="14" t="s">
        <v>18</v>
      </c>
      <c r="I4808" s="22">
        <v>2022.0</v>
      </c>
      <c r="J4808" s="16" t="str">
        <f>IFERROR(__xludf.DUMMYFUNCTION("FILTER('CLASFICACIÓN'!$F$3:$F5618,'CLASFICACIÓN'!$G$3:$G5618=M4808)"),"SOLO 2022 Y 2024")</f>
        <v>SOLO 2022 Y 2024</v>
      </c>
      <c r="K4808" s="16"/>
      <c r="L4808" s="14" t="s">
        <v>197</v>
      </c>
      <c r="M4808" s="16" t="str">
        <f t="shared" si="1"/>
        <v>508544 Primaria</v>
      </c>
      <c r="N4808" s="23"/>
      <c r="O4808" s="17"/>
      <c r="P4808" s="17"/>
      <c r="Q4808" s="17"/>
      <c r="R4808" s="17"/>
      <c r="S4808" s="17"/>
      <c r="T4808" s="17"/>
    </row>
    <row r="4809">
      <c r="A4809" s="21">
        <v>937.0</v>
      </c>
      <c r="B4809" s="14" t="s">
        <v>90</v>
      </c>
      <c r="C4809" s="14" t="s">
        <v>14</v>
      </c>
      <c r="D4809" s="20" t="s">
        <v>20</v>
      </c>
      <c r="E4809" s="12" t="str">
        <f>IFERROR(__xludf.DUMMYFUNCTION("FILTER(colegios!$B$2:$B5618,colegios!$A$2:$A5618=L4809)"),"50765")</f>
        <v>50765</v>
      </c>
      <c r="F4809" s="14" t="s">
        <v>16</v>
      </c>
      <c r="G4809" s="20" t="s">
        <v>21</v>
      </c>
      <c r="H4809" s="14" t="s">
        <v>18</v>
      </c>
      <c r="I4809" s="22">
        <v>2022.0</v>
      </c>
      <c r="J4809" s="16" t="str">
        <f>IFERROR(__xludf.DUMMYFUNCTION("FILTER('CLASFICACIÓN'!$F$3:$F5618,'CLASFICACIÓN'!$G$3:$G5618=M4809)"),"LOS 3 AÑOS")</f>
        <v>LOS 3 AÑOS</v>
      </c>
      <c r="K4809" s="16"/>
      <c r="L4809" s="14" t="s">
        <v>193</v>
      </c>
      <c r="M4809" s="16" t="str">
        <f t="shared" si="1"/>
        <v>507654 Primaria</v>
      </c>
      <c r="N4809" s="23"/>
      <c r="O4809" s="17"/>
      <c r="P4809" s="17"/>
      <c r="Q4809" s="17"/>
      <c r="R4809" s="17"/>
      <c r="S4809" s="17"/>
      <c r="T4809" s="17"/>
    </row>
    <row r="4810">
      <c r="A4810" s="21">
        <v>938.0</v>
      </c>
      <c r="B4810" s="14" t="s">
        <v>90</v>
      </c>
      <c r="C4810" s="14" t="s">
        <v>14</v>
      </c>
      <c r="D4810" s="20" t="s">
        <v>20</v>
      </c>
      <c r="E4810" s="12" t="str">
        <f>IFERROR(__xludf.DUMMYFUNCTION("FILTER(colegios!$B$2:$B5618,colegios!$A$2:$A5618=L4810)"),"50719 VIRGEN DEL CARMEN")</f>
        <v>50719 VIRGEN DEL CARMEN</v>
      </c>
      <c r="F4810" s="14" t="s">
        <v>16</v>
      </c>
      <c r="G4810" s="20" t="s">
        <v>17</v>
      </c>
      <c r="H4810" s="14" t="s">
        <v>18</v>
      </c>
      <c r="I4810" s="22">
        <v>2022.0</v>
      </c>
      <c r="J4810" s="16" t="str">
        <f>IFERROR(__xludf.DUMMYFUNCTION("FILTER('CLASFICACIÓN'!$F$3:$F5618,'CLASFICACIÓN'!$G$3:$G5618=M4810)"),"SOLO 2022 Y 2024")</f>
        <v>SOLO 2022 Y 2024</v>
      </c>
      <c r="K4810" s="16"/>
      <c r="L4810" s="14" t="s">
        <v>194</v>
      </c>
      <c r="M4810" s="16" t="str">
        <f t="shared" si="1"/>
        <v>50719 VIRGEN DEL CARMEN4 Primaria</v>
      </c>
      <c r="N4810" s="23"/>
      <c r="O4810" s="17"/>
      <c r="P4810" s="17"/>
      <c r="Q4810" s="17"/>
      <c r="R4810" s="17"/>
      <c r="S4810" s="17"/>
      <c r="T4810" s="17"/>
    </row>
    <row r="4811">
      <c r="A4811" s="21">
        <v>939.0</v>
      </c>
      <c r="B4811" s="14" t="s">
        <v>90</v>
      </c>
      <c r="C4811" s="14" t="s">
        <v>14</v>
      </c>
      <c r="D4811" s="20" t="s">
        <v>20</v>
      </c>
      <c r="E4811" s="12" t="str">
        <f>IFERROR(__xludf.DUMMYFUNCTION("FILTER(colegios!$B$2:$B5618,colegios!$A$2:$A5618=L4811)"),"50719 VIRGEN DEL CARMEN")</f>
        <v>50719 VIRGEN DEL CARMEN</v>
      </c>
      <c r="F4811" s="14" t="s">
        <v>16</v>
      </c>
      <c r="G4811" s="20" t="s">
        <v>17</v>
      </c>
      <c r="H4811" s="14" t="s">
        <v>18</v>
      </c>
      <c r="I4811" s="22">
        <v>2022.0</v>
      </c>
      <c r="J4811" s="16" t="str">
        <f>IFERROR(__xludf.DUMMYFUNCTION("FILTER('CLASFICACIÓN'!$F$3:$F5618,'CLASFICACIÓN'!$G$3:$G5618=M4811)"),"SOLO 2022 Y 2024")</f>
        <v>SOLO 2022 Y 2024</v>
      </c>
      <c r="K4811" s="16"/>
      <c r="L4811" s="14" t="s">
        <v>194</v>
      </c>
      <c r="M4811" s="16" t="str">
        <f t="shared" si="1"/>
        <v>50719 VIRGEN DEL CARMEN4 Primaria</v>
      </c>
      <c r="N4811" s="23"/>
      <c r="O4811" s="17"/>
      <c r="P4811" s="17"/>
      <c r="Q4811" s="17"/>
      <c r="R4811" s="17"/>
      <c r="S4811" s="17"/>
      <c r="T4811" s="17"/>
    </row>
    <row r="4812">
      <c r="A4812" s="21">
        <v>940.0</v>
      </c>
      <c r="B4812" s="14" t="s">
        <v>90</v>
      </c>
      <c r="C4812" s="14" t="s">
        <v>14</v>
      </c>
      <c r="D4812" s="20" t="s">
        <v>20</v>
      </c>
      <c r="E4812" s="12" t="str">
        <f>IFERROR(__xludf.DUMMYFUNCTION("FILTER(colegios!$B$2:$B5618,colegios!$A$2:$A5618=L4812)"),"50719 VIRGEN DEL CARMEN")</f>
        <v>50719 VIRGEN DEL CARMEN</v>
      </c>
      <c r="F4812" s="14" t="s">
        <v>16</v>
      </c>
      <c r="G4812" s="20" t="s">
        <v>21</v>
      </c>
      <c r="H4812" s="14" t="s">
        <v>18</v>
      </c>
      <c r="I4812" s="22">
        <v>2022.0</v>
      </c>
      <c r="J4812" s="16" t="str">
        <f>IFERROR(__xludf.DUMMYFUNCTION("FILTER('CLASFICACIÓN'!$F$3:$F5618,'CLASFICACIÓN'!$G$3:$G5618=M4812)"),"SOLO 2022 Y 2024")</f>
        <v>SOLO 2022 Y 2024</v>
      </c>
      <c r="K4812" s="16"/>
      <c r="L4812" s="14" t="s">
        <v>194</v>
      </c>
      <c r="M4812" s="16" t="str">
        <f t="shared" si="1"/>
        <v>50719 VIRGEN DEL CARMEN4 Primaria</v>
      </c>
      <c r="N4812" s="23"/>
      <c r="O4812" s="17"/>
      <c r="P4812" s="17"/>
      <c r="Q4812" s="17"/>
      <c r="R4812" s="17"/>
      <c r="S4812" s="17"/>
      <c r="T4812" s="17"/>
    </row>
    <row r="4813">
      <c r="A4813" s="21">
        <v>941.0</v>
      </c>
      <c r="B4813" s="14" t="s">
        <v>90</v>
      </c>
      <c r="C4813" s="14" t="s">
        <v>14</v>
      </c>
      <c r="D4813" s="20" t="s">
        <v>20</v>
      </c>
      <c r="E4813" s="12" t="str">
        <f>IFERROR(__xludf.DUMMYFUNCTION("FILTER(colegios!$B$2:$B5618,colegios!$A$2:$A5618=L4813)"),"50719 VIRGEN DEL CARMEN")</f>
        <v>50719 VIRGEN DEL CARMEN</v>
      </c>
      <c r="F4813" s="14" t="s">
        <v>16</v>
      </c>
      <c r="G4813" s="20" t="s">
        <v>21</v>
      </c>
      <c r="H4813" s="14" t="s">
        <v>18</v>
      </c>
      <c r="I4813" s="22">
        <v>2022.0</v>
      </c>
      <c r="J4813" s="16" t="str">
        <f>IFERROR(__xludf.DUMMYFUNCTION("FILTER('CLASFICACIÓN'!$F$3:$F5618,'CLASFICACIÓN'!$G$3:$G5618=M4813)"),"SOLO 2022 Y 2024")</f>
        <v>SOLO 2022 Y 2024</v>
      </c>
      <c r="K4813" s="16"/>
      <c r="L4813" s="14" t="s">
        <v>194</v>
      </c>
      <c r="M4813" s="16" t="str">
        <f t="shared" si="1"/>
        <v>50719 VIRGEN DEL CARMEN4 Primaria</v>
      </c>
      <c r="N4813" s="23"/>
      <c r="O4813" s="17"/>
      <c r="P4813" s="17"/>
      <c r="Q4813" s="17"/>
      <c r="R4813" s="17"/>
      <c r="S4813" s="17"/>
      <c r="T4813" s="17"/>
    </row>
    <row r="4814">
      <c r="A4814" s="21">
        <v>942.0</v>
      </c>
      <c r="B4814" s="14" t="s">
        <v>90</v>
      </c>
      <c r="C4814" s="14" t="s">
        <v>14</v>
      </c>
      <c r="D4814" s="20" t="s">
        <v>20</v>
      </c>
      <c r="E4814" s="12" t="str">
        <f>IFERROR(__xludf.DUMMYFUNCTION("FILTER(colegios!$B$2:$B5618,colegios!$A$2:$A5618=L4814)"),"50719 VIRGEN DEL CARMEN")</f>
        <v>50719 VIRGEN DEL CARMEN</v>
      </c>
      <c r="F4814" s="14" t="s">
        <v>16</v>
      </c>
      <c r="G4814" s="20" t="s">
        <v>17</v>
      </c>
      <c r="H4814" s="14" t="s">
        <v>18</v>
      </c>
      <c r="I4814" s="22">
        <v>2022.0</v>
      </c>
      <c r="J4814" s="16" t="str">
        <f>IFERROR(__xludf.DUMMYFUNCTION("FILTER('CLASFICACIÓN'!$F$3:$F5618,'CLASFICACIÓN'!$G$3:$G5618=M4814)"),"SOLO 2022 Y 2024")</f>
        <v>SOLO 2022 Y 2024</v>
      </c>
      <c r="K4814" s="16"/>
      <c r="L4814" s="14" t="s">
        <v>194</v>
      </c>
      <c r="M4814" s="16" t="str">
        <f t="shared" si="1"/>
        <v>50719 VIRGEN DEL CARMEN4 Primaria</v>
      </c>
      <c r="N4814" s="23"/>
      <c r="O4814" s="17"/>
      <c r="P4814" s="17"/>
      <c r="Q4814" s="17"/>
      <c r="R4814" s="17"/>
      <c r="S4814" s="17"/>
      <c r="T4814" s="17"/>
    </row>
    <row r="4815">
      <c r="A4815" s="21">
        <v>943.0</v>
      </c>
      <c r="B4815" s="14" t="s">
        <v>90</v>
      </c>
      <c r="C4815" s="14" t="s">
        <v>14</v>
      </c>
      <c r="D4815" s="20" t="s">
        <v>20</v>
      </c>
      <c r="E4815" s="12" t="str">
        <f>IFERROR(__xludf.DUMMYFUNCTION("FILTER(colegios!$B$2:$B5618,colegios!$A$2:$A5618=L4815)"),"50719 VIRGEN DEL CARMEN")</f>
        <v>50719 VIRGEN DEL CARMEN</v>
      </c>
      <c r="F4815" s="14" t="s">
        <v>16</v>
      </c>
      <c r="G4815" s="20" t="s">
        <v>21</v>
      </c>
      <c r="H4815" s="14" t="s">
        <v>18</v>
      </c>
      <c r="I4815" s="22">
        <v>2022.0</v>
      </c>
      <c r="J4815" s="16" t="str">
        <f>IFERROR(__xludf.DUMMYFUNCTION("FILTER('CLASFICACIÓN'!$F$3:$F5618,'CLASFICACIÓN'!$G$3:$G5618=M4815)"),"SOLO 2022 Y 2024")</f>
        <v>SOLO 2022 Y 2024</v>
      </c>
      <c r="K4815" s="16"/>
      <c r="L4815" s="14" t="s">
        <v>194</v>
      </c>
      <c r="M4815" s="16" t="str">
        <f t="shared" si="1"/>
        <v>50719 VIRGEN DEL CARMEN4 Primaria</v>
      </c>
      <c r="N4815" s="23"/>
      <c r="O4815" s="17"/>
      <c r="P4815" s="17"/>
      <c r="Q4815" s="17"/>
      <c r="R4815" s="17"/>
      <c r="S4815" s="17"/>
      <c r="T4815" s="17"/>
    </row>
    <row r="4816">
      <c r="A4816" s="21">
        <v>944.0</v>
      </c>
      <c r="B4816" s="14" t="s">
        <v>90</v>
      </c>
      <c r="C4816" s="14" t="s">
        <v>14</v>
      </c>
      <c r="D4816" s="20" t="s">
        <v>20</v>
      </c>
      <c r="E4816" s="12" t="str">
        <f>IFERROR(__xludf.DUMMYFUNCTION("FILTER(colegios!$B$2:$B5618,colegios!$A$2:$A5618=L4816)"),"50719 VIRGEN DEL CARMEN")</f>
        <v>50719 VIRGEN DEL CARMEN</v>
      </c>
      <c r="F4816" s="14" t="s">
        <v>16</v>
      </c>
      <c r="G4816" s="20" t="s">
        <v>17</v>
      </c>
      <c r="H4816" s="14" t="s">
        <v>18</v>
      </c>
      <c r="I4816" s="22">
        <v>2022.0</v>
      </c>
      <c r="J4816" s="16" t="str">
        <f>IFERROR(__xludf.DUMMYFUNCTION("FILTER('CLASFICACIÓN'!$F$3:$F5618,'CLASFICACIÓN'!$G$3:$G5618=M4816)"),"SOLO 2022 Y 2024")</f>
        <v>SOLO 2022 Y 2024</v>
      </c>
      <c r="K4816" s="16"/>
      <c r="L4816" s="14" t="s">
        <v>194</v>
      </c>
      <c r="M4816" s="16" t="str">
        <f t="shared" si="1"/>
        <v>50719 VIRGEN DEL CARMEN4 Primaria</v>
      </c>
      <c r="N4816" s="23"/>
      <c r="O4816" s="17"/>
      <c r="P4816" s="17"/>
      <c r="Q4816" s="17"/>
      <c r="R4816" s="17"/>
      <c r="S4816" s="17"/>
      <c r="T4816" s="17"/>
    </row>
    <row r="4817">
      <c r="A4817" s="21">
        <v>945.0</v>
      </c>
      <c r="B4817" s="14" t="s">
        <v>90</v>
      </c>
      <c r="C4817" s="14" t="s">
        <v>14</v>
      </c>
      <c r="D4817" s="20" t="s">
        <v>20</v>
      </c>
      <c r="E4817" s="12" t="str">
        <f>IFERROR(__xludf.DUMMYFUNCTION("FILTER(colegios!$B$2:$B5618,colegios!$A$2:$A5618=L4817)"),"50719 VIRGEN DEL CARMEN")</f>
        <v>50719 VIRGEN DEL CARMEN</v>
      </c>
      <c r="F4817" s="14" t="s">
        <v>16</v>
      </c>
      <c r="G4817" s="20" t="s">
        <v>21</v>
      </c>
      <c r="H4817" s="14" t="s">
        <v>18</v>
      </c>
      <c r="I4817" s="22">
        <v>2022.0</v>
      </c>
      <c r="J4817" s="16" t="str">
        <f>IFERROR(__xludf.DUMMYFUNCTION("FILTER('CLASFICACIÓN'!$F$3:$F5618,'CLASFICACIÓN'!$G$3:$G5618=M4817)"),"SOLO 2022 Y 2024")</f>
        <v>SOLO 2022 Y 2024</v>
      </c>
      <c r="K4817" s="16"/>
      <c r="L4817" s="14" t="s">
        <v>194</v>
      </c>
      <c r="M4817" s="16" t="str">
        <f t="shared" si="1"/>
        <v>50719 VIRGEN DEL CARMEN4 Primaria</v>
      </c>
      <c r="N4817" s="23"/>
      <c r="O4817" s="17"/>
      <c r="P4817" s="17"/>
      <c r="Q4817" s="17"/>
      <c r="R4817" s="17"/>
      <c r="S4817" s="17"/>
      <c r="T4817" s="17"/>
    </row>
    <row r="4818">
      <c r="A4818" s="21">
        <v>946.0</v>
      </c>
      <c r="B4818" s="14" t="s">
        <v>90</v>
      </c>
      <c r="C4818" s="14" t="s">
        <v>14</v>
      </c>
      <c r="D4818" s="20" t="s">
        <v>20</v>
      </c>
      <c r="E4818" s="12" t="str">
        <f>IFERROR(__xludf.DUMMYFUNCTION("FILTER(colegios!$B$2:$B5618,colegios!$A$2:$A5618=L4818)"),"50719 VIRGEN DEL CARMEN")</f>
        <v>50719 VIRGEN DEL CARMEN</v>
      </c>
      <c r="F4818" s="14" t="s">
        <v>16</v>
      </c>
      <c r="G4818" s="20" t="s">
        <v>17</v>
      </c>
      <c r="H4818" s="14" t="s">
        <v>18</v>
      </c>
      <c r="I4818" s="22">
        <v>2022.0</v>
      </c>
      <c r="J4818" s="16" t="str">
        <f>IFERROR(__xludf.DUMMYFUNCTION("FILTER('CLASFICACIÓN'!$F$3:$F5618,'CLASFICACIÓN'!$G$3:$G5618=M4818)"),"SOLO 2022 Y 2024")</f>
        <v>SOLO 2022 Y 2024</v>
      </c>
      <c r="K4818" s="16"/>
      <c r="L4818" s="14" t="s">
        <v>194</v>
      </c>
      <c r="M4818" s="16" t="str">
        <f t="shared" si="1"/>
        <v>50719 VIRGEN DEL CARMEN4 Primaria</v>
      </c>
      <c r="N4818" s="23"/>
      <c r="O4818" s="17"/>
      <c r="P4818" s="17"/>
      <c r="Q4818" s="17"/>
      <c r="R4818" s="17"/>
      <c r="S4818" s="17"/>
      <c r="T4818" s="17"/>
    </row>
    <row r="4819">
      <c r="A4819" s="21">
        <v>947.0</v>
      </c>
      <c r="B4819" s="14" t="s">
        <v>90</v>
      </c>
      <c r="C4819" s="14" t="s">
        <v>14</v>
      </c>
      <c r="D4819" s="20" t="s">
        <v>20</v>
      </c>
      <c r="E4819" s="12" t="str">
        <f>IFERROR(__xludf.DUMMYFUNCTION("FILTER(colegios!$B$2:$B5618,colegios!$A$2:$A5618=L4819)"),"50719 VIRGEN DEL CARMEN")</f>
        <v>50719 VIRGEN DEL CARMEN</v>
      </c>
      <c r="F4819" s="14" t="s">
        <v>16</v>
      </c>
      <c r="G4819" s="20" t="s">
        <v>21</v>
      </c>
      <c r="H4819" s="14" t="s">
        <v>18</v>
      </c>
      <c r="I4819" s="22">
        <v>2022.0</v>
      </c>
      <c r="J4819" s="16" t="str">
        <f>IFERROR(__xludf.DUMMYFUNCTION("FILTER('CLASFICACIÓN'!$F$3:$F5618,'CLASFICACIÓN'!$G$3:$G5618=M4819)"),"SOLO 2022 Y 2024")</f>
        <v>SOLO 2022 Y 2024</v>
      </c>
      <c r="K4819" s="16"/>
      <c r="L4819" s="14" t="s">
        <v>194</v>
      </c>
      <c r="M4819" s="16" t="str">
        <f t="shared" si="1"/>
        <v>50719 VIRGEN DEL CARMEN4 Primaria</v>
      </c>
      <c r="N4819" s="23"/>
      <c r="O4819" s="17"/>
      <c r="P4819" s="17"/>
      <c r="Q4819" s="17"/>
      <c r="R4819" s="17"/>
      <c r="S4819" s="17"/>
      <c r="T4819" s="17"/>
    </row>
    <row r="4820">
      <c r="A4820" s="21">
        <v>948.0</v>
      </c>
      <c r="B4820" s="14" t="s">
        <v>90</v>
      </c>
      <c r="C4820" s="14" t="s">
        <v>14</v>
      </c>
      <c r="D4820" s="20" t="s">
        <v>20</v>
      </c>
      <c r="E4820" s="12" t="str">
        <f>IFERROR(__xludf.DUMMYFUNCTION("FILTER(colegios!$B$2:$B5618,colegios!$A$2:$A5618=L4820)"),"50719 VIRGEN DEL CARMEN")</f>
        <v>50719 VIRGEN DEL CARMEN</v>
      </c>
      <c r="F4820" s="14" t="s">
        <v>16</v>
      </c>
      <c r="G4820" s="20" t="s">
        <v>21</v>
      </c>
      <c r="H4820" s="14" t="s">
        <v>18</v>
      </c>
      <c r="I4820" s="22">
        <v>2022.0</v>
      </c>
      <c r="J4820" s="16" t="str">
        <f>IFERROR(__xludf.DUMMYFUNCTION("FILTER('CLASFICACIÓN'!$F$3:$F5618,'CLASFICACIÓN'!$G$3:$G5618=M4820)"),"SOLO 2022 Y 2024")</f>
        <v>SOLO 2022 Y 2024</v>
      </c>
      <c r="K4820" s="16"/>
      <c r="L4820" s="14" t="s">
        <v>194</v>
      </c>
      <c r="M4820" s="16" t="str">
        <f t="shared" si="1"/>
        <v>50719 VIRGEN DEL CARMEN4 Primaria</v>
      </c>
      <c r="N4820" s="23"/>
      <c r="O4820" s="17"/>
      <c r="P4820" s="17"/>
      <c r="Q4820" s="17"/>
      <c r="R4820" s="17"/>
      <c r="S4820" s="17"/>
      <c r="T4820" s="17"/>
    </row>
    <row r="4821">
      <c r="A4821" s="21">
        <v>949.0</v>
      </c>
      <c r="B4821" s="14" t="s">
        <v>90</v>
      </c>
      <c r="C4821" s="14" t="s">
        <v>14</v>
      </c>
      <c r="D4821" s="20" t="s">
        <v>20</v>
      </c>
      <c r="E4821" s="12" t="str">
        <f>IFERROR(__xludf.DUMMYFUNCTION("FILTER(colegios!$B$2:$B5618,colegios!$A$2:$A5618=L4821)"),"50719 VIRGEN DEL CARMEN")</f>
        <v>50719 VIRGEN DEL CARMEN</v>
      </c>
      <c r="F4821" s="14" t="s">
        <v>16</v>
      </c>
      <c r="G4821" s="20" t="s">
        <v>21</v>
      </c>
      <c r="H4821" s="14" t="s">
        <v>18</v>
      </c>
      <c r="I4821" s="22">
        <v>2022.0</v>
      </c>
      <c r="J4821" s="16" t="str">
        <f>IFERROR(__xludf.DUMMYFUNCTION("FILTER('CLASFICACIÓN'!$F$3:$F5618,'CLASFICACIÓN'!$G$3:$G5618=M4821)"),"SOLO 2022 Y 2024")</f>
        <v>SOLO 2022 Y 2024</v>
      </c>
      <c r="K4821" s="16"/>
      <c r="L4821" s="14" t="s">
        <v>194</v>
      </c>
      <c r="M4821" s="16" t="str">
        <f t="shared" si="1"/>
        <v>50719 VIRGEN DEL CARMEN4 Primaria</v>
      </c>
      <c r="N4821" s="23"/>
      <c r="O4821" s="17"/>
      <c r="P4821" s="17"/>
      <c r="Q4821" s="17"/>
      <c r="R4821" s="17"/>
      <c r="S4821" s="17"/>
      <c r="T4821" s="17"/>
    </row>
    <row r="4822">
      <c r="A4822" s="21">
        <v>950.0</v>
      </c>
      <c r="B4822" s="14" t="s">
        <v>90</v>
      </c>
      <c r="C4822" s="14" t="s">
        <v>14</v>
      </c>
      <c r="D4822" s="20" t="s">
        <v>20</v>
      </c>
      <c r="E4822" s="12" t="str">
        <f>IFERROR(__xludf.DUMMYFUNCTION("FILTER(colegios!$B$2:$B5618,colegios!$A$2:$A5618=L4822)"),"50719 VIRGEN DEL CARMEN")</f>
        <v>50719 VIRGEN DEL CARMEN</v>
      </c>
      <c r="F4822" s="14" t="s">
        <v>16</v>
      </c>
      <c r="G4822" s="20" t="s">
        <v>17</v>
      </c>
      <c r="H4822" s="14" t="s">
        <v>18</v>
      </c>
      <c r="I4822" s="22">
        <v>2022.0</v>
      </c>
      <c r="J4822" s="16" t="str">
        <f>IFERROR(__xludf.DUMMYFUNCTION("FILTER('CLASFICACIÓN'!$F$3:$F5618,'CLASFICACIÓN'!$G$3:$G5618=M4822)"),"SOLO 2022 Y 2024")</f>
        <v>SOLO 2022 Y 2024</v>
      </c>
      <c r="K4822" s="16"/>
      <c r="L4822" s="14" t="s">
        <v>194</v>
      </c>
      <c r="M4822" s="16" t="str">
        <f t="shared" si="1"/>
        <v>50719 VIRGEN DEL CARMEN4 Primaria</v>
      </c>
      <c r="N4822" s="23"/>
      <c r="O4822" s="17"/>
      <c r="P4822" s="17"/>
      <c r="Q4822" s="17"/>
      <c r="R4822" s="17"/>
      <c r="S4822" s="17"/>
      <c r="T4822" s="17"/>
    </row>
    <row r="4823">
      <c r="A4823" s="21">
        <v>951.0</v>
      </c>
      <c r="B4823" s="14" t="s">
        <v>90</v>
      </c>
      <c r="C4823" s="14" t="s">
        <v>14</v>
      </c>
      <c r="D4823" s="20" t="s">
        <v>20</v>
      </c>
      <c r="E4823" s="12" t="str">
        <f>IFERROR(__xludf.DUMMYFUNCTION("FILTER(colegios!$B$2:$B5618,colegios!$A$2:$A5618=L4823)"),"50719 VIRGEN DEL CARMEN")</f>
        <v>50719 VIRGEN DEL CARMEN</v>
      </c>
      <c r="F4823" s="14" t="s">
        <v>16</v>
      </c>
      <c r="G4823" s="20" t="s">
        <v>21</v>
      </c>
      <c r="H4823" s="14" t="s">
        <v>18</v>
      </c>
      <c r="I4823" s="22">
        <v>2022.0</v>
      </c>
      <c r="J4823" s="16" t="str">
        <f>IFERROR(__xludf.DUMMYFUNCTION("FILTER('CLASFICACIÓN'!$F$3:$F5618,'CLASFICACIÓN'!$G$3:$G5618=M4823)"),"SOLO 2022 Y 2024")</f>
        <v>SOLO 2022 Y 2024</v>
      </c>
      <c r="K4823" s="16"/>
      <c r="L4823" s="14" t="s">
        <v>194</v>
      </c>
      <c r="M4823" s="16" t="str">
        <f t="shared" si="1"/>
        <v>50719 VIRGEN DEL CARMEN4 Primaria</v>
      </c>
      <c r="N4823" s="23"/>
      <c r="O4823" s="17"/>
      <c r="P4823" s="17"/>
      <c r="Q4823" s="17"/>
      <c r="R4823" s="17"/>
      <c r="S4823" s="17"/>
      <c r="T4823" s="17"/>
    </row>
    <row r="4824">
      <c r="A4824" s="21">
        <v>952.0</v>
      </c>
      <c r="B4824" s="14" t="s">
        <v>90</v>
      </c>
      <c r="C4824" s="14" t="s">
        <v>14</v>
      </c>
      <c r="D4824" s="20" t="s">
        <v>20</v>
      </c>
      <c r="E4824" s="12" t="str">
        <f>IFERROR(__xludf.DUMMYFUNCTION("FILTER(colegios!$B$2:$B5618,colegios!$A$2:$A5618=L4824)"),"50719 VIRGEN DEL CARMEN")</f>
        <v>50719 VIRGEN DEL CARMEN</v>
      </c>
      <c r="F4824" s="14" t="s">
        <v>16</v>
      </c>
      <c r="G4824" s="20" t="s">
        <v>17</v>
      </c>
      <c r="H4824" s="14" t="s">
        <v>18</v>
      </c>
      <c r="I4824" s="22">
        <v>2022.0</v>
      </c>
      <c r="J4824" s="16" t="str">
        <f>IFERROR(__xludf.DUMMYFUNCTION("FILTER('CLASFICACIÓN'!$F$3:$F5618,'CLASFICACIÓN'!$G$3:$G5618=M4824)"),"SOLO 2022 Y 2024")</f>
        <v>SOLO 2022 Y 2024</v>
      </c>
      <c r="K4824" s="16"/>
      <c r="L4824" s="14" t="s">
        <v>194</v>
      </c>
      <c r="M4824" s="16" t="str">
        <f t="shared" si="1"/>
        <v>50719 VIRGEN DEL CARMEN4 Primaria</v>
      </c>
      <c r="N4824" s="23"/>
      <c r="O4824" s="17"/>
      <c r="P4824" s="17"/>
      <c r="Q4824" s="17"/>
      <c r="R4824" s="17"/>
      <c r="S4824" s="17"/>
      <c r="T4824" s="17"/>
    </row>
    <row r="4825">
      <c r="A4825" s="21">
        <v>953.0</v>
      </c>
      <c r="B4825" s="14" t="s">
        <v>90</v>
      </c>
      <c r="C4825" s="14" t="s">
        <v>14</v>
      </c>
      <c r="D4825" s="20" t="s">
        <v>20</v>
      </c>
      <c r="E4825" s="12" t="str">
        <f>IFERROR(__xludf.DUMMYFUNCTION("FILTER(colegios!$B$2:$B5618,colegios!$A$2:$A5618=L4825)"),"50719 VIRGEN DEL CARMEN")</f>
        <v>50719 VIRGEN DEL CARMEN</v>
      </c>
      <c r="F4825" s="14" t="s">
        <v>16</v>
      </c>
      <c r="G4825" s="20" t="s">
        <v>17</v>
      </c>
      <c r="H4825" s="14" t="s">
        <v>18</v>
      </c>
      <c r="I4825" s="22">
        <v>2022.0</v>
      </c>
      <c r="J4825" s="16" t="str">
        <f>IFERROR(__xludf.DUMMYFUNCTION("FILTER('CLASFICACIÓN'!$F$3:$F5618,'CLASFICACIÓN'!$G$3:$G5618=M4825)"),"SOLO 2022 Y 2024")</f>
        <v>SOLO 2022 Y 2024</v>
      </c>
      <c r="K4825" s="16"/>
      <c r="L4825" s="14" t="s">
        <v>194</v>
      </c>
      <c r="M4825" s="16" t="str">
        <f t="shared" si="1"/>
        <v>50719 VIRGEN DEL CARMEN4 Primaria</v>
      </c>
      <c r="N4825" s="23"/>
      <c r="O4825" s="17"/>
      <c r="P4825" s="17"/>
      <c r="Q4825" s="17"/>
      <c r="R4825" s="17"/>
      <c r="S4825" s="17"/>
      <c r="T4825" s="17"/>
    </row>
    <row r="4826">
      <c r="A4826" s="21">
        <v>954.0</v>
      </c>
      <c r="B4826" s="14" t="s">
        <v>90</v>
      </c>
      <c r="C4826" s="14" t="s">
        <v>14</v>
      </c>
      <c r="D4826" s="20" t="s">
        <v>20</v>
      </c>
      <c r="E4826" s="12" t="str">
        <f>IFERROR(__xludf.DUMMYFUNCTION("FILTER(colegios!$B$2:$B5618,colegios!$A$2:$A5618=L4826)"),"50719 VIRGEN DEL CARMEN")</f>
        <v>50719 VIRGEN DEL CARMEN</v>
      </c>
      <c r="F4826" s="14" t="s">
        <v>16</v>
      </c>
      <c r="G4826" s="20" t="s">
        <v>21</v>
      </c>
      <c r="H4826" s="14" t="s">
        <v>18</v>
      </c>
      <c r="I4826" s="22">
        <v>2022.0</v>
      </c>
      <c r="J4826" s="16" t="str">
        <f>IFERROR(__xludf.DUMMYFUNCTION("FILTER('CLASFICACIÓN'!$F$3:$F5618,'CLASFICACIÓN'!$G$3:$G5618=M4826)"),"SOLO 2022 Y 2024")</f>
        <v>SOLO 2022 Y 2024</v>
      </c>
      <c r="K4826" s="16"/>
      <c r="L4826" s="14" t="s">
        <v>194</v>
      </c>
      <c r="M4826" s="16" t="str">
        <f t="shared" si="1"/>
        <v>50719 VIRGEN DEL CARMEN4 Primaria</v>
      </c>
      <c r="N4826" s="23"/>
      <c r="O4826" s="17"/>
      <c r="P4826" s="17"/>
      <c r="Q4826" s="17"/>
      <c r="R4826" s="17"/>
      <c r="S4826" s="17"/>
      <c r="T4826" s="17"/>
    </row>
    <row r="4827">
      <c r="A4827" s="21">
        <v>955.0</v>
      </c>
      <c r="B4827" s="14" t="s">
        <v>90</v>
      </c>
      <c r="C4827" s="14" t="s">
        <v>14</v>
      </c>
      <c r="D4827" s="20" t="s">
        <v>20</v>
      </c>
      <c r="E4827" s="12" t="str">
        <f>IFERROR(__xludf.DUMMYFUNCTION("FILTER(colegios!$B$2:$B5618,colegios!$A$2:$A5618=L4827)"),"50719 VIRGEN DEL CARMEN")</f>
        <v>50719 VIRGEN DEL CARMEN</v>
      </c>
      <c r="F4827" s="14" t="s">
        <v>16</v>
      </c>
      <c r="G4827" s="20" t="s">
        <v>17</v>
      </c>
      <c r="H4827" s="14" t="s">
        <v>18</v>
      </c>
      <c r="I4827" s="22">
        <v>2022.0</v>
      </c>
      <c r="J4827" s="16" t="str">
        <f>IFERROR(__xludf.DUMMYFUNCTION("FILTER('CLASFICACIÓN'!$F$3:$F5618,'CLASFICACIÓN'!$G$3:$G5618=M4827)"),"SOLO 2022 Y 2024")</f>
        <v>SOLO 2022 Y 2024</v>
      </c>
      <c r="K4827" s="16"/>
      <c r="L4827" s="14" t="s">
        <v>194</v>
      </c>
      <c r="M4827" s="16" t="str">
        <f t="shared" si="1"/>
        <v>50719 VIRGEN DEL CARMEN4 Primaria</v>
      </c>
      <c r="N4827" s="23"/>
      <c r="O4827" s="17"/>
      <c r="P4827" s="17"/>
      <c r="Q4827" s="17"/>
      <c r="R4827" s="17"/>
      <c r="S4827" s="17"/>
      <c r="T4827" s="17"/>
    </row>
    <row r="4828">
      <c r="A4828" s="21">
        <v>956.0</v>
      </c>
      <c r="B4828" s="14" t="s">
        <v>90</v>
      </c>
      <c r="C4828" s="14" t="s">
        <v>14</v>
      </c>
      <c r="D4828" s="20" t="s">
        <v>20</v>
      </c>
      <c r="E4828" s="12" t="str">
        <f>IFERROR(__xludf.DUMMYFUNCTION("FILTER(colegios!$B$2:$B5618,colegios!$A$2:$A5618=L4828)"),"50719 VIRGEN DEL CARMEN")</f>
        <v>50719 VIRGEN DEL CARMEN</v>
      </c>
      <c r="F4828" s="14" t="s">
        <v>16</v>
      </c>
      <c r="G4828" s="20" t="s">
        <v>17</v>
      </c>
      <c r="H4828" s="14" t="s">
        <v>18</v>
      </c>
      <c r="I4828" s="22">
        <v>2022.0</v>
      </c>
      <c r="J4828" s="16" t="str">
        <f>IFERROR(__xludf.DUMMYFUNCTION("FILTER('CLASFICACIÓN'!$F$3:$F5618,'CLASFICACIÓN'!$G$3:$G5618=M4828)"),"SOLO 2022 Y 2024")</f>
        <v>SOLO 2022 Y 2024</v>
      </c>
      <c r="K4828" s="16"/>
      <c r="L4828" s="14" t="s">
        <v>194</v>
      </c>
      <c r="M4828" s="16" t="str">
        <f t="shared" si="1"/>
        <v>50719 VIRGEN DEL CARMEN4 Primaria</v>
      </c>
      <c r="N4828" s="23"/>
      <c r="O4828" s="17"/>
      <c r="P4828" s="17"/>
      <c r="Q4828" s="17"/>
      <c r="R4828" s="17"/>
      <c r="S4828" s="17"/>
      <c r="T4828" s="17"/>
    </row>
    <row r="4829">
      <c r="A4829" s="21">
        <v>957.0</v>
      </c>
      <c r="B4829" s="14" t="s">
        <v>90</v>
      </c>
      <c r="C4829" s="14" t="s">
        <v>14</v>
      </c>
      <c r="D4829" s="20" t="s">
        <v>20</v>
      </c>
      <c r="E4829" s="12" t="str">
        <f>IFERROR(__xludf.DUMMYFUNCTION("FILTER(colegios!$B$2:$B5618,colegios!$A$2:$A5618=L4829)"),"50719 VIRGEN DEL CARMEN")</f>
        <v>50719 VIRGEN DEL CARMEN</v>
      </c>
      <c r="F4829" s="14" t="s">
        <v>16</v>
      </c>
      <c r="G4829" s="20" t="s">
        <v>21</v>
      </c>
      <c r="H4829" s="14" t="s">
        <v>18</v>
      </c>
      <c r="I4829" s="22">
        <v>2022.0</v>
      </c>
      <c r="J4829" s="16" t="str">
        <f>IFERROR(__xludf.DUMMYFUNCTION("FILTER('CLASFICACIÓN'!$F$3:$F5618,'CLASFICACIÓN'!$G$3:$G5618=M4829)"),"SOLO 2022 Y 2024")</f>
        <v>SOLO 2022 Y 2024</v>
      </c>
      <c r="K4829" s="16"/>
      <c r="L4829" s="14" t="s">
        <v>194</v>
      </c>
      <c r="M4829" s="16" t="str">
        <f t="shared" si="1"/>
        <v>50719 VIRGEN DEL CARMEN4 Primaria</v>
      </c>
      <c r="N4829" s="23"/>
      <c r="O4829" s="17"/>
      <c r="P4829" s="17"/>
      <c r="Q4829" s="17"/>
      <c r="R4829" s="17"/>
      <c r="S4829" s="17"/>
      <c r="T4829" s="17"/>
    </row>
    <row r="4830">
      <c r="A4830" s="21">
        <v>958.0</v>
      </c>
      <c r="B4830" s="14" t="s">
        <v>90</v>
      </c>
      <c r="C4830" s="14" t="s">
        <v>14</v>
      </c>
      <c r="D4830" s="20" t="s">
        <v>20</v>
      </c>
      <c r="E4830" s="12" t="str">
        <f>IFERROR(__xludf.DUMMYFUNCTION("FILTER(colegios!$B$2:$B5618,colegios!$A$2:$A5618=L4830)"),"50719 VIRGEN DEL CARMEN")</f>
        <v>50719 VIRGEN DEL CARMEN</v>
      </c>
      <c r="F4830" s="14" t="s">
        <v>16</v>
      </c>
      <c r="G4830" s="20" t="s">
        <v>21</v>
      </c>
      <c r="H4830" s="14" t="s">
        <v>18</v>
      </c>
      <c r="I4830" s="22">
        <v>2022.0</v>
      </c>
      <c r="J4830" s="16" t="str">
        <f>IFERROR(__xludf.DUMMYFUNCTION("FILTER('CLASFICACIÓN'!$F$3:$F5618,'CLASFICACIÓN'!$G$3:$G5618=M4830)"),"SOLO 2022 Y 2024")</f>
        <v>SOLO 2022 Y 2024</v>
      </c>
      <c r="K4830" s="16"/>
      <c r="L4830" s="14" t="s">
        <v>194</v>
      </c>
      <c r="M4830" s="16" t="str">
        <f t="shared" si="1"/>
        <v>50719 VIRGEN DEL CARMEN4 Primaria</v>
      </c>
      <c r="N4830" s="23"/>
      <c r="O4830" s="17"/>
      <c r="P4830" s="17"/>
      <c r="Q4830" s="17"/>
      <c r="R4830" s="17"/>
      <c r="S4830" s="17"/>
      <c r="T4830" s="17"/>
    </row>
    <row r="4831">
      <c r="A4831" s="21">
        <v>959.0</v>
      </c>
      <c r="B4831" s="14" t="s">
        <v>90</v>
      </c>
      <c r="C4831" s="14" t="s">
        <v>14</v>
      </c>
      <c r="D4831" s="20" t="s">
        <v>20</v>
      </c>
      <c r="E4831" s="12" t="str">
        <f>IFERROR(__xludf.DUMMYFUNCTION("FILTER(colegios!$B$2:$B5618,colegios!$A$2:$A5618=L4831)"),"50719 VIRGEN DEL CARMEN")</f>
        <v>50719 VIRGEN DEL CARMEN</v>
      </c>
      <c r="F4831" s="14" t="s">
        <v>16</v>
      </c>
      <c r="G4831" s="20" t="s">
        <v>21</v>
      </c>
      <c r="H4831" s="14" t="s">
        <v>18</v>
      </c>
      <c r="I4831" s="22">
        <v>2022.0</v>
      </c>
      <c r="J4831" s="16" t="str">
        <f>IFERROR(__xludf.DUMMYFUNCTION("FILTER('CLASFICACIÓN'!$F$3:$F5618,'CLASFICACIÓN'!$G$3:$G5618=M4831)"),"SOLO 2022 Y 2024")</f>
        <v>SOLO 2022 Y 2024</v>
      </c>
      <c r="K4831" s="16"/>
      <c r="L4831" s="14" t="s">
        <v>194</v>
      </c>
      <c r="M4831" s="16" t="str">
        <f t="shared" si="1"/>
        <v>50719 VIRGEN DEL CARMEN4 Primaria</v>
      </c>
      <c r="N4831" s="23"/>
      <c r="O4831" s="17"/>
      <c r="P4831" s="17"/>
      <c r="Q4831" s="17"/>
      <c r="R4831" s="17"/>
      <c r="S4831" s="17"/>
      <c r="T4831" s="17"/>
    </row>
    <row r="4832">
      <c r="A4832" s="21">
        <v>960.0</v>
      </c>
      <c r="B4832" s="14" t="s">
        <v>90</v>
      </c>
      <c r="C4832" s="14" t="s">
        <v>14</v>
      </c>
      <c r="D4832" s="20" t="s">
        <v>20</v>
      </c>
      <c r="E4832" s="12" t="str">
        <f>IFERROR(__xludf.DUMMYFUNCTION("FILTER(colegios!$B$2:$B5618,colegios!$A$2:$A5618=L4832)"),"50719 VIRGEN DEL CARMEN")</f>
        <v>50719 VIRGEN DEL CARMEN</v>
      </c>
      <c r="F4832" s="14" t="s">
        <v>16</v>
      </c>
      <c r="G4832" s="20" t="s">
        <v>21</v>
      </c>
      <c r="H4832" s="14" t="s">
        <v>18</v>
      </c>
      <c r="I4832" s="22">
        <v>2022.0</v>
      </c>
      <c r="J4832" s="16" t="str">
        <f>IFERROR(__xludf.DUMMYFUNCTION("FILTER('CLASFICACIÓN'!$F$3:$F5618,'CLASFICACIÓN'!$G$3:$G5618=M4832)"),"SOLO 2022 Y 2024")</f>
        <v>SOLO 2022 Y 2024</v>
      </c>
      <c r="K4832" s="16"/>
      <c r="L4832" s="14" t="s">
        <v>194</v>
      </c>
      <c r="M4832" s="16" t="str">
        <f t="shared" si="1"/>
        <v>50719 VIRGEN DEL CARMEN4 Primaria</v>
      </c>
      <c r="N4832" s="23"/>
      <c r="O4832" s="17"/>
      <c r="P4832" s="17"/>
      <c r="Q4832" s="17"/>
      <c r="R4832" s="17"/>
      <c r="S4832" s="17"/>
      <c r="T4832" s="17"/>
    </row>
    <row r="4833">
      <c r="A4833" s="21">
        <v>961.0</v>
      </c>
      <c r="B4833" s="14" t="s">
        <v>90</v>
      </c>
      <c r="C4833" s="14" t="s">
        <v>14</v>
      </c>
      <c r="D4833" s="20" t="s">
        <v>20</v>
      </c>
      <c r="E4833" s="12" t="str">
        <f>IFERROR(__xludf.DUMMYFUNCTION("FILTER(colegios!$B$2:$B5618,colegios!$A$2:$A5618=L4833)"),"50719 VIRGEN DEL CARMEN")</f>
        <v>50719 VIRGEN DEL CARMEN</v>
      </c>
      <c r="F4833" s="14" t="s">
        <v>16</v>
      </c>
      <c r="G4833" s="20" t="s">
        <v>21</v>
      </c>
      <c r="H4833" s="14" t="s">
        <v>18</v>
      </c>
      <c r="I4833" s="22">
        <v>2022.0</v>
      </c>
      <c r="J4833" s="16" t="str">
        <f>IFERROR(__xludf.DUMMYFUNCTION("FILTER('CLASFICACIÓN'!$F$3:$F5618,'CLASFICACIÓN'!$G$3:$G5618=M4833)"),"SOLO 2022 Y 2024")</f>
        <v>SOLO 2022 Y 2024</v>
      </c>
      <c r="K4833" s="16"/>
      <c r="L4833" s="14" t="s">
        <v>194</v>
      </c>
      <c r="M4833" s="16" t="str">
        <f t="shared" si="1"/>
        <v>50719 VIRGEN DEL CARMEN4 Primaria</v>
      </c>
      <c r="N4833" s="23"/>
      <c r="O4833" s="17"/>
      <c r="P4833" s="17"/>
      <c r="Q4833" s="17"/>
      <c r="R4833" s="17"/>
      <c r="S4833" s="17"/>
      <c r="T4833" s="17"/>
    </row>
    <row r="4834">
      <c r="A4834" s="21">
        <v>962.0</v>
      </c>
      <c r="B4834" s="14" t="s">
        <v>90</v>
      </c>
      <c r="C4834" s="14" t="s">
        <v>14</v>
      </c>
      <c r="D4834" s="20" t="s">
        <v>20</v>
      </c>
      <c r="E4834" s="12" t="str">
        <f>IFERROR(__xludf.DUMMYFUNCTION("FILTER(colegios!$B$2:$B5618,colegios!$A$2:$A5618=L4834)"),"50719 VIRGEN DEL CARMEN")</f>
        <v>50719 VIRGEN DEL CARMEN</v>
      </c>
      <c r="F4834" s="14" t="s">
        <v>16</v>
      </c>
      <c r="G4834" s="20" t="s">
        <v>17</v>
      </c>
      <c r="H4834" s="14" t="s">
        <v>18</v>
      </c>
      <c r="I4834" s="22">
        <v>2022.0</v>
      </c>
      <c r="J4834" s="16" t="str">
        <f>IFERROR(__xludf.DUMMYFUNCTION("FILTER('CLASFICACIÓN'!$F$3:$F5618,'CLASFICACIÓN'!$G$3:$G5618=M4834)"),"SOLO 2022 Y 2024")</f>
        <v>SOLO 2022 Y 2024</v>
      </c>
      <c r="K4834" s="16"/>
      <c r="L4834" s="14" t="s">
        <v>194</v>
      </c>
      <c r="M4834" s="16" t="str">
        <f t="shared" si="1"/>
        <v>50719 VIRGEN DEL CARMEN4 Primaria</v>
      </c>
      <c r="N4834" s="23"/>
      <c r="O4834" s="17"/>
      <c r="P4834" s="17"/>
      <c r="Q4834" s="17"/>
      <c r="R4834" s="17"/>
      <c r="S4834" s="17"/>
      <c r="T4834" s="17"/>
    </row>
    <row r="4835">
      <c r="A4835" s="21">
        <v>963.0</v>
      </c>
      <c r="B4835" s="14" t="s">
        <v>90</v>
      </c>
      <c r="C4835" s="14" t="s">
        <v>14</v>
      </c>
      <c r="D4835" s="20" t="s">
        <v>20</v>
      </c>
      <c r="E4835" s="12" t="str">
        <f>IFERROR(__xludf.DUMMYFUNCTION("FILTER(colegios!$B$2:$B5618,colegios!$A$2:$A5618=L4835)"),"50719 VIRGEN DEL CARMEN")</f>
        <v>50719 VIRGEN DEL CARMEN</v>
      </c>
      <c r="F4835" s="14" t="s">
        <v>16</v>
      </c>
      <c r="G4835" s="20" t="s">
        <v>21</v>
      </c>
      <c r="H4835" s="14" t="s">
        <v>18</v>
      </c>
      <c r="I4835" s="22">
        <v>2022.0</v>
      </c>
      <c r="J4835" s="16" t="str">
        <f>IFERROR(__xludf.DUMMYFUNCTION("FILTER('CLASFICACIÓN'!$F$3:$F5618,'CLASFICACIÓN'!$G$3:$G5618=M4835)"),"SOLO 2022 Y 2024")</f>
        <v>SOLO 2022 Y 2024</v>
      </c>
      <c r="K4835" s="16"/>
      <c r="L4835" s="14" t="s">
        <v>194</v>
      </c>
      <c r="M4835" s="16" t="str">
        <f t="shared" si="1"/>
        <v>50719 VIRGEN DEL CARMEN4 Primaria</v>
      </c>
      <c r="N4835" s="23"/>
      <c r="O4835" s="17"/>
      <c r="P4835" s="17"/>
      <c r="Q4835" s="17"/>
      <c r="R4835" s="17"/>
      <c r="S4835" s="17"/>
      <c r="T4835" s="17"/>
    </row>
    <row r="4836">
      <c r="A4836" s="21">
        <v>964.0</v>
      </c>
      <c r="B4836" s="14" t="s">
        <v>90</v>
      </c>
      <c r="C4836" s="14" t="s">
        <v>14</v>
      </c>
      <c r="D4836" s="20" t="s">
        <v>20</v>
      </c>
      <c r="E4836" s="12" t="str">
        <f>IFERROR(__xludf.DUMMYFUNCTION("FILTER(colegios!$B$2:$B5618,colegios!$A$2:$A5618=L4836)"),"50719 VIRGEN DEL CARMEN")</f>
        <v>50719 VIRGEN DEL CARMEN</v>
      </c>
      <c r="F4836" s="14" t="s">
        <v>16</v>
      </c>
      <c r="G4836" s="20" t="s">
        <v>21</v>
      </c>
      <c r="H4836" s="14" t="s">
        <v>18</v>
      </c>
      <c r="I4836" s="22">
        <v>2022.0</v>
      </c>
      <c r="J4836" s="16" t="str">
        <f>IFERROR(__xludf.DUMMYFUNCTION("FILTER('CLASFICACIÓN'!$F$3:$F5618,'CLASFICACIÓN'!$G$3:$G5618=M4836)"),"SOLO 2022 Y 2024")</f>
        <v>SOLO 2022 Y 2024</v>
      </c>
      <c r="K4836" s="16"/>
      <c r="L4836" s="14" t="s">
        <v>194</v>
      </c>
      <c r="M4836" s="16" t="str">
        <f t="shared" si="1"/>
        <v>50719 VIRGEN DEL CARMEN4 Primaria</v>
      </c>
      <c r="N4836" s="23"/>
      <c r="O4836" s="17"/>
      <c r="P4836" s="17"/>
      <c r="Q4836" s="17"/>
      <c r="R4836" s="17"/>
      <c r="S4836" s="17"/>
      <c r="T4836" s="17"/>
    </row>
    <row r="4837">
      <c r="A4837" s="21">
        <v>965.0</v>
      </c>
      <c r="B4837" s="14" t="s">
        <v>90</v>
      </c>
      <c r="C4837" s="14" t="s">
        <v>14</v>
      </c>
      <c r="D4837" s="20" t="s">
        <v>20</v>
      </c>
      <c r="E4837" s="12" t="str">
        <f>IFERROR(__xludf.DUMMYFUNCTION("FILTER(colegios!$B$2:$B5618,colegios!$A$2:$A5618=L4837)"),"50719 VIRGEN DEL CARMEN")</f>
        <v>50719 VIRGEN DEL CARMEN</v>
      </c>
      <c r="F4837" s="14" t="s">
        <v>16</v>
      </c>
      <c r="G4837" s="20" t="s">
        <v>21</v>
      </c>
      <c r="H4837" s="14" t="s">
        <v>18</v>
      </c>
      <c r="I4837" s="22">
        <v>2022.0</v>
      </c>
      <c r="J4837" s="16" t="str">
        <f>IFERROR(__xludf.DUMMYFUNCTION("FILTER('CLASFICACIÓN'!$F$3:$F5618,'CLASFICACIÓN'!$G$3:$G5618=M4837)"),"SOLO 2022 Y 2024")</f>
        <v>SOLO 2022 Y 2024</v>
      </c>
      <c r="K4837" s="16"/>
      <c r="L4837" s="14" t="s">
        <v>194</v>
      </c>
      <c r="M4837" s="16" t="str">
        <f t="shared" si="1"/>
        <v>50719 VIRGEN DEL CARMEN4 Primaria</v>
      </c>
      <c r="N4837" s="23"/>
      <c r="O4837" s="17"/>
      <c r="P4837" s="17"/>
      <c r="Q4837" s="17"/>
      <c r="R4837" s="17"/>
      <c r="S4837" s="17"/>
      <c r="T4837" s="17"/>
    </row>
    <row r="4838">
      <c r="A4838" s="21">
        <v>966.0</v>
      </c>
      <c r="B4838" s="14" t="s">
        <v>90</v>
      </c>
      <c r="C4838" s="14" t="s">
        <v>14</v>
      </c>
      <c r="D4838" s="20" t="s">
        <v>20</v>
      </c>
      <c r="E4838" s="12" t="str">
        <f>IFERROR(__xludf.DUMMYFUNCTION("FILTER(colegios!$B$2:$B5618,colegios!$A$2:$A5618=L4838)"),"50719 VIRGEN DEL CARMEN")</f>
        <v>50719 VIRGEN DEL CARMEN</v>
      </c>
      <c r="F4838" s="14" t="s">
        <v>16</v>
      </c>
      <c r="G4838" s="20" t="s">
        <v>17</v>
      </c>
      <c r="H4838" s="14" t="s">
        <v>18</v>
      </c>
      <c r="I4838" s="22">
        <v>2022.0</v>
      </c>
      <c r="J4838" s="16" t="str">
        <f>IFERROR(__xludf.DUMMYFUNCTION("FILTER('CLASFICACIÓN'!$F$3:$F5618,'CLASFICACIÓN'!$G$3:$G5618=M4838)"),"SOLO 2022 Y 2024")</f>
        <v>SOLO 2022 Y 2024</v>
      </c>
      <c r="K4838" s="16"/>
      <c r="L4838" s="14" t="s">
        <v>194</v>
      </c>
      <c r="M4838" s="16" t="str">
        <f t="shared" si="1"/>
        <v>50719 VIRGEN DEL CARMEN4 Primaria</v>
      </c>
      <c r="N4838" s="23"/>
      <c r="O4838" s="17"/>
      <c r="P4838" s="17"/>
      <c r="Q4838" s="17"/>
      <c r="R4838" s="17"/>
      <c r="S4838" s="17"/>
      <c r="T4838" s="17"/>
    </row>
    <row r="4839">
      <c r="A4839" s="21">
        <v>967.0</v>
      </c>
      <c r="B4839" s="14" t="s">
        <v>90</v>
      </c>
      <c r="C4839" s="14" t="s">
        <v>14</v>
      </c>
      <c r="D4839" s="20" t="s">
        <v>20</v>
      </c>
      <c r="E4839" s="12" t="str">
        <f>IFERROR(__xludf.DUMMYFUNCTION("FILTER(colegios!$B$2:$B5618,colegios!$A$2:$A5618=L4839)"),"50719 VIRGEN DEL CARMEN")</f>
        <v>50719 VIRGEN DEL CARMEN</v>
      </c>
      <c r="F4839" s="14" t="s">
        <v>16</v>
      </c>
      <c r="G4839" s="20" t="s">
        <v>21</v>
      </c>
      <c r="H4839" s="14" t="s">
        <v>18</v>
      </c>
      <c r="I4839" s="22">
        <v>2022.0</v>
      </c>
      <c r="J4839" s="16" t="str">
        <f>IFERROR(__xludf.DUMMYFUNCTION("FILTER('CLASFICACIÓN'!$F$3:$F5618,'CLASFICACIÓN'!$G$3:$G5618=M4839)"),"SOLO 2022 Y 2024")</f>
        <v>SOLO 2022 Y 2024</v>
      </c>
      <c r="K4839" s="16"/>
      <c r="L4839" s="14" t="s">
        <v>194</v>
      </c>
      <c r="M4839" s="16" t="str">
        <f t="shared" si="1"/>
        <v>50719 VIRGEN DEL CARMEN4 Primaria</v>
      </c>
      <c r="N4839" s="23"/>
      <c r="O4839" s="17"/>
      <c r="P4839" s="17"/>
      <c r="Q4839" s="17"/>
      <c r="R4839" s="17"/>
      <c r="S4839" s="17"/>
      <c r="T4839" s="17"/>
    </row>
    <row r="4840">
      <c r="A4840" s="21">
        <v>968.0</v>
      </c>
      <c r="B4840" s="14" t="s">
        <v>90</v>
      </c>
      <c r="C4840" s="14" t="s">
        <v>14</v>
      </c>
      <c r="D4840" s="20" t="s">
        <v>20</v>
      </c>
      <c r="E4840" s="12" t="str">
        <f>IFERROR(__xludf.DUMMYFUNCTION("FILTER(colegios!$B$2:$B5618,colegios!$A$2:$A5618=L4840)"),"50719 VIRGEN DEL CARMEN")</f>
        <v>50719 VIRGEN DEL CARMEN</v>
      </c>
      <c r="F4840" s="14" t="s">
        <v>16</v>
      </c>
      <c r="G4840" s="20" t="s">
        <v>21</v>
      </c>
      <c r="H4840" s="14" t="s">
        <v>18</v>
      </c>
      <c r="I4840" s="22">
        <v>2022.0</v>
      </c>
      <c r="J4840" s="16" t="str">
        <f>IFERROR(__xludf.DUMMYFUNCTION("FILTER('CLASFICACIÓN'!$F$3:$F5618,'CLASFICACIÓN'!$G$3:$G5618=M4840)"),"SOLO 2022 Y 2024")</f>
        <v>SOLO 2022 Y 2024</v>
      </c>
      <c r="K4840" s="16"/>
      <c r="L4840" s="14" t="s">
        <v>194</v>
      </c>
      <c r="M4840" s="16" t="str">
        <f t="shared" si="1"/>
        <v>50719 VIRGEN DEL CARMEN4 Primaria</v>
      </c>
      <c r="N4840" s="23"/>
      <c r="O4840" s="17"/>
      <c r="P4840" s="17"/>
      <c r="Q4840" s="17"/>
      <c r="R4840" s="17"/>
      <c r="S4840" s="17"/>
      <c r="T4840" s="17"/>
    </row>
    <row r="4841">
      <c r="A4841" s="21">
        <v>969.0</v>
      </c>
      <c r="B4841" s="14" t="s">
        <v>90</v>
      </c>
      <c r="C4841" s="14" t="s">
        <v>14</v>
      </c>
      <c r="D4841" s="20" t="s">
        <v>20</v>
      </c>
      <c r="E4841" s="12" t="str">
        <f>IFERROR(__xludf.DUMMYFUNCTION("FILTER(colegios!$B$2:$B5618,colegios!$A$2:$A5618=L4841)"),"50719 VIRGEN DEL CARMEN")</f>
        <v>50719 VIRGEN DEL CARMEN</v>
      </c>
      <c r="F4841" s="14" t="s">
        <v>16</v>
      </c>
      <c r="G4841" s="20" t="s">
        <v>17</v>
      </c>
      <c r="H4841" s="14" t="s">
        <v>18</v>
      </c>
      <c r="I4841" s="22">
        <v>2022.0</v>
      </c>
      <c r="J4841" s="16" t="str">
        <f>IFERROR(__xludf.DUMMYFUNCTION("FILTER('CLASFICACIÓN'!$F$3:$F5618,'CLASFICACIÓN'!$G$3:$G5618=M4841)"),"SOLO 2022 Y 2024")</f>
        <v>SOLO 2022 Y 2024</v>
      </c>
      <c r="K4841" s="16"/>
      <c r="L4841" s="14" t="s">
        <v>194</v>
      </c>
      <c r="M4841" s="16" t="str">
        <f t="shared" si="1"/>
        <v>50719 VIRGEN DEL CARMEN4 Primaria</v>
      </c>
      <c r="N4841" s="23"/>
      <c r="O4841" s="17"/>
      <c r="P4841" s="17"/>
      <c r="Q4841" s="17"/>
      <c r="R4841" s="17"/>
      <c r="S4841" s="17"/>
      <c r="T4841" s="17"/>
    </row>
    <row r="4842">
      <c r="A4842" s="21">
        <v>970.0</v>
      </c>
      <c r="B4842" s="14" t="s">
        <v>90</v>
      </c>
      <c r="C4842" s="14" t="s">
        <v>14</v>
      </c>
      <c r="D4842" s="20" t="s">
        <v>20</v>
      </c>
      <c r="E4842" s="12" t="str">
        <f>IFERROR(__xludf.DUMMYFUNCTION("FILTER(colegios!$B$2:$B5618,colegios!$A$2:$A5618=L4842)"),"50719 VIRGEN DEL CARMEN")</f>
        <v>50719 VIRGEN DEL CARMEN</v>
      </c>
      <c r="F4842" s="14" t="s">
        <v>16</v>
      </c>
      <c r="G4842" s="20" t="s">
        <v>17</v>
      </c>
      <c r="H4842" s="14" t="s">
        <v>18</v>
      </c>
      <c r="I4842" s="22">
        <v>2022.0</v>
      </c>
      <c r="J4842" s="16" t="str">
        <f>IFERROR(__xludf.DUMMYFUNCTION("FILTER('CLASFICACIÓN'!$F$3:$F5618,'CLASFICACIÓN'!$G$3:$G5618=M4842)"),"SOLO 2022 Y 2024")</f>
        <v>SOLO 2022 Y 2024</v>
      </c>
      <c r="K4842" s="16"/>
      <c r="L4842" s="14" t="s">
        <v>194</v>
      </c>
      <c r="M4842" s="16" t="str">
        <f t="shared" si="1"/>
        <v>50719 VIRGEN DEL CARMEN4 Primaria</v>
      </c>
      <c r="N4842" s="23"/>
      <c r="O4842" s="17"/>
      <c r="P4842" s="17"/>
      <c r="Q4842" s="17"/>
      <c r="R4842" s="17"/>
      <c r="S4842" s="17"/>
      <c r="T4842" s="17"/>
    </row>
    <row r="4843">
      <c r="A4843" s="21">
        <v>971.0</v>
      </c>
      <c r="B4843" s="14" t="s">
        <v>90</v>
      </c>
      <c r="C4843" s="14" t="s">
        <v>14</v>
      </c>
      <c r="D4843" s="20" t="s">
        <v>20</v>
      </c>
      <c r="E4843" s="12" t="str">
        <f>IFERROR(__xludf.DUMMYFUNCTION("FILTER(colegios!$B$2:$B5618,colegios!$A$2:$A5618=L4843)"),"50719 VIRGEN DEL CARMEN")</f>
        <v>50719 VIRGEN DEL CARMEN</v>
      </c>
      <c r="F4843" s="14" t="s">
        <v>16</v>
      </c>
      <c r="G4843" s="20" t="s">
        <v>21</v>
      </c>
      <c r="H4843" s="14" t="s">
        <v>18</v>
      </c>
      <c r="I4843" s="22">
        <v>2022.0</v>
      </c>
      <c r="J4843" s="16" t="str">
        <f>IFERROR(__xludf.DUMMYFUNCTION("FILTER('CLASFICACIÓN'!$F$3:$F5618,'CLASFICACIÓN'!$G$3:$G5618=M4843)"),"SOLO 2022 Y 2024")</f>
        <v>SOLO 2022 Y 2024</v>
      </c>
      <c r="K4843" s="16"/>
      <c r="L4843" s="14" t="s">
        <v>194</v>
      </c>
      <c r="M4843" s="16" t="str">
        <f t="shared" si="1"/>
        <v>50719 VIRGEN DEL CARMEN4 Primaria</v>
      </c>
      <c r="N4843" s="23"/>
      <c r="O4843" s="17"/>
      <c r="P4843" s="17"/>
      <c r="Q4843" s="17"/>
      <c r="R4843" s="17"/>
      <c r="S4843" s="17"/>
      <c r="T4843" s="17"/>
    </row>
    <row r="4844">
      <c r="A4844" s="21">
        <v>972.0</v>
      </c>
      <c r="B4844" s="14" t="s">
        <v>90</v>
      </c>
      <c r="C4844" s="14" t="s">
        <v>14</v>
      </c>
      <c r="D4844" s="20" t="s">
        <v>20</v>
      </c>
      <c r="E4844" s="12" t="str">
        <f>IFERROR(__xludf.DUMMYFUNCTION("FILTER(colegios!$B$2:$B5618,colegios!$A$2:$A5618=L4844)"),"50719 VIRGEN DEL CARMEN")</f>
        <v>50719 VIRGEN DEL CARMEN</v>
      </c>
      <c r="F4844" s="14" t="s">
        <v>16</v>
      </c>
      <c r="G4844" s="20" t="s">
        <v>21</v>
      </c>
      <c r="H4844" s="14" t="s">
        <v>18</v>
      </c>
      <c r="I4844" s="22">
        <v>2022.0</v>
      </c>
      <c r="J4844" s="16" t="str">
        <f>IFERROR(__xludf.DUMMYFUNCTION("FILTER('CLASFICACIÓN'!$F$3:$F5618,'CLASFICACIÓN'!$G$3:$G5618=M4844)"),"SOLO 2022 Y 2024")</f>
        <v>SOLO 2022 Y 2024</v>
      </c>
      <c r="K4844" s="16"/>
      <c r="L4844" s="14" t="s">
        <v>194</v>
      </c>
      <c r="M4844" s="16" t="str">
        <f t="shared" si="1"/>
        <v>50719 VIRGEN DEL CARMEN4 Primaria</v>
      </c>
      <c r="N4844" s="23"/>
      <c r="O4844" s="17"/>
      <c r="P4844" s="17"/>
      <c r="Q4844" s="17"/>
      <c r="R4844" s="17"/>
      <c r="S4844" s="17"/>
      <c r="T4844" s="17"/>
    </row>
    <row r="4845">
      <c r="A4845" s="21">
        <v>973.0</v>
      </c>
      <c r="B4845" s="14" t="s">
        <v>90</v>
      </c>
      <c r="C4845" s="14" t="s">
        <v>14</v>
      </c>
      <c r="D4845" s="20" t="s">
        <v>20</v>
      </c>
      <c r="E4845" s="12" t="str">
        <f>IFERROR(__xludf.DUMMYFUNCTION("FILTER(colegios!$B$2:$B5618,colegios!$A$2:$A5618=L4845)"),"50719 VIRGEN DEL CARMEN")</f>
        <v>50719 VIRGEN DEL CARMEN</v>
      </c>
      <c r="F4845" s="14" t="s">
        <v>16</v>
      </c>
      <c r="G4845" s="20" t="s">
        <v>17</v>
      </c>
      <c r="H4845" s="14" t="s">
        <v>18</v>
      </c>
      <c r="I4845" s="22">
        <v>2022.0</v>
      </c>
      <c r="J4845" s="16" t="str">
        <f>IFERROR(__xludf.DUMMYFUNCTION("FILTER('CLASFICACIÓN'!$F$3:$F5618,'CLASFICACIÓN'!$G$3:$G5618=M4845)"),"SOLO 2022 Y 2024")</f>
        <v>SOLO 2022 Y 2024</v>
      </c>
      <c r="K4845" s="16"/>
      <c r="L4845" s="14" t="s">
        <v>194</v>
      </c>
      <c r="M4845" s="16" t="str">
        <f t="shared" si="1"/>
        <v>50719 VIRGEN DEL CARMEN4 Primaria</v>
      </c>
      <c r="N4845" s="23"/>
      <c r="O4845" s="17"/>
      <c r="P4845" s="17"/>
      <c r="Q4845" s="17"/>
      <c r="R4845" s="17"/>
      <c r="S4845" s="17"/>
      <c r="T4845" s="17"/>
    </row>
    <row r="4846">
      <c r="A4846" s="21">
        <v>974.0</v>
      </c>
      <c r="B4846" s="14" t="s">
        <v>90</v>
      </c>
      <c r="C4846" s="14" t="s">
        <v>14</v>
      </c>
      <c r="D4846" s="20" t="s">
        <v>20</v>
      </c>
      <c r="E4846" s="12" t="str">
        <f>IFERROR(__xludf.DUMMYFUNCTION("FILTER(colegios!$B$2:$B5618,colegios!$A$2:$A5618=L4846)"),"50719 VIRGEN DEL CARMEN")</f>
        <v>50719 VIRGEN DEL CARMEN</v>
      </c>
      <c r="F4846" s="14" t="s">
        <v>16</v>
      </c>
      <c r="G4846" s="20" t="s">
        <v>21</v>
      </c>
      <c r="H4846" s="14" t="s">
        <v>18</v>
      </c>
      <c r="I4846" s="22">
        <v>2022.0</v>
      </c>
      <c r="J4846" s="16" t="str">
        <f>IFERROR(__xludf.DUMMYFUNCTION("FILTER('CLASFICACIÓN'!$F$3:$F5618,'CLASFICACIÓN'!$G$3:$G5618=M4846)"),"SOLO 2022 Y 2024")</f>
        <v>SOLO 2022 Y 2024</v>
      </c>
      <c r="K4846" s="16"/>
      <c r="L4846" s="14" t="s">
        <v>194</v>
      </c>
      <c r="M4846" s="16" t="str">
        <f t="shared" si="1"/>
        <v>50719 VIRGEN DEL CARMEN4 Primaria</v>
      </c>
      <c r="N4846" s="23"/>
      <c r="O4846" s="17"/>
      <c r="P4846" s="17"/>
      <c r="Q4846" s="17"/>
      <c r="R4846" s="17"/>
      <c r="S4846" s="17"/>
      <c r="T4846" s="17"/>
    </row>
    <row r="4847">
      <c r="A4847" s="21">
        <v>975.0</v>
      </c>
      <c r="B4847" s="14" t="s">
        <v>90</v>
      </c>
      <c r="C4847" s="14" t="s">
        <v>14</v>
      </c>
      <c r="D4847" s="20" t="s">
        <v>20</v>
      </c>
      <c r="E4847" s="12" t="str">
        <f>IFERROR(__xludf.DUMMYFUNCTION("FILTER(colegios!$B$2:$B5618,colegios!$A$2:$A5618=L4847)"),"50719 VIRGEN DEL CARMEN")</f>
        <v>50719 VIRGEN DEL CARMEN</v>
      </c>
      <c r="F4847" s="14" t="s">
        <v>16</v>
      </c>
      <c r="G4847" s="20" t="s">
        <v>17</v>
      </c>
      <c r="H4847" s="14" t="s">
        <v>18</v>
      </c>
      <c r="I4847" s="22">
        <v>2022.0</v>
      </c>
      <c r="J4847" s="16" t="str">
        <f>IFERROR(__xludf.DUMMYFUNCTION("FILTER('CLASFICACIÓN'!$F$3:$F5618,'CLASFICACIÓN'!$G$3:$G5618=M4847)"),"SOLO 2022 Y 2024")</f>
        <v>SOLO 2022 Y 2024</v>
      </c>
      <c r="K4847" s="16"/>
      <c r="L4847" s="14" t="s">
        <v>194</v>
      </c>
      <c r="M4847" s="16" t="str">
        <f t="shared" si="1"/>
        <v>50719 VIRGEN DEL CARMEN4 Primaria</v>
      </c>
      <c r="N4847" s="23"/>
      <c r="O4847" s="17"/>
      <c r="P4847" s="17"/>
      <c r="Q4847" s="17"/>
      <c r="R4847" s="17"/>
      <c r="S4847" s="17"/>
      <c r="T4847" s="17"/>
    </row>
    <row r="4848">
      <c r="A4848" s="21">
        <v>976.0</v>
      </c>
      <c r="B4848" s="14" t="s">
        <v>90</v>
      </c>
      <c r="C4848" s="14" t="s">
        <v>14</v>
      </c>
      <c r="D4848" s="20" t="s">
        <v>20</v>
      </c>
      <c r="E4848" s="12" t="str">
        <f>IFERROR(__xludf.DUMMYFUNCTION("FILTER(colegios!$B$2:$B5618,colegios!$A$2:$A5618=L4848)"),"50719 VIRGEN DEL CARMEN")</f>
        <v>50719 VIRGEN DEL CARMEN</v>
      </c>
      <c r="F4848" s="14" t="s">
        <v>16</v>
      </c>
      <c r="G4848" s="20" t="s">
        <v>21</v>
      </c>
      <c r="H4848" s="14" t="s">
        <v>18</v>
      </c>
      <c r="I4848" s="22">
        <v>2022.0</v>
      </c>
      <c r="J4848" s="16" t="str">
        <f>IFERROR(__xludf.DUMMYFUNCTION("FILTER('CLASFICACIÓN'!$F$3:$F5618,'CLASFICACIÓN'!$G$3:$G5618=M4848)"),"SOLO 2022 Y 2024")</f>
        <v>SOLO 2022 Y 2024</v>
      </c>
      <c r="K4848" s="16"/>
      <c r="L4848" s="14" t="s">
        <v>194</v>
      </c>
      <c r="M4848" s="16" t="str">
        <f t="shared" si="1"/>
        <v>50719 VIRGEN DEL CARMEN4 Primaria</v>
      </c>
      <c r="N4848" s="23"/>
      <c r="O4848" s="17"/>
      <c r="P4848" s="17"/>
      <c r="Q4848" s="17"/>
      <c r="R4848" s="17"/>
      <c r="S4848" s="17"/>
      <c r="T4848" s="17"/>
    </row>
    <row r="4849">
      <c r="A4849" s="21">
        <v>977.0</v>
      </c>
      <c r="B4849" s="14" t="s">
        <v>90</v>
      </c>
      <c r="C4849" s="14" t="s">
        <v>14</v>
      </c>
      <c r="D4849" s="20" t="s">
        <v>20</v>
      </c>
      <c r="E4849" s="12" t="str">
        <f>IFERROR(__xludf.DUMMYFUNCTION("FILTER(colegios!$B$2:$B5618,colegios!$A$2:$A5618=L4849)"),"50719 VIRGEN DEL CARMEN")</f>
        <v>50719 VIRGEN DEL CARMEN</v>
      </c>
      <c r="F4849" s="14" t="s">
        <v>16</v>
      </c>
      <c r="G4849" s="20" t="s">
        <v>21</v>
      </c>
      <c r="H4849" s="14" t="s">
        <v>18</v>
      </c>
      <c r="I4849" s="22">
        <v>2022.0</v>
      </c>
      <c r="J4849" s="16" t="str">
        <f>IFERROR(__xludf.DUMMYFUNCTION("FILTER('CLASFICACIÓN'!$F$3:$F5618,'CLASFICACIÓN'!$G$3:$G5618=M4849)"),"SOLO 2022 Y 2024")</f>
        <v>SOLO 2022 Y 2024</v>
      </c>
      <c r="K4849" s="16"/>
      <c r="L4849" s="14" t="s">
        <v>194</v>
      </c>
      <c r="M4849" s="16" t="str">
        <f t="shared" si="1"/>
        <v>50719 VIRGEN DEL CARMEN4 Primaria</v>
      </c>
      <c r="N4849" s="23"/>
      <c r="O4849" s="17"/>
      <c r="P4849" s="17"/>
      <c r="Q4849" s="17"/>
      <c r="R4849" s="17"/>
      <c r="S4849" s="17"/>
      <c r="T4849" s="17"/>
    </row>
    <row r="4850">
      <c r="A4850" s="21">
        <v>978.0</v>
      </c>
      <c r="B4850" s="14" t="s">
        <v>90</v>
      </c>
      <c r="C4850" s="14" t="s">
        <v>14</v>
      </c>
      <c r="D4850" s="20" t="s">
        <v>20</v>
      </c>
      <c r="E4850" s="12" t="str">
        <f>IFERROR(__xludf.DUMMYFUNCTION("FILTER(colegios!$B$2:$B5618,colegios!$A$2:$A5618=L4850)"),"50719 VIRGEN DEL CARMEN")</f>
        <v>50719 VIRGEN DEL CARMEN</v>
      </c>
      <c r="F4850" s="14" t="s">
        <v>16</v>
      </c>
      <c r="G4850" s="20" t="s">
        <v>17</v>
      </c>
      <c r="H4850" s="14" t="s">
        <v>18</v>
      </c>
      <c r="I4850" s="22">
        <v>2022.0</v>
      </c>
      <c r="J4850" s="16" t="str">
        <f>IFERROR(__xludf.DUMMYFUNCTION("FILTER('CLASFICACIÓN'!$F$3:$F5618,'CLASFICACIÓN'!$G$3:$G5618=M4850)"),"SOLO 2022 Y 2024")</f>
        <v>SOLO 2022 Y 2024</v>
      </c>
      <c r="K4850" s="16"/>
      <c r="L4850" s="14" t="s">
        <v>194</v>
      </c>
      <c r="M4850" s="16" t="str">
        <f t="shared" si="1"/>
        <v>50719 VIRGEN DEL CARMEN4 Primaria</v>
      </c>
      <c r="N4850" s="23"/>
      <c r="O4850" s="17"/>
      <c r="P4850" s="17"/>
      <c r="Q4850" s="17"/>
      <c r="R4850" s="17"/>
      <c r="S4850" s="17"/>
      <c r="T4850" s="17"/>
    </row>
    <row r="4851">
      <c r="A4851" s="21">
        <v>979.0</v>
      </c>
      <c r="B4851" s="14" t="s">
        <v>90</v>
      </c>
      <c r="C4851" s="14" t="s">
        <v>14</v>
      </c>
      <c r="D4851" s="20" t="s">
        <v>20</v>
      </c>
      <c r="E4851" s="12" t="str">
        <f>IFERROR(__xludf.DUMMYFUNCTION("FILTER(colegios!$B$2:$B5618,colegios!$A$2:$A5618=L4851)"),"50719 VIRGEN DEL CARMEN")</f>
        <v>50719 VIRGEN DEL CARMEN</v>
      </c>
      <c r="F4851" s="14" t="s">
        <v>16</v>
      </c>
      <c r="G4851" s="20" t="s">
        <v>21</v>
      </c>
      <c r="H4851" s="14" t="s">
        <v>18</v>
      </c>
      <c r="I4851" s="22">
        <v>2022.0</v>
      </c>
      <c r="J4851" s="16" t="str">
        <f>IFERROR(__xludf.DUMMYFUNCTION("FILTER('CLASFICACIÓN'!$F$3:$F5618,'CLASFICACIÓN'!$G$3:$G5618=M4851)"),"SOLO 2022 Y 2024")</f>
        <v>SOLO 2022 Y 2024</v>
      </c>
      <c r="K4851" s="16"/>
      <c r="L4851" s="14" t="s">
        <v>194</v>
      </c>
      <c r="M4851" s="16" t="str">
        <f t="shared" si="1"/>
        <v>50719 VIRGEN DEL CARMEN4 Primaria</v>
      </c>
      <c r="N4851" s="23"/>
      <c r="O4851" s="17"/>
      <c r="P4851" s="17"/>
      <c r="Q4851" s="17"/>
      <c r="R4851" s="17"/>
      <c r="S4851" s="17"/>
      <c r="T4851" s="17"/>
    </row>
    <row r="4852">
      <c r="A4852" s="21">
        <v>980.0</v>
      </c>
      <c r="B4852" s="14" t="s">
        <v>90</v>
      </c>
      <c r="C4852" s="14" t="s">
        <v>14</v>
      </c>
      <c r="D4852" s="20" t="s">
        <v>20</v>
      </c>
      <c r="E4852" s="12" t="str">
        <f>IFERROR(__xludf.DUMMYFUNCTION("FILTER(colegios!$B$2:$B5618,colegios!$A$2:$A5618=L4852)"),"50719 VIRGEN DEL CARMEN")</f>
        <v>50719 VIRGEN DEL CARMEN</v>
      </c>
      <c r="F4852" s="14" t="s">
        <v>16</v>
      </c>
      <c r="G4852" s="20" t="s">
        <v>17</v>
      </c>
      <c r="H4852" s="14" t="s">
        <v>18</v>
      </c>
      <c r="I4852" s="22">
        <v>2022.0</v>
      </c>
      <c r="J4852" s="16" t="str">
        <f>IFERROR(__xludf.DUMMYFUNCTION("FILTER('CLASFICACIÓN'!$F$3:$F5618,'CLASFICACIÓN'!$G$3:$G5618=M4852)"),"SOLO 2022 Y 2024")</f>
        <v>SOLO 2022 Y 2024</v>
      </c>
      <c r="K4852" s="16"/>
      <c r="L4852" s="14" t="s">
        <v>194</v>
      </c>
      <c r="M4852" s="16" t="str">
        <f t="shared" si="1"/>
        <v>50719 VIRGEN DEL CARMEN4 Primaria</v>
      </c>
      <c r="N4852" s="23"/>
      <c r="O4852" s="17"/>
      <c r="P4852" s="17"/>
      <c r="Q4852" s="17"/>
      <c r="R4852" s="17"/>
      <c r="S4852" s="17"/>
      <c r="T4852" s="17"/>
    </row>
    <row r="4853">
      <c r="A4853" s="21">
        <v>981.0</v>
      </c>
      <c r="B4853" s="14" t="s">
        <v>90</v>
      </c>
      <c r="C4853" s="14" t="s">
        <v>14</v>
      </c>
      <c r="D4853" s="20" t="s">
        <v>20</v>
      </c>
      <c r="E4853" s="12" t="str">
        <f>IFERROR(__xludf.DUMMYFUNCTION("FILTER(colegios!$B$2:$B5618,colegios!$A$2:$A5618=L4853)"),"50719 VIRGEN DEL CARMEN")</f>
        <v>50719 VIRGEN DEL CARMEN</v>
      </c>
      <c r="F4853" s="14" t="s">
        <v>16</v>
      </c>
      <c r="G4853" s="20" t="s">
        <v>17</v>
      </c>
      <c r="H4853" s="14" t="s">
        <v>18</v>
      </c>
      <c r="I4853" s="22">
        <v>2022.0</v>
      </c>
      <c r="J4853" s="16" t="str">
        <f>IFERROR(__xludf.DUMMYFUNCTION("FILTER('CLASFICACIÓN'!$F$3:$F5618,'CLASFICACIÓN'!$G$3:$G5618=M4853)"),"SOLO 2022 Y 2024")</f>
        <v>SOLO 2022 Y 2024</v>
      </c>
      <c r="K4853" s="16"/>
      <c r="L4853" s="14" t="s">
        <v>194</v>
      </c>
      <c r="M4853" s="16" t="str">
        <f t="shared" si="1"/>
        <v>50719 VIRGEN DEL CARMEN4 Primaria</v>
      </c>
      <c r="N4853" s="23"/>
      <c r="O4853" s="17"/>
      <c r="P4853" s="17"/>
      <c r="Q4853" s="17"/>
      <c r="R4853" s="17"/>
      <c r="S4853" s="17"/>
      <c r="T4853" s="17"/>
    </row>
    <row r="4854">
      <c r="A4854" s="21">
        <v>982.0</v>
      </c>
      <c r="B4854" s="14" t="s">
        <v>90</v>
      </c>
      <c r="C4854" s="14" t="s">
        <v>14</v>
      </c>
      <c r="D4854" s="20" t="s">
        <v>20</v>
      </c>
      <c r="E4854" s="12" t="str">
        <f>IFERROR(__xludf.DUMMYFUNCTION("FILTER(colegios!$B$2:$B5618,colegios!$A$2:$A5618=L4854)"),"50719 VIRGEN DEL CARMEN")</f>
        <v>50719 VIRGEN DEL CARMEN</v>
      </c>
      <c r="F4854" s="14" t="s">
        <v>16</v>
      </c>
      <c r="G4854" s="20" t="s">
        <v>21</v>
      </c>
      <c r="H4854" s="14" t="s">
        <v>18</v>
      </c>
      <c r="I4854" s="22">
        <v>2022.0</v>
      </c>
      <c r="J4854" s="16" t="str">
        <f>IFERROR(__xludf.DUMMYFUNCTION("FILTER('CLASFICACIÓN'!$F$3:$F5618,'CLASFICACIÓN'!$G$3:$G5618=M4854)"),"SOLO 2022 Y 2024")</f>
        <v>SOLO 2022 Y 2024</v>
      </c>
      <c r="K4854" s="16"/>
      <c r="L4854" s="14" t="s">
        <v>194</v>
      </c>
      <c r="M4854" s="16" t="str">
        <f t="shared" si="1"/>
        <v>50719 VIRGEN DEL CARMEN4 Primaria</v>
      </c>
      <c r="N4854" s="23"/>
      <c r="O4854" s="17"/>
      <c r="P4854" s="17"/>
      <c r="Q4854" s="17"/>
      <c r="R4854" s="17"/>
      <c r="S4854" s="17"/>
      <c r="T4854" s="17"/>
    </row>
    <row r="4855">
      <c r="A4855" s="21">
        <v>983.0</v>
      </c>
      <c r="B4855" s="14" t="s">
        <v>90</v>
      </c>
      <c r="C4855" s="14" t="s">
        <v>14</v>
      </c>
      <c r="D4855" s="20" t="s">
        <v>20</v>
      </c>
      <c r="E4855" s="12" t="str">
        <f>IFERROR(__xludf.DUMMYFUNCTION("FILTER(colegios!$B$2:$B5618,colegios!$A$2:$A5618=L4855)"),"50719 VIRGEN DEL CARMEN")</f>
        <v>50719 VIRGEN DEL CARMEN</v>
      </c>
      <c r="F4855" s="14" t="s">
        <v>16</v>
      </c>
      <c r="G4855" s="20" t="s">
        <v>17</v>
      </c>
      <c r="H4855" s="14" t="s">
        <v>18</v>
      </c>
      <c r="I4855" s="22">
        <v>2022.0</v>
      </c>
      <c r="J4855" s="16" t="str">
        <f>IFERROR(__xludf.DUMMYFUNCTION("FILTER('CLASFICACIÓN'!$F$3:$F5618,'CLASFICACIÓN'!$G$3:$G5618=M4855)"),"SOLO 2022 Y 2024")</f>
        <v>SOLO 2022 Y 2024</v>
      </c>
      <c r="K4855" s="16"/>
      <c r="L4855" s="14" t="s">
        <v>194</v>
      </c>
      <c r="M4855" s="16" t="str">
        <f t="shared" si="1"/>
        <v>50719 VIRGEN DEL CARMEN4 Primaria</v>
      </c>
      <c r="N4855" s="23"/>
      <c r="O4855" s="17"/>
      <c r="P4855" s="17"/>
      <c r="Q4855" s="17"/>
      <c r="R4855" s="17"/>
      <c r="S4855" s="17"/>
      <c r="T4855" s="17"/>
    </row>
    <row r="4856">
      <c r="A4856" s="21">
        <v>984.0</v>
      </c>
      <c r="B4856" s="14" t="s">
        <v>90</v>
      </c>
      <c r="C4856" s="14" t="s">
        <v>14</v>
      </c>
      <c r="D4856" s="20" t="s">
        <v>20</v>
      </c>
      <c r="E4856" s="12" t="str">
        <f>IFERROR(__xludf.DUMMYFUNCTION("FILTER(colegios!$B$2:$B5618,colegios!$A$2:$A5618=L4856)"),"50719 VIRGEN DEL CARMEN")</f>
        <v>50719 VIRGEN DEL CARMEN</v>
      </c>
      <c r="F4856" s="14" t="s">
        <v>16</v>
      </c>
      <c r="G4856" s="20" t="s">
        <v>21</v>
      </c>
      <c r="H4856" s="14" t="s">
        <v>18</v>
      </c>
      <c r="I4856" s="22">
        <v>2022.0</v>
      </c>
      <c r="J4856" s="16" t="str">
        <f>IFERROR(__xludf.DUMMYFUNCTION("FILTER('CLASFICACIÓN'!$F$3:$F5618,'CLASFICACIÓN'!$G$3:$G5618=M4856)"),"SOLO 2022 Y 2024")</f>
        <v>SOLO 2022 Y 2024</v>
      </c>
      <c r="K4856" s="16"/>
      <c r="L4856" s="14" t="s">
        <v>194</v>
      </c>
      <c r="M4856" s="16" t="str">
        <f t="shared" si="1"/>
        <v>50719 VIRGEN DEL CARMEN4 Primaria</v>
      </c>
      <c r="N4856" s="23"/>
      <c r="O4856" s="17"/>
      <c r="P4856" s="17"/>
      <c r="Q4856" s="17"/>
      <c r="R4856" s="17"/>
      <c r="S4856" s="17"/>
      <c r="T4856" s="17"/>
    </row>
    <row r="4857">
      <c r="A4857" s="21">
        <v>985.0</v>
      </c>
      <c r="B4857" s="14" t="s">
        <v>90</v>
      </c>
      <c r="C4857" s="14" t="s">
        <v>14</v>
      </c>
      <c r="D4857" s="20" t="s">
        <v>20</v>
      </c>
      <c r="E4857" s="12" t="str">
        <f>IFERROR(__xludf.DUMMYFUNCTION("FILTER(colegios!$B$2:$B5618,colegios!$A$2:$A5618=L4857)"),"50719 VIRGEN DEL CARMEN")</f>
        <v>50719 VIRGEN DEL CARMEN</v>
      </c>
      <c r="F4857" s="14" t="s">
        <v>16</v>
      </c>
      <c r="G4857" s="20" t="s">
        <v>17</v>
      </c>
      <c r="H4857" s="14" t="s">
        <v>18</v>
      </c>
      <c r="I4857" s="22">
        <v>2022.0</v>
      </c>
      <c r="J4857" s="16" t="str">
        <f>IFERROR(__xludf.DUMMYFUNCTION("FILTER('CLASFICACIÓN'!$F$3:$F5618,'CLASFICACIÓN'!$G$3:$G5618=M4857)"),"SOLO 2022 Y 2024")</f>
        <v>SOLO 2022 Y 2024</v>
      </c>
      <c r="K4857" s="16"/>
      <c r="L4857" s="14" t="s">
        <v>194</v>
      </c>
      <c r="M4857" s="16" t="str">
        <f t="shared" si="1"/>
        <v>50719 VIRGEN DEL CARMEN4 Primaria</v>
      </c>
      <c r="N4857" s="23"/>
      <c r="O4857" s="17"/>
      <c r="P4857" s="17"/>
      <c r="Q4857" s="17"/>
      <c r="R4857" s="17"/>
      <c r="S4857" s="17"/>
      <c r="T4857" s="17"/>
    </row>
    <row r="4858">
      <c r="A4858" s="21">
        <v>986.0</v>
      </c>
      <c r="B4858" s="14" t="s">
        <v>90</v>
      </c>
      <c r="C4858" s="14" t="s">
        <v>14</v>
      </c>
      <c r="D4858" s="20" t="s">
        <v>20</v>
      </c>
      <c r="E4858" s="12" t="str">
        <f>IFERROR(__xludf.DUMMYFUNCTION("FILTER(colegios!$B$2:$B5618,colegios!$A$2:$A5618=L4858)"),"50719 VIRGEN DEL CARMEN")</f>
        <v>50719 VIRGEN DEL CARMEN</v>
      </c>
      <c r="F4858" s="14" t="s">
        <v>16</v>
      </c>
      <c r="G4858" s="20" t="s">
        <v>21</v>
      </c>
      <c r="H4858" s="14" t="s">
        <v>18</v>
      </c>
      <c r="I4858" s="22">
        <v>2022.0</v>
      </c>
      <c r="J4858" s="16" t="str">
        <f>IFERROR(__xludf.DUMMYFUNCTION("FILTER('CLASFICACIÓN'!$F$3:$F5618,'CLASFICACIÓN'!$G$3:$G5618=M4858)"),"SOLO 2022 Y 2024")</f>
        <v>SOLO 2022 Y 2024</v>
      </c>
      <c r="K4858" s="16"/>
      <c r="L4858" s="14" t="s">
        <v>194</v>
      </c>
      <c r="M4858" s="16" t="str">
        <f t="shared" si="1"/>
        <v>50719 VIRGEN DEL CARMEN4 Primaria</v>
      </c>
      <c r="N4858" s="23"/>
      <c r="O4858" s="17"/>
      <c r="P4858" s="17"/>
      <c r="Q4858" s="17"/>
      <c r="R4858" s="17"/>
      <c r="S4858" s="17"/>
      <c r="T4858" s="17"/>
    </row>
    <row r="4859">
      <c r="A4859" s="21">
        <v>987.0</v>
      </c>
      <c r="B4859" s="14" t="s">
        <v>90</v>
      </c>
      <c r="C4859" s="14" t="s">
        <v>14</v>
      </c>
      <c r="D4859" s="20" t="s">
        <v>20</v>
      </c>
      <c r="E4859" s="12" t="str">
        <f>IFERROR(__xludf.DUMMYFUNCTION("FILTER(colegios!$B$2:$B5618,colegios!$A$2:$A5618=L4859)"),"50719 VIRGEN DEL CARMEN")</f>
        <v>50719 VIRGEN DEL CARMEN</v>
      </c>
      <c r="F4859" s="14" t="s">
        <v>16</v>
      </c>
      <c r="G4859" s="20" t="s">
        <v>21</v>
      </c>
      <c r="H4859" s="14" t="s">
        <v>18</v>
      </c>
      <c r="I4859" s="22">
        <v>2022.0</v>
      </c>
      <c r="J4859" s="16" t="str">
        <f>IFERROR(__xludf.DUMMYFUNCTION("FILTER('CLASFICACIÓN'!$F$3:$F5618,'CLASFICACIÓN'!$G$3:$G5618=M4859)"),"SOLO 2022 Y 2024")</f>
        <v>SOLO 2022 Y 2024</v>
      </c>
      <c r="K4859" s="16"/>
      <c r="L4859" s="14" t="s">
        <v>194</v>
      </c>
      <c r="M4859" s="16" t="str">
        <f t="shared" si="1"/>
        <v>50719 VIRGEN DEL CARMEN4 Primaria</v>
      </c>
      <c r="N4859" s="23"/>
      <c r="O4859" s="17"/>
      <c r="P4859" s="17"/>
      <c r="Q4859" s="17"/>
      <c r="R4859" s="17"/>
      <c r="S4859" s="17"/>
      <c r="T4859" s="17"/>
    </row>
    <row r="4860">
      <c r="A4860" s="21">
        <v>988.0</v>
      </c>
      <c r="B4860" s="14" t="s">
        <v>90</v>
      </c>
      <c r="C4860" s="14" t="s">
        <v>14</v>
      </c>
      <c r="D4860" s="20" t="s">
        <v>20</v>
      </c>
      <c r="E4860" s="12" t="str">
        <f>IFERROR(__xludf.DUMMYFUNCTION("FILTER(colegios!$B$2:$B5618,colegios!$A$2:$A5618=L4860)"),"50719 VIRGEN DEL CARMEN")</f>
        <v>50719 VIRGEN DEL CARMEN</v>
      </c>
      <c r="F4860" s="14" t="s">
        <v>16</v>
      </c>
      <c r="G4860" s="20" t="s">
        <v>21</v>
      </c>
      <c r="H4860" s="14" t="s">
        <v>18</v>
      </c>
      <c r="I4860" s="22">
        <v>2022.0</v>
      </c>
      <c r="J4860" s="16" t="str">
        <f>IFERROR(__xludf.DUMMYFUNCTION("FILTER('CLASFICACIÓN'!$F$3:$F5618,'CLASFICACIÓN'!$G$3:$G5618=M4860)"),"SOLO 2022 Y 2024")</f>
        <v>SOLO 2022 Y 2024</v>
      </c>
      <c r="K4860" s="16"/>
      <c r="L4860" s="14" t="s">
        <v>194</v>
      </c>
      <c r="M4860" s="16" t="str">
        <f t="shared" si="1"/>
        <v>50719 VIRGEN DEL CARMEN4 Primaria</v>
      </c>
      <c r="N4860" s="23"/>
      <c r="O4860" s="17"/>
      <c r="P4860" s="17"/>
      <c r="Q4860" s="17"/>
      <c r="R4860" s="17"/>
      <c r="S4860" s="17"/>
      <c r="T4860" s="17"/>
    </row>
    <row r="4861">
      <c r="A4861" s="21">
        <v>989.0</v>
      </c>
      <c r="B4861" s="14" t="s">
        <v>90</v>
      </c>
      <c r="C4861" s="14" t="s">
        <v>14</v>
      </c>
      <c r="D4861" s="20" t="s">
        <v>20</v>
      </c>
      <c r="E4861" s="12" t="str">
        <f>IFERROR(__xludf.DUMMYFUNCTION("FILTER(colegios!$B$2:$B5618,colegios!$A$2:$A5618=L4861)"),"50719 VIRGEN DEL CARMEN")</f>
        <v>50719 VIRGEN DEL CARMEN</v>
      </c>
      <c r="F4861" s="14" t="s">
        <v>16</v>
      </c>
      <c r="G4861" s="20" t="s">
        <v>21</v>
      </c>
      <c r="H4861" s="14" t="s">
        <v>18</v>
      </c>
      <c r="I4861" s="22">
        <v>2022.0</v>
      </c>
      <c r="J4861" s="16" t="str">
        <f>IFERROR(__xludf.DUMMYFUNCTION("FILTER('CLASFICACIÓN'!$F$3:$F5618,'CLASFICACIÓN'!$G$3:$G5618=M4861)"),"SOLO 2022 Y 2024")</f>
        <v>SOLO 2022 Y 2024</v>
      </c>
      <c r="K4861" s="16"/>
      <c r="L4861" s="14" t="s">
        <v>194</v>
      </c>
      <c r="M4861" s="16" t="str">
        <f t="shared" si="1"/>
        <v>50719 VIRGEN DEL CARMEN4 Primaria</v>
      </c>
      <c r="N4861" s="23"/>
      <c r="O4861" s="17"/>
      <c r="P4861" s="17"/>
      <c r="Q4861" s="17"/>
      <c r="R4861" s="17"/>
      <c r="S4861" s="17"/>
      <c r="T4861" s="17"/>
    </row>
    <row r="4862">
      <c r="A4862" s="21">
        <v>990.0</v>
      </c>
      <c r="B4862" s="14" t="s">
        <v>90</v>
      </c>
      <c r="C4862" s="14" t="s">
        <v>14</v>
      </c>
      <c r="D4862" s="20" t="s">
        <v>20</v>
      </c>
      <c r="E4862" s="12" t="str">
        <f>IFERROR(__xludf.DUMMYFUNCTION("FILTER(colegios!$B$2:$B5618,colegios!$A$2:$A5618=L4862)"),"50719 VIRGEN DEL CARMEN")</f>
        <v>50719 VIRGEN DEL CARMEN</v>
      </c>
      <c r="F4862" s="14" t="s">
        <v>16</v>
      </c>
      <c r="G4862" s="20" t="s">
        <v>21</v>
      </c>
      <c r="H4862" s="14" t="s">
        <v>18</v>
      </c>
      <c r="I4862" s="22">
        <v>2022.0</v>
      </c>
      <c r="J4862" s="16" t="str">
        <f>IFERROR(__xludf.DUMMYFUNCTION("FILTER('CLASFICACIÓN'!$F$3:$F5618,'CLASFICACIÓN'!$G$3:$G5618=M4862)"),"SOLO 2022 Y 2024")</f>
        <v>SOLO 2022 Y 2024</v>
      </c>
      <c r="K4862" s="16"/>
      <c r="L4862" s="14" t="s">
        <v>194</v>
      </c>
      <c r="M4862" s="16" t="str">
        <f t="shared" si="1"/>
        <v>50719 VIRGEN DEL CARMEN4 Primaria</v>
      </c>
      <c r="N4862" s="23"/>
      <c r="O4862" s="17"/>
      <c r="P4862" s="17"/>
      <c r="Q4862" s="17"/>
      <c r="R4862" s="17"/>
      <c r="S4862" s="17"/>
      <c r="T4862" s="17"/>
    </row>
    <row r="4863">
      <c r="A4863" s="21">
        <v>991.0</v>
      </c>
      <c r="B4863" s="14" t="s">
        <v>90</v>
      </c>
      <c r="C4863" s="14" t="s">
        <v>14</v>
      </c>
      <c r="D4863" s="20" t="s">
        <v>20</v>
      </c>
      <c r="E4863" s="12" t="str">
        <f>IFERROR(__xludf.DUMMYFUNCTION("FILTER(colegios!$B$2:$B5618,colegios!$A$2:$A5618=L4863)"),"50719 VIRGEN DEL CARMEN")</f>
        <v>50719 VIRGEN DEL CARMEN</v>
      </c>
      <c r="F4863" s="14" t="s">
        <v>16</v>
      </c>
      <c r="G4863" s="20" t="s">
        <v>17</v>
      </c>
      <c r="H4863" s="14" t="s">
        <v>18</v>
      </c>
      <c r="I4863" s="22">
        <v>2022.0</v>
      </c>
      <c r="J4863" s="16" t="str">
        <f>IFERROR(__xludf.DUMMYFUNCTION("FILTER('CLASFICACIÓN'!$F$3:$F5618,'CLASFICACIÓN'!$G$3:$G5618=M4863)"),"SOLO 2022 Y 2024")</f>
        <v>SOLO 2022 Y 2024</v>
      </c>
      <c r="K4863" s="16"/>
      <c r="L4863" s="14" t="s">
        <v>194</v>
      </c>
      <c r="M4863" s="16" t="str">
        <f t="shared" si="1"/>
        <v>50719 VIRGEN DEL CARMEN4 Primaria</v>
      </c>
      <c r="N4863" s="23"/>
      <c r="O4863" s="17"/>
      <c r="P4863" s="17"/>
      <c r="Q4863" s="17"/>
      <c r="R4863" s="17"/>
      <c r="S4863" s="17"/>
      <c r="T4863" s="17"/>
    </row>
    <row r="4864">
      <c r="A4864" s="21">
        <v>992.0</v>
      </c>
      <c r="B4864" s="14" t="s">
        <v>90</v>
      </c>
      <c r="C4864" s="14" t="s">
        <v>14</v>
      </c>
      <c r="D4864" s="20" t="s">
        <v>20</v>
      </c>
      <c r="E4864" s="12" t="str">
        <f>IFERROR(__xludf.DUMMYFUNCTION("FILTER(colegios!$B$2:$B5618,colegios!$A$2:$A5618=L4864)"),"50719 VIRGEN DEL CARMEN")</f>
        <v>50719 VIRGEN DEL CARMEN</v>
      </c>
      <c r="F4864" s="14" t="s">
        <v>16</v>
      </c>
      <c r="G4864" s="20" t="s">
        <v>21</v>
      </c>
      <c r="H4864" s="14" t="s">
        <v>18</v>
      </c>
      <c r="I4864" s="22">
        <v>2022.0</v>
      </c>
      <c r="J4864" s="16" t="str">
        <f>IFERROR(__xludf.DUMMYFUNCTION("FILTER('CLASFICACIÓN'!$F$3:$F5618,'CLASFICACIÓN'!$G$3:$G5618=M4864)"),"SOLO 2022 Y 2024")</f>
        <v>SOLO 2022 Y 2024</v>
      </c>
      <c r="K4864" s="16"/>
      <c r="L4864" s="14" t="s">
        <v>194</v>
      </c>
      <c r="M4864" s="16" t="str">
        <f t="shared" si="1"/>
        <v>50719 VIRGEN DEL CARMEN4 Primaria</v>
      </c>
      <c r="N4864" s="23"/>
      <c r="O4864" s="17"/>
      <c r="P4864" s="17"/>
      <c r="Q4864" s="17"/>
      <c r="R4864" s="17"/>
      <c r="S4864" s="17"/>
      <c r="T4864" s="17"/>
    </row>
    <row r="4865">
      <c r="A4865" s="21">
        <v>993.0</v>
      </c>
      <c r="B4865" s="14" t="s">
        <v>90</v>
      </c>
      <c r="C4865" s="14" t="s">
        <v>14</v>
      </c>
      <c r="D4865" s="20" t="s">
        <v>20</v>
      </c>
      <c r="E4865" s="12" t="str">
        <f>IFERROR(__xludf.DUMMYFUNCTION("FILTER(colegios!$B$2:$B5618,colegios!$A$2:$A5618=L4865)"),"50719 VIRGEN DEL CARMEN")</f>
        <v>50719 VIRGEN DEL CARMEN</v>
      </c>
      <c r="F4865" s="14" t="s">
        <v>16</v>
      </c>
      <c r="G4865" s="20" t="s">
        <v>17</v>
      </c>
      <c r="H4865" s="14" t="s">
        <v>18</v>
      </c>
      <c r="I4865" s="22">
        <v>2022.0</v>
      </c>
      <c r="J4865" s="16" t="str">
        <f>IFERROR(__xludf.DUMMYFUNCTION("FILTER('CLASFICACIÓN'!$F$3:$F5618,'CLASFICACIÓN'!$G$3:$G5618=M4865)"),"SOLO 2022 Y 2024")</f>
        <v>SOLO 2022 Y 2024</v>
      </c>
      <c r="K4865" s="16"/>
      <c r="L4865" s="14" t="s">
        <v>194</v>
      </c>
      <c r="M4865" s="16" t="str">
        <f t="shared" si="1"/>
        <v>50719 VIRGEN DEL CARMEN4 Primaria</v>
      </c>
      <c r="N4865" s="23"/>
      <c r="O4865" s="17"/>
      <c r="P4865" s="17"/>
      <c r="Q4865" s="17"/>
      <c r="R4865" s="17"/>
      <c r="S4865" s="17"/>
      <c r="T4865" s="17"/>
    </row>
    <row r="4866">
      <c r="A4866" s="21">
        <v>994.0</v>
      </c>
      <c r="B4866" s="14" t="s">
        <v>90</v>
      </c>
      <c r="C4866" s="14" t="s">
        <v>14</v>
      </c>
      <c r="D4866" s="20" t="s">
        <v>20</v>
      </c>
      <c r="E4866" s="12" t="str">
        <f>IFERROR(__xludf.DUMMYFUNCTION("FILTER(colegios!$B$2:$B5618,colegios!$A$2:$A5618=L4866)"),"50719 VIRGEN DEL CARMEN")</f>
        <v>50719 VIRGEN DEL CARMEN</v>
      </c>
      <c r="F4866" s="14" t="s">
        <v>16</v>
      </c>
      <c r="G4866" s="20" t="s">
        <v>21</v>
      </c>
      <c r="H4866" s="14" t="s">
        <v>18</v>
      </c>
      <c r="I4866" s="22">
        <v>2022.0</v>
      </c>
      <c r="J4866" s="16" t="str">
        <f>IFERROR(__xludf.DUMMYFUNCTION("FILTER('CLASFICACIÓN'!$F$3:$F5618,'CLASFICACIÓN'!$G$3:$G5618=M4866)"),"SOLO 2022 Y 2024")</f>
        <v>SOLO 2022 Y 2024</v>
      </c>
      <c r="K4866" s="16"/>
      <c r="L4866" s="14" t="s">
        <v>194</v>
      </c>
      <c r="M4866" s="16" t="str">
        <f t="shared" si="1"/>
        <v>50719 VIRGEN DEL CARMEN4 Primaria</v>
      </c>
      <c r="N4866" s="23"/>
      <c r="O4866" s="17"/>
      <c r="P4866" s="17"/>
      <c r="Q4866" s="17"/>
      <c r="R4866" s="17"/>
      <c r="S4866" s="17"/>
      <c r="T4866" s="17"/>
    </row>
    <row r="4867">
      <c r="A4867" s="21">
        <v>995.0</v>
      </c>
      <c r="B4867" s="14" t="s">
        <v>90</v>
      </c>
      <c r="C4867" s="14" t="s">
        <v>14</v>
      </c>
      <c r="D4867" s="20" t="s">
        <v>20</v>
      </c>
      <c r="E4867" s="12" t="str">
        <f>IFERROR(__xludf.DUMMYFUNCTION("FILTER(colegios!$B$2:$B5618,colegios!$A$2:$A5618=L4867)"),"50719 VIRGEN DEL CARMEN")</f>
        <v>50719 VIRGEN DEL CARMEN</v>
      </c>
      <c r="F4867" s="14" t="s">
        <v>16</v>
      </c>
      <c r="G4867" s="20" t="s">
        <v>17</v>
      </c>
      <c r="H4867" s="14" t="s">
        <v>18</v>
      </c>
      <c r="I4867" s="22">
        <v>2022.0</v>
      </c>
      <c r="J4867" s="16" t="str">
        <f>IFERROR(__xludf.DUMMYFUNCTION("FILTER('CLASFICACIÓN'!$F$3:$F5618,'CLASFICACIÓN'!$G$3:$G5618=M4867)"),"SOLO 2022 Y 2024")</f>
        <v>SOLO 2022 Y 2024</v>
      </c>
      <c r="K4867" s="16"/>
      <c r="L4867" s="14" t="s">
        <v>194</v>
      </c>
      <c r="M4867" s="16" t="str">
        <f t="shared" si="1"/>
        <v>50719 VIRGEN DEL CARMEN4 Primaria</v>
      </c>
      <c r="N4867" s="23"/>
      <c r="O4867" s="17"/>
      <c r="P4867" s="17"/>
      <c r="Q4867" s="17"/>
      <c r="R4867" s="17"/>
      <c r="S4867" s="17"/>
      <c r="T4867" s="17"/>
    </row>
    <row r="4868">
      <c r="A4868" s="21">
        <v>996.0</v>
      </c>
      <c r="B4868" s="14" t="s">
        <v>90</v>
      </c>
      <c r="C4868" s="14" t="s">
        <v>14</v>
      </c>
      <c r="D4868" s="20" t="s">
        <v>20</v>
      </c>
      <c r="E4868" s="12" t="str">
        <f>IFERROR(__xludf.DUMMYFUNCTION("FILTER(colegios!$B$2:$B5618,colegios!$A$2:$A5618=L4868)"),"50719 VIRGEN DEL CARMEN")</f>
        <v>50719 VIRGEN DEL CARMEN</v>
      </c>
      <c r="F4868" s="14" t="s">
        <v>16</v>
      </c>
      <c r="G4868" s="20" t="s">
        <v>17</v>
      </c>
      <c r="H4868" s="14" t="s">
        <v>18</v>
      </c>
      <c r="I4868" s="22">
        <v>2022.0</v>
      </c>
      <c r="J4868" s="16" t="str">
        <f>IFERROR(__xludf.DUMMYFUNCTION("FILTER('CLASFICACIÓN'!$F$3:$F5618,'CLASFICACIÓN'!$G$3:$G5618=M4868)"),"SOLO 2022 Y 2024")</f>
        <v>SOLO 2022 Y 2024</v>
      </c>
      <c r="K4868" s="16"/>
      <c r="L4868" s="14" t="s">
        <v>194</v>
      </c>
      <c r="M4868" s="16" t="str">
        <f t="shared" si="1"/>
        <v>50719 VIRGEN DEL CARMEN4 Primaria</v>
      </c>
      <c r="N4868" s="23"/>
      <c r="O4868" s="17"/>
      <c r="P4868" s="17"/>
      <c r="Q4868" s="17"/>
      <c r="R4868" s="17"/>
      <c r="S4868" s="17"/>
      <c r="T4868" s="17"/>
    </row>
    <row r="4869">
      <c r="A4869" s="21">
        <v>997.0</v>
      </c>
      <c r="B4869" s="14" t="s">
        <v>90</v>
      </c>
      <c r="C4869" s="14" t="s">
        <v>14</v>
      </c>
      <c r="D4869" s="20" t="s">
        <v>20</v>
      </c>
      <c r="E4869" s="12" t="str">
        <f>IFERROR(__xludf.DUMMYFUNCTION("FILTER(colegios!$B$2:$B5618,colegios!$A$2:$A5618=L4869)"),"50719 VIRGEN DEL CARMEN")</f>
        <v>50719 VIRGEN DEL CARMEN</v>
      </c>
      <c r="F4869" s="14" t="s">
        <v>16</v>
      </c>
      <c r="G4869" s="20" t="s">
        <v>21</v>
      </c>
      <c r="H4869" s="14" t="s">
        <v>18</v>
      </c>
      <c r="I4869" s="22">
        <v>2022.0</v>
      </c>
      <c r="J4869" s="16" t="str">
        <f>IFERROR(__xludf.DUMMYFUNCTION("FILTER('CLASFICACIÓN'!$F$3:$F5618,'CLASFICACIÓN'!$G$3:$G5618=M4869)"),"SOLO 2022 Y 2024")</f>
        <v>SOLO 2022 Y 2024</v>
      </c>
      <c r="K4869" s="16"/>
      <c r="L4869" s="14" t="s">
        <v>194</v>
      </c>
      <c r="M4869" s="16" t="str">
        <f t="shared" si="1"/>
        <v>50719 VIRGEN DEL CARMEN4 Primaria</v>
      </c>
      <c r="N4869" s="23"/>
      <c r="O4869" s="17"/>
      <c r="P4869" s="17"/>
      <c r="Q4869" s="17"/>
      <c r="R4869" s="17"/>
      <c r="S4869" s="17"/>
      <c r="T4869" s="17"/>
    </row>
    <row r="4870">
      <c r="A4870" s="21">
        <v>998.0</v>
      </c>
      <c r="B4870" s="14" t="s">
        <v>90</v>
      </c>
      <c r="C4870" s="14" t="s">
        <v>14</v>
      </c>
      <c r="D4870" s="20" t="s">
        <v>20</v>
      </c>
      <c r="E4870" s="12" t="str">
        <f>IFERROR(__xludf.DUMMYFUNCTION("FILTER(colegios!$B$2:$B5618,colegios!$A$2:$A5618=L4870)"),"50719 VIRGEN DEL CARMEN")</f>
        <v>50719 VIRGEN DEL CARMEN</v>
      </c>
      <c r="F4870" s="14" t="s">
        <v>16</v>
      </c>
      <c r="G4870" s="20" t="s">
        <v>21</v>
      </c>
      <c r="H4870" s="14" t="s">
        <v>18</v>
      </c>
      <c r="I4870" s="22">
        <v>2022.0</v>
      </c>
      <c r="J4870" s="16" t="str">
        <f>IFERROR(__xludf.DUMMYFUNCTION("FILTER('CLASFICACIÓN'!$F$3:$F5618,'CLASFICACIÓN'!$G$3:$G5618=M4870)"),"SOLO 2022 Y 2024")</f>
        <v>SOLO 2022 Y 2024</v>
      </c>
      <c r="K4870" s="16"/>
      <c r="L4870" s="14" t="s">
        <v>194</v>
      </c>
      <c r="M4870" s="16" t="str">
        <f t="shared" si="1"/>
        <v>50719 VIRGEN DEL CARMEN4 Primaria</v>
      </c>
      <c r="N4870" s="23"/>
      <c r="O4870" s="17"/>
      <c r="P4870" s="17"/>
      <c r="Q4870" s="17"/>
      <c r="R4870" s="17"/>
      <c r="S4870" s="17"/>
      <c r="T4870" s="17"/>
    </row>
    <row r="4871">
      <c r="A4871" s="21">
        <v>999.0</v>
      </c>
      <c r="B4871" s="14" t="s">
        <v>90</v>
      </c>
      <c r="C4871" s="14" t="s">
        <v>14</v>
      </c>
      <c r="D4871" s="20" t="s">
        <v>20</v>
      </c>
      <c r="E4871" s="12" t="str">
        <f>IFERROR(__xludf.DUMMYFUNCTION("FILTER(colegios!$B$2:$B5618,colegios!$A$2:$A5618=L4871)"),"50719 VIRGEN DEL CARMEN")</f>
        <v>50719 VIRGEN DEL CARMEN</v>
      </c>
      <c r="F4871" s="14" t="s">
        <v>16</v>
      </c>
      <c r="G4871" s="20" t="s">
        <v>17</v>
      </c>
      <c r="H4871" s="14" t="s">
        <v>18</v>
      </c>
      <c r="I4871" s="22">
        <v>2022.0</v>
      </c>
      <c r="J4871" s="16" t="str">
        <f>IFERROR(__xludf.DUMMYFUNCTION("FILTER('CLASFICACIÓN'!$F$3:$F5618,'CLASFICACIÓN'!$G$3:$G5618=M4871)"),"SOLO 2022 Y 2024")</f>
        <v>SOLO 2022 Y 2024</v>
      </c>
      <c r="K4871" s="16"/>
      <c r="L4871" s="14" t="s">
        <v>194</v>
      </c>
      <c r="M4871" s="16" t="str">
        <f t="shared" si="1"/>
        <v>50719 VIRGEN DEL CARMEN4 Primaria</v>
      </c>
      <c r="N4871" s="23"/>
      <c r="O4871" s="17"/>
      <c r="P4871" s="17"/>
      <c r="Q4871" s="17"/>
      <c r="R4871" s="17"/>
      <c r="S4871" s="17"/>
      <c r="T4871" s="17"/>
    </row>
    <row r="4872">
      <c r="A4872" s="21">
        <v>1000.0</v>
      </c>
      <c r="B4872" s="14" t="s">
        <v>90</v>
      </c>
      <c r="C4872" s="14" t="s">
        <v>14</v>
      </c>
      <c r="D4872" s="20" t="s">
        <v>20</v>
      </c>
      <c r="E4872" s="12" t="str">
        <f>IFERROR(__xludf.DUMMYFUNCTION("FILTER(colegios!$B$2:$B5618,colegios!$A$2:$A5618=L4872)"),"50719 VIRGEN DEL CARMEN")</f>
        <v>50719 VIRGEN DEL CARMEN</v>
      </c>
      <c r="F4872" s="14" t="s">
        <v>16</v>
      </c>
      <c r="G4872" s="20" t="s">
        <v>21</v>
      </c>
      <c r="H4872" s="14" t="s">
        <v>18</v>
      </c>
      <c r="I4872" s="22">
        <v>2022.0</v>
      </c>
      <c r="J4872" s="16" t="str">
        <f>IFERROR(__xludf.DUMMYFUNCTION("FILTER('CLASFICACIÓN'!$F$3:$F5618,'CLASFICACIÓN'!$G$3:$G5618=M4872)"),"SOLO 2022 Y 2024")</f>
        <v>SOLO 2022 Y 2024</v>
      </c>
      <c r="K4872" s="16"/>
      <c r="L4872" s="14" t="s">
        <v>194</v>
      </c>
      <c r="M4872" s="16" t="str">
        <f t="shared" si="1"/>
        <v>50719 VIRGEN DEL CARMEN4 Primaria</v>
      </c>
      <c r="N4872" s="23"/>
      <c r="O4872" s="17"/>
      <c r="P4872" s="17"/>
      <c r="Q4872" s="17"/>
      <c r="R4872" s="17"/>
      <c r="S4872" s="17"/>
      <c r="T4872" s="17"/>
    </row>
    <row r="4873">
      <c r="A4873" s="21">
        <v>1001.0</v>
      </c>
      <c r="B4873" s="14" t="s">
        <v>90</v>
      </c>
      <c r="C4873" s="14" t="s">
        <v>14</v>
      </c>
      <c r="D4873" s="20" t="s">
        <v>20</v>
      </c>
      <c r="E4873" s="12" t="str">
        <f>IFERROR(__xludf.DUMMYFUNCTION("FILTER(colegios!$B$2:$B5618,colegios!$A$2:$A5618=L4873)"),"50719 VIRGEN DEL CARMEN")</f>
        <v>50719 VIRGEN DEL CARMEN</v>
      </c>
      <c r="F4873" s="14" t="s">
        <v>16</v>
      </c>
      <c r="G4873" s="20" t="s">
        <v>17</v>
      </c>
      <c r="H4873" s="14" t="s">
        <v>18</v>
      </c>
      <c r="I4873" s="22">
        <v>2022.0</v>
      </c>
      <c r="J4873" s="16" t="str">
        <f>IFERROR(__xludf.DUMMYFUNCTION("FILTER('CLASFICACIÓN'!$F$3:$F5618,'CLASFICACIÓN'!$G$3:$G5618=M4873)"),"SOLO 2022 Y 2024")</f>
        <v>SOLO 2022 Y 2024</v>
      </c>
      <c r="K4873" s="16"/>
      <c r="L4873" s="14" t="s">
        <v>194</v>
      </c>
      <c r="M4873" s="16" t="str">
        <f t="shared" si="1"/>
        <v>50719 VIRGEN DEL CARMEN4 Primaria</v>
      </c>
      <c r="N4873" s="23"/>
      <c r="O4873" s="17"/>
      <c r="P4873" s="17"/>
      <c r="Q4873" s="17"/>
      <c r="R4873" s="17"/>
      <c r="S4873" s="17"/>
      <c r="T4873" s="17"/>
    </row>
    <row r="4874">
      <c r="A4874" s="21">
        <v>1002.0</v>
      </c>
      <c r="B4874" s="14" t="s">
        <v>90</v>
      </c>
      <c r="C4874" s="14" t="s">
        <v>14</v>
      </c>
      <c r="D4874" s="20" t="s">
        <v>20</v>
      </c>
      <c r="E4874" s="12" t="str">
        <f>IFERROR(__xludf.DUMMYFUNCTION("FILTER(colegios!$B$2:$B5618,colegios!$A$2:$A5618=L4874)"),"50719 VIRGEN DEL CARMEN")</f>
        <v>50719 VIRGEN DEL CARMEN</v>
      </c>
      <c r="F4874" s="14" t="s">
        <v>16</v>
      </c>
      <c r="G4874" s="20" t="s">
        <v>17</v>
      </c>
      <c r="H4874" s="14" t="s">
        <v>18</v>
      </c>
      <c r="I4874" s="22">
        <v>2022.0</v>
      </c>
      <c r="J4874" s="16" t="str">
        <f>IFERROR(__xludf.DUMMYFUNCTION("FILTER('CLASFICACIÓN'!$F$3:$F5618,'CLASFICACIÓN'!$G$3:$G5618=M4874)"),"SOLO 2022 Y 2024")</f>
        <v>SOLO 2022 Y 2024</v>
      </c>
      <c r="K4874" s="16"/>
      <c r="L4874" s="14" t="s">
        <v>194</v>
      </c>
      <c r="M4874" s="16" t="str">
        <f t="shared" si="1"/>
        <v>50719 VIRGEN DEL CARMEN4 Primaria</v>
      </c>
      <c r="N4874" s="23"/>
      <c r="O4874" s="17"/>
      <c r="P4874" s="17"/>
      <c r="Q4874" s="17"/>
      <c r="R4874" s="17"/>
      <c r="S4874" s="17"/>
      <c r="T4874" s="17"/>
    </row>
    <row r="4875">
      <c r="A4875" s="21">
        <v>1003.0</v>
      </c>
      <c r="B4875" s="14" t="s">
        <v>90</v>
      </c>
      <c r="C4875" s="14" t="s">
        <v>14</v>
      </c>
      <c r="D4875" s="20" t="s">
        <v>20</v>
      </c>
      <c r="E4875" s="12" t="str">
        <f>IFERROR(__xludf.DUMMYFUNCTION("FILTER(colegios!$B$2:$B5618,colegios!$A$2:$A5618=L4875)"),"50719 VIRGEN DEL CARMEN")</f>
        <v>50719 VIRGEN DEL CARMEN</v>
      </c>
      <c r="F4875" s="14" t="s">
        <v>16</v>
      </c>
      <c r="G4875" s="20" t="s">
        <v>21</v>
      </c>
      <c r="H4875" s="14" t="s">
        <v>18</v>
      </c>
      <c r="I4875" s="22">
        <v>2022.0</v>
      </c>
      <c r="J4875" s="16" t="str">
        <f>IFERROR(__xludf.DUMMYFUNCTION("FILTER('CLASFICACIÓN'!$F$3:$F5618,'CLASFICACIÓN'!$G$3:$G5618=M4875)"),"SOLO 2022 Y 2024")</f>
        <v>SOLO 2022 Y 2024</v>
      </c>
      <c r="K4875" s="16"/>
      <c r="L4875" s="14" t="s">
        <v>194</v>
      </c>
      <c r="M4875" s="16" t="str">
        <f t="shared" si="1"/>
        <v>50719 VIRGEN DEL CARMEN4 Primaria</v>
      </c>
      <c r="N4875" s="23"/>
      <c r="O4875" s="17"/>
      <c r="P4875" s="17"/>
      <c r="Q4875" s="17"/>
      <c r="R4875" s="17"/>
      <c r="S4875" s="17"/>
      <c r="T4875" s="17"/>
    </row>
    <row r="4876">
      <c r="A4876" s="21">
        <v>1004.0</v>
      </c>
      <c r="B4876" s="14" t="s">
        <v>90</v>
      </c>
      <c r="C4876" s="14" t="s">
        <v>14</v>
      </c>
      <c r="D4876" s="20" t="s">
        <v>20</v>
      </c>
      <c r="E4876" s="12" t="str">
        <f>IFERROR(__xludf.DUMMYFUNCTION("FILTER(colegios!$B$2:$B5618,colegios!$A$2:$A5618=L4876)"),"50719 VIRGEN DEL CARMEN")</f>
        <v>50719 VIRGEN DEL CARMEN</v>
      </c>
      <c r="F4876" s="14" t="s">
        <v>16</v>
      </c>
      <c r="G4876" s="20" t="s">
        <v>17</v>
      </c>
      <c r="H4876" s="14" t="s">
        <v>18</v>
      </c>
      <c r="I4876" s="22">
        <v>2022.0</v>
      </c>
      <c r="J4876" s="16" t="str">
        <f>IFERROR(__xludf.DUMMYFUNCTION("FILTER('CLASFICACIÓN'!$F$3:$F5618,'CLASFICACIÓN'!$G$3:$G5618=M4876)"),"SOLO 2022 Y 2024")</f>
        <v>SOLO 2022 Y 2024</v>
      </c>
      <c r="K4876" s="16"/>
      <c r="L4876" s="14" t="s">
        <v>194</v>
      </c>
      <c r="M4876" s="16" t="str">
        <f t="shared" si="1"/>
        <v>50719 VIRGEN DEL CARMEN4 Primaria</v>
      </c>
      <c r="N4876" s="23"/>
      <c r="O4876" s="17"/>
      <c r="P4876" s="17"/>
      <c r="Q4876" s="17"/>
      <c r="R4876" s="17"/>
      <c r="S4876" s="17"/>
      <c r="T4876" s="17"/>
    </row>
    <row r="4877">
      <c r="A4877" s="21">
        <v>1005.0</v>
      </c>
      <c r="B4877" s="14" t="s">
        <v>90</v>
      </c>
      <c r="C4877" s="14" t="s">
        <v>14</v>
      </c>
      <c r="D4877" s="20" t="s">
        <v>20</v>
      </c>
      <c r="E4877" s="12" t="str">
        <f>IFERROR(__xludf.DUMMYFUNCTION("FILTER(colegios!$B$2:$B5618,colegios!$A$2:$A5618=L4877)"),"50719 VIRGEN DEL CARMEN")</f>
        <v>50719 VIRGEN DEL CARMEN</v>
      </c>
      <c r="F4877" s="14" t="s">
        <v>16</v>
      </c>
      <c r="G4877" s="20" t="s">
        <v>17</v>
      </c>
      <c r="H4877" s="14" t="s">
        <v>18</v>
      </c>
      <c r="I4877" s="22">
        <v>2022.0</v>
      </c>
      <c r="J4877" s="16" t="str">
        <f>IFERROR(__xludf.DUMMYFUNCTION("FILTER('CLASFICACIÓN'!$F$3:$F5618,'CLASFICACIÓN'!$G$3:$G5618=M4877)"),"SOLO 2022 Y 2024")</f>
        <v>SOLO 2022 Y 2024</v>
      </c>
      <c r="K4877" s="16"/>
      <c r="L4877" s="14" t="s">
        <v>194</v>
      </c>
      <c r="M4877" s="16" t="str">
        <f t="shared" si="1"/>
        <v>50719 VIRGEN DEL CARMEN4 Primaria</v>
      </c>
      <c r="N4877" s="23"/>
      <c r="O4877" s="17"/>
      <c r="P4877" s="17"/>
      <c r="Q4877" s="17"/>
      <c r="R4877" s="17"/>
      <c r="S4877" s="17"/>
      <c r="T4877" s="17"/>
    </row>
    <row r="4878">
      <c r="A4878" s="21">
        <v>1006.0</v>
      </c>
      <c r="B4878" s="14" t="s">
        <v>90</v>
      </c>
      <c r="C4878" s="14" t="s">
        <v>14</v>
      </c>
      <c r="D4878" s="20" t="s">
        <v>20</v>
      </c>
      <c r="E4878" s="12" t="str">
        <f>IFERROR(__xludf.DUMMYFUNCTION("FILTER(colegios!$B$2:$B5618,colegios!$A$2:$A5618=L4878)"),"50719 VIRGEN DEL CARMEN")</f>
        <v>50719 VIRGEN DEL CARMEN</v>
      </c>
      <c r="F4878" s="14" t="s">
        <v>16</v>
      </c>
      <c r="G4878" s="20" t="s">
        <v>17</v>
      </c>
      <c r="H4878" s="14" t="s">
        <v>18</v>
      </c>
      <c r="I4878" s="22">
        <v>2022.0</v>
      </c>
      <c r="J4878" s="16" t="str">
        <f>IFERROR(__xludf.DUMMYFUNCTION("FILTER('CLASFICACIÓN'!$F$3:$F5618,'CLASFICACIÓN'!$G$3:$G5618=M4878)"),"SOLO 2022 Y 2024")</f>
        <v>SOLO 2022 Y 2024</v>
      </c>
      <c r="K4878" s="16"/>
      <c r="L4878" s="14" t="s">
        <v>194</v>
      </c>
      <c r="M4878" s="16" t="str">
        <f t="shared" si="1"/>
        <v>50719 VIRGEN DEL CARMEN4 Primaria</v>
      </c>
      <c r="N4878" s="23"/>
      <c r="O4878" s="17"/>
      <c r="P4878" s="17"/>
      <c r="Q4878" s="17"/>
      <c r="R4878" s="17"/>
      <c r="S4878" s="17"/>
      <c r="T4878" s="17"/>
    </row>
    <row r="4879">
      <c r="A4879" s="21">
        <v>1007.0</v>
      </c>
      <c r="B4879" s="14" t="s">
        <v>90</v>
      </c>
      <c r="C4879" s="14" t="s">
        <v>14</v>
      </c>
      <c r="D4879" s="20" t="s">
        <v>20</v>
      </c>
      <c r="E4879" s="12" t="str">
        <f>IFERROR(__xludf.DUMMYFUNCTION("FILTER(colegios!$B$2:$B5618,colegios!$A$2:$A5618=L4879)"),"50719 VIRGEN DEL CARMEN")</f>
        <v>50719 VIRGEN DEL CARMEN</v>
      </c>
      <c r="F4879" s="14" t="s">
        <v>16</v>
      </c>
      <c r="G4879" s="20" t="s">
        <v>17</v>
      </c>
      <c r="H4879" s="14" t="s">
        <v>18</v>
      </c>
      <c r="I4879" s="22">
        <v>2022.0</v>
      </c>
      <c r="J4879" s="16" t="str">
        <f>IFERROR(__xludf.DUMMYFUNCTION("FILTER('CLASFICACIÓN'!$F$3:$F5618,'CLASFICACIÓN'!$G$3:$G5618=M4879)"),"SOLO 2022 Y 2024")</f>
        <v>SOLO 2022 Y 2024</v>
      </c>
      <c r="K4879" s="16"/>
      <c r="L4879" s="14" t="s">
        <v>194</v>
      </c>
      <c r="M4879" s="16" t="str">
        <f t="shared" si="1"/>
        <v>50719 VIRGEN DEL CARMEN4 Primaria</v>
      </c>
      <c r="N4879" s="23"/>
      <c r="O4879" s="17"/>
      <c r="P4879" s="17"/>
      <c r="Q4879" s="17"/>
      <c r="R4879" s="17"/>
      <c r="S4879" s="17"/>
      <c r="T4879" s="17"/>
    </row>
    <row r="4880">
      <c r="A4880" s="21">
        <v>1008.0</v>
      </c>
      <c r="B4880" s="14" t="s">
        <v>90</v>
      </c>
      <c r="C4880" s="14" t="s">
        <v>14</v>
      </c>
      <c r="D4880" s="20" t="s">
        <v>20</v>
      </c>
      <c r="E4880" s="12" t="str">
        <f>IFERROR(__xludf.DUMMYFUNCTION("FILTER(colegios!$B$2:$B5618,colegios!$A$2:$A5618=L4880)"),"50719 VIRGEN DEL CARMEN")</f>
        <v>50719 VIRGEN DEL CARMEN</v>
      </c>
      <c r="F4880" s="14" t="s">
        <v>16</v>
      </c>
      <c r="G4880" s="20" t="s">
        <v>17</v>
      </c>
      <c r="H4880" s="14" t="s">
        <v>18</v>
      </c>
      <c r="I4880" s="22">
        <v>2022.0</v>
      </c>
      <c r="J4880" s="16" t="str">
        <f>IFERROR(__xludf.DUMMYFUNCTION("FILTER('CLASFICACIÓN'!$F$3:$F5618,'CLASFICACIÓN'!$G$3:$G5618=M4880)"),"SOLO 2022 Y 2024")</f>
        <v>SOLO 2022 Y 2024</v>
      </c>
      <c r="K4880" s="16"/>
      <c r="L4880" s="14" t="s">
        <v>194</v>
      </c>
      <c r="M4880" s="16" t="str">
        <f t="shared" si="1"/>
        <v>50719 VIRGEN DEL CARMEN4 Primaria</v>
      </c>
      <c r="N4880" s="23"/>
      <c r="O4880" s="17"/>
      <c r="P4880" s="17"/>
      <c r="Q4880" s="17"/>
      <c r="R4880" s="17"/>
      <c r="S4880" s="17"/>
      <c r="T4880" s="17"/>
    </row>
    <row r="4881">
      <c r="A4881" s="21">
        <v>1009.0</v>
      </c>
      <c r="B4881" s="14" t="s">
        <v>90</v>
      </c>
      <c r="C4881" s="14" t="s">
        <v>14</v>
      </c>
      <c r="D4881" s="20" t="s">
        <v>20</v>
      </c>
      <c r="E4881" s="12" t="str">
        <f>IFERROR(__xludf.DUMMYFUNCTION("FILTER(colegios!$B$2:$B5618,colegios!$A$2:$A5618=L4881)"),"50719 VIRGEN DEL CARMEN")</f>
        <v>50719 VIRGEN DEL CARMEN</v>
      </c>
      <c r="F4881" s="14" t="s">
        <v>16</v>
      </c>
      <c r="G4881" s="20" t="s">
        <v>21</v>
      </c>
      <c r="H4881" s="14" t="s">
        <v>18</v>
      </c>
      <c r="I4881" s="22">
        <v>2022.0</v>
      </c>
      <c r="J4881" s="16" t="str">
        <f>IFERROR(__xludf.DUMMYFUNCTION("FILTER('CLASFICACIÓN'!$F$3:$F5618,'CLASFICACIÓN'!$G$3:$G5618=M4881)"),"SOLO 2022 Y 2024")</f>
        <v>SOLO 2022 Y 2024</v>
      </c>
      <c r="K4881" s="16"/>
      <c r="L4881" s="14" t="s">
        <v>194</v>
      </c>
      <c r="M4881" s="16" t="str">
        <f t="shared" si="1"/>
        <v>50719 VIRGEN DEL CARMEN4 Primaria</v>
      </c>
      <c r="N4881" s="23"/>
      <c r="O4881" s="17"/>
      <c r="P4881" s="17"/>
      <c r="Q4881" s="17"/>
      <c r="R4881" s="17"/>
      <c r="S4881" s="17"/>
      <c r="T4881" s="17"/>
    </row>
    <row r="4882">
      <c r="A4882" s="21">
        <v>1010.0</v>
      </c>
      <c r="B4882" s="14" t="s">
        <v>90</v>
      </c>
      <c r="C4882" s="14" t="s">
        <v>14</v>
      </c>
      <c r="D4882" s="20" t="s">
        <v>20</v>
      </c>
      <c r="E4882" s="12" t="str">
        <f>IFERROR(__xludf.DUMMYFUNCTION("FILTER(colegios!$B$2:$B5618,colegios!$A$2:$A5618=L4882)"),"50719 VIRGEN DEL CARMEN")</f>
        <v>50719 VIRGEN DEL CARMEN</v>
      </c>
      <c r="F4882" s="14" t="s">
        <v>16</v>
      </c>
      <c r="G4882" s="20" t="s">
        <v>17</v>
      </c>
      <c r="H4882" s="14" t="s">
        <v>18</v>
      </c>
      <c r="I4882" s="22">
        <v>2022.0</v>
      </c>
      <c r="J4882" s="16" t="str">
        <f>IFERROR(__xludf.DUMMYFUNCTION("FILTER('CLASFICACIÓN'!$F$3:$F5618,'CLASFICACIÓN'!$G$3:$G5618=M4882)"),"SOLO 2022 Y 2024")</f>
        <v>SOLO 2022 Y 2024</v>
      </c>
      <c r="K4882" s="16"/>
      <c r="L4882" s="14" t="s">
        <v>194</v>
      </c>
      <c r="M4882" s="16" t="str">
        <f t="shared" si="1"/>
        <v>50719 VIRGEN DEL CARMEN4 Primaria</v>
      </c>
      <c r="N4882" s="23"/>
      <c r="O4882" s="17"/>
      <c r="P4882" s="17"/>
      <c r="Q4882" s="17"/>
      <c r="R4882" s="17"/>
      <c r="S4882" s="17"/>
      <c r="T4882" s="17"/>
    </row>
    <row r="4883">
      <c r="A4883" s="21">
        <v>1011.0</v>
      </c>
      <c r="B4883" s="14" t="s">
        <v>90</v>
      </c>
      <c r="C4883" s="14" t="s">
        <v>14</v>
      </c>
      <c r="D4883" s="20" t="s">
        <v>20</v>
      </c>
      <c r="E4883" s="12" t="str">
        <f>IFERROR(__xludf.DUMMYFUNCTION("FILTER(colegios!$B$2:$B5618,colegios!$A$2:$A5618=L4883)"),"50719 VIRGEN DEL CARMEN")</f>
        <v>50719 VIRGEN DEL CARMEN</v>
      </c>
      <c r="F4883" s="14" t="s">
        <v>16</v>
      </c>
      <c r="G4883" s="20" t="s">
        <v>17</v>
      </c>
      <c r="H4883" s="14" t="s">
        <v>18</v>
      </c>
      <c r="I4883" s="22">
        <v>2022.0</v>
      </c>
      <c r="J4883" s="16" t="str">
        <f>IFERROR(__xludf.DUMMYFUNCTION("FILTER('CLASFICACIÓN'!$F$3:$F5618,'CLASFICACIÓN'!$G$3:$G5618=M4883)"),"SOLO 2022 Y 2024")</f>
        <v>SOLO 2022 Y 2024</v>
      </c>
      <c r="K4883" s="16"/>
      <c r="L4883" s="14" t="s">
        <v>194</v>
      </c>
      <c r="M4883" s="16" t="str">
        <f t="shared" si="1"/>
        <v>50719 VIRGEN DEL CARMEN4 Primaria</v>
      </c>
      <c r="N4883" s="23"/>
      <c r="O4883" s="17"/>
      <c r="P4883" s="17"/>
      <c r="Q4883" s="17"/>
      <c r="R4883" s="17"/>
      <c r="S4883" s="17"/>
      <c r="T4883" s="17"/>
    </row>
    <row r="4884">
      <c r="A4884" s="21">
        <v>1012.0</v>
      </c>
      <c r="B4884" s="14" t="s">
        <v>90</v>
      </c>
      <c r="C4884" s="14" t="s">
        <v>14</v>
      </c>
      <c r="D4884" s="20" t="s">
        <v>20</v>
      </c>
      <c r="E4884" s="12" t="str">
        <f>IFERROR(__xludf.DUMMYFUNCTION("FILTER(colegios!$B$2:$B5618,colegios!$A$2:$A5618=L4884)"),"50719 VIRGEN DEL CARMEN")</f>
        <v>50719 VIRGEN DEL CARMEN</v>
      </c>
      <c r="F4884" s="14" t="s">
        <v>16</v>
      </c>
      <c r="G4884" s="20" t="s">
        <v>21</v>
      </c>
      <c r="H4884" s="14" t="s">
        <v>18</v>
      </c>
      <c r="I4884" s="22">
        <v>2022.0</v>
      </c>
      <c r="J4884" s="16" t="str">
        <f>IFERROR(__xludf.DUMMYFUNCTION("FILTER('CLASFICACIÓN'!$F$3:$F5618,'CLASFICACIÓN'!$G$3:$G5618=M4884)"),"SOLO 2022 Y 2024")</f>
        <v>SOLO 2022 Y 2024</v>
      </c>
      <c r="K4884" s="16"/>
      <c r="L4884" s="14" t="s">
        <v>194</v>
      </c>
      <c r="M4884" s="16" t="str">
        <f t="shared" si="1"/>
        <v>50719 VIRGEN DEL CARMEN4 Primaria</v>
      </c>
      <c r="N4884" s="23"/>
      <c r="O4884" s="17"/>
      <c r="P4884" s="17"/>
      <c r="Q4884" s="17"/>
      <c r="R4884" s="17"/>
      <c r="S4884" s="17"/>
      <c r="T4884" s="17"/>
    </row>
    <row r="4885">
      <c r="A4885" s="21">
        <v>1013.0</v>
      </c>
      <c r="B4885" s="14" t="s">
        <v>90</v>
      </c>
      <c r="C4885" s="14" t="s">
        <v>14</v>
      </c>
      <c r="D4885" s="20" t="s">
        <v>20</v>
      </c>
      <c r="E4885" s="12" t="str">
        <f>IFERROR(__xludf.DUMMYFUNCTION("FILTER(colegios!$B$2:$B5618,colegios!$A$2:$A5618=L4885)"),"50719 VIRGEN DEL CARMEN")</f>
        <v>50719 VIRGEN DEL CARMEN</v>
      </c>
      <c r="F4885" s="14" t="s">
        <v>16</v>
      </c>
      <c r="G4885" s="20" t="s">
        <v>17</v>
      </c>
      <c r="H4885" s="14" t="s">
        <v>18</v>
      </c>
      <c r="I4885" s="22">
        <v>2022.0</v>
      </c>
      <c r="J4885" s="16" t="str">
        <f>IFERROR(__xludf.DUMMYFUNCTION("FILTER('CLASFICACIÓN'!$F$3:$F5618,'CLASFICACIÓN'!$G$3:$G5618=M4885)"),"SOLO 2022 Y 2024")</f>
        <v>SOLO 2022 Y 2024</v>
      </c>
      <c r="K4885" s="16"/>
      <c r="L4885" s="14" t="s">
        <v>194</v>
      </c>
      <c r="M4885" s="16" t="str">
        <f t="shared" si="1"/>
        <v>50719 VIRGEN DEL CARMEN4 Primaria</v>
      </c>
      <c r="N4885" s="23"/>
      <c r="O4885" s="17"/>
      <c r="P4885" s="17"/>
      <c r="Q4885" s="17"/>
      <c r="R4885" s="17"/>
      <c r="S4885" s="17"/>
      <c r="T4885" s="17"/>
    </row>
    <row r="4886">
      <c r="A4886" s="21">
        <v>1014.0</v>
      </c>
      <c r="B4886" s="14" t="s">
        <v>90</v>
      </c>
      <c r="C4886" s="14" t="s">
        <v>14</v>
      </c>
      <c r="D4886" s="20" t="s">
        <v>20</v>
      </c>
      <c r="E4886" s="12" t="str">
        <f>IFERROR(__xludf.DUMMYFUNCTION("FILTER(colegios!$B$2:$B5618,colegios!$A$2:$A5618=L4886)"),"50719 VIRGEN DEL CARMEN")</f>
        <v>50719 VIRGEN DEL CARMEN</v>
      </c>
      <c r="F4886" s="14" t="s">
        <v>16</v>
      </c>
      <c r="G4886" s="20" t="s">
        <v>17</v>
      </c>
      <c r="H4886" s="14" t="s">
        <v>18</v>
      </c>
      <c r="I4886" s="22">
        <v>2022.0</v>
      </c>
      <c r="J4886" s="16" t="str">
        <f>IFERROR(__xludf.DUMMYFUNCTION("FILTER('CLASFICACIÓN'!$F$3:$F5618,'CLASFICACIÓN'!$G$3:$G5618=M4886)"),"SOLO 2022 Y 2024")</f>
        <v>SOLO 2022 Y 2024</v>
      </c>
      <c r="K4886" s="16"/>
      <c r="L4886" s="14" t="s">
        <v>194</v>
      </c>
      <c r="M4886" s="16" t="str">
        <f t="shared" si="1"/>
        <v>50719 VIRGEN DEL CARMEN4 Primaria</v>
      </c>
      <c r="N4886" s="23"/>
      <c r="O4886" s="17"/>
      <c r="P4886" s="17"/>
      <c r="Q4886" s="17"/>
      <c r="R4886" s="17"/>
      <c r="S4886" s="17"/>
      <c r="T4886" s="17"/>
    </row>
    <row r="4887">
      <c r="A4887" s="21">
        <v>1015.0</v>
      </c>
      <c r="B4887" s="14" t="s">
        <v>90</v>
      </c>
      <c r="C4887" s="14" t="s">
        <v>14</v>
      </c>
      <c r="D4887" s="20" t="s">
        <v>20</v>
      </c>
      <c r="E4887" s="12" t="str">
        <f>IFERROR(__xludf.DUMMYFUNCTION("FILTER(colegios!$B$2:$B5618,colegios!$A$2:$A5618=L4887)"),"50719 VIRGEN DEL CARMEN")</f>
        <v>50719 VIRGEN DEL CARMEN</v>
      </c>
      <c r="F4887" s="14" t="s">
        <v>16</v>
      </c>
      <c r="G4887" s="20" t="s">
        <v>21</v>
      </c>
      <c r="H4887" s="14" t="s">
        <v>18</v>
      </c>
      <c r="I4887" s="22">
        <v>2022.0</v>
      </c>
      <c r="J4887" s="16" t="str">
        <f>IFERROR(__xludf.DUMMYFUNCTION("FILTER('CLASFICACIÓN'!$F$3:$F5618,'CLASFICACIÓN'!$G$3:$G5618=M4887)"),"SOLO 2022 Y 2024")</f>
        <v>SOLO 2022 Y 2024</v>
      </c>
      <c r="K4887" s="16"/>
      <c r="L4887" s="14" t="s">
        <v>194</v>
      </c>
      <c r="M4887" s="16" t="str">
        <f t="shared" si="1"/>
        <v>50719 VIRGEN DEL CARMEN4 Primaria</v>
      </c>
      <c r="N4887" s="23"/>
      <c r="O4887" s="17"/>
      <c r="P4887" s="17"/>
      <c r="Q4887" s="17"/>
      <c r="R4887" s="17"/>
      <c r="S4887" s="17"/>
      <c r="T4887" s="17"/>
    </row>
    <row r="4888">
      <c r="A4888" s="21">
        <v>1016.0</v>
      </c>
      <c r="B4888" s="14" t="s">
        <v>90</v>
      </c>
      <c r="C4888" s="14" t="s">
        <v>14</v>
      </c>
      <c r="D4888" s="20" t="s">
        <v>20</v>
      </c>
      <c r="E4888" s="12" t="str">
        <f>IFERROR(__xludf.DUMMYFUNCTION("FILTER(colegios!$B$2:$B5618,colegios!$A$2:$A5618=L4888)"),"50719 VIRGEN DEL CARMEN")</f>
        <v>50719 VIRGEN DEL CARMEN</v>
      </c>
      <c r="F4888" s="14" t="s">
        <v>16</v>
      </c>
      <c r="G4888" s="20" t="s">
        <v>17</v>
      </c>
      <c r="H4888" s="14" t="s">
        <v>18</v>
      </c>
      <c r="I4888" s="22">
        <v>2022.0</v>
      </c>
      <c r="J4888" s="16" t="str">
        <f>IFERROR(__xludf.DUMMYFUNCTION("FILTER('CLASFICACIÓN'!$F$3:$F5618,'CLASFICACIÓN'!$G$3:$G5618=M4888)"),"SOLO 2022 Y 2024")</f>
        <v>SOLO 2022 Y 2024</v>
      </c>
      <c r="K4888" s="16"/>
      <c r="L4888" s="14" t="s">
        <v>194</v>
      </c>
      <c r="M4888" s="16" t="str">
        <f t="shared" si="1"/>
        <v>50719 VIRGEN DEL CARMEN4 Primaria</v>
      </c>
      <c r="N4888" s="23"/>
      <c r="O4888" s="17"/>
      <c r="P4888" s="17"/>
      <c r="Q4888" s="17"/>
      <c r="R4888" s="17"/>
      <c r="S4888" s="17"/>
      <c r="T4888" s="17"/>
    </row>
    <row r="4889">
      <c r="A4889" s="21">
        <v>1017.0</v>
      </c>
      <c r="B4889" s="14" t="s">
        <v>90</v>
      </c>
      <c r="C4889" s="14" t="s">
        <v>14</v>
      </c>
      <c r="D4889" s="20" t="s">
        <v>20</v>
      </c>
      <c r="E4889" s="12" t="str">
        <f>IFERROR(__xludf.DUMMYFUNCTION("FILTER(colegios!$B$2:$B5618,colegios!$A$2:$A5618=L4889)"),"50719 VIRGEN DEL CARMEN")</f>
        <v>50719 VIRGEN DEL CARMEN</v>
      </c>
      <c r="F4889" s="14" t="s">
        <v>16</v>
      </c>
      <c r="G4889" s="20" t="s">
        <v>21</v>
      </c>
      <c r="H4889" s="14" t="s">
        <v>18</v>
      </c>
      <c r="I4889" s="22">
        <v>2022.0</v>
      </c>
      <c r="J4889" s="16" t="str">
        <f>IFERROR(__xludf.DUMMYFUNCTION("FILTER('CLASFICACIÓN'!$F$3:$F5618,'CLASFICACIÓN'!$G$3:$G5618=M4889)"),"SOLO 2022 Y 2024")</f>
        <v>SOLO 2022 Y 2024</v>
      </c>
      <c r="K4889" s="16"/>
      <c r="L4889" s="14" t="s">
        <v>194</v>
      </c>
      <c r="M4889" s="16" t="str">
        <f t="shared" si="1"/>
        <v>50719 VIRGEN DEL CARMEN4 Primaria</v>
      </c>
      <c r="N4889" s="23"/>
      <c r="O4889" s="17"/>
      <c r="P4889" s="17"/>
      <c r="Q4889" s="17"/>
      <c r="R4889" s="17"/>
      <c r="S4889" s="17"/>
      <c r="T4889" s="17"/>
    </row>
    <row r="4890">
      <c r="A4890" s="21">
        <v>1018.0</v>
      </c>
      <c r="B4890" s="14" t="s">
        <v>90</v>
      </c>
      <c r="C4890" s="14" t="s">
        <v>14</v>
      </c>
      <c r="D4890" s="20" t="s">
        <v>20</v>
      </c>
      <c r="E4890" s="12" t="str">
        <f>IFERROR(__xludf.DUMMYFUNCTION("FILTER(colegios!$B$2:$B5618,colegios!$A$2:$A5618=L4890)"),"50719 VIRGEN DEL CARMEN")</f>
        <v>50719 VIRGEN DEL CARMEN</v>
      </c>
      <c r="F4890" s="14" t="s">
        <v>16</v>
      </c>
      <c r="G4890" s="20" t="s">
        <v>21</v>
      </c>
      <c r="H4890" s="14" t="s">
        <v>18</v>
      </c>
      <c r="I4890" s="22">
        <v>2022.0</v>
      </c>
      <c r="J4890" s="16" t="str">
        <f>IFERROR(__xludf.DUMMYFUNCTION("FILTER('CLASFICACIÓN'!$F$3:$F5618,'CLASFICACIÓN'!$G$3:$G5618=M4890)"),"SOLO 2022 Y 2024")</f>
        <v>SOLO 2022 Y 2024</v>
      </c>
      <c r="K4890" s="16"/>
      <c r="L4890" s="14" t="s">
        <v>194</v>
      </c>
      <c r="M4890" s="16" t="str">
        <f t="shared" si="1"/>
        <v>50719 VIRGEN DEL CARMEN4 Primaria</v>
      </c>
      <c r="N4890" s="23"/>
      <c r="O4890" s="17"/>
      <c r="P4890" s="17"/>
      <c r="Q4890" s="17"/>
      <c r="R4890" s="17"/>
      <c r="S4890" s="17"/>
      <c r="T4890" s="17"/>
    </row>
    <row r="4891">
      <c r="A4891" s="21">
        <v>1019.0</v>
      </c>
      <c r="B4891" s="14" t="s">
        <v>90</v>
      </c>
      <c r="C4891" s="14" t="s">
        <v>14</v>
      </c>
      <c r="D4891" s="20" t="s">
        <v>20</v>
      </c>
      <c r="E4891" s="12" t="str">
        <f>IFERROR(__xludf.DUMMYFUNCTION("FILTER(colegios!$B$2:$B5618,colegios!$A$2:$A5618=L4891)"),"50719 VIRGEN DEL CARMEN")</f>
        <v>50719 VIRGEN DEL CARMEN</v>
      </c>
      <c r="F4891" s="14" t="s">
        <v>16</v>
      </c>
      <c r="G4891" s="20" t="s">
        <v>21</v>
      </c>
      <c r="H4891" s="14" t="s">
        <v>18</v>
      </c>
      <c r="I4891" s="22">
        <v>2022.0</v>
      </c>
      <c r="J4891" s="16" t="str">
        <f>IFERROR(__xludf.DUMMYFUNCTION("FILTER('CLASFICACIÓN'!$F$3:$F5618,'CLASFICACIÓN'!$G$3:$G5618=M4891)"),"SOLO 2022 Y 2024")</f>
        <v>SOLO 2022 Y 2024</v>
      </c>
      <c r="K4891" s="16"/>
      <c r="L4891" s="14" t="s">
        <v>194</v>
      </c>
      <c r="M4891" s="16" t="str">
        <f t="shared" si="1"/>
        <v>50719 VIRGEN DEL CARMEN4 Primaria</v>
      </c>
      <c r="N4891" s="23"/>
      <c r="O4891" s="17"/>
      <c r="P4891" s="17"/>
      <c r="Q4891" s="17"/>
      <c r="R4891" s="17"/>
      <c r="S4891" s="17"/>
      <c r="T4891" s="17"/>
    </row>
    <row r="4892">
      <c r="A4892" s="21">
        <v>1020.0</v>
      </c>
      <c r="B4892" s="14" t="s">
        <v>90</v>
      </c>
      <c r="C4892" s="14" t="s">
        <v>14</v>
      </c>
      <c r="D4892" s="20" t="s">
        <v>20</v>
      </c>
      <c r="E4892" s="12" t="str">
        <f>IFERROR(__xludf.DUMMYFUNCTION("FILTER(colegios!$B$2:$B5618,colegios!$A$2:$A5618=L4892)"),"50719 VIRGEN DEL CARMEN")</f>
        <v>50719 VIRGEN DEL CARMEN</v>
      </c>
      <c r="F4892" s="14" t="s">
        <v>16</v>
      </c>
      <c r="G4892" s="20" t="s">
        <v>21</v>
      </c>
      <c r="H4892" s="14" t="s">
        <v>18</v>
      </c>
      <c r="I4892" s="22">
        <v>2022.0</v>
      </c>
      <c r="J4892" s="16" t="str">
        <f>IFERROR(__xludf.DUMMYFUNCTION("FILTER('CLASFICACIÓN'!$F$3:$F5618,'CLASFICACIÓN'!$G$3:$G5618=M4892)"),"SOLO 2022 Y 2024")</f>
        <v>SOLO 2022 Y 2024</v>
      </c>
      <c r="K4892" s="16"/>
      <c r="L4892" s="14" t="s">
        <v>194</v>
      </c>
      <c r="M4892" s="16" t="str">
        <f t="shared" si="1"/>
        <v>50719 VIRGEN DEL CARMEN4 Primaria</v>
      </c>
      <c r="N4892" s="23"/>
      <c r="O4892" s="17"/>
      <c r="P4892" s="17"/>
      <c r="Q4892" s="17"/>
      <c r="R4892" s="17"/>
      <c r="S4892" s="17"/>
      <c r="T4892" s="17"/>
    </row>
    <row r="4893">
      <c r="A4893" s="21">
        <v>1021.0</v>
      </c>
      <c r="B4893" s="14" t="s">
        <v>90</v>
      </c>
      <c r="C4893" s="14" t="s">
        <v>14</v>
      </c>
      <c r="D4893" s="20" t="s">
        <v>20</v>
      </c>
      <c r="E4893" s="12" t="str">
        <f>IFERROR(__xludf.DUMMYFUNCTION("FILTER(colegios!$B$2:$B5618,colegios!$A$2:$A5618=L4893)"),"50719 VIRGEN DEL CARMEN")</f>
        <v>50719 VIRGEN DEL CARMEN</v>
      </c>
      <c r="F4893" s="14" t="s">
        <v>16</v>
      </c>
      <c r="G4893" s="20" t="s">
        <v>21</v>
      </c>
      <c r="H4893" s="14" t="s">
        <v>18</v>
      </c>
      <c r="I4893" s="22">
        <v>2022.0</v>
      </c>
      <c r="J4893" s="16" t="str">
        <f>IFERROR(__xludf.DUMMYFUNCTION("FILTER('CLASFICACIÓN'!$F$3:$F5618,'CLASFICACIÓN'!$G$3:$G5618=M4893)"),"SOLO 2022 Y 2024")</f>
        <v>SOLO 2022 Y 2024</v>
      </c>
      <c r="K4893" s="16"/>
      <c r="L4893" s="14" t="s">
        <v>194</v>
      </c>
      <c r="M4893" s="16" t="str">
        <f t="shared" si="1"/>
        <v>50719 VIRGEN DEL CARMEN4 Primaria</v>
      </c>
      <c r="N4893" s="23"/>
      <c r="O4893" s="17"/>
      <c r="P4893" s="17"/>
      <c r="Q4893" s="17"/>
      <c r="R4893" s="17"/>
      <c r="S4893" s="17"/>
      <c r="T4893" s="17"/>
    </row>
    <row r="4894">
      <c r="A4894" s="21">
        <v>1022.0</v>
      </c>
      <c r="B4894" s="14" t="s">
        <v>90</v>
      </c>
      <c r="C4894" s="14" t="s">
        <v>14</v>
      </c>
      <c r="D4894" s="20" t="s">
        <v>20</v>
      </c>
      <c r="E4894" s="12" t="str">
        <f>IFERROR(__xludf.DUMMYFUNCTION("FILTER(colegios!$B$2:$B5618,colegios!$A$2:$A5618=L4894)"),"50719 VIRGEN DEL CARMEN")</f>
        <v>50719 VIRGEN DEL CARMEN</v>
      </c>
      <c r="F4894" s="14" t="s">
        <v>16</v>
      </c>
      <c r="G4894" s="20" t="s">
        <v>21</v>
      </c>
      <c r="H4894" s="14" t="s">
        <v>18</v>
      </c>
      <c r="I4894" s="22">
        <v>2022.0</v>
      </c>
      <c r="J4894" s="16" t="str">
        <f>IFERROR(__xludf.DUMMYFUNCTION("FILTER('CLASFICACIÓN'!$F$3:$F5618,'CLASFICACIÓN'!$G$3:$G5618=M4894)"),"SOLO 2022 Y 2024")</f>
        <v>SOLO 2022 Y 2024</v>
      </c>
      <c r="K4894" s="16"/>
      <c r="L4894" s="14" t="s">
        <v>194</v>
      </c>
      <c r="M4894" s="16" t="str">
        <f t="shared" si="1"/>
        <v>50719 VIRGEN DEL CARMEN4 Primaria</v>
      </c>
      <c r="N4894" s="23"/>
      <c r="O4894" s="17"/>
      <c r="P4894" s="17"/>
      <c r="Q4894" s="17"/>
      <c r="R4894" s="17"/>
      <c r="S4894" s="17"/>
      <c r="T4894" s="17"/>
    </row>
    <row r="4895">
      <c r="A4895" s="21">
        <v>1023.0</v>
      </c>
      <c r="B4895" s="14" t="s">
        <v>90</v>
      </c>
      <c r="C4895" s="14" t="s">
        <v>14</v>
      </c>
      <c r="D4895" s="20" t="s">
        <v>20</v>
      </c>
      <c r="E4895" s="12" t="str">
        <f>IFERROR(__xludf.DUMMYFUNCTION("FILTER(colegios!$B$2:$B5618,colegios!$A$2:$A5618=L4895)"),"50719 VIRGEN DEL CARMEN")</f>
        <v>50719 VIRGEN DEL CARMEN</v>
      </c>
      <c r="F4895" s="14" t="s">
        <v>16</v>
      </c>
      <c r="G4895" s="20" t="s">
        <v>21</v>
      </c>
      <c r="H4895" s="14" t="s">
        <v>18</v>
      </c>
      <c r="I4895" s="22">
        <v>2022.0</v>
      </c>
      <c r="J4895" s="16" t="str">
        <f>IFERROR(__xludf.DUMMYFUNCTION("FILTER('CLASFICACIÓN'!$F$3:$F5618,'CLASFICACIÓN'!$G$3:$G5618=M4895)"),"SOLO 2022 Y 2024")</f>
        <v>SOLO 2022 Y 2024</v>
      </c>
      <c r="K4895" s="16"/>
      <c r="L4895" s="14" t="s">
        <v>194</v>
      </c>
      <c r="M4895" s="16" t="str">
        <f t="shared" si="1"/>
        <v>50719 VIRGEN DEL CARMEN4 Primaria</v>
      </c>
      <c r="N4895" s="23"/>
      <c r="O4895" s="17"/>
      <c r="P4895" s="17"/>
      <c r="Q4895" s="17"/>
      <c r="R4895" s="17"/>
      <c r="S4895" s="17"/>
      <c r="T4895" s="17"/>
    </row>
    <row r="4896">
      <c r="A4896" s="21">
        <v>1024.0</v>
      </c>
      <c r="B4896" s="14" t="s">
        <v>90</v>
      </c>
      <c r="C4896" s="14" t="s">
        <v>14</v>
      </c>
      <c r="D4896" s="20" t="s">
        <v>20</v>
      </c>
      <c r="E4896" s="12" t="str">
        <f>IFERROR(__xludf.DUMMYFUNCTION("FILTER(colegios!$B$2:$B5618,colegios!$A$2:$A5618=L4896)"),"50719 VIRGEN DEL CARMEN")</f>
        <v>50719 VIRGEN DEL CARMEN</v>
      </c>
      <c r="F4896" s="14" t="s">
        <v>16</v>
      </c>
      <c r="G4896" s="20" t="s">
        <v>17</v>
      </c>
      <c r="H4896" s="14" t="s">
        <v>18</v>
      </c>
      <c r="I4896" s="22">
        <v>2022.0</v>
      </c>
      <c r="J4896" s="16" t="str">
        <f>IFERROR(__xludf.DUMMYFUNCTION("FILTER('CLASFICACIÓN'!$F$3:$F5618,'CLASFICACIÓN'!$G$3:$G5618=M4896)"),"SOLO 2022 Y 2024")</f>
        <v>SOLO 2022 Y 2024</v>
      </c>
      <c r="K4896" s="16"/>
      <c r="L4896" s="14" t="s">
        <v>194</v>
      </c>
      <c r="M4896" s="16" t="str">
        <f t="shared" si="1"/>
        <v>50719 VIRGEN DEL CARMEN4 Primaria</v>
      </c>
      <c r="N4896" s="23"/>
      <c r="O4896" s="17"/>
      <c r="P4896" s="17"/>
      <c r="Q4896" s="17"/>
      <c r="R4896" s="17"/>
      <c r="S4896" s="17"/>
      <c r="T4896" s="17"/>
    </row>
    <row r="4897">
      <c r="A4897" s="21">
        <v>1025.0</v>
      </c>
      <c r="B4897" s="14" t="s">
        <v>90</v>
      </c>
      <c r="C4897" s="14" t="s">
        <v>14</v>
      </c>
      <c r="D4897" s="20" t="s">
        <v>20</v>
      </c>
      <c r="E4897" s="12" t="str">
        <f>IFERROR(__xludf.DUMMYFUNCTION("FILTER(colegios!$B$2:$B5618,colegios!$A$2:$A5618=L4897)"),"50719 VIRGEN DEL CARMEN")</f>
        <v>50719 VIRGEN DEL CARMEN</v>
      </c>
      <c r="F4897" s="14" t="s">
        <v>16</v>
      </c>
      <c r="G4897" s="20" t="s">
        <v>17</v>
      </c>
      <c r="H4897" s="14" t="s">
        <v>18</v>
      </c>
      <c r="I4897" s="22">
        <v>2022.0</v>
      </c>
      <c r="J4897" s="16" t="str">
        <f>IFERROR(__xludf.DUMMYFUNCTION("FILTER('CLASFICACIÓN'!$F$3:$F5618,'CLASFICACIÓN'!$G$3:$G5618=M4897)"),"SOLO 2022 Y 2024")</f>
        <v>SOLO 2022 Y 2024</v>
      </c>
      <c r="K4897" s="16"/>
      <c r="L4897" s="14" t="s">
        <v>194</v>
      </c>
      <c r="M4897" s="16" t="str">
        <f t="shared" si="1"/>
        <v>50719 VIRGEN DEL CARMEN4 Primaria</v>
      </c>
      <c r="N4897" s="23"/>
      <c r="O4897" s="17"/>
      <c r="P4897" s="17"/>
      <c r="Q4897" s="17"/>
      <c r="R4897" s="17"/>
      <c r="S4897" s="17"/>
      <c r="T4897" s="17"/>
    </row>
    <row r="4898">
      <c r="A4898" s="21">
        <v>1026.0</v>
      </c>
      <c r="B4898" s="14" t="s">
        <v>90</v>
      </c>
      <c r="C4898" s="14" t="s">
        <v>14</v>
      </c>
      <c r="D4898" s="20" t="s">
        <v>20</v>
      </c>
      <c r="E4898" s="12" t="str">
        <f>IFERROR(__xludf.DUMMYFUNCTION("FILTER(colegios!$B$2:$B5618,colegios!$A$2:$A5618=L4898)"),"50719 VIRGEN DEL CARMEN")</f>
        <v>50719 VIRGEN DEL CARMEN</v>
      </c>
      <c r="F4898" s="14" t="s">
        <v>16</v>
      </c>
      <c r="G4898" s="20" t="s">
        <v>21</v>
      </c>
      <c r="H4898" s="14" t="s">
        <v>18</v>
      </c>
      <c r="I4898" s="22">
        <v>2022.0</v>
      </c>
      <c r="J4898" s="16" t="str">
        <f>IFERROR(__xludf.DUMMYFUNCTION("FILTER('CLASFICACIÓN'!$F$3:$F5618,'CLASFICACIÓN'!$G$3:$G5618=M4898)"),"SOLO 2022 Y 2024")</f>
        <v>SOLO 2022 Y 2024</v>
      </c>
      <c r="K4898" s="16"/>
      <c r="L4898" s="14" t="s">
        <v>194</v>
      </c>
      <c r="M4898" s="16" t="str">
        <f t="shared" si="1"/>
        <v>50719 VIRGEN DEL CARMEN4 Primaria</v>
      </c>
      <c r="N4898" s="23"/>
      <c r="O4898" s="17"/>
      <c r="P4898" s="17"/>
      <c r="Q4898" s="17"/>
      <c r="R4898" s="17"/>
      <c r="S4898" s="17"/>
      <c r="T4898" s="17"/>
    </row>
    <row r="4899">
      <c r="A4899" s="21">
        <v>1027.0</v>
      </c>
      <c r="B4899" s="14" t="s">
        <v>90</v>
      </c>
      <c r="C4899" s="14" t="s">
        <v>14</v>
      </c>
      <c r="D4899" s="20" t="s">
        <v>20</v>
      </c>
      <c r="E4899" s="12" t="str">
        <f>IFERROR(__xludf.DUMMYFUNCTION("FILTER(colegios!$B$2:$B5618,colegios!$A$2:$A5618=L4899)"),"50719 VIRGEN DEL CARMEN")</f>
        <v>50719 VIRGEN DEL CARMEN</v>
      </c>
      <c r="F4899" s="14" t="s">
        <v>16</v>
      </c>
      <c r="G4899" s="20" t="s">
        <v>21</v>
      </c>
      <c r="H4899" s="14" t="s">
        <v>18</v>
      </c>
      <c r="I4899" s="22">
        <v>2022.0</v>
      </c>
      <c r="J4899" s="16" t="str">
        <f>IFERROR(__xludf.DUMMYFUNCTION("FILTER('CLASFICACIÓN'!$F$3:$F5618,'CLASFICACIÓN'!$G$3:$G5618=M4899)"),"SOLO 2022 Y 2024")</f>
        <v>SOLO 2022 Y 2024</v>
      </c>
      <c r="K4899" s="16"/>
      <c r="L4899" s="14" t="s">
        <v>194</v>
      </c>
      <c r="M4899" s="16" t="str">
        <f t="shared" si="1"/>
        <v>50719 VIRGEN DEL CARMEN4 Primaria</v>
      </c>
      <c r="N4899" s="23"/>
      <c r="O4899" s="17"/>
      <c r="P4899" s="17"/>
      <c r="Q4899" s="17"/>
      <c r="R4899" s="17"/>
      <c r="S4899" s="17"/>
      <c r="T4899" s="17"/>
    </row>
    <row r="4900">
      <c r="A4900" s="21">
        <v>1028.0</v>
      </c>
      <c r="B4900" s="14" t="s">
        <v>90</v>
      </c>
      <c r="C4900" s="14" t="s">
        <v>14</v>
      </c>
      <c r="D4900" s="20" t="s">
        <v>20</v>
      </c>
      <c r="E4900" s="12" t="str">
        <f>IFERROR(__xludf.DUMMYFUNCTION("FILTER(colegios!$B$2:$B5618,colegios!$A$2:$A5618=L4900)"),"50719 VIRGEN DEL CARMEN")</f>
        <v>50719 VIRGEN DEL CARMEN</v>
      </c>
      <c r="F4900" s="14" t="s">
        <v>16</v>
      </c>
      <c r="G4900" s="20" t="s">
        <v>17</v>
      </c>
      <c r="H4900" s="14" t="s">
        <v>18</v>
      </c>
      <c r="I4900" s="22">
        <v>2022.0</v>
      </c>
      <c r="J4900" s="16" t="str">
        <f>IFERROR(__xludf.DUMMYFUNCTION("FILTER('CLASFICACIÓN'!$F$3:$F5618,'CLASFICACIÓN'!$G$3:$G5618=M4900)"),"SOLO 2022 Y 2024")</f>
        <v>SOLO 2022 Y 2024</v>
      </c>
      <c r="K4900" s="16"/>
      <c r="L4900" s="14" t="s">
        <v>194</v>
      </c>
      <c r="M4900" s="16" t="str">
        <f t="shared" si="1"/>
        <v>50719 VIRGEN DEL CARMEN4 Primaria</v>
      </c>
      <c r="N4900" s="23"/>
      <c r="O4900" s="17"/>
      <c r="P4900" s="17"/>
      <c r="Q4900" s="17"/>
      <c r="R4900" s="17"/>
      <c r="S4900" s="17"/>
      <c r="T4900" s="17"/>
    </row>
    <row r="4901">
      <c r="A4901" s="21">
        <v>1029.0</v>
      </c>
      <c r="B4901" s="14" t="s">
        <v>90</v>
      </c>
      <c r="C4901" s="14" t="s">
        <v>14</v>
      </c>
      <c r="D4901" s="20" t="s">
        <v>20</v>
      </c>
      <c r="E4901" s="12" t="str">
        <f>IFERROR(__xludf.DUMMYFUNCTION("FILTER(colegios!$B$2:$B5618,colegios!$A$2:$A5618=L4901)"),"50719 VIRGEN DEL CARMEN")</f>
        <v>50719 VIRGEN DEL CARMEN</v>
      </c>
      <c r="F4901" s="14" t="s">
        <v>16</v>
      </c>
      <c r="G4901" s="20" t="s">
        <v>21</v>
      </c>
      <c r="H4901" s="14" t="s">
        <v>18</v>
      </c>
      <c r="I4901" s="22">
        <v>2022.0</v>
      </c>
      <c r="J4901" s="16" t="str">
        <f>IFERROR(__xludf.DUMMYFUNCTION("FILTER('CLASFICACIÓN'!$F$3:$F5618,'CLASFICACIÓN'!$G$3:$G5618=M4901)"),"SOLO 2022 Y 2024")</f>
        <v>SOLO 2022 Y 2024</v>
      </c>
      <c r="K4901" s="16"/>
      <c r="L4901" s="14" t="s">
        <v>194</v>
      </c>
      <c r="M4901" s="16" t="str">
        <f t="shared" si="1"/>
        <v>50719 VIRGEN DEL CARMEN4 Primaria</v>
      </c>
      <c r="N4901" s="23"/>
      <c r="O4901" s="17"/>
      <c r="P4901" s="17"/>
      <c r="Q4901" s="17"/>
      <c r="R4901" s="17"/>
      <c r="S4901" s="17"/>
      <c r="T4901" s="17"/>
    </row>
    <row r="4902">
      <c r="A4902" s="21">
        <v>1030.0</v>
      </c>
      <c r="B4902" s="14" t="s">
        <v>90</v>
      </c>
      <c r="C4902" s="14" t="s">
        <v>14</v>
      </c>
      <c r="D4902" s="20" t="s">
        <v>20</v>
      </c>
      <c r="E4902" s="12" t="str">
        <f>IFERROR(__xludf.DUMMYFUNCTION("FILTER(colegios!$B$2:$B5618,colegios!$A$2:$A5618=L4902)"),"50719 VIRGEN DEL CARMEN")</f>
        <v>50719 VIRGEN DEL CARMEN</v>
      </c>
      <c r="F4902" s="14" t="s">
        <v>16</v>
      </c>
      <c r="G4902" s="20" t="s">
        <v>21</v>
      </c>
      <c r="H4902" s="14" t="s">
        <v>18</v>
      </c>
      <c r="I4902" s="22">
        <v>2022.0</v>
      </c>
      <c r="J4902" s="16" t="str">
        <f>IFERROR(__xludf.DUMMYFUNCTION("FILTER('CLASFICACIÓN'!$F$3:$F5618,'CLASFICACIÓN'!$G$3:$G5618=M4902)"),"SOLO 2022 Y 2024")</f>
        <v>SOLO 2022 Y 2024</v>
      </c>
      <c r="K4902" s="16"/>
      <c r="L4902" s="14" t="s">
        <v>194</v>
      </c>
      <c r="M4902" s="16" t="str">
        <f t="shared" si="1"/>
        <v>50719 VIRGEN DEL CARMEN4 Primaria</v>
      </c>
      <c r="N4902" s="23"/>
      <c r="O4902" s="17"/>
      <c r="P4902" s="17"/>
      <c r="Q4902" s="17"/>
      <c r="R4902" s="17"/>
      <c r="S4902" s="17"/>
      <c r="T4902" s="17"/>
    </row>
    <row r="4903">
      <c r="A4903" s="21">
        <v>1031.0</v>
      </c>
      <c r="B4903" s="14" t="s">
        <v>90</v>
      </c>
      <c r="C4903" s="14" t="s">
        <v>14</v>
      </c>
      <c r="D4903" s="20" t="s">
        <v>20</v>
      </c>
      <c r="E4903" s="12" t="str">
        <f>IFERROR(__xludf.DUMMYFUNCTION("FILTER(colegios!$B$2:$B5618,colegios!$A$2:$A5618=L4903)"),"50719 VIRGEN DEL CARMEN")</f>
        <v>50719 VIRGEN DEL CARMEN</v>
      </c>
      <c r="F4903" s="14" t="s">
        <v>16</v>
      </c>
      <c r="G4903" s="20" t="s">
        <v>17</v>
      </c>
      <c r="H4903" s="14" t="s">
        <v>18</v>
      </c>
      <c r="I4903" s="22">
        <v>2022.0</v>
      </c>
      <c r="J4903" s="16" t="str">
        <f>IFERROR(__xludf.DUMMYFUNCTION("FILTER('CLASFICACIÓN'!$F$3:$F5618,'CLASFICACIÓN'!$G$3:$G5618=M4903)"),"SOLO 2022 Y 2024")</f>
        <v>SOLO 2022 Y 2024</v>
      </c>
      <c r="K4903" s="16"/>
      <c r="L4903" s="14" t="s">
        <v>194</v>
      </c>
      <c r="M4903" s="16" t="str">
        <f t="shared" si="1"/>
        <v>50719 VIRGEN DEL CARMEN4 Primaria</v>
      </c>
      <c r="N4903" s="23"/>
      <c r="O4903" s="17"/>
      <c r="P4903" s="17"/>
      <c r="Q4903" s="17"/>
      <c r="R4903" s="17"/>
      <c r="S4903" s="17"/>
      <c r="T4903" s="17"/>
    </row>
    <row r="4904">
      <c r="A4904" s="21">
        <v>1032.0</v>
      </c>
      <c r="B4904" s="14" t="s">
        <v>90</v>
      </c>
      <c r="C4904" s="14" t="s">
        <v>14</v>
      </c>
      <c r="D4904" s="20" t="s">
        <v>20</v>
      </c>
      <c r="E4904" s="12" t="str">
        <f>IFERROR(__xludf.DUMMYFUNCTION("FILTER(colegios!$B$2:$B5618,colegios!$A$2:$A5618=L4904)"),"50719 VIRGEN DEL CARMEN")</f>
        <v>50719 VIRGEN DEL CARMEN</v>
      </c>
      <c r="F4904" s="14" t="s">
        <v>16</v>
      </c>
      <c r="G4904" s="20" t="s">
        <v>21</v>
      </c>
      <c r="H4904" s="14" t="s">
        <v>18</v>
      </c>
      <c r="I4904" s="22">
        <v>2022.0</v>
      </c>
      <c r="J4904" s="16" t="str">
        <f>IFERROR(__xludf.DUMMYFUNCTION("FILTER('CLASFICACIÓN'!$F$3:$F5618,'CLASFICACIÓN'!$G$3:$G5618=M4904)"),"SOLO 2022 Y 2024")</f>
        <v>SOLO 2022 Y 2024</v>
      </c>
      <c r="K4904" s="16"/>
      <c r="L4904" s="14" t="s">
        <v>194</v>
      </c>
      <c r="M4904" s="16" t="str">
        <f t="shared" si="1"/>
        <v>50719 VIRGEN DEL CARMEN4 Primaria</v>
      </c>
      <c r="N4904" s="23"/>
      <c r="O4904" s="17"/>
      <c r="P4904" s="17"/>
      <c r="Q4904" s="17"/>
      <c r="R4904" s="17"/>
      <c r="S4904" s="17"/>
      <c r="T4904" s="17"/>
    </row>
    <row r="4905">
      <c r="A4905" s="21">
        <v>1033.0</v>
      </c>
      <c r="B4905" s="14" t="s">
        <v>90</v>
      </c>
      <c r="C4905" s="14" t="s">
        <v>14</v>
      </c>
      <c r="D4905" s="20" t="s">
        <v>20</v>
      </c>
      <c r="E4905" s="12" t="str">
        <f>IFERROR(__xludf.DUMMYFUNCTION("FILTER(colegios!$B$2:$B5618,colegios!$A$2:$A5618=L4905)"),"50719 VIRGEN DEL CARMEN")</f>
        <v>50719 VIRGEN DEL CARMEN</v>
      </c>
      <c r="F4905" s="14" t="s">
        <v>16</v>
      </c>
      <c r="G4905" s="20" t="s">
        <v>21</v>
      </c>
      <c r="H4905" s="14" t="s">
        <v>18</v>
      </c>
      <c r="I4905" s="22">
        <v>2022.0</v>
      </c>
      <c r="J4905" s="16" t="str">
        <f>IFERROR(__xludf.DUMMYFUNCTION("FILTER('CLASFICACIÓN'!$F$3:$F5618,'CLASFICACIÓN'!$G$3:$G5618=M4905)"),"SOLO 2022 Y 2024")</f>
        <v>SOLO 2022 Y 2024</v>
      </c>
      <c r="K4905" s="16"/>
      <c r="L4905" s="14" t="s">
        <v>194</v>
      </c>
      <c r="M4905" s="16" t="str">
        <f t="shared" si="1"/>
        <v>50719 VIRGEN DEL CARMEN4 Primaria</v>
      </c>
      <c r="N4905" s="23"/>
      <c r="O4905" s="17"/>
      <c r="P4905" s="17"/>
      <c r="Q4905" s="17"/>
      <c r="R4905" s="17"/>
      <c r="S4905" s="17"/>
      <c r="T4905" s="17"/>
    </row>
    <row r="4906">
      <c r="A4906" s="21">
        <v>1034.0</v>
      </c>
      <c r="B4906" s="14" t="s">
        <v>90</v>
      </c>
      <c r="C4906" s="14" t="s">
        <v>14</v>
      </c>
      <c r="D4906" s="20" t="s">
        <v>20</v>
      </c>
      <c r="E4906" s="12" t="str">
        <f>IFERROR(__xludf.DUMMYFUNCTION("FILTER(colegios!$B$2:$B5618,colegios!$A$2:$A5618=L4906)"),"50719 VIRGEN DEL CARMEN")</f>
        <v>50719 VIRGEN DEL CARMEN</v>
      </c>
      <c r="F4906" s="14" t="s">
        <v>16</v>
      </c>
      <c r="G4906" s="20" t="s">
        <v>21</v>
      </c>
      <c r="H4906" s="14" t="s">
        <v>18</v>
      </c>
      <c r="I4906" s="22">
        <v>2022.0</v>
      </c>
      <c r="J4906" s="16" t="str">
        <f>IFERROR(__xludf.DUMMYFUNCTION("FILTER('CLASFICACIÓN'!$F$3:$F5618,'CLASFICACIÓN'!$G$3:$G5618=M4906)"),"SOLO 2022 Y 2024")</f>
        <v>SOLO 2022 Y 2024</v>
      </c>
      <c r="K4906" s="16"/>
      <c r="L4906" s="14" t="s">
        <v>194</v>
      </c>
      <c r="M4906" s="16" t="str">
        <f t="shared" si="1"/>
        <v>50719 VIRGEN DEL CARMEN4 Primaria</v>
      </c>
      <c r="N4906" s="23"/>
      <c r="O4906" s="17"/>
      <c r="P4906" s="17"/>
      <c r="Q4906" s="17"/>
      <c r="R4906" s="17"/>
      <c r="S4906" s="17"/>
      <c r="T4906" s="17"/>
    </row>
    <row r="4907">
      <c r="A4907" s="21">
        <v>1035.0</v>
      </c>
      <c r="B4907" s="14" t="s">
        <v>90</v>
      </c>
      <c r="C4907" s="14" t="s">
        <v>14</v>
      </c>
      <c r="D4907" s="20" t="s">
        <v>20</v>
      </c>
      <c r="E4907" s="12" t="str">
        <f>IFERROR(__xludf.DUMMYFUNCTION("FILTER(colegios!$B$2:$B5618,colegios!$A$2:$A5618=L4907)"),"50719 VIRGEN DEL CARMEN")</f>
        <v>50719 VIRGEN DEL CARMEN</v>
      </c>
      <c r="F4907" s="14" t="s">
        <v>16</v>
      </c>
      <c r="G4907" s="20" t="s">
        <v>17</v>
      </c>
      <c r="H4907" s="14" t="s">
        <v>24</v>
      </c>
      <c r="I4907" s="22">
        <v>2022.0</v>
      </c>
      <c r="J4907" s="16" t="str">
        <f>IFERROR(__xludf.DUMMYFUNCTION("FILTER('CLASFICACIÓN'!$F$3:$F5618,'CLASFICACIÓN'!$G$3:$G5618=M4907)"),"SOLO 2022 Y 2024")</f>
        <v>SOLO 2022 Y 2024</v>
      </c>
      <c r="K4907" s="16"/>
      <c r="L4907" s="14" t="s">
        <v>194</v>
      </c>
      <c r="M4907" s="16" t="str">
        <f t="shared" si="1"/>
        <v>50719 VIRGEN DEL CARMEN4 Primaria</v>
      </c>
      <c r="N4907" s="23"/>
      <c r="O4907" s="17"/>
      <c r="P4907" s="17"/>
      <c r="Q4907" s="17"/>
      <c r="R4907" s="17"/>
      <c r="S4907" s="17"/>
      <c r="T4907" s="17"/>
    </row>
    <row r="4908">
      <c r="A4908" s="21">
        <v>1036.0</v>
      </c>
      <c r="B4908" s="14" t="s">
        <v>90</v>
      </c>
      <c r="C4908" s="14" t="s">
        <v>14</v>
      </c>
      <c r="D4908" s="20" t="s">
        <v>20</v>
      </c>
      <c r="E4908" s="12" t="str">
        <f>IFERROR(__xludf.DUMMYFUNCTION("FILTER(colegios!$B$2:$B5618,colegios!$A$2:$A5618=L4908)"),"50719 VIRGEN DEL CARMEN")</f>
        <v>50719 VIRGEN DEL CARMEN</v>
      </c>
      <c r="F4908" s="14" t="s">
        <v>16</v>
      </c>
      <c r="G4908" s="20" t="s">
        <v>21</v>
      </c>
      <c r="H4908" s="14" t="s">
        <v>24</v>
      </c>
      <c r="I4908" s="22">
        <v>2022.0</v>
      </c>
      <c r="J4908" s="16" t="str">
        <f>IFERROR(__xludf.DUMMYFUNCTION("FILTER('CLASFICACIÓN'!$F$3:$F5618,'CLASFICACIÓN'!$G$3:$G5618=M4908)"),"SOLO 2022 Y 2024")</f>
        <v>SOLO 2022 Y 2024</v>
      </c>
      <c r="K4908" s="16"/>
      <c r="L4908" s="14" t="s">
        <v>194</v>
      </c>
      <c r="M4908" s="16" t="str">
        <f t="shared" si="1"/>
        <v>50719 VIRGEN DEL CARMEN4 Primaria</v>
      </c>
      <c r="N4908" s="23"/>
      <c r="O4908" s="17"/>
      <c r="P4908" s="17"/>
      <c r="Q4908" s="17"/>
      <c r="R4908" s="17"/>
      <c r="S4908" s="17"/>
      <c r="T4908" s="17"/>
    </row>
    <row r="4909">
      <c r="A4909" s="21">
        <v>1037.0</v>
      </c>
      <c r="B4909" s="14" t="s">
        <v>90</v>
      </c>
      <c r="C4909" s="14" t="s">
        <v>14</v>
      </c>
      <c r="D4909" s="20" t="s">
        <v>20</v>
      </c>
      <c r="E4909" s="12" t="str">
        <f>IFERROR(__xludf.DUMMYFUNCTION("FILTER(colegios!$B$2:$B5618,colegios!$A$2:$A5618=L4909)"),"50719 VIRGEN DEL CARMEN")</f>
        <v>50719 VIRGEN DEL CARMEN</v>
      </c>
      <c r="F4909" s="14" t="s">
        <v>16</v>
      </c>
      <c r="G4909" s="20" t="s">
        <v>17</v>
      </c>
      <c r="H4909" s="14" t="s">
        <v>24</v>
      </c>
      <c r="I4909" s="22">
        <v>2022.0</v>
      </c>
      <c r="J4909" s="16" t="str">
        <f>IFERROR(__xludf.DUMMYFUNCTION("FILTER('CLASFICACIÓN'!$F$3:$F5618,'CLASFICACIÓN'!$G$3:$G5618=M4909)"),"SOLO 2022 Y 2024")</f>
        <v>SOLO 2022 Y 2024</v>
      </c>
      <c r="K4909" s="16"/>
      <c r="L4909" s="14" t="s">
        <v>194</v>
      </c>
      <c r="M4909" s="16" t="str">
        <f t="shared" si="1"/>
        <v>50719 VIRGEN DEL CARMEN4 Primaria</v>
      </c>
      <c r="N4909" s="23"/>
      <c r="O4909" s="17"/>
      <c r="P4909" s="17"/>
      <c r="Q4909" s="17"/>
      <c r="R4909" s="17"/>
      <c r="S4909" s="17"/>
      <c r="T4909" s="17"/>
    </row>
    <row r="4910">
      <c r="A4910" s="21">
        <v>1038.0</v>
      </c>
      <c r="B4910" s="14" t="s">
        <v>90</v>
      </c>
      <c r="C4910" s="14" t="s">
        <v>14</v>
      </c>
      <c r="D4910" s="20" t="s">
        <v>20</v>
      </c>
      <c r="E4910" s="12" t="str">
        <f>IFERROR(__xludf.DUMMYFUNCTION("FILTER(colegios!$B$2:$B5618,colegios!$A$2:$A5618=L4910)"),"50504")</f>
        <v>50504</v>
      </c>
      <c r="F4910" s="14" t="s">
        <v>16</v>
      </c>
      <c r="G4910" s="20" t="s">
        <v>17</v>
      </c>
      <c r="H4910" s="14" t="s">
        <v>18</v>
      </c>
      <c r="I4910" s="22">
        <v>2022.0</v>
      </c>
      <c r="J4910" s="16" t="str">
        <f>IFERROR(__xludf.DUMMYFUNCTION("FILTER('CLASFICACIÓN'!$F$3:$F5618,'CLASFICACIÓN'!$G$3:$G5618=M4910)"),"SOLO LINEA BASE")</f>
        <v>SOLO LINEA BASE</v>
      </c>
      <c r="K4910" s="16"/>
      <c r="L4910" s="14" t="s">
        <v>195</v>
      </c>
      <c r="M4910" s="16" t="str">
        <f t="shared" si="1"/>
        <v>505044 Primaria</v>
      </c>
      <c r="N4910" s="23"/>
      <c r="O4910" s="17"/>
      <c r="P4910" s="17"/>
      <c r="Q4910" s="17"/>
      <c r="R4910" s="17"/>
      <c r="S4910" s="17"/>
      <c r="T4910" s="17"/>
    </row>
    <row r="4911">
      <c r="A4911" s="21">
        <v>1039.0</v>
      </c>
      <c r="B4911" s="14" t="s">
        <v>90</v>
      </c>
      <c r="C4911" s="14" t="s">
        <v>14</v>
      </c>
      <c r="D4911" s="20" t="s">
        <v>20</v>
      </c>
      <c r="E4911" s="12" t="str">
        <f>IFERROR(__xludf.DUMMYFUNCTION("FILTER(colegios!$B$2:$B5618,colegios!$A$2:$A5618=L4911)"),"50796")</f>
        <v>50796</v>
      </c>
      <c r="F4911" s="14" t="s">
        <v>16</v>
      </c>
      <c r="G4911" s="20" t="s">
        <v>21</v>
      </c>
      <c r="H4911" s="14" t="s">
        <v>18</v>
      </c>
      <c r="I4911" s="22">
        <v>2022.0</v>
      </c>
      <c r="J4911" s="16" t="str">
        <f>IFERROR(__xludf.DUMMYFUNCTION("FILTER('CLASFICACIÓN'!$F$3:$F5618,'CLASFICACIÓN'!$G$3:$G5618=M4911)"),"SOLO LINEA BASE")</f>
        <v>SOLO LINEA BASE</v>
      </c>
      <c r="K4911" s="16"/>
      <c r="L4911" s="14" t="s">
        <v>196</v>
      </c>
      <c r="M4911" s="16" t="str">
        <f t="shared" si="1"/>
        <v>507964 Primaria</v>
      </c>
      <c r="N4911" s="23"/>
      <c r="O4911" s="17"/>
      <c r="P4911" s="17"/>
      <c r="Q4911" s="17"/>
      <c r="R4911" s="17"/>
      <c r="S4911" s="17"/>
      <c r="T4911" s="17"/>
    </row>
    <row r="4912">
      <c r="A4912" s="21">
        <v>1040.0</v>
      </c>
      <c r="B4912" s="14" t="s">
        <v>90</v>
      </c>
      <c r="C4912" s="14" t="s">
        <v>14</v>
      </c>
      <c r="D4912" s="20" t="s">
        <v>22</v>
      </c>
      <c r="E4912" s="12" t="str">
        <f>IFERROR(__xludf.DUMMYFUNCTION("FILTER(colegios!$B$2:$B5618,colegios!$A$2:$A5618=L4912)"),"50547")</f>
        <v>50547</v>
      </c>
      <c r="F4912" s="14" t="s">
        <v>16</v>
      </c>
      <c r="G4912" s="20" t="s">
        <v>17</v>
      </c>
      <c r="H4912" s="14" t="s">
        <v>18</v>
      </c>
      <c r="I4912" s="22">
        <v>2022.0</v>
      </c>
      <c r="J4912" s="16" t="str">
        <f>IFERROR(__xludf.DUMMYFUNCTION("FILTER('CLASFICACIÓN'!$F$3:$F5618,'CLASFICACIÓN'!$G$3:$G5618=M4912)"),"LOS 3 AÑOS")</f>
        <v>LOS 3 AÑOS</v>
      </c>
      <c r="K4912" s="16"/>
      <c r="L4912" s="14" t="s">
        <v>177</v>
      </c>
      <c r="M4912" s="16" t="str">
        <f t="shared" si="1"/>
        <v>505476 Primaria</v>
      </c>
      <c r="N4912" s="23"/>
      <c r="O4912" s="17"/>
      <c r="P4912" s="17"/>
      <c r="Q4912" s="17"/>
      <c r="R4912" s="17"/>
      <c r="S4912" s="17"/>
      <c r="T4912" s="17"/>
    </row>
    <row r="4913">
      <c r="A4913" s="21">
        <v>1041.0</v>
      </c>
      <c r="B4913" s="14" t="s">
        <v>90</v>
      </c>
      <c r="C4913" s="14" t="s">
        <v>14</v>
      </c>
      <c r="D4913" s="20" t="s">
        <v>22</v>
      </c>
      <c r="E4913" s="12" t="str">
        <f>IFERROR(__xludf.DUMMYFUNCTION("FILTER(colegios!$B$2:$B5618,colegios!$A$2:$A5618=L4913)"),"50547")</f>
        <v>50547</v>
      </c>
      <c r="F4913" s="14" t="s">
        <v>16</v>
      </c>
      <c r="G4913" s="20" t="s">
        <v>21</v>
      </c>
      <c r="H4913" s="14" t="s">
        <v>18</v>
      </c>
      <c r="I4913" s="22">
        <v>2022.0</v>
      </c>
      <c r="J4913" s="16" t="str">
        <f>IFERROR(__xludf.DUMMYFUNCTION("FILTER('CLASFICACIÓN'!$F$3:$F5618,'CLASFICACIÓN'!$G$3:$G5618=M4913)"),"LOS 3 AÑOS")</f>
        <v>LOS 3 AÑOS</v>
      </c>
      <c r="K4913" s="16"/>
      <c r="L4913" s="14" t="s">
        <v>177</v>
      </c>
      <c r="M4913" s="16" t="str">
        <f t="shared" si="1"/>
        <v>505476 Primaria</v>
      </c>
      <c r="N4913" s="23"/>
      <c r="O4913" s="17"/>
      <c r="P4913" s="17"/>
      <c r="Q4913" s="17"/>
      <c r="R4913" s="17"/>
      <c r="S4913" s="17"/>
      <c r="T4913" s="17"/>
    </row>
    <row r="4914">
      <c r="A4914" s="21">
        <v>1042.0</v>
      </c>
      <c r="B4914" s="14" t="s">
        <v>90</v>
      </c>
      <c r="C4914" s="14" t="s">
        <v>14</v>
      </c>
      <c r="D4914" s="20" t="s">
        <v>22</v>
      </c>
      <c r="E4914" s="12" t="str">
        <f>IFERROR(__xludf.DUMMYFUNCTION("FILTER(colegios!$B$2:$B5618,colegios!$A$2:$A5618=L4914)"),"50547")</f>
        <v>50547</v>
      </c>
      <c r="F4914" s="14" t="s">
        <v>16</v>
      </c>
      <c r="G4914" s="20" t="s">
        <v>21</v>
      </c>
      <c r="H4914" s="14" t="s">
        <v>18</v>
      </c>
      <c r="I4914" s="22">
        <v>2022.0</v>
      </c>
      <c r="J4914" s="16" t="str">
        <f>IFERROR(__xludf.DUMMYFUNCTION("FILTER('CLASFICACIÓN'!$F$3:$F5618,'CLASFICACIÓN'!$G$3:$G5618=M4914)"),"LOS 3 AÑOS")</f>
        <v>LOS 3 AÑOS</v>
      </c>
      <c r="K4914" s="16"/>
      <c r="L4914" s="14" t="s">
        <v>177</v>
      </c>
      <c r="M4914" s="16" t="str">
        <f t="shared" si="1"/>
        <v>505476 Primaria</v>
      </c>
      <c r="N4914" s="23"/>
      <c r="O4914" s="17"/>
      <c r="P4914" s="17"/>
      <c r="Q4914" s="17"/>
      <c r="R4914" s="17"/>
      <c r="S4914" s="17"/>
      <c r="T4914" s="17"/>
    </row>
    <row r="4915">
      <c r="A4915" s="21">
        <v>1043.0</v>
      </c>
      <c r="B4915" s="14" t="s">
        <v>90</v>
      </c>
      <c r="C4915" s="14" t="s">
        <v>14</v>
      </c>
      <c r="D4915" s="20" t="s">
        <v>22</v>
      </c>
      <c r="E4915" s="12" t="str">
        <f>IFERROR(__xludf.DUMMYFUNCTION("FILTER(colegios!$B$2:$B5618,colegios!$A$2:$A5618=L4915)"),"50547")</f>
        <v>50547</v>
      </c>
      <c r="F4915" s="14" t="s">
        <v>16</v>
      </c>
      <c r="G4915" s="20" t="s">
        <v>17</v>
      </c>
      <c r="H4915" s="14" t="s">
        <v>18</v>
      </c>
      <c r="I4915" s="22">
        <v>2022.0</v>
      </c>
      <c r="J4915" s="16" t="str">
        <f>IFERROR(__xludf.DUMMYFUNCTION("FILTER('CLASFICACIÓN'!$F$3:$F5618,'CLASFICACIÓN'!$G$3:$G5618=M4915)"),"LOS 3 AÑOS")</f>
        <v>LOS 3 AÑOS</v>
      </c>
      <c r="K4915" s="16"/>
      <c r="L4915" s="14" t="s">
        <v>177</v>
      </c>
      <c r="M4915" s="16" t="str">
        <f t="shared" si="1"/>
        <v>505476 Primaria</v>
      </c>
      <c r="N4915" s="23"/>
      <c r="O4915" s="17"/>
      <c r="P4915" s="17"/>
      <c r="Q4915" s="17"/>
      <c r="R4915" s="17"/>
      <c r="S4915" s="17"/>
      <c r="T4915" s="17"/>
    </row>
    <row r="4916">
      <c r="A4916" s="21">
        <v>1044.0</v>
      </c>
      <c r="B4916" s="14" t="s">
        <v>90</v>
      </c>
      <c r="C4916" s="14" t="s">
        <v>14</v>
      </c>
      <c r="D4916" s="20" t="s">
        <v>22</v>
      </c>
      <c r="E4916" s="12" t="str">
        <f>IFERROR(__xludf.DUMMYFUNCTION("FILTER(colegios!$B$2:$B5618,colegios!$A$2:$A5618=L4916)"),"50547")</f>
        <v>50547</v>
      </c>
      <c r="F4916" s="14" t="s">
        <v>16</v>
      </c>
      <c r="G4916" s="20" t="s">
        <v>17</v>
      </c>
      <c r="H4916" s="14" t="s">
        <v>18</v>
      </c>
      <c r="I4916" s="22">
        <v>2022.0</v>
      </c>
      <c r="J4916" s="16" t="str">
        <f>IFERROR(__xludf.DUMMYFUNCTION("FILTER('CLASFICACIÓN'!$F$3:$F5618,'CLASFICACIÓN'!$G$3:$G5618=M4916)"),"LOS 3 AÑOS")</f>
        <v>LOS 3 AÑOS</v>
      </c>
      <c r="K4916" s="16"/>
      <c r="L4916" s="14" t="s">
        <v>177</v>
      </c>
      <c r="M4916" s="16" t="str">
        <f t="shared" si="1"/>
        <v>505476 Primaria</v>
      </c>
      <c r="N4916" s="23"/>
      <c r="O4916" s="17"/>
      <c r="P4916" s="17"/>
      <c r="Q4916" s="17"/>
      <c r="R4916" s="17"/>
      <c r="S4916" s="17"/>
      <c r="T4916" s="17"/>
    </row>
    <row r="4917">
      <c r="A4917" s="21">
        <v>1045.0</v>
      </c>
      <c r="B4917" s="14" t="s">
        <v>90</v>
      </c>
      <c r="C4917" s="14" t="s">
        <v>14</v>
      </c>
      <c r="D4917" s="20" t="s">
        <v>22</v>
      </c>
      <c r="E4917" s="12" t="str">
        <f>IFERROR(__xludf.DUMMYFUNCTION("FILTER(colegios!$B$2:$B5618,colegios!$A$2:$A5618=L4917)"),"50547")</f>
        <v>50547</v>
      </c>
      <c r="F4917" s="14" t="s">
        <v>16</v>
      </c>
      <c r="G4917" s="20" t="s">
        <v>17</v>
      </c>
      <c r="H4917" s="14" t="s">
        <v>18</v>
      </c>
      <c r="I4917" s="22">
        <v>2022.0</v>
      </c>
      <c r="J4917" s="16" t="str">
        <f>IFERROR(__xludf.DUMMYFUNCTION("FILTER('CLASFICACIÓN'!$F$3:$F5618,'CLASFICACIÓN'!$G$3:$G5618=M4917)"),"LOS 3 AÑOS")</f>
        <v>LOS 3 AÑOS</v>
      </c>
      <c r="K4917" s="16"/>
      <c r="L4917" s="14" t="s">
        <v>177</v>
      </c>
      <c r="M4917" s="16" t="str">
        <f t="shared" si="1"/>
        <v>505476 Primaria</v>
      </c>
      <c r="N4917" s="23"/>
      <c r="O4917" s="17"/>
      <c r="P4917" s="17"/>
      <c r="Q4917" s="17"/>
      <c r="R4917" s="17"/>
      <c r="S4917" s="17"/>
      <c r="T4917" s="17"/>
    </row>
    <row r="4918">
      <c r="A4918" s="21">
        <v>1046.0</v>
      </c>
      <c r="B4918" s="14" t="s">
        <v>90</v>
      </c>
      <c r="C4918" s="14" t="s">
        <v>14</v>
      </c>
      <c r="D4918" s="20" t="s">
        <v>22</v>
      </c>
      <c r="E4918" s="12" t="str">
        <f>IFERROR(__xludf.DUMMYFUNCTION("FILTER(colegios!$B$2:$B5618,colegios!$A$2:$A5618=L4918)"),"50547")</f>
        <v>50547</v>
      </c>
      <c r="F4918" s="14" t="s">
        <v>16</v>
      </c>
      <c r="G4918" s="20" t="s">
        <v>21</v>
      </c>
      <c r="H4918" s="14" t="s">
        <v>18</v>
      </c>
      <c r="I4918" s="22">
        <v>2022.0</v>
      </c>
      <c r="J4918" s="16" t="str">
        <f>IFERROR(__xludf.DUMMYFUNCTION("FILTER('CLASFICACIÓN'!$F$3:$F5618,'CLASFICACIÓN'!$G$3:$G5618=M4918)"),"LOS 3 AÑOS")</f>
        <v>LOS 3 AÑOS</v>
      </c>
      <c r="K4918" s="16"/>
      <c r="L4918" s="14" t="s">
        <v>177</v>
      </c>
      <c r="M4918" s="16" t="str">
        <f t="shared" si="1"/>
        <v>505476 Primaria</v>
      </c>
      <c r="N4918" s="23"/>
      <c r="O4918" s="17"/>
      <c r="P4918" s="17"/>
      <c r="Q4918" s="17"/>
      <c r="R4918" s="17"/>
      <c r="S4918" s="17"/>
      <c r="T4918" s="17"/>
    </row>
    <row r="4919">
      <c r="A4919" s="21">
        <v>1047.0</v>
      </c>
      <c r="B4919" s="14" t="s">
        <v>90</v>
      </c>
      <c r="C4919" s="14" t="s">
        <v>14</v>
      </c>
      <c r="D4919" s="20" t="s">
        <v>22</v>
      </c>
      <c r="E4919" s="12" t="str">
        <f>IFERROR(__xludf.DUMMYFUNCTION("FILTER(colegios!$B$2:$B5618,colegios!$A$2:$A5618=L4919)"),"50547")</f>
        <v>50547</v>
      </c>
      <c r="F4919" s="14" t="s">
        <v>16</v>
      </c>
      <c r="G4919" s="20" t="s">
        <v>21</v>
      </c>
      <c r="H4919" s="14" t="s">
        <v>18</v>
      </c>
      <c r="I4919" s="22">
        <v>2022.0</v>
      </c>
      <c r="J4919" s="16" t="str">
        <f>IFERROR(__xludf.DUMMYFUNCTION("FILTER('CLASFICACIÓN'!$F$3:$F5618,'CLASFICACIÓN'!$G$3:$G5618=M4919)"),"LOS 3 AÑOS")</f>
        <v>LOS 3 AÑOS</v>
      </c>
      <c r="K4919" s="16"/>
      <c r="L4919" s="14" t="s">
        <v>177</v>
      </c>
      <c r="M4919" s="16" t="str">
        <f t="shared" si="1"/>
        <v>505476 Primaria</v>
      </c>
      <c r="N4919" s="23"/>
      <c r="O4919" s="17"/>
      <c r="P4919" s="17"/>
      <c r="Q4919" s="17"/>
      <c r="R4919" s="17"/>
      <c r="S4919" s="17"/>
      <c r="T4919" s="17"/>
    </row>
    <row r="4920">
      <c r="A4920" s="21">
        <v>1048.0</v>
      </c>
      <c r="B4920" s="14" t="s">
        <v>90</v>
      </c>
      <c r="C4920" s="14" t="s">
        <v>14</v>
      </c>
      <c r="D4920" s="20" t="s">
        <v>22</v>
      </c>
      <c r="E4920" s="12" t="str">
        <f>IFERROR(__xludf.DUMMYFUNCTION("FILTER(colegios!$B$2:$B5618,colegios!$A$2:$A5618=L4920)"),"50547")</f>
        <v>50547</v>
      </c>
      <c r="F4920" s="14" t="s">
        <v>16</v>
      </c>
      <c r="G4920" s="20" t="s">
        <v>21</v>
      </c>
      <c r="H4920" s="14" t="s">
        <v>18</v>
      </c>
      <c r="I4920" s="22">
        <v>2022.0</v>
      </c>
      <c r="J4920" s="16" t="str">
        <f>IFERROR(__xludf.DUMMYFUNCTION("FILTER('CLASFICACIÓN'!$F$3:$F5618,'CLASFICACIÓN'!$G$3:$G5618=M4920)"),"LOS 3 AÑOS")</f>
        <v>LOS 3 AÑOS</v>
      </c>
      <c r="K4920" s="16"/>
      <c r="L4920" s="14" t="s">
        <v>177</v>
      </c>
      <c r="M4920" s="16" t="str">
        <f t="shared" si="1"/>
        <v>505476 Primaria</v>
      </c>
      <c r="N4920" s="23"/>
      <c r="O4920" s="17"/>
      <c r="P4920" s="17"/>
      <c r="Q4920" s="17"/>
      <c r="R4920" s="17"/>
      <c r="S4920" s="17"/>
      <c r="T4920" s="17"/>
    </row>
    <row r="4921">
      <c r="A4921" s="21">
        <v>1049.0</v>
      </c>
      <c r="B4921" s="14" t="s">
        <v>90</v>
      </c>
      <c r="C4921" s="14" t="s">
        <v>14</v>
      </c>
      <c r="D4921" s="20" t="s">
        <v>22</v>
      </c>
      <c r="E4921" s="12" t="str">
        <f>IFERROR(__xludf.DUMMYFUNCTION("FILTER(colegios!$B$2:$B5618,colegios!$A$2:$A5618=L4921)"),"50547")</f>
        <v>50547</v>
      </c>
      <c r="F4921" s="14" t="s">
        <v>16</v>
      </c>
      <c r="G4921" s="20" t="s">
        <v>21</v>
      </c>
      <c r="H4921" s="14" t="s">
        <v>18</v>
      </c>
      <c r="I4921" s="22">
        <v>2022.0</v>
      </c>
      <c r="J4921" s="16" t="str">
        <f>IFERROR(__xludf.DUMMYFUNCTION("FILTER('CLASFICACIÓN'!$F$3:$F5618,'CLASFICACIÓN'!$G$3:$G5618=M4921)"),"LOS 3 AÑOS")</f>
        <v>LOS 3 AÑOS</v>
      </c>
      <c r="K4921" s="16"/>
      <c r="L4921" s="14" t="s">
        <v>177</v>
      </c>
      <c r="M4921" s="16" t="str">
        <f t="shared" si="1"/>
        <v>505476 Primaria</v>
      </c>
      <c r="N4921" s="23"/>
      <c r="O4921" s="17"/>
      <c r="P4921" s="17"/>
      <c r="Q4921" s="17"/>
      <c r="R4921" s="17"/>
      <c r="S4921" s="17"/>
      <c r="T4921" s="17"/>
    </row>
    <row r="4922">
      <c r="A4922" s="21">
        <v>1050.0</v>
      </c>
      <c r="B4922" s="14" t="s">
        <v>90</v>
      </c>
      <c r="C4922" s="14" t="s">
        <v>14</v>
      </c>
      <c r="D4922" s="20" t="s">
        <v>22</v>
      </c>
      <c r="E4922" s="12" t="str">
        <f>IFERROR(__xludf.DUMMYFUNCTION("FILTER(colegios!$B$2:$B5618,colegios!$A$2:$A5618=L4922)"),"50547")</f>
        <v>50547</v>
      </c>
      <c r="F4922" s="14" t="s">
        <v>16</v>
      </c>
      <c r="G4922" s="20" t="s">
        <v>21</v>
      </c>
      <c r="H4922" s="14" t="s">
        <v>18</v>
      </c>
      <c r="I4922" s="22">
        <v>2022.0</v>
      </c>
      <c r="J4922" s="16" t="str">
        <f>IFERROR(__xludf.DUMMYFUNCTION("FILTER('CLASFICACIÓN'!$F$3:$F5618,'CLASFICACIÓN'!$G$3:$G5618=M4922)"),"LOS 3 AÑOS")</f>
        <v>LOS 3 AÑOS</v>
      </c>
      <c r="K4922" s="16"/>
      <c r="L4922" s="14" t="s">
        <v>177</v>
      </c>
      <c r="M4922" s="16" t="str">
        <f t="shared" si="1"/>
        <v>505476 Primaria</v>
      </c>
      <c r="N4922" s="23"/>
      <c r="O4922" s="17"/>
      <c r="P4922" s="17"/>
      <c r="Q4922" s="17"/>
      <c r="R4922" s="17"/>
      <c r="S4922" s="17"/>
      <c r="T4922" s="17"/>
    </row>
    <row r="4923">
      <c r="A4923" s="21">
        <v>1051.0</v>
      </c>
      <c r="B4923" s="14" t="s">
        <v>90</v>
      </c>
      <c r="C4923" s="14" t="s">
        <v>14</v>
      </c>
      <c r="D4923" s="20" t="s">
        <v>22</v>
      </c>
      <c r="E4923" s="12" t="str">
        <f>IFERROR(__xludf.DUMMYFUNCTION("FILTER(colegios!$B$2:$B5618,colegios!$A$2:$A5618=L4923)"),"50547")</f>
        <v>50547</v>
      </c>
      <c r="F4923" s="14" t="s">
        <v>16</v>
      </c>
      <c r="G4923" s="20" t="s">
        <v>21</v>
      </c>
      <c r="H4923" s="14" t="s">
        <v>18</v>
      </c>
      <c r="I4923" s="22">
        <v>2022.0</v>
      </c>
      <c r="J4923" s="16" t="str">
        <f>IFERROR(__xludf.DUMMYFUNCTION("FILTER('CLASFICACIÓN'!$F$3:$F5618,'CLASFICACIÓN'!$G$3:$G5618=M4923)"),"LOS 3 AÑOS")</f>
        <v>LOS 3 AÑOS</v>
      </c>
      <c r="K4923" s="16"/>
      <c r="L4923" s="14" t="s">
        <v>177</v>
      </c>
      <c r="M4923" s="16" t="str">
        <f t="shared" si="1"/>
        <v>505476 Primaria</v>
      </c>
      <c r="N4923" s="23"/>
      <c r="O4923" s="17"/>
      <c r="P4923" s="17"/>
      <c r="Q4923" s="17"/>
      <c r="R4923" s="17"/>
      <c r="S4923" s="17"/>
      <c r="T4923" s="17"/>
    </row>
    <row r="4924">
      <c r="A4924" s="21">
        <v>1052.0</v>
      </c>
      <c r="B4924" s="14" t="s">
        <v>90</v>
      </c>
      <c r="C4924" s="14" t="s">
        <v>14</v>
      </c>
      <c r="D4924" s="20" t="s">
        <v>22</v>
      </c>
      <c r="E4924" s="12" t="str">
        <f>IFERROR(__xludf.DUMMYFUNCTION("FILTER(colegios!$B$2:$B5618,colegios!$A$2:$A5618=L4924)"),"50547")</f>
        <v>50547</v>
      </c>
      <c r="F4924" s="14" t="s">
        <v>16</v>
      </c>
      <c r="G4924" s="20" t="s">
        <v>17</v>
      </c>
      <c r="H4924" s="14" t="s">
        <v>18</v>
      </c>
      <c r="I4924" s="22">
        <v>2022.0</v>
      </c>
      <c r="J4924" s="16" t="str">
        <f>IFERROR(__xludf.DUMMYFUNCTION("FILTER('CLASFICACIÓN'!$F$3:$F5618,'CLASFICACIÓN'!$G$3:$G5618=M4924)"),"LOS 3 AÑOS")</f>
        <v>LOS 3 AÑOS</v>
      </c>
      <c r="K4924" s="16"/>
      <c r="L4924" s="14" t="s">
        <v>177</v>
      </c>
      <c r="M4924" s="16" t="str">
        <f t="shared" si="1"/>
        <v>505476 Primaria</v>
      </c>
      <c r="N4924" s="23"/>
      <c r="O4924" s="17"/>
      <c r="P4924" s="17"/>
      <c r="Q4924" s="17"/>
      <c r="R4924" s="17"/>
      <c r="S4924" s="17"/>
      <c r="T4924" s="17"/>
    </row>
    <row r="4925">
      <c r="A4925" s="21">
        <v>1053.0</v>
      </c>
      <c r="B4925" s="14" t="s">
        <v>90</v>
      </c>
      <c r="C4925" s="14" t="s">
        <v>14</v>
      </c>
      <c r="D4925" s="20" t="s">
        <v>22</v>
      </c>
      <c r="E4925" s="12" t="str">
        <f>IFERROR(__xludf.DUMMYFUNCTION("FILTER(colegios!$B$2:$B5618,colegios!$A$2:$A5618=L4925)"),"50547")</f>
        <v>50547</v>
      </c>
      <c r="F4925" s="14" t="s">
        <v>16</v>
      </c>
      <c r="G4925" s="20" t="s">
        <v>21</v>
      </c>
      <c r="H4925" s="14" t="s">
        <v>18</v>
      </c>
      <c r="I4925" s="22">
        <v>2022.0</v>
      </c>
      <c r="J4925" s="16" t="str">
        <f>IFERROR(__xludf.DUMMYFUNCTION("FILTER('CLASFICACIÓN'!$F$3:$F5618,'CLASFICACIÓN'!$G$3:$G5618=M4925)"),"LOS 3 AÑOS")</f>
        <v>LOS 3 AÑOS</v>
      </c>
      <c r="K4925" s="16"/>
      <c r="L4925" s="14" t="s">
        <v>177</v>
      </c>
      <c r="M4925" s="16" t="str">
        <f t="shared" si="1"/>
        <v>505476 Primaria</v>
      </c>
      <c r="N4925" s="23"/>
      <c r="O4925" s="17"/>
      <c r="P4925" s="17"/>
      <c r="Q4925" s="17"/>
      <c r="R4925" s="17"/>
      <c r="S4925" s="17"/>
      <c r="T4925" s="17"/>
    </row>
    <row r="4926">
      <c r="A4926" s="21">
        <v>1054.0</v>
      </c>
      <c r="B4926" s="14" t="s">
        <v>90</v>
      </c>
      <c r="C4926" s="14" t="s">
        <v>14</v>
      </c>
      <c r="D4926" s="20" t="s">
        <v>22</v>
      </c>
      <c r="E4926" s="12" t="str">
        <f>IFERROR(__xludf.DUMMYFUNCTION("FILTER(colegios!$B$2:$B5618,colegios!$A$2:$A5618=L4926)"),"50547")</f>
        <v>50547</v>
      </c>
      <c r="F4926" s="14" t="s">
        <v>16</v>
      </c>
      <c r="G4926" s="20" t="s">
        <v>21</v>
      </c>
      <c r="H4926" s="14" t="s">
        <v>18</v>
      </c>
      <c r="I4926" s="22">
        <v>2022.0</v>
      </c>
      <c r="J4926" s="16" t="str">
        <f>IFERROR(__xludf.DUMMYFUNCTION("FILTER('CLASFICACIÓN'!$F$3:$F5618,'CLASFICACIÓN'!$G$3:$G5618=M4926)"),"LOS 3 AÑOS")</f>
        <v>LOS 3 AÑOS</v>
      </c>
      <c r="K4926" s="16"/>
      <c r="L4926" s="14" t="s">
        <v>177</v>
      </c>
      <c r="M4926" s="16" t="str">
        <f t="shared" si="1"/>
        <v>505476 Primaria</v>
      </c>
      <c r="N4926" s="23"/>
      <c r="O4926" s="17"/>
      <c r="P4926" s="17"/>
      <c r="Q4926" s="17"/>
      <c r="R4926" s="17"/>
      <c r="S4926" s="17"/>
      <c r="T4926" s="17"/>
    </row>
    <row r="4927">
      <c r="A4927" s="21">
        <v>1055.0</v>
      </c>
      <c r="B4927" s="14" t="s">
        <v>90</v>
      </c>
      <c r="C4927" s="14" t="s">
        <v>14</v>
      </c>
      <c r="D4927" s="20" t="s">
        <v>22</v>
      </c>
      <c r="E4927" s="12" t="str">
        <f>IFERROR(__xludf.DUMMYFUNCTION("FILTER(colegios!$B$2:$B5618,colegios!$A$2:$A5618=L4927)"),"50547")</f>
        <v>50547</v>
      </c>
      <c r="F4927" s="14" t="s">
        <v>16</v>
      </c>
      <c r="G4927" s="20" t="s">
        <v>17</v>
      </c>
      <c r="H4927" s="14" t="s">
        <v>18</v>
      </c>
      <c r="I4927" s="22">
        <v>2022.0</v>
      </c>
      <c r="J4927" s="16" t="str">
        <f>IFERROR(__xludf.DUMMYFUNCTION("FILTER('CLASFICACIÓN'!$F$3:$F5618,'CLASFICACIÓN'!$G$3:$G5618=M4927)"),"LOS 3 AÑOS")</f>
        <v>LOS 3 AÑOS</v>
      </c>
      <c r="K4927" s="16"/>
      <c r="L4927" s="14" t="s">
        <v>177</v>
      </c>
      <c r="M4927" s="16" t="str">
        <f t="shared" si="1"/>
        <v>505476 Primaria</v>
      </c>
      <c r="N4927" s="23"/>
      <c r="O4927" s="17"/>
      <c r="P4927" s="17"/>
      <c r="Q4927" s="17"/>
      <c r="R4927" s="17"/>
      <c r="S4927" s="17"/>
      <c r="T4927" s="17"/>
    </row>
    <row r="4928">
      <c r="A4928" s="21">
        <v>1056.0</v>
      </c>
      <c r="B4928" s="14" t="s">
        <v>90</v>
      </c>
      <c r="C4928" s="14" t="s">
        <v>14</v>
      </c>
      <c r="D4928" s="20" t="s">
        <v>22</v>
      </c>
      <c r="E4928" s="12" t="str">
        <f>IFERROR(__xludf.DUMMYFUNCTION("FILTER(colegios!$B$2:$B5618,colegios!$A$2:$A5618=L4928)"),"50547")</f>
        <v>50547</v>
      </c>
      <c r="F4928" s="14" t="s">
        <v>16</v>
      </c>
      <c r="G4928" s="20" t="s">
        <v>17</v>
      </c>
      <c r="H4928" s="14" t="s">
        <v>18</v>
      </c>
      <c r="I4928" s="22">
        <v>2022.0</v>
      </c>
      <c r="J4928" s="16" t="str">
        <f>IFERROR(__xludf.DUMMYFUNCTION("FILTER('CLASFICACIÓN'!$F$3:$F5618,'CLASFICACIÓN'!$G$3:$G5618=M4928)"),"LOS 3 AÑOS")</f>
        <v>LOS 3 AÑOS</v>
      </c>
      <c r="K4928" s="16"/>
      <c r="L4928" s="14" t="s">
        <v>177</v>
      </c>
      <c r="M4928" s="16" t="str">
        <f t="shared" si="1"/>
        <v>505476 Primaria</v>
      </c>
      <c r="N4928" s="23"/>
      <c r="O4928" s="17"/>
      <c r="P4928" s="17"/>
      <c r="Q4928" s="17"/>
      <c r="R4928" s="17"/>
      <c r="S4928" s="17"/>
      <c r="T4928" s="17"/>
    </row>
    <row r="4929">
      <c r="A4929" s="21">
        <v>1057.0</v>
      </c>
      <c r="B4929" s="14" t="s">
        <v>90</v>
      </c>
      <c r="C4929" s="14" t="s">
        <v>14</v>
      </c>
      <c r="D4929" s="20" t="s">
        <v>22</v>
      </c>
      <c r="E4929" s="12" t="str">
        <f>IFERROR(__xludf.DUMMYFUNCTION("FILTER(colegios!$B$2:$B5618,colegios!$A$2:$A5618=L4929)"),"50547")</f>
        <v>50547</v>
      </c>
      <c r="F4929" s="14" t="s">
        <v>16</v>
      </c>
      <c r="G4929" s="20" t="s">
        <v>21</v>
      </c>
      <c r="H4929" s="14" t="s">
        <v>18</v>
      </c>
      <c r="I4929" s="22">
        <v>2022.0</v>
      </c>
      <c r="J4929" s="16" t="str">
        <f>IFERROR(__xludf.DUMMYFUNCTION("FILTER('CLASFICACIÓN'!$F$3:$F5618,'CLASFICACIÓN'!$G$3:$G5618=M4929)"),"LOS 3 AÑOS")</f>
        <v>LOS 3 AÑOS</v>
      </c>
      <c r="K4929" s="16"/>
      <c r="L4929" s="14" t="s">
        <v>177</v>
      </c>
      <c r="M4929" s="16" t="str">
        <f t="shared" si="1"/>
        <v>505476 Primaria</v>
      </c>
      <c r="N4929" s="23"/>
      <c r="O4929" s="17"/>
      <c r="P4929" s="17"/>
      <c r="Q4929" s="17"/>
      <c r="R4929" s="17"/>
      <c r="S4929" s="17"/>
      <c r="T4929" s="17"/>
    </row>
    <row r="4930">
      <c r="A4930" s="21">
        <v>1058.0</v>
      </c>
      <c r="B4930" s="14" t="s">
        <v>90</v>
      </c>
      <c r="C4930" s="14" t="s">
        <v>14</v>
      </c>
      <c r="D4930" s="20" t="s">
        <v>22</v>
      </c>
      <c r="E4930" s="12" t="str">
        <f>IFERROR(__xludf.DUMMYFUNCTION("FILTER(colegios!$B$2:$B5618,colegios!$A$2:$A5618=L4930)"),"50547")</f>
        <v>50547</v>
      </c>
      <c r="F4930" s="14" t="s">
        <v>16</v>
      </c>
      <c r="G4930" s="20" t="s">
        <v>17</v>
      </c>
      <c r="H4930" s="14" t="s">
        <v>18</v>
      </c>
      <c r="I4930" s="22">
        <v>2022.0</v>
      </c>
      <c r="J4930" s="16" t="str">
        <f>IFERROR(__xludf.DUMMYFUNCTION("FILTER('CLASFICACIÓN'!$F$3:$F5618,'CLASFICACIÓN'!$G$3:$G5618=M4930)"),"LOS 3 AÑOS")</f>
        <v>LOS 3 AÑOS</v>
      </c>
      <c r="K4930" s="16"/>
      <c r="L4930" s="14" t="s">
        <v>177</v>
      </c>
      <c r="M4930" s="16" t="str">
        <f t="shared" si="1"/>
        <v>505476 Primaria</v>
      </c>
      <c r="N4930" s="23"/>
      <c r="O4930" s="17"/>
      <c r="P4930" s="17"/>
      <c r="Q4930" s="17"/>
      <c r="R4930" s="17"/>
      <c r="S4930" s="17"/>
      <c r="T4930" s="17"/>
    </row>
    <row r="4931">
      <c r="A4931" s="21">
        <v>1059.0</v>
      </c>
      <c r="B4931" s="14" t="s">
        <v>90</v>
      </c>
      <c r="C4931" s="14" t="s">
        <v>14</v>
      </c>
      <c r="D4931" s="20" t="s">
        <v>22</v>
      </c>
      <c r="E4931" s="12" t="str">
        <f>IFERROR(__xludf.DUMMYFUNCTION("FILTER(colegios!$B$2:$B5618,colegios!$A$2:$A5618=L4931)"),"50547")</f>
        <v>50547</v>
      </c>
      <c r="F4931" s="14" t="s">
        <v>16</v>
      </c>
      <c r="G4931" s="20" t="s">
        <v>21</v>
      </c>
      <c r="H4931" s="14" t="s">
        <v>18</v>
      </c>
      <c r="I4931" s="22">
        <v>2022.0</v>
      </c>
      <c r="J4931" s="16" t="str">
        <f>IFERROR(__xludf.DUMMYFUNCTION("FILTER('CLASFICACIÓN'!$F$3:$F5618,'CLASFICACIÓN'!$G$3:$G5618=M4931)"),"LOS 3 AÑOS")</f>
        <v>LOS 3 AÑOS</v>
      </c>
      <c r="K4931" s="16"/>
      <c r="L4931" s="14" t="s">
        <v>177</v>
      </c>
      <c r="M4931" s="16" t="str">
        <f t="shared" si="1"/>
        <v>505476 Primaria</v>
      </c>
      <c r="N4931" s="23"/>
      <c r="O4931" s="17"/>
      <c r="P4931" s="17"/>
      <c r="Q4931" s="17"/>
      <c r="R4931" s="17"/>
      <c r="S4931" s="17"/>
      <c r="T4931" s="17"/>
    </row>
    <row r="4932">
      <c r="A4932" s="21">
        <v>1060.0</v>
      </c>
      <c r="B4932" s="14" t="s">
        <v>90</v>
      </c>
      <c r="C4932" s="14" t="s">
        <v>14</v>
      </c>
      <c r="D4932" s="20" t="s">
        <v>22</v>
      </c>
      <c r="E4932" s="12" t="str">
        <f>IFERROR(__xludf.DUMMYFUNCTION("FILTER(colegios!$B$2:$B5618,colegios!$A$2:$A5618=L4932)"),"50547")</f>
        <v>50547</v>
      </c>
      <c r="F4932" s="14" t="s">
        <v>16</v>
      </c>
      <c r="G4932" s="20" t="s">
        <v>17</v>
      </c>
      <c r="H4932" s="14" t="s">
        <v>18</v>
      </c>
      <c r="I4932" s="22">
        <v>2022.0</v>
      </c>
      <c r="J4932" s="16" t="str">
        <f>IFERROR(__xludf.DUMMYFUNCTION("FILTER('CLASFICACIÓN'!$F$3:$F5618,'CLASFICACIÓN'!$G$3:$G5618=M4932)"),"LOS 3 AÑOS")</f>
        <v>LOS 3 AÑOS</v>
      </c>
      <c r="K4932" s="16"/>
      <c r="L4932" s="14" t="s">
        <v>177</v>
      </c>
      <c r="M4932" s="16" t="str">
        <f t="shared" si="1"/>
        <v>505476 Primaria</v>
      </c>
      <c r="N4932" s="23"/>
      <c r="O4932" s="17"/>
      <c r="P4932" s="17"/>
      <c r="Q4932" s="17"/>
      <c r="R4932" s="17"/>
      <c r="S4932" s="17"/>
      <c r="T4932" s="17"/>
    </row>
    <row r="4933">
      <c r="A4933" s="21">
        <v>1061.0</v>
      </c>
      <c r="B4933" s="14" t="s">
        <v>90</v>
      </c>
      <c r="C4933" s="14" t="s">
        <v>14</v>
      </c>
      <c r="D4933" s="20" t="s">
        <v>22</v>
      </c>
      <c r="E4933" s="12" t="str">
        <f>IFERROR(__xludf.DUMMYFUNCTION("FILTER(colegios!$B$2:$B5618,colegios!$A$2:$A5618=L4933)"),"50547")</f>
        <v>50547</v>
      </c>
      <c r="F4933" s="14" t="s">
        <v>16</v>
      </c>
      <c r="G4933" s="20" t="s">
        <v>21</v>
      </c>
      <c r="H4933" s="14" t="s">
        <v>18</v>
      </c>
      <c r="I4933" s="22">
        <v>2022.0</v>
      </c>
      <c r="J4933" s="16" t="str">
        <f>IFERROR(__xludf.DUMMYFUNCTION("FILTER('CLASFICACIÓN'!$F$3:$F5618,'CLASFICACIÓN'!$G$3:$G5618=M4933)"),"LOS 3 AÑOS")</f>
        <v>LOS 3 AÑOS</v>
      </c>
      <c r="K4933" s="16"/>
      <c r="L4933" s="14" t="s">
        <v>177</v>
      </c>
      <c r="M4933" s="16" t="str">
        <f t="shared" si="1"/>
        <v>505476 Primaria</v>
      </c>
      <c r="N4933" s="23"/>
      <c r="O4933" s="17"/>
      <c r="P4933" s="17"/>
      <c r="Q4933" s="17"/>
      <c r="R4933" s="17"/>
      <c r="S4933" s="17"/>
      <c r="T4933" s="17"/>
    </row>
    <row r="4934">
      <c r="A4934" s="21">
        <v>1062.0</v>
      </c>
      <c r="B4934" s="14" t="s">
        <v>90</v>
      </c>
      <c r="C4934" s="14" t="s">
        <v>14</v>
      </c>
      <c r="D4934" s="20" t="s">
        <v>22</v>
      </c>
      <c r="E4934" s="12" t="str">
        <f>IFERROR(__xludf.DUMMYFUNCTION("FILTER(colegios!$B$2:$B5618,colegios!$A$2:$A5618=L4934)"),"50547")</f>
        <v>50547</v>
      </c>
      <c r="F4934" s="14" t="s">
        <v>16</v>
      </c>
      <c r="G4934" s="20" t="s">
        <v>21</v>
      </c>
      <c r="H4934" s="14" t="s">
        <v>18</v>
      </c>
      <c r="I4934" s="22">
        <v>2022.0</v>
      </c>
      <c r="J4934" s="16" t="str">
        <f>IFERROR(__xludf.DUMMYFUNCTION("FILTER('CLASFICACIÓN'!$F$3:$F5618,'CLASFICACIÓN'!$G$3:$G5618=M4934)"),"LOS 3 AÑOS")</f>
        <v>LOS 3 AÑOS</v>
      </c>
      <c r="K4934" s="16"/>
      <c r="L4934" s="14" t="s">
        <v>177</v>
      </c>
      <c r="M4934" s="16" t="str">
        <f t="shared" si="1"/>
        <v>505476 Primaria</v>
      </c>
      <c r="N4934" s="23"/>
      <c r="O4934" s="17"/>
      <c r="P4934" s="17"/>
      <c r="Q4934" s="17"/>
      <c r="R4934" s="17"/>
      <c r="S4934" s="17"/>
      <c r="T4934" s="17"/>
    </row>
    <row r="4935">
      <c r="A4935" s="21">
        <v>1063.0</v>
      </c>
      <c r="B4935" s="14" t="s">
        <v>90</v>
      </c>
      <c r="C4935" s="14" t="s">
        <v>14</v>
      </c>
      <c r="D4935" s="20" t="s">
        <v>22</v>
      </c>
      <c r="E4935" s="12" t="str">
        <f>IFERROR(__xludf.DUMMYFUNCTION("FILTER(colegios!$B$2:$B5618,colegios!$A$2:$A5618=L4935)"),"50547")</f>
        <v>50547</v>
      </c>
      <c r="F4935" s="14" t="s">
        <v>16</v>
      </c>
      <c r="G4935" s="20" t="s">
        <v>21</v>
      </c>
      <c r="H4935" s="14" t="s">
        <v>24</v>
      </c>
      <c r="I4935" s="22">
        <v>2022.0</v>
      </c>
      <c r="J4935" s="16" t="str">
        <f>IFERROR(__xludf.DUMMYFUNCTION("FILTER('CLASFICACIÓN'!$F$3:$F5618,'CLASFICACIÓN'!$G$3:$G5618=M4935)"),"LOS 3 AÑOS")</f>
        <v>LOS 3 AÑOS</v>
      </c>
      <c r="K4935" s="16"/>
      <c r="L4935" s="14" t="s">
        <v>177</v>
      </c>
      <c r="M4935" s="16" t="str">
        <f t="shared" si="1"/>
        <v>505476 Primaria</v>
      </c>
      <c r="N4935" s="23"/>
      <c r="O4935" s="17"/>
      <c r="P4935" s="17"/>
      <c r="Q4935" s="17"/>
      <c r="R4935" s="17"/>
      <c r="S4935" s="17"/>
      <c r="T4935" s="17"/>
    </row>
    <row r="4936">
      <c r="A4936" s="21">
        <v>1064.0</v>
      </c>
      <c r="B4936" s="14" t="s">
        <v>90</v>
      </c>
      <c r="C4936" s="14" t="s">
        <v>14</v>
      </c>
      <c r="D4936" s="20" t="s">
        <v>22</v>
      </c>
      <c r="E4936" s="12" t="str">
        <f>IFERROR(__xludf.DUMMYFUNCTION("FILTER(colegios!$B$2:$B5618,colegios!$A$2:$A5618=L4936)"),"50547")</f>
        <v>50547</v>
      </c>
      <c r="F4936" s="14" t="s">
        <v>16</v>
      </c>
      <c r="G4936" s="20" t="s">
        <v>21</v>
      </c>
      <c r="H4936" s="14" t="s">
        <v>24</v>
      </c>
      <c r="I4936" s="22">
        <v>2022.0</v>
      </c>
      <c r="J4936" s="16" t="str">
        <f>IFERROR(__xludf.DUMMYFUNCTION("FILTER('CLASFICACIÓN'!$F$3:$F5618,'CLASFICACIÓN'!$G$3:$G5618=M4936)"),"LOS 3 AÑOS")</f>
        <v>LOS 3 AÑOS</v>
      </c>
      <c r="K4936" s="16"/>
      <c r="L4936" s="14" t="s">
        <v>177</v>
      </c>
      <c r="M4936" s="16" t="str">
        <f t="shared" si="1"/>
        <v>505476 Primaria</v>
      </c>
      <c r="N4936" s="23"/>
      <c r="O4936" s="17"/>
      <c r="P4936" s="17"/>
      <c r="Q4936" s="17"/>
      <c r="R4936" s="17"/>
      <c r="S4936" s="17"/>
      <c r="T4936" s="17"/>
    </row>
    <row r="4937">
      <c r="A4937" s="21">
        <v>1065.0</v>
      </c>
      <c r="B4937" s="14" t="s">
        <v>90</v>
      </c>
      <c r="C4937" s="14" t="s">
        <v>14</v>
      </c>
      <c r="D4937" s="20" t="s">
        <v>22</v>
      </c>
      <c r="E4937" s="12" t="str">
        <f>IFERROR(__xludf.DUMMYFUNCTION("FILTER(colegios!$B$2:$B5618,colegios!$A$2:$A5618=L4937)"),"50977")</f>
        <v>50977</v>
      </c>
      <c r="F4937" s="14" t="s">
        <v>16</v>
      </c>
      <c r="G4937" s="20" t="s">
        <v>17</v>
      </c>
      <c r="H4937" s="14" t="s">
        <v>18</v>
      </c>
      <c r="I4937" s="22">
        <v>2022.0</v>
      </c>
      <c r="J4937" s="16" t="str">
        <f>IFERROR(__xludf.DUMMYFUNCTION("FILTER('CLASFICACIÓN'!$F$3:$F5618,'CLASFICACIÓN'!$G$3:$G5618=M4937)"),"LOS 3 AÑOS")</f>
        <v>LOS 3 AÑOS</v>
      </c>
      <c r="K4937" s="16"/>
      <c r="L4937" s="14" t="s">
        <v>178</v>
      </c>
      <c r="M4937" s="16" t="str">
        <f t="shared" si="1"/>
        <v>509776 Primaria</v>
      </c>
      <c r="N4937" s="23"/>
      <c r="O4937" s="17"/>
      <c r="P4937" s="17"/>
      <c r="Q4937" s="17"/>
      <c r="R4937" s="17"/>
      <c r="S4937" s="17"/>
      <c r="T4937" s="17"/>
    </row>
    <row r="4938">
      <c r="A4938" s="21">
        <v>1066.0</v>
      </c>
      <c r="B4938" s="14" t="s">
        <v>90</v>
      </c>
      <c r="C4938" s="14" t="s">
        <v>14</v>
      </c>
      <c r="D4938" s="20" t="s">
        <v>22</v>
      </c>
      <c r="E4938" s="12" t="str">
        <f>IFERROR(__xludf.DUMMYFUNCTION("FILTER(colegios!$B$2:$B5618,colegios!$A$2:$A5618=L4938)"),"50977")</f>
        <v>50977</v>
      </c>
      <c r="F4938" s="14" t="s">
        <v>16</v>
      </c>
      <c r="G4938" s="20" t="s">
        <v>17</v>
      </c>
      <c r="H4938" s="14" t="s">
        <v>18</v>
      </c>
      <c r="I4938" s="22">
        <v>2022.0</v>
      </c>
      <c r="J4938" s="16" t="str">
        <f>IFERROR(__xludf.DUMMYFUNCTION("FILTER('CLASFICACIÓN'!$F$3:$F5618,'CLASFICACIÓN'!$G$3:$G5618=M4938)"),"LOS 3 AÑOS")</f>
        <v>LOS 3 AÑOS</v>
      </c>
      <c r="K4938" s="16"/>
      <c r="L4938" s="14" t="s">
        <v>178</v>
      </c>
      <c r="M4938" s="16" t="str">
        <f t="shared" si="1"/>
        <v>509776 Primaria</v>
      </c>
      <c r="N4938" s="23"/>
      <c r="O4938" s="17"/>
      <c r="P4938" s="17"/>
      <c r="Q4938" s="17"/>
      <c r="R4938" s="17"/>
      <c r="S4938" s="17"/>
      <c r="T4938" s="17"/>
    </row>
    <row r="4939">
      <c r="A4939" s="21">
        <v>1067.0</v>
      </c>
      <c r="B4939" s="14" t="s">
        <v>90</v>
      </c>
      <c r="C4939" s="14" t="s">
        <v>14</v>
      </c>
      <c r="D4939" s="20" t="s">
        <v>22</v>
      </c>
      <c r="E4939" s="12" t="str">
        <f>IFERROR(__xludf.DUMMYFUNCTION("FILTER(colegios!$B$2:$B5618,colegios!$A$2:$A5618=L4939)"),"50977")</f>
        <v>50977</v>
      </c>
      <c r="F4939" s="14" t="s">
        <v>16</v>
      </c>
      <c r="G4939" s="20" t="s">
        <v>21</v>
      </c>
      <c r="H4939" s="14" t="s">
        <v>18</v>
      </c>
      <c r="I4939" s="22">
        <v>2022.0</v>
      </c>
      <c r="J4939" s="16" t="str">
        <f>IFERROR(__xludf.DUMMYFUNCTION("FILTER('CLASFICACIÓN'!$F$3:$F5618,'CLASFICACIÓN'!$G$3:$G5618=M4939)"),"LOS 3 AÑOS")</f>
        <v>LOS 3 AÑOS</v>
      </c>
      <c r="K4939" s="16"/>
      <c r="L4939" s="14" t="s">
        <v>178</v>
      </c>
      <c r="M4939" s="16" t="str">
        <f t="shared" si="1"/>
        <v>509776 Primaria</v>
      </c>
      <c r="N4939" s="23"/>
      <c r="O4939" s="17"/>
      <c r="P4939" s="17"/>
      <c r="Q4939" s="17"/>
      <c r="R4939" s="17"/>
      <c r="S4939" s="17"/>
      <c r="T4939" s="17"/>
    </row>
    <row r="4940">
      <c r="A4940" s="21">
        <v>1068.0</v>
      </c>
      <c r="B4940" s="14" t="s">
        <v>90</v>
      </c>
      <c r="C4940" s="14" t="s">
        <v>14</v>
      </c>
      <c r="D4940" s="20" t="s">
        <v>22</v>
      </c>
      <c r="E4940" s="12" t="str">
        <f>IFERROR(__xludf.DUMMYFUNCTION("FILTER(colegios!$B$2:$B5618,colegios!$A$2:$A5618=L4940)"),"50977")</f>
        <v>50977</v>
      </c>
      <c r="F4940" s="14" t="s">
        <v>16</v>
      </c>
      <c r="G4940" s="20" t="s">
        <v>17</v>
      </c>
      <c r="H4940" s="14" t="s">
        <v>18</v>
      </c>
      <c r="I4940" s="22">
        <v>2022.0</v>
      </c>
      <c r="J4940" s="16" t="str">
        <f>IFERROR(__xludf.DUMMYFUNCTION("FILTER('CLASFICACIÓN'!$F$3:$F5618,'CLASFICACIÓN'!$G$3:$G5618=M4940)"),"LOS 3 AÑOS")</f>
        <v>LOS 3 AÑOS</v>
      </c>
      <c r="K4940" s="16"/>
      <c r="L4940" s="14" t="s">
        <v>178</v>
      </c>
      <c r="M4940" s="16" t="str">
        <f t="shared" si="1"/>
        <v>509776 Primaria</v>
      </c>
      <c r="N4940" s="23"/>
      <c r="O4940" s="17"/>
      <c r="P4940" s="17"/>
      <c r="Q4940" s="17"/>
      <c r="R4940" s="17"/>
      <c r="S4940" s="17"/>
      <c r="T4940" s="17"/>
    </row>
    <row r="4941">
      <c r="A4941" s="21">
        <v>1069.0</v>
      </c>
      <c r="B4941" s="14" t="s">
        <v>90</v>
      </c>
      <c r="C4941" s="14" t="s">
        <v>14</v>
      </c>
      <c r="D4941" s="20" t="s">
        <v>22</v>
      </c>
      <c r="E4941" s="12" t="str">
        <f>IFERROR(__xludf.DUMMYFUNCTION("FILTER(colegios!$B$2:$B5618,colegios!$A$2:$A5618=L4941)"),"50977")</f>
        <v>50977</v>
      </c>
      <c r="F4941" s="14" t="s">
        <v>16</v>
      </c>
      <c r="G4941" s="20" t="s">
        <v>21</v>
      </c>
      <c r="H4941" s="14" t="s">
        <v>18</v>
      </c>
      <c r="I4941" s="22">
        <v>2022.0</v>
      </c>
      <c r="J4941" s="16" t="str">
        <f>IFERROR(__xludf.DUMMYFUNCTION("FILTER('CLASFICACIÓN'!$F$3:$F5618,'CLASFICACIÓN'!$G$3:$G5618=M4941)"),"LOS 3 AÑOS")</f>
        <v>LOS 3 AÑOS</v>
      </c>
      <c r="K4941" s="16"/>
      <c r="L4941" s="14" t="s">
        <v>178</v>
      </c>
      <c r="M4941" s="16" t="str">
        <f t="shared" si="1"/>
        <v>509776 Primaria</v>
      </c>
      <c r="N4941" s="23"/>
      <c r="O4941" s="17"/>
      <c r="P4941" s="17"/>
      <c r="Q4941" s="17"/>
      <c r="R4941" s="17"/>
      <c r="S4941" s="17"/>
      <c r="T4941" s="17"/>
    </row>
    <row r="4942">
      <c r="A4942" s="21">
        <v>1070.0</v>
      </c>
      <c r="B4942" s="14" t="s">
        <v>90</v>
      </c>
      <c r="C4942" s="14" t="s">
        <v>14</v>
      </c>
      <c r="D4942" s="20" t="s">
        <v>22</v>
      </c>
      <c r="E4942" s="12" t="str">
        <f>IFERROR(__xludf.DUMMYFUNCTION("FILTER(colegios!$B$2:$B5618,colegios!$A$2:$A5618=L4942)"),"50977")</f>
        <v>50977</v>
      </c>
      <c r="F4942" s="14" t="s">
        <v>16</v>
      </c>
      <c r="G4942" s="20" t="s">
        <v>21</v>
      </c>
      <c r="H4942" s="14" t="s">
        <v>18</v>
      </c>
      <c r="I4942" s="22">
        <v>2022.0</v>
      </c>
      <c r="J4942" s="16" t="str">
        <f>IFERROR(__xludf.DUMMYFUNCTION("FILTER('CLASFICACIÓN'!$F$3:$F5618,'CLASFICACIÓN'!$G$3:$G5618=M4942)"),"LOS 3 AÑOS")</f>
        <v>LOS 3 AÑOS</v>
      </c>
      <c r="K4942" s="16"/>
      <c r="L4942" s="14" t="s">
        <v>178</v>
      </c>
      <c r="M4942" s="16" t="str">
        <f t="shared" si="1"/>
        <v>509776 Primaria</v>
      </c>
      <c r="N4942" s="23"/>
      <c r="O4942" s="17"/>
      <c r="P4942" s="17"/>
      <c r="Q4942" s="17"/>
      <c r="R4942" s="17"/>
      <c r="S4942" s="17"/>
      <c r="T4942" s="17"/>
    </row>
    <row r="4943">
      <c r="A4943" s="21">
        <v>1071.0</v>
      </c>
      <c r="B4943" s="14" t="s">
        <v>90</v>
      </c>
      <c r="C4943" s="14" t="s">
        <v>14</v>
      </c>
      <c r="D4943" s="20" t="s">
        <v>22</v>
      </c>
      <c r="E4943" s="12" t="str">
        <f>IFERROR(__xludf.DUMMYFUNCTION("FILTER(colegios!$B$2:$B5618,colegios!$A$2:$A5618=L4943)"),"50977")</f>
        <v>50977</v>
      </c>
      <c r="F4943" s="14" t="s">
        <v>16</v>
      </c>
      <c r="G4943" s="20" t="s">
        <v>17</v>
      </c>
      <c r="H4943" s="14" t="s">
        <v>18</v>
      </c>
      <c r="I4943" s="22">
        <v>2022.0</v>
      </c>
      <c r="J4943" s="16" t="str">
        <f>IFERROR(__xludf.DUMMYFUNCTION("FILTER('CLASFICACIÓN'!$F$3:$F5618,'CLASFICACIÓN'!$G$3:$G5618=M4943)"),"LOS 3 AÑOS")</f>
        <v>LOS 3 AÑOS</v>
      </c>
      <c r="K4943" s="16"/>
      <c r="L4943" s="14" t="s">
        <v>178</v>
      </c>
      <c r="M4943" s="16" t="str">
        <f t="shared" si="1"/>
        <v>509776 Primaria</v>
      </c>
      <c r="N4943" s="23"/>
      <c r="O4943" s="17"/>
      <c r="P4943" s="17"/>
      <c r="Q4943" s="17"/>
      <c r="R4943" s="17"/>
      <c r="S4943" s="17"/>
      <c r="T4943" s="17"/>
    </row>
    <row r="4944">
      <c r="A4944" s="21">
        <v>1072.0</v>
      </c>
      <c r="B4944" s="14" t="s">
        <v>90</v>
      </c>
      <c r="C4944" s="14" t="s">
        <v>14</v>
      </c>
      <c r="D4944" s="20" t="s">
        <v>22</v>
      </c>
      <c r="E4944" s="12" t="str">
        <f>IFERROR(__xludf.DUMMYFUNCTION("FILTER(colegios!$B$2:$B5618,colegios!$A$2:$A5618=L4944)"),"50977")</f>
        <v>50977</v>
      </c>
      <c r="F4944" s="14" t="s">
        <v>16</v>
      </c>
      <c r="G4944" s="20" t="s">
        <v>17</v>
      </c>
      <c r="H4944" s="14" t="s">
        <v>18</v>
      </c>
      <c r="I4944" s="22">
        <v>2022.0</v>
      </c>
      <c r="J4944" s="16" t="str">
        <f>IFERROR(__xludf.DUMMYFUNCTION("FILTER('CLASFICACIÓN'!$F$3:$F5618,'CLASFICACIÓN'!$G$3:$G5618=M4944)"),"LOS 3 AÑOS")</f>
        <v>LOS 3 AÑOS</v>
      </c>
      <c r="K4944" s="16"/>
      <c r="L4944" s="14" t="s">
        <v>178</v>
      </c>
      <c r="M4944" s="16" t="str">
        <f t="shared" si="1"/>
        <v>509776 Primaria</v>
      </c>
      <c r="N4944" s="23"/>
      <c r="O4944" s="17"/>
      <c r="P4944" s="17"/>
      <c r="Q4944" s="17"/>
      <c r="R4944" s="17"/>
      <c r="S4944" s="17"/>
      <c r="T4944" s="17"/>
    </row>
    <row r="4945">
      <c r="A4945" s="21">
        <v>1073.0</v>
      </c>
      <c r="B4945" s="14" t="s">
        <v>90</v>
      </c>
      <c r="C4945" s="14" t="s">
        <v>14</v>
      </c>
      <c r="D4945" s="20" t="s">
        <v>22</v>
      </c>
      <c r="E4945" s="12" t="str">
        <f>IFERROR(__xludf.DUMMYFUNCTION("FILTER(colegios!$B$2:$B5618,colegios!$A$2:$A5618=L4945)"),"50977")</f>
        <v>50977</v>
      </c>
      <c r="F4945" s="14" t="s">
        <v>16</v>
      </c>
      <c r="G4945" s="20" t="s">
        <v>21</v>
      </c>
      <c r="H4945" s="14" t="s">
        <v>18</v>
      </c>
      <c r="I4945" s="22">
        <v>2022.0</v>
      </c>
      <c r="J4945" s="16" t="str">
        <f>IFERROR(__xludf.DUMMYFUNCTION("FILTER('CLASFICACIÓN'!$F$3:$F5618,'CLASFICACIÓN'!$G$3:$G5618=M4945)"),"LOS 3 AÑOS")</f>
        <v>LOS 3 AÑOS</v>
      </c>
      <c r="K4945" s="16"/>
      <c r="L4945" s="14" t="s">
        <v>178</v>
      </c>
      <c r="M4945" s="16" t="str">
        <f t="shared" si="1"/>
        <v>509776 Primaria</v>
      </c>
      <c r="N4945" s="23"/>
      <c r="O4945" s="17"/>
      <c r="P4945" s="17"/>
      <c r="Q4945" s="17"/>
      <c r="R4945" s="17"/>
      <c r="S4945" s="17"/>
      <c r="T4945" s="17"/>
    </row>
    <row r="4946">
      <c r="A4946" s="21">
        <v>1074.0</v>
      </c>
      <c r="B4946" s="14" t="s">
        <v>90</v>
      </c>
      <c r="C4946" s="14" t="s">
        <v>14</v>
      </c>
      <c r="D4946" s="20" t="s">
        <v>22</v>
      </c>
      <c r="E4946" s="12" t="str">
        <f>IFERROR(__xludf.DUMMYFUNCTION("FILTER(colegios!$B$2:$B5618,colegios!$A$2:$A5618=L4946)"),"50977")</f>
        <v>50977</v>
      </c>
      <c r="F4946" s="14" t="s">
        <v>16</v>
      </c>
      <c r="G4946" s="20" t="s">
        <v>17</v>
      </c>
      <c r="H4946" s="14" t="s">
        <v>18</v>
      </c>
      <c r="I4946" s="22">
        <v>2022.0</v>
      </c>
      <c r="J4946" s="16" t="str">
        <f>IFERROR(__xludf.DUMMYFUNCTION("FILTER('CLASFICACIÓN'!$F$3:$F5618,'CLASFICACIÓN'!$G$3:$G5618=M4946)"),"LOS 3 AÑOS")</f>
        <v>LOS 3 AÑOS</v>
      </c>
      <c r="K4946" s="16"/>
      <c r="L4946" s="14" t="s">
        <v>178</v>
      </c>
      <c r="M4946" s="16" t="str">
        <f t="shared" si="1"/>
        <v>509776 Primaria</v>
      </c>
      <c r="N4946" s="23"/>
      <c r="O4946" s="17"/>
      <c r="P4946" s="17"/>
      <c r="Q4946" s="17"/>
      <c r="R4946" s="17"/>
      <c r="S4946" s="17"/>
      <c r="T4946" s="17"/>
    </row>
    <row r="4947">
      <c r="A4947" s="21">
        <v>1075.0</v>
      </c>
      <c r="B4947" s="14" t="s">
        <v>90</v>
      </c>
      <c r="C4947" s="14" t="s">
        <v>14</v>
      </c>
      <c r="D4947" s="20" t="s">
        <v>22</v>
      </c>
      <c r="E4947" s="12" t="str">
        <f>IFERROR(__xludf.DUMMYFUNCTION("FILTER(colegios!$B$2:$B5618,colegios!$A$2:$A5618=L4947)"),"50977")</f>
        <v>50977</v>
      </c>
      <c r="F4947" s="14" t="s">
        <v>16</v>
      </c>
      <c r="G4947" s="20" t="s">
        <v>21</v>
      </c>
      <c r="H4947" s="14" t="s">
        <v>18</v>
      </c>
      <c r="I4947" s="22">
        <v>2022.0</v>
      </c>
      <c r="J4947" s="16" t="str">
        <f>IFERROR(__xludf.DUMMYFUNCTION("FILTER('CLASFICACIÓN'!$F$3:$F5618,'CLASFICACIÓN'!$G$3:$G5618=M4947)"),"LOS 3 AÑOS")</f>
        <v>LOS 3 AÑOS</v>
      </c>
      <c r="K4947" s="16"/>
      <c r="L4947" s="14" t="s">
        <v>178</v>
      </c>
      <c r="M4947" s="16" t="str">
        <f t="shared" si="1"/>
        <v>509776 Primaria</v>
      </c>
      <c r="N4947" s="23"/>
      <c r="O4947" s="17"/>
      <c r="P4947" s="17"/>
      <c r="Q4947" s="17"/>
      <c r="R4947" s="17"/>
      <c r="S4947" s="17"/>
      <c r="T4947" s="17"/>
    </row>
    <row r="4948">
      <c r="A4948" s="21">
        <v>1076.0</v>
      </c>
      <c r="B4948" s="14" t="s">
        <v>90</v>
      </c>
      <c r="C4948" s="14" t="s">
        <v>14</v>
      </c>
      <c r="D4948" s="20" t="s">
        <v>22</v>
      </c>
      <c r="E4948" s="12" t="str">
        <f>IFERROR(__xludf.DUMMYFUNCTION("FILTER(colegios!$B$2:$B5618,colegios!$A$2:$A5618=L4948)"),"50977")</f>
        <v>50977</v>
      </c>
      <c r="F4948" s="14" t="s">
        <v>16</v>
      </c>
      <c r="G4948" s="20" t="s">
        <v>21</v>
      </c>
      <c r="H4948" s="14" t="s">
        <v>18</v>
      </c>
      <c r="I4948" s="22">
        <v>2022.0</v>
      </c>
      <c r="J4948" s="16" t="str">
        <f>IFERROR(__xludf.DUMMYFUNCTION("FILTER('CLASFICACIÓN'!$F$3:$F5618,'CLASFICACIÓN'!$G$3:$G5618=M4948)"),"LOS 3 AÑOS")</f>
        <v>LOS 3 AÑOS</v>
      </c>
      <c r="K4948" s="16"/>
      <c r="L4948" s="14" t="s">
        <v>178</v>
      </c>
      <c r="M4948" s="16" t="str">
        <f t="shared" si="1"/>
        <v>509776 Primaria</v>
      </c>
      <c r="N4948" s="23"/>
      <c r="O4948" s="17"/>
      <c r="P4948" s="17"/>
      <c r="Q4948" s="17"/>
      <c r="R4948" s="17"/>
      <c r="S4948" s="17"/>
      <c r="T4948" s="17"/>
    </row>
    <row r="4949">
      <c r="A4949" s="21">
        <v>1077.0</v>
      </c>
      <c r="B4949" s="14" t="s">
        <v>90</v>
      </c>
      <c r="C4949" s="14" t="s">
        <v>14</v>
      </c>
      <c r="D4949" s="20" t="s">
        <v>22</v>
      </c>
      <c r="E4949" s="12" t="str">
        <f>IFERROR(__xludf.DUMMYFUNCTION("FILTER(colegios!$B$2:$B5618,colegios!$A$2:$A5618=L4949)"),"50977")</f>
        <v>50977</v>
      </c>
      <c r="F4949" s="14" t="s">
        <v>16</v>
      </c>
      <c r="G4949" s="20" t="s">
        <v>17</v>
      </c>
      <c r="H4949" s="14" t="s">
        <v>18</v>
      </c>
      <c r="I4949" s="22">
        <v>2022.0</v>
      </c>
      <c r="J4949" s="16" t="str">
        <f>IFERROR(__xludf.DUMMYFUNCTION("FILTER('CLASFICACIÓN'!$F$3:$F5618,'CLASFICACIÓN'!$G$3:$G5618=M4949)"),"LOS 3 AÑOS")</f>
        <v>LOS 3 AÑOS</v>
      </c>
      <c r="K4949" s="16"/>
      <c r="L4949" s="14" t="s">
        <v>178</v>
      </c>
      <c r="M4949" s="16" t="str">
        <f t="shared" si="1"/>
        <v>509776 Primaria</v>
      </c>
      <c r="N4949" s="23"/>
      <c r="O4949" s="17"/>
      <c r="P4949" s="17"/>
      <c r="Q4949" s="17"/>
      <c r="R4949" s="17"/>
      <c r="S4949" s="17"/>
      <c r="T4949" s="17"/>
    </row>
    <row r="4950">
      <c r="A4950" s="21">
        <v>1078.0</v>
      </c>
      <c r="B4950" s="14" t="s">
        <v>90</v>
      </c>
      <c r="C4950" s="14" t="s">
        <v>14</v>
      </c>
      <c r="D4950" s="20" t="s">
        <v>22</v>
      </c>
      <c r="E4950" s="12" t="str">
        <f>IFERROR(__xludf.DUMMYFUNCTION("FILTER(colegios!$B$2:$B5618,colegios!$A$2:$A5618=L4950)"),"50977")</f>
        <v>50977</v>
      </c>
      <c r="F4950" s="14" t="s">
        <v>16</v>
      </c>
      <c r="G4950" s="20" t="s">
        <v>21</v>
      </c>
      <c r="H4950" s="14" t="s">
        <v>18</v>
      </c>
      <c r="I4950" s="22">
        <v>2022.0</v>
      </c>
      <c r="J4950" s="16" t="str">
        <f>IFERROR(__xludf.DUMMYFUNCTION("FILTER('CLASFICACIÓN'!$F$3:$F5618,'CLASFICACIÓN'!$G$3:$G5618=M4950)"),"LOS 3 AÑOS")</f>
        <v>LOS 3 AÑOS</v>
      </c>
      <c r="K4950" s="16"/>
      <c r="L4950" s="14" t="s">
        <v>178</v>
      </c>
      <c r="M4950" s="16" t="str">
        <f t="shared" si="1"/>
        <v>509776 Primaria</v>
      </c>
      <c r="N4950" s="23"/>
      <c r="O4950" s="17"/>
      <c r="P4950" s="17"/>
      <c r="Q4950" s="17"/>
      <c r="R4950" s="17"/>
      <c r="S4950" s="17"/>
      <c r="T4950" s="17"/>
    </row>
    <row r="4951">
      <c r="A4951" s="21">
        <v>1079.0</v>
      </c>
      <c r="B4951" s="14" t="s">
        <v>90</v>
      </c>
      <c r="C4951" s="14" t="s">
        <v>14</v>
      </c>
      <c r="D4951" s="20" t="s">
        <v>22</v>
      </c>
      <c r="E4951" s="12" t="str">
        <f>IFERROR(__xludf.DUMMYFUNCTION("FILTER(colegios!$B$2:$B5618,colegios!$A$2:$A5618=L4951)"),"50977")</f>
        <v>50977</v>
      </c>
      <c r="F4951" s="14" t="s">
        <v>16</v>
      </c>
      <c r="G4951" s="20" t="s">
        <v>21</v>
      </c>
      <c r="H4951" s="14" t="s">
        <v>18</v>
      </c>
      <c r="I4951" s="22">
        <v>2022.0</v>
      </c>
      <c r="J4951" s="16" t="str">
        <f>IFERROR(__xludf.DUMMYFUNCTION("FILTER('CLASFICACIÓN'!$F$3:$F5618,'CLASFICACIÓN'!$G$3:$G5618=M4951)"),"LOS 3 AÑOS")</f>
        <v>LOS 3 AÑOS</v>
      </c>
      <c r="K4951" s="16"/>
      <c r="L4951" s="14" t="s">
        <v>178</v>
      </c>
      <c r="M4951" s="16" t="str">
        <f t="shared" si="1"/>
        <v>509776 Primaria</v>
      </c>
      <c r="N4951" s="23"/>
      <c r="O4951" s="17"/>
      <c r="P4951" s="17"/>
      <c r="Q4951" s="17"/>
      <c r="R4951" s="17"/>
      <c r="S4951" s="17"/>
      <c r="T4951" s="17"/>
    </row>
    <row r="4952">
      <c r="A4952" s="21">
        <v>1080.0</v>
      </c>
      <c r="B4952" s="14" t="s">
        <v>90</v>
      </c>
      <c r="C4952" s="14" t="s">
        <v>14</v>
      </c>
      <c r="D4952" s="20" t="s">
        <v>22</v>
      </c>
      <c r="E4952" s="12" t="str">
        <f>IFERROR(__xludf.DUMMYFUNCTION("FILTER(colegios!$B$2:$B5618,colegios!$A$2:$A5618=L4952)"),"50977")</f>
        <v>50977</v>
      </c>
      <c r="F4952" s="14" t="s">
        <v>16</v>
      </c>
      <c r="G4952" s="20" t="s">
        <v>21</v>
      </c>
      <c r="H4952" s="14" t="s">
        <v>18</v>
      </c>
      <c r="I4952" s="22">
        <v>2022.0</v>
      </c>
      <c r="J4952" s="16" t="str">
        <f>IFERROR(__xludf.DUMMYFUNCTION("FILTER('CLASFICACIÓN'!$F$3:$F5618,'CLASFICACIÓN'!$G$3:$G5618=M4952)"),"LOS 3 AÑOS")</f>
        <v>LOS 3 AÑOS</v>
      </c>
      <c r="K4952" s="16"/>
      <c r="L4952" s="14" t="s">
        <v>178</v>
      </c>
      <c r="M4952" s="16" t="str">
        <f t="shared" si="1"/>
        <v>509776 Primaria</v>
      </c>
      <c r="N4952" s="23"/>
      <c r="O4952" s="17"/>
      <c r="P4952" s="17"/>
      <c r="Q4952" s="17"/>
      <c r="R4952" s="17"/>
      <c r="S4952" s="17"/>
      <c r="T4952" s="17"/>
    </row>
    <row r="4953">
      <c r="A4953" s="21">
        <v>1081.0</v>
      </c>
      <c r="B4953" s="14" t="s">
        <v>90</v>
      </c>
      <c r="C4953" s="14" t="s">
        <v>14</v>
      </c>
      <c r="D4953" s="20" t="s">
        <v>22</v>
      </c>
      <c r="E4953" s="12" t="str">
        <f>IFERROR(__xludf.DUMMYFUNCTION("FILTER(colegios!$B$2:$B5618,colegios!$A$2:$A5618=L4953)"),"50977")</f>
        <v>50977</v>
      </c>
      <c r="F4953" s="14" t="s">
        <v>16</v>
      </c>
      <c r="G4953" s="20" t="s">
        <v>21</v>
      </c>
      <c r="H4953" s="14" t="s">
        <v>18</v>
      </c>
      <c r="I4953" s="22">
        <v>2022.0</v>
      </c>
      <c r="J4953" s="16" t="str">
        <f>IFERROR(__xludf.DUMMYFUNCTION("FILTER('CLASFICACIÓN'!$F$3:$F5618,'CLASFICACIÓN'!$G$3:$G5618=M4953)"),"LOS 3 AÑOS")</f>
        <v>LOS 3 AÑOS</v>
      </c>
      <c r="K4953" s="16"/>
      <c r="L4953" s="14" t="s">
        <v>178</v>
      </c>
      <c r="M4953" s="16" t="str">
        <f t="shared" si="1"/>
        <v>509776 Primaria</v>
      </c>
      <c r="N4953" s="23"/>
      <c r="O4953" s="17"/>
      <c r="P4953" s="17"/>
      <c r="Q4953" s="17"/>
      <c r="R4953" s="17"/>
      <c r="S4953" s="17"/>
      <c r="T4953" s="17"/>
    </row>
    <row r="4954">
      <c r="A4954" s="21">
        <v>1082.0</v>
      </c>
      <c r="B4954" s="14" t="s">
        <v>90</v>
      </c>
      <c r="C4954" s="14" t="s">
        <v>14</v>
      </c>
      <c r="D4954" s="20" t="s">
        <v>22</v>
      </c>
      <c r="E4954" s="12" t="str">
        <f>IFERROR(__xludf.DUMMYFUNCTION("FILTER(colegios!$B$2:$B5618,colegios!$A$2:$A5618=L4954)"),"50977")</f>
        <v>50977</v>
      </c>
      <c r="F4954" s="14" t="s">
        <v>16</v>
      </c>
      <c r="G4954" s="20" t="s">
        <v>21</v>
      </c>
      <c r="H4954" s="14" t="s">
        <v>18</v>
      </c>
      <c r="I4954" s="22">
        <v>2022.0</v>
      </c>
      <c r="J4954" s="16" t="str">
        <f>IFERROR(__xludf.DUMMYFUNCTION("FILTER('CLASFICACIÓN'!$F$3:$F5618,'CLASFICACIÓN'!$G$3:$G5618=M4954)"),"LOS 3 AÑOS")</f>
        <v>LOS 3 AÑOS</v>
      </c>
      <c r="K4954" s="16"/>
      <c r="L4954" s="14" t="s">
        <v>178</v>
      </c>
      <c r="M4954" s="16" t="str">
        <f t="shared" si="1"/>
        <v>509776 Primaria</v>
      </c>
      <c r="N4954" s="23"/>
      <c r="O4954" s="17"/>
      <c r="P4954" s="17"/>
      <c r="Q4954" s="17"/>
      <c r="R4954" s="17"/>
      <c r="S4954" s="17"/>
      <c r="T4954" s="17"/>
    </row>
    <row r="4955">
      <c r="A4955" s="21">
        <v>1083.0</v>
      </c>
      <c r="B4955" s="14" t="s">
        <v>90</v>
      </c>
      <c r="C4955" s="14" t="s">
        <v>14</v>
      </c>
      <c r="D4955" s="20" t="s">
        <v>22</v>
      </c>
      <c r="E4955" s="12" t="str">
        <f>IFERROR(__xludf.DUMMYFUNCTION("FILTER(colegios!$B$2:$B5618,colegios!$A$2:$A5618=L4955)"),"50977")</f>
        <v>50977</v>
      </c>
      <c r="F4955" s="14" t="s">
        <v>16</v>
      </c>
      <c r="G4955" s="20" t="s">
        <v>21</v>
      </c>
      <c r="H4955" s="14" t="s">
        <v>18</v>
      </c>
      <c r="I4955" s="22">
        <v>2022.0</v>
      </c>
      <c r="J4955" s="16" t="str">
        <f>IFERROR(__xludf.DUMMYFUNCTION("FILTER('CLASFICACIÓN'!$F$3:$F5618,'CLASFICACIÓN'!$G$3:$G5618=M4955)"),"LOS 3 AÑOS")</f>
        <v>LOS 3 AÑOS</v>
      </c>
      <c r="K4955" s="16"/>
      <c r="L4955" s="14" t="s">
        <v>178</v>
      </c>
      <c r="M4955" s="16" t="str">
        <f t="shared" si="1"/>
        <v>509776 Primaria</v>
      </c>
      <c r="N4955" s="23"/>
      <c r="O4955" s="17"/>
      <c r="P4955" s="17"/>
      <c r="Q4955" s="17"/>
      <c r="R4955" s="17"/>
      <c r="S4955" s="17"/>
      <c r="T4955" s="17"/>
    </row>
    <row r="4956">
      <c r="A4956" s="21">
        <v>1084.0</v>
      </c>
      <c r="B4956" s="14" t="s">
        <v>90</v>
      </c>
      <c r="C4956" s="14" t="s">
        <v>14</v>
      </c>
      <c r="D4956" s="20" t="s">
        <v>22</v>
      </c>
      <c r="E4956" s="12" t="str">
        <f>IFERROR(__xludf.DUMMYFUNCTION("FILTER(colegios!$B$2:$B5618,colegios!$A$2:$A5618=L4956)"),"50977")</f>
        <v>50977</v>
      </c>
      <c r="F4956" s="14" t="s">
        <v>16</v>
      </c>
      <c r="G4956" s="20" t="s">
        <v>17</v>
      </c>
      <c r="H4956" s="14" t="s">
        <v>18</v>
      </c>
      <c r="I4956" s="22">
        <v>2022.0</v>
      </c>
      <c r="J4956" s="16" t="str">
        <f>IFERROR(__xludf.DUMMYFUNCTION("FILTER('CLASFICACIÓN'!$F$3:$F5618,'CLASFICACIÓN'!$G$3:$G5618=M4956)"),"LOS 3 AÑOS")</f>
        <v>LOS 3 AÑOS</v>
      </c>
      <c r="K4956" s="16"/>
      <c r="L4956" s="14" t="s">
        <v>178</v>
      </c>
      <c r="M4956" s="16" t="str">
        <f t="shared" si="1"/>
        <v>509776 Primaria</v>
      </c>
      <c r="N4956" s="23"/>
      <c r="O4956" s="17"/>
      <c r="P4956" s="17"/>
      <c r="Q4956" s="17"/>
      <c r="R4956" s="17"/>
      <c r="S4956" s="17"/>
      <c r="T4956" s="17"/>
    </row>
    <row r="4957">
      <c r="A4957" s="21">
        <v>1085.0</v>
      </c>
      <c r="B4957" s="14" t="s">
        <v>90</v>
      </c>
      <c r="C4957" s="14" t="s">
        <v>14</v>
      </c>
      <c r="D4957" s="20" t="s">
        <v>22</v>
      </c>
      <c r="E4957" s="12" t="str">
        <f>IFERROR(__xludf.DUMMYFUNCTION("FILTER(colegios!$B$2:$B5618,colegios!$A$2:$A5618=L4957)"),"50977")</f>
        <v>50977</v>
      </c>
      <c r="F4957" s="14" t="s">
        <v>16</v>
      </c>
      <c r="G4957" s="20" t="s">
        <v>17</v>
      </c>
      <c r="H4957" s="14" t="s">
        <v>18</v>
      </c>
      <c r="I4957" s="22">
        <v>2022.0</v>
      </c>
      <c r="J4957" s="16" t="str">
        <f>IFERROR(__xludf.DUMMYFUNCTION("FILTER('CLASFICACIÓN'!$F$3:$F5618,'CLASFICACIÓN'!$G$3:$G5618=M4957)"),"LOS 3 AÑOS")</f>
        <v>LOS 3 AÑOS</v>
      </c>
      <c r="K4957" s="16"/>
      <c r="L4957" s="14" t="s">
        <v>178</v>
      </c>
      <c r="M4957" s="16" t="str">
        <f t="shared" si="1"/>
        <v>509776 Primaria</v>
      </c>
      <c r="N4957" s="23"/>
      <c r="O4957" s="17"/>
      <c r="P4957" s="17"/>
      <c r="Q4957" s="17"/>
      <c r="R4957" s="17"/>
      <c r="S4957" s="17"/>
      <c r="T4957" s="17"/>
    </row>
    <row r="4958">
      <c r="A4958" s="21">
        <v>1086.0</v>
      </c>
      <c r="B4958" s="14" t="s">
        <v>90</v>
      </c>
      <c r="C4958" s="14" t="s">
        <v>14</v>
      </c>
      <c r="D4958" s="20" t="s">
        <v>22</v>
      </c>
      <c r="E4958" s="12" t="str">
        <f>IFERROR(__xludf.DUMMYFUNCTION("FILTER(colegios!$B$2:$B5618,colegios!$A$2:$A5618=L4958)"),"50977")</f>
        <v>50977</v>
      </c>
      <c r="F4958" s="14" t="s">
        <v>16</v>
      </c>
      <c r="G4958" s="20" t="s">
        <v>17</v>
      </c>
      <c r="H4958" s="14" t="s">
        <v>18</v>
      </c>
      <c r="I4958" s="22">
        <v>2022.0</v>
      </c>
      <c r="J4958" s="16" t="str">
        <f>IFERROR(__xludf.DUMMYFUNCTION("FILTER('CLASFICACIÓN'!$F$3:$F5618,'CLASFICACIÓN'!$G$3:$G5618=M4958)"),"LOS 3 AÑOS")</f>
        <v>LOS 3 AÑOS</v>
      </c>
      <c r="K4958" s="16"/>
      <c r="L4958" s="14" t="s">
        <v>178</v>
      </c>
      <c r="M4958" s="16" t="str">
        <f t="shared" si="1"/>
        <v>509776 Primaria</v>
      </c>
      <c r="N4958" s="23"/>
      <c r="O4958" s="17"/>
      <c r="P4958" s="17"/>
      <c r="Q4958" s="17"/>
      <c r="R4958" s="17"/>
      <c r="S4958" s="17"/>
      <c r="T4958" s="17"/>
    </row>
    <row r="4959">
      <c r="A4959" s="21">
        <v>1087.0</v>
      </c>
      <c r="B4959" s="14" t="s">
        <v>90</v>
      </c>
      <c r="C4959" s="14" t="s">
        <v>14</v>
      </c>
      <c r="D4959" s="20" t="s">
        <v>22</v>
      </c>
      <c r="E4959" s="12" t="str">
        <f>IFERROR(__xludf.DUMMYFUNCTION("FILTER(colegios!$B$2:$B5618,colegios!$A$2:$A5618=L4959)"),"50977")</f>
        <v>50977</v>
      </c>
      <c r="F4959" s="14" t="s">
        <v>16</v>
      </c>
      <c r="G4959" s="20" t="s">
        <v>21</v>
      </c>
      <c r="H4959" s="14" t="s">
        <v>18</v>
      </c>
      <c r="I4959" s="22">
        <v>2022.0</v>
      </c>
      <c r="J4959" s="16" t="str">
        <f>IFERROR(__xludf.DUMMYFUNCTION("FILTER('CLASFICACIÓN'!$F$3:$F5618,'CLASFICACIÓN'!$G$3:$G5618=M4959)"),"LOS 3 AÑOS")</f>
        <v>LOS 3 AÑOS</v>
      </c>
      <c r="K4959" s="16"/>
      <c r="L4959" s="14" t="s">
        <v>178</v>
      </c>
      <c r="M4959" s="16" t="str">
        <f t="shared" si="1"/>
        <v>509776 Primaria</v>
      </c>
      <c r="N4959" s="23"/>
      <c r="O4959" s="17"/>
      <c r="P4959" s="17"/>
      <c r="Q4959" s="17"/>
      <c r="R4959" s="17"/>
      <c r="S4959" s="17"/>
      <c r="T4959" s="17"/>
    </row>
    <row r="4960">
      <c r="A4960" s="21">
        <v>1088.0</v>
      </c>
      <c r="B4960" s="14" t="s">
        <v>90</v>
      </c>
      <c r="C4960" s="14" t="s">
        <v>14</v>
      </c>
      <c r="D4960" s="20" t="s">
        <v>22</v>
      </c>
      <c r="E4960" s="12" t="str">
        <f>IFERROR(__xludf.DUMMYFUNCTION("FILTER(colegios!$B$2:$B5618,colegios!$A$2:$A5618=L4960)"),"50977")</f>
        <v>50977</v>
      </c>
      <c r="F4960" s="14" t="s">
        <v>16</v>
      </c>
      <c r="G4960" s="20" t="s">
        <v>17</v>
      </c>
      <c r="H4960" s="14" t="s">
        <v>18</v>
      </c>
      <c r="I4960" s="22">
        <v>2022.0</v>
      </c>
      <c r="J4960" s="16" t="str">
        <f>IFERROR(__xludf.DUMMYFUNCTION("FILTER('CLASFICACIÓN'!$F$3:$F5618,'CLASFICACIÓN'!$G$3:$G5618=M4960)"),"LOS 3 AÑOS")</f>
        <v>LOS 3 AÑOS</v>
      </c>
      <c r="K4960" s="16"/>
      <c r="L4960" s="14" t="s">
        <v>178</v>
      </c>
      <c r="M4960" s="16" t="str">
        <f t="shared" si="1"/>
        <v>509776 Primaria</v>
      </c>
      <c r="N4960" s="23"/>
      <c r="O4960" s="17"/>
      <c r="P4960" s="17"/>
      <c r="Q4960" s="17"/>
      <c r="R4960" s="17"/>
      <c r="S4960" s="17"/>
      <c r="T4960" s="17"/>
    </row>
    <row r="4961">
      <c r="A4961" s="21">
        <v>1089.0</v>
      </c>
      <c r="B4961" s="14" t="s">
        <v>90</v>
      </c>
      <c r="C4961" s="14" t="s">
        <v>14</v>
      </c>
      <c r="D4961" s="20" t="s">
        <v>22</v>
      </c>
      <c r="E4961" s="12" t="str">
        <f>IFERROR(__xludf.DUMMYFUNCTION("FILTER(colegios!$B$2:$B5618,colegios!$A$2:$A5618=L4961)"),"50977")</f>
        <v>50977</v>
      </c>
      <c r="F4961" s="14" t="s">
        <v>16</v>
      </c>
      <c r="G4961" s="20" t="s">
        <v>17</v>
      </c>
      <c r="H4961" s="14" t="s">
        <v>18</v>
      </c>
      <c r="I4961" s="22">
        <v>2022.0</v>
      </c>
      <c r="J4961" s="16" t="str">
        <f>IFERROR(__xludf.DUMMYFUNCTION("FILTER('CLASFICACIÓN'!$F$3:$F5618,'CLASFICACIÓN'!$G$3:$G5618=M4961)"),"LOS 3 AÑOS")</f>
        <v>LOS 3 AÑOS</v>
      </c>
      <c r="K4961" s="16"/>
      <c r="L4961" s="14" t="s">
        <v>178</v>
      </c>
      <c r="M4961" s="16" t="str">
        <f t="shared" si="1"/>
        <v>509776 Primaria</v>
      </c>
      <c r="N4961" s="23"/>
      <c r="O4961" s="17"/>
      <c r="P4961" s="17"/>
      <c r="Q4961" s="17"/>
      <c r="R4961" s="17"/>
      <c r="S4961" s="17"/>
      <c r="T4961" s="17"/>
    </row>
    <row r="4962">
      <c r="A4962" s="21">
        <v>1090.0</v>
      </c>
      <c r="B4962" s="14" t="s">
        <v>90</v>
      </c>
      <c r="C4962" s="14" t="s">
        <v>14</v>
      </c>
      <c r="D4962" s="20" t="s">
        <v>22</v>
      </c>
      <c r="E4962" s="12" t="str">
        <f>IFERROR(__xludf.DUMMYFUNCTION("FILTER(colegios!$B$2:$B5618,colegios!$A$2:$A5618=L4962)"),"50977")</f>
        <v>50977</v>
      </c>
      <c r="F4962" s="14" t="s">
        <v>16</v>
      </c>
      <c r="G4962" s="20" t="s">
        <v>21</v>
      </c>
      <c r="H4962" s="14" t="s">
        <v>18</v>
      </c>
      <c r="I4962" s="22">
        <v>2022.0</v>
      </c>
      <c r="J4962" s="16" t="str">
        <f>IFERROR(__xludf.DUMMYFUNCTION("FILTER('CLASFICACIÓN'!$F$3:$F5618,'CLASFICACIÓN'!$G$3:$G5618=M4962)"),"LOS 3 AÑOS")</f>
        <v>LOS 3 AÑOS</v>
      </c>
      <c r="K4962" s="16"/>
      <c r="L4962" s="14" t="s">
        <v>178</v>
      </c>
      <c r="M4962" s="16" t="str">
        <f t="shared" si="1"/>
        <v>509776 Primaria</v>
      </c>
      <c r="N4962" s="23"/>
      <c r="O4962" s="17"/>
      <c r="P4962" s="17"/>
      <c r="Q4962" s="17"/>
      <c r="R4962" s="17"/>
      <c r="S4962" s="17"/>
      <c r="T4962" s="17"/>
    </row>
    <row r="4963">
      <c r="A4963" s="21">
        <v>1091.0</v>
      </c>
      <c r="B4963" s="14" t="s">
        <v>90</v>
      </c>
      <c r="C4963" s="14" t="s">
        <v>14</v>
      </c>
      <c r="D4963" s="20" t="s">
        <v>22</v>
      </c>
      <c r="E4963" s="12" t="str">
        <f>IFERROR(__xludf.DUMMYFUNCTION("FILTER(colegios!$B$2:$B5618,colegios!$A$2:$A5618=L4963)"),"50977")</f>
        <v>50977</v>
      </c>
      <c r="F4963" s="14" t="s">
        <v>16</v>
      </c>
      <c r="G4963" s="20" t="s">
        <v>17</v>
      </c>
      <c r="H4963" s="14" t="s">
        <v>18</v>
      </c>
      <c r="I4963" s="22">
        <v>2022.0</v>
      </c>
      <c r="J4963" s="16" t="str">
        <f>IFERROR(__xludf.DUMMYFUNCTION("FILTER('CLASFICACIÓN'!$F$3:$F5618,'CLASFICACIÓN'!$G$3:$G5618=M4963)"),"LOS 3 AÑOS")</f>
        <v>LOS 3 AÑOS</v>
      </c>
      <c r="K4963" s="16"/>
      <c r="L4963" s="14" t="s">
        <v>178</v>
      </c>
      <c r="M4963" s="16" t="str">
        <f t="shared" si="1"/>
        <v>509776 Primaria</v>
      </c>
      <c r="N4963" s="23"/>
      <c r="O4963" s="17"/>
      <c r="P4963" s="17"/>
      <c r="Q4963" s="17"/>
      <c r="R4963" s="17"/>
      <c r="S4963" s="17"/>
      <c r="T4963" s="17"/>
    </row>
    <row r="4964">
      <c r="A4964" s="21">
        <v>1092.0</v>
      </c>
      <c r="B4964" s="14" t="s">
        <v>90</v>
      </c>
      <c r="C4964" s="14" t="s">
        <v>14</v>
      </c>
      <c r="D4964" s="20" t="s">
        <v>22</v>
      </c>
      <c r="E4964" s="12" t="str">
        <f>IFERROR(__xludf.DUMMYFUNCTION("FILTER(colegios!$B$2:$B5618,colegios!$A$2:$A5618=L4964)"),"50977")</f>
        <v>50977</v>
      </c>
      <c r="F4964" s="14" t="s">
        <v>16</v>
      </c>
      <c r="G4964" s="20" t="s">
        <v>21</v>
      </c>
      <c r="H4964" s="14" t="s">
        <v>18</v>
      </c>
      <c r="I4964" s="22">
        <v>2022.0</v>
      </c>
      <c r="J4964" s="16" t="str">
        <f>IFERROR(__xludf.DUMMYFUNCTION("FILTER('CLASFICACIÓN'!$F$3:$F5618,'CLASFICACIÓN'!$G$3:$G5618=M4964)"),"LOS 3 AÑOS")</f>
        <v>LOS 3 AÑOS</v>
      </c>
      <c r="K4964" s="16"/>
      <c r="L4964" s="14" t="s">
        <v>178</v>
      </c>
      <c r="M4964" s="16" t="str">
        <f t="shared" si="1"/>
        <v>509776 Primaria</v>
      </c>
      <c r="N4964" s="23"/>
      <c r="O4964" s="17"/>
      <c r="P4964" s="17"/>
      <c r="Q4964" s="17"/>
      <c r="R4964" s="17"/>
      <c r="S4964" s="17"/>
      <c r="T4964" s="17"/>
    </row>
    <row r="4965">
      <c r="A4965" s="21">
        <v>1093.0</v>
      </c>
      <c r="B4965" s="14" t="s">
        <v>90</v>
      </c>
      <c r="C4965" s="14" t="s">
        <v>14</v>
      </c>
      <c r="D4965" s="20" t="s">
        <v>22</v>
      </c>
      <c r="E4965" s="12" t="str">
        <f>IFERROR(__xludf.DUMMYFUNCTION("FILTER(colegios!$B$2:$B5618,colegios!$A$2:$A5618=L4965)"),"50977")</f>
        <v>50977</v>
      </c>
      <c r="F4965" s="14" t="s">
        <v>16</v>
      </c>
      <c r="G4965" s="20" t="s">
        <v>17</v>
      </c>
      <c r="H4965" s="14" t="s">
        <v>18</v>
      </c>
      <c r="I4965" s="22">
        <v>2022.0</v>
      </c>
      <c r="J4965" s="16" t="str">
        <f>IFERROR(__xludf.DUMMYFUNCTION("FILTER('CLASFICACIÓN'!$F$3:$F5618,'CLASFICACIÓN'!$G$3:$G5618=M4965)"),"LOS 3 AÑOS")</f>
        <v>LOS 3 AÑOS</v>
      </c>
      <c r="K4965" s="16"/>
      <c r="L4965" s="14" t="s">
        <v>178</v>
      </c>
      <c r="M4965" s="16" t="str">
        <f t="shared" si="1"/>
        <v>509776 Primaria</v>
      </c>
      <c r="N4965" s="23"/>
      <c r="O4965" s="17"/>
      <c r="P4965" s="17"/>
      <c r="Q4965" s="17"/>
      <c r="R4965" s="17"/>
      <c r="S4965" s="17"/>
      <c r="T4965" s="17"/>
    </row>
    <row r="4966">
      <c r="A4966" s="21">
        <v>1094.0</v>
      </c>
      <c r="B4966" s="14" t="s">
        <v>90</v>
      </c>
      <c r="C4966" s="14" t="s">
        <v>14</v>
      </c>
      <c r="D4966" s="20" t="s">
        <v>22</v>
      </c>
      <c r="E4966" s="12" t="str">
        <f>IFERROR(__xludf.DUMMYFUNCTION("FILTER(colegios!$B$2:$B5618,colegios!$A$2:$A5618=L4966)"),"50977")</f>
        <v>50977</v>
      </c>
      <c r="F4966" s="14" t="s">
        <v>16</v>
      </c>
      <c r="G4966" s="20" t="s">
        <v>21</v>
      </c>
      <c r="H4966" s="14" t="s">
        <v>18</v>
      </c>
      <c r="I4966" s="22">
        <v>2022.0</v>
      </c>
      <c r="J4966" s="16" t="str">
        <f>IFERROR(__xludf.DUMMYFUNCTION("FILTER('CLASFICACIÓN'!$F$3:$F5618,'CLASFICACIÓN'!$G$3:$G5618=M4966)"),"LOS 3 AÑOS")</f>
        <v>LOS 3 AÑOS</v>
      </c>
      <c r="K4966" s="16"/>
      <c r="L4966" s="14" t="s">
        <v>178</v>
      </c>
      <c r="M4966" s="16" t="str">
        <f t="shared" si="1"/>
        <v>509776 Primaria</v>
      </c>
      <c r="N4966" s="23"/>
      <c r="O4966" s="17"/>
      <c r="P4966" s="17"/>
      <c r="Q4966" s="17"/>
      <c r="R4966" s="17"/>
      <c r="S4966" s="17"/>
      <c r="T4966" s="17"/>
    </row>
    <row r="4967">
      <c r="A4967" s="21">
        <v>1095.0</v>
      </c>
      <c r="B4967" s="14" t="s">
        <v>90</v>
      </c>
      <c r="C4967" s="14" t="s">
        <v>14</v>
      </c>
      <c r="D4967" s="20" t="s">
        <v>22</v>
      </c>
      <c r="E4967" s="12" t="str">
        <f>IFERROR(__xludf.DUMMYFUNCTION("FILTER(colegios!$B$2:$B5618,colegios!$A$2:$A5618=L4967)"),"50977")</f>
        <v>50977</v>
      </c>
      <c r="F4967" s="14" t="s">
        <v>16</v>
      </c>
      <c r="G4967" s="20" t="s">
        <v>21</v>
      </c>
      <c r="H4967" s="14" t="s">
        <v>18</v>
      </c>
      <c r="I4967" s="22">
        <v>2022.0</v>
      </c>
      <c r="J4967" s="16" t="str">
        <f>IFERROR(__xludf.DUMMYFUNCTION("FILTER('CLASFICACIÓN'!$F$3:$F5618,'CLASFICACIÓN'!$G$3:$G5618=M4967)"),"LOS 3 AÑOS")</f>
        <v>LOS 3 AÑOS</v>
      </c>
      <c r="K4967" s="16"/>
      <c r="L4967" s="14" t="s">
        <v>178</v>
      </c>
      <c r="M4967" s="16" t="str">
        <f t="shared" si="1"/>
        <v>509776 Primaria</v>
      </c>
      <c r="N4967" s="23"/>
      <c r="O4967" s="17"/>
      <c r="P4967" s="17"/>
      <c r="Q4967" s="17"/>
      <c r="R4967" s="17"/>
      <c r="S4967" s="17"/>
      <c r="T4967" s="17"/>
    </row>
    <row r="4968">
      <c r="A4968" s="21">
        <v>1096.0</v>
      </c>
      <c r="B4968" s="14" t="s">
        <v>90</v>
      </c>
      <c r="C4968" s="14" t="s">
        <v>14</v>
      </c>
      <c r="D4968" s="20" t="s">
        <v>22</v>
      </c>
      <c r="E4968" s="12" t="str">
        <f>IFERROR(__xludf.DUMMYFUNCTION("FILTER(colegios!$B$2:$B5618,colegios!$A$2:$A5618=L4968)"),"50977")</f>
        <v>50977</v>
      </c>
      <c r="F4968" s="14" t="s">
        <v>16</v>
      </c>
      <c r="G4968" s="20" t="s">
        <v>17</v>
      </c>
      <c r="H4968" s="14" t="s">
        <v>18</v>
      </c>
      <c r="I4968" s="22">
        <v>2022.0</v>
      </c>
      <c r="J4968" s="16" t="str">
        <f>IFERROR(__xludf.DUMMYFUNCTION("FILTER('CLASFICACIÓN'!$F$3:$F5618,'CLASFICACIÓN'!$G$3:$G5618=M4968)"),"LOS 3 AÑOS")</f>
        <v>LOS 3 AÑOS</v>
      </c>
      <c r="K4968" s="16"/>
      <c r="L4968" s="14" t="s">
        <v>178</v>
      </c>
      <c r="M4968" s="16" t="str">
        <f t="shared" si="1"/>
        <v>509776 Primaria</v>
      </c>
      <c r="N4968" s="23"/>
      <c r="O4968" s="17"/>
      <c r="P4968" s="17"/>
      <c r="Q4968" s="17"/>
      <c r="R4968" s="17"/>
      <c r="S4968" s="17"/>
      <c r="T4968" s="17"/>
    </row>
    <row r="4969">
      <c r="A4969" s="21">
        <v>1097.0</v>
      </c>
      <c r="B4969" s="14" t="s">
        <v>90</v>
      </c>
      <c r="C4969" s="14" t="s">
        <v>14</v>
      </c>
      <c r="D4969" s="20" t="s">
        <v>22</v>
      </c>
      <c r="E4969" s="12" t="str">
        <f>IFERROR(__xludf.DUMMYFUNCTION("FILTER(colegios!$B$2:$B5618,colegios!$A$2:$A5618=L4969)"),"50977")</f>
        <v>50977</v>
      </c>
      <c r="F4969" s="14" t="s">
        <v>16</v>
      </c>
      <c r="G4969" s="20" t="s">
        <v>17</v>
      </c>
      <c r="H4969" s="14" t="s">
        <v>18</v>
      </c>
      <c r="I4969" s="22">
        <v>2022.0</v>
      </c>
      <c r="J4969" s="16" t="str">
        <f>IFERROR(__xludf.DUMMYFUNCTION("FILTER('CLASFICACIÓN'!$F$3:$F5618,'CLASFICACIÓN'!$G$3:$G5618=M4969)"),"LOS 3 AÑOS")</f>
        <v>LOS 3 AÑOS</v>
      </c>
      <c r="K4969" s="16"/>
      <c r="L4969" s="14" t="s">
        <v>178</v>
      </c>
      <c r="M4969" s="16" t="str">
        <f t="shared" si="1"/>
        <v>509776 Primaria</v>
      </c>
      <c r="N4969" s="23"/>
      <c r="O4969" s="17"/>
      <c r="P4969" s="17"/>
      <c r="Q4969" s="17"/>
      <c r="R4969" s="17"/>
      <c r="S4969" s="17"/>
      <c r="T4969" s="17"/>
    </row>
    <row r="4970">
      <c r="A4970" s="21">
        <v>1098.0</v>
      </c>
      <c r="B4970" s="14" t="s">
        <v>90</v>
      </c>
      <c r="C4970" s="14" t="s">
        <v>14</v>
      </c>
      <c r="D4970" s="20" t="s">
        <v>22</v>
      </c>
      <c r="E4970" s="12" t="str">
        <f>IFERROR(__xludf.DUMMYFUNCTION("FILTER(colegios!$B$2:$B5618,colegios!$A$2:$A5618=L4970)"),"50977")</f>
        <v>50977</v>
      </c>
      <c r="F4970" s="14" t="s">
        <v>16</v>
      </c>
      <c r="G4970" s="20" t="s">
        <v>21</v>
      </c>
      <c r="H4970" s="14" t="s">
        <v>18</v>
      </c>
      <c r="I4970" s="22">
        <v>2022.0</v>
      </c>
      <c r="J4970" s="16" t="str">
        <f>IFERROR(__xludf.DUMMYFUNCTION("FILTER('CLASFICACIÓN'!$F$3:$F5618,'CLASFICACIÓN'!$G$3:$G5618=M4970)"),"LOS 3 AÑOS")</f>
        <v>LOS 3 AÑOS</v>
      </c>
      <c r="K4970" s="16"/>
      <c r="L4970" s="14" t="s">
        <v>178</v>
      </c>
      <c r="M4970" s="16" t="str">
        <f t="shared" si="1"/>
        <v>509776 Primaria</v>
      </c>
      <c r="N4970" s="23"/>
      <c r="O4970" s="17"/>
      <c r="P4970" s="17"/>
      <c r="Q4970" s="17"/>
      <c r="R4970" s="17"/>
      <c r="S4970" s="17"/>
      <c r="T4970" s="17"/>
    </row>
    <row r="4971">
      <c r="A4971" s="21">
        <v>1099.0</v>
      </c>
      <c r="B4971" s="14" t="s">
        <v>90</v>
      </c>
      <c r="C4971" s="14" t="s">
        <v>14</v>
      </c>
      <c r="D4971" s="20" t="s">
        <v>22</v>
      </c>
      <c r="E4971" s="12" t="str">
        <f>IFERROR(__xludf.DUMMYFUNCTION("FILTER(colegios!$B$2:$B5618,colegios!$A$2:$A5618=L4971)"),"50977")</f>
        <v>50977</v>
      </c>
      <c r="F4971" s="14" t="s">
        <v>16</v>
      </c>
      <c r="G4971" s="20" t="s">
        <v>17</v>
      </c>
      <c r="H4971" s="14" t="s">
        <v>18</v>
      </c>
      <c r="I4971" s="22">
        <v>2022.0</v>
      </c>
      <c r="J4971" s="16" t="str">
        <f>IFERROR(__xludf.DUMMYFUNCTION("FILTER('CLASFICACIÓN'!$F$3:$F5618,'CLASFICACIÓN'!$G$3:$G5618=M4971)"),"LOS 3 AÑOS")</f>
        <v>LOS 3 AÑOS</v>
      </c>
      <c r="K4971" s="16"/>
      <c r="L4971" s="14" t="s">
        <v>178</v>
      </c>
      <c r="M4971" s="16" t="str">
        <f t="shared" si="1"/>
        <v>509776 Primaria</v>
      </c>
      <c r="N4971" s="23"/>
      <c r="O4971" s="17"/>
      <c r="P4971" s="17"/>
      <c r="Q4971" s="17"/>
      <c r="R4971" s="17"/>
      <c r="S4971" s="17"/>
      <c r="T4971" s="17"/>
    </row>
    <row r="4972">
      <c r="A4972" s="21">
        <v>1100.0</v>
      </c>
      <c r="B4972" s="14" t="s">
        <v>90</v>
      </c>
      <c r="C4972" s="14" t="s">
        <v>14</v>
      </c>
      <c r="D4972" s="20" t="s">
        <v>22</v>
      </c>
      <c r="E4972" s="12" t="str">
        <f>IFERROR(__xludf.DUMMYFUNCTION("FILTER(colegios!$B$2:$B5618,colegios!$A$2:$A5618=L4972)"),"50977")</f>
        <v>50977</v>
      </c>
      <c r="F4972" s="14" t="s">
        <v>16</v>
      </c>
      <c r="G4972" s="20" t="s">
        <v>17</v>
      </c>
      <c r="H4972" s="14" t="s">
        <v>18</v>
      </c>
      <c r="I4972" s="22">
        <v>2022.0</v>
      </c>
      <c r="J4972" s="16" t="str">
        <f>IFERROR(__xludf.DUMMYFUNCTION("FILTER('CLASFICACIÓN'!$F$3:$F5618,'CLASFICACIÓN'!$G$3:$G5618=M4972)"),"LOS 3 AÑOS")</f>
        <v>LOS 3 AÑOS</v>
      </c>
      <c r="K4972" s="16"/>
      <c r="L4972" s="14" t="s">
        <v>178</v>
      </c>
      <c r="M4972" s="16" t="str">
        <f t="shared" si="1"/>
        <v>509776 Primaria</v>
      </c>
      <c r="N4972" s="23"/>
      <c r="O4972" s="17"/>
      <c r="P4972" s="17"/>
      <c r="Q4972" s="17"/>
      <c r="R4972" s="17"/>
      <c r="S4972" s="17"/>
      <c r="T4972" s="17"/>
    </row>
    <row r="4973">
      <c r="A4973" s="21">
        <v>1101.0</v>
      </c>
      <c r="B4973" s="14" t="s">
        <v>90</v>
      </c>
      <c r="C4973" s="14" t="s">
        <v>14</v>
      </c>
      <c r="D4973" s="20" t="s">
        <v>22</v>
      </c>
      <c r="E4973" s="12" t="str">
        <f>IFERROR(__xludf.DUMMYFUNCTION("FILTER(colegios!$B$2:$B5618,colegios!$A$2:$A5618=L4973)"),"50977")</f>
        <v>50977</v>
      </c>
      <c r="F4973" s="14" t="s">
        <v>16</v>
      </c>
      <c r="G4973" s="20" t="s">
        <v>17</v>
      </c>
      <c r="H4973" s="14" t="s">
        <v>18</v>
      </c>
      <c r="I4973" s="22">
        <v>2022.0</v>
      </c>
      <c r="J4973" s="16" t="str">
        <f>IFERROR(__xludf.DUMMYFUNCTION("FILTER('CLASFICACIÓN'!$F$3:$F5618,'CLASFICACIÓN'!$G$3:$G5618=M4973)"),"LOS 3 AÑOS")</f>
        <v>LOS 3 AÑOS</v>
      </c>
      <c r="K4973" s="16"/>
      <c r="L4973" s="14" t="s">
        <v>178</v>
      </c>
      <c r="M4973" s="16" t="str">
        <f t="shared" si="1"/>
        <v>509776 Primaria</v>
      </c>
      <c r="N4973" s="23"/>
      <c r="O4973" s="17"/>
      <c r="P4973" s="17"/>
      <c r="Q4973" s="17"/>
      <c r="R4973" s="17"/>
      <c r="S4973" s="17"/>
      <c r="T4973" s="17"/>
    </row>
    <row r="4974">
      <c r="A4974" s="21">
        <v>1102.0</v>
      </c>
      <c r="B4974" s="14" t="s">
        <v>90</v>
      </c>
      <c r="C4974" s="14" t="s">
        <v>14</v>
      </c>
      <c r="D4974" s="20" t="s">
        <v>22</v>
      </c>
      <c r="E4974" s="12" t="str">
        <f>IFERROR(__xludf.DUMMYFUNCTION("FILTER(colegios!$B$2:$B5618,colegios!$A$2:$A5618=L4974)"),"50977")</f>
        <v>50977</v>
      </c>
      <c r="F4974" s="14" t="s">
        <v>16</v>
      </c>
      <c r="G4974" s="20" t="s">
        <v>17</v>
      </c>
      <c r="H4974" s="14" t="s">
        <v>18</v>
      </c>
      <c r="I4974" s="22">
        <v>2022.0</v>
      </c>
      <c r="J4974" s="16" t="str">
        <f>IFERROR(__xludf.DUMMYFUNCTION("FILTER('CLASFICACIÓN'!$F$3:$F5618,'CLASFICACIÓN'!$G$3:$G5618=M4974)"),"LOS 3 AÑOS")</f>
        <v>LOS 3 AÑOS</v>
      </c>
      <c r="K4974" s="16"/>
      <c r="L4974" s="14" t="s">
        <v>178</v>
      </c>
      <c r="M4974" s="16" t="str">
        <f t="shared" si="1"/>
        <v>509776 Primaria</v>
      </c>
      <c r="N4974" s="23"/>
      <c r="O4974" s="17"/>
      <c r="P4974" s="17"/>
      <c r="Q4974" s="17"/>
      <c r="R4974" s="17"/>
      <c r="S4974" s="17"/>
      <c r="T4974" s="17"/>
    </row>
    <row r="4975">
      <c r="A4975" s="21">
        <v>1103.0</v>
      </c>
      <c r="B4975" s="14" t="s">
        <v>90</v>
      </c>
      <c r="C4975" s="14" t="s">
        <v>14</v>
      </c>
      <c r="D4975" s="20" t="s">
        <v>22</v>
      </c>
      <c r="E4975" s="12" t="str">
        <f>IFERROR(__xludf.DUMMYFUNCTION("FILTER(colegios!$B$2:$B5618,colegios!$A$2:$A5618=L4975)"),"50977")</f>
        <v>50977</v>
      </c>
      <c r="F4975" s="14" t="s">
        <v>16</v>
      </c>
      <c r="G4975" s="20" t="s">
        <v>21</v>
      </c>
      <c r="H4975" s="14" t="s">
        <v>18</v>
      </c>
      <c r="I4975" s="22">
        <v>2022.0</v>
      </c>
      <c r="J4975" s="16" t="str">
        <f>IFERROR(__xludf.DUMMYFUNCTION("FILTER('CLASFICACIÓN'!$F$3:$F5618,'CLASFICACIÓN'!$G$3:$G5618=M4975)"),"LOS 3 AÑOS")</f>
        <v>LOS 3 AÑOS</v>
      </c>
      <c r="K4975" s="16"/>
      <c r="L4975" s="14" t="s">
        <v>178</v>
      </c>
      <c r="M4975" s="16" t="str">
        <f t="shared" si="1"/>
        <v>509776 Primaria</v>
      </c>
      <c r="N4975" s="23"/>
      <c r="O4975" s="17"/>
      <c r="P4975" s="17"/>
      <c r="Q4975" s="17"/>
      <c r="R4975" s="17"/>
      <c r="S4975" s="17"/>
      <c r="T4975" s="17"/>
    </row>
    <row r="4976">
      <c r="A4976" s="21">
        <v>1104.0</v>
      </c>
      <c r="B4976" s="14" t="s">
        <v>90</v>
      </c>
      <c r="C4976" s="14" t="s">
        <v>14</v>
      </c>
      <c r="D4976" s="20" t="s">
        <v>22</v>
      </c>
      <c r="E4976" s="12" t="str">
        <f>IFERROR(__xludf.DUMMYFUNCTION("FILTER(colegios!$B$2:$B5618,colegios!$A$2:$A5618=L4976)"),"50977")</f>
        <v>50977</v>
      </c>
      <c r="F4976" s="14" t="s">
        <v>16</v>
      </c>
      <c r="G4976" s="20" t="s">
        <v>17</v>
      </c>
      <c r="H4976" s="14" t="s">
        <v>18</v>
      </c>
      <c r="I4976" s="22">
        <v>2022.0</v>
      </c>
      <c r="J4976" s="16" t="str">
        <f>IFERROR(__xludf.DUMMYFUNCTION("FILTER('CLASFICACIÓN'!$F$3:$F5618,'CLASFICACIÓN'!$G$3:$G5618=M4976)"),"LOS 3 AÑOS")</f>
        <v>LOS 3 AÑOS</v>
      </c>
      <c r="K4976" s="16"/>
      <c r="L4976" s="14" t="s">
        <v>178</v>
      </c>
      <c r="M4976" s="16" t="str">
        <f t="shared" si="1"/>
        <v>509776 Primaria</v>
      </c>
      <c r="N4976" s="23"/>
      <c r="O4976" s="17"/>
      <c r="P4976" s="17"/>
      <c r="Q4976" s="17"/>
      <c r="R4976" s="17"/>
      <c r="S4976" s="17"/>
      <c r="T4976" s="17"/>
    </row>
    <row r="4977">
      <c r="A4977" s="21">
        <v>1105.0</v>
      </c>
      <c r="B4977" s="14" t="s">
        <v>90</v>
      </c>
      <c r="C4977" s="14" t="s">
        <v>14</v>
      </c>
      <c r="D4977" s="20" t="s">
        <v>22</v>
      </c>
      <c r="E4977" s="12" t="str">
        <f>IFERROR(__xludf.DUMMYFUNCTION("FILTER(colegios!$B$2:$B5618,colegios!$A$2:$A5618=L4977)"),"50977")</f>
        <v>50977</v>
      </c>
      <c r="F4977" s="14" t="s">
        <v>16</v>
      </c>
      <c r="G4977" s="20" t="s">
        <v>21</v>
      </c>
      <c r="H4977" s="14" t="s">
        <v>18</v>
      </c>
      <c r="I4977" s="22">
        <v>2022.0</v>
      </c>
      <c r="J4977" s="16" t="str">
        <f>IFERROR(__xludf.DUMMYFUNCTION("FILTER('CLASFICACIÓN'!$F$3:$F5618,'CLASFICACIÓN'!$G$3:$G5618=M4977)"),"LOS 3 AÑOS")</f>
        <v>LOS 3 AÑOS</v>
      </c>
      <c r="K4977" s="16"/>
      <c r="L4977" s="14" t="s">
        <v>178</v>
      </c>
      <c r="M4977" s="16" t="str">
        <f t="shared" si="1"/>
        <v>509776 Primaria</v>
      </c>
      <c r="N4977" s="23"/>
      <c r="O4977" s="17"/>
      <c r="P4977" s="17"/>
      <c r="Q4977" s="17"/>
      <c r="R4977" s="17"/>
      <c r="S4977" s="17"/>
      <c r="T4977" s="17"/>
    </row>
    <row r="4978">
      <c r="A4978" s="21">
        <v>1106.0</v>
      </c>
      <c r="B4978" s="14" t="s">
        <v>90</v>
      </c>
      <c r="C4978" s="14" t="s">
        <v>14</v>
      </c>
      <c r="D4978" s="20" t="s">
        <v>22</v>
      </c>
      <c r="E4978" s="12" t="str">
        <f>IFERROR(__xludf.DUMMYFUNCTION("FILTER(colegios!$B$2:$B5618,colegios!$A$2:$A5618=L4978)"),"50977")</f>
        <v>50977</v>
      </c>
      <c r="F4978" s="14" t="s">
        <v>16</v>
      </c>
      <c r="G4978" s="20" t="s">
        <v>17</v>
      </c>
      <c r="H4978" s="14" t="s">
        <v>18</v>
      </c>
      <c r="I4978" s="22">
        <v>2022.0</v>
      </c>
      <c r="J4978" s="16" t="str">
        <f>IFERROR(__xludf.DUMMYFUNCTION("FILTER('CLASFICACIÓN'!$F$3:$F5618,'CLASFICACIÓN'!$G$3:$G5618=M4978)"),"LOS 3 AÑOS")</f>
        <v>LOS 3 AÑOS</v>
      </c>
      <c r="K4978" s="16"/>
      <c r="L4978" s="14" t="s">
        <v>178</v>
      </c>
      <c r="M4978" s="16" t="str">
        <f t="shared" si="1"/>
        <v>509776 Primaria</v>
      </c>
      <c r="N4978" s="23"/>
      <c r="O4978" s="17"/>
      <c r="P4978" s="17"/>
      <c r="Q4978" s="17"/>
      <c r="R4978" s="17"/>
      <c r="S4978" s="17"/>
      <c r="T4978" s="17"/>
    </row>
    <row r="4979">
      <c r="A4979" s="21">
        <v>1107.0</v>
      </c>
      <c r="B4979" s="14" t="s">
        <v>90</v>
      </c>
      <c r="C4979" s="14" t="s">
        <v>14</v>
      </c>
      <c r="D4979" s="20" t="s">
        <v>22</v>
      </c>
      <c r="E4979" s="12" t="str">
        <f>IFERROR(__xludf.DUMMYFUNCTION("FILTER(colegios!$B$2:$B5618,colegios!$A$2:$A5618=L4979)"),"50977")</f>
        <v>50977</v>
      </c>
      <c r="F4979" s="14" t="s">
        <v>16</v>
      </c>
      <c r="G4979" s="20" t="s">
        <v>21</v>
      </c>
      <c r="H4979" s="14" t="s">
        <v>18</v>
      </c>
      <c r="I4979" s="22">
        <v>2022.0</v>
      </c>
      <c r="J4979" s="16" t="str">
        <f>IFERROR(__xludf.DUMMYFUNCTION("FILTER('CLASFICACIÓN'!$F$3:$F5618,'CLASFICACIÓN'!$G$3:$G5618=M4979)"),"LOS 3 AÑOS")</f>
        <v>LOS 3 AÑOS</v>
      </c>
      <c r="K4979" s="16"/>
      <c r="L4979" s="14" t="s">
        <v>178</v>
      </c>
      <c r="M4979" s="16" t="str">
        <f t="shared" si="1"/>
        <v>509776 Primaria</v>
      </c>
      <c r="N4979" s="23"/>
      <c r="O4979" s="17"/>
      <c r="P4979" s="17"/>
      <c r="Q4979" s="17"/>
      <c r="R4979" s="17"/>
      <c r="S4979" s="17"/>
      <c r="T4979" s="17"/>
    </row>
    <row r="4980">
      <c r="A4980" s="21">
        <v>1108.0</v>
      </c>
      <c r="B4980" s="14" t="s">
        <v>90</v>
      </c>
      <c r="C4980" s="14" t="s">
        <v>14</v>
      </c>
      <c r="D4980" s="20" t="s">
        <v>22</v>
      </c>
      <c r="E4980" s="12" t="str">
        <f>IFERROR(__xludf.DUMMYFUNCTION("FILTER(colegios!$B$2:$B5618,colegios!$A$2:$A5618=L4980)"),"50977")</f>
        <v>50977</v>
      </c>
      <c r="F4980" s="14" t="s">
        <v>16</v>
      </c>
      <c r="G4980" s="20" t="s">
        <v>17</v>
      </c>
      <c r="H4980" s="14" t="s">
        <v>18</v>
      </c>
      <c r="I4980" s="22">
        <v>2022.0</v>
      </c>
      <c r="J4980" s="16" t="str">
        <f>IFERROR(__xludf.DUMMYFUNCTION("FILTER('CLASFICACIÓN'!$F$3:$F5618,'CLASFICACIÓN'!$G$3:$G5618=M4980)"),"LOS 3 AÑOS")</f>
        <v>LOS 3 AÑOS</v>
      </c>
      <c r="K4980" s="16"/>
      <c r="L4980" s="14" t="s">
        <v>178</v>
      </c>
      <c r="M4980" s="16" t="str">
        <f t="shared" si="1"/>
        <v>509776 Primaria</v>
      </c>
      <c r="N4980" s="23"/>
      <c r="O4980" s="17"/>
      <c r="P4980" s="17"/>
      <c r="Q4980" s="17"/>
      <c r="R4980" s="17"/>
      <c r="S4980" s="17"/>
      <c r="T4980" s="17"/>
    </row>
    <row r="4981">
      <c r="A4981" s="21">
        <v>1109.0</v>
      </c>
      <c r="B4981" s="14" t="s">
        <v>90</v>
      </c>
      <c r="C4981" s="14" t="s">
        <v>14</v>
      </c>
      <c r="D4981" s="20" t="s">
        <v>22</v>
      </c>
      <c r="E4981" s="12" t="str">
        <f>IFERROR(__xludf.DUMMYFUNCTION("FILTER(colegios!$B$2:$B5618,colegios!$A$2:$A5618=L4981)"),"50977")</f>
        <v>50977</v>
      </c>
      <c r="F4981" s="14" t="s">
        <v>16</v>
      </c>
      <c r="G4981" s="20" t="s">
        <v>17</v>
      </c>
      <c r="H4981" s="14" t="s">
        <v>18</v>
      </c>
      <c r="I4981" s="22">
        <v>2022.0</v>
      </c>
      <c r="J4981" s="16" t="str">
        <f>IFERROR(__xludf.DUMMYFUNCTION("FILTER('CLASFICACIÓN'!$F$3:$F5618,'CLASFICACIÓN'!$G$3:$G5618=M4981)"),"LOS 3 AÑOS")</f>
        <v>LOS 3 AÑOS</v>
      </c>
      <c r="K4981" s="16"/>
      <c r="L4981" s="14" t="s">
        <v>178</v>
      </c>
      <c r="M4981" s="16" t="str">
        <f t="shared" si="1"/>
        <v>509776 Primaria</v>
      </c>
      <c r="N4981" s="23"/>
      <c r="O4981" s="17"/>
      <c r="P4981" s="17"/>
      <c r="Q4981" s="17"/>
      <c r="R4981" s="17"/>
      <c r="S4981" s="17"/>
      <c r="T4981" s="17"/>
    </row>
    <row r="4982">
      <c r="A4982" s="21">
        <v>1110.0</v>
      </c>
      <c r="B4982" s="14" t="s">
        <v>90</v>
      </c>
      <c r="C4982" s="14" t="s">
        <v>14</v>
      </c>
      <c r="D4982" s="20" t="s">
        <v>22</v>
      </c>
      <c r="E4982" s="12" t="str">
        <f>IFERROR(__xludf.DUMMYFUNCTION("FILTER(colegios!$B$2:$B5618,colegios!$A$2:$A5618=L4982)"),"50977")</f>
        <v>50977</v>
      </c>
      <c r="F4982" s="14" t="s">
        <v>16</v>
      </c>
      <c r="G4982" s="20" t="s">
        <v>21</v>
      </c>
      <c r="H4982" s="14" t="s">
        <v>18</v>
      </c>
      <c r="I4982" s="22">
        <v>2022.0</v>
      </c>
      <c r="J4982" s="16" t="str">
        <f>IFERROR(__xludf.DUMMYFUNCTION("FILTER('CLASFICACIÓN'!$F$3:$F5618,'CLASFICACIÓN'!$G$3:$G5618=M4982)"),"LOS 3 AÑOS")</f>
        <v>LOS 3 AÑOS</v>
      </c>
      <c r="K4982" s="16"/>
      <c r="L4982" s="14" t="s">
        <v>178</v>
      </c>
      <c r="M4982" s="16" t="str">
        <f t="shared" si="1"/>
        <v>509776 Primaria</v>
      </c>
      <c r="N4982" s="23"/>
      <c r="O4982" s="17"/>
      <c r="P4982" s="17"/>
      <c r="Q4982" s="17"/>
      <c r="R4982" s="17"/>
      <c r="S4982" s="17"/>
      <c r="T4982" s="17"/>
    </row>
    <row r="4983">
      <c r="A4983" s="21">
        <v>1111.0</v>
      </c>
      <c r="B4983" s="14" t="s">
        <v>90</v>
      </c>
      <c r="C4983" s="14" t="s">
        <v>14</v>
      </c>
      <c r="D4983" s="20" t="s">
        <v>22</v>
      </c>
      <c r="E4983" s="12" t="str">
        <f>IFERROR(__xludf.DUMMYFUNCTION("FILTER(colegios!$B$2:$B5618,colegios!$A$2:$A5618=L4983)"),"50977")</f>
        <v>50977</v>
      </c>
      <c r="F4983" s="14" t="s">
        <v>16</v>
      </c>
      <c r="G4983" s="20" t="s">
        <v>17</v>
      </c>
      <c r="H4983" s="14" t="s">
        <v>18</v>
      </c>
      <c r="I4983" s="22">
        <v>2022.0</v>
      </c>
      <c r="J4983" s="16" t="str">
        <f>IFERROR(__xludf.DUMMYFUNCTION("FILTER('CLASFICACIÓN'!$F$3:$F5618,'CLASFICACIÓN'!$G$3:$G5618=M4983)"),"LOS 3 AÑOS")</f>
        <v>LOS 3 AÑOS</v>
      </c>
      <c r="K4983" s="16"/>
      <c r="L4983" s="14" t="s">
        <v>178</v>
      </c>
      <c r="M4983" s="16" t="str">
        <f t="shared" si="1"/>
        <v>509776 Primaria</v>
      </c>
      <c r="N4983" s="23"/>
      <c r="O4983" s="17"/>
      <c r="P4983" s="17"/>
      <c r="Q4983" s="17"/>
      <c r="R4983" s="17"/>
      <c r="S4983" s="17"/>
      <c r="T4983" s="17"/>
    </row>
    <row r="4984">
      <c r="A4984" s="21">
        <v>1112.0</v>
      </c>
      <c r="B4984" s="14" t="s">
        <v>90</v>
      </c>
      <c r="C4984" s="14" t="s">
        <v>14</v>
      </c>
      <c r="D4984" s="20" t="s">
        <v>22</v>
      </c>
      <c r="E4984" s="12" t="str">
        <f>IFERROR(__xludf.DUMMYFUNCTION("FILTER(colegios!$B$2:$B5618,colegios!$A$2:$A5618=L4984)"),"50977")</f>
        <v>50977</v>
      </c>
      <c r="F4984" s="14" t="s">
        <v>16</v>
      </c>
      <c r="G4984" s="20" t="s">
        <v>17</v>
      </c>
      <c r="H4984" s="14" t="s">
        <v>18</v>
      </c>
      <c r="I4984" s="22">
        <v>2022.0</v>
      </c>
      <c r="J4984" s="16" t="str">
        <f>IFERROR(__xludf.DUMMYFUNCTION("FILTER('CLASFICACIÓN'!$F$3:$F5618,'CLASFICACIÓN'!$G$3:$G5618=M4984)"),"LOS 3 AÑOS")</f>
        <v>LOS 3 AÑOS</v>
      </c>
      <c r="K4984" s="16"/>
      <c r="L4984" s="14" t="s">
        <v>178</v>
      </c>
      <c r="M4984" s="16" t="str">
        <f t="shared" si="1"/>
        <v>509776 Primaria</v>
      </c>
      <c r="N4984" s="23"/>
      <c r="O4984" s="17"/>
      <c r="P4984" s="17"/>
      <c r="Q4984" s="17"/>
      <c r="R4984" s="17"/>
      <c r="S4984" s="17"/>
      <c r="T4984" s="17"/>
    </row>
    <row r="4985">
      <c r="A4985" s="21">
        <v>1113.0</v>
      </c>
      <c r="B4985" s="14" t="s">
        <v>90</v>
      </c>
      <c r="C4985" s="14" t="s">
        <v>14</v>
      </c>
      <c r="D4985" s="20" t="s">
        <v>22</v>
      </c>
      <c r="E4985" s="12" t="str">
        <f>IFERROR(__xludf.DUMMYFUNCTION("FILTER(colegios!$B$2:$B5618,colegios!$A$2:$A5618=L4985)"),"50977")</f>
        <v>50977</v>
      </c>
      <c r="F4985" s="14" t="s">
        <v>16</v>
      </c>
      <c r="G4985" s="20" t="s">
        <v>17</v>
      </c>
      <c r="H4985" s="14" t="s">
        <v>18</v>
      </c>
      <c r="I4985" s="22">
        <v>2022.0</v>
      </c>
      <c r="J4985" s="16" t="str">
        <f>IFERROR(__xludf.DUMMYFUNCTION("FILTER('CLASFICACIÓN'!$F$3:$F5618,'CLASFICACIÓN'!$G$3:$G5618=M4985)"),"LOS 3 AÑOS")</f>
        <v>LOS 3 AÑOS</v>
      </c>
      <c r="K4985" s="16"/>
      <c r="L4985" s="14" t="s">
        <v>178</v>
      </c>
      <c r="M4985" s="16" t="str">
        <f t="shared" si="1"/>
        <v>509776 Primaria</v>
      </c>
      <c r="N4985" s="23"/>
      <c r="O4985" s="17"/>
      <c r="P4985" s="17"/>
      <c r="Q4985" s="17"/>
      <c r="R4985" s="17"/>
      <c r="S4985" s="17"/>
      <c r="T4985" s="17"/>
    </row>
    <row r="4986">
      <c r="A4986" s="21">
        <v>1114.0</v>
      </c>
      <c r="B4986" s="14" t="s">
        <v>90</v>
      </c>
      <c r="C4986" s="14" t="s">
        <v>14</v>
      </c>
      <c r="D4986" s="20" t="s">
        <v>22</v>
      </c>
      <c r="E4986" s="12" t="str">
        <f>IFERROR(__xludf.DUMMYFUNCTION("FILTER(colegios!$B$2:$B5618,colegios!$A$2:$A5618=L4986)"),"50977")</f>
        <v>50977</v>
      </c>
      <c r="F4986" s="14" t="s">
        <v>16</v>
      </c>
      <c r="G4986" s="20" t="s">
        <v>17</v>
      </c>
      <c r="H4986" s="14" t="s">
        <v>18</v>
      </c>
      <c r="I4986" s="22">
        <v>2022.0</v>
      </c>
      <c r="J4986" s="16" t="str">
        <f>IFERROR(__xludf.DUMMYFUNCTION("FILTER('CLASFICACIÓN'!$F$3:$F5618,'CLASFICACIÓN'!$G$3:$G5618=M4986)"),"LOS 3 AÑOS")</f>
        <v>LOS 3 AÑOS</v>
      </c>
      <c r="K4986" s="16"/>
      <c r="L4986" s="14" t="s">
        <v>178</v>
      </c>
      <c r="M4986" s="16" t="str">
        <f t="shared" si="1"/>
        <v>509776 Primaria</v>
      </c>
      <c r="N4986" s="23"/>
      <c r="O4986" s="17"/>
      <c r="P4986" s="17"/>
      <c r="Q4986" s="17"/>
      <c r="R4986" s="17"/>
      <c r="S4986" s="17"/>
      <c r="T4986" s="17"/>
    </row>
    <row r="4987">
      <c r="A4987" s="21">
        <v>1115.0</v>
      </c>
      <c r="B4987" s="14" t="s">
        <v>90</v>
      </c>
      <c r="C4987" s="14" t="s">
        <v>14</v>
      </c>
      <c r="D4987" s="20" t="s">
        <v>22</v>
      </c>
      <c r="E4987" s="12" t="str">
        <f>IFERROR(__xludf.DUMMYFUNCTION("FILTER(colegios!$B$2:$B5618,colegios!$A$2:$A5618=L4987)"),"50977")</f>
        <v>50977</v>
      </c>
      <c r="F4987" s="14" t="s">
        <v>16</v>
      </c>
      <c r="G4987" s="20" t="s">
        <v>21</v>
      </c>
      <c r="H4987" s="14" t="s">
        <v>18</v>
      </c>
      <c r="I4987" s="22">
        <v>2022.0</v>
      </c>
      <c r="J4987" s="16" t="str">
        <f>IFERROR(__xludf.DUMMYFUNCTION("FILTER('CLASFICACIÓN'!$F$3:$F5618,'CLASFICACIÓN'!$G$3:$G5618=M4987)"),"LOS 3 AÑOS")</f>
        <v>LOS 3 AÑOS</v>
      </c>
      <c r="K4987" s="16"/>
      <c r="L4987" s="14" t="s">
        <v>178</v>
      </c>
      <c r="M4987" s="16" t="str">
        <f t="shared" si="1"/>
        <v>509776 Primaria</v>
      </c>
      <c r="N4987" s="23"/>
      <c r="O4987" s="17"/>
      <c r="P4987" s="17"/>
      <c r="Q4987" s="17"/>
      <c r="R4987" s="17"/>
      <c r="S4987" s="17"/>
      <c r="T4987" s="17"/>
    </row>
    <row r="4988">
      <c r="A4988" s="21">
        <v>1116.0</v>
      </c>
      <c r="B4988" s="14" t="s">
        <v>90</v>
      </c>
      <c r="C4988" s="14" t="s">
        <v>14</v>
      </c>
      <c r="D4988" s="20" t="s">
        <v>22</v>
      </c>
      <c r="E4988" s="12" t="str">
        <f>IFERROR(__xludf.DUMMYFUNCTION("FILTER(colegios!$B$2:$B5618,colegios!$A$2:$A5618=L4988)"),"50977")</f>
        <v>50977</v>
      </c>
      <c r="F4988" s="14" t="s">
        <v>16</v>
      </c>
      <c r="G4988" s="20" t="s">
        <v>17</v>
      </c>
      <c r="H4988" s="14" t="s">
        <v>18</v>
      </c>
      <c r="I4988" s="22">
        <v>2022.0</v>
      </c>
      <c r="J4988" s="16" t="str">
        <f>IFERROR(__xludf.DUMMYFUNCTION("FILTER('CLASFICACIÓN'!$F$3:$F5618,'CLASFICACIÓN'!$G$3:$G5618=M4988)"),"LOS 3 AÑOS")</f>
        <v>LOS 3 AÑOS</v>
      </c>
      <c r="K4988" s="16"/>
      <c r="L4988" s="14" t="s">
        <v>178</v>
      </c>
      <c r="M4988" s="16" t="str">
        <f t="shared" si="1"/>
        <v>509776 Primaria</v>
      </c>
      <c r="N4988" s="23"/>
      <c r="O4988" s="17"/>
      <c r="P4988" s="17"/>
      <c r="Q4988" s="17"/>
      <c r="R4988" s="17"/>
      <c r="S4988" s="17"/>
      <c r="T4988" s="17"/>
    </row>
    <row r="4989">
      <c r="A4989" s="21">
        <v>1117.0</v>
      </c>
      <c r="B4989" s="14" t="s">
        <v>90</v>
      </c>
      <c r="C4989" s="14" t="s">
        <v>14</v>
      </c>
      <c r="D4989" s="20" t="s">
        <v>22</v>
      </c>
      <c r="E4989" s="12" t="str">
        <f>IFERROR(__xludf.DUMMYFUNCTION("FILTER(colegios!$B$2:$B5618,colegios!$A$2:$A5618=L4989)"),"50977")</f>
        <v>50977</v>
      </c>
      <c r="F4989" s="14" t="s">
        <v>16</v>
      </c>
      <c r="G4989" s="20" t="s">
        <v>17</v>
      </c>
      <c r="H4989" s="14" t="s">
        <v>18</v>
      </c>
      <c r="I4989" s="22">
        <v>2022.0</v>
      </c>
      <c r="J4989" s="16" t="str">
        <f>IFERROR(__xludf.DUMMYFUNCTION("FILTER('CLASFICACIÓN'!$F$3:$F5618,'CLASFICACIÓN'!$G$3:$G5618=M4989)"),"LOS 3 AÑOS")</f>
        <v>LOS 3 AÑOS</v>
      </c>
      <c r="K4989" s="16"/>
      <c r="L4989" s="14" t="s">
        <v>178</v>
      </c>
      <c r="M4989" s="16" t="str">
        <f t="shared" si="1"/>
        <v>509776 Primaria</v>
      </c>
      <c r="N4989" s="23"/>
      <c r="O4989" s="17"/>
      <c r="P4989" s="17"/>
      <c r="Q4989" s="17"/>
      <c r="R4989" s="17"/>
      <c r="S4989" s="17"/>
      <c r="T4989" s="17"/>
    </row>
    <row r="4990">
      <c r="A4990" s="21">
        <v>1118.0</v>
      </c>
      <c r="B4990" s="14" t="s">
        <v>90</v>
      </c>
      <c r="C4990" s="14" t="s">
        <v>14</v>
      </c>
      <c r="D4990" s="20" t="s">
        <v>22</v>
      </c>
      <c r="E4990" s="12" t="str">
        <f>IFERROR(__xludf.DUMMYFUNCTION("FILTER(colegios!$B$2:$B5618,colegios!$A$2:$A5618=L4990)"),"50977")</f>
        <v>50977</v>
      </c>
      <c r="F4990" s="14" t="s">
        <v>16</v>
      </c>
      <c r="G4990" s="20" t="s">
        <v>17</v>
      </c>
      <c r="H4990" s="14" t="s">
        <v>18</v>
      </c>
      <c r="I4990" s="22">
        <v>2022.0</v>
      </c>
      <c r="J4990" s="16" t="str">
        <f>IFERROR(__xludf.DUMMYFUNCTION("FILTER('CLASFICACIÓN'!$F$3:$F5618,'CLASFICACIÓN'!$G$3:$G5618=M4990)"),"LOS 3 AÑOS")</f>
        <v>LOS 3 AÑOS</v>
      </c>
      <c r="K4990" s="16"/>
      <c r="L4990" s="14" t="s">
        <v>178</v>
      </c>
      <c r="M4990" s="16" t="str">
        <f t="shared" si="1"/>
        <v>509776 Primaria</v>
      </c>
      <c r="N4990" s="23"/>
      <c r="O4990" s="17"/>
      <c r="P4990" s="17"/>
      <c r="Q4990" s="17"/>
      <c r="R4990" s="17"/>
      <c r="S4990" s="17"/>
      <c r="T4990" s="17"/>
    </row>
    <row r="4991">
      <c r="A4991" s="21">
        <v>1119.0</v>
      </c>
      <c r="B4991" s="14" t="s">
        <v>90</v>
      </c>
      <c r="C4991" s="14" t="s">
        <v>14</v>
      </c>
      <c r="D4991" s="20" t="s">
        <v>22</v>
      </c>
      <c r="E4991" s="12" t="str">
        <f>IFERROR(__xludf.DUMMYFUNCTION("FILTER(colegios!$B$2:$B5618,colegios!$A$2:$A5618=L4991)"),"50977")</f>
        <v>50977</v>
      </c>
      <c r="F4991" s="14" t="s">
        <v>16</v>
      </c>
      <c r="G4991" s="20" t="s">
        <v>17</v>
      </c>
      <c r="H4991" s="14" t="s">
        <v>18</v>
      </c>
      <c r="I4991" s="22">
        <v>2022.0</v>
      </c>
      <c r="J4991" s="16" t="str">
        <f>IFERROR(__xludf.DUMMYFUNCTION("FILTER('CLASFICACIÓN'!$F$3:$F5618,'CLASFICACIÓN'!$G$3:$G5618=M4991)"),"LOS 3 AÑOS")</f>
        <v>LOS 3 AÑOS</v>
      </c>
      <c r="K4991" s="16"/>
      <c r="L4991" s="14" t="s">
        <v>178</v>
      </c>
      <c r="M4991" s="16" t="str">
        <f t="shared" si="1"/>
        <v>509776 Primaria</v>
      </c>
      <c r="N4991" s="23"/>
      <c r="O4991" s="17"/>
      <c r="P4991" s="17"/>
      <c r="Q4991" s="17"/>
      <c r="R4991" s="17"/>
      <c r="S4991" s="17"/>
      <c r="T4991" s="17"/>
    </row>
    <row r="4992">
      <c r="A4992" s="21">
        <v>1120.0</v>
      </c>
      <c r="B4992" s="14" t="s">
        <v>90</v>
      </c>
      <c r="C4992" s="14" t="s">
        <v>14</v>
      </c>
      <c r="D4992" s="20" t="s">
        <v>22</v>
      </c>
      <c r="E4992" s="12" t="str">
        <f>IFERROR(__xludf.DUMMYFUNCTION("FILTER(colegios!$B$2:$B5618,colegios!$A$2:$A5618=L4992)"),"50977")</f>
        <v>50977</v>
      </c>
      <c r="F4992" s="14" t="s">
        <v>16</v>
      </c>
      <c r="G4992" s="20" t="s">
        <v>17</v>
      </c>
      <c r="H4992" s="14" t="s">
        <v>18</v>
      </c>
      <c r="I4992" s="22">
        <v>2022.0</v>
      </c>
      <c r="J4992" s="16" t="str">
        <f>IFERROR(__xludf.DUMMYFUNCTION("FILTER('CLASFICACIÓN'!$F$3:$F5618,'CLASFICACIÓN'!$G$3:$G5618=M4992)"),"LOS 3 AÑOS")</f>
        <v>LOS 3 AÑOS</v>
      </c>
      <c r="K4992" s="16"/>
      <c r="L4992" s="14" t="s">
        <v>178</v>
      </c>
      <c r="M4992" s="16" t="str">
        <f t="shared" si="1"/>
        <v>509776 Primaria</v>
      </c>
      <c r="N4992" s="23"/>
      <c r="O4992" s="17"/>
      <c r="P4992" s="17"/>
      <c r="Q4992" s="17"/>
      <c r="R4992" s="17"/>
      <c r="S4992" s="17"/>
      <c r="T4992" s="17"/>
    </row>
    <row r="4993">
      <c r="A4993" s="21">
        <v>1121.0</v>
      </c>
      <c r="B4993" s="14" t="s">
        <v>90</v>
      </c>
      <c r="C4993" s="14" t="s">
        <v>14</v>
      </c>
      <c r="D4993" s="20" t="s">
        <v>22</v>
      </c>
      <c r="E4993" s="12" t="str">
        <f>IFERROR(__xludf.DUMMYFUNCTION("FILTER(colegios!$B$2:$B5618,colegios!$A$2:$A5618=L4993)"),"50977")</f>
        <v>50977</v>
      </c>
      <c r="F4993" s="14" t="s">
        <v>16</v>
      </c>
      <c r="G4993" s="20" t="s">
        <v>21</v>
      </c>
      <c r="H4993" s="14" t="s">
        <v>18</v>
      </c>
      <c r="I4993" s="22">
        <v>2022.0</v>
      </c>
      <c r="J4993" s="16" t="str">
        <f>IFERROR(__xludf.DUMMYFUNCTION("FILTER('CLASFICACIÓN'!$F$3:$F5618,'CLASFICACIÓN'!$G$3:$G5618=M4993)"),"LOS 3 AÑOS")</f>
        <v>LOS 3 AÑOS</v>
      </c>
      <c r="K4993" s="16"/>
      <c r="L4993" s="14" t="s">
        <v>178</v>
      </c>
      <c r="M4993" s="16" t="str">
        <f t="shared" si="1"/>
        <v>509776 Primaria</v>
      </c>
      <c r="N4993" s="23"/>
      <c r="O4993" s="17"/>
      <c r="P4993" s="17"/>
      <c r="Q4993" s="17"/>
      <c r="R4993" s="17"/>
      <c r="S4993" s="17"/>
      <c r="T4993" s="17"/>
    </row>
    <row r="4994">
      <c r="A4994" s="21">
        <v>1122.0</v>
      </c>
      <c r="B4994" s="14" t="s">
        <v>90</v>
      </c>
      <c r="C4994" s="14" t="s">
        <v>14</v>
      </c>
      <c r="D4994" s="20" t="s">
        <v>22</v>
      </c>
      <c r="E4994" s="12" t="str">
        <f>IFERROR(__xludf.DUMMYFUNCTION("FILTER(colegios!$B$2:$B5618,colegios!$A$2:$A5618=L4994)"),"50977")</f>
        <v>50977</v>
      </c>
      <c r="F4994" s="14" t="s">
        <v>16</v>
      </c>
      <c r="G4994" s="20" t="s">
        <v>21</v>
      </c>
      <c r="H4994" s="14" t="s">
        <v>18</v>
      </c>
      <c r="I4994" s="22">
        <v>2022.0</v>
      </c>
      <c r="J4994" s="16" t="str">
        <f>IFERROR(__xludf.DUMMYFUNCTION("FILTER('CLASFICACIÓN'!$F$3:$F5618,'CLASFICACIÓN'!$G$3:$G5618=M4994)"),"LOS 3 AÑOS")</f>
        <v>LOS 3 AÑOS</v>
      </c>
      <c r="K4994" s="16"/>
      <c r="L4994" s="14" t="s">
        <v>178</v>
      </c>
      <c r="M4994" s="16" t="str">
        <f t="shared" si="1"/>
        <v>509776 Primaria</v>
      </c>
      <c r="N4994" s="23"/>
      <c r="O4994" s="17"/>
      <c r="P4994" s="17"/>
      <c r="Q4994" s="17"/>
      <c r="R4994" s="17"/>
      <c r="S4994" s="17"/>
      <c r="T4994" s="17"/>
    </row>
    <row r="4995">
      <c r="A4995" s="21">
        <v>1123.0</v>
      </c>
      <c r="B4995" s="14" t="s">
        <v>90</v>
      </c>
      <c r="C4995" s="14" t="s">
        <v>14</v>
      </c>
      <c r="D4995" s="20" t="s">
        <v>22</v>
      </c>
      <c r="E4995" s="12" t="str">
        <f>IFERROR(__xludf.DUMMYFUNCTION("FILTER(colegios!$B$2:$B5618,colegios!$A$2:$A5618=L4995)"),"50977")</f>
        <v>50977</v>
      </c>
      <c r="F4995" s="14" t="s">
        <v>16</v>
      </c>
      <c r="G4995" s="20" t="s">
        <v>17</v>
      </c>
      <c r="H4995" s="14" t="s">
        <v>18</v>
      </c>
      <c r="I4995" s="22">
        <v>2022.0</v>
      </c>
      <c r="J4995" s="16" t="str">
        <f>IFERROR(__xludf.DUMMYFUNCTION("FILTER('CLASFICACIÓN'!$F$3:$F5618,'CLASFICACIÓN'!$G$3:$G5618=M4995)"),"LOS 3 AÑOS")</f>
        <v>LOS 3 AÑOS</v>
      </c>
      <c r="K4995" s="16"/>
      <c r="L4995" s="14" t="s">
        <v>178</v>
      </c>
      <c r="M4995" s="16" t="str">
        <f t="shared" si="1"/>
        <v>509776 Primaria</v>
      </c>
      <c r="N4995" s="23"/>
      <c r="O4995" s="17"/>
      <c r="P4995" s="17"/>
      <c r="Q4995" s="17"/>
      <c r="R4995" s="17"/>
      <c r="S4995" s="17"/>
      <c r="T4995" s="17"/>
    </row>
    <row r="4996">
      <c r="A4996" s="21">
        <v>1124.0</v>
      </c>
      <c r="B4996" s="14" t="s">
        <v>90</v>
      </c>
      <c r="C4996" s="14" t="s">
        <v>14</v>
      </c>
      <c r="D4996" s="20" t="s">
        <v>22</v>
      </c>
      <c r="E4996" s="12" t="str">
        <f>IFERROR(__xludf.DUMMYFUNCTION("FILTER(colegios!$B$2:$B5618,colegios!$A$2:$A5618=L4996)"),"50977")</f>
        <v>50977</v>
      </c>
      <c r="F4996" s="14" t="s">
        <v>16</v>
      </c>
      <c r="G4996" s="20" t="s">
        <v>17</v>
      </c>
      <c r="H4996" s="14" t="s">
        <v>18</v>
      </c>
      <c r="I4996" s="22">
        <v>2022.0</v>
      </c>
      <c r="J4996" s="16" t="str">
        <f>IFERROR(__xludf.DUMMYFUNCTION("FILTER('CLASFICACIÓN'!$F$3:$F5618,'CLASFICACIÓN'!$G$3:$G5618=M4996)"),"LOS 3 AÑOS")</f>
        <v>LOS 3 AÑOS</v>
      </c>
      <c r="K4996" s="16"/>
      <c r="L4996" s="14" t="s">
        <v>178</v>
      </c>
      <c r="M4996" s="16" t="str">
        <f t="shared" si="1"/>
        <v>509776 Primaria</v>
      </c>
      <c r="N4996" s="23"/>
      <c r="O4996" s="17"/>
      <c r="P4996" s="17"/>
      <c r="Q4996" s="17"/>
      <c r="R4996" s="17"/>
      <c r="S4996" s="17"/>
      <c r="T4996" s="17"/>
    </row>
    <row r="4997">
      <c r="A4997" s="21">
        <v>1125.0</v>
      </c>
      <c r="B4997" s="14" t="s">
        <v>90</v>
      </c>
      <c r="C4997" s="14" t="s">
        <v>14</v>
      </c>
      <c r="D4997" s="20" t="s">
        <v>22</v>
      </c>
      <c r="E4997" s="12" t="str">
        <f>IFERROR(__xludf.DUMMYFUNCTION("FILTER(colegios!$B$2:$B5618,colegios!$A$2:$A5618=L4997)"),"50977")</f>
        <v>50977</v>
      </c>
      <c r="F4997" s="14" t="s">
        <v>16</v>
      </c>
      <c r="G4997" s="20" t="s">
        <v>21</v>
      </c>
      <c r="H4997" s="14" t="s">
        <v>18</v>
      </c>
      <c r="I4997" s="22">
        <v>2022.0</v>
      </c>
      <c r="J4997" s="16" t="str">
        <f>IFERROR(__xludf.DUMMYFUNCTION("FILTER('CLASFICACIÓN'!$F$3:$F5618,'CLASFICACIÓN'!$G$3:$G5618=M4997)"),"LOS 3 AÑOS")</f>
        <v>LOS 3 AÑOS</v>
      </c>
      <c r="K4997" s="16"/>
      <c r="L4997" s="14" t="s">
        <v>178</v>
      </c>
      <c r="M4997" s="16" t="str">
        <f t="shared" si="1"/>
        <v>509776 Primaria</v>
      </c>
      <c r="N4997" s="23"/>
      <c r="O4997" s="17"/>
      <c r="P4997" s="17"/>
      <c r="Q4997" s="17"/>
      <c r="R4997" s="17"/>
      <c r="S4997" s="17"/>
      <c r="T4997" s="17"/>
    </row>
    <row r="4998">
      <c r="A4998" s="21">
        <v>1126.0</v>
      </c>
      <c r="B4998" s="14" t="s">
        <v>90</v>
      </c>
      <c r="C4998" s="14" t="s">
        <v>14</v>
      </c>
      <c r="D4998" s="20" t="s">
        <v>22</v>
      </c>
      <c r="E4998" s="12" t="str">
        <f>IFERROR(__xludf.DUMMYFUNCTION("FILTER(colegios!$B$2:$B5618,colegios!$A$2:$A5618=L4998)"),"50977")</f>
        <v>50977</v>
      </c>
      <c r="F4998" s="14" t="s">
        <v>16</v>
      </c>
      <c r="G4998" s="20" t="s">
        <v>17</v>
      </c>
      <c r="H4998" s="14" t="s">
        <v>18</v>
      </c>
      <c r="I4998" s="22">
        <v>2022.0</v>
      </c>
      <c r="J4998" s="16" t="str">
        <f>IFERROR(__xludf.DUMMYFUNCTION("FILTER('CLASFICACIÓN'!$F$3:$F5618,'CLASFICACIÓN'!$G$3:$G5618=M4998)"),"LOS 3 AÑOS")</f>
        <v>LOS 3 AÑOS</v>
      </c>
      <c r="K4998" s="16"/>
      <c r="L4998" s="14" t="s">
        <v>178</v>
      </c>
      <c r="M4998" s="16" t="str">
        <f t="shared" si="1"/>
        <v>509776 Primaria</v>
      </c>
      <c r="N4998" s="23"/>
      <c r="O4998" s="17"/>
      <c r="P4998" s="17"/>
      <c r="Q4998" s="17"/>
      <c r="R4998" s="17"/>
      <c r="S4998" s="17"/>
      <c r="T4998" s="17"/>
    </row>
    <row r="4999">
      <c r="A4999" s="21">
        <v>1127.0</v>
      </c>
      <c r="B4999" s="14" t="s">
        <v>90</v>
      </c>
      <c r="C4999" s="14" t="s">
        <v>14</v>
      </c>
      <c r="D4999" s="20" t="s">
        <v>22</v>
      </c>
      <c r="E4999" s="12" t="str">
        <f>IFERROR(__xludf.DUMMYFUNCTION("FILTER(colegios!$B$2:$B5618,colegios!$A$2:$A5618=L4999)"),"50977")</f>
        <v>50977</v>
      </c>
      <c r="F4999" s="14" t="s">
        <v>16</v>
      </c>
      <c r="G4999" s="20" t="s">
        <v>17</v>
      </c>
      <c r="H4999" s="14" t="s">
        <v>18</v>
      </c>
      <c r="I4999" s="22">
        <v>2022.0</v>
      </c>
      <c r="J4999" s="16" t="str">
        <f>IFERROR(__xludf.DUMMYFUNCTION("FILTER('CLASFICACIÓN'!$F$3:$F5618,'CLASFICACIÓN'!$G$3:$G5618=M4999)"),"LOS 3 AÑOS")</f>
        <v>LOS 3 AÑOS</v>
      </c>
      <c r="K4999" s="16"/>
      <c r="L4999" s="14" t="s">
        <v>178</v>
      </c>
      <c r="M4999" s="16" t="str">
        <f t="shared" si="1"/>
        <v>509776 Primaria</v>
      </c>
      <c r="N4999" s="23"/>
      <c r="O4999" s="17"/>
      <c r="P4999" s="17"/>
      <c r="Q4999" s="17"/>
      <c r="R4999" s="17"/>
      <c r="S4999" s="17"/>
      <c r="T4999" s="17"/>
    </row>
    <row r="5000">
      <c r="A5000" s="21">
        <v>1128.0</v>
      </c>
      <c r="B5000" s="14" t="s">
        <v>90</v>
      </c>
      <c r="C5000" s="14" t="s">
        <v>14</v>
      </c>
      <c r="D5000" s="20" t="s">
        <v>22</v>
      </c>
      <c r="E5000" s="12" t="str">
        <f>IFERROR(__xludf.DUMMYFUNCTION("FILTER(colegios!$B$2:$B5618,colegios!$A$2:$A5618=L5000)"),"50977")</f>
        <v>50977</v>
      </c>
      <c r="F5000" s="14" t="s">
        <v>16</v>
      </c>
      <c r="G5000" s="20" t="s">
        <v>17</v>
      </c>
      <c r="H5000" s="14" t="s">
        <v>18</v>
      </c>
      <c r="I5000" s="22">
        <v>2022.0</v>
      </c>
      <c r="J5000" s="16" t="str">
        <f>IFERROR(__xludf.DUMMYFUNCTION("FILTER('CLASFICACIÓN'!$F$3:$F5618,'CLASFICACIÓN'!$G$3:$G5618=M5000)"),"LOS 3 AÑOS")</f>
        <v>LOS 3 AÑOS</v>
      </c>
      <c r="K5000" s="16"/>
      <c r="L5000" s="14" t="s">
        <v>178</v>
      </c>
      <c r="M5000" s="16" t="str">
        <f t="shared" si="1"/>
        <v>509776 Primaria</v>
      </c>
      <c r="N5000" s="23"/>
      <c r="O5000" s="17"/>
      <c r="P5000" s="17"/>
      <c r="Q5000" s="17"/>
      <c r="R5000" s="17"/>
      <c r="S5000" s="17"/>
      <c r="T5000" s="17"/>
    </row>
    <row r="5001">
      <c r="A5001" s="21">
        <v>1129.0</v>
      </c>
      <c r="B5001" s="14" t="s">
        <v>90</v>
      </c>
      <c r="C5001" s="14" t="s">
        <v>14</v>
      </c>
      <c r="D5001" s="20" t="s">
        <v>22</v>
      </c>
      <c r="E5001" s="12" t="str">
        <f>IFERROR(__xludf.DUMMYFUNCTION("FILTER(colegios!$B$2:$B5618,colegios!$A$2:$A5618=L5001)"),"50977")</f>
        <v>50977</v>
      </c>
      <c r="F5001" s="14" t="s">
        <v>16</v>
      </c>
      <c r="G5001" s="20" t="s">
        <v>17</v>
      </c>
      <c r="H5001" s="14" t="s">
        <v>18</v>
      </c>
      <c r="I5001" s="22">
        <v>2022.0</v>
      </c>
      <c r="J5001" s="16" t="str">
        <f>IFERROR(__xludf.DUMMYFUNCTION("FILTER('CLASFICACIÓN'!$F$3:$F5618,'CLASFICACIÓN'!$G$3:$G5618=M5001)"),"LOS 3 AÑOS")</f>
        <v>LOS 3 AÑOS</v>
      </c>
      <c r="K5001" s="16"/>
      <c r="L5001" s="14" t="s">
        <v>178</v>
      </c>
      <c r="M5001" s="16" t="str">
        <f t="shared" si="1"/>
        <v>509776 Primaria</v>
      </c>
      <c r="N5001" s="23"/>
      <c r="O5001" s="17"/>
      <c r="P5001" s="17"/>
      <c r="Q5001" s="17"/>
      <c r="R5001" s="17"/>
      <c r="S5001" s="17"/>
      <c r="T5001" s="17"/>
    </row>
    <row r="5002">
      <c r="A5002" s="21">
        <v>1130.0</v>
      </c>
      <c r="B5002" s="14" t="s">
        <v>90</v>
      </c>
      <c r="C5002" s="14" t="s">
        <v>14</v>
      </c>
      <c r="D5002" s="20" t="s">
        <v>22</v>
      </c>
      <c r="E5002" s="12" t="str">
        <f>IFERROR(__xludf.DUMMYFUNCTION("FILTER(colegios!$B$2:$B5618,colegios!$A$2:$A5618=L5002)"),"50977")</f>
        <v>50977</v>
      </c>
      <c r="F5002" s="14" t="s">
        <v>16</v>
      </c>
      <c r="G5002" s="20" t="s">
        <v>17</v>
      </c>
      <c r="H5002" s="14" t="s">
        <v>18</v>
      </c>
      <c r="I5002" s="22">
        <v>2022.0</v>
      </c>
      <c r="J5002" s="16" t="str">
        <f>IFERROR(__xludf.DUMMYFUNCTION("FILTER('CLASFICACIÓN'!$F$3:$F5618,'CLASFICACIÓN'!$G$3:$G5618=M5002)"),"LOS 3 AÑOS")</f>
        <v>LOS 3 AÑOS</v>
      </c>
      <c r="K5002" s="16"/>
      <c r="L5002" s="14" t="s">
        <v>178</v>
      </c>
      <c r="M5002" s="16" t="str">
        <f t="shared" si="1"/>
        <v>509776 Primaria</v>
      </c>
      <c r="N5002" s="23"/>
      <c r="O5002" s="17"/>
      <c r="P5002" s="17"/>
      <c r="Q5002" s="17"/>
      <c r="R5002" s="17"/>
      <c r="S5002" s="17"/>
      <c r="T5002" s="17"/>
    </row>
    <row r="5003">
      <c r="A5003" s="21">
        <v>1131.0</v>
      </c>
      <c r="B5003" s="14" t="s">
        <v>90</v>
      </c>
      <c r="C5003" s="14" t="s">
        <v>14</v>
      </c>
      <c r="D5003" s="20" t="s">
        <v>22</v>
      </c>
      <c r="E5003" s="12" t="str">
        <f>IFERROR(__xludf.DUMMYFUNCTION("FILTER(colegios!$B$2:$B5618,colegios!$A$2:$A5618=L5003)"),"50977")</f>
        <v>50977</v>
      </c>
      <c r="F5003" s="14" t="s">
        <v>16</v>
      </c>
      <c r="G5003" s="20" t="s">
        <v>17</v>
      </c>
      <c r="H5003" s="14" t="s">
        <v>18</v>
      </c>
      <c r="I5003" s="22">
        <v>2022.0</v>
      </c>
      <c r="J5003" s="16" t="str">
        <f>IFERROR(__xludf.DUMMYFUNCTION("FILTER('CLASFICACIÓN'!$F$3:$F5618,'CLASFICACIÓN'!$G$3:$G5618=M5003)"),"LOS 3 AÑOS")</f>
        <v>LOS 3 AÑOS</v>
      </c>
      <c r="K5003" s="16"/>
      <c r="L5003" s="14" t="s">
        <v>178</v>
      </c>
      <c r="M5003" s="16" t="str">
        <f t="shared" si="1"/>
        <v>509776 Primaria</v>
      </c>
      <c r="N5003" s="23"/>
      <c r="O5003" s="17"/>
      <c r="P5003" s="17"/>
      <c r="Q5003" s="17"/>
      <c r="R5003" s="17"/>
      <c r="S5003" s="17"/>
      <c r="T5003" s="17"/>
    </row>
    <row r="5004">
      <c r="A5004" s="21">
        <v>1132.0</v>
      </c>
      <c r="B5004" s="14" t="s">
        <v>90</v>
      </c>
      <c r="C5004" s="14" t="s">
        <v>14</v>
      </c>
      <c r="D5004" s="20" t="s">
        <v>22</v>
      </c>
      <c r="E5004" s="12" t="str">
        <f>IFERROR(__xludf.DUMMYFUNCTION("FILTER(colegios!$B$2:$B5618,colegios!$A$2:$A5618=L5004)"),"50977")</f>
        <v>50977</v>
      </c>
      <c r="F5004" s="14" t="s">
        <v>16</v>
      </c>
      <c r="G5004" s="20" t="s">
        <v>17</v>
      </c>
      <c r="H5004" s="14" t="s">
        <v>24</v>
      </c>
      <c r="I5004" s="22">
        <v>2022.0</v>
      </c>
      <c r="J5004" s="16" t="str">
        <f>IFERROR(__xludf.DUMMYFUNCTION("FILTER('CLASFICACIÓN'!$F$3:$F5618,'CLASFICACIÓN'!$G$3:$G5618=M5004)"),"LOS 3 AÑOS")</f>
        <v>LOS 3 AÑOS</v>
      </c>
      <c r="K5004" s="16"/>
      <c r="L5004" s="14" t="s">
        <v>178</v>
      </c>
      <c r="M5004" s="16" t="str">
        <f t="shared" si="1"/>
        <v>509776 Primaria</v>
      </c>
      <c r="N5004" s="23"/>
      <c r="O5004" s="17"/>
      <c r="P5004" s="17"/>
      <c r="Q5004" s="17"/>
      <c r="R5004" s="17"/>
      <c r="S5004" s="17"/>
      <c r="T5004" s="17"/>
    </row>
    <row r="5005">
      <c r="A5005" s="21">
        <v>1133.0</v>
      </c>
      <c r="B5005" s="14" t="s">
        <v>90</v>
      </c>
      <c r="C5005" s="14" t="s">
        <v>14</v>
      </c>
      <c r="D5005" s="20" t="s">
        <v>22</v>
      </c>
      <c r="E5005" s="12" t="str">
        <f>IFERROR(__xludf.DUMMYFUNCTION("FILTER(colegios!$B$2:$B5618,colegios!$A$2:$A5618=L5005)"),"50977")</f>
        <v>50977</v>
      </c>
      <c r="F5005" s="14" t="s">
        <v>16</v>
      </c>
      <c r="G5005" s="20" t="s">
        <v>17</v>
      </c>
      <c r="H5005" s="14" t="s">
        <v>24</v>
      </c>
      <c r="I5005" s="22">
        <v>2022.0</v>
      </c>
      <c r="J5005" s="16" t="str">
        <f>IFERROR(__xludf.DUMMYFUNCTION("FILTER('CLASFICACIÓN'!$F$3:$F5618,'CLASFICACIÓN'!$G$3:$G5618=M5005)"),"LOS 3 AÑOS")</f>
        <v>LOS 3 AÑOS</v>
      </c>
      <c r="K5005" s="16"/>
      <c r="L5005" s="14" t="s">
        <v>178</v>
      </c>
      <c r="M5005" s="16" t="str">
        <f t="shared" si="1"/>
        <v>509776 Primaria</v>
      </c>
      <c r="N5005" s="23"/>
      <c r="O5005" s="17"/>
      <c r="P5005" s="17"/>
      <c r="Q5005" s="17"/>
      <c r="R5005" s="17"/>
      <c r="S5005" s="17"/>
      <c r="T5005" s="17"/>
    </row>
    <row r="5006">
      <c r="A5006" s="21">
        <v>1134.0</v>
      </c>
      <c r="B5006" s="14" t="s">
        <v>90</v>
      </c>
      <c r="C5006" s="14" t="s">
        <v>14</v>
      </c>
      <c r="D5006" s="20" t="s">
        <v>22</v>
      </c>
      <c r="E5006" s="12" t="str">
        <f>IFERROR(__xludf.DUMMYFUNCTION("FILTER(colegios!$B$2:$B5618,colegios!$A$2:$A5618=L5006)"),"50977")</f>
        <v>50977</v>
      </c>
      <c r="F5006" s="14" t="s">
        <v>16</v>
      </c>
      <c r="G5006" s="20" t="s">
        <v>17</v>
      </c>
      <c r="H5006" s="14" t="s">
        <v>24</v>
      </c>
      <c r="I5006" s="22">
        <v>2022.0</v>
      </c>
      <c r="J5006" s="16" t="str">
        <f>IFERROR(__xludf.DUMMYFUNCTION("FILTER('CLASFICACIÓN'!$F$3:$F5618,'CLASFICACIÓN'!$G$3:$G5618=M5006)"),"LOS 3 AÑOS")</f>
        <v>LOS 3 AÑOS</v>
      </c>
      <c r="K5006" s="16"/>
      <c r="L5006" s="14" t="s">
        <v>178</v>
      </c>
      <c r="M5006" s="16" t="str">
        <f t="shared" si="1"/>
        <v>509776 Primaria</v>
      </c>
      <c r="N5006" s="23"/>
      <c r="O5006" s="17"/>
      <c r="P5006" s="17"/>
      <c r="Q5006" s="17"/>
      <c r="R5006" s="17"/>
      <c r="S5006" s="17"/>
      <c r="T5006" s="17"/>
    </row>
    <row r="5007">
      <c r="A5007" s="21">
        <v>1135.0</v>
      </c>
      <c r="B5007" s="14" t="s">
        <v>90</v>
      </c>
      <c r="C5007" s="14" t="s">
        <v>14</v>
      </c>
      <c r="D5007" s="20" t="s">
        <v>22</v>
      </c>
      <c r="E5007" s="12" t="str">
        <f>IFERROR(__xludf.DUMMYFUNCTION("FILTER(colegios!$B$2:$B5618,colegios!$A$2:$A5618=L5007)"),"50977")</f>
        <v>50977</v>
      </c>
      <c r="F5007" s="14" t="s">
        <v>16</v>
      </c>
      <c r="G5007" s="20" t="s">
        <v>17</v>
      </c>
      <c r="H5007" s="14" t="s">
        <v>24</v>
      </c>
      <c r="I5007" s="22">
        <v>2022.0</v>
      </c>
      <c r="J5007" s="16" t="str">
        <f>IFERROR(__xludf.DUMMYFUNCTION("FILTER('CLASFICACIÓN'!$F$3:$F5618,'CLASFICACIÓN'!$G$3:$G5618=M5007)"),"LOS 3 AÑOS")</f>
        <v>LOS 3 AÑOS</v>
      </c>
      <c r="K5007" s="16"/>
      <c r="L5007" s="14" t="s">
        <v>178</v>
      </c>
      <c r="M5007" s="16" t="str">
        <f t="shared" si="1"/>
        <v>509776 Primaria</v>
      </c>
      <c r="N5007" s="23"/>
      <c r="O5007" s="17"/>
      <c r="P5007" s="17"/>
      <c r="Q5007" s="17"/>
      <c r="R5007" s="17"/>
      <c r="S5007" s="17"/>
      <c r="T5007" s="17"/>
    </row>
    <row r="5008">
      <c r="A5008" s="21">
        <v>1136.0</v>
      </c>
      <c r="B5008" s="14" t="s">
        <v>90</v>
      </c>
      <c r="C5008" s="14" t="s">
        <v>14</v>
      </c>
      <c r="D5008" s="20" t="s">
        <v>22</v>
      </c>
      <c r="E5008" s="12" t="str">
        <f>IFERROR(__xludf.DUMMYFUNCTION("FILTER(colegios!$B$2:$B5618,colegios!$A$2:$A5618=L5008)"),"50977")</f>
        <v>50977</v>
      </c>
      <c r="F5008" s="14" t="s">
        <v>16</v>
      </c>
      <c r="G5008" s="20" t="s">
        <v>17</v>
      </c>
      <c r="H5008" s="14" t="s">
        <v>24</v>
      </c>
      <c r="I5008" s="22">
        <v>2022.0</v>
      </c>
      <c r="J5008" s="16" t="str">
        <f>IFERROR(__xludf.DUMMYFUNCTION("FILTER('CLASFICACIÓN'!$F$3:$F5618,'CLASFICACIÓN'!$G$3:$G5618=M5008)"),"LOS 3 AÑOS")</f>
        <v>LOS 3 AÑOS</v>
      </c>
      <c r="K5008" s="16"/>
      <c r="L5008" s="14" t="s">
        <v>178</v>
      </c>
      <c r="M5008" s="16" t="str">
        <f t="shared" si="1"/>
        <v>509776 Primaria</v>
      </c>
      <c r="N5008" s="23"/>
      <c r="O5008" s="17"/>
      <c r="P5008" s="17"/>
      <c r="Q5008" s="17"/>
      <c r="R5008" s="17"/>
      <c r="S5008" s="17"/>
      <c r="T5008" s="17"/>
    </row>
    <row r="5009">
      <c r="A5009" s="21">
        <v>1137.0</v>
      </c>
      <c r="B5009" s="14" t="s">
        <v>90</v>
      </c>
      <c r="C5009" s="14" t="s">
        <v>14</v>
      </c>
      <c r="D5009" s="20" t="s">
        <v>22</v>
      </c>
      <c r="E5009" s="12" t="str">
        <f>IFERROR(__xludf.DUMMYFUNCTION("FILTER(colegios!$B$2:$B5618,colegios!$A$2:$A5618=L5009)"),"50977")</f>
        <v>50977</v>
      </c>
      <c r="F5009" s="14" t="s">
        <v>16</v>
      </c>
      <c r="G5009" s="20" t="s">
        <v>17</v>
      </c>
      <c r="H5009" s="14" t="s">
        <v>24</v>
      </c>
      <c r="I5009" s="22">
        <v>2022.0</v>
      </c>
      <c r="J5009" s="16" t="str">
        <f>IFERROR(__xludf.DUMMYFUNCTION("FILTER('CLASFICACIÓN'!$F$3:$F5618,'CLASFICACIÓN'!$G$3:$G5618=M5009)"),"LOS 3 AÑOS")</f>
        <v>LOS 3 AÑOS</v>
      </c>
      <c r="K5009" s="16"/>
      <c r="L5009" s="14" t="s">
        <v>178</v>
      </c>
      <c r="M5009" s="16" t="str">
        <f t="shared" si="1"/>
        <v>509776 Primaria</v>
      </c>
      <c r="N5009" s="23"/>
      <c r="O5009" s="17"/>
      <c r="P5009" s="17"/>
      <c r="Q5009" s="17"/>
      <c r="R5009" s="17"/>
      <c r="S5009" s="17"/>
      <c r="T5009" s="17"/>
    </row>
    <row r="5010">
      <c r="A5010" s="21">
        <v>1138.0</v>
      </c>
      <c r="B5010" s="14" t="s">
        <v>90</v>
      </c>
      <c r="C5010" s="14" t="s">
        <v>14</v>
      </c>
      <c r="D5010" s="20" t="s">
        <v>22</v>
      </c>
      <c r="E5010" s="12" t="str">
        <f>IFERROR(__xludf.DUMMYFUNCTION("FILTER(colegios!$B$2:$B5618,colegios!$A$2:$A5618=L5010)"),"50977")</f>
        <v>50977</v>
      </c>
      <c r="F5010" s="14" t="s">
        <v>16</v>
      </c>
      <c r="G5010" s="20" t="s">
        <v>17</v>
      </c>
      <c r="H5010" s="14" t="s">
        <v>24</v>
      </c>
      <c r="I5010" s="22">
        <v>2022.0</v>
      </c>
      <c r="J5010" s="16" t="str">
        <f>IFERROR(__xludf.DUMMYFUNCTION("FILTER('CLASFICACIÓN'!$F$3:$F5618,'CLASFICACIÓN'!$G$3:$G5618=M5010)"),"LOS 3 AÑOS")</f>
        <v>LOS 3 AÑOS</v>
      </c>
      <c r="K5010" s="16"/>
      <c r="L5010" s="14" t="s">
        <v>178</v>
      </c>
      <c r="M5010" s="16" t="str">
        <f t="shared" si="1"/>
        <v>509776 Primaria</v>
      </c>
      <c r="N5010" s="23"/>
      <c r="O5010" s="17"/>
      <c r="P5010" s="17"/>
      <c r="Q5010" s="17"/>
      <c r="R5010" s="17"/>
      <c r="S5010" s="17"/>
      <c r="T5010" s="17"/>
    </row>
    <row r="5011">
      <c r="A5011" s="21">
        <v>1139.0</v>
      </c>
      <c r="B5011" s="14" t="s">
        <v>90</v>
      </c>
      <c r="C5011" s="14" t="s">
        <v>14</v>
      </c>
      <c r="D5011" s="20" t="s">
        <v>22</v>
      </c>
      <c r="E5011" s="12" t="str">
        <f>IFERROR(__xludf.DUMMYFUNCTION("FILTER(colegios!$B$2:$B5618,colegios!$A$2:$A5618=L5011)"),"50977")</f>
        <v>50977</v>
      </c>
      <c r="F5011" s="14" t="s">
        <v>16</v>
      </c>
      <c r="G5011" s="20" t="s">
        <v>17</v>
      </c>
      <c r="H5011" s="14" t="s">
        <v>24</v>
      </c>
      <c r="I5011" s="22">
        <v>2022.0</v>
      </c>
      <c r="J5011" s="16" t="str">
        <f>IFERROR(__xludf.DUMMYFUNCTION("FILTER('CLASFICACIÓN'!$F$3:$F5618,'CLASFICACIÓN'!$G$3:$G5618=M5011)"),"LOS 3 AÑOS")</f>
        <v>LOS 3 AÑOS</v>
      </c>
      <c r="K5011" s="16"/>
      <c r="L5011" s="14" t="s">
        <v>178</v>
      </c>
      <c r="M5011" s="16" t="str">
        <f t="shared" si="1"/>
        <v>509776 Primaria</v>
      </c>
      <c r="N5011" s="23"/>
      <c r="O5011" s="17"/>
      <c r="P5011" s="17"/>
      <c r="Q5011" s="17"/>
      <c r="R5011" s="17"/>
      <c r="S5011" s="17"/>
      <c r="T5011" s="17"/>
    </row>
    <row r="5012">
      <c r="A5012" s="21">
        <v>1140.0</v>
      </c>
      <c r="B5012" s="14" t="s">
        <v>90</v>
      </c>
      <c r="C5012" s="14" t="s">
        <v>14</v>
      </c>
      <c r="D5012" s="20" t="s">
        <v>22</v>
      </c>
      <c r="E5012" s="12" t="str">
        <f>IFERROR(__xludf.DUMMYFUNCTION("FILTER(colegios!$B$2:$B5618,colegios!$A$2:$A5618=L5012)"),"50977")</f>
        <v>50977</v>
      </c>
      <c r="F5012" s="14" t="s">
        <v>16</v>
      </c>
      <c r="G5012" s="20" t="s">
        <v>21</v>
      </c>
      <c r="H5012" s="14" t="s">
        <v>24</v>
      </c>
      <c r="I5012" s="22">
        <v>2022.0</v>
      </c>
      <c r="J5012" s="16" t="str">
        <f>IFERROR(__xludf.DUMMYFUNCTION("FILTER('CLASFICACIÓN'!$F$3:$F5618,'CLASFICACIÓN'!$G$3:$G5618=M5012)"),"LOS 3 AÑOS")</f>
        <v>LOS 3 AÑOS</v>
      </c>
      <c r="K5012" s="16"/>
      <c r="L5012" s="14" t="s">
        <v>178</v>
      </c>
      <c r="M5012" s="16" t="str">
        <f t="shared" si="1"/>
        <v>509776 Primaria</v>
      </c>
      <c r="N5012" s="23"/>
      <c r="O5012" s="17"/>
      <c r="P5012" s="17"/>
      <c r="Q5012" s="17"/>
      <c r="R5012" s="17"/>
      <c r="S5012" s="17"/>
      <c r="T5012" s="17"/>
    </row>
    <row r="5013">
      <c r="A5013" s="21">
        <v>1141.0</v>
      </c>
      <c r="B5013" s="14" t="s">
        <v>90</v>
      </c>
      <c r="C5013" s="14" t="s">
        <v>14</v>
      </c>
      <c r="D5013" s="20" t="s">
        <v>22</v>
      </c>
      <c r="E5013" s="12" t="str">
        <f>IFERROR(__xludf.DUMMYFUNCTION("FILTER(colegios!$B$2:$B5618,colegios!$A$2:$A5618=L5013)"),"50977")</f>
        <v>50977</v>
      </c>
      <c r="F5013" s="14" t="s">
        <v>16</v>
      </c>
      <c r="G5013" s="20" t="s">
        <v>17</v>
      </c>
      <c r="H5013" s="14" t="s">
        <v>24</v>
      </c>
      <c r="I5013" s="22">
        <v>2022.0</v>
      </c>
      <c r="J5013" s="16" t="str">
        <f>IFERROR(__xludf.DUMMYFUNCTION("FILTER('CLASFICACIÓN'!$F$3:$F5618,'CLASFICACIÓN'!$G$3:$G5618=M5013)"),"LOS 3 AÑOS")</f>
        <v>LOS 3 AÑOS</v>
      </c>
      <c r="K5013" s="16"/>
      <c r="L5013" s="14" t="s">
        <v>178</v>
      </c>
      <c r="M5013" s="16" t="str">
        <f t="shared" si="1"/>
        <v>509776 Primaria</v>
      </c>
      <c r="N5013" s="23"/>
      <c r="O5013" s="17"/>
      <c r="P5013" s="17"/>
      <c r="Q5013" s="17"/>
      <c r="R5013" s="17"/>
      <c r="S5013" s="17"/>
      <c r="T5013" s="17"/>
    </row>
    <row r="5014">
      <c r="A5014" s="21">
        <v>1142.0</v>
      </c>
      <c r="B5014" s="14" t="s">
        <v>90</v>
      </c>
      <c r="C5014" s="14" t="s">
        <v>14</v>
      </c>
      <c r="D5014" s="20" t="s">
        <v>22</v>
      </c>
      <c r="E5014" s="12" t="str">
        <f>IFERROR(__xludf.DUMMYFUNCTION("FILTER(colegios!$B$2:$B5618,colegios!$A$2:$A5618=L5014)"),"50977")</f>
        <v>50977</v>
      </c>
      <c r="F5014" s="14" t="s">
        <v>16</v>
      </c>
      <c r="G5014" s="20" t="s">
        <v>21</v>
      </c>
      <c r="H5014" s="14" t="s">
        <v>24</v>
      </c>
      <c r="I5014" s="22">
        <v>2022.0</v>
      </c>
      <c r="J5014" s="16" t="str">
        <f>IFERROR(__xludf.DUMMYFUNCTION("FILTER('CLASFICACIÓN'!$F$3:$F5618,'CLASFICACIÓN'!$G$3:$G5618=M5014)"),"LOS 3 AÑOS")</f>
        <v>LOS 3 AÑOS</v>
      </c>
      <c r="K5014" s="16"/>
      <c r="L5014" s="14" t="s">
        <v>178</v>
      </c>
      <c r="M5014" s="16" t="str">
        <f t="shared" si="1"/>
        <v>509776 Primaria</v>
      </c>
      <c r="N5014" s="23"/>
      <c r="O5014" s="17"/>
      <c r="P5014" s="17"/>
      <c r="Q5014" s="17"/>
      <c r="R5014" s="17"/>
      <c r="S5014" s="17"/>
      <c r="T5014" s="17"/>
    </row>
    <row r="5015">
      <c r="A5015" s="21">
        <v>1143.0</v>
      </c>
      <c r="B5015" s="14" t="s">
        <v>90</v>
      </c>
      <c r="C5015" s="14" t="s">
        <v>14</v>
      </c>
      <c r="D5015" s="20" t="s">
        <v>22</v>
      </c>
      <c r="E5015" s="12" t="str">
        <f>IFERROR(__xludf.DUMMYFUNCTION("FILTER(colegios!$B$2:$B5618,colegios!$A$2:$A5618=L5015)"),"50977")</f>
        <v>50977</v>
      </c>
      <c r="F5015" s="14" t="s">
        <v>16</v>
      </c>
      <c r="G5015" s="20" t="s">
        <v>21</v>
      </c>
      <c r="H5015" s="14" t="s">
        <v>24</v>
      </c>
      <c r="I5015" s="22">
        <v>2022.0</v>
      </c>
      <c r="J5015" s="16" t="str">
        <f>IFERROR(__xludf.DUMMYFUNCTION("FILTER('CLASFICACIÓN'!$F$3:$F5618,'CLASFICACIÓN'!$G$3:$G5618=M5015)"),"LOS 3 AÑOS")</f>
        <v>LOS 3 AÑOS</v>
      </c>
      <c r="K5015" s="16"/>
      <c r="L5015" s="14" t="s">
        <v>178</v>
      </c>
      <c r="M5015" s="16" t="str">
        <f t="shared" si="1"/>
        <v>509776 Primaria</v>
      </c>
      <c r="N5015" s="23"/>
      <c r="O5015" s="17"/>
      <c r="P5015" s="17"/>
      <c r="Q5015" s="17"/>
      <c r="R5015" s="17"/>
      <c r="S5015" s="17"/>
      <c r="T5015" s="17"/>
    </row>
    <row r="5016">
      <c r="A5016" s="21">
        <v>1144.0</v>
      </c>
      <c r="B5016" s="14" t="s">
        <v>90</v>
      </c>
      <c r="C5016" s="14" t="s">
        <v>14</v>
      </c>
      <c r="D5016" s="20" t="s">
        <v>22</v>
      </c>
      <c r="E5016" s="12" t="str">
        <f>IFERROR(__xludf.DUMMYFUNCTION("FILTER(colegios!$B$2:$B5618,colegios!$A$2:$A5618=L5016)"),"50977")</f>
        <v>50977</v>
      </c>
      <c r="F5016" s="14" t="s">
        <v>16</v>
      </c>
      <c r="G5016" s="20" t="s">
        <v>21</v>
      </c>
      <c r="H5016" s="14" t="s">
        <v>24</v>
      </c>
      <c r="I5016" s="22">
        <v>2022.0</v>
      </c>
      <c r="J5016" s="16" t="str">
        <f>IFERROR(__xludf.DUMMYFUNCTION("FILTER('CLASFICACIÓN'!$F$3:$F5618,'CLASFICACIÓN'!$G$3:$G5618=M5016)"),"LOS 3 AÑOS")</f>
        <v>LOS 3 AÑOS</v>
      </c>
      <c r="K5016" s="16"/>
      <c r="L5016" s="14" t="s">
        <v>178</v>
      </c>
      <c r="M5016" s="16" t="str">
        <f t="shared" si="1"/>
        <v>509776 Primaria</v>
      </c>
      <c r="N5016" s="23"/>
      <c r="O5016" s="17"/>
      <c r="P5016" s="17"/>
      <c r="Q5016" s="17"/>
      <c r="R5016" s="17"/>
      <c r="S5016" s="17"/>
      <c r="T5016" s="17"/>
    </row>
    <row r="5017">
      <c r="A5017" s="21">
        <v>1145.0</v>
      </c>
      <c r="B5017" s="14" t="s">
        <v>90</v>
      </c>
      <c r="C5017" s="14" t="s">
        <v>14</v>
      </c>
      <c r="D5017" s="20" t="s">
        <v>22</v>
      </c>
      <c r="E5017" s="12" t="str">
        <f>IFERROR(__xludf.DUMMYFUNCTION("FILTER(colegios!$B$2:$B5618,colegios!$A$2:$A5618=L5017)"),"50977")</f>
        <v>50977</v>
      </c>
      <c r="F5017" s="14" t="s">
        <v>16</v>
      </c>
      <c r="G5017" s="20" t="s">
        <v>17</v>
      </c>
      <c r="H5017" s="14" t="s">
        <v>24</v>
      </c>
      <c r="I5017" s="22">
        <v>2022.0</v>
      </c>
      <c r="J5017" s="16" t="str">
        <f>IFERROR(__xludf.DUMMYFUNCTION("FILTER('CLASFICACIÓN'!$F$3:$F5618,'CLASFICACIÓN'!$G$3:$G5618=M5017)"),"LOS 3 AÑOS")</f>
        <v>LOS 3 AÑOS</v>
      </c>
      <c r="K5017" s="16"/>
      <c r="L5017" s="14" t="s">
        <v>178</v>
      </c>
      <c r="M5017" s="16" t="str">
        <f t="shared" si="1"/>
        <v>509776 Primaria</v>
      </c>
      <c r="N5017" s="23"/>
      <c r="O5017" s="17"/>
      <c r="P5017" s="17"/>
      <c r="Q5017" s="17"/>
      <c r="R5017" s="17"/>
      <c r="S5017" s="17"/>
      <c r="T5017" s="17"/>
    </row>
    <row r="5018">
      <c r="A5018" s="21">
        <v>1146.0</v>
      </c>
      <c r="B5018" s="14" t="s">
        <v>90</v>
      </c>
      <c r="C5018" s="14" t="s">
        <v>14</v>
      </c>
      <c r="D5018" s="20" t="s">
        <v>22</v>
      </c>
      <c r="E5018" s="12" t="str">
        <f>IFERROR(__xludf.DUMMYFUNCTION("FILTER(colegios!$B$2:$B5618,colegios!$A$2:$A5618=L5018)"),"50977")</f>
        <v>50977</v>
      </c>
      <c r="F5018" s="14" t="s">
        <v>16</v>
      </c>
      <c r="G5018" s="20" t="s">
        <v>21</v>
      </c>
      <c r="H5018" s="14" t="s">
        <v>24</v>
      </c>
      <c r="I5018" s="22">
        <v>2022.0</v>
      </c>
      <c r="J5018" s="16" t="str">
        <f>IFERROR(__xludf.DUMMYFUNCTION("FILTER('CLASFICACIÓN'!$F$3:$F5618,'CLASFICACIÓN'!$G$3:$G5618=M5018)"),"LOS 3 AÑOS")</f>
        <v>LOS 3 AÑOS</v>
      </c>
      <c r="K5018" s="16"/>
      <c r="L5018" s="14" t="s">
        <v>178</v>
      </c>
      <c r="M5018" s="16" t="str">
        <f t="shared" si="1"/>
        <v>509776 Primaria</v>
      </c>
      <c r="N5018" s="23"/>
      <c r="O5018" s="17"/>
      <c r="P5018" s="17"/>
      <c r="Q5018" s="17"/>
      <c r="R5018" s="17"/>
      <c r="S5018" s="17"/>
      <c r="T5018" s="17"/>
    </row>
    <row r="5019">
      <c r="A5019" s="21">
        <v>1147.0</v>
      </c>
      <c r="B5019" s="14" t="s">
        <v>90</v>
      </c>
      <c r="C5019" s="14" t="s">
        <v>14</v>
      </c>
      <c r="D5019" s="20" t="s">
        <v>22</v>
      </c>
      <c r="E5019" s="12" t="str">
        <f>IFERROR(__xludf.DUMMYFUNCTION("FILTER(colegios!$B$2:$B5618,colegios!$A$2:$A5618=L5019)"),"50977")</f>
        <v>50977</v>
      </c>
      <c r="F5019" s="14" t="s">
        <v>16</v>
      </c>
      <c r="G5019" s="20" t="s">
        <v>17</v>
      </c>
      <c r="H5019" s="14" t="s">
        <v>24</v>
      </c>
      <c r="I5019" s="22">
        <v>2022.0</v>
      </c>
      <c r="J5019" s="16" t="str">
        <f>IFERROR(__xludf.DUMMYFUNCTION("FILTER('CLASFICACIÓN'!$F$3:$F5618,'CLASFICACIÓN'!$G$3:$G5618=M5019)"),"LOS 3 AÑOS")</f>
        <v>LOS 3 AÑOS</v>
      </c>
      <c r="K5019" s="16"/>
      <c r="L5019" s="14" t="s">
        <v>178</v>
      </c>
      <c r="M5019" s="16" t="str">
        <f t="shared" si="1"/>
        <v>509776 Primaria</v>
      </c>
      <c r="N5019" s="23"/>
      <c r="O5019" s="17"/>
      <c r="P5019" s="17"/>
      <c r="Q5019" s="17"/>
      <c r="R5019" s="17"/>
      <c r="S5019" s="17"/>
      <c r="T5019" s="17"/>
    </row>
    <row r="5020">
      <c r="A5020" s="21">
        <v>1148.0</v>
      </c>
      <c r="B5020" s="14" t="s">
        <v>90</v>
      </c>
      <c r="C5020" s="14" t="s">
        <v>14</v>
      </c>
      <c r="D5020" s="20" t="s">
        <v>22</v>
      </c>
      <c r="E5020" s="12" t="str">
        <f>IFERROR(__xludf.DUMMYFUNCTION("FILTER(colegios!$B$2:$B5618,colegios!$A$2:$A5618=L5020)"),"50977")</f>
        <v>50977</v>
      </c>
      <c r="F5020" s="14" t="s">
        <v>16</v>
      </c>
      <c r="G5020" s="20" t="s">
        <v>17</v>
      </c>
      <c r="H5020" s="14" t="s">
        <v>24</v>
      </c>
      <c r="I5020" s="22">
        <v>2022.0</v>
      </c>
      <c r="J5020" s="16" t="str">
        <f>IFERROR(__xludf.DUMMYFUNCTION("FILTER('CLASFICACIÓN'!$F$3:$F5618,'CLASFICACIÓN'!$G$3:$G5618=M5020)"),"LOS 3 AÑOS")</f>
        <v>LOS 3 AÑOS</v>
      </c>
      <c r="K5020" s="16"/>
      <c r="L5020" s="14" t="s">
        <v>178</v>
      </c>
      <c r="M5020" s="16" t="str">
        <f t="shared" si="1"/>
        <v>509776 Primaria</v>
      </c>
      <c r="N5020" s="23"/>
      <c r="O5020" s="17"/>
      <c r="P5020" s="17"/>
      <c r="Q5020" s="17"/>
      <c r="R5020" s="17"/>
      <c r="S5020" s="17"/>
      <c r="T5020" s="17"/>
    </row>
    <row r="5021">
      <c r="A5021" s="21">
        <v>1149.0</v>
      </c>
      <c r="B5021" s="14" t="s">
        <v>90</v>
      </c>
      <c r="C5021" s="14" t="s">
        <v>14</v>
      </c>
      <c r="D5021" s="20" t="s">
        <v>22</v>
      </c>
      <c r="E5021" s="12" t="str">
        <f>IFERROR(__xludf.DUMMYFUNCTION("FILTER(colegios!$B$2:$B5618,colegios!$A$2:$A5618=L5021)"),"50977")</f>
        <v>50977</v>
      </c>
      <c r="F5021" s="14" t="s">
        <v>16</v>
      </c>
      <c r="G5021" s="20" t="s">
        <v>21</v>
      </c>
      <c r="H5021" s="14" t="s">
        <v>24</v>
      </c>
      <c r="I5021" s="22">
        <v>2022.0</v>
      </c>
      <c r="J5021" s="16" t="str">
        <f>IFERROR(__xludf.DUMMYFUNCTION("FILTER('CLASFICACIÓN'!$F$3:$F5618,'CLASFICACIÓN'!$G$3:$G5618=M5021)"),"LOS 3 AÑOS")</f>
        <v>LOS 3 AÑOS</v>
      </c>
      <c r="K5021" s="16"/>
      <c r="L5021" s="14" t="s">
        <v>178</v>
      </c>
      <c r="M5021" s="16" t="str">
        <f t="shared" si="1"/>
        <v>509776 Primaria</v>
      </c>
      <c r="N5021" s="23"/>
      <c r="O5021" s="17"/>
      <c r="P5021" s="17"/>
      <c r="Q5021" s="17"/>
      <c r="R5021" s="17"/>
      <c r="S5021" s="17"/>
      <c r="T5021" s="17"/>
    </row>
    <row r="5022">
      <c r="A5022" s="21">
        <v>1150.0</v>
      </c>
      <c r="B5022" s="14" t="s">
        <v>90</v>
      </c>
      <c r="C5022" s="14" t="s">
        <v>14</v>
      </c>
      <c r="D5022" s="20" t="s">
        <v>22</v>
      </c>
      <c r="E5022" s="12" t="str">
        <f>IFERROR(__xludf.DUMMYFUNCTION("FILTER(colegios!$B$2:$B5618,colegios!$A$2:$A5618=L5022)"),"50977")</f>
        <v>50977</v>
      </c>
      <c r="F5022" s="14" t="s">
        <v>16</v>
      </c>
      <c r="G5022" s="20" t="s">
        <v>17</v>
      </c>
      <c r="H5022" s="14" t="s">
        <v>24</v>
      </c>
      <c r="I5022" s="22">
        <v>2022.0</v>
      </c>
      <c r="J5022" s="16" t="str">
        <f>IFERROR(__xludf.DUMMYFUNCTION("FILTER('CLASFICACIÓN'!$F$3:$F5618,'CLASFICACIÓN'!$G$3:$G5618=M5022)"),"LOS 3 AÑOS")</f>
        <v>LOS 3 AÑOS</v>
      </c>
      <c r="K5022" s="16"/>
      <c r="L5022" s="14" t="s">
        <v>178</v>
      </c>
      <c r="M5022" s="16" t="str">
        <f t="shared" si="1"/>
        <v>509776 Primaria</v>
      </c>
      <c r="N5022" s="23"/>
      <c r="O5022" s="17"/>
      <c r="P5022" s="17"/>
      <c r="Q5022" s="17"/>
      <c r="R5022" s="17"/>
      <c r="S5022" s="17"/>
      <c r="T5022" s="17"/>
    </row>
    <row r="5023">
      <c r="A5023" s="21">
        <v>1151.0</v>
      </c>
      <c r="B5023" s="14" t="s">
        <v>90</v>
      </c>
      <c r="C5023" s="14" t="s">
        <v>14</v>
      </c>
      <c r="D5023" s="20" t="s">
        <v>22</v>
      </c>
      <c r="E5023" s="12" t="str">
        <f>IFERROR(__xludf.DUMMYFUNCTION("FILTER(colegios!$B$2:$B5618,colegios!$A$2:$A5618=L5023)"),"50977")</f>
        <v>50977</v>
      </c>
      <c r="F5023" s="14" t="s">
        <v>16</v>
      </c>
      <c r="G5023" s="20" t="s">
        <v>21</v>
      </c>
      <c r="H5023" s="14" t="s">
        <v>24</v>
      </c>
      <c r="I5023" s="22">
        <v>2022.0</v>
      </c>
      <c r="J5023" s="16" t="str">
        <f>IFERROR(__xludf.DUMMYFUNCTION("FILTER('CLASFICACIÓN'!$F$3:$F5618,'CLASFICACIÓN'!$G$3:$G5618=M5023)"),"LOS 3 AÑOS")</f>
        <v>LOS 3 AÑOS</v>
      </c>
      <c r="K5023" s="16"/>
      <c r="L5023" s="14" t="s">
        <v>178</v>
      </c>
      <c r="M5023" s="16" t="str">
        <f t="shared" si="1"/>
        <v>509776 Primaria</v>
      </c>
      <c r="N5023" s="23"/>
      <c r="O5023" s="17"/>
      <c r="P5023" s="17"/>
      <c r="Q5023" s="17"/>
      <c r="R5023" s="17"/>
      <c r="S5023" s="17"/>
      <c r="T5023" s="17"/>
    </row>
    <row r="5024">
      <c r="A5024" s="21">
        <v>1152.0</v>
      </c>
      <c r="B5024" s="14" t="s">
        <v>90</v>
      </c>
      <c r="C5024" s="14" t="s">
        <v>14</v>
      </c>
      <c r="D5024" s="20" t="s">
        <v>22</v>
      </c>
      <c r="E5024" s="12" t="str">
        <f>IFERROR(__xludf.DUMMYFUNCTION("FILTER(colegios!$B$2:$B5618,colegios!$A$2:$A5618=L5024)"),"50977")</f>
        <v>50977</v>
      </c>
      <c r="F5024" s="14" t="s">
        <v>16</v>
      </c>
      <c r="G5024" s="20" t="s">
        <v>21</v>
      </c>
      <c r="H5024" s="14" t="s">
        <v>24</v>
      </c>
      <c r="I5024" s="22">
        <v>2022.0</v>
      </c>
      <c r="J5024" s="16" t="str">
        <f>IFERROR(__xludf.DUMMYFUNCTION("FILTER('CLASFICACIÓN'!$F$3:$F5618,'CLASFICACIÓN'!$G$3:$G5618=M5024)"),"LOS 3 AÑOS")</f>
        <v>LOS 3 AÑOS</v>
      </c>
      <c r="K5024" s="16"/>
      <c r="L5024" s="14" t="s">
        <v>178</v>
      </c>
      <c r="M5024" s="16" t="str">
        <f t="shared" si="1"/>
        <v>509776 Primaria</v>
      </c>
      <c r="N5024" s="23"/>
      <c r="O5024" s="17"/>
      <c r="P5024" s="17"/>
      <c r="Q5024" s="17"/>
      <c r="R5024" s="17"/>
      <c r="S5024" s="17"/>
      <c r="T5024" s="17"/>
    </row>
    <row r="5025">
      <c r="A5025" s="21">
        <v>1153.0</v>
      </c>
      <c r="B5025" s="14" t="s">
        <v>90</v>
      </c>
      <c r="C5025" s="14" t="s">
        <v>14</v>
      </c>
      <c r="D5025" s="20" t="s">
        <v>22</v>
      </c>
      <c r="E5025" s="12" t="str">
        <f>IFERROR(__xludf.DUMMYFUNCTION("FILTER(colegios!$B$2:$B5618,colegios!$A$2:$A5618=L5025)"),"50977")</f>
        <v>50977</v>
      </c>
      <c r="F5025" s="14" t="s">
        <v>16</v>
      </c>
      <c r="G5025" s="20" t="s">
        <v>17</v>
      </c>
      <c r="H5025" s="14" t="s">
        <v>24</v>
      </c>
      <c r="I5025" s="22">
        <v>2022.0</v>
      </c>
      <c r="J5025" s="16" t="str">
        <f>IFERROR(__xludf.DUMMYFUNCTION("FILTER('CLASFICACIÓN'!$F$3:$F5618,'CLASFICACIÓN'!$G$3:$G5618=M5025)"),"LOS 3 AÑOS")</f>
        <v>LOS 3 AÑOS</v>
      </c>
      <c r="K5025" s="16"/>
      <c r="L5025" s="14" t="s">
        <v>178</v>
      </c>
      <c r="M5025" s="16" t="str">
        <f t="shared" si="1"/>
        <v>509776 Primaria</v>
      </c>
      <c r="N5025" s="23"/>
      <c r="O5025" s="17"/>
      <c r="P5025" s="17"/>
      <c r="Q5025" s="17"/>
      <c r="R5025" s="17"/>
      <c r="S5025" s="17"/>
      <c r="T5025" s="17"/>
    </row>
    <row r="5026">
      <c r="A5026" s="21">
        <v>1154.0</v>
      </c>
      <c r="B5026" s="14" t="s">
        <v>90</v>
      </c>
      <c r="C5026" s="14" t="s">
        <v>14</v>
      </c>
      <c r="D5026" s="20" t="s">
        <v>22</v>
      </c>
      <c r="E5026" s="12" t="str">
        <f>IFERROR(__xludf.DUMMYFUNCTION("FILTER(colegios!$B$2:$B5618,colegios!$A$2:$A5618=L5026)"),"50977")</f>
        <v>50977</v>
      </c>
      <c r="F5026" s="14" t="s">
        <v>16</v>
      </c>
      <c r="G5026" s="20" t="s">
        <v>17</v>
      </c>
      <c r="H5026" s="14" t="s">
        <v>24</v>
      </c>
      <c r="I5026" s="22">
        <v>2022.0</v>
      </c>
      <c r="J5026" s="16" t="str">
        <f>IFERROR(__xludf.DUMMYFUNCTION("FILTER('CLASFICACIÓN'!$F$3:$F5618,'CLASFICACIÓN'!$G$3:$G5618=M5026)"),"LOS 3 AÑOS")</f>
        <v>LOS 3 AÑOS</v>
      </c>
      <c r="K5026" s="16"/>
      <c r="L5026" s="14" t="s">
        <v>178</v>
      </c>
      <c r="M5026" s="16" t="str">
        <f t="shared" si="1"/>
        <v>509776 Primaria</v>
      </c>
      <c r="N5026" s="23"/>
      <c r="O5026" s="17"/>
      <c r="P5026" s="17"/>
      <c r="Q5026" s="17"/>
      <c r="R5026" s="17"/>
      <c r="S5026" s="17"/>
      <c r="T5026" s="17"/>
    </row>
    <row r="5027">
      <c r="A5027" s="21">
        <v>1155.0</v>
      </c>
      <c r="B5027" s="14" t="s">
        <v>90</v>
      </c>
      <c r="C5027" s="14" t="s">
        <v>14</v>
      </c>
      <c r="D5027" s="20" t="s">
        <v>22</v>
      </c>
      <c r="E5027" s="12" t="str">
        <f>IFERROR(__xludf.DUMMYFUNCTION("FILTER(colegios!$B$2:$B5618,colegios!$A$2:$A5618=L5027)"),"50977")</f>
        <v>50977</v>
      </c>
      <c r="F5027" s="14" t="s">
        <v>16</v>
      </c>
      <c r="G5027" s="20" t="s">
        <v>21</v>
      </c>
      <c r="H5027" s="14" t="s">
        <v>24</v>
      </c>
      <c r="I5027" s="22">
        <v>2022.0</v>
      </c>
      <c r="J5027" s="16" t="str">
        <f>IFERROR(__xludf.DUMMYFUNCTION("FILTER('CLASFICACIÓN'!$F$3:$F5618,'CLASFICACIÓN'!$G$3:$G5618=M5027)"),"LOS 3 AÑOS")</f>
        <v>LOS 3 AÑOS</v>
      </c>
      <c r="K5027" s="16"/>
      <c r="L5027" s="14" t="s">
        <v>178</v>
      </c>
      <c r="M5027" s="16" t="str">
        <f t="shared" si="1"/>
        <v>509776 Primaria</v>
      </c>
      <c r="N5027" s="23"/>
      <c r="O5027" s="17"/>
      <c r="P5027" s="17"/>
      <c r="Q5027" s="17"/>
      <c r="R5027" s="17"/>
      <c r="S5027" s="17"/>
      <c r="T5027" s="17"/>
    </row>
    <row r="5028">
      <c r="A5028" s="21">
        <v>1156.0</v>
      </c>
      <c r="B5028" s="14" t="s">
        <v>90</v>
      </c>
      <c r="C5028" s="14" t="s">
        <v>14</v>
      </c>
      <c r="D5028" s="20" t="s">
        <v>22</v>
      </c>
      <c r="E5028" s="12" t="str">
        <f>IFERROR(__xludf.DUMMYFUNCTION("FILTER(colegios!$B$2:$B5618,colegios!$A$2:$A5618=L5028)"),"50977")</f>
        <v>50977</v>
      </c>
      <c r="F5028" s="14" t="s">
        <v>16</v>
      </c>
      <c r="G5028" s="20" t="s">
        <v>21</v>
      </c>
      <c r="H5028" s="14" t="s">
        <v>24</v>
      </c>
      <c r="I5028" s="22">
        <v>2022.0</v>
      </c>
      <c r="J5028" s="16" t="str">
        <f>IFERROR(__xludf.DUMMYFUNCTION("FILTER('CLASFICACIÓN'!$F$3:$F5618,'CLASFICACIÓN'!$G$3:$G5618=M5028)"),"LOS 3 AÑOS")</f>
        <v>LOS 3 AÑOS</v>
      </c>
      <c r="K5028" s="16"/>
      <c r="L5028" s="14" t="s">
        <v>178</v>
      </c>
      <c r="M5028" s="16" t="str">
        <f t="shared" si="1"/>
        <v>509776 Primaria</v>
      </c>
      <c r="N5028" s="23"/>
      <c r="O5028" s="17"/>
      <c r="P5028" s="17"/>
      <c r="Q5028" s="17"/>
      <c r="R5028" s="17"/>
      <c r="S5028" s="17"/>
      <c r="T5028" s="17"/>
    </row>
    <row r="5029">
      <c r="A5029" s="21">
        <v>1157.0</v>
      </c>
      <c r="B5029" s="14" t="s">
        <v>90</v>
      </c>
      <c r="C5029" s="14" t="s">
        <v>14</v>
      </c>
      <c r="D5029" s="20" t="s">
        <v>22</v>
      </c>
      <c r="E5029" s="12" t="str">
        <f>IFERROR(__xludf.DUMMYFUNCTION("FILTER(colegios!$B$2:$B5618,colegios!$A$2:$A5618=L5029)"),"50977")</f>
        <v>50977</v>
      </c>
      <c r="F5029" s="14" t="s">
        <v>16</v>
      </c>
      <c r="G5029" s="20" t="s">
        <v>21</v>
      </c>
      <c r="H5029" s="14" t="s">
        <v>24</v>
      </c>
      <c r="I5029" s="22">
        <v>2022.0</v>
      </c>
      <c r="J5029" s="16" t="str">
        <f>IFERROR(__xludf.DUMMYFUNCTION("FILTER('CLASFICACIÓN'!$F$3:$F5618,'CLASFICACIÓN'!$G$3:$G5618=M5029)"),"LOS 3 AÑOS")</f>
        <v>LOS 3 AÑOS</v>
      </c>
      <c r="K5029" s="16"/>
      <c r="L5029" s="14" t="s">
        <v>178</v>
      </c>
      <c r="M5029" s="16" t="str">
        <f t="shared" si="1"/>
        <v>509776 Primaria</v>
      </c>
      <c r="N5029" s="23"/>
      <c r="O5029" s="17"/>
      <c r="P5029" s="17"/>
      <c r="Q5029" s="17"/>
      <c r="R5029" s="17"/>
      <c r="S5029" s="17"/>
      <c r="T5029" s="17"/>
    </row>
    <row r="5030">
      <c r="A5030" s="21">
        <v>1158.0</v>
      </c>
      <c r="B5030" s="14" t="s">
        <v>90</v>
      </c>
      <c r="C5030" s="14" t="s">
        <v>14</v>
      </c>
      <c r="D5030" s="20" t="s">
        <v>22</v>
      </c>
      <c r="E5030" s="12" t="str">
        <f>IFERROR(__xludf.DUMMYFUNCTION("FILTER(colegios!$B$2:$B5618,colegios!$A$2:$A5618=L5030)"),"50977")</f>
        <v>50977</v>
      </c>
      <c r="F5030" s="14" t="s">
        <v>16</v>
      </c>
      <c r="G5030" s="20" t="s">
        <v>17</v>
      </c>
      <c r="H5030" s="14" t="s">
        <v>24</v>
      </c>
      <c r="I5030" s="22">
        <v>2022.0</v>
      </c>
      <c r="J5030" s="16" t="str">
        <f>IFERROR(__xludf.DUMMYFUNCTION("FILTER('CLASFICACIÓN'!$F$3:$F5618,'CLASFICACIÓN'!$G$3:$G5618=M5030)"),"LOS 3 AÑOS")</f>
        <v>LOS 3 AÑOS</v>
      </c>
      <c r="K5030" s="16"/>
      <c r="L5030" s="14" t="s">
        <v>178</v>
      </c>
      <c r="M5030" s="16" t="str">
        <f t="shared" si="1"/>
        <v>509776 Primaria</v>
      </c>
      <c r="N5030" s="23"/>
      <c r="O5030" s="17"/>
      <c r="P5030" s="17"/>
      <c r="Q5030" s="17"/>
      <c r="R5030" s="17"/>
      <c r="S5030" s="17"/>
      <c r="T5030" s="17"/>
    </row>
    <row r="5031">
      <c r="A5031" s="21">
        <v>1159.0</v>
      </c>
      <c r="B5031" s="14" t="s">
        <v>90</v>
      </c>
      <c r="C5031" s="14" t="s">
        <v>14</v>
      </c>
      <c r="D5031" s="20" t="s">
        <v>22</v>
      </c>
      <c r="E5031" s="12" t="str">
        <f>IFERROR(__xludf.DUMMYFUNCTION("FILTER(colegios!$B$2:$B5618,colegios!$A$2:$A5618=L5031)"),"50977")</f>
        <v>50977</v>
      </c>
      <c r="F5031" s="14" t="s">
        <v>16</v>
      </c>
      <c r="G5031" s="20" t="s">
        <v>21</v>
      </c>
      <c r="H5031" s="14" t="s">
        <v>24</v>
      </c>
      <c r="I5031" s="22">
        <v>2022.0</v>
      </c>
      <c r="J5031" s="16" t="str">
        <f>IFERROR(__xludf.DUMMYFUNCTION("FILTER('CLASFICACIÓN'!$F$3:$F5618,'CLASFICACIÓN'!$G$3:$G5618=M5031)"),"LOS 3 AÑOS")</f>
        <v>LOS 3 AÑOS</v>
      </c>
      <c r="K5031" s="16"/>
      <c r="L5031" s="14" t="s">
        <v>178</v>
      </c>
      <c r="M5031" s="16" t="str">
        <f t="shared" si="1"/>
        <v>509776 Primaria</v>
      </c>
      <c r="N5031" s="23"/>
      <c r="O5031" s="17"/>
      <c r="P5031" s="17"/>
      <c r="Q5031" s="17"/>
      <c r="R5031" s="17"/>
      <c r="S5031" s="17"/>
      <c r="T5031" s="17"/>
    </row>
    <row r="5032">
      <c r="A5032" s="21">
        <v>1160.0</v>
      </c>
      <c r="B5032" s="14" t="s">
        <v>90</v>
      </c>
      <c r="C5032" s="14" t="s">
        <v>14</v>
      </c>
      <c r="D5032" s="20" t="s">
        <v>22</v>
      </c>
      <c r="E5032" s="12" t="str">
        <f>IFERROR(__xludf.DUMMYFUNCTION("FILTER(colegios!$B$2:$B5618,colegios!$A$2:$A5618=L5032)"),"50977")</f>
        <v>50977</v>
      </c>
      <c r="F5032" s="14" t="s">
        <v>16</v>
      </c>
      <c r="G5032" s="20" t="s">
        <v>17</v>
      </c>
      <c r="H5032" s="14" t="s">
        <v>24</v>
      </c>
      <c r="I5032" s="22">
        <v>2022.0</v>
      </c>
      <c r="J5032" s="16" t="str">
        <f>IFERROR(__xludf.DUMMYFUNCTION("FILTER('CLASFICACIÓN'!$F$3:$F5618,'CLASFICACIÓN'!$G$3:$G5618=M5032)"),"LOS 3 AÑOS")</f>
        <v>LOS 3 AÑOS</v>
      </c>
      <c r="K5032" s="16"/>
      <c r="L5032" s="14" t="s">
        <v>178</v>
      </c>
      <c r="M5032" s="16" t="str">
        <f t="shared" si="1"/>
        <v>509776 Primaria</v>
      </c>
      <c r="N5032" s="23"/>
      <c r="O5032" s="17"/>
      <c r="P5032" s="17"/>
      <c r="Q5032" s="17"/>
      <c r="R5032" s="17"/>
      <c r="S5032" s="17"/>
      <c r="T5032" s="17"/>
    </row>
    <row r="5033">
      <c r="A5033" s="21">
        <v>1161.0</v>
      </c>
      <c r="B5033" s="14" t="s">
        <v>90</v>
      </c>
      <c r="C5033" s="14" t="s">
        <v>14</v>
      </c>
      <c r="D5033" s="20" t="s">
        <v>22</v>
      </c>
      <c r="E5033" s="12" t="str">
        <f>IFERROR(__xludf.DUMMYFUNCTION("FILTER(colegios!$B$2:$B5618,colegios!$A$2:$A5618=L5033)"),"50977")</f>
        <v>50977</v>
      </c>
      <c r="F5033" s="14" t="s">
        <v>16</v>
      </c>
      <c r="G5033" s="20" t="s">
        <v>17</v>
      </c>
      <c r="H5033" s="14" t="s">
        <v>24</v>
      </c>
      <c r="I5033" s="22">
        <v>2022.0</v>
      </c>
      <c r="J5033" s="16" t="str">
        <f>IFERROR(__xludf.DUMMYFUNCTION("FILTER('CLASFICACIÓN'!$F$3:$F5618,'CLASFICACIÓN'!$G$3:$G5618=M5033)"),"LOS 3 AÑOS")</f>
        <v>LOS 3 AÑOS</v>
      </c>
      <c r="K5033" s="16"/>
      <c r="L5033" s="14" t="s">
        <v>178</v>
      </c>
      <c r="M5033" s="16" t="str">
        <f t="shared" si="1"/>
        <v>509776 Primaria</v>
      </c>
      <c r="N5033" s="23"/>
      <c r="O5033" s="17"/>
      <c r="P5033" s="17"/>
      <c r="Q5033" s="17"/>
      <c r="R5033" s="17"/>
      <c r="S5033" s="17"/>
      <c r="T5033" s="17"/>
    </row>
    <row r="5034">
      <c r="A5034" s="21">
        <v>1162.0</v>
      </c>
      <c r="B5034" s="14" t="s">
        <v>90</v>
      </c>
      <c r="C5034" s="14" t="s">
        <v>14</v>
      </c>
      <c r="D5034" s="20" t="s">
        <v>22</v>
      </c>
      <c r="E5034" s="12" t="str">
        <f>IFERROR(__xludf.DUMMYFUNCTION("FILTER(colegios!$B$2:$B5618,colegios!$A$2:$A5618=L5034)"),"50977")</f>
        <v>50977</v>
      </c>
      <c r="F5034" s="14" t="s">
        <v>16</v>
      </c>
      <c r="G5034" s="20" t="s">
        <v>21</v>
      </c>
      <c r="H5034" s="14" t="s">
        <v>24</v>
      </c>
      <c r="I5034" s="22">
        <v>2022.0</v>
      </c>
      <c r="J5034" s="16" t="str">
        <f>IFERROR(__xludf.DUMMYFUNCTION("FILTER('CLASFICACIÓN'!$F$3:$F5618,'CLASFICACIÓN'!$G$3:$G5618=M5034)"),"LOS 3 AÑOS")</f>
        <v>LOS 3 AÑOS</v>
      </c>
      <c r="K5034" s="16"/>
      <c r="L5034" s="14" t="s">
        <v>178</v>
      </c>
      <c r="M5034" s="16" t="str">
        <f t="shared" si="1"/>
        <v>509776 Primaria</v>
      </c>
      <c r="N5034" s="23"/>
      <c r="O5034" s="17"/>
      <c r="P5034" s="17"/>
      <c r="Q5034" s="17"/>
      <c r="R5034" s="17"/>
      <c r="S5034" s="17"/>
      <c r="T5034" s="17"/>
    </row>
    <row r="5035">
      <c r="A5035" s="21">
        <v>1163.0</v>
      </c>
      <c r="B5035" s="14" t="s">
        <v>90</v>
      </c>
      <c r="C5035" s="14" t="s">
        <v>14</v>
      </c>
      <c r="D5035" s="20" t="s">
        <v>22</v>
      </c>
      <c r="E5035" s="12" t="str">
        <f>IFERROR(__xludf.DUMMYFUNCTION("FILTER(colegios!$B$2:$B5618,colegios!$A$2:$A5618=L5035)"),"50977")</f>
        <v>50977</v>
      </c>
      <c r="F5035" s="14" t="s">
        <v>16</v>
      </c>
      <c r="G5035" s="20" t="s">
        <v>21</v>
      </c>
      <c r="H5035" s="14" t="s">
        <v>24</v>
      </c>
      <c r="I5035" s="22">
        <v>2022.0</v>
      </c>
      <c r="J5035" s="16" t="str">
        <f>IFERROR(__xludf.DUMMYFUNCTION("FILTER('CLASFICACIÓN'!$F$3:$F5618,'CLASFICACIÓN'!$G$3:$G5618=M5035)"),"LOS 3 AÑOS")</f>
        <v>LOS 3 AÑOS</v>
      </c>
      <c r="K5035" s="16"/>
      <c r="L5035" s="14" t="s">
        <v>178</v>
      </c>
      <c r="M5035" s="16" t="str">
        <f t="shared" si="1"/>
        <v>509776 Primaria</v>
      </c>
      <c r="N5035" s="23"/>
      <c r="O5035" s="17"/>
      <c r="P5035" s="17"/>
      <c r="Q5035" s="17"/>
      <c r="R5035" s="17"/>
      <c r="S5035" s="17"/>
      <c r="T5035" s="17"/>
    </row>
    <row r="5036">
      <c r="A5036" s="21">
        <v>1164.0</v>
      </c>
      <c r="B5036" s="14" t="s">
        <v>90</v>
      </c>
      <c r="C5036" s="14" t="s">
        <v>14</v>
      </c>
      <c r="D5036" s="20" t="s">
        <v>22</v>
      </c>
      <c r="E5036" s="12" t="str">
        <f>IFERROR(__xludf.DUMMYFUNCTION("FILTER(colegios!$B$2:$B5618,colegios!$A$2:$A5618=L5036)"),"50977")</f>
        <v>50977</v>
      </c>
      <c r="F5036" s="14" t="s">
        <v>16</v>
      </c>
      <c r="G5036" s="20" t="s">
        <v>21</v>
      </c>
      <c r="H5036" s="14" t="s">
        <v>24</v>
      </c>
      <c r="I5036" s="22">
        <v>2022.0</v>
      </c>
      <c r="J5036" s="16" t="str">
        <f>IFERROR(__xludf.DUMMYFUNCTION("FILTER('CLASFICACIÓN'!$F$3:$F5618,'CLASFICACIÓN'!$G$3:$G5618=M5036)"),"LOS 3 AÑOS")</f>
        <v>LOS 3 AÑOS</v>
      </c>
      <c r="K5036" s="16"/>
      <c r="L5036" s="14" t="s">
        <v>178</v>
      </c>
      <c r="M5036" s="16" t="str">
        <f t="shared" si="1"/>
        <v>509776 Primaria</v>
      </c>
      <c r="N5036" s="23"/>
      <c r="O5036" s="17"/>
      <c r="P5036" s="17"/>
      <c r="Q5036" s="17"/>
      <c r="R5036" s="17"/>
      <c r="S5036" s="17"/>
      <c r="T5036" s="17"/>
    </row>
    <row r="5037">
      <c r="A5037" s="21">
        <v>1165.0</v>
      </c>
      <c r="B5037" s="14" t="s">
        <v>90</v>
      </c>
      <c r="C5037" s="14" t="s">
        <v>14</v>
      </c>
      <c r="D5037" s="20" t="s">
        <v>22</v>
      </c>
      <c r="E5037" s="12" t="str">
        <f>IFERROR(__xludf.DUMMYFUNCTION("FILTER(colegios!$B$2:$B5618,colegios!$A$2:$A5618=L5037)"),"501344")</f>
        <v>501344</v>
      </c>
      <c r="F5037" s="14" t="s">
        <v>16</v>
      </c>
      <c r="G5037" s="20" t="s">
        <v>17</v>
      </c>
      <c r="H5037" s="14" t="s">
        <v>24</v>
      </c>
      <c r="I5037" s="22">
        <v>2022.0</v>
      </c>
      <c r="J5037" s="16" t="str">
        <f>IFERROR(__xludf.DUMMYFUNCTION("FILTER('CLASFICACIÓN'!$F$3:$F5618,'CLASFICACIÓN'!$G$3:$G5618=M5037)"),"SOLO 2022 Y 2024")</f>
        <v>SOLO 2022 Y 2024</v>
      </c>
      <c r="K5037" s="16"/>
      <c r="L5037" s="14" t="s">
        <v>179</v>
      </c>
      <c r="M5037" s="16" t="str">
        <f t="shared" si="1"/>
        <v>5013446 Primaria</v>
      </c>
      <c r="N5037" s="23"/>
      <c r="O5037" s="17"/>
      <c r="P5037" s="17"/>
      <c r="Q5037" s="17"/>
      <c r="R5037" s="17"/>
      <c r="S5037" s="17"/>
      <c r="T5037" s="17"/>
    </row>
    <row r="5038">
      <c r="A5038" s="21">
        <v>1166.0</v>
      </c>
      <c r="B5038" s="14" t="s">
        <v>90</v>
      </c>
      <c r="C5038" s="14" t="s">
        <v>14</v>
      </c>
      <c r="D5038" s="20" t="s">
        <v>22</v>
      </c>
      <c r="E5038" s="12" t="str">
        <f>IFERROR(__xludf.DUMMYFUNCTION("FILTER(colegios!$B$2:$B5618,colegios!$A$2:$A5618=L5038)"),"50495")</f>
        <v>50495</v>
      </c>
      <c r="F5038" s="14" t="s">
        <v>16</v>
      </c>
      <c r="G5038" s="20" t="s">
        <v>21</v>
      </c>
      <c r="H5038" s="14" t="s">
        <v>18</v>
      </c>
      <c r="I5038" s="22">
        <v>2022.0</v>
      </c>
      <c r="J5038" s="16" t="str">
        <f>IFERROR(__xludf.DUMMYFUNCTION("FILTER('CLASFICACIÓN'!$F$3:$F5618,'CLASFICACIÓN'!$G$3:$G5618=M5038)"),"LOS 3 AÑOS")</f>
        <v>LOS 3 AÑOS</v>
      </c>
      <c r="K5038" s="16"/>
      <c r="L5038" s="14" t="s">
        <v>180</v>
      </c>
      <c r="M5038" s="16" t="str">
        <f t="shared" si="1"/>
        <v>504956 Primaria</v>
      </c>
      <c r="N5038" s="23"/>
      <c r="O5038" s="17"/>
      <c r="P5038" s="17"/>
      <c r="Q5038" s="17"/>
      <c r="R5038" s="17"/>
      <c r="S5038" s="17"/>
      <c r="T5038" s="17"/>
    </row>
    <row r="5039">
      <c r="A5039" s="21">
        <v>1167.0</v>
      </c>
      <c r="B5039" s="14" t="s">
        <v>90</v>
      </c>
      <c r="C5039" s="14" t="s">
        <v>14</v>
      </c>
      <c r="D5039" s="20" t="s">
        <v>22</v>
      </c>
      <c r="E5039" s="12" t="str">
        <f>IFERROR(__xludf.DUMMYFUNCTION("FILTER(colegios!$B$2:$B5618,colegios!$A$2:$A5618=L5039)"),"50536")</f>
        <v>50536</v>
      </c>
      <c r="F5039" s="14" t="s">
        <v>16</v>
      </c>
      <c r="G5039" s="20" t="s">
        <v>21</v>
      </c>
      <c r="H5039" s="14" t="s">
        <v>18</v>
      </c>
      <c r="I5039" s="22">
        <v>2022.0</v>
      </c>
      <c r="J5039" s="16" t="str">
        <f>IFERROR(__xludf.DUMMYFUNCTION("FILTER('CLASFICACIÓN'!$F$3:$F5618,'CLASFICACIÓN'!$G$3:$G5618=M5039)"),"SOLO LINEA BASE")</f>
        <v>SOLO LINEA BASE</v>
      </c>
      <c r="K5039" s="16"/>
      <c r="L5039" s="14" t="s">
        <v>181</v>
      </c>
      <c r="M5039" s="16" t="str">
        <f t="shared" si="1"/>
        <v>505366 Primaria</v>
      </c>
      <c r="N5039" s="23"/>
      <c r="O5039" s="17"/>
      <c r="P5039" s="17"/>
      <c r="Q5039" s="17"/>
      <c r="R5039" s="17"/>
      <c r="S5039" s="17"/>
      <c r="T5039" s="17"/>
    </row>
    <row r="5040">
      <c r="A5040" s="21">
        <v>1168.0</v>
      </c>
      <c r="B5040" s="14" t="s">
        <v>90</v>
      </c>
      <c r="C5040" s="14" t="s">
        <v>14</v>
      </c>
      <c r="D5040" s="20" t="s">
        <v>22</v>
      </c>
      <c r="E5040" s="12" t="str">
        <f>IFERROR(__xludf.DUMMYFUNCTION("FILTER(colegios!$B$2:$B5618,colegios!$A$2:$A5618=L5040)"),"50912")</f>
        <v>50912</v>
      </c>
      <c r="F5040" s="14" t="s">
        <v>16</v>
      </c>
      <c r="G5040" s="20" t="s">
        <v>21</v>
      </c>
      <c r="H5040" s="14" t="s">
        <v>18</v>
      </c>
      <c r="I5040" s="22">
        <v>2022.0</v>
      </c>
      <c r="J5040" s="16" t="str">
        <f>IFERROR(__xludf.DUMMYFUNCTION("FILTER('CLASFICACIÓN'!$F$3:$F5618,'CLASFICACIÓN'!$G$3:$G5618=M5040)"),"SOLO LINEA BASE")</f>
        <v>SOLO LINEA BASE</v>
      </c>
      <c r="K5040" s="16"/>
      <c r="L5040" s="14" t="s">
        <v>182</v>
      </c>
      <c r="M5040" s="16" t="str">
        <f t="shared" si="1"/>
        <v>509126 Primaria</v>
      </c>
      <c r="N5040" s="23"/>
      <c r="O5040" s="17"/>
      <c r="P5040" s="17"/>
      <c r="Q5040" s="17"/>
      <c r="R5040" s="17"/>
      <c r="S5040" s="17"/>
      <c r="T5040" s="17"/>
    </row>
    <row r="5041">
      <c r="A5041" s="21">
        <v>1169.0</v>
      </c>
      <c r="B5041" s="14" t="s">
        <v>90</v>
      </c>
      <c r="C5041" s="14" t="s">
        <v>14</v>
      </c>
      <c r="D5041" s="20" t="s">
        <v>22</v>
      </c>
      <c r="E5041" s="12" t="str">
        <f>IFERROR(__xludf.DUMMYFUNCTION("FILTER(colegios!$B$2:$B5618,colegios!$A$2:$A5618=L5041)"),"50552 TUPAC AMARU II")</f>
        <v>50552 TUPAC AMARU II</v>
      </c>
      <c r="F5041" s="14" t="s">
        <v>16</v>
      </c>
      <c r="G5041" s="20" t="s">
        <v>21</v>
      </c>
      <c r="H5041" s="14" t="s">
        <v>18</v>
      </c>
      <c r="I5041" s="22">
        <v>2022.0</v>
      </c>
      <c r="J5041" s="16" t="str">
        <f>IFERROR(__xludf.DUMMYFUNCTION("FILTER('CLASFICACIÓN'!$F$3:$F5618,'CLASFICACIÓN'!$G$3:$G5618=M5041)"),"SOLO 2022 Y 2024")</f>
        <v>SOLO 2022 Y 2024</v>
      </c>
      <c r="K5041" s="16"/>
      <c r="L5041" s="14" t="s">
        <v>183</v>
      </c>
      <c r="M5041" s="16" t="str">
        <f t="shared" si="1"/>
        <v>50552 TUPAC AMARU II6 Primaria</v>
      </c>
      <c r="N5041" s="23"/>
      <c r="O5041" s="17"/>
      <c r="P5041" s="17"/>
      <c r="Q5041" s="17"/>
      <c r="R5041" s="17"/>
      <c r="S5041" s="17"/>
      <c r="T5041" s="17"/>
    </row>
    <row r="5042">
      <c r="A5042" s="21">
        <v>1170.0</v>
      </c>
      <c r="B5042" s="14" t="s">
        <v>90</v>
      </c>
      <c r="C5042" s="14" t="s">
        <v>14</v>
      </c>
      <c r="D5042" s="20" t="s">
        <v>22</v>
      </c>
      <c r="E5042" s="12" t="str">
        <f>IFERROR(__xludf.DUMMYFUNCTION("FILTER(colegios!$B$2:$B5618,colegios!$A$2:$A5618=L5042)"),"50552 TUPAC AMARU II")</f>
        <v>50552 TUPAC AMARU II</v>
      </c>
      <c r="F5042" s="14" t="s">
        <v>16</v>
      </c>
      <c r="G5042" s="20" t="s">
        <v>21</v>
      </c>
      <c r="H5042" s="14" t="s">
        <v>18</v>
      </c>
      <c r="I5042" s="22">
        <v>2022.0</v>
      </c>
      <c r="J5042" s="16" t="str">
        <f>IFERROR(__xludf.DUMMYFUNCTION("FILTER('CLASFICACIÓN'!$F$3:$F5618,'CLASFICACIÓN'!$G$3:$G5618=M5042)"),"SOLO 2022 Y 2024")</f>
        <v>SOLO 2022 Y 2024</v>
      </c>
      <c r="K5042" s="16"/>
      <c r="L5042" s="14" t="s">
        <v>183</v>
      </c>
      <c r="M5042" s="16" t="str">
        <f t="shared" si="1"/>
        <v>50552 TUPAC AMARU II6 Primaria</v>
      </c>
      <c r="N5042" s="23"/>
      <c r="O5042" s="17"/>
      <c r="P5042" s="17"/>
      <c r="Q5042" s="17"/>
      <c r="R5042" s="17"/>
      <c r="S5042" s="17"/>
      <c r="T5042" s="17"/>
    </row>
    <row r="5043">
      <c r="A5043" s="21">
        <v>1171.0</v>
      </c>
      <c r="B5043" s="14" t="s">
        <v>90</v>
      </c>
      <c r="C5043" s="14" t="s">
        <v>14</v>
      </c>
      <c r="D5043" s="20" t="s">
        <v>22</v>
      </c>
      <c r="E5043" s="12" t="str">
        <f>IFERROR(__xludf.DUMMYFUNCTION("FILTER(colegios!$B$2:$B5618,colegios!$A$2:$A5618=L5043)"),"50552 TUPAC AMARU II")</f>
        <v>50552 TUPAC AMARU II</v>
      </c>
      <c r="F5043" s="14" t="s">
        <v>16</v>
      </c>
      <c r="G5043" s="20" t="s">
        <v>17</v>
      </c>
      <c r="H5043" s="14" t="s">
        <v>18</v>
      </c>
      <c r="I5043" s="22">
        <v>2022.0</v>
      </c>
      <c r="J5043" s="16" t="str">
        <f>IFERROR(__xludf.DUMMYFUNCTION("FILTER('CLASFICACIÓN'!$F$3:$F5618,'CLASFICACIÓN'!$G$3:$G5618=M5043)"),"SOLO 2022 Y 2024")</f>
        <v>SOLO 2022 Y 2024</v>
      </c>
      <c r="K5043" s="16"/>
      <c r="L5043" s="14" t="s">
        <v>183</v>
      </c>
      <c r="M5043" s="16" t="str">
        <f t="shared" si="1"/>
        <v>50552 TUPAC AMARU II6 Primaria</v>
      </c>
      <c r="N5043" s="23"/>
      <c r="O5043" s="17"/>
      <c r="P5043" s="17"/>
      <c r="Q5043" s="17"/>
      <c r="R5043" s="17"/>
      <c r="S5043" s="17"/>
      <c r="T5043" s="17"/>
    </row>
    <row r="5044">
      <c r="A5044" s="21">
        <v>1172.0</v>
      </c>
      <c r="B5044" s="14" t="s">
        <v>90</v>
      </c>
      <c r="C5044" s="14" t="s">
        <v>14</v>
      </c>
      <c r="D5044" s="20" t="s">
        <v>22</v>
      </c>
      <c r="E5044" s="12" t="str">
        <f>IFERROR(__xludf.DUMMYFUNCTION("FILTER(colegios!$B$2:$B5618,colegios!$A$2:$A5618=L5044)"),"50552 TUPAC AMARU II")</f>
        <v>50552 TUPAC AMARU II</v>
      </c>
      <c r="F5044" s="14" t="s">
        <v>16</v>
      </c>
      <c r="G5044" s="20" t="s">
        <v>21</v>
      </c>
      <c r="H5044" s="14" t="s">
        <v>18</v>
      </c>
      <c r="I5044" s="22">
        <v>2022.0</v>
      </c>
      <c r="J5044" s="16" t="str">
        <f>IFERROR(__xludf.DUMMYFUNCTION("FILTER('CLASFICACIÓN'!$F$3:$F5618,'CLASFICACIÓN'!$G$3:$G5618=M5044)"),"SOLO 2022 Y 2024")</f>
        <v>SOLO 2022 Y 2024</v>
      </c>
      <c r="K5044" s="16"/>
      <c r="L5044" s="14" t="s">
        <v>183</v>
      </c>
      <c r="M5044" s="16" t="str">
        <f t="shared" si="1"/>
        <v>50552 TUPAC AMARU II6 Primaria</v>
      </c>
      <c r="N5044" s="23"/>
      <c r="O5044" s="17"/>
      <c r="P5044" s="17"/>
      <c r="Q5044" s="17"/>
      <c r="R5044" s="17"/>
      <c r="S5044" s="17"/>
      <c r="T5044" s="17"/>
    </row>
    <row r="5045">
      <c r="A5045" s="21">
        <v>1173.0</v>
      </c>
      <c r="B5045" s="14" t="s">
        <v>90</v>
      </c>
      <c r="C5045" s="14" t="s">
        <v>14</v>
      </c>
      <c r="D5045" s="20" t="s">
        <v>22</v>
      </c>
      <c r="E5045" s="12" t="str">
        <f>IFERROR(__xludf.DUMMYFUNCTION("FILTER(colegios!$B$2:$B5618,colegios!$A$2:$A5618=L5045)"),"50552 TUPAC AMARU II")</f>
        <v>50552 TUPAC AMARU II</v>
      </c>
      <c r="F5045" s="14" t="s">
        <v>16</v>
      </c>
      <c r="G5045" s="20" t="s">
        <v>21</v>
      </c>
      <c r="H5045" s="14" t="s">
        <v>18</v>
      </c>
      <c r="I5045" s="22">
        <v>2022.0</v>
      </c>
      <c r="J5045" s="16" t="str">
        <f>IFERROR(__xludf.DUMMYFUNCTION("FILTER('CLASFICACIÓN'!$F$3:$F5618,'CLASFICACIÓN'!$G$3:$G5618=M5045)"),"SOLO 2022 Y 2024")</f>
        <v>SOLO 2022 Y 2024</v>
      </c>
      <c r="K5045" s="16"/>
      <c r="L5045" s="14" t="s">
        <v>183</v>
      </c>
      <c r="M5045" s="16" t="str">
        <f t="shared" si="1"/>
        <v>50552 TUPAC AMARU II6 Primaria</v>
      </c>
      <c r="N5045" s="23"/>
      <c r="O5045" s="17"/>
      <c r="P5045" s="17"/>
      <c r="Q5045" s="17"/>
      <c r="R5045" s="17"/>
      <c r="S5045" s="17"/>
      <c r="T5045" s="17"/>
    </row>
    <row r="5046">
      <c r="A5046" s="21">
        <v>1174.0</v>
      </c>
      <c r="B5046" s="14" t="s">
        <v>90</v>
      </c>
      <c r="C5046" s="14" t="s">
        <v>14</v>
      </c>
      <c r="D5046" s="20" t="s">
        <v>22</v>
      </c>
      <c r="E5046" s="12" t="str">
        <f>IFERROR(__xludf.DUMMYFUNCTION("FILTER(colegios!$B$2:$B5618,colegios!$A$2:$A5618=L5046)"),"50552 TUPAC AMARU II")</f>
        <v>50552 TUPAC AMARU II</v>
      </c>
      <c r="F5046" s="14" t="s">
        <v>16</v>
      </c>
      <c r="G5046" s="20" t="s">
        <v>21</v>
      </c>
      <c r="H5046" s="14" t="s">
        <v>18</v>
      </c>
      <c r="I5046" s="22">
        <v>2022.0</v>
      </c>
      <c r="J5046" s="16" t="str">
        <f>IFERROR(__xludf.DUMMYFUNCTION("FILTER('CLASFICACIÓN'!$F$3:$F5618,'CLASFICACIÓN'!$G$3:$G5618=M5046)"),"SOLO 2022 Y 2024")</f>
        <v>SOLO 2022 Y 2024</v>
      </c>
      <c r="K5046" s="16"/>
      <c r="L5046" s="14" t="s">
        <v>183</v>
      </c>
      <c r="M5046" s="16" t="str">
        <f t="shared" si="1"/>
        <v>50552 TUPAC AMARU II6 Primaria</v>
      </c>
      <c r="N5046" s="23"/>
      <c r="O5046" s="17"/>
      <c r="P5046" s="17"/>
      <c r="Q5046" s="17"/>
      <c r="R5046" s="17"/>
      <c r="S5046" s="17"/>
      <c r="T5046" s="17"/>
    </row>
    <row r="5047">
      <c r="A5047" s="21">
        <v>1175.0</v>
      </c>
      <c r="B5047" s="14" t="s">
        <v>90</v>
      </c>
      <c r="C5047" s="14" t="s">
        <v>14</v>
      </c>
      <c r="D5047" s="20" t="s">
        <v>22</v>
      </c>
      <c r="E5047" s="12" t="str">
        <f>IFERROR(__xludf.DUMMYFUNCTION("FILTER(colegios!$B$2:$B5618,colegios!$A$2:$A5618=L5047)"),"50552 TUPAC AMARU II")</f>
        <v>50552 TUPAC AMARU II</v>
      </c>
      <c r="F5047" s="14" t="s">
        <v>16</v>
      </c>
      <c r="G5047" s="20" t="s">
        <v>21</v>
      </c>
      <c r="H5047" s="14" t="s">
        <v>18</v>
      </c>
      <c r="I5047" s="22">
        <v>2022.0</v>
      </c>
      <c r="J5047" s="16" t="str">
        <f>IFERROR(__xludf.DUMMYFUNCTION("FILTER('CLASFICACIÓN'!$F$3:$F5618,'CLASFICACIÓN'!$G$3:$G5618=M5047)"),"SOLO 2022 Y 2024")</f>
        <v>SOLO 2022 Y 2024</v>
      </c>
      <c r="K5047" s="16"/>
      <c r="L5047" s="14" t="s">
        <v>183</v>
      </c>
      <c r="M5047" s="16" t="str">
        <f t="shared" si="1"/>
        <v>50552 TUPAC AMARU II6 Primaria</v>
      </c>
      <c r="N5047" s="23"/>
      <c r="O5047" s="17"/>
      <c r="P5047" s="17"/>
      <c r="Q5047" s="17"/>
      <c r="R5047" s="17"/>
      <c r="S5047" s="17"/>
      <c r="T5047" s="17"/>
    </row>
    <row r="5048">
      <c r="A5048" s="21">
        <v>1176.0</v>
      </c>
      <c r="B5048" s="14" t="s">
        <v>90</v>
      </c>
      <c r="C5048" s="14" t="s">
        <v>14</v>
      </c>
      <c r="D5048" s="20" t="s">
        <v>22</v>
      </c>
      <c r="E5048" s="12" t="str">
        <f>IFERROR(__xludf.DUMMYFUNCTION("FILTER(colegios!$B$2:$B5618,colegios!$A$2:$A5618=L5048)"),"50552 TUPAC AMARU II")</f>
        <v>50552 TUPAC AMARU II</v>
      </c>
      <c r="F5048" s="14" t="s">
        <v>16</v>
      </c>
      <c r="G5048" s="20" t="s">
        <v>21</v>
      </c>
      <c r="H5048" s="14" t="s">
        <v>18</v>
      </c>
      <c r="I5048" s="22">
        <v>2022.0</v>
      </c>
      <c r="J5048" s="16" t="str">
        <f>IFERROR(__xludf.DUMMYFUNCTION("FILTER('CLASFICACIÓN'!$F$3:$F5618,'CLASFICACIÓN'!$G$3:$G5618=M5048)"),"SOLO 2022 Y 2024")</f>
        <v>SOLO 2022 Y 2024</v>
      </c>
      <c r="K5048" s="16"/>
      <c r="L5048" s="14" t="s">
        <v>183</v>
      </c>
      <c r="M5048" s="16" t="str">
        <f t="shared" si="1"/>
        <v>50552 TUPAC AMARU II6 Primaria</v>
      </c>
      <c r="N5048" s="23"/>
      <c r="O5048" s="17"/>
      <c r="P5048" s="17"/>
      <c r="Q5048" s="17"/>
      <c r="R5048" s="17"/>
      <c r="S5048" s="17"/>
      <c r="T5048" s="17"/>
    </row>
    <row r="5049">
      <c r="A5049" s="21">
        <v>1177.0</v>
      </c>
      <c r="B5049" s="14" t="s">
        <v>90</v>
      </c>
      <c r="C5049" s="14" t="s">
        <v>14</v>
      </c>
      <c r="D5049" s="20" t="s">
        <v>22</v>
      </c>
      <c r="E5049" s="12" t="str">
        <f>IFERROR(__xludf.DUMMYFUNCTION("FILTER(colegios!$B$2:$B5618,colegios!$A$2:$A5618=L5049)"),"50552 TUPAC AMARU II")</f>
        <v>50552 TUPAC AMARU II</v>
      </c>
      <c r="F5049" s="14" t="s">
        <v>16</v>
      </c>
      <c r="G5049" s="20" t="s">
        <v>21</v>
      </c>
      <c r="H5049" s="14" t="s">
        <v>18</v>
      </c>
      <c r="I5049" s="22">
        <v>2022.0</v>
      </c>
      <c r="J5049" s="16" t="str">
        <f>IFERROR(__xludf.DUMMYFUNCTION("FILTER('CLASFICACIÓN'!$F$3:$F5618,'CLASFICACIÓN'!$G$3:$G5618=M5049)"),"SOLO 2022 Y 2024")</f>
        <v>SOLO 2022 Y 2024</v>
      </c>
      <c r="K5049" s="16"/>
      <c r="L5049" s="14" t="s">
        <v>183</v>
      </c>
      <c r="M5049" s="16" t="str">
        <f t="shared" si="1"/>
        <v>50552 TUPAC AMARU II6 Primaria</v>
      </c>
      <c r="N5049" s="23"/>
      <c r="O5049" s="17"/>
      <c r="P5049" s="17"/>
      <c r="Q5049" s="17"/>
      <c r="R5049" s="17"/>
      <c r="S5049" s="17"/>
      <c r="T5049" s="17"/>
    </row>
    <row r="5050">
      <c r="A5050" s="21">
        <v>1178.0</v>
      </c>
      <c r="B5050" s="14" t="s">
        <v>90</v>
      </c>
      <c r="C5050" s="14" t="s">
        <v>14</v>
      </c>
      <c r="D5050" s="20" t="s">
        <v>22</v>
      </c>
      <c r="E5050" s="12" t="str">
        <f>IFERROR(__xludf.DUMMYFUNCTION("FILTER(colegios!$B$2:$B5618,colegios!$A$2:$A5618=L5050)"),"50552 TUPAC AMARU II")</f>
        <v>50552 TUPAC AMARU II</v>
      </c>
      <c r="F5050" s="14" t="s">
        <v>16</v>
      </c>
      <c r="G5050" s="20" t="s">
        <v>21</v>
      </c>
      <c r="H5050" s="14" t="s">
        <v>18</v>
      </c>
      <c r="I5050" s="22">
        <v>2022.0</v>
      </c>
      <c r="J5050" s="16" t="str">
        <f>IFERROR(__xludf.DUMMYFUNCTION("FILTER('CLASFICACIÓN'!$F$3:$F5618,'CLASFICACIÓN'!$G$3:$G5618=M5050)"),"SOLO 2022 Y 2024")</f>
        <v>SOLO 2022 Y 2024</v>
      </c>
      <c r="K5050" s="16"/>
      <c r="L5050" s="14" t="s">
        <v>183</v>
      </c>
      <c r="M5050" s="16" t="str">
        <f t="shared" si="1"/>
        <v>50552 TUPAC AMARU II6 Primaria</v>
      </c>
      <c r="N5050" s="23"/>
      <c r="O5050" s="17"/>
      <c r="P5050" s="17"/>
      <c r="Q5050" s="17"/>
      <c r="R5050" s="17"/>
      <c r="S5050" s="17"/>
      <c r="T5050" s="17"/>
    </row>
    <row r="5051">
      <c r="A5051" s="21">
        <v>1179.0</v>
      </c>
      <c r="B5051" s="14" t="s">
        <v>90</v>
      </c>
      <c r="C5051" s="14" t="s">
        <v>14</v>
      </c>
      <c r="D5051" s="20" t="s">
        <v>22</v>
      </c>
      <c r="E5051" s="12" t="str">
        <f>IFERROR(__xludf.DUMMYFUNCTION("FILTER(colegios!$B$2:$B5618,colegios!$A$2:$A5618=L5051)"),"50552 TUPAC AMARU II")</f>
        <v>50552 TUPAC AMARU II</v>
      </c>
      <c r="F5051" s="14" t="s">
        <v>16</v>
      </c>
      <c r="G5051" s="20" t="s">
        <v>17</v>
      </c>
      <c r="H5051" s="14" t="s">
        <v>18</v>
      </c>
      <c r="I5051" s="22">
        <v>2022.0</v>
      </c>
      <c r="J5051" s="16" t="str">
        <f>IFERROR(__xludf.DUMMYFUNCTION("FILTER('CLASFICACIÓN'!$F$3:$F5618,'CLASFICACIÓN'!$G$3:$G5618=M5051)"),"SOLO 2022 Y 2024")</f>
        <v>SOLO 2022 Y 2024</v>
      </c>
      <c r="K5051" s="16"/>
      <c r="L5051" s="14" t="s">
        <v>183</v>
      </c>
      <c r="M5051" s="16" t="str">
        <f t="shared" si="1"/>
        <v>50552 TUPAC AMARU II6 Primaria</v>
      </c>
      <c r="N5051" s="23"/>
      <c r="O5051" s="17"/>
      <c r="P5051" s="17"/>
      <c r="Q5051" s="17"/>
      <c r="R5051" s="17"/>
      <c r="S5051" s="17"/>
      <c r="T5051" s="17"/>
    </row>
    <row r="5052">
      <c r="A5052" s="21">
        <v>1180.0</v>
      </c>
      <c r="B5052" s="14" t="s">
        <v>90</v>
      </c>
      <c r="C5052" s="14" t="s">
        <v>14</v>
      </c>
      <c r="D5052" s="20" t="s">
        <v>22</v>
      </c>
      <c r="E5052" s="12" t="str">
        <f>IFERROR(__xludf.DUMMYFUNCTION("FILTER(colegios!$B$2:$B5618,colegios!$A$2:$A5618=L5052)"),"50552 TUPAC AMARU II")</f>
        <v>50552 TUPAC AMARU II</v>
      </c>
      <c r="F5052" s="14" t="s">
        <v>16</v>
      </c>
      <c r="G5052" s="20" t="s">
        <v>21</v>
      </c>
      <c r="H5052" s="14" t="s">
        <v>18</v>
      </c>
      <c r="I5052" s="22">
        <v>2022.0</v>
      </c>
      <c r="J5052" s="16" t="str">
        <f>IFERROR(__xludf.DUMMYFUNCTION("FILTER('CLASFICACIÓN'!$F$3:$F5618,'CLASFICACIÓN'!$G$3:$G5618=M5052)"),"SOLO 2022 Y 2024")</f>
        <v>SOLO 2022 Y 2024</v>
      </c>
      <c r="K5052" s="16"/>
      <c r="L5052" s="14" t="s">
        <v>183</v>
      </c>
      <c r="M5052" s="16" t="str">
        <f t="shared" si="1"/>
        <v>50552 TUPAC AMARU II6 Primaria</v>
      </c>
      <c r="N5052" s="23"/>
      <c r="O5052" s="17"/>
      <c r="P5052" s="17"/>
      <c r="Q5052" s="17"/>
      <c r="R5052" s="17"/>
      <c r="S5052" s="17"/>
      <c r="T5052" s="17"/>
    </row>
    <row r="5053">
      <c r="A5053" s="21">
        <v>1181.0</v>
      </c>
      <c r="B5053" s="14" t="s">
        <v>90</v>
      </c>
      <c r="C5053" s="14" t="s">
        <v>14</v>
      </c>
      <c r="D5053" s="20" t="s">
        <v>22</v>
      </c>
      <c r="E5053" s="12" t="str">
        <f>IFERROR(__xludf.DUMMYFUNCTION("FILTER(colegios!$B$2:$B5618,colegios!$A$2:$A5618=L5053)"),"50552 TUPAC AMARU II")</f>
        <v>50552 TUPAC AMARU II</v>
      </c>
      <c r="F5053" s="14" t="s">
        <v>16</v>
      </c>
      <c r="G5053" s="20" t="s">
        <v>21</v>
      </c>
      <c r="H5053" s="14" t="s">
        <v>18</v>
      </c>
      <c r="I5053" s="22">
        <v>2022.0</v>
      </c>
      <c r="J5053" s="16" t="str">
        <f>IFERROR(__xludf.DUMMYFUNCTION("FILTER('CLASFICACIÓN'!$F$3:$F5618,'CLASFICACIÓN'!$G$3:$G5618=M5053)"),"SOLO 2022 Y 2024")</f>
        <v>SOLO 2022 Y 2024</v>
      </c>
      <c r="K5053" s="16"/>
      <c r="L5053" s="14" t="s">
        <v>183</v>
      </c>
      <c r="M5053" s="16" t="str">
        <f t="shared" si="1"/>
        <v>50552 TUPAC AMARU II6 Primaria</v>
      </c>
      <c r="N5053" s="23"/>
      <c r="O5053" s="17"/>
      <c r="P5053" s="17"/>
      <c r="Q5053" s="17"/>
      <c r="R5053" s="17"/>
      <c r="S5053" s="17"/>
      <c r="T5053" s="17"/>
    </row>
    <row r="5054">
      <c r="A5054" s="21">
        <v>1182.0</v>
      </c>
      <c r="B5054" s="14" t="s">
        <v>90</v>
      </c>
      <c r="C5054" s="14" t="s">
        <v>14</v>
      </c>
      <c r="D5054" s="20" t="s">
        <v>22</v>
      </c>
      <c r="E5054" s="12" t="str">
        <f>IFERROR(__xludf.DUMMYFUNCTION("FILTER(colegios!$B$2:$B5618,colegios!$A$2:$A5618=L5054)"),"50552 TUPAC AMARU II")</f>
        <v>50552 TUPAC AMARU II</v>
      </c>
      <c r="F5054" s="14" t="s">
        <v>16</v>
      </c>
      <c r="G5054" s="20" t="s">
        <v>21</v>
      </c>
      <c r="H5054" s="14" t="s">
        <v>18</v>
      </c>
      <c r="I5054" s="22">
        <v>2022.0</v>
      </c>
      <c r="J5054" s="16" t="str">
        <f>IFERROR(__xludf.DUMMYFUNCTION("FILTER('CLASFICACIÓN'!$F$3:$F5618,'CLASFICACIÓN'!$G$3:$G5618=M5054)"),"SOLO 2022 Y 2024")</f>
        <v>SOLO 2022 Y 2024</v>
      </c>
      <c r="K5054" s="16"/>
      <c r="L5054" s="14" t="s">
        <v>183</v>
      </c>
      <c r="M5054" s="16" t="str">
        <f t="shared" si="1"/>
        <v>50552 TUPAC AMARU II6 Primaria</v>
      </c>
      <c r="N5054" s="23"/>
      <c r="O5054" s="17"/>
      <c r="P5054" s="17"/>
      <c r="Q5054" s="17"/>
      <c r="R5054" s="17"/>
      <c r="S5054" s="17"/>
      <c r="T5054" s="17"/>
    </row>
    <row r="5055">
      <c r="A5055" s="21">
        <v>1183.0</v>
      </c>
      <c r="B5055" s="14" t="s">
        <v>90</v>
      </c>
      <c r="C5055" s="14" t="s">
        <v>14</v>
      </c>
      <c r="D5055" s="20" t="s">
        <v>22</v>
      </c>
      <c r="E5055" s="12" t="str">
        <f>IFERROR(__xludf.DUMMYFUNCTION("FILTER(colegios!$B$2:$B5618,colegios!$A$2:$A5618=L5055)"),"50552 TUPAC AMARU II")</f>
        <v>50552 TUPAC AMARU II</v>
      </c>
      <c r="F5055" s="14" t="s">
        <v>16</v>
      </c>
      <c r="G5055" s="20" t="s">
        <v>21</v>
      </c>
      <c r="H5055" s="14" t="s">
        <v>18</v>
      </c>
      <c r="I5055" s="22">
        <v>2022.0</v>
      </c>
      <c r="J5055" s="16" t="str">
        <f>IFERROR(__xludf.DUMMYFUNCTION("FILTER('CLASFICACIÓN'!$F$3:$F5618,'CLASFICACIÓN'!$G$3:$G5618=M5055)"),"SOLO 2022 Y 2024")</f>
        <v>SOLO 2022 Y 2024</v>
      </c>
      <c r="K5055" s="16"/>
      <c r="L5055" s="14" t="s">
        <v>183</v>
      </c>
      <c r="M5055" s="16" t="str">
        <f t="shared" si="1"/>
        <v>50552 TUPAC AMARU II6 Primaria</v>
      </c>
      <c r="N5055" s="23"/>
      <c r="O5055" s="17"/>
      <c r="P5055" s="17"/>
      <c r="Q5055" s="17"/>
      <c r="R5055" s="17"/>
      <c r="S5055" s="17"/>
      <c r="T5055" s="17"/>
    </row>
    <row r="5056">
      <c r="A5056" s="21">
        <v>1184.0</v>
      </c>
      <c r="B5056" s="14" t="s">
        <v>90</v>
      </c>
      <c r="C5056" s="14" t="s">
        <v>14</v>
      </c>
      <c r="D5056" s="20" t="s">
        <v>22</v>
      </c>
      <c r="E5056" s="12" t="str">
        <f>IFERROR(__xludf.DUMMYFUNCTION("FILTER(colegios!$B$2:$B5618,colegios!$A$2:$A5618=L5056)"),"50552 TUPAC AMARU II")</f>
        <v>50552 TUPAC AMARU II</v>
      </c>
      <c r="F5056" s="14" t="s">
        <v>16</v>
      </c>
      <c r="G5056" s="20" t="s">
        <v>21</v>
      </c>
      <c r="H5056" s="14" t="s">
        <v>18</v>
      </c>
      <c r="I5056" s="22">
        <v>2022.0</v>
      </c>
      <c r="J5056" s="16" t="str">
        <f>IFERROR(__xludf.DUMMYFUNCTION("FILTER('CLASFICACIÓN'!$F$3:$F5618,'CLASFICACIÓN'!$G$3:$G5618=M5056)"),"SOLO 2022 Y 2024")</f>
        <v>SOLO 2022 Y 2024</v>
      </c>
      <c r="K5056" s="16"/>
      <c r="L5056" s="14" t="s">
        <v>183</v>
      </c>
      <c r="M5056" s="16" t="str">
        <f t="shared" si="1"/>
        <v>50552 TUPAC AMARU II6 Primaria</v>
      </c>
      <c r="N5056" s="23"/>
      <c r="O5056" s="17"/>
      <c r="P5056" s="17"/>
      <c r="Q5056" s="17"/>
      <c r="R5056" s="17"/>
      <c r="S5056" s="17"/>
      <c r="T5056" s="17"/>
    </row>
    <row r="5057">
      <c r="A5057" s="21">
        <v>1185.0</v>
      </c>
      <c r="B5057" s="14" t="s">
        <v>90</v>
      </c>
      <c r="C5057" s="14" t="s">
        <v>14</v>
      </c>
      <c r="D5057" s="20" t="s">
        <v>22</v>
      </c>
      <c r="E5057" s="12" t="str">
        <f>IFERROR(__xludf.DUMMYFUNCTION("FILTER(colegios!$B$2:$B5618,colegios!$A$2:$A5618=L5057)"),"50552 TUPAC AMARU II")</f>
        <v>50552 TUPAC AMARU II</v>
      </c>
      <c r="F5057" s="14" t="s">
        <v>16</v>
      </c>
      <c r="G5057" s="20" t="s">
        <v>17</v>
      </c>
      <c r="H5057" s="14" t="s">
        <v>18</v>
      </c>
      <c r="I5057" s="22">
        <v>2022.0</v>
      </c>
      <c r="J5057" s="16" t="str">
        <f>IFERROR(__xludf.DUMMYFUNCTION("FILTER('CLASFICACIÓN'!$F$3:$F5618,'CLASFICACIÓN'!$G$3:$G5618=M5057)"),"SOLO 2022 Y 2024")</f>
        <v>SOLO 2022 Y 2024</v>
      </c>
      <c r="K5057" s="16"/>
      <c r="L5057" s="14" t="s">
        <v>183</v>
      </c>
      <c r="M5057" s="16" t="str">
        <f t="shared" si="1"/>
        <v>50552 TUPAC AMARU II6 Primaria</v>
      </c>
      <c r="N5057" s="23"/>
      <c r="O5057" s="17"/>
      <c r="P5057" s="17"/>
      <c r="Q5057" s="17"/>
      <c r="R5057" s="17"/>
      <c r="S5057" s="17"/>
      <c r="T5057" s="17"/>
    </row>
    <row r="5058">
      <c r="A5058" s="21">
        <v>1186.0</v>
      </c>
      <c r="B5058" s="14" t="s">
        <v>90</v>
      </c>
      <c r="C5058" s="14" t="s">
        <v>14</v>
      </c>
      <c r="D5058" s="20" t="s">
        <v>22</v>
      </c>
      <c r="E5058" s="12" t="str">
        <f>IFERROR(__xludf.DUMMYFUNCTION("FILTER(colegios!$B$2:$B5618,colegios!$A$2:$A5618=L5058)"),"50552 TUPAC AMARU II")</f>
        <v>50552 TUPAC AMARU II</v>
      </c>
      <c r="F5058" s="14" t="s">
        <v>16</v>
      </c>
      <c r="G5058" s="20" t="s">
        <v>21</v>
      </c>
      <c r="H5058" s="14" t="s">
        <v>18</v>
      </c>
      <c r="I5058" s="22">
        <v>2022.0</v>
      </c>
      <c r="J5058" s="16" t="str">
        <f>IFERROR(__xludf.DUMMYFUNCTION("FILTER('CLASFICACIÓN'!$F$3:$F5618,'CLASFICACIÓN'!$G$3:$G5618=M5058)"),"SOLO 2022 Y 2024")</f>
        <v>SOLO 2022 Y 2024</v>
      </c>
      <c r="K5058" s="16"/>
      <c r="L5058" s="14" t="s">
        <v>183</v>
      </c>
      <c r="M5058" s="16" t="str">
        <f t="shared" si="1"/>
        <v>50552 TUPAC AMARU II6 Primaria</v>
      </c>
      <c r="N5058" s="23"/>
      <c r="O5058" s="17"/>
      <c r="P5058" s="17"/>
      <c r="Q5058" s="17"/>
      <c r="R5058" s="17"/>
      <c r="S5058" s="17"/>
      <c r="T5058" s="17"/>
    </row>
    <row r="5059">
      <c r="A5059" s="21">
        <v>1187.0</v>
      </c>
      <c r="B5059" s="14" t="s">
        <v>90</v>
      </c>
      <c r="C5059" s="14" t="s">
        <v>14</v>
      </c>
      <c r="D5059" s="20" t="s">
        <v>22</v>
      </c>
      <c r="E5059" s="12" t="str">
        <f>IFERROR(__xludf.DUMMYFUNCTION("FILTER(colegios!$B$2:$B5618,colegios!$A$2:$A5618=L5059)"),"50552 TUPAC AMARU II")</f>
        <v>50552 TUPAC AMARU II</v>
      </c>
      <c r="F5059" s="14" t="s">
        <v>16</v>
      </c>
      <c r="G5059" s="20" t="s">
        <v>21</v>
      </c>
      <c r="H5059" s="14" t="s">
        <v>18</v>
      </c>
      <c r="I5059" s="22">
        <v>2022.0</v>
      </c>
      <c r="J5059" s="16" t="str">
        <f>IFERROR(__xludf.DUMMYFUNCTION("FILTER('CLASFICACIÓN'!$F$3:$F5618,'CLASFICACIÓN'!$G$3:$G5618=M5059)"),"SOLO 2022 Y 2024")</f>
        <v>SOLO 2022 Y 2024</v>
      </c>
      <c r="K5059" s="16"/>
      <c r="L5059" s="14" t="s">
        <v>183</v>
      </c>
      <c r="M5059" s="16" t="str">
        <f t="shared" si="1"/>
        <v>50552 TUPAC AMARU II6 Primaria</v>
      </c>
      <c r="N5059" s="23"/>
      <c r="O5059" s="17"/>
      <c r="P5059" s="17"/>
      <c r="Q5059" s="17"/>
      <c r="R5059" s="17"/>
      <c r="S5059" s="17"/>
      <c r="T5059" s="17"/>
    </row>
    <row r="5060">
      <c r="A5060" s="21">
        <v>1188.0</v>
      </c>
      <c r="B5060" s="14" t="s">
        <v>90</v>
      </c>
      <c r="C5060" s="14" t="s">
        <v>14</v>
      </c>
      <c r="D5060" s="20" t="s">
        <v>22</v>
      </c>
      <c r="E5060" s="12" t="str">
        <f>IFERROR(__xludf.DUMMYFUNCTION("FILTER(colegios!$B$2:$B5618,colegios!$A$2:$A5618=L5060)"),"50552 TUPAC AMARU II")</f>
        <v>50552 TUPAC AMARU II</v>
      </c>
      <c r="F5060" s="14" t="s">
        <v>16</v>
      </c>
      <c r="G5060" s="20" t="s">
        <v>21</v>
      </c>
      <c r="H5060" s="14" t="s">
        <v>18</v>
      </c>
      <c r="I5060" s="22">
        <v>2022.0</v>
      </c>
      <c r="J5060" s="16" t="str">
        <f>IFERROR(__xludf.DUMMYFUNCTION("FILTER('CLASFICACIÓN'!$F$3:$F5618,'CLASFICACIÓN'!$G$3:$G5618=M5060)"),"SOLO 2022 Y 2024")</f>
        <v>SOLO 2022 Y 2024</v>
      </c>
      <c r="K5060" s="16"/>
      <c r="L5060" s="14" t="s">
        <v>183</v>
      </c>
      <c r="M5060" s="16" t="str">
        <f t="shared" si="1"/>
        <v>50552 TUPAC AMARU II6 Primaria</v>
      </c>
      <c r="N5060" s="23"/>
      <c r="O5060" s="17"/>
      <c r="P5060" s="17"/>
      <c r="Q5060" s="17"/>
      <c r="R5060" s="17"/>
      <c r="S5060" s="17"/>
      <c r="T5060" s="17"/>
    </row>
    <row r="5061">
      <c r="A5061" s="21">
        <v>1189.0</v>
      </c>
      <c r="B5061" s="14" t="s">
        <v>90</v>
      </c>
      <c r="C5061" s="14" t="s">
        <v>14</v>
      </c>
      <c r="D5061" s="20" t="s">
        <v>22</v>
      </c>
      <c r="E5061" s="12" t="str">
        <f>IFERROR(__xludf.DUMMYFUNCTION("FILTER(colegios!$B$2:$B5618,colegios!$A$2:$A5618=L5061)"),"50552 TUPAC AMARU II")</f>
        <v>50552 TUPAC AMARU II</v>
      </c>
      <c r="F5061" s="14" t="s">
        <v>16</v>
      </c>
      <c r="G5061" s="20" t="s">
        <v>21</v>
      </c>
      <c r="H5061" s="14" t="s">
        <v>18</v>
      </c>
      <c r="I5061" s="22">
        <v>2022.0</v>
      </c>
      <c r="J5061" s="16" t="str">
        <f>IFERROR(__xludf.DUMMYFUNCTION("FILTER('CLASFICACIÓN'!$F$3:$F5618,'CLASFICACIÓN'!$G$3:$G5618=M5061)"),"SOLO 2022 Y 2024")</f>
        <v>SOLO 2022 Y 2024</v>
      </c>
      <c r="K5061" s="16"/>
      <c r="L5061" s="14" t="s">
        <v>183</v>
      </c>
      <c r="M5061" s="16" t="str">
        <f t="shared" si="1"/>
        <v>50552 TUPAC AMARU II6 Primaria</v>
      </c>
      <c r="N5061" s="23"/>
      <c r="O5061" s="17"/>
      <c r="P5061" s="17"/>
      <c r="Q5061" s="17"/>
      <c r="R5061" s="17"/>
      <c r="S5061" s="17"/>
      <c r="T5061" s="17"/>
    </row>
    <row r="5062">
      <c r="A5062" s="21">
        <v>1190.0</v>
      </c>
      <c r="B5062" s="14" t="s">
        <v>90</v>
      </c>
      <c r="C5062" s="14" t="s">
        <v>14</v>
      </c>
      <c r="D5062" s="20" t="s">
        <v>22</v>
      </c>
      <c r="E5062" s="12" t="str">
        <f>IFERROR(__xludf.DUMMYFUNCTION("FILTER(colegios!$B$2:$B5618,colegios!$A$2:$A5618=L5062)"),"50552 TUPAC AMARU II")</f>
        <v>50552 TUPAC AMARU II</v>
      </c>
      <c r="F5062" s="14" t="s">
        <v>16</v>
      </c>
      <c r="G5062" s="20" t="s">
        <v>17</v>
      </c>
      <c r="H5062" s="14" t="s">
        <v>18</v>
      </c>
      <c r="I5062" s="22">
        <v>2022.0</v>
      </c>
      <c r="J5062" s="16" t="str">
        <f>IFERROR(__xludf.DUMMYFUNCTION("FILTER('CLASFICACIÓN'!$F$3:$F5618,'CLASFICACIÓN'!$G$3:$G5618=M5062)"),"SOLO 2022 Y 2024")</f>
        <v>SOLO 2022 Y 2024</v>
      </c>
      <c r="K5062" s="16"/>
      <c r="L5062" s="14" t="s">
        <v>183</v>
      </c>
      <c r="M5062" s="16" t="str">
        <f t="shared" si="1"/>
        <v>50552 TUPAC AMARU II6 Primaria</v>
      </c>
      <c r="N5062" s="23"/>
      <c r="O5062" s="17"/>
      <c r="P5062" s="17"/>
      <c r="Q5062" s="17"/>
      <c r="R5062" s="17"/>
      <c r="S5062" s="17"/>
      <c r="T5062" s="17"/>
    </row>
    <row r="5063">
      <c r="A5063" s="21">
        <v>1191.0</v>
      </c>
      <c r="B5063" s="14" t="s">
        <v>90</v>
      </c>
      <c r="C5063" s="14" t="s">
        <v>14</v>
      </c>
      <c r="D5063" s="20" t="s">
        <v>22</v>
      </c>
      <c r="E5063" s="12" t="str">
        <f>IFERROR(__xludf.DUMMYFUNCTION("FILTER(colegios!$B$2:$B5618,colegios!$A$2:$A5618=L5063)"),"50552 TUPAC AMARU II")</f>
        <v>50552 TUPAC AMARU II</v>
      </c>
      <c r="F5063" s="14" t="s">
        <v>16</v>
      </c>
      <c r="G5063" s="20" t="s">
        <v>17</v>
      </c>
      <c r="H5063" s="14" t="s">
        <v>18</v>
      </c>
      <c r="I5063" s="22">
        <v>2022.0</v>
      </c>
      <c r="J5063" s="16" t="str">
        <f>IFERROR(__xludf.DUMMYFUNCTION("FILTER('CLASFICACIÓN'!$F$3:$F5618,'CLASFICACIÓN'!$G$3:$G5618=M5063)"),"SOLO 2022 Y 2024")</f>
        <v>SOLO 2022 Y 2024</v>
      </c>
      <c r="K5063" s="16"/>
      <c r="L5063" s="14" t="s">
        <v>183</v>
      </c>
      <c r="M5063" s="16" t="str">
        <f t="shared" si="1"/>
        <v>50552 TUPAC AMARU II6 Primaria</v>
      </c>
      <c r="N5063" s="23"/>
      <c r="O5063" s="17"/>
      <c r="P5063" s="17"/>
      <c r="Q5063" s="17"/>
      <c r="R5063" s="17"/>
      <c r="S5063" s="17"/>
      <c r="T5063" s="17"/>
    </row>
    <row r="5064">
      <c r="A5064" s="21">
        <v>1192.0</v>
      </c>
      <c r="B5064" s="14" t="s">
        <v>90</v>
      </c>
      <c r="C5064" s="14" t="s">
        <v>14</v>
      </c>
      <c r="D5064" s="20" t="s">
        <v>22</v>
      </c>
      <c r="E5064" s="12" t="str">
        <f>IFERROR(__xludf.DUMMYFUNCTION("FILTER(colegios!$B$2:$B5618,colegios!$A$2:$A5618=L5064)"),"50552 TUPAC AMARU II")</f>
        <v>50552 TUPAC AMARU II</v>
      </c>
      <c r="F5064" s="14" t="s">
        <v>16</v>
      </c>
      <c r="G5064" s="20" t="s">
        <v>17</v>
      </c>
      <c r="H5064" s="14" t="s">
        <v>18</v>
      </c>
      <c r="I5064" s="22">
        <v>2022.0</v>
      </c>
      <c r="J5064" s="16" t="str">
        <f>IFERROR(__xludf.DUMMYFUNCTION("FILTER('CLASFICACIÓN'!$F$3:$F5618,'CLASFICACIÓN'!$G$3:$G5618=M5064)"),"SOLO 2022 Y 2024")</f>
        <v>SOLO 2022 Y 2024</v>
      </c>
      <c r="K5064" s="16"/>
      <c r="L5064" s="14" t="s">
        <v>183</v>
      </c>
      <c r="M5064" s="16" t="str">
        <f t="shared" si="1"/>
        <v>50552 TUPAC AMARU II6 Primaria</v>
      </c>
      <c r="N5064" s="23"/>
      <c r="O5064" s="17"/>
      <c r="P5064" s="17"/>
      <c r="Q5064" s="17"/>
      <c r="R5064" s="17"/>
      <c r="S5064" s="17"/>
      <c r="T5064" s="17"/>
    </row>
    <row r="5065">
      <c r="A5065" s="21">
        <v>1193.0</v>
      </c>
      <c r="B5065" s="14" t="s">
        <v>90</v>
      </c>
      <c r="C5065" s="14" t="s">
        <v>14</v>
      </c>
      <c r="D5065" s="20" t="s">
        <v>22</v>
      </c>
      <c r="E5065" s="12" t="str">
        <f>IFERROR(__xludf.DUMMYFUNCTION("FILTER(colegios!$B$2:$B5618,colegios!$A$2:$A5618=L5065)"),"50552 TUPAC AMARU II")</f>
        <v>50552 TUPAC AMARU II</v>
      </c>
      <c r="F5065" s="14" t="s">
        <v>16</v>
      </c>
      <c r="G5065" s="20" t="s">
        <v>17</v>
      </c>
      <c r="H5065" s="14" t="s">
        <v>18</v>
      </c>
      <c r="I5065" s="22">
        <v>2022.0</v>
      </c>
      <c r="J5065" s="16" t="str">
        <f>IFERROR(__xludf.DUMMYFUNCTION("FILTER('CLASFICACIÓN'!$F$3:$F5618,'CLASFICACIÓN'!$G$3:$G5618=M5065)"),"SOLO 2022 Y 2024")</f>
        <v>SOLO 2022 Y 2024</v>
      </c>
      <c r="K5065" s="16"/>
      <c r="L5065" s="14" t="s">
        <v>183</v>
      </c>
      <c r="M5065" s="16" t="str">
        <f t="shared" si="1"/>
        <v>50552 TUPAC AMARU II6 Primaria</v>
      </c>
      <c r="N5065" s="23"/>
      <c r="O5065" s="17"/>
      <c r="P5065" s="17"/>
      <c r="Q5065" s="17"/>
      <c r="R5065" s="17"/>
      <c r="S5065" s="17"/>
      <c r="T5065" s="17"/>
    </row>
    <row r="5066">
      <c r="A5066" s="21">
        <v>1194.0</v>
      </c>
      <c r="B5066" s="14" t="s">
        <v>90</v>
      </c>
      <c r="C5066" s="14" t="s">
        <v>14</v>
      </c>
      <c r="D5066" s="20" t="s">
        <v>22</v>
      </c>
      <c r="E5066" s="12" t="str">
        <f>IFERROR(__xludf.DUMMYFUNCTION("FILTER(colegios!$B$2:$B5618,colegios!$A$2:$A5618=L5066)"),"50552 TUPAC AMARU II")</f>
        <v>50552 TUPAC AMARU II</v>
      </c>
      <c r="F5066" s="14" t="s">
        <v>16</v>
      </c>
      <c r="G5066" s="20" t="s">
        <v>17</v>
      </c>
      <c r="H5066" s="14" t="s">
        <v>18</v>
      </c>
      <c r="I5066" s="22">
        <v>2022.0</v>
      </c>
      <c r="J5066" s="16" t="str">
        <f>IFERROR(__xludf.DUMMYFUNCTION("FILTER('CLASFICACIÓN'!$F$3:$F5618,'CLASFICACIÓN'!$G$3:$G5618=M5066)"),"SOLO 2022 Y 2024")</f>
        <v>SOLO 2022 Y 2024</v>
      </c>
      <c r="K5066" s="16"/>
      <c r="L5066" s="14" t="s">
        <v>183</v>
      </c>
      <c r="M5066" s="16" t="str">
        <f t="shared" si="1"/>
        <v>50552 TUPAC AMARU II6 Primaria</v>
      </c>
      <c r="N5066" s="23"/>
      <c r="O5066" s="17"/>
      <c r="P5066" s="17"/>
      <c r="Q5066" s="17"/>
      <c r="R5066" s="17"/>
      <c r="S5066" s="17"/>
      <c r="T5066" s="17"/>
    </row>
    <row r="5067">
      <c r="A5067" s="21">
        <v>1195.0</v>
      </c>
      <c r="B5067" s="14" t="s">
        <v>90</v>
      </c>
      <c r="C5067" s="14" t="s">
        <v>14</v>
      </c>
      <c r="D5067" s="20" t="s">
        <v>22</v>
      </c>
      <c r="E5067" s="12" t="str">
        <f>IFERROR(__xludf.DUMMYFUNCTION("FILTER(colegios!$B$2:$B5618,colegios!$A$2:$A5618=L5067)"),"50552 TUPAC AMARU II")</f>
        <v>50552 TUPAC AMARU II</v>
      </c>
      <c r="F5067" s="14" t="s">
        <v>16</v>
      </c>
      <c r="G5067" s="20" t="s">
        <v>21</v>
      </c>
      <c r="H5067" s="14" t="s">
        <v>18</v>
      </c>
      <c r="I5067" s="22">
        <v>2022.0</v>
      </c>
      <c r="J5067" s="16" t="str">
        <f>IFERROR(__xludf.DUMMYFUNCTION("FILTER('CLASFICACIÓN'!$F$3:$F5618,'CLASFICACIÓN'!$G$3:$G5618=M5067)"),"SOLO 2022 Y 2024")</f>
        <v>SOLO 2022 Y 2024</v>
      </c>
      <c r="K5067" s="16"/>
      <c r="L5067" s="14" t="s">
        <v>183</v>
      </c>
      <c r="M5067" s="16" t="str">
        <f t="shared" si="1"/>
        <v>50552 TUPAC AMARU II6 Primaria</v>
      </c>
      <c r="N5067" s="23"/>
      <c r="O5067" s="17"/>
      <c r="P5067" s="17"/>
      <c r="Q5067" s="17"/>
      <c r="R5067" s="17"/>
      <c r="S5067" s="17"/>
      <c r="T5067" s="17"/>
    </row>
    <row r="5068">
      <c r="A5068" s="21">
        <v>1196.0</v>
      </c>
      <c r="B5068" s="14" t="s">
        <v>90</v>
      </c>
      <c r="C5068" s="14" t="s">
        <v>14</v>
      </c>
      <c r="D5068" s="20" t="s">
        <v>22</v>
      </c>
      <c r="E5068" s="12" t="str">
        <f>IFERROR(__xludf.DUMMYFUNCTION("FILTER(colegios!$B$2:$B5618,colegios!$A$2:$A5618=L5068)"),"50552 TUPAC AMARU II")</f>
        <v>50552 TUPAC AMARU II</v>
      </c>
      <c r="F5068" s="14" t="s">
        <v>16</v>
      </c>
      <c r="G5068" s="20" t="s">
        <v>17</v>
      </c>
      <c r="H5068" s="14" t="s">
        <v>18</v>
      </c>
      <c r="I5068" s="22">
        <v>2022.0</v>
      </c>
      <c r="J5068" s="16" t="str">
        <f>IFERROR(__xludf.DUMMYFUNCTION("FILTER('CLASFICACIÓN'!$F$3:$F5618,'CLASFICACIÓN'!$G$3:$G5618=M5068)"),"SOLO 2022 Y 2024")</f>
        <v>SOLO 2022 Y 2024</v>
      </c>
      <c r="K5068" s="16"/>
      <c r="L5068" s="14" t="s">
        <v>183</v>
      </c>
      <c r="M5068" s="16" t="str">
        <f t="shared" si="1"/>
        <v>50552 TUPAC AMARU II6 Primaria</v>
      </c>
      <c r="N5068" s="23"/>
      <c r="O5068" s="17"/>
      <c r="P5068" s="17"/>
      <c r="Q5068" s="17"/>
      <c r="R5068" s="17"/>
      <c r="S5068" s="17"/>
      <c r="T5068" s="17"/>
    </row>
    <row r="5069">
      <c r="A5069" s="21">
        <v>1197.0</v>
      </c>
      <c r="B5069" s="14" t="s">
        <v>90</v>
      </c>
      <c r="C5069" s="14" t="s">
        <v>14</v>
      </c>
      <c r="D5069" s="20" t="s">
        <v>22</v>
      </c>
      <c r="E5069" s="12" t="str">
        <f>IFERROR(__xludf.DUMMYFUNCTION("FILTER(colegios!$B$2:$B5618,colegios!$A$2:$A5618=L5069)"),"50552 TUPAC AMARU II")</f>
        <v>50552 TUPAC AMARU II</v>
      </c>
      <c r="F5069" s="14" t="s">
        <v>16</v>
      </c>
      <c r="G5069" s="20" t="s">
        <v>17</v>
      </c>
      <c r="H5069" s="14" t="s">
        <v>18</v>
      </c>
      <c r="I5069" s="22">
        <v>2022.0</v>
      </c>
      <c r="J5069" s="16" t="str">
        <f>IFERROR(__xludf.DUMMYFUNCTION("FILTER('CLASFICACIÓN'!$F$3:$F5618,'CLASFICACIÓN'!$G$3:$G5618=M5069)"),"SOLO 2022 Y 2024")</f>
        <v>SOLO 2022 Y 2024</v>
      </c>
      <c r="K5069" s="16"/>
      <c r="L5069" s="14" t="s">
        <v>183</v>
      </c>
      <c r="M5069" s="16" t="str">
        <f t="shared" si="1"/>
        <v>50552 TUPAC AMARU II6 Primaria</v>
      </c>
      <c r="N5069" s="23"/>
      <c r="O5069" s="17"/>
      <c r="P5069" s="17"/>
      <c r="Q5069" s="17"/>
      <c r="R5069" s="17"/>
      <c r="S5069" s="17"/>
      <c r="T5069" s="17"/>
    </row>
    <row r="5070">
      <c r="A5070" s="21">
        <v>1198.0</v>
      </c>
      <c r="B5070" s="14" t="s">
        <v>90</v>
      </c>
      <c r="C5070" s="14" t="s">
        <v>14</v>
      </c>
      <c r="D5070" s="20" t="s">
        <v>22</v>
      </c>
      <c r="E5070" s="12" t="str">
        <f>IFERROR(__xludf.DUMMYFUNCTION("FILTER(colegios!$B$2:$B5618,colegios!$A$2:$A5618=L5070)"),"50552 TUPAC AMARU II")</f>
        <v>50552 TUPAC AMARU II</v>
      </c>
      <c r="F5070" s="14" t="s">
        <v>16</v>
      </c>
      <c r="G5070" s="20" t="s">
        <v>17</v>
      </c>
      <c r="H5070" s="14" t="s">
        <v>18</v>
      </c>
      <c r="I5070" s="22">
        <v>2022.0</v>
      </c>
      <c r="J5070" s="16" t="str">
        <f>IFERROR(__xludf.DUMMYFUNCTION("FILTER('CLASFICACIÓN'!$F$3:$F5618,'CLASFICACIÓN'!$G$3:$G5618=M5070)"),"SOLO 2022 Y 2024")</f>
        <v>SOLO 2022 Y 2024</v>
      </c>
      <c r="K5070" s="16"/>
      <c r="L5070" s="14" t="s">
        <v>183</v>
      </c>
      <c r="M5070" s="16" t="str">
        <f t="shared" si="1"/>
        <v>50552 TUPAC AMARU II6 Primaria</v>
      </c>
      <c r="N5070" s="23"/>
      <c r="O5070" s="17"/>
      <c r="P5070" s="17"/>
      <c r="Q5070" s="17"/>
      <c r="R5070" s="17"/>
      <c r="S5070" s="17"/>
      <c r="T5070" s="17"/>
    </row>
    <row r="5071">
      <c r="A5071" s="21">
        <v>1199.0</v>
      </c>
      <c r="B5071" s="14" t="s">
        <v>90</v>
      </c>
      <c r="C5071" s="14" t="s">
        <v>14</v>
      </c>
      <c r="D5071" s="20" t="s">
        <v>22</v>
      </c>
      <c r="E5071" s="12" t="str">
        <f>IFERROR(__xludf.DUMMYFUNCTION("FILTER(colegios!$B$2:$B5618,colegios!$A$2:$A5618=L5071)"),"50552 TUPAC AMARU II")</f>
        <v>50552 TUPAC AMARU II</v>
      </c>
      <c r="F5071" s="14" t="s">
        <v>16</v>
      </c>
      <c r="G5071" s="20" t="s">
        <v>17</v>
      </c>
      <c r="H5071" s="14" t="s">
        <v>18</v>
      </c>
      <c r="I5071" s="22">
        <v>2022.0</v>
      </c>
      <c r="J5071" s="16" t="str">
        <f>IFERROR(__xludf.DUMMYFUNCTION("FILTER('CLASFICACIÓN'!$F$3:$F5618,'CLASFICACIÓN'!$G$3:$G5618=M5071)"),"SOLO 2022 Y 2024")</f>
        <v>SOLO 2022 Y 2024</v>
      </c>
      <c r="K5071" s="16"/>
      <c r="L5071" s="14" t="s">
        <v>183</v>
      </c>
      <c r="M5071" s="16" t="str">
        <f t="shared" si="1"/>
        <v>50552 TUPAC AMARU II6 Primaria</v>
      </c>
      <c r="N5071" s="23"/>
      <c r="O5071" s="17"/>
      <c r="P5071" s="17"/>
      <c r="Q5071" s="17"/>
      <c r="R5071" s="17"/>
      <c r="S5071" s="17"/>
      <c r="T5071" s="17"/>
    </row>
    <row r="5072">
      <c r="A5072" s="21">
        <v>1200.0</v>
      </c>
      <c r="B5072" s="14" t="s">
        <v>90</v>
      </c>
      <c r="C5072" s="14" t="s">
        <v>14</v>
      </c>
      <c r="D5072" s="20" t="s">
        <v>22</v>
      </c>
      <c r="E5072" s="12" t="str">
        <f>IFERROR(__xludf.DUMMYFUNCTION("FILTER(colegios!$B$2:$B5618,colegios!$A$2:$A5618=L5072)"),"50552 TUPAC AMARU II")</f>
        <v>50552 TUPAC AMARU II</v>
      </c>
      <c r="F5072" s="14" t="s">
        <v>16</v>
      </c>
      <c r="G5072" s="20" t="s">
        <v>17</v>
      </c>
      <c r="H5072" s="14" t="s">
        <v>18</v>
      </c>
      <c r="I5072" s="22">
        <v>2022.0</v>
      </c>
      <c r="J5072" s="16" t="str">
        <f>IFERROR(__xludf.DUMMYFUNCTION("FILTER('CLASFICACIÓN'!$F$3:$F5618,'CLASFICACIÓN'!$G$3:$G5618=M5072)"),"SOLO 2022 Y 2024")</f>
        <v>SOLO 2022 Y 2024</v>
      </c>
      <c r="K5072" s="16"/>
      <c r="L5072" s="14" t="s">
        <v>183</v>
      </c>
      <c r="M5072" s="16" t="str">
        <f t="shared" si="1"/>
        <v>50552 TUPAC AMARU II6 Primaria</v>
      </c>
      <c r="N5072" s="23"/>
      <c r="O5072" s="17"/>
      <c r="P5072" s="17"/>
      <c r="Q5072" s="17"/>
      <c r="R5072" s="17"/>
      <c r="S5072" s="17"/>
      <c r="T5072" s="17"/>
    </row>
    <row r="5073">
      <c r="A5073" s="21">
        <v>1201.0</v>
      </c>
      <c r="B5073" s="14" t="s">
        <v>90</v>
      </c>
      <c r="C5073" s="14" t="s">
        <v>14</v>
      </c>
      <c r="D5073" s="20" t="s">
        <v>22</v>
      </c>
      <c r="E5073" s="12" t="str">
        <f>IFERROR(__xludf.DUMMYFUNCTION("FILTER(colegios!$B$2:$B5618,colegios!$A$2:$A5618=L5073)"),"50552 TUPAC AMARU II")</f>
        <v>50552 TUPAC AMARU II</v>
      </c>
      <c r="F5073" s="14" t="s">
        <v>16</v>
      </c>
      <c r="G5073" s="20" t="s">
        <v>21</v>
      </c>
      <c r="H5073" s="14" t="s">
        <v>18</v>
      </c>
      <c r="I5073" s="22">
        <v>2022.0</v>
      </c>
      <c r="J5073" s="16" t="str">
        <f>IFERROR(__xludf.DUMMYFUNCTION("FILTER('CLASFICACIÓN'!$F$3:$F5618,'CLASFICACIÓN'!$G$3:$G5618=M5073)"),"SOLO 2022 Y 2024")</f>
        <v>SOLO 2022 Y 2024</v>
      </c>
      <c r="K5073" s="16"/>
      <c r="L5073" s="14" t="s">
        <v>183</v>
      </c>
      <c r="M5073" s="16" t="str">
        <f t="shared" si="1"/>
        <v>50552 TUPAC AMARU II6 Primaria</v>
      </c>
      <c r="N5073" s="23"/>
      <c r="O5073" s="17"/>
      <c r="P5073" s="17"/>
      <c r="Q5073" s="17"/>
      <c r="R5073" s="17"/>
      <c r="S5073" s="17"/>
      <c r="T5073" s="17"/>
    </row>
    <row r="5074">
      <c r="A5074" s="21">
        <v>1202.0</v>
      </c>
      <c r="B5074" s="14" t="s">
        <v>90</v>
      </c>
      <c r="C5074" s="14" t="s">
        <v>14</v>
      </c>
      <c r="D5074" s="20" t="s">
        <v>22</v>
      </c>
      <c r="E5074" s="12" t="str">
        <f>IFERROR(__xludf.DUMMYFUNCTION("FILTER(colegios!$B$2:$B5618,colegios!$A$2:$A5618=L5074)"),"50552 TUPAC AMARU II")</f>
        <v>50552 TUPAC AMARU II</v>
      </c>
      <c r="F5074" s="14" t="s">
        <v>16</v>
      </c>
      <c r="G5074" s="20" t="s">
        <v>17</v>
      </c>
      <c r="H5074" s="14" t="s">
        <v>18</v>
      </c>
      <c r="I5074" s="22">
        <v>2022.0</v>
      </c>
      <c r="J5074" s="16" t="str">
        <f>IFERROR(__xludf.DUMMYFUNCTION("FILTER('CLASFICACIÓN'!$F$3:$F5618,'CLASFICACIÓN'!$G$3:$G5618=M5074)"),"SOLO 2022 Y 2024")</f>
        <v>SOLO 2022 Y 2024</v>
      </c>
      <c r="K5074" s="16"/>
      <c r="L5074" s="14" t="s">
        <v>183</v>
      </c>
      <c r="M5074" s="16" t="str">
        <f t="shared" si="1"/>
        <v>50552 TUPAC AMARU II6 Primaria</v>
      </c>
      <c r="N5074" s="23"/>
      <c r="O5074" s="17"/>
      <c r="P5074" s="17"/>
      <c r="Q5074" s="17"/>
      <c r="R5074" s="17"/>
      <c r="S5074" s="17"/>
      <c r="T5074" s="17"/>
    </row>
    <row r="5075">
      <c r="A5075" s="21">
        <v>1203.0</v>
      </c>
      <c r="B5075" s="14" t="s">
        <v>90</v>
      </c>
      <c r="C5075" s="14" t="s">
        <v>14</v>
      </c>
      <c r="D5075" s="20" t="s">
        <v>22</v>
      </c>
      <c r="E5075" s="12" t="str">
        <f>IFERROR(__xludf.DUMMYFUNCTION("FILTER(colegios!$B$2:$B5618,colegios!$A$2:$A5618=L5075)"),"50552 TUPAC AMARU II")</f>
        <v>50552 TUPAC AMARU II</v>
      </c>
      <c r="F5075" s="14" t="s">
        <v>16</v>
      </c>
      <c r="G5075" s="20" t="s">
        <v>21</v>
      </c>
      <c r="H5075" s="14" t="s">
        <v>18</v>
      </c>
      <c r="I5075" s="22">
        <v>2022.0</v>
      </c>
      <c r="J5075" s="16" t="str">
        <f>IFERROR(__xludf.DUMMYFUNCTION("FILTER('CLASFICACIÓN'!$F$3:$F5618,'CLASFICACIÓN'!$G$3:$G5618=M5075)"),"SOLO 2022 Y 2024")</f>
        <v>SOLO 2022 Y 2024</v>
      </c>
      <c r="K5075" s="16"/>
      <c r="L5075" s="14" t="s">
        <v>183</v>
      </c>
      <c r="M5075" s="16" t="str">
        <f t="shared" si="1"/>
        <v>50552 TUPAC AMARU II6 Primaria</v>
      </c>
      <c r="N5075" s="23"/>
      <c r="O5075" s="17"/>
      <c r="P5075" s="17"/>
      <c r="Q5075" s="17"/>
      <c r="R5075" s="17"/>
      <c r="S5075" s="17"/>
      <c r="T5075" s="17"/>
    </row>
    <row r="5076">
      <c r="A5076" s="21">
        <v>1204.0</v>
      </c>
      <c r="B5076" s="14" t="s">
        <v>90</v>
      </c>
      <c r="C5076" s="14" t="s">
        <v>14</v>
      </c>
      <c r="D5076" s="20" t="s">
        <v>22</v>
      </c>
      <c r="E5076" s="12" t="str">
        <f>IFERROR(__xludf.DUMMYFUNCTION("FILTER(colegios!$B$2:$B5618,colegios!$A$2:$A5618=L5076)"),"50552 TUPAC AMARU II")</f>
        <v>50552 TUPAC AMARU II</v>
      </c>
      <c r="F5076" s="14" t="s">
        <v>16</v>
      </c>
      <c r="G5076" s="20" t="s">
        <v>17</v>
      </c>
      <c r="H5076" s="14" t="s">
        <v>18</v>
      </c>
      <c r="I5076" s="22">
        <v>2022.0</v>
      </c>
      <c r="J5076" s="16" t="str">
        <f>IFERROR(__xludf.DUMMYFUNCTION("FILTER('CLASFICACIÓN'!$F$3:$F5618,'CLASFICACIÓN'!$G$3:$G5618=M5076)"),"SOLO 2022 Y 2024")</f>
        <v>SOLO 2022 Y 2024</v>
      </c>
      <c r="K5076" s="16"/>
      <c r="L5076" s="14" t="s">
        <v>183</v>
      </c>
      <c r="M5076" s="16" t="str">
        <f t="shared" si="1"/>
        <v>50552 TUPAC AMARU II6 Primaria</v>
      </c>
      <c r="N5076" s="23"/>
      <c r="O5076" s="17"/>
      <c r="P5076" s="17"/>
      <c r="Q5076" s="17"/>
      <c r="R5076" s="17"/>
      <c r="S5076" s="17"/>
      <c r="T5076" s="17"/>
    </row>
    <row r="5077">
      <c r="A5077" s="21">
        <v>1205.0</v>
      </c>
      <c r="B5077" s="14" t="s">
        <v>90</v>
      </c>
      <c r="C5077" s="14" t="s">
        <v>14</v>
      </c>
      <c r="D5077" s="20" t="s">
        <v>22</v>
      </c>
      <c r="E5077" s="12" t="str">
        <f>IFERROR(__xludf.DUMMYFUNCTION("FILTER(colegios!$B$2:$B5618,colegios!$A$2:$A5618=L5077)"),"50552 TUPAC AMARU II")</f>
        <v>50552 TUPAC AMARU II</v>
      </c>
      <c r="F5077" s="14" t="s">
        <v>16</v>
      </c>
      <c r="G5077" s="20" t="s">
        <v>21</v>
      </c>
      <c r="H5077" s="14" t="s">
        <v>18</v>
      </c>
      <c r="I5077" s="22">
        <v>2022.0</v>
      </c>
      <c r="J5077" s="16" t="str">
        <f>IFERROR(__xludf.DUMMYFUNCTION("FILTER('CLASFICACIÓN'!$F$3:$F5618,'CLASFICACIÓN'!$G$3:$G5618=M5077)"),"SOLO 2022 Y 2024")</f>
        <v>SOLO 2022 Y 2024</v>
      </c>
      <c r="K5077" s="16"/>
      <c r="L5077" s="14" t="s">
        <v>183</v>
      </c>
      <c r="M5077" s="16" t="str">
        <f t="shared" si="1"/>
        <v>50552 TUPAC AMARU II6 Primaria</v>
      </c>
      <c r="N5077" s="23"/>
      <c r="O5077" s="17"/>
      <c r="P5077" s="17"/>
      <c r="Q5077" s="17"/>
      <c r="R5077" s="17"/>
      <c r="S5077" s="17"/>
      <c r="T5077" s="17"/>
    </row>
    <row r="5078">
      <c r="A5078" s="21">
        <v>1206.0</v>
      </c>
      <c r="B5078" s="14" t="s">
        <v>90</v>
      </c>
      <c r="C5078" s="14" t="s">
        <v>14</v>
      </c>
      <c r="D5078" s="20" t="s">
        <v>22</v>
      </c>
      <c r="E5078" s="12" t="str">
        <f>IFERROR(__xludf.DUMMYFUNCTION("FILTER(colegios!$B$2:$B5618,colegios!$A$2:$A5618=L5078)"),"50552 TUPAC AMARU II")</f>
        <v>50552 TUPAC AMARU II</v>
      </c>
      <c r="F5078" s="14" t="s">
        <v>16</v>
      </c>
      <c r="G5078" s="20" t="s">
        <v>17</v>
      </c>
      <c r="H5078" s="14" t="s">
        <v>18</v>
      </c>
      <c r="I5078" s="22">
        <v>2022.0</v>
      </c>
      <c r="J5078" s="16" t="str">
        <f>IFERROR(__xludf.DUMMYFUNCTION("FILTER('CLASFICACIÓN'!$F$3:$F5618,'CLASFICACIÓN'!$G$3:$G5618=M5078)"),"SOLO 2022 Y 2024")</f>
        <v>SOLO 2022 Y 2024</v>
      </c>
      <c r="K5078" s="16"/>
      <c r="L5078" s="14" t="s">
        <v>183</v>
      </c>
      <c r="M5078" s="16" t="str">
        <f t="shared" si="1"/>
        <v>50552 TUPAC AMARU II6 Primaria</v>
      </c>
      <c r="N5078" s="23"/>
      <c r="O5078" s="17"/>
      <c r="P5078" s="17"/>
      <c r="Q5078" s="17"/>
      <c r="R5078" s="17"/>
      <c r="S5078" s="17"/>
      <c r="T5078" s="17"/>
    </row>
    <row r="5079">
      <c r="A5079" s="21">
        <v>1207.0</v>
      </c>
      <c r="B5079" s="14" t="s">
        <v>90</v>
      </c>
      <c r="C5079" s="14" t="s">
        <v>14</v>
      </c>
      <c r="D5079" s="20" t="s">
        <v>22</v>
      </c>
      <c r="E5079" s="12" t="str">
        <f>IFERROR(__xludf.DUMMYFUNCTION("FILTER(colegios!$B$2:$B5618,colegios!$A$2:$A5618=L5079)"),"50552 TUPAC AMARU II")</f>
        <v>50552 TUPAC AMARU II</v>
      </c>
      <c r="F5079" s="14" t="s">
        <v>16</v>
      </c>
      <c r="G5079" s="20" t="s">
        <v>17</v>
      </c>
      <c r="H5079" s="14" t="s">
        <v>18</v>
      </c>
      <c r="I5079" s="22">
        <v>2022.0</v>
      </c>
      <c r="J5079" s="16" t="str">
        <f>IFERROR(__xludf.DUMMYFUNCTION("FILTER('CLASFICACIÓN'!$F$3:$F5618,'CLASFICACIÓN'!$G$3:$G5618=M5079)"),"SOLO 2022 Y 2024")</f>
        <v>SOLO 2022 Y 2024</v>
      </c>
      <c r="K5079" s="16"/>
      <c r="L5079" s="14" t="s">
        <v>183</v>
      </c>
      <c r="M5079" s="16" t="str">
        <f t="shared" si="1"/>
        <v>50552 TUPAC AMARU II6 Primaria</v>
      </c>
      <c r="N5079" s="23"/>
      <c r="O5079" s="17"/>
      <c r="P5079" s="17"/>
      <c r="Q5079" s="17"/>
      <c r="R5079" s="17"/>
      <c r="S5079" s="17"/>
      <c r="T5079" s="17"/>
    </row>
    <row r="5080">
      <c r="A5080" s="21">
        <v>1208.0</v>
      </c>
      <c r="B5080" s="14" t="s">
        <v>90</v>
      </c>
      <c r="C5080" s="14" t="s">
        <v>14</v>
      </c>
      <c r="D5080" s="20" t="s">
        <v>22</v>
      </c>
      <c r="E5080" s="12" t="str">
        <f>IFERROR(__xludf.DUMMYFUNCTION("FILTER(colegios!$B$2:$B5618,colegios!$A$2:$A5618=L5080)"),"50552 TUPAC AMARU II")</f>
        <v>50552 TUPAC AMARU II</v>
      </c>
      <c r="F5080" s="14" t="s">
        <v>16</v>
      </c>
      <c r="G5080" s="20" t="s">
        <v>17</v>
      </c>
      <c r="H5080" s="14" t="s">
        <v>18</v>
      </c>
      <c r="I5080" s="22">
        <v>2022.0</v>
      </c>
      <c r="J5080" s="16" t="str">
        <f>IFERROR(__xludf.DUMMYFUNCTION("FILTER('CLASFICACIÓN'!$F$3:$F5618,'CLASFICACIÓN'!$G$3:$G5618=M5080)"),"SOLO 2022 Y 2024")</f>
        <v>SOLO 2022 Y 2024</v>
      </c>
      <c r="K5080" s="16"/>
      <c r="L5080" s="14" t="s">
        <v>183</v>
      </c>
      <c r="M5080" s="16" t="str">
        <f t="shared" si="1"/>
        <v>50552 TUPAC AMARU II6 Primaria</v>
      </c>
      <c r="N5080" s="23"/>
      <c r="O5080" s="17"/>
      <c r="P5080" s="17"/>
      <c r="Q5080" s="17"/>
      <c r="R5080" s="17"/>
      <c r="S5080" s="17"/>
      <c r="T5080" s="17"/>
    </row>
    <row r="5081">
      <c r="A5081" s="21">
        <v>1209.0</v>
      </c>
      <c r="B5081" s="14" t="s">
        <v>90</v>
      </c>
      <c r="C5081" s="14" t="s">
        <v>14</v>
      </c>
      <c r="D5081" s="20" t="s">
        <v>22</v>
      </c>
      <c r="E5081" s="12" t="str">
        <f>IFERROR(__xludf.DUMMYFUNCTION("FILTER(colegios!$B$2:$B5618,colegios!$A$2:$A5618=L5081)"),"50552 TUPAC AMARU II")</f>
        <v>50552 TUPAC AMARU II</v>
      </c>
      <c r="F5081" s="14" t="s">
        <v>16</v>
      </c>
      <c r="G5081" s="20" t="s">
        <v>21</v>
      </c>
      <c r="H5081" s="14" t="s">
        <v>18</v>
      </c>
      <c r="I5081" s="22">
        <v>2022.0</v>
      </c>
      <c r="J5081" s="16" t="str">
        <f>IFERROR(__xludf.DUMMYFUNCTION("FILTER('CLASFICACIÓN'!$F$3:$F5618,'CLASFICACIÓN'!$G$3:$G5618=M5081)"),"SOLO 2022 Y 2024")</f>
        <v>SOLO 2022 Y 2024</v>
      </c>
      <c r="K5081" s="16"/>
      <c r="L5081" s="14" t="s">
        <v>183</v>
      </c>
      <c r="M5081" s="16" t="str">
        <f t="shared" si="1"/>
        <v>50552 TUPAC AMARU II6 Primaria</v>
      </c>
      <c r="N5081" s="23"/>
      <c r="O5081" s="17"/>
      <c r="P5081" s="17"/>
      <c r="Q5081" s="17"/>
      <c r="R5081" s="17"/>
      <c r="S5081" s="17"/>
      <c r="T5081" s="17"/>
    </row>
    <row r="5082">
      <c r="A5082" s="21">
        <v>1210.0</v>
      </c>
      <c r="B5082" s="14" t="s">
        <v>90</v>
      </c>
      <c r="C5082" s="14" t="s">
        <v>14</v>
      </c>
      <c r="D5082" s="20" t="s">
        <v>22</v>
      </c>
      <c r="E5082" s="12" t="str">
        <f>IFERROR(__xludf.DUMMYFUNCTION("FILTER(colegios!$B$2:$B5618,colegios!$A$2:$A5618=L5082)"),"50552 TUPAC AMARU II")</f>
        <v>50552 TUPAC AMARU II</v>
      </c>
      <c r="F5082" s="14" t="s">
        <v>16</v>
      </c>
      <c r="G5082" s="20" t="s">
        <v>21</v>
      </c>
      <c r="H5082" s="14" t="s">
        <v>18</v>
      </c>
      <c r="I5082" s="22">
        <v>2022.0</v>
      </c>
      <c r="J5082" s="16" t="str">
        <f>IFERROR(__xludf.DUMMYFUNCTION("FILTER('CLASFICACIÓN'!$F$3:$F5618,'CLASFICACIÓN'!$G$3:$G5618=M5082)"),"SOLO 2022 Y 2024")</f>
        <v>SOLO 2022 Y 2024</v>
      </c>
      <c r="K5082" s="16"/>
      <c r="L5082" s="14" t="s">
        <v>183</v>
      </c>
      <c r="M5082" s="16" t="str">
        <f t="shared" si="1"/>
        <v>50552 TUPAC AMARU II6 Primaria</v>
      </c>
      <c r="N5082" s="23"/>
      <c r="O5082" s="17"/>
      <c r="P5082" s="17"/>
      <c r="Q5082" s="17"/>
      <c r="R5082" s="17"/>
      <c r="S5082" s="17"/>
      <c r="T5082" s="17"/>
    </row>
    <row r="5083">
      <c r="A5083" s="21">
        <v>1211.0</v>
      </c>
      <c r="B5083" s="14" t="s">
        <v>90</v>
      </c>
      <c r="C5083" s="14" t="s">
        <v>14</v>
      </c>
      <c r="D5083" s="20" t="s">
        <v>22</v>
      </c>
      <c r="E5083" s="12" t="str">
        <f>IFERROR(__xludf.DUMMYFUNCTION("FILTER(colegios!$B$2:$B5618,colegios!$A$2:$A5618=L5083)"),"50552 TUPAC AMARU II")</f>
        <v>50552 TUPAC AMARU II</v>
      </c>
      <c r="F5083" s="14" t="s">
        <v>16</v>
      </c>
      <c r="G5083" s="20" t="s">
        <v>17</v>
      </c>
      <c r="H5083" s="14" t="s">
        <v>18</v>
      </c>
      <c r="I5083" s="22">
        <v>2022.0</v>
      </c>
      <c r="J5083" s="16" t="str">
        <f>IFERROR(__xludf.DUMMYFUNCTION("FILTER('CLASFICACIÓN'!$F$3:$F5618,'CLASFICACIÓN'!$G$3:$G5618=M5083)"),"SOLO 2022 Y 2024")</f>
        <v>SOLO 2022 Y 2024</v>
      </c>
      <c r="K5083" s="16"/>
      <c r="L5083" s="14" t="s">
        <v>183</v>
      </c>
      <c r="M5083" s="16" t="str">
        <f t="shared" si="1"/>
        <v>50552 TUPAC AMARU II6 Primaria</v>
      </c>
      <c r="N5083" s="23"/>
      <c r="O5083" s="17"/>
      <c r="P5083" s="17"/>
      <c r="Q5083" s="17"/>
      <c r="R5083" s="17"/>
      <c r="S5083" s="17"/>
      <c r="T5083" s="17"/>
    </row>
    <row r="5084">
      <c r="A5084" s="21">
        <v>1212.0</v>
      </c>
      <c r="B5084" s="14" t="s">
        <v>90</v>
      </c>
      <c r="C5084" s="14" t="s">
        <v>14</v>
      </c>
      <c r="D5084" s="20" t="s">
        <v>22</v>
      </c>
      <c r="E5084" s="12" t="str">
        <f>IFERROR(__xludf.DUMMYFUNCTION("FILTER(colegios!$B$2:$B5618,colegios!$A$2:$A5618=L5084)"),"50552 TUPAC AMARU II")</f>
        <v>50552 TUPAC AMARU II</v>
      </c>
      <c r="F5084" s="14" t="s">
        <v>16</v>
      </c>
      <c r="G5084" s="20" t="s">
        <v>21</v>
      </c>
      <c r="H5084" s="14" t="s">
        <v>18</v>
      </c>
      <c r="I5084" s="22">
        <v>2022.0</v>
      </c>
      <c r="J5084" s="16" t="str">
        <f>IFERROR(__xludf.DUMMYFUNCTION("FILTER('CLASFICACIÓN'!$F$3:$F5618,'CLASFICACIÓN'!$G$3:$G5618=M5084)"),"SOLO 2022 Y 2024")</f>
        <v>SOLO 2022 Y 2024</v>
      </c>
      <c r="K5084" s="16"/>
      <c r="L5084" s="14" t="s">
        <v>183</v>
      </c>
      <c r="M5084" s="16" t="str">
        <f t="shared" si="1"/>
        <v>50552 TUPAC AMARU II6 Primaria</v>
      </c>
      <c r="N5084" s="23"/>
      <c r="O5084" s="17"/>
      <c r="P5084" s="17"/>
      <c r="Q5084" s="17"/>
      <c r="R5084" s="17"/>
      <c r="S5084" s="17"/>
      <c r="T5084" s="17"/>
    </row>
    <row r="5085">
      <c r="A5085" s="21">
        <v>1213.0</v>
      </c>
      <c r="B5085" s="14" t="s">
        <v>90</v>
      </c>
      <c r="C5085" s="14" t="s">
        <v>14</v>
      </c>
      <c r="D5085" s="20" t="s">
        <v>22</v>
      </c>
      <c r="E5085" s="12" t="str">
        <f>IFERROR(__xludf.DUMMYFUNCTION("FILTER(colegios!$B$2:$B5618,colegios!$A$2:$A5618=L5085)"),"50552 TUPAC AMARU II")</f>
        <v>50552 TUPAC AMARU II</v>
      </c>
      <c r="F5085" s="14" t="s">
        <v>16</v>
      </c>
      <c r="G5085" s="20" t="s">
        <v>17</v>
      </c>
      <c r="H5085" s="14" t="s">
        <v>18</v>
      </c>
      <c r="I5085" s="22">
        <v>2022.0</v>
      </c>
      <c r="J5085" s="16" t="str">
        <f>IFERROR(__xludf.DUMMYFUNCTION("FILTER('CLASFICACIÓN'!$F$3:$F5618,'CLASFICACIÓN'!$G$3:$G5618=M5085)"),"SOLO 2022 Y 2024")</f>
        <v>SOLO 2022 Y 2024</v>
      </c>
      <c r="K5085" s="16"/>
      <c r="L5085" s="14" t="s">
        <v>183</v>
      </c>
      <c r="M5085" s="16" t="str">
        <f t="shared" si="1"/>
        <v>50552 TUPAC AMARU II6 Primaria</v>
      </c>
      <c r="N5085" s="23"/>
      <c r="O5085" s="17"/>
      <c r="P5085" s="17"/>
      <c r="Q5085" s="17"/>
      <c r="R5085" s="17"/>
      <c r="S5085" s="17"/>
      <c r="T5085" s="17"/>
    </row>
    <row r="5086">
      <c r="A5086" s="21">
        <v>1214.0</v>
      </c>
      <c r="B5086" s="14" t="s">
        <v>90</v>
      </c>
      <c r="C5086" s="14" t="s">
        <v>14</v>
      </c>
      <c r="D5086" s="20" t="s">
        <v>22</v>
      </c>
      <c r="E5086" s="12" t="str">
        <f>IFERROR(__xludf.DUMMYFUNCTION("FILTER(colegios!$B$2:$B5618,colegios!$A$2:$A5618=L5086)"),"50552 TUPAC AMARU II")</f>
        <v>50552 TUPAC AMARU II</v>
      </c>
      <c r="F5086" s="14" t="s">
        <v>16</v>
      </c>
      <c r="G5086" s="20" t="s">
        <v>17</v>
      </c>
      <c r="H5086" s="14" t="s">
        <v>18</v>
      </c>
      <c r="I5086" s="22">
        <v>2022.0</v>
      </c>
      <c r="J5086" s="16" t="str">
        <f>IFERROR(__xludf.DUMMYFUNCTION("FILTER('CLASFICACIÓN'!$F$3:$F5618,'CLASFICACIÓN'!$G$3:$G5618=M5086)"),"SOLO 2022 Y 2024")</f>
        <v>SOLO 2022 Y 2024</v>
      </c>
      <c r="K5086" s="16"/>
      <c r="L5086" s="14" t="s">
        <v>183</v>
      </c>
      <c r="M5086" s="16" t="str">
        <f t="shared" si="1"/>
        <v>50552 TUPAC AMARU II6 Primaria</v>
      </c>
      <c r="N5086" s="23"/>
      <c r="O5086" s="17"/>
      <c r="P5086" s="17"/>
      <c r="Q5086" s="17"/>
      <c r="R5086" s="17"/>
      <c r="S5086" s="17"/>
      <c r="T5086" s="17"/>
    </row>
    <row r="5087">
      <c r="A5087" s="21">
        <v>1215.0</v>
      </c>
      <c r="B5087" s="14" t="s">
        <v>90</v>
      </c>
      <c r="C5087" s="14" t="s">
        <v>14</v>
      </c>
      <c r="D5087" s="20" t="s">
        <v>22</v>
      </c>
      <c r="E5087" s="12" t="str">
        <f>IFERROR(__xludf.DUMMYFUNCTION("FILTER(colegios!$B$2:$B5618,colegios!$A$2:$A5618=L5087)"),"50552 TUPAC AMARU II")</f>
        <v>50552 TUPAC AMARU II</v>
      </c>
      <c r="F5087" s="14" t="s">
        <v>16</v>
      </c>
      <c r="G5087" s="20" t="s">
        <v>17</v>
      </c>
      <c r="H5087" s="14" t="s">
        <v>18</v>
      </c>
      <c r="I5087" s="22">
        <v>2022.0</v>
      </c>
      <c r="J5087" s="16" t="str">
        <f>IFERROR(__xludf.DUMMYFUNCTION("FILTER('CLASFICACIÓN'!$F$3:$F5618,'CLASFICACIÓN'!$G$3:$G5618=M5087)"),"SOLO 2022 Y 2024")</f>
        <v>SOLO 2022 Y 2024</v>
      </c>
      <c r="K5087" s="16"/>
      <c r="L5087" s="14" t="s">
        <v>183</v>
      </c>
      <c r="M5087" s="16" t="str">
        <f t="shared" si="1"/>
        <v>50552 TUPAC AMARU II6 Primaria</v>
      </c>
      <c r="N5087" s="23"/>
      <c r="O5087" s="17"/>
      <c r="P5087" s="17"/>
      <c r="Q5087" s="17"/>
      <c r="R5087" s="17"/>
      <c r="S5087" s="17"/>
      <c r="T5087" s="17"/>
    </row>
    <row r="5088">
      <c r="A5088" s="21">
        <v>1216.0</v>
      </c>
      <c r="B5088" s="14" t="s">
        <v>90</v>
      </c>
      <c r="C5088" s="14" t="s">
        <v>14</v>
      </c>
      <c r="D5088" s="20" t="s">
        <v>22</v>
      </c>
      <c r="E5088" s="12" t="str">
        <f>IFERROR(__xludf.DUMMYFUNCTION("FILTER(colegios!$B$2:$B5618,colegios!$A$2:$A5618=L5088)"),"50552 TUPAC AMARU II")</f>
        <v>50552 TUPAC AMARU II</v>
      </c>
      <c r="F5088" s="14" t="s">
        <v>16</v>
      </c>
      <c r="G5088" s="20" t="s">
        <v>17</v>
      </c>
      <c r="H5088" s="14" t="s">
        <v>18</v>
      </c>
      <c r="I5088" s="22">
        <v>2022.0</v>
      </c>
      <c r="J5088" s="16" t="str">
        <f>IFERROR(__xludf.DUMMYFUNCTION("FILTER('CLASFICACIÓN'!$F$3:$F5618,'CLASFICACIÓN'!$G$3:$G5618=M5088)"),"SOLO 2022 Y 2024")</f>
        <v>SOLO 2022 Y 2024</v>
      </c>
      <c r="K5088" s="16"/>
      <c r="L5088" s="14" t="s">
        <v>183</v>
      </c>
      <c r="M5088" s="16" t="str">
        <f t="shared" si="1"/>
        <v>50552 TUPAC AMARU II6 Primaria</v>
      </c>
      <c r="N5088" s="23"/>
      <c r="O5088" s="17"/>
      <c r="P5088" s="17"/>
      <c r="Q5088" s="17"/>
      <c r="R5088" s="17"/>
      <c r="S5088" s="17"/>
      <c r="T5088" s="17"/>
    </row>
    <row r="5089">
      <c r="A5089" s="21">
        <v>1217.0</v>
      </c>
      <c r="B5089" s="14" t="s">
        <v>90</v>
      </c>
      <c r="C5089" s="14" t="s">
        <v>14</v>
      </c>
      <c r="D5089" s="20" t="s">
        <v>22</v>
      </c>
      <c r="E5089" s="12" t="str">
        <f>IFERROR(__xludf.DUMMYFUNCTION("FILTER(colegios!$B$2:$B5618,colegios!$A$2:$A5618=L5089)"),"50552 TUPAC AMARU II")</f>
        <v>50552 TUPAC AMARU II</v>
      </c>
      <c r="F5089" s="14" t="s">
        <v>16</v>
      </c>
      <c r="G5089" s="20" t="s">
        <v>21</v>
      </c>
      <c r="H5089" s="14" t="s">
        <v>18</v>
      </c>
      <c r="I5089" s="22">
        <v>2022.0</v>
      </c>
      <c r="J5089" s="16" t="str">
        <f>IFERROR(__xludf.DUMMYFUNCTION("FILTER('CLASFICACIÓN'!$F$3:$F5618,'CLASFICACIÓN'!$G$3:$G5618=M5089)"),"SOLO 2022 Y 2024")</f>
        <v>SOLO 2022 Y 2024</v>
      </c>
      <c r="K5089" s="16"/>
      <c r="L5089" s="14" t="s">
        <v>183</v>
      </c>
      <c r="M5089" s="16" t="str">
        <f t="shared" si="1"/>
        <v>50552 TUPAC AMARU II6 Primaria</v>
      </c>
      <c r="N5089" s="23"/>
      <c r="O5089" s="17"/>
      <c r="P5089" s="17"/>
      <c r="Q5089" s="17"/>
      <c r="R5089" s="17"/>
      <c r="S5089" s="17"/>
      <c r="T5089" s="17"/>
    </row>
    <row r="5090">
      <c r="A5090" s="21">
        <v>1218.0</v>
      </c>
      <c r="B5090" s="14" t="s">
        <v>90</v>
      </c>
      <c r="C5090" s="14" t="s">
        <v>14</v>
      </c>
      <c r="D5090" s="20" t="s">
        <v>22</v>
      </c>
      <c r="E5090" s="12" t="str">
        <f>IFERROR(__xludf.DUMMYFUNCTION("FILTER(colegios!$B$2:$B5618,colegios!$A$2:$A5618=L5090)"),"50552 TUPAC AMARU II")</f>
        <v>50552 TUPAC AMARU II</v>
      </c>
      <c r="F5090" s="14" t="s">
        <v>16</v>
      </c>
      <c r="G5090" s="20" t="s">
        <v>21</v>
      </c>
      <c r="H5090" s="14" t="s">
        <v>18</v>
      </c>
      <c r="I5090" s="22">
        <v>2022.0</v>
      </c>
      <c r="J5090" s="16" t="str">
        <f>IFERROR(__xludf.DUMMYFUNCTION("FILTER('CLASFICACIÓN'!$F$3:$F5618,'CLASFICACIÓN'!$G$3:$G5618=M5090)"),"SOLO 2022 Y 2024")</f>
        <v>SOLO 2022 Y 2024</v>
      </c>
      <c r="K5090" s="16"/>
      <c r="L5090" s="14" t="s">
        <v>183</v>
      </c>
      <c r="M5090" s="16" t="str">
        <f t="shared" si="1"/>
        <v>50552 TUPAC AMARU II6 Primaria</v>
      </c>
      <c r="N5090" s="23"/>
      <c r="O5090" s="17"/>
      <c r="P5090" s="17"/>
      <c r="Q5090" s="17"/>
      <c r="R5090" s="17"/>
      <c r="S5090" s="17"/>
      <c r="T5090" s="17"/>
    </row>
    <row r="5091">
      <c r="A5091" s="21">
        <v>1219.0</v>
      </c>
      <c r="B5091" s="14" t="s">
        <v>90</v>
      </c>
      <c r="C5091" s="14" t="s">
        <v>14</v>
      </c>
      <c r="D5091" s="20" t="s">
        <v>22</v>
      </c>
      <c r="E5091" s="12" t="str">
        <f>IFERROR(__xludf.DUMMYFUNCTION("FILTER(colegios!$B$2:$B5618,colegios!$A$2:$A5618=L5091)"),"50552 TUPAC AMARU II")</f>
        <v>50552 TUPAC AMARU II</v>
      </c>
      <c r="F5091" s="14" t="s">
        <v>16</v>
      </c>
      <c r="G5091" s="20" t="s">
        <v>21</v>
      </c>
      <c r="H5091" s="14" t="s">
        <v>18</v>
      </c>
      <c r="I5091" s="22">
        <v>2022.0</v>
      </c>
      <c r="J5091" s="16" t="str">
        <f>IFERROR(__xludf.DUMMYFUNCTION("FILTER('CLASFICACIÓN'!$F$3:$F5618,'CLASFICACIÓN'!$G$3:$G5618=M5091)"),"SOLO 2022 Y 2024")</f>
        <v>SOLO 2022 Y 2024</v>
      </c>
      <c r="K5091" s="16"/>
      <c r="L5091" s="14" t="s">
        <v>183</v>
      </c>
      <c r="M5091" s="16" t="str">
        <f t="shared" si="1"/>
        <v>50552 TUPAC AMARU II6 Primaria</v>
      </c>
      <c r="N5091" s="23"/>
      <c r="O5091" s="17"/>
      <c r="P5091" s="17"/>
      <c r="Q5091" s="17"/>
      <c r="R5091" s="17"/>
      <c r="S5091" s="17"/>
      <c r="T5091" s="17"/>
    </row>
    <row r="5092">
      <c r="A5092" s="21">
        <v>1220.0</v>
      </c>
      <c r="B5092" s="14" t="s">
        <v>90</v>
      </c>
      <c r="C5092" s="14" t="s">
        <v>14</v>
      </c>
      <c r="D5092" s="20" t="s">
        <v>22</v>
      </c>
      <c r="E5092" s="12" t="str">
        <f>IFERROR(__xludf.DUMMYFUNCTION("FILTER(colegios!$B$2:$B5618,colegios!$A$2:$A5618=L5092)"),"50552 TUPAC AMARU II")</f>
        <v>50552 TUPAC AMARU II</v>
      </c>
      <c r="F5092" s="14" t="s">
        <v>16</v>
      </c>
      <c r="G5092" s="20" t="s">
        <v>21</v>
      </c>
      <c r="H5092" s="14" t="s">
        <v>18</v>
      </c>
      <c r="I5092" s="22">
        <v>2022.0</v>
      </c>
      <c r="J5092" s="16" t="str">
        <f>IFERROR(__xludf.DUMMYFUNCTION("FILTER('CLASFICACIÓN'!$F$3:$F5618,'CLASFICACIÓN'!$G$3:$G5618=M5092)"),"SOLO 2022 Y 2024")</f>
        <v>SOLO 2022 Y 2024</v>
      </c>
      <c r="K5092" s="16"/>
      <c r="L5092" s="14" t="s">
        <v>183</v>
      </c>
      <c r="M5092" s="16" t="str">
        <f t="shared" si="1"/>
        <v>50552 TUPAC AMARU II6 Primaria</v>
      </c>
      <c r="N5092" s="23"/>
      <c r="O5092" s="17"/>
      <c r="P5092" s="17"/>
      <c r="Q5092" s="17"/>
      <c r="R5092" s="17"/>
      <c r="S5092" s="17"/>
      <c r="T5092" s="17"/>
    </row>
    <row r="5093">
      <c r="A5093" s="21">
        <v>1221.0</v>
      </c>
      <c r="B5093" s="14" t="s">
        <v>90</v>
      </c>
      <c r="C5093" s="14" t="s">
        <v>14</v>
      </c>
      <c r="D5093" s="20" t="s">
        <v>22</v>
      </c>
      <c r="E5093" s="12" t="str">
        <f>IFERROR(__xludf.DUMMYFUNCTION("FILTER(colegios!$B$2:$B5618,colegios!$A$2:$A5618=L5093)"),"50552 TUPAC AMARU II")</f>
        <v>50552 TUPAC AMARU II</v>
      </c>
      <c r="F5093" s="14" t="s">
        <v>16</v>
      </c>
      <c r="G5093" s="20" t="s">
        <v>17</v>
      </c>
      <c r="H5093" s="14" t="s">
        <v>18</v>
      </c>
      <c r="I5093" s="22">
        <v>2022.0</v>
      </c>
      <c r="J5093" s="16" t="str">
        <f>IFERROR(__xludf.DUMMYFUNCTION("FILTER('CLASFICACIÓN'!$F$3:$F5618,'CLASFICACIÓN'!$G$3:$G5618=M5093)"),"SOLO 2022 Y 2024")</f>
        <v>SOLO 2022 Y 2024</v>
      </c>
      <c r="K5093" s="16"/>
      <c r="L5093" s="14" t="s">
        <v>183</v>
      </c>
      <c r="M5093" s="16" t="str">
        <f t="shared" si="1"/>
        <v>50552 TUPAC AMARU II6 Primaria</v>
      </c>
      <c r="N5093" s="23"/>
      <c r="O5093" s="17"/>
      <c r="P5093" s="17"/>
      <c r="Q5093" s="17"/>
      <c r="R5093" s="17"/>
      <c r="S5093" s="17"/>
      <c r="T5093" s="17"/>
    </row>
    <row r="5094">
      <c r="A5094" s="21">
        <v>1222.0</v>
      </c>
      <c r="B5094" s="14" t="s">
        <v>90</v>
      </c>
      <c r="C5094" s="14" t="s">
        <v>14</v>
      </c>
      <c r="D5094" s="20" t="s">
        <v>22</v>
      </c>
      <c r="E5094" s="12" t="str">
        <f>IFERROR(__xludf.DUMMYFUNCTION("FILTER(colegios!$B$2:$B5618,colegios!$A$2:$A5618=L5094)"),"50552 TUPAC AMARU II")</f>
        <v>50552 TUPAC AMARU II</v>
      </c>
      <c r="F5094" s="14" t="s">
        <v>16</v>
      </c>
      <c r="G5094" s="20" t="s">
        <v>17</v>
      </c>
      <c r="H5094" s="14" t="s">
        <v>18</v>
      </c>
      <c r="I5094" s="22">
        <v>2022.0</v>
      </c>
      <c r="J5094" s="16" t="str">
        <f>IFERROR(__xludf.DUMMYFUNCTION("FILTER('CLASFICACIÓN'!$F$3:$F5618,'CLASFICACIÓN'!$G$3:$G5618=M5094)"),"SOLO 2022 Y 2024")</f>
        <v>SOLO 2022 Y 2024</v>
      </c>
      <c r="K5094" s="16"/>
      <c r="L5094" s="14" t="s">
        <v>183</v>
      </c>
      <c r="M5094" s="16" t="str">
        <f t="shared" si="1"/>
        <v>50552 TUPAC AMARU II6 Primaria</v>
      </c>
      <c r="N5094" s="23"/>
      <c r="O5094" s="17"/>
      <c r="P5094" s="17"/>
      <c r="Q5094" s="17"/>
      <c r="R5094" s="17"/>
      <c r="S5094" s="17"/>
      <c r="T5094" s="17"/>
    </row>
    <row r="5095">
      <c r="A5095" s="21">
        <v>1223.0</v>
      </c>
      <c r="B5095" s="14" t="s">
        <v>90</v>
      </c>
      <c r="C5095" s="14" t="s">
        <v>14</v>
      </c>
      <c r="D5095" s="20" t="s">
        <v>22</v>
      </c>
      <c r="E5095" s="12" t="str">
        <f>IFERROR(__xludf.DUMMYFUNCTION("FILTER(colegios!$B$2:$B5618,colegios!$A$2:$A5618=L5095)"),"50552 TUPAC AMARU II")</f>
        <v>50552 TUPAC AMARU II</v>
      </c>
      <c r="F5095" s="14" t="s">
        <v>16</v>
      </c>
      <c r="G5095" s="20" t="s">
        <v>17</v>
      </c>
      <c r="H5095" s="14" t="s">
        <v>18</v>
      </c>
      <c r="I5095" s="22">
        <v>2022.0</v>
      </c>
      <c r="J5095" s="16" t="str">
        <f>IFERROR(__xludf.DUMMYFUNCTION("FILTER('CLASFICACIÓN'!$F$3:$F5618,'CLASFICACIÓN'!$G$3:$G5618=M5095)"),"SOLO 2022 Y 2024")</f>
        <v>SOLO 2022 Y 2024</v>
      </c>
      <c r="K5095" s="16"/>
      <c r="L5095" s="14" t="s">
        <v>183</v>
      </c>
      <c r="M5095" s="16" t="str">
        <f t="shared" si="1"/>
        <v>50552 TUPAC AMARU II6 Primaria</v>
      </c>
      <c r="N5095" s="23"/>
      <c r="O5095" s="17"/>
      <c r="P5095" s="17"/>
      <c r="Q5095" s="17"/>
      <c r="R5095" s="17"/>
      <c r="S5095" s="17"/>
      <c r="T5095" s="17"/>
    </row>
    <row r="5096">
      <c r="A5096" s="21">
        <v>1224.0</v>
      </c>
      <c r="B5096" s="14" t="s">
        <v>90</v>
      </c>
      <c r="C5096" s="14" t="s">
        <v>14</v>
      </c>
      <c r="D5096" s="20" t="s">
        <v>22</v>
      </c>
      <c r="E5096" s="12" t="str">
        <f>IFERROR(__xludf.DUMMYFUNCTION("FILTER(colegios!$B$2:$B5618,colegios!$A$2:$A5618=L5096)"),"50552 TUPAC AMARU II")</f>
        <v>50552 TUPAC AMARU II</v>
      </c>
      <c r="F5096" s="14" t="s">
        <v>16</v>
      </c>
      <c r="G5096" s="20" t="s">
        <v>17</v>
      </c>
      <c r="H5096" s="14" t="s">
        <v>18</v>
      </c>
      <c r="I5096" s="22">
        <v>2022.0</v>
      </c>
      <c r="J5096" s="16" t="str">
        <f>IFERROR(__xludf.DUMMYFUNCTION("FILTER('CLASFICACIÓN'!$F$3:$F5618,'CLASFICACIÓN'!$G$3:$G5618=M5096)"),"SOLO 2022 Y 2024")</f>
        <v>SOLO 2022 Y 2024</v>
      </c>
      <c r="K5096" s="16"/>
      <c r="L5096" s="14" t="s">
        <v>183</v>
      </c>
      <c r="M5096" s="16" t="str">
        <f t="shared" si="1"/>
        <v>50552 TUPAC AMARU II6 Primaria</v>
      </c>
      <c r="N5096" s="23"/>
      <c r="O5096" s="17"/>
      <c r="P5096" s="17"/>
      <c r="Q5096" s="17"/>
      <c r="R5096" s="17"/>
      <c r="S5096" s="17"/>
      <c r="T5096" s="17"/>
    </row>
    <row r="5097">
      <c r="A5097" s="21">
        <v>1225.0</v>
      </c>
      <c r="B5097" s="14" t="s">
        <v>90</v>
      </c>
      <c r="C5097" s="14" t="s">
        <v>14</v>
      </c>
      <c r="D5097" s="20" t="s">
        <v>22</v>
      </c>
      <c r="E5097" s="12" t="str">
        <f>IFERROR(__xludf.DUMMYFUNCTION("FILTER(colegios!$B$2:$B5618,colegios!$A$2:$A5618=L5097)"),"50552 TUPAC AMARU II")</f>
        <v>50552 TUPAC AMARU II</v>
      </c>
      <c r="F5097" s="14" t="s">
        <v>16</v>
      </c>
      <c r="G5097" s="20" t="s">
        <v>17</v>
      </c>
      <c r="H5097" s="14" t="s">
        <v>18</v>
      </c>
      <c r="I5097" s="22">
        <v>2022.0</v>
      </c>
      <c r="J5097" s="16" t="str">
        <f>IFERROR(__xludf.DUMMYFUNCTION("FILTER('CLASFICACIÓN'!$F$3:$F5618,'CLASFICACIÓN'!$G$3:$G5618=M5097)"),"SOLO 2022 Y 2024")</f>
        <v>SOLO 2022 Y 2024</v>
      </c>
      <c r="K5097" s="16"/>
      <c r="L5097" s="14" t="s">
        <v>183</v>
      </c>
      <c r="M5097" s="16" t="str">
        <f t="shared" si="1"/>
        <v>50552 TUPAC AMARU II6 Primaria</v>
      </c>
      <c r="N5097" s="23"/>
      <c r="O5097" s="17"/>
      <c r="P5097" s="17"/>
      <c r="Q5097" s="17"/>
      <c r="R5097" s="17"/>
      <c r="S5097" s="17"/>
      <c r="T5097" s="17"/>
    </row>
    <row r="5098">
      <c r="A5098" s="21">
        <v>1226.0</v>
      </c>
      <c r="B5098" s="14" t="s">
        <v>90</v>
      </c>
      <c r="C5098" s="14" t="s">
        <v>14</v>
      </c>
      <c r="D5098" s="20" t="s">
        <v>22</v>
      </c>
      <c r="E5098" s="12" t="str">
        <f>IFERROR(__xludf.DUMMYFUNCTION("FILTER(colegios!$B$2:$B5618,colegios!$A$2:$A5618=L5098)"),"50552 TUPAC AMARU II")</f>
        <v>50552 TUPAC AMARU II</v>
      </c>
      <c r="F5098" s="14" t="s">
        <v>16</v>
      </c>
      <c r="G5098" s="20" t="s">
        <v>17</v>
      </c>
      <c r="H5098" s="14" t="s">
        <v>18</v>
      </c>
      <c r="I5098" s="22">
        <v>2022.0</v>
      </c>
      <c r="J5098" s="16" t="str">
        <f>IFERROR(__xludf.DUMMYFUNCTION("FILTER('CLASFICACIÓN'!$F$3:$F5618,'CLASFICACIÓN'!$G$3:$G5618=M5098)"),"SOLO 2022 Y 2024")</f>
        <v>SOLO 2022 Y 2024</v>
      </c>
      <c r="K5098" s="16"/>
      <c r="L5098" s="14" t="s">
        <v>183</v>
      </c>
      <c r="M5098" s="16" t="str">
        <f t="shared" si="1"/>
        <v>50552 TUPAC AMARU II6 Primaria</v>
      </c>
      <c r="N5098" s="23"/>
      <c r="O5098" s="17"/>
      <c r="P5098" s="17"/>
      <c r="Q5098" s="17"/>
      <c r="R5098" s="17"/>
      <c r="S5098" s="17"/>
      <c r="T5098" s="17"/>
    </row>
    <row r="5099">
      <c r="A5099" s="21">
        <v>1227.0</v>
      </c>
      <c r="B5099" s="14" t="s">
        <v>90</v>
      </c>
      <c r="C5099" s="14" t="s">
        <v>14</v>
      </c>
      <c r="D5099" s="20" t="s">
        <v>22</v>
      </c>
      <c r="E5099" s="12" t="str">
        <f>IFERROR(__xludf.DUMMYFUNCTION("FILTER(colegios!$B$2:$B5618,colegios!$A$2:$A5618=L5099)"),"50552 TUPAC AMARU II")</f>
        <v>50552 TUPAC AMARU II</v>
      </c>
      <c r="F5099" s="14" t="s">
        <v>16</v>
      </c>
      <c r="G5099" s="20" t="s">
        <v>17</v>
      </c>
      <c r="H5099" s="14" t="s">
        <v>18</v>
      </c>
      <c r="I5099" s="22">
        <v>2022.0</v>
      </c>
      <c r="J5099" s="16" t="str">
        <f>IFERROR(__xludf.DUMMYFUNCTION("FILTER('CLASFICACIÓN'!$F$3:$F5618,'CLASFICACIÓN'!$G$3:$G5618=M5099)"),"SOLO 2022 Y 2024")</f>
        <v>SOLO 2022 Y 2024</v>
      </c>
      <c r="K5099" s="16"/>
      <c r="L5099" s="14" t="s">
        <v>183</v>
      </c>
      <c r="M5099" s="16" t="str">
        <f t="shared" si="1"/>
        <v>50552 TUPAC AMARU II6 Primaria</v>
      </c>
      <c r="N5099" s="23"/>
      <c r="O5099" s="17"/>
      <c r="P5099" s="17"/>
      <c r="Q5099" s="17"/>
      <c r="R5099" s="17"/>
      <c r="S5099" s="17"/>
      <c r="T5099" s="17"/>
    </row>
    <row r="5100">
      <c r="A5100" s="21">
        <v>1228.0</v>
      </c>
      <c r="B5100" s="14" t="s">
        <v>90</v>
      </c>
      <c r="C5100" s="14" t="s">
        <v>14</v>
      </c>
      <c r="D5100" s="20" t="s">
        <v>22</v>
      </c>
      <c r="E5100" s="12" t="str">
        <f>IFERROR(__xludf.DUMMYFUNCTION("FILTER(colegios!$B$2:$B5618,colegios!$A$2:$A5618=L5100)"),"50552 TUPAC AMARU II")</f>
        <v>50552 TUPAC AMARU II</v>
      </c>
      <c r="F5100" s="14" t="s">
        <v>16</v>
      </c>
      <c r="G5100" s="20" t="s">
        <v>21</v>
      </c>
      <c r="H5100" s="14" t="s">
        <v>18</v>
      </c>
      <c r="I5100" s="22">
        <v>2022.0</v>
      </c>
      <c r="J5100" s="16" t="str">
        <f>IFERROR(__xludf.DUMMYFUNCTION("FILTER('CLASFICACIÓN'!$F$3:$F5618,'CLASFICACIÓN'!$G$3:$G5618=M5100)"),"SOLO 2022 Y 2024")</f>
        <v>SOLO 2022 Y 2024</v>
      </c>
      <c r="K5100" s="16"/>
      <c r="L5100" s="14" t="s">
        <v>183</v>
      </c>
      <c r="M5100" s="16" t="str">
        <f t="shared" si="1"/>
        <v>50552 TUPAC AMARU II6 Primaria</v>
      </c>
      <c r="N5100" s="23"/>
      <c r="O5100" s="17"/>
      <c r="P5100" s="17"/>
      <c r="Q5100" s="17"/>
      <c r="R5100" s="17"/>
      <c r="S5100" s="17"/>
      <c r="T5100" s="17"/>
    </row>
    <row r="5101">
      <c r="A5101" s="21">
        <v>1229.0</v>
      </c>
      <c r="B5101" s="14" t="s">
        <v>90</v>
      </c>
      <c r="C5101" s="14" t="s">
        <v>14</v>
      </c>
      <c r="D5101" s="20" t="s">
        <v>22</v>
      </c>
      <c r="E5101" s="12" t="str">
        <f>IFERROR(__xludf.DUMMYFUNCTION("FILTER(colegios!$B$2:$B5618,colegios!$A$2:$A5618=L5101)"),"50552 TUPAC AMARU II")</f>
        <v>50552 TUPAC AMARU II</v>
      </c>
      <c r="F5101" s="14" t="s">
        <v>16</v>
      </c>
      <c r="G5101" s="20" t="s">
        <v>17</v>
      </c>
      <c r="H5101" s="14" t="s">
        <v>18</v>
      </c>
      <c r="I5101" s="22">
        <v>2022.0</v>
      </c>
      <c r="J5101" s="16" t="str">
        <f>IFERROR(__xludf.DUMMYFUNCTION("FILTER('CLASFICACIÓN'!$F$3:$F5618,'CLASFICACIÓN'!$G$3:$G5618=M5101)"),"SOLO 2022 Y 2024")</f>
        <v>SOLO 2022 Y 2024</v>
      </c>
      <c r="K5101" s="16"/>
      <c r="L5101" s="14" t="s">
        <v>183</v>
      </c>
      <c r="M5101" s="16" t="str">
        <f t="shared" si="1"/>
        <v>50552 TUPAC AMARU II6 Primaria</v>
      </c>
      <c r="N5101" s="23"/>
      <c r="O5101" s="17"/>
      <c r="P5101" s="17"/>
      <c r="Q5101" s="17"/>
      <c r="R5101" s="17"/>
      <c r="S5101" s="17"/>
      <c r="T5101" s="17"/>
    </row>
    <row r="5102">
      <c r="A5102" s="21">
        <v>1230.0</v>
      </c>
      <c r="B5102" s="14" t="s">
        <v>90</v>
      </c>
      <c r="C5102" s="14" t="s">
        <v>14</v>
      </c>
      <c r="D5102" s="20" t="s">
        <v>22</v>
      </c>
      <c r="E5102" s="12" t="str">
        <f>IFERROR(__xludf.DUMMYFUNCTION("FILTER(colegios!$B$2:$B5618,colegios!$A$2:$A5618=L5102)"),"50552 TUPAC AMARU II")</f>
        <v>50552 TUPAC AMARU II</v>
      </c>
      <c r="F5102" s="14" t="s">
        <v>16</v>
      </c>
      <c r="G5102" s="20" t="s">
        <v>21</v>
      </c>
      <c r="H5102" s="14" t="s">
        <v>18</v>
      </c>
      <c r="I5102" s="22">
        <v>2022.0</v>
      </c>
      <c r="J5102" s="16" t="str">
        <f>IFERROR(__xludf.DUMMYFUNCTION("FILTER('CLASFICACIÓN'!$F$3:$F5618,'CLASFICACIÓN'!$G$3:$G5618=M5102)"),"SOLO 2022 Y 2024")</f>
        <v>SOLO 2022 Y 2024</v>
      </c>
      <c r="K5102" s="16"/>
      <c r="L5102" s="14" t="s">
        <v>183</v>
      </c>
      <c r="M5102" s="16" t="str">
        <f t="shared" si="1"/>
        <v>50552 TUPAC AMARU II6 Primaria</v>
      </c>
      <c r="N5102" s="23"/>
      <c r="O5102" s="17"/>
      <c r="P5102" s="17"/>
      <c r="Q5102" s="17"/>
      <c r="R5102" s="17"/>
      <c r="S5102" s="17"/>
      <c r="T5102" s="17"/>
    </row>
    <row r="5103">
      <c r="A5103" s="21">
        <v>1231.0</v>
      </c>
      <c r="B5103" s="14" t="s">
        <v>90</v>
      </c>
      <c r="C5103" s="14" t="s">
        <v>14</v>
      </c>
      <c r="D5103" s="20" t="s">
        <v>22</v>
      </c>
      <c r="E5103" s="12" t="str">
        <f>IFERROR(__xludf.DUMMYFUNCTION("FILTER(colegios!$B$2:$B5618,colegios!$A$2:$A5618=L5103)"),"50552 TUPAC AMARU II")</f>
        <v>50552 TUPAC AMARU II</v>
      </c>
      <c r="F5103" s="14" t="s">
        <v>16</v>
      </c>
      <c r="G5103" s="20" t="s">
        <v>17</v>
      </c>
      <c r="H5103" s="14" t="s">
        <v>18</v>
      </c>
      <c r="I5103" s="22">
        <v>2022.0</v>
      </c>
      <c r="J5103" s="16" t="str">
        <f>IFERROR(__xludf.DUMMYFUNCTION("FILTER('CLASFICACIÓN'!$F$3:$F5618,'CLASFICACIÓN'!$G$3:$G5618=M5103)"),"SOLO 2022 Y 2024")</f>
        <v>SOLO 2022 Y 2024</v>
      </c>
      <c r="K5103" s="16"/>
      <c r="L5103" s="14" t="s">
        <v>183</v>
      </c>
      <c r="M5103" s="16" t="str">
        <f t="shared" si="1"/>
        <v>50552 TUPAC AMARU II6 Primaria</v>
      </c>
      <c r="N5103" s="23"/>
      <c r="O5103" s="17"/>
      <c r="P5103" s="17"/>
      <c r="Q5103" s="17"/>
      <c r="R5103" s="17"/>
      <c r="S5103" s="17"/>
      <c r="T5103" s="17"/>
    </row>
    <row r="5104">
      <c r="A5104" s="21">
        <v>1232.0</v>
      </c>
      <c r="B5104" s="14" t="s">
        <v>90</v>
      </c>
      <c r="C5104" s="14" t="s">
        <v>14</v>
      </c>
      <c r="D5104" s="20" t="s">
        <v>22</v>
      </c>
      <c r="E5104" s="12" t="str">
        <f>IFERROR(__xludf.DUMMYFUNCTION("FILTER(colegios!$B$2:$B5618,colegios!$A$2:$A5618=L5104)"),"50552 TUPAC AMARU II")</f>
        <v>50552 TUPAC AMARU II</v>
      </c>
      <c r="F5104" s="14" t="s">
        <v>16</v>
      </c>
      <c r="G5104" s="20" t="s">
        <v>21</v>
      </c>
      <c r="H5104" s="14" t="s">
        <v>18</v>
      </c>
      <c r="I5104" s="22">
        <v>2022.0</v>
      </c>
      <c r="J5104" s="16" t="str">
        <f>IFERROR(__xludf.DUMMYFUNCTION("FILTER('CLASFICACIÓN'!$F$3:$F5618,'CLASFICACIÓN'!$G$3:$G5618=M5104)"),"SOLO 2022 Y 2024")</f>
        <v>SOLO 2022 Y 2024</v>
      </c>
      <c r="K5104" s="16"/>
      <c r="L5104" s="14" t="s">
        <v>183</v>
      </c>
      <c r="M5104" s="16" t="str">
        <f t="shared" si="1"/>
        <v>50552 TUPAC AMARU II6 Primaria</v>
      </c>
      <c r="N5104" s="23"/>
      <c r="O5104" s="17"/>
      <c r="P5104" s="17"/>
      <c r="Q5104" s="17"/>
      <c r="R5104" s="17"/>
      <c r="S5104" s="17"/>
      <c r="T5104" s="17"/>
    </row>
    <row r="5105">
      <c r="A5105" s="21">
        <v>1233.0</v>
      </c>
      <c r="B5105" s="14" t="s">
        <v>90</v>
      </c>
      <c r="C5105" s="14" t="s">
        <v>14</v>
      </c>
      <c r="D5105" s="20" t="s">
        <v>22</v>
      </c>
      <c r="E5105" s="12" t="str">
        <f>IFERROR(__xludf.DUMMYFUNCTION("FILTER(colegios!$B$2:$B5618,colegios!$A$2:$A5618=L5105)"),"50552 TUPAC AMARU II")</f>
        <v>50552 TUPAC AMARU II</v>
      </c>
      <c r="F5105" s="14" t="s">
        <v>16</v>
      </c>
      <c r="G5105" s="20" t="s">
        <v>17</v>
      </c>
      <c r="H5105" s="14" t="s">
        <v>18</v>
      </c>
      <c r="I5105" s="22">
        <v>2022.0</v>
      </c>
      <c r="J5105" s="16" t="str">
        <f>IFERROR(__xludf.DUMMYFUNCTION("FILTER('CLASFICACIÓN'!$F$3:$F5618,'CLASFICACIÓN'!$G$3:$G5618=M5105)"),"SOLO 2022 Y 2024")</f>
        <v>SOLO 2022 Y 2024</v>
      </c>
      <c r="K5105" s="16"/>
      <c r="L5105" s="14" t="s">
        <v>183</v>
      </c>
      <c r="M5105" s="16" t="str">
        <f t="shared" si="1"/>
        <v>50552 TUPAC AMARU II6 Primaria</v>
      </c>
      <c r="N5105" s="23"/>
      <c r="O5105" s="17"/>
      <c r="P5105" s="17"/>
      <c r="Q5105" s="17"/>
      <c r="R5105" s="17"/>
      <c r="S5105" s="17"/>
      <c r="T5105" s="17"/>
    </row>
    <row r="5106">
      <c r="A5106" s="21">
        <v>1234.0</v>
      </c>
      <c r="B5106" s="14" t="s">
        <v>90</v>
      </c>
      <c r="C5106" s="14" t="s">
        <v>14</v>
      </c>
      <c r="D5106" s="20" t="s">
        <v>22</v>
      </c>
      <c r="E5106" s="12" t="str">
        <f>IFERROR(__xludf.DUMMYFUNCTION("FILTER(colegios!$B$2:$B5618,colegios!$A$2:$A5618=L5106)"),"50552 TUPAC AMARU II")</f>
        <v>50552 TUPAC AMARU II</v>
      </c>
      <c r="F5106" s="14" t="s">
        <v>16</v>
      </c>
      <c r="G5106" s="20" t="s">
        <v>17</v>
      </c>
      <c r="H5106" s="14" t="s">
        <v>18</v>
      </c>
      <c r="I5106" s="22">
        <v>2022.0</v>
      </c>
      <c r="J5106" s="16" t="str">
        <f>IFERROR(__xludf.DUMMYFUNCTION("FILTER('CLASFICACIÓN'!$F$3:$F5618,'CLASFICACIÓN'!$G$3:$G5618=M5106)"),"SOLO 2022 Y 2024")</f>
        <v>SOLO 2022 Y 2024</v>
      </c>
      <c r="K5106" s="16"/>
      <c r="L5106" s="14" t="s">
        <v>183</v>
      </c>
      <c r="M5106" s="16" t="str">
        <f t="shared" si="1"/>
        <v>50552 TUPAC AMARU II6 Primaria</v>
      </c>
      <c r="N5106" s="23"/>
      <c r="O5106" s="17"/>
      <c r="P5106" s="17"/>
      <c r="Q5106" s="17"/>
      <c r="R5106" s="17"/>
      <c r="S5106" s="17"/>
      <c r="T5106" s="17"/>
    </row>
    <row r="5107">
      <c r="A5107" s="21">
        <v>1235.0</v>
      </c>
      <c r="B5107" s="14" t="s">
        <v>90</v>
      </c>
      <c r="C5107" s="14" t="s">
        <v>14</v>
      </c>
      <c r="D5107" s="20" t="s">
        <v>22</v>
      </c>
      <c r="E5107" s="12" t="str">
        <f>IFERROR(__xludf.DUMMYFUNCTION("FILTER(colegios!$B$2:$B5618,colegios!$A$2:$A5618=L5107)"),"50552 TUPAC AMARU II")</f>
        <v>50552 TUPAC AMARU II</v>
      </c>
      <c r="F5107" s="14" t="s">
        <v>16</v>
      </c>
      <c r="G5107" s="20" t="s">
        <v>17</v>
      </c>
      <c r="H5107" s="14" t="s">
        <v>18</v>
      </c>
      <c r="I5107" s="22">
        <v>2022.0</v>
      </c>
      <c r="J5107" s="16" t="str">
        <f>IFERROR(__xludf.DUMMYFUNCTION("FILTER('CLASFICACIÓN'!$F$3:$F5618,'CLASFICACIÓN'!$G$3:$G5618=M5107)"),"SOLO 2022 Y 2024")</f>
        <v>SOLO 2022 Y 2024</v>
      </c>
      <c r="K5107" s="16"/>
      <c r="L5107" s="14" t="s">
        <v>183</v>
      </c>
      <c r="M5107" s="16" t="str">
        <f t="shared" si="1"/>
        <v>50552 TUPAC AMARU II6 Primaria</v>
      </c>
      <c r="N5107" s="23"/>
      <c r="O5107" s="17"/>
      <c r="P5107" s="17"/>
      <c r="Q5107" s="17"/>
      <c r="R5107" s="17"/>
      <c r="S5107" s="17"/>
      <c r="T5107" s="17"/>
    </row>
    <row r="5108">
      <c r="A5108" s="21">
        <v>1236.0</v>
      </c>
      <c r="B5108" s="14" t="s">
        <v>90</v>
      </c>
      <c r="C5108" s="14" t="s">
        <v>14</v>
      </c>
      <c r="D5108" s="20" t="s">
        <v>22</v>
      </c>
      <c r="E5108" s="12" t="str">
        <f>IFERROR(__xludf.DUMMYFUNCTION("FILTER(colegios!$B$2:$B5618,colegios!$A$2:$A5618=L5108)"),"50552 TUPAC AMARU II")</f>
        <v>50552 TUPAC AMARU II</v>
      </c>
      <c r="F5108" s="14" t="s">
        <v>16</v>
      </c>
      <c r="G5108" s="20" t="s">
        <v>21</v>
      </c>
      <c r="H5108" s="14" t="s">
        <v>18</v>
      </c>
      <c r="I5108" s="22">
        <v>2022.0</v>
      </c>
      <c r="J5108" s="16" t="str">
        <f>IFERROR(__xludf.DUMMYFUNCTION("FILTER('CLASFICACIÓN'!$F$3:$F5618,'CLASFICACIÓN'!$G$3:$G5618=M5108)"),"SOLO 2022 Y 2024")</f>
        <v>SOLO 2022 Y 2024</v>
      </c>
      <c r="K5108" s="16"/>
      <c r="L5108" s="14" t="s">
        <v>183</v>
      </c>
      <c r="M5108" s="16" t="str">
        <f t="shared" si="1"/>
        <v>50552 TUPAC AMARU II6 Primaria</v>
      </c>
      <c r="N5108" s="23"/>
      <c r="O5108" s="17"/>
      <c r="P5108" s="17"/>
      <c r="Q5108" s="17"/>
      <c r="R5108" s="17"/>
      <c r="S5108" s="17"/>
      <c r="T5108" s="17"/>
    </row>
    <row r="5109">
      <c r="A5109" s="21">
        <v>1237.0</v>
      </c>
      <c r="B5109" s="14" t="s">
        <v>90</v>
      </c>
      <c r="C5109" s="14" t="s">
        <v>14</v>
      </c>
      <c r="D5109" s="20" t="s">
        <v>22</v>
      </c>
      <c r="E5109" s="12" t="str">
        <f>IFERROR(__xludf.DUMMYFUNCTION("FILTER(colegios!$B$2:$B5618,colegios!$A$2:$A5618=L5109)"),"50552 TUPAC AMARU II")</f>
        <v>50552 TUPAC AMARU II</v>
      </c>
      <c r="F5109" s="14" t="s">
        <v>16</v>
      </c>
      <c r="G5109" s="20" t="s">
        <v>21</v>
      </c>
      <c r="H5109" s="14" t="s">
        <v>18</v>
      </c>
      <c r="I5109" s="22">
        <v>2022.0</v>
      </c>
      <c r="J5109" s="16" t="str">
        <f>IFERROR(__xludf.DUMMYFUNCTION("FILTER('CLASFICACIÓN'!$F$3:$F5618,'CLASFICACIÓN'!$G$3:$G5618=M5109)"),"SOLO 2022 Y 2024")</f>
        <v>SOLO 2022 Y 2024</v>
      </c>
      <c r="K5109" s="16"/>
      <c r="L5109" s="14" t="s">
        <v>183</v>
      </c>
      <c r="M5109" s="16" t="str">
        <f t="shared" si="1"/>
        <v>50552 TUPAC AMARU II6 Primaria</v>
      </c>
      <c r="N5109" s="23"/>
      <c r="O5109" s="17"/>
      <c r="P5109" s="17"/>
      <c r="Q5109" s="17"/>
      <c r="R5109" s="17"/>
      <c r="S5109" s="17"/>
      <c r="T5109" s="17"/>
    </row>
    <row r="5110">
      <c r="A5110" s="21">
        <v>1238.0</v>
      </c>
      <c r="B5110" s="14" t="s">
        <v>90</v>
      </c>
      <c r="C5110" s="14" t="s">
        <v>14</v>
      </c>
      <c r="D5110" s="20" t="s">
        <v>22</v>
      </c>
      <c r="E5110" s="12" t="str">
        <f>IFERROR(__xludf.DUMMYFUNCTION("FILTER(colegios!$B$2:$B5618,colegios!$A$2:$A5618=L5110)"),"50552 TUPAC AMARU II")</f>
        <v>50552 TUPAC AMARU II</v>
      </c>
      <c r="F5110" s="14" t="s">
        <v>16</v>
      </c>
      <c r="G5110" s="20" t="s">
        <v>21</v>
      </c>
      <c r="H5110" s="14" t="s">
        <v>18</v>
      </c>
      <c r="I5110" s="22">
        <v>2022.0</v>
      </c>
      <c r="J5110" s="16" t="str">
        <f>IFERROR(__xludf.DUMMYFUNCTION("FILTER('CLASFICACIÓN'!$F$3:$F5618,'CLASFICACIÓN'!$G$3:$G5618=M5110)"),"SOLO 2022 Y 2024")</f>
        <v>SOLO 2022 Y 2024</v>
      </c>
      <c r="K5110" s="16"/>
      <c r="L5110" s="14" t="s">
        <v>183</v>
      </c>
      <c r="M5110" s="16" t="str">
        <f t="shared" si="1"/>
        <v>50552 TUPAC AMARU II6 Primaria</v>
      </c>
      <c r="N5110" s="23"/>
      <c r="O5110" s="17"/>
      <c r="P5110" s="17"/>
      <c r="Q5110" s="17"/>
      <c r="R5110" s="17"/>
      <c r="S5110" s="17"/>
      <c r="T5110" s="17"/>
    </row>
    <row r="5111">
      <c r="A5111" s="21">
        <v>1239.0</v>
      </c>
      <c r="B5111" s="14" t="s">
        <v>90</v>
      </c>
      <c r="C5111" s="14" t="s">
        <v>14</v>
      </c>
      <c r="D5111" s="20" t="s">
        <v>22</v>
      </c>
      <c r="E5111" s="12" t="str">
        <f>IFERROR(__xludf.DUMMYFUNCTION("FILTER(colegios!$B$2:$B5618,colegios!$A$2:$A5618=L5111)"),"50552 TUPAC AMARU II")</f>
        <v>50552 TUPAC AMARU II</v>
      </c>
      <c r="F5111" s="14" t="s">
        <v>16</v>
      </c>
      <c r="G5111" s="20" t="s">
        <v>21</v>
      </c>
      <c r="H5111" s="14" t="s">
        <v>18</v>
      </c>
      <c r="I5111" s="22">
        <v>2022.0</v>
      </c>
      <c r="J5111" s="16" t="str">
        <f>IFERROR(__xludf.DUMMYFUNCTION("FILTER('CLASFICACIÓN'!$F$3:$F5618,'CLASFICACIÓN'!$G$3:$G5618=M5111)"),"SOLO 2022 Y 2024")</f>
        <v>SOLO 2022 Y 2024</v>
      </c>
      <c r="K5111" s="16"/>
      <c r="L5111" s="14" t="s">
        <v>183</v>
      </c>
      <c r="M5111" s="16" t="str">
        <f t="shared" si="1"/>
        <v>50552 TUPAC AMARU II6 Primaria</v>
      </c>
      <c r="N5111" s="23"/>
      <c r="O5111" s="17"/>
      <c r="P5111" s="17"/>
      <c r="Q5111" s="17"/>
      <c r="R5111" s="17"/>
      <c r="S5111" s="17"/>
      <c r="T5111" s="17"/>
    </row>
    <row r="5112">
      <c r="A5112" s="21">
        <v>1240.0</v>
      </c>
      <c r="B5112" s="14" t="s">
        <v>90</v>
      </c>
      <c r="C5112" s="14" t="s">
        <v>14</v>
      </c>
      <c r="D5112" s="20" t="s">
        <v>22</v>
      </c>
      <c r="E5112" s="12" t="str">
        <f>IFERROR(__xludf.DUMMYFUNCTION("FILTER(colegios!$B$2:$B5618,colegios!$A$2:$A5618=L5112)"),"50552 TUPAC AMARU II")</f>
        <v>50552 TUPAC AMARU II</v>
      </c>
      <c r="F5112" s="14" t="s">
        <v>16</v>
      </c>
      <c r="G5112" s="20" t="s">
        <v>21</v>
      </c>
      <c r="H5112" s="14" t="s">
        <v>18</v>
      </c>
      <c r="I5112" s="22">
        <v>2022.0</v>
      </c>
      <c r="J5112" s="16" t="str">
        <f>IFERROR(__xludf.DUMMYFUNCTION("FILTER('CLASFICACIÓN'!$F$3:$F5618,'CLASFICACIÓN'!$G$3:$G5618=M5112)"),"SOLO 2022 Y 2024")</f>
        <v>SOLO 2022 Y 2024</v>
      </c>
      <c r="K5112" s="16"/>
      <c r="L5112" s="14" t="s">
        <v>183</v>
      </c>
      <c r="M5112" s="16" t="str">
        <f t="shared" si="1"/>
        <v>50552 TUPAC AMARU II6 Primaria</v>
      </c>
      <c r="N5112" s="23"/>
      <c r="O5112" s="17"/>
      <c r="P5112" s="17"/>
      <c r="Q5112" s="17"/>
      <c r="R5112" s="17"/>
      <c r="S5112" s="17"/>
      <c r="T5112" s="17"/>
    </row>
    <row r="5113">
      <c r="A5113" s="21">
        <v>1241.0</v>
      </c>
      <c r="B5113" s="14" t="s">
        <v>90</v>
      </c>
      <c r="C5113" s="14" t="s">
        <v>14</v>
      </c>
      <c r="D5113" s="20" t="s">
        <v>22</v>
      </c>
      <c r="E5113" s="12" t="str">
        <f>IFERROR(__xludf.DUMMYFUNCTION("FILTER(colegios!$B$2:$B5618,colegios!$A$2:$A5618=L5113)"),"50552 TUPAC AMARU II")</f>
        <v>50552 TUPAC AMARU II</v>
      </c>
      <c r="F5113" s="14" t="s">
        <v>16</v>
      </c>
      <c r="G5113" s="20" t="s">
        <v>21</v>
      </c>
      <c r="H5113" s="14" t="s">
        <v>18</v>
      </c>
      <c r="I5113" s="22">
        <v>2022.0</v>
      </c>
      <c r="J5113" s="16" t="str">
        <f>IFERROR(__xludf.DUMMYFUNCTION("FILTER('CLASFICACIÓN'!$F$3:$F5618,'CLASFICACIÓN'!$G$3:$G5618=M5113)"),"SOLO 2022 Y 2024")</f>
        <v>SOLO 2022 Y 2024</v>
      </c>
      <c r="K5113" s="16"/>
      <c r="L5113" s="14" t="s">
        <v>183</v>
      </c>
      <c r="M5113" s="16" t="str">
        <f t="shared" si="1"/>
        <v>50552 TUPAC AMARU II6 Primaria</v>
      </c>
      <c r="N5113" s="23"/>
      <c r="O5113" s="17"/>
      <c r="P5113" s="17"/>
      <c r="Q5113" s="17"/>
      <c r="R5113" s="17"/>
      <c r="S5113" s="17"/>
      <c r="T5113" s="17"/>
    </row>
    <row r="5114">
      <c r="A5114" s="21">
        <v>1242.0</v>
      </c>
      <c r="B5114" s="14" t="s">
        <v>90</v>
      </c>
      <c r="C5114" s="14" t="s">
        <v>14</v>
      </c>
      <c r="D5114" s="20" t="s">
        <v>22</v>
      </c>
      <c r="E5114" s="12" t="str">
        <f>IFERROR(__xludf.DUMMYFUNCTION("FILTER(colegios!$B$2:$B5618,colegios!$A$2:$A5618=L5114)"),"50552 TUPAC AMARU II")</f>
        <v>50552 TUPAC AMARU II</v>
      </c>
      <c r="F5114" s="14" t="s">
        <v>16</v>
      </c>
      <c r="G5114" s="20" t="s">
        <v>21</v>
      </c>
      <c r="H5114" s="14" t="s">
        <v>18</v>
      </c>
      <c r="I5114" s="22">
        <v>2022.0</v>
      </c>
      <c r="J5114" s="16" t="str">
        <f>IFERROR(__xludf.DUMMYFUNCTION("FILTER('CLASFICACIÓN'!$F$3:$F5618,'CLASFICACIÓN'!$G$3:$G5618=M5114)"),"SOLO 2022 Y 2024")</f>
        <v>SOLO 2022 Y 2024</v>
      </c>
      <c r="K5114" s="16"/>
      <c r="L5114" s="14" t="s">
        <v>183</v>
      </c>
      <c r="M5114" s="16" t="str">
        <f t="shared" si="1"/>
        <v>50552 TUPAC AMARU II6 Primaria</v>
      </c>
      <c r="N5114" s="23"/>
      <c r="O5114" s="17"/>
      <c r="P5114" s="17"/>
      <c r="Q5114" s="17"/>
      <c r="R5114" s="17"/>
      <c r="S5114" s="17"/>
      <c r="T5114" s="17"/>
    </row>
    <row r="5115">
      <c r="A5115" s="21">
        <v>1243.0</v>
      </c>
      <c r="B5115" s="14" t="s">
        <v>90</v>
      </c>
      <c r="C5115" s="14" t="s">
        <v>14</v>
      </c>
      <c r="D5115" s="20" t="s">
        <v>22</v>
      </c>
      <c r="E5115" s="12" t="str">
        <f>IFERROR(__xludf.DUMMYFUNCTION("FILTER(colegios!$B$2:$B5618,colegios!$A$2:$A5618=L5115)"),"50552 TUPAC AMARU II")</f>
        <v>50552 TUPAC AMARU II</v>
      </c>
      <c r="F5115" s="14" t="s">
        <v>16</v>
      </c>
      <c r="G5115" s="20" t="s">
        <v>21</v>
      </c>
      <c r="H5115" s="14" t="s">
        <v>18</v>
      </c>
      <c r="I5115" s="22">
        <v>2022.0</v>
      </c>
      <c r="J5115" s="16" t="str">
        <f>IFERROR(__xludf.DUMMYFUNCTION("FILTER('CLASFICACIÓN'!$F$3:$F5618,'CLASFICACIÓN'!$G$3:$G5618=M5115)"),"SOLO 2022 Y 2024")</f>
        <v>SOLO 2022 Y 2024</v>
      </c>
      <c r="K5115" s="16"/>
      <c r="L5115" s="14" t="s">
        <v>183</v>
      </c>
      <c r="M5115" s="16" t="str">
        <f t="shared" si="1"/>
        <v>50552 TUPAC AMARU II6 Primaria</v>
      </c>
      <c r="N5115" s="23"/>
      <c r="O5115" s="17"/>
      <c r="P5115" s="17"/>
      <c r="Q5115" s="17"/>
      <c r="R5115" s="17"/>
      <c r="S5115" s="17"/>
      <c r="T5115" s="17"/>
    </row>
    <row r="5116">
      <c r="A5116" s="21">
        <v>1244.0</v>
      </c>
      <c r="B5116" s="14" t="s">
        <v>90</v>
      </c>
      <c r="C5116" s="14" t="s">
        <v>14</v>
      </c>
      <c r="D5116" s="20" t="s">
        <v>22</v>
      </c>
      <c r="E5116" s="12" t="str">
        <f>IFERROR(__xludf.DUMMYFUNCTION("FILTER(colegios!$B$2:$B5618,colegios!$A$2:$A5618=L5116)"),"50552 TUPAC AMARU II")</f>
        <v>50552 TUPAC AMARU II</v>
      </c>
      <c r="F5116" s="14" t="s">
        <v>16</v>
      </c>
      <c r="G5116" s="20" t="s">
        <v>21</v>
      </c>
      <c r="H5116" s="14" t="s">
        <v>18</v>
      </c>
      <c r="I5116" s="22">
        <v>2022.0</v>
      </c>
      <c r="J5116" s="16" t="str">
        <f>IFERROR(__xludf.DUMMYFUNCTION("FILTER('CLASFICACIÓN'!$F$3:$F5618,'CLASFICACIÓN'!$G$3:$G5618=M5116)"),"SOLO 2022 Y 2024")</f>
        <v>SOLO 2022 Y 2024</v>
      </c>
      <c r="K5116" s="16"/>
      <c r="L5116" s="14" t="s">
        <v>183</v>
      </c>
      <c r="M5116" s="16" t="str">
        <f t="shared" si="1"/>
        <v>50552 TUPAC AMARU II6 Primaria</v>
      </c>
      <c r="N5116" s="23"/>
      <c r="O5116" s="17"/>
      <c r="P5116" s="17"/>
      <c r="Q5116" s="17"/>
      <c r="R5116" s="17"/>
      <c r="S5116" s="17"/>
      <c r="T5116" s="17"/>
    </row>
    <row r="5117">
      <c r="A5117" s="21">
        <v>1245.0</v>
      </c>
      <c r="B5117" s="14" t="s">
        <v>90</v>
      </c>
      <c r="C5117" s="14" t="s">
        <v>14</v>
      </c>
      <c r="D5117" s="20" t="s">
        <v>22</v>
      </c>
      <c r="E5117" s="12" t="str">
        <f>IFERROR(__xludf.DUMMYFUNCTION("FILTER(colegios!$B$2:$B5618,colegios!$A$2:$A5618=L5117)"),"50552 TUPAC AMARU II")</f>
        <v>50552 TUPAC AMARU II</v>
      </c>
      <c r="F5117" s="14" t="s">
        <v>16</v>
      </c>
      <c r="G5117" s="20" t="s">
        <v>17</v>
      </c>
      <c r="H5117" s="14" t="s">
        <v>18</v>
      </c>
      <c r="I5117" s="22">
        <v>2022.0</v>
      </c>
      <c r="J5117" s="16" t="str">
        <f>IFERROR(__xludf.DUMMYFUNCTION("FILTER('CLASFICACIÓN'!$F$3:$F5618,'CLASFICACIÓN'!$G$3:$G5618=M5117)"),"SOLO 2022 Y 2024")</f>
        <v>SOLO 2022 Y 2024</v>
      </c>
      <c r="K5117" s="16"/>
      <c r="L5117" s="14" t="s">
        <v>183</v>
      </c>
      <c r="M5117" s="16" t="str">
        <f t="shared" si="1"/>
        <v>50552 TUPAC AMARU II6 Primaria</v>
      </c>
      <c r="N5117" s="23"/>
      <c r="O5117" s="17"/>
      <c r="P5117" s="17"/>
      <c r="Q5117" s="17"/>
      <c r="R5117" s="17"/>
      <c r="S5117" s="17"/>
      <c r="T5117" s="17"/>
    </row>
    <row r="5118">
      <c r="A5118" s="21">
        <v>1246.0</v>
      </c>
      <c r="B5118" s="14" t="s">
        <v>90</v>
      </c>
      <c r="C5118" s="14" t="s">
        <v>14</v>
      </c>
      <c r="D5118" s="20" t="s">
        <v>22</v>
      </c>
      <c r="E5118" s="12" t="str">
        <f>IFERROR(__xludf.DUMMYFUNCTION("FILTER(colegios!$B$2:$B5618,colegios!$A$2:$A5618=L5118)"),"50552 TUPAC AMARU II")</f>
        <v>50552 TUPAC AMARU II</v>
      </c>
      <c r="F5118" s="14" t="s">
        <v>16</v>
      </c>
      <c r="G5118" s="20" t="s">
        <v>21</v>
      </c>
      <c r="H5118" s="14" t="s">
        <v>18</v>
      </c>
      <c r="I5118" s="22">
        <v>2022.0</v>
      </c>
      <c r="J5118" s="16" t="str">
        <f>IFERROR(__xludf.DUMMYFUNCTION("FILTER('CLASFICACIÓN'!$F$3:$F5618,'CLASFICACIÓN'!$G$3:$G5618=M5118)"),"SOLO 2022 Y 2024")</f>
        <v>SOLO 2022 Y 2024</v>
      </c>
      <c r="K5118" s="16"/>
      <c r="L5118" s="14" t="s">
        <v>183</v>
      </c>
      <c r="M5118" s="16" t="str">
        <f t="shared" si="1"/>
        <v>50552 TUPAC AMARU II6 Primaria</v>
      </c>
      <c r="N5118" s="23"/>
      <c r="O5118" s="17"/>
      <c r="P5118" s="17"/>
      <c r="Q5118" s="17"/>
      <c r="R5118" s="17"/>
      <c r="S5118" s="17"/>
      <c r="T5118" s="17"/>
    </row>
    <row r="5119">
      <c r="A5119" s="21">
        <v>1247.0</v>
      </c>
      <c r="B5119" s="14" t="s">
        <v>90</v>
      </c>
      <c r="C5119" s="14" t="s">
        <v>14</v>
      </c>
      <c r="D5119" s="20" t="s">
        <v>22</v>
      </c>
      <c r="E5119" s="12" t="str">
        <f>IFERROR(__xludf.DUMMYFUNCTION("FILTER(colegios!$B$2:$B5618,colegios!$A$2:$A5618=L5119)"),"50552 TUPAC AMARU II")</f>
        <v>50552 TUPAC AMARU II</v>
      </c>
      <c r="F5119" s="14" t="s">
        <v>16</v>
      </c>
      <c r="G5119" s="20" t="s">
        <v>21</v>
      </c>
      <c r="H5119" s="14" t="s">
        <v>18</v>
      </c>
      <c r="I5119" s="22">
        <v>2022.0</v>
      </c>
      <c r="J5119" s="16" t="str">
        <f>IFERROR(__xludf.DUMMYFUNCTION("FILTER('CLASFICACIÓN'!$F$3:$F5618,'CLASFICACIÓN'!$G$3:$G5618=M5119)"),"SOLO 2022 Y 2024")</f>
        <v>SOLO 2022 Y 2024</v>
      </c>
      <c r="K5119" s="16"/>
      <c r="L5119" s="14" t="s">
        <v>183</v>
      </c>
      <c r="M5119" s="16" t="str">
        <f t="shared" si="1"/>
        <v>50552 TUPAC AMARU II6 Primaria</v>
      </c>
      <c r="N5119" s="23"/>
      <c r="O5119" s="17"/>
      <c r="P5119" s="17"/>
      <c r="Q5119" s="17"/>
      <c r="R5119" s="17"/>
      <c r="S5119" s="17"/>
      <c r="T5119" s="17"/>
    </row>
    <row r="5120">
      <c r="A5120" s="21">
        <v>1248.0</v>
      </c>
      <c r="B5120" s="14" t="s">
        <v>90</v>
      </c>
      <c r="C5120" s="14" t="s">
        <v>14</v>
      </c>
      <c r="D5120" s="20" t="s">
        <v>22</v>
      </c>
      <c r="E5120" s="12" t="str">
        <f>IFERROR(__xludf.DUMMYFUNCTION("FILTER(colegios!$B$2:$B5618,colegios!$A$2:$A5618=L5120)"),"50552 TUPAC AMARU II")</f>
        <v>50552 TUPAC AMARU II</v>
      </c>
      <c r="F5120" s="14" t="s">
        <v>16</v>
      </c>
      <c r="G5120" s="20" t="s">
        <v>17</v>
      </c>
      <c r="H5120" s="14" t="s">
        <v>18</v>
      </c>
      <c r="I5120" s="22">
        <v>2022.0</v>
      </c>
      <c r="J5120" s="16" t="str">
        <f>IFERROR(__xludf.DUMMYFUNCTION("FILTER('CLASFICACIÓN'!$F$3:$F5618,'CLASFICACIÓN'!$G$3:$G5618=M5120)"),"SOLO 2022 Y 2024")</f>
        <v>SOLO 2022 Y 2024</v>
      </c>
      <c r="K5120" s="16"/>
      <c r="L5120" s="14" t="s">
        <v>183</v>
      </c>
      <c r="M5120" s="16" t="str">
        <f t="shared" si="1"/>
        <v>50552 TUPAC AMARU II6 Primaria</v>
      </c>
      <c r="N5120" s="23"/>
      <c r="O5120" s="17"/>
      <c r="P5120" s="17"/>
      <c r="Q5120" s="17"/>
      <c r="R5120" s="17"/>
      <c r="S5120" s="17"/>
      <c r="T5120" s="17"/>
    </row>
    <row r="5121">
      <c r="A5121" s="21">
        <v>1249.0</v>
      </c>
      <c r="B5121" s="14" t="s">
        <v>90</v>
      </c>
      <c r="C5121" s="14" t="s">
        <v>14</v>
      </c>
      <c r="D5121" s="20" t="s">
        <v>22</v>
      </c>
      <c r="E5121" s="12" t="str">
        <f>IFERROR(__xludf.DUMMYFUNCTION("FILTER(colegios!$B$2:$B5618,colegios!$A$2:$A5618=L5121)"),"50552 TUPAC AMARU II")</f>
        <v>50552 TUPAC AMARU II</v>
      </c>
      <c r="F5121" s="14" t="s">
        <v>16</v>
      </c>
      <c r="G5121" s="20" t="s">
        <v>17</v>
      </c>
      <c r="H5121" s="14" t="s">
        <v>18</v>
      </c>
      <c r="I5121" s="22">
        <v>2022.0</v>
      </c>
      <c r="J5121" s="16" t="str">
        <f>IFERROR(__xludf.DUMMYFUNCTION("FILTER('CLASFICACIÓN'!$F$3:$F5618,'CLASFICACIÓN'!$G$3:$G5618=M5121)"),"SOLO 2022 Y 2024")</f>
        <v>SOLO 2022 Y 2024</v>
      </c>
      <c r="K5121" s="16"/>
      <c r="L5121" s="14" t="s">
        <v>183</v>
      </c>
      <c r="M5121" s="16" t="str">
        <f t="shared" si="1"/>
        <v>50552 TUPAC AMARU II6 Primaria</v>
      </c>
      <c r="N5121" s="23"/>
      <c r="O5121" s="17"/>
      <c r="P5121" s="17"/>
      <c r="Q5121" s="17"/>
      <c r="R5121" s="17"/>
      <c r="S5121" s="17"/>
      <c r="T5121" s="17"/>
    </row>
    <row r="5122">
      <c r="A5122" s="21">
        <v>1250.0</v>
      </c>
      <c r="B5122" s="14" t="s">
        <v>90</v>
      </c>
      <c r="C5122" s="14" t="s">
        <v>14</v>
      </c>
      <c r="D5122" s="20" t="s">
        <v>22</v>
      </c>
      <c r="E5122" s="12" t="str">
        <f>IFERROR(__xludf.DUMMYFUNCTION("FILTER(colegios!$B$2:$B5618,colegios!$A$2:$A5618=L5122)"),"50552 TUPAC AMARU II")</f>
        <v>50552 TUPAC AMARU II</v>
      </c>
      <c r="F5122" s="14" t="s">
        <v>16</v>
      </c>
      <c r="G5122" s="20" t="s">
        <v>17</v>
      </c>
      <c r="H5122" s="14" t="s">
        <v>18</v>
      </c>
      <c r="I5122" s="22">
        <v>2022.0</v>
      </c>
      <c r="J5122" s="16" t="str">
        <f>IFERROR(__xludf.DUMMYFUNCTION("FILTER('CLASFICACIÓN'!$F$3:$F5618,'CLASFICACIÓN'!$G$3:$G5618=M5122)"),"SOLO 2022 Y 2024")</f>
        <v>SOLO 2022 Y 2024</v>
      </c>
      <c r="K5122" s="16"/>
      <c r="L5122" s="14" t="s">
        <v>183</v>
      </c>
      <c r="M5122" s="16" t="str">
        <f t="shared" si="1"/>
        <v>50552 TUPAC AMARU II6 Primaria</v>
      </c>
      <c r="N5122" s="23"/>
      <c r="O5122" s="17"/>
      <c r="P5122" s="17"/>
      <c r="Q5122" s="17"/>
      <c r="R5122" s="17"/>
      <c r="S5122" s="17"/>
      <c r="T5122" s="17"/>
    </row>
    <row r="5123">
      <c r="A5123" s="21">
        <v>1251.0</v>
      </c>
      <c r="B5123" s="14" t="s">
        <v>90</v>
      </c>
      <c r="C5123" s="14" t="s">
        <v>14</v>
      </c>
      <c r="D5123" s="20" t="s">
        <v>22</v>
      </c>
      <c r="E5123" s="12" t="str">
        <f>IFERROR(__xludf.DUMMYFUNCTION("FILTER(colegios!$B$2:$B5618,colegios!$A$2:$A5618=L5123)"),"50552 TUPAC AMARU II")</f>
        <v>50552 TUPAC AMARU II</v>
      </c>
      <c r="F5123" s="14" t="s">
        <v>16</v>
      </c>
      <c r="G5123" s="20" t="s">
        <v>17</v>
      </c>
      <c r="H5123" s="14" t="s">
        <v>18</v>
      </c>
      <c r="I5123" s="22">
        <v>2022.0</v>
      </c>
      <c r="J5123" s="16" t="str">
        <f>IFERROR(__xludf.DUMMYFUNCTION("FILTER('CLASFICACIÓN'!$F$3:$F5618,'CLASFICACIÓN'!$G$3:$G5618=M5123)"),"SOLO 2022 Y 2024")</f>
        <v>SOLO 2022 Y 2024</v>
      </c>
      <c r="K5123" s="16"/>
      <c r="L5123" s="14" t="s">
        <v>183</v>
      </c>
      <c r="M5123" s="16" t="str">
        <f t="shared" si="1"/>
        <v>50552 TUPAC AMARU II6 Primaria</v>
      </c>
      <c r="N5123" s="23"/>
      <c r="O5123" s="17"/>
      <c r="P5123" s="17"/>
      <c r="Q5123" s="17"/>
      <c r="R5123" s="17"/>
      <c r="S5123" s="17"/>
      <c r="T5123" s="17"/>
    </row>
    <row r="5124">
      <c r="A5124" s="21">
        <v>1252.0</v>
      </c>
      <c r="B5124" s="14" t="s">
        <v>90</v>
      </c>
      <c r="C5124" s="14" t="s">
        <v>14</v>
      </c>
      <c r="D5124" s="20" t="s">
        <v>22</v>
      </c>
      <c r="E5124" s="12" t="str">
        <f>IFERROR(__xludf.DUMMYFUNCTION("FILTER(colegios!$B$2:$B5618,colegios!$A$2:$A5618=L5124)"),"50552 TUPAC AMARU II")</f>
        <v>50552 TUPAC AMARU II</v>
      </c>
      <c r="F5124" s="14" t="s">
        <v>16</v>
      </c>
      <c r="G5124" s="20" t="s">
        <v>21</v>
      </c>
      <c r="H5124" s="14" t="s">
        <v>18</v>
      </c>
      <c r="I5124" s="22">
        <v>2022.0</v>
      </c>
      <c r="J5124" s="16" t="str">
        <f>IFERROR(__xludf.DUMMYFUNCTION("FILTER('CLASFICACIÓN'!$F$3:$F5618,'CLASFICACIÓN'!$G$3:$G5618=M5124)"),"SOLO 2022 Y 2024")</f>
        <v>SOLO 2022 Y 2024</v>
      </c>
      <c r="K5124" s="16"/>
      <c r="L5124" s="14" t="s">
        <v>183</v>
      </c>
      <c r="M5124" s="16" t="str">
        <f t="shared" si="1"/>
        <v>50552 TUPAC AMARU II6 Primaria</v>
      </c>
      <c r="N5124" s="23"/>
      <c r="O5124" s="17"/>
      <c r="P5124" s="17"/>
      <c r="Q5124" s="17"/>
      <c r="R5124" s="17"/>
      <c r="S5124" s="17"/>
      <c r="T5124" s="17"/>
    </row>
    <row r="5125">
      <c r="A5125" s="21">
        <v>1253.0</v>
      </c>
      <c r="B5125" s="14" t="s">
        <v>90</v>
      </c>
      <c r="C5125" s="14" t="s">
        <v>14</v>
      </c>
      <c r="D5125" s="20" t="s">
        <v>22</v>
      </c>
      <c r="E5125" s="12" t="str">
        <f>IFERROR(__xludf.DUMMYFUNCTION("FILTER(colegios!$B$2:$B5618,colegios!$A$2:$A5618=L5125)"),"50552 TUPAC AMARU II")</f>
        <v>50552 TUPAC AMARU II</v>
      </c>
      <c r="F5125" s="14" t="s">
        <v>16</v>
      </c>
      <c r="G5125" s="20" t="s">
        <v>21</v>
      </c>
      <c r="H5125" s="14" t="s">
        <v>18</v>
      </c>
      <c r="I5125" s="22">
        <v>2022.0</v>
      </c>
      <c r="J5125" s="16" t="str">
        <f>IFERROR(__xludf.DUMMYFUNCTION("FILTER('CLASFICACIÓN'!$F$3:$F5618,'CLASFICACIÓN'!$G$3:$G5618=M5125)"),"SOLO 2022 Y 2024")</f>
        <v>SOLO 2022 Y 2024</v>
      </c>
      <c r="K5125" s="16"/>
      <c r="L5125" s="14" t="s">
        <v>183</v>
      </c>
      <c r="M5125" s="16" t="str">
        <f t="shared" si="1"/>
        <v>50552 TUPAC AMARU II6 Primaria</v>
      </c>
      <c r="N5125" s="23"/>
      <c r="O5125" s="17"/>
      <c r="P5125" s="17"/>
      <c r="Q5125" s="17"/>
      <c r="R5125" s="17"/>
      <c r="S5125" s="17"/>
      <c r="T5125" s="17"/>
    </row>
    <row r="5126">
      <c r="A5126" s="21">
        <v>1254.0</v>
      </c>
      <c r="B5126" s="14" t="s">
        <v>90</v>
      </c>
      <c r="C5126" s="14" t="s">
        <v>14</v>
      </c>
      <c r="D5126" s="20" t="s">
        <v>22</v>
      </c>
      <c r="E5126" s="12" t="str">
        <f>IFERROR(__xludf.DUMMYFUNCTION("FILTER(colegios!$B$2:$B5618,colegios!$A$2:$A5618=L5126)"),"50552 TUPAC AMARU II")</f>
        <v>50552 TUPAC AMARU II</v>
      </c>
      <c r="F5126" s="14" t="s">
        <v>16</v>
      </c>
      <c r="G5126" s="20" t="s">
        <v>17</v>
      </c>
      <c r="H5126" s="14" t="s">
        <v>18</v>
      </c>
      <c r="I5126" s="22">
        <v>2022.0</v>
      </c>
      <c r="J5126" s="16" t="str">
        <f>IFERROR(__xludf.DUMMYFUNCTION("FILTER('CLASFICACIÓN'!$F$3:$F5618,'CLASFICACIÓN'!$G$3:$G5618=M5126)"),"SOLO 2022 Y 2024")</f>
        <v>SOLO 2022 Y 2024</v>
      </c>
      <c r="K5126" s="16"/>
      <c r="L5126" s="14" t="s">
        <v>183</v>
      </c>
      <c r="M5126" s="16" t="str">
        <f t="shared" si="1"/>
        <v>50552 TUPAC AMARU II6 Primaria</v>
      </c>
      <c r="N5126" s="23"/>
      <c r="O5126" s="17"/>
      <c r="P5126" s="17"/>
      <c r="Q5126" s="17"/>
      <c r="R5126" s="17"/>
      <c r="S5126" s="17"/>
      <c r="T5126" s="17"/>
    </row>
    <row r="5127">
      <c r="A5127" s="21">
        <v>1255.0</v>
      </c>
      <c r="B5127" s="14" t="s">
        <v>90</v>
      </c>
      <c r="C5127" s="14" t="s">
        <v>14</v>
      </c>
      <c r="D5127" s="20" t="s">
        <v>22</v>
      </c>
      <c r="E5127" s="12" t="str">
        <f>IFERROR(__xludf.DUMMYFUNCTION("FILTER(colegios!$B$2:$B5618,colegios!$A$2:$A5618=L5127)"),"50552 TUPAC AMARU II")</f>
        <v>50552 TUPAC AMARU II</v>
      </c>
      <c r="F5127" s="14" t="s">
        <v>16</v>
      </c>
      <c r="G5127" s="20" t="s">
        <v>17</v>
      </c>
      <c r="H5127" s="14" t="s">
        <v>18</v>
      </c>
      <c r="I5127" s="22">
        <v>2022.0</v>
      </c>
      <c r="J5127" s="16" t="str">
        <f>IFERROR(__xludf.DUMMYFUNCTION("FILTER('CLASFICACIÓN'!$F$3:$F5618,'CLASFICACIÓN'!$G$3:$G5618=M5127)"),"SOLO 2022 Y 2024")</f>
        <v>SOLO 2022 Y 2024</v>
      </c>
      <c r="K5127" s="16"/>
      <c r="L5127" s="14" t="s">
        <v>183</v>
      </c>
      <c r="M5127" s="16" t="str">
        <f t="shared" si="1"/>
        <v>50552 TUPAC AMARU II6 Primaria</v>
      </c>
      <c r="N5127" s="23"/>
      <c r="O5127" s="17"/>
      <c r="P5127" s="17"/>
      <c r="Q5127" s="17"/>
      <c r="R5127" s="17"/>
      <c r="S5127" s="17"/>
      <c r="T5127" s="17"/>
    </row>
    <row r="5128">
      <c r="A5128" s="21">
        <v>1256.0</v>
      </c>
      <c r="B5128" s="14" t="s">
        <v>90</v>
      </c>
      <c r="C5128" s="14" t="s">
        <v>14</v>
      </c>
      <c r="D5128" s="20" t="s">
        <v>22</v>
      </c>
      <c r="E5128" s="12" t="str">
        <f>IFERROR(__xludf.DUMMYFUNCTION("FILTER(colegios!$B$2:$B5618,colegios!$A$2:$A5618=L5128)"),"50552 TUPAC AMARU II")</f>
        <v>50552 TUPAC AMARU II</v>
      </c>
      <c r="F5128" s="14" t="s">
        <v>16</v>
      </c>
      <c r="G5128" s="20" t="s">
        <v>21</v>
      </c>
      <c r="H5128" s="14" t="s">
        <v>18</v>
      </c>
      <c r="I5128" s="22">
        <v>2022.0</v>
      </c>
      <c r="J5128" s="16" t="str">
        <f>IFERROR(__xludf.DUMMYFUNCTION("FILTER('CLASFICACIÓN'!$F$3:$F5618,'CLASFICACIÓN'!$G$3:$G5618=M5128)"),"SOLO 2022 Y 2024")</f>
        <v>SOLO 2022 Y 2024</v>
      </c>
      <c r="K5128" s="16"/>
      <c r="L5128" s="14" t="s">
        <v>183</v>
      </c>
      <c r="M5128" s="16" t="str">
        <f t="shared" si="1"/>
        <v>50552 TUPAC AMARU II6 Primaria</v>
      </c>
      <c r="N5128" s="23"/>
      <c r="O5128" s="17"/>
      <c r="P5128" s="17"/>
      <c r="Q5128" s="17"/>
      <c r="R5128" s="17"/>
      <c r="S5128" s="17"/>
      <c r="T5128" s="17"/>
    </row>
    <row r="5129">
      <c r="A5129" s="21">
        <v>1257.0</v>
      </c>
      <c r="B5129" s="14" t="s">
        <v>90</v>
      </c>
      <c r="C5129" s="14" t="s">
        <v>14</v>
      </c>
      <c r="D5129" s="20" t="s">
        <v>22</v>
      </c>
      <c r="E5129" s="12" t="str">
        <f>IFERROR(__xludf.DUMMYFUNCTION("FILTER(colegios!$B$2:$B5618,colegios!$A$2:$A5618=L5129)"),"50552 TUPAC AMARU II")</f>
        <v>50552 TUPAC AMARU II</v>
      </c>
      <c r="F5129" s="14" t="s">
        <v>16</v>
      </c>
      <c r="G5129" s="20" t="s">
        <v>21</v>
      </c>
      <c r="H5129" s="14" t="s">
        <v>18</v>
      </c>
      <c r="I5129" s="22">
        <v>2022.0</v>
      </c>
      <c r="J5129" s="16" t="str">
        <f>IFERROR(__xludf.DUMMYFUNCTION("FILTER('CLASFICACIÓN'!$F$3:$F5618,'CLASFICACIÓN'!$G$3:$G5618=M5129)"),"SOLO 2022 Y 2024")</f>
        <v>SOLO 2022 Y 2024</v>
      </c>
      <c r="K5129" s="16"/>
      <c r="L5129" s="14" t="s">
        <v>183</v>
      </c>
      <c r="M5129" s="16" t="str">
        <f t="shared" si="1"/>
        <v>50552 TUPAC AMARU II6 Primaria</v>
      </c>
      <c r="N5129" s="23"/>
      <c r="O5129" s="17"/>
      <c r="P5129" s="17"/>
      <c r="Q5129" s="17"/>
      <c r="R5129" s="17"/>
      <c r="S5129" s="17"/>
      <c r="T5129" s="17"/>
    </row>
    <row r="5130">
      <c r="A5130" s="21">
        <v>1258.0</v>
      </c>
      <c r="B5130" s="14" t="s">
        <v>90</v>
      </c>
      <c r="C5130" s="14" t="s">
        <v>14</v>
      </c>
      <c r="D5130" s="20" t="s">
        <v>22</v>
      </c>
      <c r="E5130" s="12" t="str">
        <f>IFERROR(__xludf.DUMMYFUNCTION("FILTER(colegios!$B$2:$B5618,colegios!$A$2:$A5618=L5130)"),"50552 TUPAC AMARU II")</f>
        <v>50552 TUPAC AMARU II</v>
      </c>
      <c r="F5130" s="14" t="s">
        <v>16</v>
      </c>
      <c r="G5130" s="20" t="s">
        <v>21</v>
      </c>
      <c r="H5130" s="14" t="s">
        <v>18</v>
      </c>
      <c r="I5130" s="22">
        <v>2022.0</v>
      </c>
      <c r="J5130" s="16" t="str">
        <f>IFERROR(__xludf.DUMMYFUNCTION("FILTER('CLASFICACIÓN'!$F$3:$F5618,'CLASFICACIÓN'!$G$3:$G5618=M5130)"),"SOLO 2022 Y 2024")</f>
        <v>SOLO 2022 Y 2024</v>
      </c>
      <c r="K5130" s="16"/>
      <c r="L5130" s="14" t="s">
        <v>183</v>
      </c>
      <c r="M5130" s="16" t="str">
        <f t="shared" si="1"/>
        <v>50552 TUPAC AMARU II6 Primaria</v>
      </c>
      <c r="N5130" s="23"/>
      <c r="O5130" s="17"/>
      <c r="P5130" s="17"/>
      <c r="Q5130" s="17"/>
      <c r="R5130" s="17"/>
      <c r="S5130" s="17"/>
      <c r="T5130" s="17"/>
    </row>
    <row r="5131">
      <c r="A5131" s="21">
        <v>1259.0</v>
      </c>
      <c r="B5131" s="14" t="s">
        <v>90</v>
      </c>
      <c r="C5131" s="14" t="s">
        <v>14</v>
      </c>
      <c r="D5131" s="20" t="s">
        <v>22</v>
      </c>
      <c r="E5131" s="12" t="str">
        <f>IFERROR(__xludf.DUMMYFUNCTION("FILTER(colegios!$B$2:$B5618,colegios!$A$2:$A5618=L5131)"),"50552 TUPAC AMARU II")</f>
        <v>50552 TUPAC AMARU II</v>
      </c>
      <c r="F5131" s="14" t="s">
        <v>16</v>
      </c>
      <c r="G5131" s="20" t="s">
        <v>17</v>
      </c>
      <c r="H5131" s="14" t="s">
        <v>18</v>
      </c>
      <c r="I5131" s="22">
        <v>2022.0</v>
      </c>
      <c r="J5131" s="16" t="str">
        <f>IFERROR(__xludf.DUMMYFUNCTION("FILTER('CLASFICACIÓN'!$F$3:$F5618,'CLASFICACIÓN'!$G$3:$G5618=M5131)"),"SOLO 2022 Y 2024")</f>
        <v>SOLO 2022 Y 2024</v>
      </c>
      <c r="K5131" s="16"/>
      <c r="L5131" s="14" t="s">
        <v>183</v>
      </c>
      <c r="M5131" s="16" t="str">
        <f t="shared" si="1"/>
        <v>50552 TUPAC AMARU II6 Primaria</v>
      </c>
      <c r="N5131" s="23"/>
      <c r="O5131" s="17"/>
      <c r="P5131" s="17"/>
      <c r="Q5131" s="17"/>
      <c r="R5131" s="17"/>
      <c r="S5131" s="17"/>
      <c r="T5131" s="17"/>
    </row>
    <row r="5132">
      <c r="A5132" s="21">
        <v>1260.0</v>
      </c>
      <c r="B5132" s="14" t="s">
        <v>90</v>
      </c>
      <c r="C5132" s="14" t="s">
        <v>14</v>
      </c>
      <c r="D5132" s="20" t="s">
        <v>22</v>
      </c>
      <c r="E5132" s="12" t="str">
        <f>IFERROR(__xludf.DUMMYFUNCTION("FILTER(colegios!$B$2:$B5618,colegios!$A$2:$A5618=L5132)"),"50552 TUPAC AMARU II")</f>
        <v>50552 TUPAC AMARU II</v>
      </c>
      <c r="F5132" s="14" t="s">
        <v>16</v>
      </c>
      <c r="G5132" s="20" t="s">
        <v>21</v>
      </c>
      <c r="H5132" s="14" t="s">
        <v>24</v>
      </c>
      <c r="I5132" s="22">
        <v>2022.0</v>
      </c>
      <c r="J5132" s="16" t="str">
        <f>IFERROR(__xludf.DUMMYFUNCTION("FILTER('CLASFICACIÓN'!$F$3:$F5618,'CLASFICACIÓN'!$G$3:$G5618=M5132)"),"SOLO 2022 Y 2024")</f>
        <v>SOLO 2022 Y 2024</v>
      </c>
      <c r="K5132" s="16"/>
      <c r="L5132" s="14" t="s">
        <v>183</v>
      </c>
      <c r="M5132" s="16" t="str">
        <f t="shared" si="1"/>
        <v>50552 TUPAC AMARU II6 Primaria</v>
      </c>
      <c r="N5132" s="23"/>
      <c r="O5132" s="17"/>
      <c r="P5132" s="17"/>
      <c r="Q5132" s="17"/>
      <c r="R5132" s="17"/>
      <c r="S5132" s="17"/>
      <c r="T5132" s="17"/>
    </row>
    <row r="5133">
      <c r="A5133" s="21">
        <v>1261.0</v>
      </c>
      <c r="B5133" s="14" t="s">
        <v>90</v>
      </c>
      <c r="C5133" s="14" t="s">
        <v>14</v>
      </c>
      <c r="D5133" s="20" t="s">
        <v>22</v>
      </c>
      <c r="E5133" s="12" t="str">
        <f>IFERROR(__xludf.DUMMYFUNCTION("FILTER(colegios!$B$2:$B5618,colegios!$A$2:$A5618=L5133)"),"50552 TUPAC AMARU II")</f>
        <v>50552 TUPAC AMARU II</v>
      </c>
      <c r="F5133" s="14" t="s">
        <v>16</v>
      </c>
      <c r="G5133" s="20" t="s">
        <v>17</v>
      </c>
      <c r="H5133" s="14" t="s">
        <v>24</v>
      </c>
      <c r="I5133" s="22">
        <v>2022.0</v>
      </c>
      <c r="J5133" s="16" t="str">
        <f>IFERROR(__xludf.DUMMYFUNCTION("FILTER('CLASFICACIÓN'!$F$3:$F5618,'CLASFICACIÓN'!$G$3:$G5618=M5133)"),"SOLO 2022 Y 2024")</f>
        <v>SOLO 2022 Y 2024</v>
      </c>
      <c r="K5133" s="16"/>
      <c r="L5133" s="14" t="s">
        <v>183</v>
      </c>
      <c r="M5133" s="16" t="str">
        <f t="shared" si="1"/>
        <v>50552 TUPAC AMARU II6 Primaria</v>
      </c>
      <c r="N5133" s="23"/>
      <c r="O5133" s="17"/>
      <c r="P5133" s="17"/>
      <c r="Q5133" s="17"/>
      <c r="R5133" s="17"/>
      <c r="S5133" s="17"/>
      <c r="T5133" s="17"/>
    </row>
    <row r="5134">
      <c r="A5134" s="21">
        <v>1262.0</v>
      </c>
      <c r="B5134" s="14" t="s">
        <v>90</v>
      </c>
      <c r="C5134" s="14" t="s">
        <v>14</v>
      </c>
      <c r="D5134" s="20" t="s">
        <v>22</v>
      </c>
      <c r="E5134" s="12" t="str">
        <f>IFERROR(__xludf.DUMMYFUNCTION("FILTER(colegios!$B$2:$B5618,colegios!$A$2:$A5618=L5134)"),"50552 TUPAC AMARU II")</f>
        <v>50552 TUPAC AMARU II</v>
      </c>
      <c r="F5134" s="14" t="s">
        <v>16</v>
      </c>
      <c r="G5134" s="20" t="s">
        <v>17</v>
      </c>
      <c r="H5134" s="14" t="s">
        <v>24</v>
      </c>
      <c r="I5134" s="22">
        <v>2022.0</v>
      </c>
      <c r="J5134" s="16" t="str">
        <f>IFERROR(__xludf.DUMMYFUNCTION("FILTER('CLASFICACIÓN'!$F$3:$F5618,'CLASFICACIÓN'!$G$3:$G5618=M5134)"),"SOLO 2022 Y 2024")</f>
        <v>SOLO 2022 Y 2024</v>
      </c>
      <c r="K5134" s="16"/>
      <c r="L5134" s="14" t="s">
        <v>183</v>
      </c>
      <c r="M5134" s="16" t="str">
        <f t="shared" si="1"/>
        <v>50552 TUPAC AMARU II6 Primaria</v>
      </c>
      <c r="N5134" s="23"/>
      <c r="O5134" s="17"/>
      <c r="P5134" s="17"/>
      <c r="Q5134" s="17"/>
      <c r="R5134" s="17"/>
      <c r="S5134" s="17"/>
      <c r="T5134" s="17"/>
    </row>
    <row r="5135">
      <c r="A5135" s="21">
        <v>1263.0</v>
      </c>
      <c r="B5135" s="14" t="s">
        <v>90</v>
      </c>
      <c r="C5135" s="14" t="s">
        <v>14</v>
      </c>
      <c r="D5135" s="20" t="s">
        <v>22</v>
      </c>
      <c r="E5135" s="12" t="str">
        <f>IFERROR(__xludf.DUMMYFUNCTION("FILTER(colegios!$B$2:$B5618,colegios!$A$2:$A5618=L5135)"),"50552 TUPAC AMARU II")</f>
        <v>50552 TUPAC AMARU II</v>
      </c>
      <c r="F5135" s="14" t="s">
        <v>16</v>
      </c>
      <c r="G5135" s="20" t="s">
        <v>21</v>
      </c>
      <c r="H5135" s="14" t="s">
        <v>24</v>
      </c>
      <c r="I5135" s="22">
        <v>2022.0</v>
      </c>
      <c r="J5135" s="16" t="str">
        <f>IFERROR(__xludf.DUMMYFUNCTION("FILTER('CLASFICACIÓN'!$F$3:$F5618,'CLASFICACIÓN'!$G$3:$G5618=M5135)"),"SOLO 2022 Y 2024")</f>
        <v>SOLO 2022 Y 2024</v>
      </c>
      <c r="K5135" s="16"/>
      <c r="L5135" s="14" t="s">
        <v>183</v>
      </c>
      <c r="M5135" s="16" t="str">
        <f t="shared" si="1"/>
        <v>50552 TUPAC AMARU II6 Primaria</v>
      </c>
      <c r="N5135" s="23"/>
      <c r="O5135" s="17"/>
      <c r="P5135" s="17"/>
      <c r="Q5135" s="17"/>
      <c r="R5135" s="17"/>
      <c r="S5135" s="17"/>
      <c r="T5135" s="17"/>
    </row>
    <row r="5136">
      <c r="A5136" s="21">
        <v>1264.0</v>
      </c>
      <c r="B5136" s="14" t="s">
        <v>90</v>
      </c>
      <c r="C5136" s="14" t="s">
        <v>14</v>
      </c>
      <c r="D5136" s="20" t="s">
        <v>22</v>
      </c>
      <c r="E5136" s="12" t="str">
        <f>IFERROR(__xludf.DUMMYFUNCTION("FILTER(colegios!$B$2:$B5618,colegios!$A$2:$A5618=L5136)"),"50552 TUPAC AMARU II")</f>
        <v>50552 TUPAC AMARU II</v>
      </c>
      <c r="F5136" s="14" t="s">
        <v>16</v>
      </c>
      <c r="G5136" s="20" t="s">
        <v>21</v>
      </c>
      <c r="H5136" s="14" t="s">
        <v>24</v>
      </c>
      <c r="I5136" s="22">
        <v>2022.0</v>
      </c>
      <c r="J5136" s="16" t="str">
        <f>IFERROR(__xludf.DUMMYFUNCTION("FILTER('CLASFICACIÓN'!$F$3:$F5618,'CLASFICACIÓN'!$G$3:$G5618=M5136)"),"SOLO 2022 Y 2024")</f>
        <v>SOLO 2022 Y 2024</v>
      </c>
      <c r="K5136" s="16"/>
      <c r="L5136" s="14" t="s">
        <v>183</v>
      </c>
      <c r="M5136" s="16" t="str">
        <f t="shared" si="1"/>
        <v>50552 TUPAC AMARU II6 Primaria</v>
      </c>
      <c r="N5136" s="23"/>
      <c r="O5136" s="17"/>
      <c r="P5136" s="17"/>
      <c r="Q5136" s="17"/>
      <c r="R5136" s="17"/>
      <c r="S5136" s="17"/>
      <c r="T5136" s="17"/>
    </row>
    <row r="5137">
      <c r="A5137" s="21">
        <v>1265.0</v>
      </c>
      <c r="B5137" s="14" t="s">
        <v>90</v>
      </c>
      <c r="C5137" s="14" t="s">
        <v>14</v>
      </c>
      <c r="D5137" s="20" t="s">
        <v>22</v>
      </c>
      <c r="E5137" s="12" t="str">
        <f>IFERROR(__xludf.DUMMYFUNCTION("FILTER(colegios!$B$2:$B5618,colegios!$A$2:$A5618=L5137)"),"50552 TUPAC AMARU II")</f>
        <v>50552 TUPAC AMARU II</v>
      </c>
      <c r="F5137" s="14" t="s">
        <v>16</v>
      </c>
      <c r="G5137" s="20" t="s">
        <v>17</v>
      </c>
      <c r="H5137" s="14" t="s">
        <v>24</v>
      </c>
      <c r="I5137" s="22">
        <v>2022.0</v>
      </c>
      <c r="J5137" s="16" t="str">
        <f>IFERROR(__xludf.DUMMYFUNCTION("FILTER('CLASFICACIÓN'!$F$3:$F5618,'CLASFICACIÓN'!$G$3:$G5618=M5137)"),"SOLO 2022 Y 2024")</f>
        <v>SOLO 2022 Y 2024</v>
      </c>
      <c r="K5137" s="16"/>
      <c r="L5137" s="14" t="s">
        <v>183</v>
      </c>
      <c r="M5137" s="16" t="str">
        <f t="shared" si="1"/>
        <v>50552 TUPAC AMARU II6 Primaria</v>
      </c>
      <c r="N5137" s="23"/>
      <c r="O5137" s="17"/>
      <c r="P5137" s="17"/>
      <c r="Q5137" s="17"/>
      <c r="R5137" s="17"/>
      <c r="S5137" s="17"/>
      <c r="T5137" s="17"/>
    </row>
    <row r="5138">
      <c r="A5138" s="21">
        <v>1266.0</v>
      </c>
      <c r="B5138" s="14" t="s">
        <v>90</v>
      </c>
      <c r="C5138" s="14" t="s">
        <v>14</v>
      </c>
      <c r="D5138" s="20" t="s">
        <v>22</v>
      </c>
      <c r="E5138" s="12" t="str">
        <f>IFERROR(__xludf.DUMMYFUNCTION("FILTER(colegios!$B$2:$B5618,colegios!$A$2:$A5618=L5138)"),"50552 TUPAC AMARU II")</f>
        <v>50552 TUPAC AMARU II</v>
      </c>
      <c r="F5138" s="14" t="s">
        <v>16</v>
      </c>
      <c r="G5138" s="20" t="s">
        <v>17</v>
      </c>
      <c r="H5138" s="14" t="s">
        <v>24</v>
      </c>
      <c r="I5138" s="22">
        <v>2022.0</v>
      </c>
      <c r="J5138" s="16" t="str">
        <f>IFERROR(__xludf.DUMMYFUNCTION("FILTER('CLASFICACIÓN'!$F$3:$F5618,'CLASFICACIÓN'!$G$3:$G5618=M5138)"),"SOLO 2022 Y 2024")</f>
        <v>SOLO 2022 Y 2024</v>
      </c>
      <c r="K5138" s="16"/>
      <c r="L5138" s="14" t="s">
        <v>183</v>
      </c>
      <c r="M5138" s="16" t="str">
        <f t="shared" si="1"/>
        <v>50552 TUPAC AMARU II6 Primaria</v>
      </c>
      <c r="N5138" s="23"/>
      <c r="O5138" s="17"/>
      <c r="P5138" s="17"/>
      <c r="Q5138" s="17"/>
      <c r="R5138" s="17"/>
      <c r="S5138" s="17"/>
      <c r="T5138" s="17"/>
    </row>
    <row r="5139">
      <c r="A5139" s="21">
        <v>1267.0</v>
      </c>
      <c r="B5139" s="14" t="s">
        <v>90</v>
      </c>
      <c r="C5139" s="14" t="s">
        <v>14</v>
      </c>
      <c r="D5139" s="20" t="s">
        <v>22</v>
      </c>
      <c r="E5139" s="12" t="str">
        <f>IFERROR(__xludf.DUMMYFUNCTION("FILTER(colegios!$B$2:$B5618,colegios!$A$2:$A5618=L5139)"),"50552 TUPAC AMARU II")</f>
        <v>50552 TUPAC AMARU II</v>
      </c>
      <c r="F5139" s="14" t="s">
        <v>16</v>
      </c>
      <c r="G5139" s="20" t="s">
        <v>17</v>
      </c>
      <c r="H5139" s="14" t="s">
        <v>24</v>
      </c>
      <c r="I5139" s="22">
        <v>2022.0</v>
      </c>
      <c r="J5139" s="16" t="str">
        <f>IFERROR(__xludf.DUMMYFUNCTION("FILTER('CLASFICACIÓN'!$F$3:$F5618,'CLASFICACIÓN'!$G$3:$G5618=M5139)"),"SOLO 2022 Y 2024")</f>
        <v>SOLO 2022 Y 2024</v>
      </c>
      <c r="K5139" s="16"/>
      <c r="L5139" s="14" t="s">
        <v>183</v>
      </c>
      <c r="M5139" s="16" t="str">
        <f t="shared" si="1"/>
        <v>50552 TUPAC AMARU II6 Primaria</v>
      </c>
      <c r="N5139" s="23"/>
      <c r="O5139" s="17"/>
      <c r="P5139" s="17"/>
      <c r="Q5139" s="17"/>
      <c r="R5139" s="17"/>
      <c r="S5139" s="17"/>
      <c r="T5139" s="17"/>
    </row>
    <row r="5140">
      <c r="A5140" s="21">
        <v>1268.0</v>
      </c>
      <c r="B5140" s="14" t="s">
        <v>90</v>
      </c>
      <c r="C5140" s="14" t="s">
        <v>14</v>
      </c>
      <c r="D5140" s="20" t="s">
        <v>22</v>
      </c>
      <c r="E5140" s="12" t="str">
        <f>IFERROR(__xludf.DUMMYFUNCTION("FILTER(colegios!$B$2:$B5618,colegios!$A$2:$A5618=L5140)"),"50552 TUPAC AMARU II")</f>
        <v>50552 TUPAC AMARU II</v>
      </c>
      <c r="F5140" s="14" t="s">
        <v>16</v>
      </c>
      <c r="G5140" s="20" t="s">
        <v>21</v>
      </c>
      <c r="H5140" s="14" t="s">
        <v>24</v>
      </c>
      <c r="I5140" s="22">
        <v>2022.0</v>
      </c>
      <c r="J5140" s="16" t="str">
        <f>IFERROR(__xludf.DUMMYFUNCTION("FILTER('CLASFICACIÓN'!$F$3:$F5618,'CLASFICACIÓN'!$G$3:$G5618=M5140)"),"SOLO 2022 Y 2024")</f>
        <v>SOLO 2022 Y 2024</v>
      </c>
      <c r="K5140" s="16"/>
      <c r="L5140" s="14" t="s">
        <v>183</v>
      </c>
      <c r="M5140" s="16" t="str">
        <f t="shared" si="1"/>
        <v>50552 TUPAC AMARU II6 Primaria</v>
      </c>
      <c r="N5140" s="23"/>
      <c r="O5140" s="17"/>
      <c r="P5140" s="17"/>
      <c r="Q5140" s="17"/>
      <c r="R5140" s="17"/>
      <c r="S5140" s="17"/>
      <c r="T5140" s="17"/>
    </row>
    <row r="5141">
      <c r="A5141" s="21">
        <v>1269.0</v>
      </c>
      <c r="B5141" s="14" t="s">
        <v>90</v>
      </c>
      <c r="C5141" s="14" t="s">
        <v>14</v>
      </c>
      <c r="D5141" s="20" t="s">
        <v>22</v>
      </c>
      <c r="E5141" s="12" t="str">
        <f>IFERROR(__xludf.DUMMYFUNCTION("FILTER(colegios!$B$2:$B5618,colegios!$A$2:$A5618=L5141)"),"50535")</f>
        <v>50535</v>
      </c>
      <c r="F5141" s="14" t="s">
        <v>16</v>
      </c>
      <c r="G5141" s="20" t="s">
        <v>17</v>
      </c>
      <c r="H5141" s="14" t="s">
        <v>18</v>
      </c>
      <c r="I5141" s="22">
        <v>2022.0</v>
      </c>
      <c r="J5141" s="16" t="str">
        <f>IFERROR(__xludf.DUMMYFUNCTION("FILTER('CLASFICACIÓN'!$F$3:$F5618,'CLASFICACIÓN'!$G$3:$G5618=M5141)"),"SOLO LINEA BASE")</f>
        <v>SOLO LINEA BASE</v>
      </c>
      <c r="K5141" s="16"/>
      <c r="L5141" s="14" t="s">
        <v>184</v>
      </c>
      <c r="M5141" s="16" t="str">
        <f t="shared" si="1"/>
        <v>505356 Primaria</v>
      </c>
      <c r="N5141" s="23"/>
      <c r="O5141" s="17"/>
      <c r="P5141" s="17"/>
      <c r="Q5141" s="17"/>
      <c r="R5141" s="17"/>
      <c r="S5141" s="17"/>
      <c r="T5141" s="17"/>
    </row>
    <row r="5142">
      <c r="A5142" s="21">
        <v>1270.0</v>
      </c>
      <c r="B5142" s="14" t="s">
        <v>90</v>
      </c>
      <c r="C5142" s="14" t="s">
        <v>14</v>
      </c>
      <c r="D5142" s="20" t="s">
        <v>22</v>
      </c>
      <c r="E5142" s="12" t="str">
        <f>IFERROR(__xludf.DUMMYFUNCTION("FILTER(colegios!$B$2:$B5618,colegios!$A$2:$A5618=L5142)"),"50976")</f>
        <v>50976</v>
      </c>
      <c r="F5142" s="14" t="s">
        <v>16</v>
      </c>
      <c r="G5142" s="20" t="s">
        <v>21</v>
      </c>
      <c r="H5142" s="14" t="s">
        <v>18</v>
      </c>
      <c r="I5142" s="22">
        <v>2022.0</v>
      </c>
      <c r="J5142" s="16" t="str">
        <f>IFERROR(__xludf.DUMMYFUNCTION("FILTER('CLASFICACIÓN'!$F$3:$F5618,'CLASFICACIÓN'!$G$3:$G5618=M5142)"),"SOLO LINEA BASE")</f>
        <v>SOLO LINEA BASE</v>
      </c>
      <c r="K5142" s="16"/>
      <c r="L5142" s="14" t="s">
        <v>185</v>
      </c>
      <c r="M5142" s="16" t="str">
        <f t="shared" si="1"/>
        <v>509766 Primaria</v>
      </c>
      <c r="N5142" s="23"/>
      <c r="O5142" s="17"/>
      <c r="P5142" s="17"/>
      <c r="Q5142" s="17"/>
      <c r="R5142" s="17"/>
      <c r="S5142" s="17"/>
      <c r="T5142" s="17"/>
    </row>
    <row r="5143">
      <c r="A5143" s="21">
        <v>1271.0</v>
      </c>
      <c r="B5143" s="14" t="s">
        <v>90</v>
      </c>
      <c r="C5143" s="14" t="s">
        <v>14</v>
      </c>
      <c r="D5143" s="20" t="s">
        <v>22</v>
      </c>
      <c r="E5143" s="12" t="str">
        <f>IFERROR(__xludf.DUMMYFUNCTION("FILTER(colegios!$B$2:$B5618,colegios!$A$2:$A5618=L5143)"),"50715")</f>
        <v>50715</v>
      </c>
      <c r="F5143" s="14" t="s">
        <v>16</v>
      </c>
      <c r="G5143" s="20" t="s">
        <v>21</v>
      </c>
      <c r="H5143" s="14" t="s">
        <v>18</v>
      </c>
      <c r="I5143" s="22">
        <v>2022.0</v>
      </c>
      <c r="J5143" s="16" t="str">
        <f>IFERROR(__xludf.DUMMYFUNCTION("FILTER('CLASFICACIÓN'!$F$3:$F5618,'CLASFICACIÓN'!$G$3:$G5618=M5143)"),"LOS 3 AÑOS")</f>
        <v>LOS 3 AÑOS</v>
      </c>
      <c r="K5143" s="16"/>
      <c r="L5143" s="14" t="s">
        <v>186</v>
      </c>
      <c r="M5143" s="16" t="str">
        <f t="shared" si="1"/>
        <v>507156 Primaria</v>
      </c>
      <c r="N5143" s="23"/>
      <c r="O5143" s="17"/>
      <c r="P5143" s="17"/>
      <c r="Q5143" s="17"/>
      <c r="R5143" s="17"/>
      <c r="S5143" s="17"/>
      <c r="T5143" s="17"/>
    </row>
    <row r="5144">
      <c r="A5144" s="21">
        <v>1272.0</v>
      </c>
      <c r="B5144" s="14" t="s">
        <v>90</v>
      </c>
      <c r="C5144" s="14" t="s">
        <v>14</v>
      </c>
      <c r="D5144" s="20" t="s">
        <v>22</v>
      </c>
      <c r="E5144" s="12" t="str">
        <f>IFERROR(__xludf.DUMMYFUNCTION("FILTER(colegios!$B$2:$B5618,colegios!$A$2:$A5618=L5144)"),"501432 PAPA FRANCISCO I")</f>
        <v>501432 PAPA FRANCISCO I</v>
      </c>
      <c r="F5144" s="14" t="s">
        <v>16</v>
      </c>
      <c r="G5144" s="20" t="s">
        <v>17</v>
      </c>
      <c r="H5144" s="14" t="s">
        <v>18</v>
      </c>
      <c r="I5144" s="22">
        <v>2022.0</v>
      </c>
      <c r="J5144" s="16" t="str">
        <f>IFERROR(__xludf.DUMMYFUNCTION("FILTER('CLASFICACIÓN'!$F$3:$F5618,'CLASFICACIÓN'!$G$3:$G5618=M5144)"),"LOS 3 AÑOS")</f>
        <v>LOS 3 AÑOS</v>
      </c>
      <c r="K5144" s="16"/>
      <c r="L5144" s="14" t="s">
        <v>187</v>
      </c>
      <c r="M5144" s="16" t="str">
        <f t="shared" si="1"/>
        <v>501432 PAPA FRANCISCO I6 Primaria</v>
      </c>
      <c r="N5144" s="23"/>
      <c r="O5144" s="17"/>
      <c r="P5144" s="17"/>
      <c r="Q5144" s="17"/>
      <c r="R5144" s="17"/>
      <c r="S5144" s="17"/>
      <c r="T5144" s="17"/>
    </row>
    <row r="5145">
      <c r="A5145" s="21">
        <v>1273.0</v>
      </c>
      <c r="B5145" s="14" t="s">
        <v>90</v>
      </c>
      <c r="C5145" s="14" t="s">
        <v>14</v>
      </c>
      <c r="D5145" s="20" t="s">
        <v>22</v>
      </c>
      <c r="E5145" s="12" t="str">
        <f>IFERROR(__xludf.DUMMYFUNCTION("FILTER(colegios!$B$2:$B5618,colegios!$A$2:$A5618=L5145)"),"501432 PAPA FRANCISCO I")</f>
        <v>501432 PAPA FRANCISCO I</v>
      </c>
      <c r="F5145" s="14" t="s">
        <v>16</v>
      </c>
      <c r="G5145" s="20" t="s">
        <v>17</v>
      </c>
      <c r="H5145" s="14" t="s">
        <v>18</v>
      </c>
      <c r="I5145" s="22">
        <v>2022.0</v>
      </c>
      <c r="J5145" s="16" t="str">
        <f>IFERROR(__xludf.DUMMYFUNCTION("FILTER('CLASFICACIÓN'!$F$3:$F5618,'CLASFICACIÓN'!$G$3:$G5618=M5145)"),"LOS 3 AÑOS")</f>
        <v>LOS 3 AÑOS</v>
      </c>
      <c r="K5145" s="16"/>
      <c r="L5145" s="14" t="s">
        <v>187</v>
      </c>
      <c r="M5145" s="16" t="str">
        <f t="shared" si="1"/>
        <v>501432 PAPA FRANCISCO I6 Primaria</v>
      </c>
      <c r="N5145" s="23"/>
      <c r="O5145" s="17"/>
      <c r="P5145" s="17"/>
      <c r="Q5145" s="17"/>
      <c r="R5145" s="17"/>
      <c r="S5145" s="17"/>
      <c r="T5145" s="17"/>
    </row>
    <row r="5146">
      <c r="A5146" s="21">
        <v>1274.0</v>
      </c>
      <c r="B5146" s="14" t="s">
        <v>90</v>
      </c>
      <c r="C5146" s="14" t="s">
        <v>14</v>
      </c>
      <c r="D5146" s="20" t="s">
        <v>22</v>
      </c>
      <c r="E5146" s="12" t="str">
        <f>IFERROR(__xludf.DUMMYFUNCTION("FILTER(colegios!$B$2:$B5618,colegios!$A$2:$A5618=L5146)"),"501432 PAPA FRANCISCO I")</f>
        <v>501432 PAPA FRANCISCO I</v>
      </c>
      <c r="F5146" s="14" t="s">
        <v>16</v>
      </c>
      <c r="G5146" s="20" t="s">
        <v>17</v>
      </c>
      <c r="H5146" s="14" t="s">
        <v>18</v>
      </c>
      <c r="I5146" s="22">
        <v>2022.0</v>
      </c>
      <c r="J5146" s="16" t="str">
        <f>IFERROR(__xludf.DUMMYFUNCTION("FILTER('CLASFICACIÓN'!$F$3:$F5618,'CLASFICACIÓN'!$G$3:$G5618=M5146)"),"LOS 3 AÑOS")</f>
        <v>LOS 3 AÑOS</v>
      </c>
      <c r="K5146" s="16"/>
      <c r="L5146" s="14" t="s">
        <v>187</v>
      </c>
      <c r="M5146" s="16" t="str">
        <f t="shared" si="1"/>
        <v>501432 PAPA FRANCISCO I6 Primaria</v>
      </c>
      <c r="N5146" s="23"/>
      <c r="O5146" s="17"/>
      <c r="P5146" s="17"/>
      <c r="Q5146" s="17"/>
      <c r="R5146" s="17"/>
      <c r="S5146" s="17"/>
      <c r="T5146" s="17"/>
    </row>
    <row r="5147">
      <c r="A5147" s="21">
        <v>1275.0</v>
      </c>
      <c r="B5147" s="14" t="s">
        <v>90</v>
      </c>
      <c r="C5147" s="14" t="s">
        <v>14</v>
      </c>
      <c r="D5147" s="20" t="s">
        <v>22</v>
      </c>
      <c r="E5147" s="12" t="str">
        <f>IFERROR(__xludf.DUMMYFUNCTION("FILTER(colegios!$B$2:$B5618,colegios!$A$2:$A5618=L5147)"),"501432 PAPA FRANCISCO I")</f>
        <v>501432 PAPA FRANCISCO I</v>
      </c>
      <c r="F5147" s="14" t="s">
        <v>16</v>
      </c>
      <c r="G5147" s="20" t="s">
        <v>17</v>
      </c>
      <c r="H5147" s="14" t="s">
        <v>18</v>
      </c>
      <c r="I5147" s="22">
        <v>2022.0</v>
      </c>
      <c r="J5147" s="16" t="str">
        <f>IFERROR(__xludf.DUMMYFUNCTION("FILTER('CLASFICACIÓN'!$F$3:$F5618,'CLASFICACIÓN'!$G$3:$G5618=M5147)"),"LOS 3 AÑOS")</f>
        <v>LOS 3 AÑOS</v>
      </c>
      <c r="K5147" s="16"/>
      <c r="L5147" s="14" t="s">
        <v>187</v>
      </c>
      <c r="M5147" s="16" t="str">
        <f t="shared" si="1"/>
        <v>501432 PAPA FRANCISCO I6 Primaria</v>
      </c>
      <c r="N5147" s="23"/>
      <c r="O5147" s="17"/>
      <c r="P5147" s="17"/>
      <c r="Q5147" s="17"/>
      <c r="R5147" s="17"/>
      <c r="S5147" s="17"/>
      <c r="T5147" s="17"/>
    </row>
    <row r="5148">
      <c r="A5148" s="21">
        <v>1276.0</v>
      </c>
      <c r="B5148" s="14" t="s">
        <v>90</v>
      </c>
      <c r="C5148" s="14" t="s">
        <v>14</v>
      </c>
      <c r="D5148" s="20" t="s">
        <v>22</v>
      </c>
      <c r="E5148" s="12" t="str">
        <f>IFERROR(__xludf.DUMMYFUNCTION("FILTER(colegios!$B$2:$B5618,colegios!$A$2:$A5618=L5148)"),"501432 PAPA FRANCISCO I")</f>
        <v>501432 PAPA FRANCISCO I</v>
      </c>
      <c r="F5148" s="14" t="s">
        <v>16</v>
      </c>
      <c r="G5148" s="20" t="s">
        <v>17</v>
      </c>
      <c r="H5148" s="14" t="s">
        <v>18</v>
      </c>
      <c r="I5148" s="22">
        <v>2022.0</v>
      </c>
      <c r="J5148" s="16" t="str">
        <f>IFERROR(__xludf.DUMMYFUNCTION("FILTER('CLASFICACIÓN'!$F$3:$F5618,'CLASFICACIÓN'!$G$3:$G5618=M5148)"),"LOS 3 AÑOS")</f>
        <v>LOS 3 AÑOS</v>
      </c>
      <c r="K5148" s="16"/>
      <c r="L5148" s="14" t="s">
        <v>187</v>
      </c>
      <c r="M5148" s="16" t="str">
        <f t="shared" si="1"/>
        <v>501432 PAPA FRANCISCO I6 Primaria</v>
      </c>
      <c r="N5148" s="23"/>
      <c r="O5148" s="17"/>
      <c r="P5148" s="17"/>
      <c r="Q5148" s="17"/>
      <c r="R5148" s="17"/>
      <c r="S5148" s="17"/>
      <c r="T5148" s="17"/>
    </row>
    <row r="5149">
      <c r="A5149" s="21">
        <v>1277.0</v>
      </c>
      <c r="B5149" s="14" t="s">
        <v>90</v>
      </c>
      <c r="C5149" s="14" t="s">
        <v>14</v>
      </c>
      <c r="D5149" s="20" t="s">
        <v>22</v>
      </c>
      <c r="E5149" s="12" t="str">
        <f>IFERROR(__xludf.DUMMYFUNCTION("FILTER(colegios!$B$2:$B5618,colegios!$A$2:$A5618=L5149)"),"501432 PAPA FRANCISCO I")</f>
        <v>501432 PAPA FRANCISCO I</v>
      </c>
      <c r="F5149" s="14" t="s">
        <v>16</v>
      </c>
      <c r="G5149" s="20" t="s">
        <v>21</v>
      </c>
      <c r="H5149" s="14" t="s">
        <v>18</v>
      </c>
      <c r="I5149" s="22">
        <v>2022.0</v>
      </c>
      <c r="J5149" s="16" t="str">
        <f>IFERROR(__xludf.DUMMYFUNCTION("FILTER('CLASFICACIÓN'!$F$3:$F5618,'CLASFICACIÓN'!$G$3:$G5618=M5149)"),"LOS 3 AÑOS")</f>
        <v>LOS 3 AÑOS</v>
      </c>
      <c r="K5149" s="16"/>
      <c r="L5149" s="14" t="s">
        <v>187</v>
      </c>
      <c r="M5149" s="16" t="str">
        <f t="shared" si="1"/>
        <v>501432 PAPA FRANCISCO I6 Primaria</v>
      </c>
      <c r="N5149" s="23"/>
      <c r="O5149" s="17"/>
      <c r="P5149" s="17"/>
      <c r="Q5149" s="17"/>
      <c r="R5149" s="17"/>
      <c r="S5149" s="17"/>
      <c r="T5149" s="17"/>
    </row>
    <row r="5150">
      <c r="A5150" s="21">
        <v>1278.0</v>
      </c>
      <c r="B5150" s="14" t="s">
        <v>90</v>
      </c>
      <c r="C5150" s="14" t="s">
        <v>14</v>
      </c>
      <c r="D5150" s="20" t="s">
        <v>22</v>
      </c>
      <c r="E5150" s="12" t="str">
        <f>IFERROR(__xludf.DUMMYFUNCTION("FILTER(colegios!$B$2:$B5618,colegios!$A$2:$A5618=L5150)"),"501432 PAPA FRANCISCO I")</f>
        <v>501432 PAPA FRANCISCO I</v>
      </c>
      <c r="F5150" s="14" t="s">
        <v>16</v>
      </c>
      <c r="G5150" s="20" t="s">
        <v>17</v>
      </c>
      <c r="H5150" s="14" t="s">
        <v>18</v>
      </c>
      <c r="I5150" s="22">
        <v>2022.0</v>
      </c>
      <c r="J5150" s="16" t="str">
        <f>IFERROR(__xludf.DUMMYFUNCTION("FILTER('CLASFICACIÓN'!$F$3:$F5618,'CLASFICACIÓN'!$G$3:$G5618=M5150)"),"LOS 3 AÑOS")</f>
        <v>LOS 3 AÑOS</v>
      </c>
      <c r="K5150" s="16"/>
      <c r="L5150" s="14" t="s">
        <v>187</v>
      </c>
      <c r="M5150" s="16" t="str">
        <f t="shared" si="1"/>
        <v>501432 PAPA FRANCISCO I6 Primaria</v>
      </c>
      <c r="N5150" s="23"/>
      <c r="O5150" s="17"/>
      <c r="P5150" s="17"/>
      <c r="Q5150" s="17"/>
      <c r="R5150" s="17"/>
      <c r="S5150" s="17"/>
      <c r="T5150" s="17"/>
    </row>
    <row r="5151">
      <c r="A5151" s="21">
        <v>1279.0</v>
      </c>
      <c r="B5151" s="14" t="s">
        <v>90</v>
      </c>
      <c r="C5151" s="14" t="s">
        <v>14</v>
      </c>
      <c r="D5151" s="20" t="s">
        <v>22</v>
      </c>
      <c r="E5151" s="12" t="str">
        <f>IFERROR(__xludf.DUMMYFUNCTION("FILTER(colegios!$B$2:$B5618,colegios!$A$2:$A5618=L5151)"),"501432 PAPA FRANCISCO I")</f>
        <v>501432 PAPA FRANCISCO I</v>
      </c>
      <c r="F5151" s="14" t="s">
        <v>16</v>
      </c>
      <c r="G5151" s="20" t="s">
        <v>21</v>
      </c>
      <c r="H5151" s="14" t="s">
        <v>18</v>
      </c>
      <c r="I5151" s="22">
        <v>2022.0</v>
      </c>
      <c r="J5151" s="16" t="str">
        <f>IFERROR(__xludf.DUMMYFUNCTION("FILTER('CLASFICACIÓN'!$F$3:$F5618,'CLASFICACIÓN'!$G$3:$G5618=M5151)"),"LOS 3 AÑOS")</f>
        <v>LOS 3 AÑOS</v>
      </c>
      <c r="K5151" s="16"/>
      <c r="L5151" s="14" t="s">
        <v>187</v>
      </c>
      <c r="M5151" s="16" t="str">
        <f t="shared" si="1"/>
        <v>501432 PAPA FRANCISCO I6 Primaria</v>
      </c>
      <c r="N5151" s="23"/>
      <c r="O5151" s="17"/>
      <c r="P5151" s="17"/>
      <c r="Q5151" s="17"/>
      <c r="R5151" s="17"/>
      <c r="S5151" s="17"/>
      <c r="T5151" s="17"/>
    </row>
    <row r="5152">
      <c r="A5152" s="21">
        <v>1280.0</v>
      </c>
      <c r="B5152" s="14" t="s">
        <v>90</v>
      </c>
      <c r="C5152" s="14" t="s">
        <v>14</v>
      </c>
      <c r="D5152" s="20" t="s">
        <v>22</v>
      </c>
      <c r="E5152" s="12" t="str">
        <f>IFERROR(__xludf.DUMMYFUNCTION("FILTER(colegios!$B$2:$B5618,colegios!$A$2:$A5618=L5152)"),"501432 PAPA FRANCISCO I")</f>
        <v>501432 PAPA FRANCISCO I</v>
      </c>
      <c r="F5152" s="14" t="s">
        <v>16</v>
      </c>
      <c r="G5152" s="20" t="s">
        <v>21</v>
      </c>
      <c r="H5152" s="14" t="s">
        <v>18</v>
      </c>
      <c r="I5152" s="22">
        <v>2022.0</v>
      </c>
      <c r="J5152" s="16" t="str">
        <f>IFERROR(__xludf.DUMMYFUNCTION("FILTER('CLASFICACIÓN'!$F$3:$F5618,'CLASFICACIÓN'!$G$3:$G5618=M5152)"),"LOS 3 AÑOS")</f>
        <v>LOS 3 AÑOS</v>
      </c>
      <c r="K5152" s="16"/>
      <c r="L5152" s="14" t="s">
        <v>187</v>
      </c>
      <c r="M5152" s="16" t="str">
        <f t="shared" si="1"/>
        <v>501432 PAPA FRANCISCO I6 Primaria</v>
      </c>
      <c r="N5152" s="23"/>
      <c r="O5152" s="17"/>
      <c r="P5152" s="17"/>
      <c r="Q5152" s="17"/>
      <c r="R5152" s="17"/>
      <c r="S5152" s="17"/>
      <c r="T5152" s="17"/>
    </row>
    <row r="5153">
      <c r="A5153" s="21">
        <v>1281.0</v>
      </c>
      <c r="B5153" s="14" t="s">
        <v>90</v>
      </c>
      <c r="C5153" s="14" t="s">
        <v>14</v>
      </c>
      <c r="D5153" s="20" t="s">
        <v>22</v>
      </c>
      <c r="E5153" s="12" t="str">
        <f>IFERROR(__xludf.DUMMYFUNCTION("FILTER(colegios!$B$2:$B5618,colegios!$A$2:$A5618=L5153)"),"501432 PAPA FRANCISCO I")</f>
        <v>501432 PAPA FRANCISCO I</v>
      </c>
      <c r="F5153" s="14" t="s">
        <v>16</v>
      </c>
      <c r="G5153" s="20" t="s">
        <v>21</v>
      </c>
      <c r="H5153" s="14" t="s">
        <v>18</v>
      </c>
      <c r="I5153" s="22">
        <v>2022.0</v>
      </c>
      <c r="J5153" s="16" t="str">
        <f>IFERROR(__xludf.DUMMYFUNCTION("FILTER('CLASFICACIÓN'!$F$3:$F5618,'CLASFICACIÓN'!$G$3:$G5618=M5153)"),"LOS 3 AÑOS")</f>
        <v>LOS 3 AÑOS</v>
      </c>
      <c r="K5153" s="16"/>
      <c r="L5153" s="14" t="s">
        <v>187</v>
      </c>
      <c r="M5153" s="16" t="str">
        <f t="shared" si="1"/>
        <v>501432 PAPA FRANCISCO I6 Primaria</v>
      </c>
      <c r="N5153" s="23"/>
      <c r="O5153" s="17"/>
      <c r="P5153" s="17"/>
      <c r="Q5153" s="17"/>
      <c r="R5153" s="17"/>
      <c r="S5153" s="17"/>
      <c r="T5153" s="17"/>
    </row>
    <row r="5154">
      <c r="A5154" s="21">
        <v>1282.0</v>
      </c>
      <c r="B5154" s="14" t="s">
        <v>90</v>
      </c>
      <c r="C5154" s="14" t="s">
        <v>14</v>
      </c>
      <c r="D5154" s="20" t="s">
        <v>22</v>
      </c>
      <c r="E5154" s="12" t="str">
        <f>IFERROR(__xludf.DUMMYFUNCTION("FILTER(colegios!$B$2:$B5618,colegios!$A$2:$A5618=L5154)"),"501432 PAPA FRANCISCO I")</f>
        <v>501432 PAPA FRANCISCO I</v>
      </c>
      <c r="F5154" s="14" t="s">
        <v>16</v>
      </c>
      <c r="G5154" s="20" t="s">
        <v>17</v>
      </c>
      <c r="H5154" s="14" t="s">
        <v>18</v>
      </c>
      <c r="I5154" s="22">
        <v>2022.0</v>
      </c>
      <c r="J5154" s="16" t="str">
        <f>IFERROR(__xludf.DUMMYFUNCTION("FILTER('CLASFICACIÓN'!$F$3:$F5618,'CLASFICACIÓN'!$G$3:$G5618=M5154)"),"LOS 3 AÑOS")</f>
        <v>LOS 3 AÑOS</v>
      </c>
      <c r="K5154" s="16"/>
      <c r="L5154" s="14" t="s">
        <v>187</v>
      </c>
      <c r="M5154" s="16" t="str">
        <f t="shared" si="1"/>
        <v>501432 PAPA FRANCISCO I6 Primaria</v>
      </c>
      <c r="N5154" s="23"/>
      <c r="O5154" s="17"/>
      <c r="P5154" s="17"/>
      <c r="Q5154" s="17"/>
      <c r="R5154" s="17"/>
      <c r="S5154" s="17"/>
      <c r="T5154" s="17"/>
    </row>
    <row r="5155">
      <c r="A5155" s="21">
        <v>1283.0</v>
      </c>
      <c r="B5155" s="14" t="s">
        <v>90</v>
      </c>
      <c r="C5155" s="14" t="s">
        <v>14</v>
      </c>
      <c r="D5155" s="20" t="s">
        <v>22</v>
      </c>
      <c r="E5155" s="12" t="str">
        <f>IFERROR(__xludf.DUMMYFUNCTION("FILTER(colegios!$B$2:$B5618,colegios!$A$2:$A5618=L5155)"),"501432 PAPA FRANCISCO I")</f>
        <v>501432 PAPA FRANCISCO I</v>
      </c>
      <c r="F5155" s="14" t="s">
        <v>16</v>
      </c>
      <c r="G5155" s="20" t="s">
        <v>21</v>
      </c>
      <c r="H5155" s="14" t="s">
        <v>18</v>
      </c>
      <c r="I5155" s="22">
        <v>2022.0</v>
      </c>
      <c r="J5155" s="16" t="str">
        <f>IFERROR(__xludf.DUMMYFUNCTION("FILTER('CLASFICACIÓN'!$F$3:$F5618,'CLASFICACIÓN'!$G$3:$G5618=M5155)"),"LOS 3 AÑOS")</f>
        <v>LOS 3 AÑOS</v>
      </c>
      <c r="K5155" s="16"/>
      <c r="L5155" s="14" t="s">
        <v>187</v>
      </c>
      <c r="M5155" s="16" t="str">
        <f t="shared" si="1"/>
        <v>501432 PAPA FRANCISCO I6 Primaria</v>
      </c>
      <c r="N5155" s="23"/>
      <c r="O5155" s="17"/>
      <c r="P5155" s="17"/>
      <c r="Q5155" s="17"/>
      <c r="R5155" s="17"/>
      <c r="S5155" s="17"/>
      <c r="T5155" s="17"/>
    </row>
    <row r="5156">
      <c r="A5156" s="21">
        <v>1284.0</v>
      </c>
      <c r="B5156" s="14" t="s">
        <v>90</v>
      </c>
      <c r="C5156" s="14" t="s">
        <v>14</v>
      </c>
      <c r="D5156" s="20" t="s">
        <v>22</v>
      </c>
      <c r="E5156" s="12" t="str">
        <f>IFERROR(__xludf.DUMMYFUNCTION("FILTER(colegios!$B$2:$B5618,colegios!$A$2:$A5618=L5156)"),"501432 PAPA FRANCISCO I")</f>
        <v>501432 PAPA FRANCISCO I</v>
      </c>
      <c r="F5156" s="14" t="s">
        <v>16</v>
      </c>
      <c r="G5156" s="20" t="s">
        <v>17</v>
      </c>
      <c r="H5156" s="14" t="s">
        <v>18</v>
      </c>
      <c r="I5156" s="22">
        <v>2022.0</v>
      </c>
      <c r="J5156" s="16" t="str">
        <f>IFERROR(__xludf.DUMMYFUNCTION("FILTER('CLASFICACIÓN'!$F$3:$F5618,'CLASFICACIÓN'!$G$3:$G5618=M5156)"),"LOS 3 AÑOS")</f>
        <v>LOS 3 AÑOS</v>
      </c>
      <c r="K5156" s="16"/>
      <c r="L5156" s="14" t="s">
        <v>187</v>
      </c>
      <c r="M5156" s="16" t="str">
        <f t="shared" si="1"/>
        <v>501432 PAPA FRANCISCO I6 Primaria</v>
      </c>
      <c r="N5156" s="23"/>
      <c r="O5156" s="17"/>
      <c r="P5156" s="17"/>
      <c r="Q5156" s="17"/>
      <c r="R5156" s="17"/>
      <c r="S5156" s="17"/>
      <c r="T5156" s="17"/>
    </row>
    <row r="5157">
      <c r="A5157" s="21">
        <v>1285.0</v>
      </c>
      <c r="B5157" s="14" t="s">
        <v>90</v>
      </c>
      <c r="C5157" s="14" t="s">
        <v>14</v>
      </c>
      <c r="D5157" s="20" t="s">
        <v>22</v>
      </c>
      <c r="E5157" s="12" t="str">
        <f>IFERROR(__xludf.DUMMYFUNCTION("FILTER(colegios!$B$2:$B5618,colegios!$A$2:$A5618=L5157)"),"501432 PAPA FRANCISCO I")</f>
        <v>501432 PAPA FRANCISCO I</v>
      </c>
      <c r="F5157" s="14" t="s">
        <v>16</v>
      </c>
      <c r="G5157" s="20" t="s">
        <v>21</v>
      </c>
      <c r="H5157" s="14" t="s">
        <v>18</v>
      </c>
      <c r="I5157" s="22">
        <v>2022.0</v>
      </c>
      <c r="J5157" s="16" t="str">
        <f>IFERROR(__xludf.DUMMYFUNCTION("FILTER('CLASFICACIÓN'!$F$3:$F5618,'CLASFICACIÓN'!$G$3:$G5618=M5157)"),"LOS 3 AÑOS")</f>
        <v>LOS 3 AÑOS</v>
      </c>
      <c r="K5157" s="16"/>
      <c r="L5157" s="14" t="s">
        <v>187</v>
      </c>
      <c r="M5157" s="16" t="str">
        <f t="shared" si="1"/>
        <v>501432 PAPA FRANCISCO I6 Primaria</v>
      </c>
      <c r="N5157" s="23"/>
      <c r="O5157" s="17"/>
      <c r="P5157" s="17"/>
      <c r="Q5157" s="17"/>
      <c r="R5157" s="17"/>
      <c r="S5157" s="17"/>
      <c r="T5157" s="17"/>
    </row>
    <row r="5158">
      <c r="A5158" s="21">
        <v>1286.0</v>
      </c>
      <c r="B5158" s="14" t="s">
        <v>90</v>
      </c>
      <c r="C5158" s="14" t="s">
        <v>14</v>
      </c>
      <c r="D5158" s="20" t="s">
        <v>22</v>
      </c>
      <c r="E5158" s="12" t="str">
        <f>IFERROR(__xludf.DUMMYFUNCTION("FILTER(colegios!$B$2:$B5618,colegios!$A$2:$A5618=L5158)"),"501432 PAPA FRANCISCO I")</f>
        <v>501432 PAPA FRANCISCO I</v>
      </c>
      <c r="F5158" s="14" t="s">
        <v>16</v>
      </c>
      <c r="G5158" s="20" t="s">
        <v>21</v>
      </c>
      <c r="H5158" s="14" t="s">
        <v>18</v>
      </c>
      <c r="I5158" s="22">
        <v>2022.0</v>
      </c>
      <c r="J5158" s="16" t="str">
        <f>IFERROR(__xludf.DUMMYFUNCTION("FILTER('CLASFICACIÓN'!$F$3:$F5618,'CLASFICACIÓN'!$G$3:$G5618=M5158)"),"LOS 3 AÑOS")</f>
        <v>LOS 3 AÑOS</v>
      </c>
      <c r="K5158" s="16"/>
      <c r="L5158" s="14" t="s">
        <v>187</v>
      </c>
      <c r="M5158" s="16" t="str">
        <f t="shared" si="1"/>
        <v>501432 PAPA FRANCISCO I6 Primaria</v>
      </c>
      <c r="N5158" s="23"/>
      <c r="O5158" s="17"/>
      <c r="P5158" s="17"/>
      <c r="Q5158" s="17"/>
      <c r="R5158" s="17"/>
      <c r="S5158" s="17"/>
      <c r="T5158" s="17"/>
    </row>
    <row r="5159">
      <c r="A5159" s="21">
        <v>1287.0</v>
      </c>
      <c r="B5159" s="14" t="s">
        <v>90</v>
      </c>
      <c r="C5159" s="14" t="s">
        <v>14</v>
      </c>
      <c r="D5159" s="20" t="s">
        <v>22</v>
      </c>
      <c r="E5159" s="12" t="str">
        <f>IFERROR(__xludf.DUMMYFUNCTION("FILTER(colegios!$B$2:$B5618,colegios!$A$2:$A5618=L5159)"),"501432 PAPA FRANCISCO I")</f>
        <v>501432 PAPA FRANCISCO I</v>
      </c>
      <c r="F5159" s="14" t="s">
        <v>16</v>
      </c>
      <c r="G5159" s="20" t="s">
        <v>21</v>
      </c>
      <c r="H5159" s="14" t="s">
        <v>18</v>
      </c>
      <c r="I5159" s="22">
        <v>2022.0</v>
      </c>
      <c r="J5159" s="16" t="str">
        <f>IFERROR(__xludf.DUMMYFUNCTION("FILTER('CLASFICACIÓN'!$F$3:$F5618,'CLASFICACIÓN'!$G$3:$G5618=M5159)"),"LOS 3 AÑOS")</f>
        <v>LOS 3 AÑOS</v>
      </c>
      <c r="K5159" s="16"/>
      <c r="L5159" s="14" t="s">
        <v>187</v>
      </c>
      <c r="M5159" s="16" t="str">
        <f t="shared" si="1"/>
        <v>501432 PAPA FRANCISCO I6 Primaria</v>
      </c>
      <c r="N5159" s="23"/>
      <c r="O5159" s="17"/>
      <c r="P5159" s="17"/>
      <c r="Q5159" s="17"/>
      <c r="R5159" s="17"/>
      <c r="S5159" s="17"/>
      <c r="T5159" s="17"/>
    </row>
    <row r="5160">
      <c r="A5160" s="21">
        <v>1288.0</v>
      </c>
      <c r="B5160" s="14" t="s">
        <v>90</v>
      </c>
      <c r="C5160" s="14" t="s">
        <v>14</v>
      </c>
      <c r="D5160" s="20" t="s">
        <v>22</v>
      </c>
      <c r="E5160" s="12" t="str">
        <f>IFERROR(__xludf.DUMMYFUNCTION("FILTER(colegios!$B$2:$B5618,colegios!$A$2:$A5618=L5160)"),"501432 PAPA FRANCISCO I")</f>
        <v>501432 PAPA FRANCISCO I</v>
      </c>
      <c r="F5160" s="14" t="s">
        <v>16</v>
      </c>
      <c r="G5160" s="20" t="s">
        <v>17</v>
      </c>
      <c r="H5160" s="14" t="s">
        <v>18</v>
      </c>
      <c r="I5160" s="22">
        <v>2022.0</v>
      </c>
      <c r="J5160" s="16" t="str">
        <f>IFERROR(__xludf.DUMMYFUNCTION("FILTER('CLASFICACIÓN'!$F$3:$F5618,'CLASFICACIÓN'!$G$3:$G5618=M5160)"),"LOS 3 AÑOS")</f>
        <v>LOS 3 AÑOS</v>
      </c>
      <c r="K5160" s="16"/>
      <c r="L5160" s="14" t="s">
        <v>187</v>
      </c>
      <c r="M5160" s="16" t="str">
        <f t="shared" si="1"/>
        <v>501432 PAPA FRANCISCO I6 Primaria</v>
      </c>
      <c r="N5160" s="23"/>
      <c r="O5160" s="17"/>
      <c r="P5160" s="17"/>
      <c r="Q5160" s="17"/>
      <c r="R5160" s="17"/>
      <c r="S5160" s="17"/>
      <c r="T5160" s="17"/>
    </row>
    <row r="5161">
      <c r="A5161" s="21">
        <v>1289.0</v>
      </c>
      <c r="B5161" s="14" t="s">
        <v>90</v>
      </c>
      <c r="C5161" s="14" t="s">
        <v>14</v>
      </c>
      <c r="D5161" s="20" t="s">
        <v>22</v>
      </c>
      <c r="E5161" s="12" t="str">
        <f>IFERROR(__xludf.DUMMYFUNCTION("FILTER(colegios!$B$2:$B5618,colegios!$A$2:$A5618=L5161)"),"501432 PAPA FRANCISCO I")</f>
        <v>501432 PAPA FRANCISCO I</v>
      </c>
      <c r="F5161" s="14" t="s">
        <v>16</v>
      </c>
      <c r="G5161" s="20" t="s">
        <v>21</v>
      </c>
      <c r="H5161" s="14" t="s">
        <v>18</v>
      </c>
      <c r="I5161" s="22">
        <v>2022.0</v>
      </c>
      <c r="J5161" s="16" t="str">
        <f>IFERROR(__xludf.DUMMYFUNCTION("FILTER('CLASFICACIÓN'!$F$3:$F5618,'CLASFICACIÓN'!$G$3:$G5618=M5161)"),"LOS 3 AÑOS")</f>
        <v>LOS 3 AÑOS</v>
      </c>
      <c r="K5161" s="16"/>
      <c r="L5161" s="14" t="s">
        <v>187</v>
      </c>
      <c r="M5161" s="16" t="str">
        <f t="shared" si="1"/>
        <v>501432 PAPA FRANCISCO I6 Primaria</v>
      </c>
      <c r="N5161" s="23"/>
      <c r="O5161" s="17"/>
      <c r="P5161" s="17"/>
      <c r="Q5161" s="17"/>
      <c r="R5161" s="17"/>
      <c r="S5161" s="17"/>
      <c r="T5161" s="17"/>
    </row>
    <row r="5162">
      <c r="A5162" s="21">
        <v>1290.0</v>
      </c>
      <c r="B5162" s="14" t="s">
        <v>90</v>
      </c>
      <c r="C5162" s="14" t="s">
        <v>14</v>
      </c>
      <c r="D5162" s="20" t="s">
        <v>22</v>
      </c>
      <c r="E5162" s="12" t="str">
        <f>IFERROR(__xludf.DUMMYFUNCTION("FILTER(colegios!$B$2:$B5618,colegios!$A$2:$A5618=L5162)"),"501432 PAPA FRANCISCO I")</f>
        <v>501432 PAPA FRANCISCO I</v>
      </c>
      <c r="F5162" s="14" t="s">
        <v>16</v>
      </c>
      <c r="G5162" s="20" t="s">
        <v>17</v>
      </c>
      <c r="H5162" s="14" t="s">
        <v>18</v>
      </c>
      <c r="I5162" s="22">
        <v>2022.0</v>
      </c>
      <c r="J5162" s="16" t="str">
        <f>IFERROR(__xludf.DUMMYFUNCTION("FILTER('CLASFICACIÓN'!$F$3:$F5618,'CLASFICACIÓN'!$G$3:$G5618=M5162)"),"LOS 3 AÑOS")</f>
        <v>LOS 3 AÑOS</v>
      </c>
      <c r="K5162" s="16"/>
      <c r="L5162" s="14" t="s">
        <v>187</v>
      </c>
      <c r="M5162" s="16" t="str">
        <f t="shared" si="1"/>
        <v>501432 PAPA FRANCISCO I6 Primaria</v>
      </c>
      <c r="N5162" s="23"/>
      <c r="O5162" s="17"/>
      <c r="P5162" s="17"/>
      <c r="Q5162" s="17"/>
      <c r="R5162" s="17"/>
      <c r="S5162" s="17"/>
      <c r="T5162" s="17"/>
    </row>
    <row r="5163">
      <c r="A5163" s="21">
        <v>1291.0</v>
      </c>
      <c r="B5163" s="14" t="s">
        <v>90</v>
      </c>
      <c r="C5163" s="14" t="s">
        <v>14</v>
      </c>
      <c r="D5163" s="20" t="s">
        <v>22</v>
      </c>
      <c r="E5163" s="12" t="str">
        <f>IFERROR(__xludf.DUMMYFUNCTION("FILTER(colegios!$B$2:$B5618,colegios!$A$2:$A5618=L5163)"),"501432 PAPA FRANCISCO I")</f>
        <v>501432 PAPA FRANCISCO I</v>
      </c>
      <c r="F5163" s="14" t="s">
        <v>16</v>
      </c>
      <c r="G5163" s="20" t="s">
        <v>21</v>
      </c>
      <c r="H5163" s="14" t="s">
        <v>18</v>
      </c>
      <c r="I5163" s="22">
        <v>2022.0</v>
      </c>
      <c r="J5163" s="16" t="str">
        <f>IFERROR(__xludf.DUMMYFUNCTION("FILTER('CLASFICACIÓN'!$F$3:$F5618,'CLASFICACIÓN'!$G$3:$G5618=M5163)"),"LOS 3 AÑOS")</f>
        <v>LOS 3 AÑOS</v>
      </c>
      <c r="K5163" s="16"/>
      <c r="L5163" s="14" t="s">
        <v>187</v>
      </c>
      <c r="M5163" s="16" t="str">
        <f t="shared" si="1"/>
        <v>501432 PAPA FRANCISCO I6 Primaria</v>
      </c>
      <c r="N5163" s="23"/>
      <c r="O5163" s="17"/>
      <c r="P5163" s="17"/>
      <c r="Q5163" s="17"/>
      <c r="R5163" s="17"/>
      <c r="S5163" s="17"/>
      <c r="T5163" s="17"/>
    </row>
    <row r="5164">
      <c r="A5164" s="21">
        <v>1292.0</v>
      </c>
      <c r="B5164" s="14" t="s">
        <v>90</v>
      </c>
      <c r="C5164" s="14" t="s">
        <v>14</v>
      </c>
      <c r="D5164" s="20" t="s">
        <v>22</v>
      </c>
      <c r="E5164" s="12" t="str">
        <f>IFERROR(__xludf.DUMMYFUNCTION("FILTER(colegios!$B$2:$B5618,colegios!$A$2:$A5618=L5164)"),"501432 PAPA FRANCISCO I")</f>
        <v>501432 PAPA FRANCISCO I</v>
      </c>
      <c r="F5164" s="14" t="s">
        <v>16</v>
      </c>
      <c r="G5164" s="20" t="s">
        <v>17</v>
      </c>
      <c r="H5164" s="14" t="s">
        <v>18</v>
      </c>
      <c r="I5164" s="22">
        <v>2022.0</v>
      </c>
      <c r="J5164" s="16" t="str">
        <f>IFERROR(__xludf.DUMMYFUNCTION("FILTER('CLASFICACIÓN'!$F$3:$F5618,'CLASFICACIÓN'!$G$3:$G5618=M5164)"),"LOS 3 AÑOS")</f>
        <v>LOS 3 AÑOS</v>
      </c>
      <c r="K5164" s="16"/>
      <c r="L5164" s="14" t="s">
        <v>187</v>
      </c>
      <c r="M5164" s="16" t="str">
        <f t="shared" si="1"/>
        <v>501432 PAPA FRANCISCO I6 Primaria</v>
      </c>
      <c r="N5164" s="23"/>
      <c r="O5164" s="17"/>
      <c r="P5164" s="17"/>
      <c r="Q5164" s="17"/>
      <c r="R5164" s="17"/>
      <c r="S5164" s="17"/>
      <c r="T5164" s="17"/>
    </row>
    <row r="5165">
      <c r="A5165" s="21">
        <v>1293.0</v>
      </c>
      <c r="B5165" s="14" t="s">
        <v>90</v>
      </c>
      <c r="C5165" s="14" t="s">
        <v>14</v>
      </c>
      <c r="D5165" s="20" t="s">
        <v>22</v>
      </c>
      <c r="E5165" s="12" t="str">
        <f>IFERROR(__xludf.DUMMYFUNCTION("FILTER(colegios!$B$2:$B5618,colegios!$A$2:$A5618=L5165)"),"501432 PAPA FRANCISCO I")</f>
        <v>501432 PAPA FRANCISCO I</v>
      </c>
      <c r="F5165" s="14" t="s">
        <v>16</v>
      </c>
      <c r="G5165" s="20" t="s">
        <v>21</v>
      </c>
      <c r="H5165" s="14" t="s">
        <v>18</v>
      </c>
      <c r="I5165" s="22">
        <v>2022.0</v>
      </c>
      <c r="J5165" s="16" t="str">
        <f>IFERROR(__xludf.DUMMYFUNCTION("FILTER('CLASFICACIÓN'!$F$3:$F5618,'CLASFICACIÓN'!$G$3:$G5618=M5165)"),"LOS 3 AÑOS")</f>
        <v>LOS 3 AÑOS</v>
      </c>
      <c r="K5165" s="16"/>
      <c r="L5165" s="14" t="s">
        <v>187</v>
      </c>
      <c r="M5165" s="16" t="str">
        <f t="shared" si="1"/>
        <v>501432 PAPA FRANCISCO I6 Primaria</v>
      </c>
      <c r="N5165" s="23"/>
      <c r="O5165" s="17"/>
      <c r="P5165" s="17"/>
      <c r="Q5165" s="17"/>
      <c r="R5165" s="17"/>
      <c r="S5165" s="17"/>
      <c r="T5165" s="17"/>
    </row>
    <row r="5166">
      <c r="A5166" s="21">
        <v>1294.0</v>
      </c>
      <c r="B5166" s="14" t="s">
        <v>90</v>
      </c>
      <c r="C5166" s="14" t="s">
        <v>14</v>
      </c>
      <c r="D5166" s="20" t="s">
        <v>22</v>
      </c>
      <c r="E5166" s="12" t="str">
        <f>IFERROR(__xludf.DUMMYFUNCTION("FILTER(colegios!$B$2:$B5618,colegios!$A$2:$A5618=L5166)"),"501432 PAPA FRANCISCO I")</f>
        <v>501432 PAPA FRANCISCO I</v>
      </c>
      <c r="F5166" s="14" t="s">
        <v>16</v>
      </c>
      <c r="G5166" s="20" t="s">
        <v>21</v>
      </c>
      <c r="H5166" s="14" t="s">
        <v>24</v>
      </c>
      <c r="I5166" s="22">
        <v>2022.0</v>
      </c>
      <c r="J5166" s="16" t="str">
        <f>IFERROR(__xludf.DUMMYFUNCTION("FILTER('CLASFICACIÓN'!$F$3:$F5618,'CLASFICACIÓN'!$G$3:$G5618=M5166)"),"LOS 3 AÑOS")</f>
        <v>LOS 3 AÑOS</v>
      </c>
      <c r="K5166" s="16"/>
      <c r="L5166" s="14" t="s">
        <v>187</v>
      </c>
      <c r="M5166" s="16" t="str">
        <f t="shared" si="1"/>
        <v>501432 PAPA FRANCISCO I6 Primaria</v>
      </c>
      <c r="N5166" s="23"/>
      <c r="O5166" s="17"/>
      <c r="P5166" s="17"/>
      <c r="Q5166" s="17"/>
      <c r="R5166" s="17"/>
      <c r="S5166" s="17"/>
      <c r="T5166" s="17"/>
    </row>
    <row r="5167">
      <c r="A5167" s="21">
        <v>1295.0</v>
      </c>
      <c r="B5167" s="14" t="s">
        <v>90</v>
      </c>
      <c r="C5167" s="14" t="s">
        <v>14</v>
      </c>
      <c r="D5167" s="20" t="s">
        <v>22</v>
      </c>
      <c r="E5167" s="12" t="str">
        <f>IFERROR(__xludf.DUMMYFUNCTION("FILTER(colegios!$B$2:$B5618,colegios!$A$2:$A5618=L5167)"),"501432 PAPA FRANCISCO I")</f>
        <v>501432 PAPA FRANCISCO I</v>
      </c>
      <c r="F5167" s="14" t="s">
        <v>16</v>
      </c>
      <c r="G5167" s="20" t="s">
        <v>21</v>
      </c>
      <c r="H5167" s="14" t="s">
        <v>24</v>
      </c>
      <c r="I5167" s="22">
        <v>2022.0</v>
      </c>
      <c r="J5167" s="16" t="str">
        <f>IFERROR(__xludf.DUMMYFUNCTION("FILTER('CLASFICACIÓN'!$F$3:$F5618,'CLASFICACIÓN'!$G$3:$G5618=M5167)"),"LOS 3 AÑOS")</f>
        <v>LOS 3 AÑOS</v>
      </c>
      <c r="K5167" s="16"/>
      <c r="L5167" s="14" t="s">
        <v>187</v>
      </c>
      <c r="M5167" s="16" t="str">
        <f t="shared" si="1"/>
        <v>501432 PAPA FRANCISCO I6 Primaria</v>
      </c>
      <c r="N5167" s="23"/>
      <c r="O5167" s="17"/>
      <c r="P5167" s="17"/>
      <c r="Q5167" s="17"/>
      <c r="R5167" s="17"/>
      <c r="S5167" s="17"/>
      <c r="T5167" s="17"/>
    </row>
    <row r="5168">
      <c r="A5168" s="21">
        <v>1296.0</v>
      </c>
      <c r="B5168" s="14" t="s">
        <v>90</v>
      </c>
      <c r="C5168" s="14" t="s">
        <v>14</v>
      </c>
      <c r="D5168" s="20" t="s">
        <v>22</v>
      </c>
      <c r="E5168" s="12" t="str">
        <f>IFERROR(__xludf.DUMMYFUNCTION("FILTER(colegios!$B$2:$B5618,colegios!$A$2:$A5618=L5168)"),"501432 PAPA FRANCISCO I")</f>
        <v>501432 PAPA FRANCISCO I</v>
      </c>
      <c r="F5168" s="14" t="s">
        <v>16</v>
      </c>
      <c r="G5168" s="20" t="s">
        <v>21</v>
      </c>
      <c r="H5168" s="14" t="s">
        <v>24</v>
      </c>
      <c r="I5168" s="22">
        <v>2022.0</v>
      </c>
      <c r="J5168" s="16" t="str">
        <f>IFERROR(__xludf.DUMMYFUNCTION("FILTER('CLASFICACIÓN'!$F$3:$F5618,'CLASFICACIÓN'!$G$3:$G5618=M5168)"),"LOS 3 AÑOS")</f>
        <v>LOS 3 AÑOS</v>
      </c>
      <c r="K5168" s="16"/>
      <c r="L5168" s="14" t="s">
        <v>187</v>
      </c>
      <c r="M5168" s="16" t="str">
        <f t="shared" si="1"/>
        <v>501432 PAPA FRANCISCO I6 Primaria</v>
      </c>
      <c r="N5168" s="23"/>
      <c r="O5168" s="17"/>
      <c r="P5168" s="17"/>
      <c r="Q5168" s="17"/>
      <c r="R5168" s="17"/>
      <c r="S5168" s="17"/>
      <c r="T5168" s="17"/>
    </row>
    <row r="5169">
      <c r="A5169" s="21">
        <v>1297.0</v>
      </c>
      <c r="B5169" s="14" t="s">
        <v>90</v>
      </c>
      <c r="C5169" s="14" t="s">
        <v>14</v>
      </c>
      <c r="D5169" s="20" t="s">
        <v>22</v>
      </c>
      <c r="E5169" s="12" t="str">
        <f>IFERROR(__xludf.DUMMYFUNCTION("FILTER(colegios!$B$2:$B5618,colegios!$A$2:$A5618=L5169)"),"50553")</f>
        <v>50553</v>
      </c>
      <c r="F5169" s="14" t="s">
        <v>16</v>
      </c>
      <c r="G5169" s="20" t="s">
        <v>21</v>
      </c>
      <c r="H5169" s="14" t="s">
        <v>18</v>
      </c>
      <c r="I5169" s="22">
        <v>2022.0</v>
      </c>
      <c r="J5169" s="16" t="str">
        <f>IFERROR(__xludf.DUMMYFUNCTION("FILTER('CLASFICACIÓN'!$F$3:$F5618,'CLASFICACIÓN'!$G$3:$G5618=M5169)"),"LOS 3 AÑOS")</f>
        <v>LOS 3 AÑOS</v>
      </c>
      <c r="K5169" s="16"/>
      <c r="L5169" s="14" t="s">
        <v>188</v>
      </c>
      <c r="M5169" s="16" t="str">
        <f t="shared" si="1"/>
        <v>505536 Primaria</v>
      </c>
      <c r="N5169" s="23"/>
      <c r="O5169" s="17"/>
      <c r="P5169" s="17"/>
      <c r="Q5169" s="17"/>
      <c r="R5169" s="17"/>
      <c r="S5169" s="17"/>
      <c r="T5169" s="17"/>
    </row>
    <row r="5170">
      <c r="A5170" s="21">
        <v>1298.0</v>
      </c>
      <c r="B5170" s="14" t="s">
        <v>90</v>
      </c>
      <c r="C5170" s="14" t="s">
        <v>14</v>
      </c>
      <c r="D5170" s="20" t="s">
        <v>22</v>
      </c>
      <c r="E5170" s="12" t="str">
        <f>IFERROR(__xludf.DUMMYFUNCTION("FILTER(colegios!$B$2:$B5618,colegios!$A$2:$A5618=L5170)"),"50553")</f>
        <v>50553</v>
      </c>
      <c r="F5170" s="14" t="s">
        <v>16</v>
      </c>
      <c r="G5170" s="20" t="s">
        <v>21</v>
      </c>
      <c r="H5170" s="14" t="s">
        <v>18</v>
      </c>
      <c r="I5170" s="22">
        <v>2022.0</v>
      </c>
      <c r="J5170" s="16" t="str">
        <f>IFERROR(__xludf.DUMMYFUNCTION("FILTER('CLASFICACIÓN'!$F$3:$F5618,'CLASFICACIÓN'!$G$3:$G5618=M5170)"),"LOS 3 AÑOS")</f>
        <v>LOS 3 AÑOS</v>
      </c>
      <c r="K5170" s="16"/>
      <c r="L5170" s="14" t="s">
        <v>188</v>
      </c>
      <c r="M5170" s="16" t="str">
        <f t="shared" si="1"/>
        <v>505536 Primaria</v>
      </c>
      <c r="N5170" s="23"/>
      <c r="O5170" s="17"/>
      <c r="P5170" s="17"/>
      <c r="Q5170" s="17"/>
      <c r="R5170" s="17"/>
      <c r="S5170" s="17"/>
      <c r="T5170" s="17"/>
    </row>
    <row r="5171">
      <c r="A5171" s="21">
        <v>1299.0</v>
      </c>
      <c r="B5171" s="14" t="s">
        <v>90</v>
      </c>
      <c r="C5171" s="14" t="s">
        <v>14</v>
      </c>
      <c r="D5171" s="20" t="s">
        <v>22</v>
      </c>
      <c r="E5171" s="12" t="str">
        <f>IFERROR(__xludf.DUMMYFUNCTION("FILTER(colegios!$B$2:$B5618,colegios!$A$2:$A5618=L5171)"),"50553")</f>
        <v>50553</v>
      </c>
      <c r="F5171" s="14" t="s">
        <v>16</v>
      </c>
      <c r="G5171" s="20" t="s">
        <v>17</v>
      </c>
      <c r="H5171" s="14" t="s">
        <v>18</v>
      </c>
      <c r="I5171" s="22">
        <v>2022.0</v>
      </c>
      <c r="J5171" s="16" t="str">
        <f>IFERROR(__xludf.DUMMYFUNCTION("FILTER('CLASFICACIÓN'!$F$3:$F5618,'CLASFICACIÓN'!$G$3:$G5618=M5171)"),"LOS 3 AÑOS")</f>
        <v>LOS 3 AÑOS</v>
      </c>
      <c r="K5171" s="16"/>
      <c r="L5171" s="14" t="s">
        <v>188</v>
      </c>
      <c r="M5171" s="16" t="str">
        <f t="shared" si="1"/>
        <v>505536 Primaria</v>
      </c>
      <c r="N5171" s="23"/>
      <c r="O5171" s="17"/>
      <c r="P5171" s="17"/>
      <c r="Q5171" s="17"/>
      <c r="R5171" s="17"/>
      <c r="S5171" s="17"/>
      <c r="T5171" s="17"/>
    </row>
    <row r="5172">
      <c r="A5172" s="21">
        <v>1300.0</v>
      </c>
      <c r="B5172" s="14" t="s">
        <v>90</v>
      </c>
      <c r="C5172" s="14" t="s">
        <v>14</v>
      </c>
      <c r="D5172" s="20" t="s">
        <v>22</v>
      </c>
      <c r="E5172" s="12" t="str">
        <f>IFERROR(__xludf.DUMMYFUNCTION("FILTER(colegios!$B$2:$B5618,colegios!$A$2:$A5618=L5172)"),"50553")</f>
        <v>50553</v>
      </c>
      <c r="F5172" s="14" t="s">
        <v>16</v>
      </c>
      <c r="G5172" s="20" t="s">
        <v>21</v>
      </c>
      <c r="H5172" s="14" t="s">
        <v>18</v>
      </c>
      <c r="I5172" s="22">
        <v>2022.0</v>
      </c>
      <c r="J5172" s="16" t="str">
        <f>IFERROR(__xludf.DUMMYFUNCTION("FILTER('CLASFICACIÓN'!$F$3:$F5618,'CLASFICACIÓN'!$G$3:$G5618=M5172)"),"LOS 3 AÑOS")</f>
        <v>LOS 3 AÑOS</v>
      </c>
      <c r="K5172" s="16"/>
      <c r="L5172" s="14" t="s">
        <v>188</v>
      </c>
      <c r="M5172" s="16" t="str">
        <f t="shared" si="1"/>
        <v>505536 Primaria</v>
      </c>
      <c r="N5172" s="23"/>
      <c r="O5172" s="17"/>
      <c r="P5172" s="17"/>
      <c r="Q5172" s="17"/>
      <c r="R5172" s="17"/>
      <c r="S5172" s="17"/>
      <c r="T5172" s="17"/>
    </row>
    <row r="5173">
      <c r="A5173" s="21">
        <v>1301.0</v>
      </c>
      <c r="B5173" s="14" t="s">
        <v>90</v>
      </c>
      <c r="C5173" s="14" t="s">
        <v>14</v>
      </c>
      <c r="D5173" s="20" t="s">
        <v>22</v>
      </c>
      <c r="E5173" s="12" t="str">
        <f>IFERROR(__xludf.DUMMYFUNCTION("FILTER(colegios!$B$2:$B5618,colegios!$A$2:$A5618=L5173)"),"50553")</f>
        <v>50553</v>
      </c>
      <c r="F5173" s="14" t="s">
        <v>16</v>
      </c>
      <c r="G5173" s="20" t="s">
        <v>17</v>
      </c>
      <c r="H5173" s="14" t="s">
        <v>24</v>
      </c>
      <c r="I5173" s="22">
        <v>2022.0</v>
      </c>
      <c r="J5173" s="16" t="str">
        <f>IFERROR(__xludf.DUMMYFUNCTION("FILTER('CLASFICACIÓN'!$F$3:$F5618,'CLASFICACIÓN'!$G$3:$G5618=M5173)"),"LOS 3 AÑOS")</f>
        <v>LOS 3 AÑOS</v>
      </c>
      <c r="K5173" s="16"/>
      <c r="L5173" s="14" t="s">
        <v>188</v>
      </c>
      <c r="M5173" s="16" t="str">
        <f t="shared" si="1"/>
        <v>505536 Primaria</v>
      </c>
      <c r="N5173" s="23"/>
      <c r="O5173" s="17"/>
      <c r="P5173" s="17"/>
      <c r="Q5173" s="17"/>
      <c r="R5173" s="17"/>
      <c r="S5173" s="17"/>
      <c r="T5173" s="17"/>
    </row>
    <row r="5174">
      <c r="A5174" s="21">
        <v>1302.0</v>
      </c>
      <c r="B5174" s="14" t="s">
        <v>90</v>
      </c>
      <c r="C5174" s="14" t="s">
        <v>14</v>
      </c>
      <c r="D5174" s="20" t="s">
        <v>22</v>
      </c>
      <c r="E5174" s="12" t="str">
        <f>IFERROR(__xludf.DUMMYFUNCTION("FILTER(colegios!$B$2:$B5618,colegios!$A$2:$A5618=L5174)"),"50492 CORAZON DE JESUS")</f>
        <v>50492 CORAZON DE JESUS</v>
      </c>
      <c r="F5174" s="14" t="s">
        <v>16</v>
      </c>
      <c r="G5174" s="20" t="s">
        <v>17</v>
      </c>
      <c r="H5174" s="14" t="s">
        <v>18</v>
      </c>
      <c r="I5174" s="22">
        <v>2022.0</v>
      </c>
      <c r="J5174" s="16" t="str">
        <f>IFERROR(__xludf.DUMMYFUNCTION("FILTER('CLASFICACIÓN'!$F$3:$F5618,'CLASFICACIÓN'!$G$3:$G5618=M5174)"),"LOS 3 AÑOS")</f>
        <v>LOS 3 AÑOS</v>
      </c>
      <c r="K5174" s="16"/>
      <c r="L5174" s="14" t="s">
        <v>189</v>
      </c>
      <c r="M5174" s="16" t="str">
        <f t="shared" si="1"/>
        <v>50492 CORAZON DE JESUS6 Primaria</v>
      </c>
      <c r="N5174" s="23"/>
      <c r="O5174" s="17"/>
      <c r="P5174" s="17"/>
      <c r="Q5174" s="17"/>
      <c r="R5174" s="17"/>
      <c r="S5174" s="17"/>
      <c r="T5174" s="17"/>
    </row>
    <row r="5175">
      <c r="A5175" s="21">
        <v>1303.0</v>
      </c>
      <c r="B5175" s="14" t="s">
        <v>90</v>
      </c>
      <c r="C5175" s="14" t="s">
        <v>14</v>
      </c>
      <c r="D5175" s="20" t="s">
        <v>22</v>
      </c>
      <c r="E5175" s="12" t="str">
        <f>IFERROR(__xludf.DUMMYFUNCTION("FILTER(colegios!$B$2:$B5618,colegios!$A$2:$A5618=L5175)"),"50492 CORAZON DE JESUS")</f>
        <v>50492 CORAZON DE JESUS</v>
      </c>
      <c r="F5175" s="14" t="s">
        <v>16</v>
      </c>
      <c r="G5175" s="20" t="s">
        <v>21</v>
      </c>
      <c r="H5175" s="14" t="s">
        <v>18</v>
      </c>
      <c r="I5175" s="22">
        <v>2022.0</v>
      </c>
      <c r="J5175" s="16" t="str">
        <f>IFERROR(__xludf.DUMMYFUNCTION("FILTER('CLASFICACIÓN'!$F$3:$F5618,'CLASFICACIÓN'!$G$3:$G5618=M5175)"),"LOS 3 AÑOS")</f>
        <v>LOS 3 AÑOS</v>
      </c>
      <c r="K5175" s="16"/>
      <c r="L5175" s="14" t="s">
        <v>189</v>
      </c>
      <c r="M5175" s="16" t="str">
        <f t="shared" si="1"/>
        <v>50492 CORAZON DE JESUS6 Primaria</v>
      </c>
      <c r="N5175" s="23"/>
      <c r="O5175" s="17"/>
      <c r="P5175" s="17"/>
      <c r="Q5175" s="17"/>
      <c r="R5175" s="17"/>
      <c r="S5175" s="17"/>
      <c r="T5175" s="17"/>
    </row>
    <row r="5176">
      <c r="A5176" s="21">
        <v>1304.0</v>
      </c>
      <c r="B5176" s="14" t="s">
        <v>90</v>
      </c>
      <c r="C5176" s="14" t="s">
        <v>14</v>
      </c>
      <c r="D5176" s="20" t="s">
        <v>22</v>
      </c>
      <c r="E5176" s="12" t="str">
        <f>IFERROR(__xludf.DUMMYFUNCTION("FILTER(colegios!$B$2:$B5618,colegios!$A$2:$A5618=L5176)"),"50492 CORAZON DE JESUS")</f>
        <v>50492 CORAZON DE JESUS</v>
      </c>
      <c r="F5176" s="14" t="s">
        <v>16</v>
      </c>
      <c r="G5176" s="20" t="s">
        <v>21</v>
      </c>
      <c r="H5176" s="14" t="s">
        <v>18</v>
      </c>
      <c r="I5176" s="22">
        <v>2022.0</v>
      </c>
      <c r="J5176" s="16" t="str">
        <f>IFERROR(__xludf.DUMMYFUNCTION("FILTER('CLASFICACIÓN'!$F$3:$F5618,'CLASFICACIÓN'!$G$3:$G5618=M5176)"),"LOS 3 AÑOS")</f>
        <v>LOS 3 AÑOS</v>
      </c>
      <c r="K5176" s="16"/>
      <c r="L5176" s="14" t="s">
        <v>189</v>
      </c>
      <c r="M5176" s="16" t="str">
        <f t="shared" si="1"/>
        <v>50492 CORAZON DE JESUS6 Primaria</v>
      </c>
      <c r="N5176" s="23"/>
      <c r="O5176" s="17"/>
      <c r="P5176" s="17"/>
      <c r="Q5176" s="17"/>
      <c r="R5176" s="17"/>
      <c r="S5176" s="17"/>
      <c r="T5176" s="17"/>
    </row>
    <row r="5177">
      <c r="A5177" s="21">
        <v>1305.0</v>
      </c>
      <c r="B5177" s="14" t="s">
        <v>90</v>
      </c>
      <c r="C5177" s="14" t="s">
        <v>14</v>
      </c>
      <c r="D5177" s="20" t="s">
        <v>22</v>
      </c>
      <c r="E5177" s="12" t="str">
        <f>IFERROR(__xludf.DUMMYFUNCTION("FILTER(colegios!$B$2:$B5618,colegios!$A$2:$A5618=L5177)"),"50492 CORAZON DE JESUS")</f>
        <v>50492 CORAZON DE JESUS</v>
      </c>
      <c r="F5177" s="14" t="s">
        <v>16</v>
      </c>
      <c r="G5177" s="20" t="s">
        <v>17</v>
      </c>
      <c r="H5177" s="14" t="s">
        <v>18</v>
      </c>
      <c r="I5177" s="22">
        <v>2022.0</v>
      </c>
      <c r="J5177" s="16" t="str">
        <f>IFERROR(__xludf.DUMMYFUNCTION("FILTER('CLASFICACIÓN'!$F$3:$F5618,'CLASFICACIÓN'!$G$3:$G5618=M5177)"),"LOS 3 AÑOS")</f>
        <v>LOS 3 AÑOS</v>
      </c>
      <c r="K5177" s="16"/>
      <c r="L5177" s="14" t="s">
        <v>189</v>
      </c>
      <c r="M5177" s="16" t="str">
        <f t="shared" si="1"/>
        <v>50492 CORAZON DE JESUS6 Primaria</v>
      </c>
      <c r="N5177" s="23"/>
      <c r="O5177" s="17"/>
      <c r="P5177" s="17"/>
      <c r="Q5177" s="17"/>
      <c r="R5177" s="17"/>
      <c r="S5177" s="17"/>
      <c r="T5177" s="17"/>
    </row>
    <row r="5178">
      <c r="A5178" s="21">
        <v>1306.0</v>
      </c>
      <c r="B5178" s="14" t="s">
        <v>90</v>
      </c>
      <c r="C5178" s="14" t="s">
        <v>14</v>
      </c>
      <c r="D5178" s="20" t="s">
        <v>22</v>
      </c>
      <c r="E5178" s="12" t="str">
        <f>IFERROR(__xludf.DUMMYFUNCTION("FILTER(colegios!$B$2:$B5618,colegios!$A$2:$A5618=L5178)"),"50492 CORAZON DE JESUS")</f>
        <v>50492 CORAZON DE JESUS</v>
      </c>
      <c r="F5178" s="14" t="s">
        <v>16</v>
      </c>
      <c r="G5178" s="20" t="s">
        <v>17</v>
      </c>
      <c r="H5178" s="14" t="s">
        <v>18</v>
      </c>
      <c r="I5178" s="22">
        <v>2022.0</v>
      </c>
      <c r="J5178" s="16" t="str">
        <f>IFERROR(__xludf.DUMMYFUNCTION("FILTER('CLASFICACIÓN'!$F$3:$F5618,'CLASFICACIÓN'!$G$3:$G5618=M5178)"),"LOS 3 AÑOS")</f>
        <v>LOS 3 AÑOS</v>
      </c>
      <c r="K5178" s="16"/>
      <c r="L5178" s="14" t="s">
        <v>189</v>
      </c>
      <c r="M5178" s="16" t="str">
        <f t="shared" si="1"/>
        <v>50492 CORAZON DE JESUS6 Primaria</v>
      </c>
      <c r="N5178" s="23"/>
      <c r="O5178" s="17"/>
      <c r="P5178" s="17"/>
      <c r="Q5178" s="17"/>
      <c r="R5178" s="17"/>
      <c r="S5178" s="17"/>
      <c r="T5178" s="17"/>
    </row>
    <row r="5179">
      <c r="A5179" s="21">
        <v>1307.0</v>
      </c>
      <c r="B5179" s="14" t="s">
        <v>90</v>
      </c>
      <c r="C5179" s="14" t="s">
        <v>14</v>
      </c>
      <c r="D5179" s="20" t="s">
        <v>22</v>
      </c>
      <c r="E5179" s="12" t="str">
        <f>IFERROR(__xludf.DUMMYFUNCTION("FILTER(colegios!$B$2:$B5618,colegios!$A$2:$A5618=L5179)"),"50492 CORAZON DE JESUS")</f>
        <v>50492 CORAZON DE JESUS</v>
      </c>
      <c r="F5179" s="14" t="s">
        <v>16</v>
      </c>
      <c r="G5179" s="20" t="s">
        <v>21</v>
      </c>
      <c r="H5179" s="14" t="s">
        <v>18</v>
      </c>
      <c r="I5179" s="22">
        <v>2022.0</v>
      </c>
      <c r="J5179" s="16" t="str">
        <f>IFERROR(__xludf.DUMMYFUNCTION("FILTER('CLASFICACIÓN'!$F$3:$F5618,'CLASFICACIÓN'!$G$3:$G5618=M5179)"),"LOS 3 AÑOS")</f>
        <v>LOS 3 AÑOS</v>
      </c>
      <c r="K5179" s="16"/>
      <c r="L5179" s="14" t="s">
        <v>189</v>
      </c>
      <c r="M5179" s="16" t="str">
        <f t="shared" si="1"/>
        <v>50492 CORAZON DE JESUS6 Primaria</v>
      </c>
      <c r="N5179" s="23"/>
      <c r="O5179" s="17"/>
      <c r="P5179" s="17"/>
      <c r="Q5179" s="17"/>
      <c r="R5179" s="17"/>
      <c r="S5179" s="17"/>
      <c r="T5179" s="17"/>
    </row>
    <row r="5180">
      <c r="A5180" s="21">
        <v>1308.0</v>
      </c>
      <c r="B5180" s="14" t="s">
        <v>90</v>
      </c>
      <c r="C5180" s="14" t="s">
        <v>14</v>
      </c>
      <c r="D5180" s="20" t="s">
        <v>22</v>
      </c>
      <c r="E5180" s="12" t="str">
        <f>IFERROR(__xludf.DUMMYFUNCTION("FILTER(colegios!$B$2:$B5618,colegios!$A$2:$A5618=L5180)"),"50492 CORAZON DE JESUS")</f>
        <v>50492 CORAZON DE JESUS</v>
      </c>
      <c r="F5180" s="14" t="s">
        <v>16</v>
      </c>
      <c r="G5180" s="20" t="s">
        <v>17</v>
      </c>
      <c r="H5180" s="14" t="s">
        <v>18</v>
      </c>
      <c r="I5180" s="22">
        <v>2022.0</v>
      </c>
      <c r="J5180" s="16" t="str">
        <f>IFERROR(__xludf.DUMMYFUNCTION("FILTER('CLASFICACIÓN'!$F$3:$F5618,'CLASFICACIÓN'!$G$3:$G5618=M5180)"),"LOS 3 AÑOS")</f>
        <v>LOS 3 AÑOS</v>
      </c>
      <c r="K5180" s="16"/>
      <c r="L5180" s="14" t="s">
        <v>189</v>
      </c>
      <c r="M5180" s="16" t="str">
        <f t="shared" si="1"/>
        <v>50492 CORAZON DE JESUS6 Primaria</v>
      </c>
      <c r="N5180" s="23"/>
      <c r="O5180" s="17"/>
      <c r="P5180" s="17"/>
      <c r="Q5180" s="17"/>
      <c r="R5180" s="17"/>
      <c r="S5180" s="17"/>
      <c r="T5180" s="17"/>
    </row>
    <row r="5181">
      <c r="A5181" s="21">
        <v>1309.0</v>
      </c>
      <c r="B5181" s="14" t="s">
        <v>90</v>
      </c>
      <c r="C5181" s="14" t="s">
        <v>14</v>
      </c>
      <c r="D5181" s="20" t="s">
        <v>22</v>
      </c>
      <c r="E5181" s="12" t="str">
        <f>IFERROR(__xludf.DUMMYFUNCTION("FILTER(colegios!$B$2:$B5618,colegios!$A$2:$A5618=L5181)"),"50492 CORAZON DE JESUS")</f>
        <v>50492 CORAZON DE JESUS</v>
      </c>
      <c r="F5181" s="14" t="s">
        <v>16</v>
      </c>
      <c r="G5181" s="20" t="s">
        <v>17</v>
      </c>
      <c r="H5181" s="14" t="s">
        <v>18</v>
      </c>
      <c r="I5181" s="22">
        <v>2022.0</v>
      </c>
      <c r="J5181" s="16" t="str">
        <f>IFERROR(__xludf.DUMMYFUNCTION("FILTER('CLASFICACIÓN'!$F$3:$F5618,'CLASFICACIÓN'!$G$3:$G5618=M5181)"),"LOS 3 AÑOS")</f>
        <v>LOS 3 AÑOS</v>
      </c>
      <c r="K5181" s="16"/>
      <c r="L5181" s="14" t="s">
        <v>189</v>
      </c>
      <c r="M5181" s="16" t="str">
        <f t="shared" si="1"/>
        <v>50492 CORAZON DE JESUS6 Primaria</v>
      </c>
      <c r="N5181" s="23"/>
      <c r="O5181" s="17"/>
      <c r="P5181" s="17"/>
      <c r="Q5181" s="17"/>
      <c r="R5181" s="17"/>
      <c r="S5181" s="17"/>
      <c r="T5181" s="17"/>
    </row>
    <row r="5182">
      <c r="A5182" s="21">
        <v>1310.0</v>
      </c>
      <c r="B5182" s="14" t="s">
        <v>90</v>
      </c>
      <c r="C5182" s="14" t="s">
        <v>14</v>
      </c>
      <c r="D5182" s="20" t="s">
        <v>22</v>
      </c>
      <c r="E5182" s="12" t="str">
        <f>IFERROR(__xludf.DUMMYFUNCTION("FILTER(colegios!$B$2:$B5618,colegios!$A$2:$A5618=L5182)"),"50492 CORAZON DE JESUS")</f>
        <v>50492 CORAZON DE JESUS</v>
      </c>
      <c r="F5182" s="14" t="s">
        <v>16</v>
      </c>
      <c r="G5182" s="20" t="s">
        <v>21</v>
      </c>
      <c r="H5182" s="14" t="s">
        <v>18</v>
      </c>
      <c r="I5182" s="22">
        <v>2022.0</v>
      </c>
      <c r="J5182" s="16" t="str">
        <f>IFERROR(__xludf.DUMMYFUNCTION("FILTER('CLASFICACIÓN'!$F$3:$F5618,'CLASFICACIÓN'!$G$3:$G5618=M5182)"),"LOS 3 AÑOS")</f>
        <v>LOS 3 AÑOS</v>
      </c>
      <c r="K5182" s="16"/>
      <c r="L5182" s="14" t="s">
        <v>189</v>
      </c>
      <c r="M5182" s="16" t="str">
        <f t="shared" si="1"/>
        <v>50492 CORAZON DE JESUS6 Primaria</v>
      </c>
      <c r="N5182" s="23"/>
      <c r="O5182" s="17"/>
      <c r="P5182" s="17"/>
      <c r="Q5182" s="17"/>
      <c r="R5182" s="17"/>
      <c r="S5182" s="17"/>
      <c r="T5182" s="17"/>
    </row>
    <row r="5183">
      <c r="A5183" s="21">
        <v>1311.0</v>
      </c>
      <c r="B5183" s="14" t="s">
        <v>90</v>
      </c>
      <c r="C5183" s="14" t="s">
        <v>14</v>
      </c>
      <c r="D5183" s="20" t="s">
        <v>22</v>
      </c>
      <c r="E5183" s="12" t="str">
        <f>IFERROR(__xludf.DUMMYFUNCTION("FILTER(colegios!$B$2:$B5618,colegios!$A$2:$A5618=L5183)"),"50492 CORAZON DE JESUS")</f>
        <v>50492 CORAZON DE JESUS</v>
      </c>
      <c r="F5183" s="14" t="s">
        <v>16</v>
      </c>
      <c r="G5183" s="20" t="s">
        <v>17</v>
      </c>
      <c r="H5183" s="14" t="s">
        <v>18</v>
      </c>
      <c r="I5183" s="22">
        <v>2022.0</v>
      </c>
      <c r="J5183" s="16" t="str">
        <f>IFERROR(__xludf.DUMMYFUNCTION("FILTER('CLASFICACIÓN'!$F$3:$F5618,'CLASFICACIÓN'!$G$3:$G5618=M5183)"),"LOS 3 AÑOS")</f>
        <v>LOS 3 AÑOS</v>
      </c>
      <c r="K5183" s="16"/>
      <c r="L5183" s="14" t="s">
        <v>189</v>
      </c>
      <c r="M5183" s="16" t="str">
        <f t="shared" si="1"/>
        <v>50492 CORAZON DE JESUS6 Primaria</v>
      </c>
      <c r="N5183" s="23"/>
      <c r="O5183" s="17"/>
      <c r="P5183" s="17"/>
      <c r="Q5183" s="17"/>
      <c r="R5183" s="17"/>
      <c r="S5183" s="17"/>
      <c r="T5183" s="17"/>
    </row>
    <row r="5184">
      <c r="A5184" s="21">
        <v>1312.0</v>
      </c>
      <c r="B5184" s="14" t="s">
        <v>90</v>
      </c>
      <c r="C5184" s="14" t="s">
        <v>14</v>
      </c>
      <c r="D5184" s="20" t="s">
        <v>22</v>
      </c>
      <c r="E5184" s="12" t="str">
        <f>IFERROR(__xludf.DUMMYFUNCTION("FILTER(colegios!$B$2:$B5618,colegios!$A$2:$A5618=L5184)"),"50492 CORAZON DE JESUS")</f>
        <v>50492 CORAZON DE JESUS</v>
      </c>
      <c r="F5184" s="14" t="s">
        <v>16</v>
      </c>
      <c r="G5184" s="20" t="s">
        <v>21</v>
      </c>
      <c r="H5184" s="14" t="s">
        <v>18</v>
      </c>
      <c r="I5184" s="22">
        <v>2022.0</v>
      </c>
      <c r="J5184" s="16" t="str">
        <f>IFERROR(__xludf.DUMMYFUNCTION("FILTER('CLASFICACIÓN'!$F$3:$F5618,'CLASFICACIÓN'!$G$3:$G5618=M5184)"),"LOS 3 AÑOS")</f>
        <v>LOS 3 AÑOS</v>
      </c>
      <c r="K5184" s="16"/>
      <c r="L5184" s="14" t="s">
        <v>189</v>
      </c>
      <c r="M5184" s="16" t="str">
        <f t="shared" si="1"/>
        <v>50492 CORAZON DE JESUS6 Primaria</v>
      </c>
      <c r="N5184" s="23"/>
      <c r="O5184" s="17"/>
      <c r="P5184" s="17"/>
      <c r="Q5184" s="17"/>
      <c r="R5184" s="17"/>
      <c r="S5184" s="17"/>
      <c r="T5184" s="17"/>
    </row>
    <row r="5185">
      <c r="A5185" s="21">
        <v>1313.0</v>
      </c>
      <c r="B5185" s="14" t="s">
        <v>90</v>
      </c>
      <c r="C5185" s="14" t="s">
        <v>14</v>
      </c>
      <c r="D5185" s="20" t="s">
        <v>22</v>
      </c>
      <c r="E5185" s="12" t="str">
        <f>IFERROR(__xludf.DUMMYFUNCTION("FILTER(colegios!$B$2:$B5618,colegios!$A$2:$A5618=L5185)"),"50492 CORAZON DE JESUS")</f>
        <v>50492 CORAZON DE JESUS</v>
      </c>
      <c r="F5185" s="14" t="s">
        <v>16</v>
      </c>
      <c r="G5185" s="20" t="s">
        <v>21</v>
      </c>
      <c r="H5185" s="14" t="s">
        <v>18</v>
      </c>
      <c r="I5185" s="22">
        <v>2022.0</v>
      </c>
      <c r="J5185" s="16" t="str">
        <f>IFERROR(__xludf.DUMMYFUNCTION("FILTER('CLASFICACIÓN'!$F$3:$F5618,'CLASFICACIÓN'!$G$3:$G5618=M5185)"),"LOS 3 AÑOS")</f>
        <v>LOS 3 AÑOS</v>
      </c>
      <c r="K5185" s="16"/>
      <c r="L5185" s="14" t="s">
        <v>189</v>
      </c>
      <c r="M5185" s="16" t="str">
        <f t="shared" si="1"/>
        <v>50492 CORAZON DE JESUS6 Primaria</v>
      </c>
      <c r="N5185" s="23"/>
      <c r="O5185" s="17"/>
      <c r="P5185" s="17"/>
      <c r="Q5185" s="17"/>
      <c r="R5185" s="17"/>
      <c r="S5185" s="17"/>
      <c r="T5185" s="17"/>
    </row>
    <row r="5186">
      <c r="A5186" s="21">
        <v>1314.0</v>
      </c>
      <c r="B5186" s="14" t="s">
        <v>90</v>
      </c>
      <c r="C5186" s="14" t="s">
        <v>14</v>
      </c>
      <c r="D5186" s="20" t="s">
        <v>22</v>
      </c>
      <c r="E5186" s="12" t="str">
        <f>IFERROR(__xludf.DUMMYFUNCTION("FILTER(colegios!$B$2:$B5618,colegios!$A$2:$A5618=L5186)"),"50492 CORAZON DE JESUS")</f>
        <v>50492 CORAZON DE JESUS</v>
      </c>
      <c r="F5186" s="14" t="s">
        <v>16</v>
      </c>
      <c r="G5186" s="20" t="s">
        <v>21</v>
      </c>
      <c r="H5186" s="14" t="s">
        <v>18</v>
      </c>
      <c r="I5186" s="22">
        <v>2022.0</v>
      </c>
      <c r="J5186" s="16" t="str">
        <f>IFERROR(__xludf.DUMMYFUNCTION("FILTER('CLASFICACIÓN'!$F$3:$F5618,'CLASFICACIÓN'!$G$3:$G5618=M5186)"),"LOS 3 AÑOS")</f>
        <v>LOS 3 AÑOS</v>
      </c>
      <c r="K5186" s="16"/>
      <c r="L5186" s="14" t="s">
        <v>189</v>
      </c>
      <c r="M5186" s="16" t="str">
        <f t="shared" si="1"/>
        <v>50492 CORAZON DE JESUS6 Primaria</v>
      </c>
      <c r="N5186" s="23"/>
      <c r="O5186" s="17"/>
      <c r="P5186" s="17"/>
      <c r="Q5186" s="17"/>
      <c r="R5186" s="17"/>
      <c r="S5186" s="17"/>
      <c r="T5186" s="17"/>
    </row>
    <row r="5187">
      <c r="A5187" s="21">
        <v>1315.0</v>
      </c>
      <c r="B5187" s="14" t="s">
        <v>90</v>
      </c>
      <c r="C5187" s="14" t="s">
        <v>14</v>
      </c>
      <c r="D5187" s="20" t="s">
        <v>22</v>
      </c>
      <c r="E5187" s="12" t="str">
        <f>IFERROR(__xludf.DUMMYFUNCTION("FILTER(colegios!$B$2:$B5618,colegios!$A$2:$A5618=L5187)"),"50492 CORAZON DE JESUS")</f>
        <v>50492 CORAZON DE JESUS</v>
      </c>
      <c r="F5187" s="14" t="s">
        <v>16</v>
      </c>
      <c r="G5187" s="20" t="s">
        <v>17</v>
      </c>
      <c r="H5187" s="14" t="s">
        <v>18</v>
      </c>
      <c r="I5187" s="22">
        <v>2022.0</v>
      </c>
      <c r="J5187" s="16" t="str">
        <f>IFERROR(__xludf.DUMMYFUNCTION("FILTER('CLASFICACIÓN'!$F$3:$F5618,'CLASFICACIÓN'!$G$3:$G5618=M5187)"),"LOS 3 AÑOS")</f>
        <v>LOS 3 AÑOS</v>
      </c>
      <c r="K5187" s="16"/>
      <c r="L5187" s="14" t="s">
        <v>189</v>
      </c>
      <c r="M5187" s="16" t="str">
        <f t="shared" si="1"/>
        <v>50492 CORAZON DE JESUS6 Primaria</v>
      </c>
      <c r="N5187" s="23"/>
      <c r="O5187" s="17"/>
      <c r="P5187" s="17"/>
      <c r="Q5187" s="17"/>
      <c r="R5187" s="17"/>
      <c r="S5187" s="17"/>
      <c r="T5187" s="17"/>
    </row>
    <row r="5188">
      <c r="A5188" s="21">
        <v>1316.0</v>
      </c>
      <c r="B5188" s="14" t="s">
        <v>90</v>
      </c>
      <c r="C5188" s="14" t="s">
        <v>14</v>
      </c>
      <c r="D5188" s="20" t="s">
        <v>22</v>
      </c>
      <c r="E5188" s="12" t="str">
        <f>IFERROR(__xludf.DUMMYFUNCTION("FILTER(colegios!$B$2:$B5618,colegios!$A$2:$A5618=L5188)"),"50492 CORAZON DE JESUS")</f>
        <v>50492 CORAZON DE JESUS</v>
      </c>
      <c r="F5188" s="14" t="s">
        <v>16</v>
      </c>
      <c r="G5188" s="20" t="s">
        <v>21</v>
      </c>
      <c r="H5188" s="14" t="s">
        <v>18</v>
      </c>
      <c r="I5188" s="22">
        <v>2022.0</v>
      </c>
      <c r="J5188" s="16" t="str">
        <f>IFERROR(__xludf.DUMMYFUNCTION("FILTER('CLASFICACIÓN'!$F$3:$F5618,'CLASFICACIÓN'!$G$3:$G5618=M5188)"),"LOS 3 AÑOS")</f>
        <v>LOS 3 AÑOS</v>
      </c>
      <c r="K5188" s="16"/>
      <c r="L5188" s="14" t="s">
        <v>189</v>
      </c>
      <c r="M5188" s="16" t="str">
        <f t="shared" si="1"/>
        <v>50492 CORAZON DE JESUS6 Primaria</v>
      </c>
      <c r="N5188" s="23"/>
      <c r="O5188" s="17"/>
      <c r="P5188" s="17"/>
      <c r="Q5188" s="17"/>
      <c r="R5188" s="17"/>
      <c r="S5188" s="17"/>
      <c r="T5188" s="17"/>
    </row>
    <row r="5189">
      <c r="A5189" s="21">
        <v>1317.0</v>
      </c>
      <c r="B5189" s="14" t="s">
        <v>90</v>
      </c>
      <c r="C5189" s="14" t="s">
        <v>14</v>
      </c>
      <c r="D5189" s="20" t="s">
        <v>22</v>
      </c>
      <c r="E5189" s="12" t="str">
        <f>IFERROR(__xludf.DUMMYFUNCTION("FILTER(colegios!$B$2:$B5618,colegios!$A$2:$A5618=L5189)"),"50492 CORAZON DE JESUS")</f>
        <v>50492 CORAZON DE JESUS</v>
      </c>
      <c r="F5189" s="14" t="s">
        <v>16</v>
      </c>
      <c r="G5189" s="20" t="s">
        <v>21</v>
      </c>
      <c r="H5189" s="14" t="s">
        <v>18</v>
      </c>
      <c r="I5189" s="22">
        <v>2022.0</v>
      </c>
      <c r="J5189" s="16" t="str">
        <f>IFERROR(__xludf.DUMMYFUNCTION("FILTER('CLASFICACIÓN'!$F$3:$F5618,'CLASFICACIÓN'!$G$3:$G5618=M5189)"),"LOS 3 AÑOS")</f>
        <v>LOS 3 AÑOS</v>
      </c>
      <c r="K5189" s="16"/>
      <c r="L5189" s="14" t="s">
        <v>189</v>
      </c>
      <c r="M5189" s="16" t="str">
        <f t="shared" si="1"/>
        <v>50492 CORAZON DE JESUS6 Primaria</v>
      </c>
      <c r="N5189" s="23"/>
      <c r="O5189" s="17"/>
      <c r="P5189" s="17"/>
      <c r="Q5189" s="17"/>
      <c r="R5189" s="17"/>
      <c r="S5189" s="17"/>
      <c r="T5189" s="17"/>
    </row>
    <row r="5190">
      <c r="A5190" s="21">
        <v>1318.0</v>
      </c>
      <c r="B5190" s="14" t="s">
        <v>90</v>
      </c>
      <c r="C5190" s="14" t="s">
        <v>14</v>
      </c>
      <c r="D5190" s="20" t="s">
        <v>22</v>
      </c>
      <c r="E5190" s="12" t="str">
        <f>IFERROR(__xludf.DUMMYFUNCTION("FILTER(colegios!$B$2:$B5618,colegios!$A$2:$A5618=L5190)"),"50492 CORAZON DE JESUS")</f>
        <v>50492 CORAZON DE JESUS</v>
      </c>
      <c r="F5190" s="14" t="s">
        <v>16</v>
      </c>
      <c r="G5190" s="20" t="s">
        <v>17</v>
      </c>
      <c r="H5190" s="14" t="s">
        <v>18</v>
      </c>
      <c r="I5190" s="22">
        <v>2022.0</v>
      </c>
      <c r="J5190" s="16" t="str">
        <f>IFERROR(__xludf.DUMMYFUNCTION("FILTER('CLASFICACIÓN'!$F$3:$F5618,'CLASFICACIÓN'!$G$3:$G5618=M5190)"),"LOS 3 AÑOS")</f>
        <v>LOS 3 AÑOS</v>
      </c>
      <c r="K5190" s="16"/>
      <c r="L5190" s="14" t="s">
        <v>189</v>
      </c>
      <c r="M5190" s="16" t="str">
        <f t="shared" si="1"/>
        <v>50492 CORAZON DE JESUS6 Primaria</v>
      </c>
      <c r="N5190" s="23"/>
      <c r="O5190" s="17"/>
      <c r="P5190" s="17"/>
      <c r="Q5190" s="17"/>
      <c r="R5190" s="17"/>
      <c r="S5190" s="17"/>
      <c r="T5190" s="17"/>
    </row>
    <row r="5191">
      <c r="A5191" s="21">
        <v>1319.0</v>
      </c>
      <c r="B5191" s="14" t="s">
        <v>90</v>
      </c>
      <c r="C5191" s="14" t="s">
        <v>14</v>
      </c>
      <c r="D5191" s="20" t="s">
        <v>22</v>
      </c>
      <c r="E5191" s="12" t="str">
        <f>IFERROR(__xludf.DUMMYFUNCTION("FILTER(colegios!$B$2:$B5618,colegios!$A$2:$A5618=L5191)"),"50492 CORAZON DE JESUS")</f>
        <v>50492 CORAZON DE JESUS</v>
      </c>
      <c r="F5191" s="14" t="s">
        <v>16</v>
      </c>
      <c r="G5191" s="20" t="s">
        <v>17</v>
      </c>
      <c r="H5191" s="14" t="s">
        <v>18</v>
      </c>
      <c r="I5191" s="22">
        <v>2022.0</v>
      </c>
      <c r="J5191" s="16" t="str">
        <f>IFERROR(__xludf.DUMMYFUNCTION("FILTER('CLASFICACIÓN'!$F$3:$F5618,'CLASFICACIÓN'!$G$3:$G5618=M5191)"),"LOS 3 AÑOS")</f>
        <v>LOS 3 AÑOS</v>
      </c>
      <c r="K5191" s="16"/>
      <c r="L5191" s="14" t="s">
        <v>189</v>
      </c>
      <c r="M5191" s="16" t="str">
        <f t="shared" si="1"/>
        <v>50492 CORAZON DE JESUS6 Primaria</v>
      </c>
      <c r="N5191" s="23"/>
      <c r="O5191" s="17"/>
      <c r="P5191" s="17"/>
      <c r="Q5191" s="17"/>
      <c r="R5191" s="17"/>
      <c r="S5191" s="17"/>
      <c r="T5191" s="17"/>
    </row>
    <row r="5192">
      <c r="A5192" s="21">
        <v>1320.0</v>
      </c>
      <c r="B5192" s="14" t="s">
        <v>90</v>
      </c>
      <c r="C5192" s="14" t="s">
        <v>14</v>
      </c>
      <c r="D5192" s="20" t="s">
        <v>22</v>
      </c>
      <c r="E5192" s="12" t="str">
        <f>IFERROR(__xludf.DUMMYFUNCTION("FILTER(colegios!$B$2:$B5618,colegios!$A$2:$A5618=L5192)"),"50492 CORAZON DE JESUS")</f>
        <v>50492 CORAZON DE JESUS</v>
      </c>
      <c r="F5192" s="14" t="s">
        <v>16</v>
      </c>
      <c r="G5192" s="20" t="s">
        <v>21</v>
      </c>
      <c r="H5192" s="14" t="s">
        <v>18</v>
      </c>
      <c r="I5192" s="22">
        <v>2022.0</v>
      </c>
      <c r="J5192" s="16" t="str">
        <f>IFERROR(__xludf.DUMMYFUNCTION("FILTER('CLASFICACIÓN'!$F$3:$F5618,'CLASFICACIÓN'!$G$3:$G5618=M5192)"),"LOS 3 AÑOS")</f>
        <v>LOS 3 AÑOS</v>
      </c>
      <c r="K5192" s="16"/>
      <c r="L5192" s="14" t="s">
        <v>189</v>
      </c>
      <c r="M5192" s="16" t="str">
        <f t="shared" si="1"/>
        <v>50492 CORAZON DE JESUS6 Primaria</v>
      </c>
      <c r="N5192" s="23"/>
      <c r="O5192" s="17"/>
      <c r="P5192" s="17"/>
      <c r="Q5192" s="17"/>
      <c r="R5192" s="17"/>
      <c r="S5192" s="17"/>
      <c r="T5192" s="17"/>
    </row>
    <row r="5193">
      <c r="A5193" s="21">
        <v>1321.0</v>
      </c>
      <c r="B5193" s="14" t="s">
        <v>90</v>
      </c>
      <c r="C5193" s="14" t="s">
        <v>14</v>
      </c>
      <c r="D5193" s="20" t="s">
        <v>22</v>
      </c>
      <c r="E5193" s="12" t="str">
        <f>IFERROR(__xludf.DUMMYFUNCTION("FILTER(colegios!$B$2:$B5618,colegios!$A$2:$A5618=L5193)"),"50492 CORAZON DE JESUS")</f>
        <v>50492 CORAZON DE JESUS</v>
      </c>
      <c r="F5193" s="14" t="s">
        <v>16</v>
      </c>
      <c r="G5193" s="20" t="s">
        <v>21</v>
      </c>
      <c r="H5193" s="14" t="s">
        <v>18</v>
      </c>
      <c r="I5193" s="22">
        <v>2022.0</v>
      </c>
      <c r="J5193" s="16" t="str">
        <f>IFERROR(__xludf.DUMMYFUNCTION("FILTER('CLASFICACIÓN'!$F$3:$F5618,'CLASFICACIÓN'!$G$3:$G5618=M5193)"),"LOS 3 AÑOS")</f>
        <v>LOS 3 AÑOS</v>
      </c>
      <c r="K5193" s="16"/>
      <c r="L5193" s="14" t="s">
        <v>189</v>
      </c>
      <c r="M5193" s="16" t="str">
        <f t="shared" si="1"/>
        <v>50492 CORAZON DE JESUS6 Primaria</v>
      </c>
      <c r="N5193" s="23"/>
      <c r="O5193" s="17"/>
      <c r="P5193" s="17"/>
      <c r="Q5193" s="17"/>
      <c r="R5193" s="17"/>
      <c r="S5193" s="17"/>
      <c r="T5193" s="17"/>
    </row>
    <row r="5194">
      <c r="A5194" s="21">
        <v>1322.0</v>
      </c>
      <c r="B5194" s="14" t="s">
        <v>90</v>
      </c>
      <c r="C5194" s="14" t="s">
        <v>14</v>
      </c>
      <c r="D5194" s="20" t="s">
        <v>22</v>
      </c>
      <c r="E5194" s="12" t="str">
        <f>IFERROR(__xludf.DUMMYFUNCTION("FILTER(colegios!$B$2:$B5618,colegios!$A$2:$A5618=L5194)"),"50492 CORAZON DE JESUS")</f>
        <v>50492 CORAZON DE JESUS</v>
      </c>
      <c r="F5194" s="14" t="s">
        <v>16</v>
      </c>
      <c r="G5194" s="20" t="s">
        <v>17</v>
      </c>
      <c r="H5194" s="14" t="s">
        <v>18</v>
      </c>
      <c r="I5194" s="22">
        <v>2022.0</v>
      </c>
      <c r="J5194" s="16" t="str">
        <f>IFERROR(__xludf.DUMMYFUNCTION("FILTER('CLASFICACIÓN'!$F$3:$F5618,'CLASFICACIÓN'!$G$3:$G5618=M5194)"),"LOS 3 AÑOS")</f>
        <v>LOS 3 AÑOS</v>
      </c>
      <c r="K5194" s="16"/>
      <c r="L5194" s="14" t="s">
        <v>189</v>
      </c>
      <c r="M5194" s="16" t="str">
        <f t="shared" si="1"/>
        <v>50492 CORAZON DE JESUS6 Primaria</v>
      </c>
      <c r="N5194" s="23"/>
      <c r="O5194" s="17"/>
      <c r="P5194" s="17"/>
      <c r="Q5194" s="17"/>
      <c r="R5194" s="17"/>
      <c r="S5194" s="17"/>
      <c r="T5194" s="17"/>
    </row>
    <row r="5195">
      <c r="A5195" s="21">
        <v>1323.0</v>
      </c>
      <c r="B5195" s="14" t="s">
        <v>90</v>
      </c>
      <c r="C5195" s="14" t="s">
        <v>14</v>
      </c>
      <c r="D5195" s="20" t="s">
        <v>22</v>
      </c>
      <c r="E5195" s="12" t="str">
        <f>IFERROR(__xludf.DUMMYFUNCTION("FILTER(colegios!$B$2:$B5618,colegios!$A$2:$A5618=L5195)"),"50492 CORAZON DE JESUS")</f>
        <v>50492 CORAZON DE JESUS</v>
      </c>
      <c r="F5195" s="14" t="s">
        <v>16</v>
      </c>
      <c r="G5195" s="20" t="s">
        <v>21</v>
      </c>
      <c r="H5195" s="14" t="s">
        <v>18</v>
      </c>
      <c r="I5195" s="22">
        <v>2022.0</v>
      </c>
      <c r="J5195" s="16" t="str">
        <f>IFERROR(__xludf.DUMMYFUNCTION("FILTER('CLASFICACIÓN'!$F$3:$F5618,'CLASFICACIÓN'!$G$3:$G5618=M5195)"),"LOS 3 AÑOS")</f>
        <v>LOS 3 AÑOS</v>
      </c>
      <c r="K5195" s="16"/>
      <c r="L5195" s="14" t="s">
        <v>189</v>
      </c>
      <c r="M5195" s="16" t="str">
        <f t="shared" si="1"/>
        <v>50492 CORAZON DE JESUS6 Primaria</v>
      </c>
      <c r="N5195" s="23"/>
      <c r="O5195" s="17"/>
      <c r="P5195" s="17"/>
      <c r="Q5195" s="17"/>
      <c r="R5195" s="17"/>
      <c r="S5195" s="17"/>
      <c r="T5195" s="17"/>
    </row>
    <row r="5196">
      <c r="A5196" s="21">
        <v>1324.0</v>
      </c>
      <c r="B5196" s="14" t="s">
        <v>90</v>
      </c>
      <c r="C5196" s="14" t="s">
        <v>14</v>
      </c>
      <c r="D5196" s="20" t="s">
        <v>22</v>
      </c>
      <c r="E5196" s="12" t="str">
        <f>IFERROR(__xludf.DUMMYFUNCTION("FILTER(colegios!$B$2:$B5618,colegios!$A$2:$A5618=L5196)"),"50492 CORAZON DE JESUS")</f>
        <v>50492 CORAZON DE JESUS</v>
      </c>
      <c r="F5196" s="14" t="s">
        <v>16</v>
      </c>
      <c r="G5196" s="20" t="s">
        <v>17</v>
      </c>
      <c r="H5196" s="14" t="s">
        <v>18</v>
      </c>
      <c r="I5196" s="22">
        <v>2022.0</v>
      </c>
      <c r="J5196" s="16" t="str">
        <f>IFERROR(__xludf.DUMMYFUNCTION("FILTER('CLASFICACIÓN'!$F$3:$F5618,'CLASFICACIÓN'!$G$3:$G5618=M5196)"),"LOS 3 AÑOS")</f>
        <v>LOS 3 AÑOS</v>
      </c>
      <c r="K5196" s="16"/>
      <c r="L5196" s="14" t="s">
        <v>189</v>
      </c>
      <c r="M5196" s="16" t="str">
        <f t="shared" si="1"/>
        <v>50492 CORAZON DE JESUS6 Primaria</v>
      </c>
      <c r="N5196" s="23"/>
      <c r="O5196" s="17"/>
      <c r="P5196" s="17"/>
      <c r="Q5196" s="17"/>
      <c r="R5196" s="17"/>
      <c r="S5196" s="17"/>
      <c r="T5196" s="17"/>
    </row>
    <row r="5197">
      <c r="A5197" s="21">
        <v>1325.0</v>
      </c>
      <c r="B5197" s="14" t="s">
        <v>90</v>
      </c>
      <c r="C5197" s="14" t="s">
        <v>14</v>
      </c>
      <c r="D5197" s="20" t="s">
        <v>22</v>
      </c>
      <c r="E5197" s="12" t="str">
        <f>IFERROR(__xludf.DUMMYFUNCTION("FILTER(colegios!$B$2:$B5618,colegios!$A$2:$A5618=L5197)"),"50492 CORAZON DE JESUS")</f>
        <v>50492 CORAZON DE JESUS</v>
      </c>
      <c r="F5197" s="14" t="s">
        <v>16</v>
      </c>
      <c r="G5197" s="20" t="s">
        <v>21</v>
      </c>
      <c r="H5197" s="14" t="s">
        <v>18</v>
      </c>
      <c r="I5197" s="22">
        <v>2022.0</v>
      </c>
      <c r="J5197" s="16" t="str">
        <f>IFERROR(__xludf.DUMMYFUNCTION("FILTER('CLASFICACIÓN'!$F$3:$F5618,'CLASFICACIÓN'!$G$3:$G5618=M5197)"),"LOS 3 AÑOS")</f>
        <v>LOS 3 AÑOS</v>
      </c>
      <c r="K5197" s="16"/>
      <c r="L5197" s="14" t="s">
        <v>189</v>
      </c>
      <c r="M5197" s="16" t="str">
        <f t="shared" si="1"/>
        <v>50492 CORAZON DE JESUS6 Primaria</v>
      </c>
      <c r="N5197" s="23"/>
      <c r="O5197" s="17"/>
      <c r="P5197" s="17"/>
      <c r="Q5197" s="17"/>
      <c r="R5197" s="17"/>
      <c r="S5197" s="17"/>
      <c r="T5197" s="17"/>
    </row>
    <row r="5198">
      <c r="A5198" s="21">
        <v>1326.0</v>
      </c>
      <c r="B5198" s="14" t="s">
        <v>90</v>
      </c>
      <c r="C5198" s="14" t="s">
        <v>14</v>
      </c>
      <c r="D5198" s="20" t="s">
        <v>22</v>
      </c>
      <c r="E5198" s="12" t="str">
        <f>IFERROR(__xludf.DUMMYFUNCTION("FILTER(colegios!$B$2:$B5618,colegios!$A$2:$A5618=L5198)"),"50492 CORAZON DE JESUS")</f>
        <v>50492 CORAZON DE JESUS</v>
      </c>
      <c r="F5198" s="14" t="s">
        <v>16</v>
      </c>
      <c r="G5198" s="20" t="s">
        <v>17</v>
      </c>
      <c r="H5198" s="14" t="s">
        <v>18</v>
      </c>
      <c r="I5198" s="22">
        <v>2022.0</v>
      </c>
      <c r="J5198" s="16" t="str">
        <f>IFERROR(__xludf.DUMMYFUNCTION("FILTER('CLASFICACIÓN'!$F$3:$F5618,'CLASFICACIÓN'!$G$3:$G5618=M5198)"),"LOS 3 AÑOS")</f>
        <v>LOS 3 AÑOS</v>
      </c>
      <c r="K5198" s="16"/>
      <c r="L5198" s="14" t="s">
        <v>189</v>
      </c>
      <c r="M5198" s="16" t="str">
        <f t="shared" si="1"/>
        <v>50492 CORAZON DE JESUS6 Primaria</v>
      </c>
      <c r="N5198" s="23"/>
      <c r="O5198" s="17"/>
      <c r="P5198" s="17"/>
      <c r="Q5198" s="17"/>
      <c r="R5198" s="17"/>
      <c r="S5198" s="17"/>
      <c r="T5198" s="17"/>
    </row>
    <row r="5199">
      <c r="A5199" s="21">
        <v>1327.0</v>
      </c>
      <c r="B5199" s="14" t="s">
        <v>90</v>
      </c>
      <c r="C5199" s="14" t="s">
        <v>14</v>
      </c>
      <c r="D5199" s="20" t="s">
        <v>22</v>
      </c>
      <c r="E5199" s="12" t="str">
        <f>IFERROR(__xludf.DUMMYFUNCTION("FILTER(colegios!$B$2:$B5618,colegios!$A$2:$A5618=L5199)"),"50492 CORAZON DE JESUS")</f>
        <v>50492 CORAZON DE JESUS</v>
      </c>
      <c r="F5199" s="14" t="s">
        <v>16</v>
      </c>
      <c r="G5199" s="20" t="s">
        <v>21</v>
      </c>
      <c r="H5199" s="14" t="s">
        <v>18</v>
      </c>
      <c r="I5199" s="22">
        <v>2022.0</v>
      </c>
      <c r="J5199" s="16" t="str">
        <f>IFERROR(__xludf.DUMMYFUNCTION("FILTER('CLASFICACIÓN'!$F$3:$F5618,'CLASFICACIÓN'!$G$3:$G5618=M5199)"),"LOS 3 AÑOS")</f>
        <v>LOS 3 AÑOS</v>
      </c>
      <c r="K5199" s="16"/>
      <c r="L5199" s="14" t="s">
        <v>189</v>
      </c>
      <c r="M5199" s="16" t="str">
        <f t="shared" si="1"/>
        <v>50492 CORAZON DE JESUS6 Primaria</v>
      </c>
      <c r="N5199" s="23"/>
      <c r="O5199" s="17"/>
      <c r="P5199" s="17"/>
      <c r="Q5199" s="17"/>
      <c r="R5199" s="17"/>
      <c r="S5199" s="17"/>
      <c r="T5199" s="17"/>
    </row>
    <row r="5200">
      <c r="A5200" s="21">
        <v>1328.0</v>
      </c>
      <c r="B5200" s="14" t="s">
        <v>90</v>
      </c>
      <c r="C5200" s="14" t="s">
        <v>14</v>
      </c>
      <c r="D5200" s="20" t="s">
        <v>22</v>
      </c>
      <c r="E5200" s="12" t="str">
        <f>IFERROR(__xludf.DUMMYFUNCTION("FILTER(colegios!$B$2:$B5618,colegios!$A$2:$A5618=L5200)"),"50492 CORAZON DE JESUS")</f>
        <v>50492 CORAZON DE JESUS</v>
      </c>
      <c r="F5200" s="14" t="s">
        <v>16</v>
      </c>
      <c r="G5200" s="20" t="s">
        <v>17</v>
      </c>
      <c r="H5200" s="14" t="s">
        <v>18</v>
      </c>
      <c r="I5200" s="22">
        <v>2022.0</v>
      </c>
      <c r="J5200" s="16" t="str">
        <f>IFERROR(__xludf.DUMMYFUNCTION("FILTER('CLASFICACIÓN'!$F$3:$F5618,'CLASFICACIÓN'!$G$3:$G5618=M5200)"),"LOS 3 AÑOS")</f>
        <v>LOS 3 AÑOS</v>
      </c>
      <c r="K5200" s="16"/>
      <c r="L5200" s="14" t="s">
        <v>189</v>
      </c>
      <c r="M5200" s="16" t="str">
        <f t="shared" si="1"/>
        <v>50492 CORAZON DE JESUS6 Primaria</v>
      </c>
      <c r="N5200" s="23"/>
      <c r="O5200" s="17"/>
      <c r="P5200" s="17"/>
      <c r="Q5200" s="17"/>
      <c r="R5200" s="17"/>
      <c r="S5200" s="17"/>
      <c r="T5200" s="17"/>
    </row>
    <row r="5201">
      <c r="A5201" s="21">
        <v>1329.0</v>
      </c>
      <c r="B5201" s="14" t="s">
        <v>90</v>
      </c>
      <c r="C5201" s="14" t="s">
        <v>14</v>
      </c>
      <c r="D5201" s="20" t="s">
        <v>22</v>
      </c>
      <c r="E5201" s="12" t="str">
        <f>IFERROR(__xludf.DUMMYFUNCTION("FILTER(colegios!$B$2:$B5618,colegios!$A$2:$A5618=L5201)"),"50492 CORAZON DE JESUS")</f>
        <v>50492 CORAZON DE JESUS</v>
      </c>
      <c r="F5201" s="14" t="s">
        <v>16</v>
      </c>
      <c r="G5201" s="20" t="s">
        <v>17</v>
      </c>
      <c r="H5201" s="14" t="s">
        <v>18</v>
      </c>
      <c r="I5201" s="22">
        <v>2022.0</v>
      </c>
      <c r="J5201" s="16" t="str">
        <f>IFERROR(__xludf.DUMMYFUNCTION("FILTER('CLASFICACIÓN'!$F$3:$F5618,'CLASFICACIÓN'!$G$3:$G5618=M5201)"),"LOS 3 AÑOS")</f>
        <v>LOS 3 AÑOS</v>
      </c>
      <c r="K5201" s="16"/>
      <c r="L5201" s="14" t="s">
        <v>189</v>
      </c>
      <c r="M5201" s="16" t="str">
        <f t="shared" si="1"/>
        <v>50492 CORAZON DE JESUS6 Primaria</v>
      </c>
      <c r="N5201" s="23"/>
      <c r="O5201" s="17"/>
      <c r="P5201" s="17"/>
      <c r="Q5201" s="17"/>
      <c r="R5201" s="17"/>
      <c r="S5201" s="17"/>
      <c r="T5201" s="17"/>
    </row>
    <row r="5202">
      <c r="A5202" s="21">
        <v>1330.0</v>
      </c>
      <c r="B5202" s="14" t="s">
        <v>90</v>
      </c>
      <c r="C5202" s="14" t="s">
        <v>14</v>
      </c>
      <c r="D5202" s="20" t="s">
        <v>22</v>
      </c>
      <c r="E5202" s="12" t="str">
        <f>IFERROR(__xludf.DUMMYFUNCTION("FILTER(colegios!$B$2:$B5618,colegios!$A$2:$A5618=L5202)"),"50492 CORAZON DE JESUS")</f>
        <v>50492 CORAZON DE JESUS</v>
      </c>
      <c r="F5202" s="14" t="s">
        <v>16</v>
      </c>
      <c r="G5202" s="20" t="s">
        <v>17</v>
      </c>
      <c r="H5202" s="14" t="s">
        <v>18</v>
      </c>
      <c r="I5202" s="22">
        <v>2022.0</v>
      </c>
      <c r="J5202" s="16" t="str">
        <f>IFERROR(__xludf.DUMMYFUNCTION("FILTER('CLASFICACIÓN'!$F$3:$F5618,'CLASFICACIÓN'!$G$3:$G5618=M5202)"),"LOS 3 AÑOS")</f>
        <v>LOS 3 AÑOS</v>
      </c>
      <c r="K5202" s="16"/>
      <c r="L5202" s="14" t="s">
        <v>189</v>
      </c>
      <c r="M5202" s="16" t="str">
        <f t="shared" si="1"/>
        <v>50492 CORAZON DE JESUS6 Primaria</v>
      </c>
      <c r="N5202" s="23"/>
      <c r="O5202" s="17"/>
      <c r="P5202" s="17"/>
      <c r="Q5202" s="17"/>
      <c r="R5202" s="17"/>
      <c r="S5202" s="17"/>
      <c r="T5202" s="17"/>
    </row>
    <row r="5203">
      <c r="A5203" s="21">
        <v>1331.0</v>
      </c>
      <c r="B5203" s="14" t="s">
        <v>90</v>
      </c>
      <c r="C5203" s="14" t="s">
        <v>14</v>
      </c>
      <c r="D5203" s="20" t="s">
        <v>22</v>
      </c>
      <c r="E5203" s="12" t="str">
        <f>IFERROR(__xludf.DUMMYFUNCTION("FILTER(colegios!$B$2:$B5618,colegios!$A$2:$A5618=L5203)"),"50492 CORAZON DE JESUS")</f>
        <v>50492 CORAZON DE JESUS</v>
      </c>
      <c r="F5203" s="14" t="s">
        <v>16</v>
      </c>
      <c r="G5203" s="20" t="s">
        <v>21</v>
      </c>
      <c r="H5203" s="14" t="s">
        <v>18</v>
      </c>
      <c r="I5203" s="22">
        <v>2022.0</v>
      </c>
      <c r="J5203" s="16" t="str">
        <f>IFERROR(__xludf.DUMMYFUNCTION("FILTER('CLASFICACIÓN'!$F$3:$F5618,'CLASFICACIÓN'!$G$3:$G5618=M5203)"),"LOS 3 AÑOS")</f>
        <v>LOS 3 AÑOS</v>
      </c>
      <c r="K5203" s="16"/>
      <c r="L5203" s="14" t="s">
        <v>189</v>
      </c>
      <c r="M5203" s="16" t="str">
        <f t="shared" si="1"/>
        <v>50492 CORAZON DE JESUS6 Primaria</v>
      </c>
      <c r="N5203" s="23"/>
      <c r="O5203" s="17"/>
      <c r="P5203" s="17"/>
      <c r="Q5203" s="17"/>
      <c r="R5203" s="17"/>
      <c r="S5203" s="17"/>
      <c r="T5203" s="17"/>
    </row>
    <row r="5204">
      <c r="A5204" s="21">
        <v>1332.0</v>
      </c>
      <c r="B5204" s="14" t="s">
        <v>90</v>
      </c>
      <c r="C5204" s="14" t="s">
        <v>14</v>
      </c>
      <c r="D5204" s="20" t="s">
        <v>22</v>
      </c>
      <c r="E5204" s="12" t="str">
        <f>IFERROR(__xludf.DUMMYFUNCTION("FILTER(colegios!$B$2:$B5618,colegios!$A$2:$A5618=L5204)"),"50492 CORAZON DE JESUS")</f>
        <v>50492 CORAZON DE JESUS</v>
      </c>
      <c r="F5204" s="14" t="s">
        <v>16</v>
      </c>
      <c r="G5204" s="20" t="s">
        <v>21</v>
      </c>
      <c r="H5204" s="14" t="s">
        <v>18</v>
      </c>
      <c r="I5204" s="22">
        <v>2022.0</v>
      </c>
      <c r="J5204" s="16" t="str">
        <f>IFERROR(__xludf.DUMMYFUNCTION("FILTER('CLASFICACIÓN'!$F$3:$F5618,'CLASFICACIÓN'!$G$3:$G5618=M5204)"),"LOS 3 AÑOS")</f>
        <v>LOS 3 AÑOS</v>
      </c>
      <c r="K5204" s="16"/>
      <c r="L5204" s="14" t="s">
        <v>189</v>
      </c>
      <c r="M5204" s="16" t="str">
        <f t="shared" si="1"/>
        <v>50492 CORAZON DE JESUS6 Primaria</v>
      </c>
      <c r="N5204" s="23"/>
      <c r="O5204" s="17"/>
      <c r="P5204" s="17"/>
      <c r="Q5204" s="17"/>
      <c r="R5204" s="17"/>
      <c r="S5204" s="17"/>
      <c r="T5204" s="17"/>
    </row>
    <row r="5205">
      <c r="A5205" s="21">
        <v>1333.0</v>
      </c>
      <c r="B5205" s="14" t="s">
        <v>90</v>
      </c>
      <c r="C5205" s="14" t="s">
        <v>14</v>
      </c>
      <c r="D5205" s="20" t="s">
        <v>22</v>
      </c>
      <c r="E5205" s="12" t="str">
        <f>IFERROR(__xludf.DUMMYFUNCTION("FILTER(colegios!$B$2:$B5618,colegios!$A$2:$A5618=L5205)"),"50492 CORAZON DE JESUS")</f>
        <v>50492 CORAZON DE JESUS</v>
      </c>
      <c r="F5205" s="14" t="s">
        <v>16</v>
      </c>
      <c r="G5205" s="20" t="s">
        <v>21</v>
      </c>
      <c r="H5205" s="14" t="s">
        <v>18</v>
      </c>
      <c r="I5205" s="22">
        <v>2022.0</v>
      </c>
      <c r="J5205" s="16" t="str">
        <f>IFERROR(__xludf.DUMMYFUNCTION("FILTER('CLASFICACIÓN'!$F$3:$F5618,'CLASFICACIÓN'!$G$3:$G5618=M5205)"),"LOS 3 AÑOS")</f>
        <v>LOS 3 AÑOS</v>
      </c>
      <c r="K5205" s="16"/>
      <c r="L5205" s="14" t="s">
        <v>189</v>
      </c>
      <c r="M5205" s="16" t="str">
        <f t="shared" si="1"/>
        <v>50492 CORAZON DE JESUS6 Primaria</v>
      </c>
      <c r="N5205" s="23"/>
      <c r="O5205" s="17"/>
      <c r="P5205" s="17"/>
      <c r="Q5205" s="17"/>
      <c r="R5205" s="17"/>
      <c r="S5205" s="17"/>
      <c r="T5205" s="17"/>
    </row>
    <row r="5206">
      <c r="A5206" s="21">
        <v>1334.0</v>
      </c>
      <c r="B5206" s="14" t="s">
        <v>90</v>
      </c>
      <c r="C5206" s="14" t="s">
        <v>14</v>
      </c>
      <c r="D5206" s="20" t="s">
        <v>22</v>
      </c>
      <c r="E5206" s="12" t="str">
        <f>IFERROR(__xludf.DUMMYFUNCTION("FILTER(colegios!$B$2:$B5618,colegios!$A$2:$A5618=L5206)"),"50492 CORAZON DE JESUS")</f>
        <v>50492 CORAZON DE JESUS</v>
      </c>
      <c r="F5206" s="14" t="s">
        <v>16</v>
      </c>
      <c r="G5206" s="20" t="s">
        <v>17</v>
      </c>
      <c r="H5206" s="14" t="s">
        <v>18</v>
      </c>
      <c r="I5206" s="22">
        <v>2022.0</v>
      </c>
      <c r="J5206" s="16" t="str">
        <f>IFERROR(__xludf.DUMMYFUNCTION("FILTER('CLASFICACIÓN'!$F$3:$F5618,'CLASFICACIÓN'!$G$3:$G5618=M5206)"),"LOS 3 AÑOS")</f>
        <v>LOS 3 AÑOS</v>
      </c>
      <c r="K5206" s="16"/>
      <c r="L5206" s="14" t="s">
        <v>189</v>
      </c>
      <c r="M5206" s="16" t="str">
        <f t="shared" si="1"/>
        <v>50492 CORAZON DE JESUS6 Primaria</v>
      </c>
      <c r="N5206" s="23"/>
      <c r="O5206" s="17"/>
      <c r="P5206" s="17"/>
      <c r="Q5206" s="17"/>
      <c r="R5206" s="17"/>
      <c r="S5206" s="17"/>
      <c r="T5206" s="17"/>
    </row>
    <row r="5207">
      <c r="A5207" s="21">
        <v>1335.0</v>
      </c>
      <c r="B5207" s="14" t="s">
        <v>90</v>
      </c>
      <c r="C5207" s="14" t="s">
        <v>14</v>
      </c>
      <c r="D5207" s="20" t="s">
        <v>22</v>
      </c>
      <c r="E5207" s="12" t="str">
        <f>IFERROR(__xludf.DUMMYFUNCTION("FILTER(colegios!$B$2:$B5618,colegios!$A$2:$A5618=L5207)"),"50492 CORAZON DE JESUS")</f>
        <v>50492 CORAZON DE JESUS</v>
      </c>
      <c r="F5207" s="14" t="s">
        <v>16</v>
      </c>
      <c r="G5207" s="20" t="s">
        <v>21</v>
      </c>
      <c r="H5207" s="14" t="s">
        <v>18</v>
      </c>
      <c r="I5207" s="22">
        <v>2022.0</v>
      </c>
      <c r="J5207" s="16" t="str">
        <f>IFERROR(__xludf.DUMMYFUNCTION("FILTER('CLASFICACIÓN'!$F$3:$F5618,'CLASFICACIÓN'!$G$3:$G5618=M5207)"),"LOS 3 AÑOS")</f>
        <v>LOS 3 AÑOS</v>
      </c>
      <c r="K5207" s="16"/>
      <c r="L5207" s="14" t="s">
        <v>189</v>
      </c>
      <c r="M5207" s="16" t="str">
        <f t="shared" si="1"/>
        <v>50492 CORAZON DE JESUS6 Primaria</v>
      </c>
      <c r="N5207" s="23"/>
      <c r="O5207" s="17"/>
      <c r="P5207" s="17"/>
      <c r="Q5207" s="17"/>
      <c r="R5207" s="17"/>
      <c r="S5207" s="17"/>
      <c r="T5207" s="17"/>
    </row>
    <row r="5208">
      <c r="A5208" s="21">
        <v>1336.0</v>
      </c>
      <c r="B5208" s="14" t="s">
        <v>90</v>
      </c>
      <c r="C5208" s="14" t="s">
        <v>14</v>
      </c>
      <c r="D5208" s="20" t="s">
        <v>22</v>
      </c>
      <c r="E5208" s="12" t="str">
        <f>IFERROR(__xludf.DUMMYFUNCTION("FILTER(colegios!$B$2:$B5618,colegios!$A$2:$A5618=L5208)"),"50492 CORAZON DE JESUS")</f>
        <v>50492 CORAZON DE JESUS</v>
      </c>
      <c r="F5208" s="14" t="s">
        <v>16</v>
      </c>
      <c r="G5208" s="20" t="s">
        <v>21</v>
      </c>
      <c r="H5208" s="14" t="s">
        <v>18</v>
      </c>
      <c r="I5208" s="22">
        <v>2022.0</v>
      </c>
      <c r="J5208" s="16" t="str">
        <f>IFERROR(__xludf.DUMMYFUNCTION("FILTER('CLASFICACIÓN'!$F$3:$F5618,'CLASFICACIÓN'!$G$3:$G5618=M5208)"),"LOS 3 AÑOS")</f>
        <v>LOS 3 AÑOS</v>
      </c>
      <c r="K5208" s="16"/>
      <c r="L5208" s="14" t="s">
        <v>189</v>
      </c>
      <c r="M5208" s="16" t="str">
        <f t="shared" si="1"/>
        <v>50492 CORAZON DE JESUS6 Primaria</v>
      </c>
      <c r="N5208" s="23"/>
      <c r="O5208" s="17"/>
      <c r="P5208" s="17"/>
      <c r="Q5208" s="17"/>
      <c r="R5208" s="17"/>
      <c r="S5208" s="17"/>
      <c r="T5208" s="17"/>
    </row>
    <row r="5209">
      <c r="A5209" s="21">
        <v>1337.0</v>
      </c>
      <c r="B5209" s="14" t="s">
        <v>90</v>
      </c>
      <c r="C5209" s="14" t="s">
        <v>14</v>
      </c>
      <c r="D5209" s="20" t="s">
        <v>22</v>
      </c>
      <c r="E5209" s="12" t="str">
        <f>IFERROR(__xludf.DUMMYFUNCTION("FILTER(colegios!$B$2:$B5618,colegios!$A$2:$A5618=L5209)"),"50492 CORAZON DE JESUS")</f>
        <v>50492 CORAZON DE JESUS</v>
      </c>
      <c r="F5209" s="14" t="s">
        <v>16</v>
      </c>
      <c r="G5209" s="20" t="s">
        <v>21</v>
      </c>
      <c r="H5209" s="14" t="s">
        <v>18</v>
      </c>
      <c r="I5209" s="22">
        <v>2022.0</v>
      </c>
      <c r="J5209" s="16" t="str">
        <f>IFERROR(__xludf.DUMMYFUNCTION("FILTER('CLASFICACIÓN'!$F$3:$F5618,'CLASFICACIÓN'!$G$3:$G5618=M5209)"),"LOS 3 AÑOS")</f>
        <v>LOS 3 AÑOS</v>
      </c>
      <c r="K5209" s="16"/>
      <c r="L5209" s="14" t="s">
        <v>189</v>
      </c>
      <c r="M5209" s="16" t="str">
        <f t="shared" si="1"/>
        <v>50492 CORAZON DE JESUS6 Primaria</v>
      </c>
      <c r="N5209" s="23"/>
      <c r="O5209" s="17"/>
      <c r="P5209" s="17"/>
      <c r="Q5209" s="17"/>
      <c r="R5209" s="17"/>
      <c r="S5209" s="17"/>
      <c r="T5209" s="17"/>
    </row>
    <row r="5210">
      <c r="A5210" s="21">
        <v>1338.0</v>
      </c>
      <c r="B5210" s="14" t="s">
        <v>90</v>
      </c>
      <c r="C5210" s="14" t="s">
        <v>14</v>
      </c>
      <c r="D5210" s="20" t="s">
        <v>22</v>
      </c>
      <c r="E5210" s="12" t="str">
        <f>IFERROR(__xludf.DUMMYFUNCTION("FILTER(colegios!$B$2:$B5618,colegios!$A$2:$A5618=L5210)"),"50492 CORAZON DE JESUS")</f>
        <v>50492 CORAZON DE JESUS</v>
      </c>
      <c r="F5210" s="14" t="s">
        <v>16</v>
      </c>
      <c r="G5210" s="20" t="s">
        <v>21</v>
      </c>
      <c r="H5210" s="14" t="s">
        <v>18</v>
      </c>
      <c r="I5210" s="22">
        <v>2022.0</v>
      </c>
      <c r="J5210" s="16" t="str">
        <f>IFERROR(__xludf.DUMMYFUNCTION("FILTER('CLASFICACIÓN'!$F$3:$F5618,'CLASFICACIÓN'!$G$3:$G5618=M5210)"),"LOS 3 AÑOS")</f>
        <v>LOS 3 AÑOS</v>
      </c>
      <c r="K5210" s="16"/>
      <c r="L5210" s="14" t="s">
        <v>189</v>
      </c>
      <c r="M5210" s="16" t="str">
        <f t="shared" si="1"/>
        <v>50492 CORAZON DE JESUS6 Primaria</v>
      </c>
      <c r="N5210" s="23"/>
      <c r="O5210" s="17"/>
      <c r="P5210" s="17"/>
      <c r="Q5210" s="17"/>
      <c r="R5210" s="17"/>
      <c r="S5210" s="17"/>
      <c r="T5210" s="17"/>
    </row>
    <row r="5211">
      <c r="A5211" s="21">
        <v>1339.0</v>
      </c>
      <c r="B5211" s="14" t="s">
        <v>90</v>
      </c>
      <c r="C5211" s="14" t="s">
        <v>14</v>
      </c>
      <c r="D5211" s="20" t="s">
        <v>22</v>
      </c>
      <c r="E5211" s="12" t="str">
        <f>IFERROR(__xludf.DUMMYFUNCTION("FILTER(colegios!$B$2:$B5618,colegios!$A$2:$A5618=L5211)"),"50492 CORAZON DE JESUS")</f>
        <v>50492 CORAZON DE JESUS</v>
      </c>
      <c r="F5211" s="14" t="s">
        <v>16</v>
      </c>
      <c r="G5211" s="20" t="s">
        <v>17</v>
      </c>
      <c r="H5211" s="14" t="s">
        <v>18</v>
      </c>
      <c r="I5211" s="22">
        <v>2022.0</v>
      </c>
      <c r="J5211" s="16" t="str">
        <f>IFERROR(__xludf.DUMMYFUNCTION("FILTER('CLASFICACIÓN'!$F$3:$F5618,'CLASFICACIÓN'!$G$3:$G5618=M5211)"),"LOS 3 AÑOS")</f>
        <v>LOS 3 AÑOS</v>
      </c>
      <c r="K5211" s="16"/>
      <c r="L5211" s="14" t="s">
        <v>189</v>
      </c>
      <c r="M5211" s="16" t="str">
        <f t="shared" si="1"/>
        <v>50492 CORAZON DE JESUS6 Primaria</v>
      </c>
      <c r="N5211" s="23"/>
      <c r="O5211" s="17"/>
      <c r="P5211" s="17"/>
      <c r="Q5211" s="17"/>
      <c r="R5211" s="17"/>
      <c r="S5211" s="17"/>
      <c r="T5211" s="17"/>
    </row>
    <row r="5212">
      <c r="A5212" s="21">
        <v>1340.0</v>
      </c>
      <c r="B5212" s="14" t="s">
        <v>90</v>
      </c>
      <c r="C5212" s="14" t="s">
        <v>14</v>
      </c>
      <c r="D5212" s="20" t="s">
        <v>22</v>
      </c>
      <c r="E5212" s="12" t="str">
        <f>IFERROR(__xludf.DUMMYFUNCTION("FILTER(colegios!$B$2:$B5618,colegios!$A$2:$A5618=L5212)"),"50492 CORAZON DE JESUS")</f>
        <v>50492 CORAZON DE JESUS</v>
      </c>
      <c r="F5212" s="14" t="s">
        <v>16</v>
      </c>
      <c r="G5212" s="20" t="s">
        <v>17</v>
      </c>
      <c r="H5212" s="14" t="s">
        <v>18</v>
      </c>
      <c r="I5212" s="22">
        <v>2022.0</v>
      </c>
      <c r="J5212" s="16" t="str">
        <f>IFERROR(__xludf.DUMMYFUNCTION("FILTER('CLASFICACIÓN'!$F$3:$F5618,'CLASFICACIÓN'!$G$3:$G5618=M5212)"),"LOS 3 AÑOS")</f>
        <v>LOS 3 AÑOS</v>
      </c>
      <c r="K5212" s="16"/>
      <c r="L5212" s="14" t="s">
        <v>189</v>
      </c>
      <c r="M5212" s="16" t="str">
        <f t="shared" si="1"/>
        <v>50492 CORAZON DE JESUS6 Primaria</v>
      </c>
      <c r="N5212" s="23"/>
      <c r="O5212" s="17"/>
      <c r="P5212" s="17"/>
      <c r="Q5212" s="17"/>
      <c r="R5212" s="17"/>
      <c r="S5212" s="17"/>
      <c r="T5212" s="17"/>
    </row>
    <row r="5213">
      <c r="A5213" s="21">
        <v>1341.0</v>
      </c>
      <c r="B5213" s="14" t="s">
        <v>90</v>
      </c>
      <c r="C5213" s="14" t="s">
        <v>14</v>
      </c>
      <c r="D5213" s="20" t="s">
        <v>22</v>
      </c>
      <c r="E5213" s="12" t="str">
        <f>IFERROR(__xludf.DUMMYFUNCTION("FILTER(colegios!$B$2:$B5618,colegios!$A$2:$A5618=L5213)"),"50492 CORAZON DE JESUS")</f>
        <v>50492 CORAZON DE JESUS</v>
      </c>
      <c r="F5213" s="14" t="s">
        <v>16</v>
      </c>
      <c r="G5213" s="20" t="s">
        <v>17</v>
      </c>
      <c r="H5213" s="14" t="s">
        <v>18</v>
      </c>
      <c r="I5213" s="22">
        <v>2022.0</v>
      </c>
      <c r="J5213" s="16" t="str">
        <f>IFERROR(__xludf.DUMMYFUNCTION("FILTER('CLASFICACIÓN'!$F$3:$F5618,'CLASFICACIÓN'!$G$3:$G5618=M5213)"),"LOS 3 AÑOS")</f>
        <v>LOS 3 AÑOS</v>
      </c>
      <c r="K5213" s="16"/>
      <c r="L5213" s="14" t="s">
        <v>189</v>
      </c>
      <c r="M5213" s="16" t="str">
        <f t="shared" si="1"/>
        <v>50492 CORAZON DE JESUS6 Primaria</v>
      </c>
      <c r="N5213" s="23"/>
      <c r="O5213" s="17"/>
      <c r="P5213" s="17"/>
      <c r="Q5213" s="17"/>
      <c r="R5213" s="17"/>
      <c r="S5213" s="17"/>
      <c r="T5213" s="17"/>
    </row>
    <row r="5214">
      <c r="A5214" s="21">
        <v>1342.0</v>
      </c>
      <c r="B5214" s="14" t="s">
        <v>90</v>
      </c>
      <c r="C5214" s="14" t="s">
        <v>14</v>
      </c>
      <c r="D5214" s="20" t="s">
        <v>22</v>
      </c>
      <c r="E5214" s="12" t="str">
        <f>IFERROR(__xludf.DUMMYFUNCTION("FILTER(colegios!$B$2:$B5618,colegios!$A$2:$A5618=L5214)"),"50492 CORAZON DE JESUS")</f>
        <v>50492 CORAZON DE JESUS</v>
      </c>
      <c r="F5214" s="14" t="s">
        <v>16</v>
      </c>
      <c r="G5214" s="20" t="s">
        <v>17</v>
      </c>
      <c r="H5214" s="14" t="s">
        <v>18</v>
      </c>
      <c r="I5214" s="22">
        <v>2022.0</v>
      </c>
      <c r="J5214" s="16" t="str">
        <f>IFERROR(__xludf.DUMMYFUNCTION("FILTER('CLASFICACIÓN'!$F$3:$F5618,'CLASFICACIÓN'!$G$3:$G5618=M5214)"),"LOS 3 AÑOS")</f>
        <v>LOS 3 AÑOS</v>
      </c>
      <c r="K5214" s="16"/>
      <c r="L5214" s="14" t="s">
        <v>189</v>
      </c>
      <c r="M5214" s="16" t="str">
        <f t="shared" si="1"/>
        <v>50492 CORAZON DE JESUS6 Primaria</v>
      </c>
      <c r="N5214" s="23"/>
      <c r="O5214" s="17"/>
      <c r="P5214" s="17"/>
      <c r="Q5214" s="17"/>
      <c r="R5214" s="17"/>
      <c r="S5214" s="17"/>
      <c r="T5214" s="17"/>
    </row>
    <row r="5215">
      <c r="A5215" s="21">
        <v>1343.0</v>
      </c>
      <c r="B5215" s="14" t="s">
        <v>90</v>
      </c>
      <c r="C5215" s="14" t="s">
        <v>14</v>
      </c>
      <c r="D5215" s="20" t="s">
        <v>22</v>
      </c>
      <c r="E5215" s="12" t="str">
        <f>IFERROR(__xludf.DUMMYFUNCTION("FILTER(colegios!$B$2:$B5618,colegios!$A$2:$A5618=L5215)"),"50492 CORAZON DE JESUS")</f>
        <v>50492 CORAZON DE JESUS</v>
      </c>
      <c r="F5215" s="14" t="s">
        <v>16</v>
      </c>
      <c r="G5215" s="20" t="s">
        <v>17</v>
      </c>
      <c r="H5215" s="14" t="s">
        <v>18</v>
      </c>
      <c r="I5215" s="22">
        <v>2022.0</v>
      </c>
      <c r="J5215" s="16" t="str">
        <f>IFERROR(__xludf.DUMMYFUNCTION("FILTER('CLASFICACIÓN'!$F$3:$F5618,'CLASFICACIÓN'!$G$3:$G5618=M5215)"),"LOS 3 AÑOS")</f>
        <v>LOS 3 AÑOS</v>
      </c>
      <c r="K5215" s="16"/>
      <c r="L5215" s="14" t="s">
        <v>189</v>
      </c>
      <c r="M5215" s="16" t="str">
        <f t="shared" si="1"/>
        <v>50492 CORAZON DE JESUS6 Primaria</v>
      </c>
      <c r="N5215" s="23"/>
      <c r="O5215" s="17"/>
      <c r="P5215" s="17"/>
      <c r="Q5215" s="17"/>
      <c r="R5215" s="17"/>
      <c r="S5215" s="17"/>
      <c r="T5215" s="17"/>
    </row>
    <row r="5216">
      <c r="A5216" s="21">
        <v>1344.0</v>
      </c>
      <c r="B5216" s="14" t="s">
        <v>90</v>
      </c>
      <c r="C5216" s="14" t="s">
        <v>14</v>
      </c>
      <c r="D5216" s="20" t="s">
        <v>22</v>
      </c>
      <c r="E5216" s="12" t="str">
        <f>IFERROR(__xludf.DUMMYFUNCTION("FILTER(colegios!$B$2:$B5618,colegios!$A$2:$A5618=L5216)"),"50492 CORAZON DE JESUS")</f>
        <v>50492 CORAZON DE JESUS</v>
      </c>
      <c r="F5216" s="14" t="s">
        <v>16</v>
      </c>
      <c r="G5216" s="20" t="s">
        <v>21</v>
      </c>
      <c r="H5216" s="14" t="s">
        <v>18</v>
      </c>
      <c r="I5216" s="22">
        <v>2022.0</v>
      </c>
      <c r="J5216" s="16" t="str">
        <f>IFERROR(__xludf.DUMMYFUNCTION("FILTER('CLASFICACIÓN'!$F$3:$F5618,'CLASFICACIÓN'!$G$3:$G5618=M5216)"),"LOS 3 AÑOS")</f>
        <v>LOS 3 AÑOS</v>
      </c>
      <c r="K5216" s="16"/>
      <c r="L5216" s="14" t="s">
        <v>189</v>
      </c>
      <c r="M5216" s="16" t="str">
        <f t="shared" si="1"/>
        <v>50492 CORAZON DE JESUS6 Primaria</v>
      </c>
      <c r="N5216" s="23"/>
      <c r="O5216" s="17"/>
      <c r="P5216" s="17"/>
      <c r="Q5216" s="17"/>
      <c r="R5216" s="17"/>
      <c r="S5216" s="17"/>
      <c r="T5216" s="17"/>
    </row>
    <row r="5217">
      <c r="A5217" s="21">
        <v>1345.0</v>
      </c>
      <c r="B5217" s="14" t="s">
        <v>90</v>
      </c>
      <c r="C5217" s="14" t="s">
        <v>14</v>
      </c>
      <c r="D5217" s="20" t="s">
        <v>22</v>
      </c>
      <c r="E5217" s="12" t="str">
        <f>IFERROR(__xludf.DUMMYFUNCTION("FILTER(colegios!$B$2:$B5618,colegios!$A$2:$A5618=L5217)"),"50492 CORAZON DE JESUS")</f>
        <v>50492 CORAZON DE JESUS</v>
      </c>
      <c r="F5217" s="14" t="s">
        <v>16</v>
      </c>
      <c r="G5217" s="20" t="s">
        <v>21</v>
      </c>
      <c r="H5217" s="14" t="s">
        <v>18</v>
      </c>
      <c r="I5217" s="22">
        <v>2022.0</v>
      </c>
      <c r="J5217" s="16" t="str">
        <f>IFERROR(__xludf.DUMMYFUNCTION("FILTER('CLASFICACIÓN'!$F$3:$F5618,'CLASFICACIÓN'!$G$3:$G5618=M5217)"),"LOS 3 AÑOS")</f>
        <v>LOS 3 AÑOS</v>
      </c>
      <c r="K5217" s="16"/>
      <c r="L5217" s="14" t="s">
        <v>189</v>
      </c>
      <c r="M5217" s="16" t="str">
        <f t="shared" si="1"/>
        <v>50492 CORAZON DE JESUS6 Primaria</v>
      </c>
      <c r="N5217" s="23"/>
      <c r="O5217" s="17"/>
      <c r="P5217" s="17"/>
      <c r="Q5217" s="17"/>
      <c r="R5217" s="17"/>
      <c r="S5217" s="17"/>
      <c r="T5217" s="17"/>
    </row>
    <row r="5218">
      <c r="A5218" s="21">
        <v>1346.0</v>
      </c>
      <c r="B5218" s="14" t="s">
        <v>90</v>
      </c>
      <c r="C5218" s="14" t="s">
        <v>14</v>
      </c>
      <c r="D5218" s="20" t="s">
        <v>22</v>
      </c>
      <c r="E5218" s="12" t="str">
        <f>IFERROR(__xludf.DUMMYFUNCTION("FILTER(colegios!$B$2:$B5618,colegios!$A$2:$A5618=L5218)"),"50492 CORAZON DE JESUS")</f>
        <v>50492 CORAZON DE JESUS</v>
      </c>
      <c r="F5218" s="14" t="s">
        <v>16</v>
      </c>
      <c r="G5218" s="20" t="s">
        <v>21</v>
      </c>
      <c r="H5218" s="14" t="s">
        <v>18</v>
      </c>
      <c r="I5218" s="22">
        <v>2022.0</v>
      </c>
      <c r="J5218" s="16" t="str">
        <f>IFERROR(__xludf.DUMMYFUNCTION("FILTER('CLASFICACIÓN'!$F$3:$F5618,'CLASFICACIÓN'!$G$3:$G5618=M5218)"),"LOS 3 AÑOS")</f>
        <v>LOS 3 AÑOS</v>
      </c>
      <c r="K5218" s="16"/>
      <c r="L5218" s="14" t="s">
        <v>189</v>
      </c>
      <c r="M5218" s="16" t="str">
        <f t="shared" si="1"/>
        <v>50492 CORAZON DE JESUS6 Primaria</v>
      </c>
      <c r="N5218" s="23"/>
      <c r="O5218" s="17"/>
      <c r="P5218" s="17"/>
      <c r="Q5218" s="17"/>
      <c r="R5218" s="17"/>
      <c r="S5218" s="17"/>
      <c r="T5218" s="17"/>
    </row>
    <row r="5219">
      <c r="A5219" s="21">
        <v>1347.0</v>
      </c>
      <c r="B5219" s="14" t="s">
        <v>90</v>
      </c>
      <c r="C5219" s="14" t="s">
        <v>14</v>
      </c>
      <c r="D5219" s="20" t="s">
        <v>22</v>
      </c>
      <c r="E5219" s="12" t="str">
        <f>IFERROR(__xludf.DUMMYFUNCTION("FILTER(colegios!$B$2:$B5618,colegios!$A$2:$A5618=L5219)"),"50492 CORAZON DE JESUS")</f>
        <v>50492 CORAZON DE JESUS</v>
      </c>
      <c r="F5219" s="14" t="s">
        <v>16</v>
      </c>
      <c r="G5219" s="20" t="s">
        <v>17</v>
      </c>
      <c r="H5219" s="14" t="s">
        <v>18</v>
      </c>
      <c r="I5219" s="22">
        <v>2022.0</v>
      </c>
      <c r="J5219" s="16" t="str">
        <f>IFERROR(__xludf.DUMMYFUNCTION("FILTER('CLASFICACIÓN'!$F$3:$F5618,'CLASFICACIÓN'!$G$3:$G5618=M5219)"),"LOS 3 AÑOS")</f>
        <v>LOS 3 AÑOS</v>
      </c>
      <c r="K5219" s="16"/>
      <c r="L5219" s="14" t="s">
        <v>189</v>
      </c>
      <c r="M5219" s="16" t="str">
        <f t="shared" si="1"/>
        <v>50492 CORAZON DE JESUS6 Primaria</v>
      </c>
      <c r="N5219" s="23"/>
      <c r="O5219" s="17"/>
      <c r="P5219" s="17"/>
      <c r="Q5219" s="17"/>
      <c r="R5219" s="17"/>
      <c r="S5219" s="17"/>
      <c r="T5219" s="17"/>
    </row>
    <row r="5220">
      <c r="A5220" s="21">
        <v>1348.0</v>
      </c>
      <c r="B5220" s="14" t="s">
        <v>90</v>
      </c>
      <c r="C5220" s="14" t="s">
        <v>14</v>
      </c>
      <c r="D5220" s="20" t="s">
        <v>22</v>
      </c>
      <c r="E5220" s="12" t="str">
        <f>IFERROR(__xludf.DUMMYFUNCTION("FILTER(colegios!$B$2:$B5618,colegios!$A$2:$A5618=L5220)"),"50492 CORAZON DE JESUS")</f>
        <v>50492 CORAZON DE JESUS</v>
      </c>
      <c r="F5220" s="14" t="s">
        <v>16</v>
      </c>
      <c r="G5220" s="20" t="s">
        <v>21</v>
      </c>
      <c r="H5220" s="14" t="s">
        <v>18</v>
      </c>
      <c r="I5220" s="22">
        <v>2022.0</v>
      </c>
      <c r="J5220" s="16" t="str">
        <f>IFERROR(__xludf.DUMMYFUNCTION("FILTER('CLASFICACIÓN'!$F$3:$F5618,'CLASFICACIÓN'!$G$3:$G5618=M5220)"),"LOS 3 AÑOS")</f>
        <v>LOS 3 AÑOS</v>
      </c>
      <c r="K5220" s="16"/>
      <c r="L5220" s="14" t="s">
        <v>189</v>
      </c>
      <c r="M5220" s="16" t="str">
        <f t="shared" si="1"/>
        <v>50492 CORAZON DE JESUS6 Primaria</v>
      </c>
      <c r="N5220" s="23"/>
      <c r="O5220" s="17"/>
      <c r="P5220" s="17"/>
      <c r="Q5220" s="17"/>
      <c r="R5220" s="17"/>
      <c r="S5220" s="17"/>
      <c r="T5220" s="17"/>
    </row>
    <row r="5221">
      <c r="A5221" s="21">
        <v>1349.0</v>
      </c>
      <c r="B5221" s="14" t="s">
        <v>90</v>
      </c>
      <c r="C5221" s="14" t="s">
        <v>14</v>
      </c>
      <c r="D5221" s="20" t="s">
        <v>22</v>
      </c>
      <c r="E5221" s="12" t="str">
        <f>IFERROR(__xludf.DUMMYFUNCTION("FILTER(colegios!$B$2:$B5618,colegios!$A$2:$A5618=L5221)"),"50492 CORAZON DE JESUS")</f>
        <v>50492 CORAZON DE JESUS</v>
      </c>
      <c r="F5221" s="14" t="s">
        <v>16</v>
      </c>
      <c r="G5221" s="20" t="s">
        <v>21</v>
      </c>
      <c r="H5221" s="14" t="s">
        <v>18</v>
      </c>
      <c r="I5221" s="22">
        <v>2022.0</v>
      </c>
      <c r="J5221" s="16" t="str">
        <f>IFERROR(__xludf.DUMMYFUNCTION("FILTER('CLASFICACIÓN'!$F$3:$F5618,'CLASFICACIÓN'!$G$3:$G5618=M5221)"),"LOS 3 AÑOS")</f>
        <v>LOS 3 AÑOS</v>
      </c>
      <c r="K5221" s="16"/>
      <c r="L5221" s="14" t="s">
        <v>189</v>
      </c>
      <c r="M5221" s="16" t="str">
        <f t="shared" si="1"/>
        <v>50492 CORAZON DE JESUS6 Primaria</v>
      </c>
      <c r="N5221" s="23"/>
      <c r="O5221" s="17"/>
      <c r="P5221" s="17"/>
      <c r="Q5221" s="17"/>
      <c r="R5221" s="17"/>
      <c r="S5221" s="17"/>
      <c r="T5221" s="17"/>
    </row>
    <row r="5222">
      <c r="A5222" s="21">
        <v>1350.0</v>
      </c>
      <c r="B5222" s="14" t="s">
        <v>90</v>
      </c>
      <c r="C5222" s="14" t="s">
        <v>14</v>
      </c>
      <c r="D5222" s="20" t="s">
        <v>22</v>
      </c>
      <c r="E5222" s="12" t="str">
        <f>IFERROR(__xludf.DUMMYFUNCTION("FILTER(colegios!$B$2:$B5618,colegios!$A$2:$A5618=L5222)"),"50492 CORAZON DE JESUS")</f>
        <v>50492 CORAZON DE JESUS</v>
      </c>
      <c r="F5222" s="14" t="s">
        <v>16</v>
      </c>
      <c r="G5222" s="20" t="s">
        <v>17</v>
      </c>
      <c r="H5222" s="14" t="s">
        <v>18</v>
      </c>
      <c r="I5222" s="22">
        <v>2022.0</v>
      </c>
      <c r="J5222" s="16" t="str">
        <f>IFERROR(__xludf.DUMMYFUNCTION("FILTER('CLASFICACIÓN'!$F$3:$F5618,'CLASFICACIÓN'!$G$3:$G5618=M5222)"),"LOS 3 AÑOS")</f>
        <v>LOS 3 AÑOS</v>
      </c>
      <c r="K5222" s="16"/>
      <c r="L5222" s="14" t="s">
        <v>189</v>
      </c>
      <c r="M5222" s="16" t="str">
        <f t="shared" si="1"/>
        <v>50492 CORAZON DE JESUS6 Primaria</v>
      </c>
      <c r="N5222" s="23"/>
      <c r="O5222" s="17"/>
      <c r="P5222" s="17"/>
      <c r="Q5222" s="17"/>
      <c r="R5222" s="17"/>
      <c r="S5222" s="17"/>
      <c r="T5222" s="17"/>
    </row>
    <row r="5223">
      <c r="A5223" s="21">
        <v>1351.0</v>
      </c>
      <c r="B5223" s="14" t="s">
        <v>90</v>
      </c>
      <c r="C5223" s="14" t="s">
        <v>14</v>
      </c>
      <c r="D5223" s="20" t="s">
        <v>22</v>
      </c>
      <c r="E5223" s="12" t="str">
        <f>IFERROR(__xludf.DUMMYFUNCTION("FILTER(colegios!$B$2:$B5618,colegios!$A$2:$A5618=L5223)"),"50492 CORAZON DE JESUS")</f>
        <v>50492 CORAZON DE JESUS</v>
      </c>
      <c r="F5223" s="14" t="s">
        <v>16</v>
      </c>
      <c r="G5223" s="20" t="s">
        <v>17</v>
      </c>
      <c r="H5223" s="14" t="s">
        <v>18</v>
      </c>
      <c r="I5223" s="22">
        <v>2022.0</v>
      </c>
      <c r="J5223" s="16" t="str">
        <f>IFERROR(__xludf.DUMMYFUNCTION("FILTER('CLASFICACIÓN'!$F$3:$F5618,'CLASFICACIÓN'!$G$3:$G5618=M5223)"),"LOS 3 AÑOS")</f>
        <v>LOS 3 AÑOS</v>
      </c>
      <c r="K5223" s="16"/>
      <c r="L5223" s="14" t="s">
        <v>189</v>
      </c>
      <c r="M5223" s="16" t="str">
        <f t="shared" si="1"/>
        <v>50492 CORAZON DE JESUS6 Primaria</v>
      </c>
      <c r="N5223" s="23"/>
      <c r="O5223" s="17"/>
      <c r="P5223" s="17"/>
      <c r="Q5223" s="17"/>
      <c r="R5223" s="17"/>
      <c r="S5223" s="17"/>
      <c r="T5223" s="17"/>
    </row>
    <row r="5224">
      <c r="A5224" s="21">
        <v>1352.0</v>
      </c>
      <c r="B5224" s="14" t="s">
        <v>90</v>
      </c>
      <c r="C5224" s="14" t="s">
        <v>14</v>
      </c>
      <c r="D5224" s="20" t="s">
        <v>22</v>
      </c>
      <c r="E5224" s="12" t="str">
        <f>IFERROR(__xludf.DUMMYFUNCTION("FILTER(colegios!$B$2:$B5618,colegios!$A$2:$A5618=L5224)"),"50492 CORAZON DE JESUS")</f>
        <v>50492 CORAZON DE JESUS</v>
      </c>
      <c r="F5224" s="14" t="s">
        <v>16</v>
      </c>
      <c r="G5224" s="20" t="s">
        <v>17</v>
      </c>
      <c r="H5224" s="14" t="s">
        <v>18</v>
      </c>
      <c r="I5224" s="22">
        <v>2022.0</v>
      </c>
      <c r="J5224" s="16" t="str">
        <f>IFERROR(__xludf.DUMMYFUNCTION("FILTER('CLASFICACIÓN'!$F$3:$F5618,'CLASFICACIÓN'!$G$3:$G5618=M5224)"),"LOS 3 AÑOS")</f>
        <v>LOS 3 AÑOS</v>
      </c>
      <c r="K5224" s="16"/>
      <c r="L5224" s="14" t="s">
        <v>189</v>
      </c>
      <c r="M5224" s="16" t="str">
        <f t="shared" si="1"/>
        <v>50492 CORAZON DE JESUS6 Primaria</v>
      </c>
      <c r="N5224" s="23"/>
      <c r="O5224" s="17"/>
      <c r="P5224" s="17"/>
      <c r="Q5224" s="17"/>
      <c r="R5224" s="17"/>
      <c r="S5224" s="17"/>
      <c r="T5224" s="17"/>
    </row>
    <row r="5225">
      <c r="A5225" s="21">
        <v>1353.0</v>
      </c>
      <c r="B5225" s="14" t="s">
        <v>90</v>
      </c>
      <c r="C5225" s="14" t="s">
        <v>14</v>
      </c>
      <c r="D5225" s="20" t="s">
        <v>22</v>
      </c>
      <c r="E5225" s="12" t="str">
        <f>IFERROR(__xludf.DUMMYFUNCTION("FILTER(colegios!$B$2:$B5618,colegios!$A$2:$A5618=L5225)"),"50492 CORAZON DE JESUS")</f>
        <v>50492 CORAZON DE JESUS</v>
      </c>
      <c r="F5225" s="14" t="s">
        <v>16</v>
      </c>
      <c r="G5225" s="20" t="s">
        <v>17</v>
      </c>
      <c r="H5225" s="14" t="s">
        <v>18</v>
      </c>
      <c r="I5225" s="22">
        <v>2022.0</v>
      </c>
      <c r="J5225" s="16" t="str">
        <f>IFERROR(__xludf.DUMMYFUNCTION("FILTER('CLASFICACIÓN'!$F$3:$F5618,'CLASFICACIÓN'!$G$3:$G5618=M5225)"),"LOS 3 AÑOS")</f>
        <v>LOS 3 AÑOS</v>
      </c>
      <c r="K5225" s="16"/>
      <c r="L5225" s="14" t="s">
        <v>189</v>
      </c>
      <c r="M5225" s="16" t="str">
        <f t="shared" si="1"/>
        <v>50492 CORAZON DE JESUS6 Primaria</v>
      </c>
      <c r="N5225" s="23"/>
      <c r="O5225" s="17"/>
      <c r="P5225" s="17"/>
      <c r="Q5225" s="17"/>
      <c r="R5225" s="17"/>
      <c r="S5225" s="17"/>
      <c r="T5225" s="17"/>
    </row>
    <row r="5226">
      <c r="A5226" s="21">
        <v>1354.0</v>
      </c>
      <c r="B5226" s="14" t="s">
        <v>90</v>
      </c>
      <c r="C5226" s="14" t="s">
        <v>14</v>
      </c>
      <c r="D5226" s="20" t="s">
        <v>22</v>
      </c>
      <c r="E5226" s="12" t="str">
        <f>IFERROR(__xludf.DUMMYFUNCTION("FILTER(colegios!$B$2:$B5618,colegios!$A$2:$A5618=L5226)"),"50492 CORAZON DE JESUS")</f>
        <v>50492 CORAZON DE JESUS</v>
      </c>
      <c r="F5226" s="14" t="s">
        <v>16</v>
      </c>
      <c r="G5226" s="20" t="s">
        <v>21</v>
      </c>
      <c r="H5226" s="14" t="s">
        <v>18</v>
      </c>
      <c r="I5226" s="22">
        <v>2022.0</v>
      </c>
      <c r="J5226" s="16" t="str">
        <f>IFERROR(__xludf.DUMMYFUNCTION("FILTER('CLASFICACIÓN'!$F$3:$F5618,'CLASFICACIÓN'!$G$3:$G5618=M5226)"),"LOS 3 AÑOS")</f>
        <v>LOS 3 AÑOS</v>
      </c>
      <c r="K5226" s="16"/>
      <c r="L5226" s="14" t="s">
        <v>189</v>
      </c>
      <c r="M5226" s="16" t="str">
        <f t="shared" si="1"/>
        <v>50492 CORAZON DE JESUS6 Primaria</v>
      </c>
      <c r="N5226" s="23"/>
      <c r="O5226" s="17"/>
      <c r="P5226" s="17"/>
      <c r="Q5226" s="17"/>
      <c r="R5226" s="17"/>
      <c r="S5226" s="17"/>
      <c r="T5226" s="17"/>
    </row>
    <row r="5227">
      <c r="A5227" s="21">
        <v>1355.0</v>
      </c>
      <c r="B5227" s="14" t="s">
        <v>90</v>
      </c>
      <c r="C5227" s="14" t="s">
        <v>14</v>
      </c>
      <c r="D5227" s="20" t="s">
        <v>22</v>
      </c>
      <c r="E5227" s="12" t="str">
        <f>IFERROR(__xludf.DUMMYFUNCTION("FILTER(colegios!$B$2:$B5618,colegios!$A$2:$A5618=L5227)"),"50492 CORAZON DE JESUS")</f>
        <v>50492 CORAZON DE JESUS</v>
      </c>
      <c r="F5227" s="14" t="s">
        <v>16</v>
      </c>
      <c r="G5227" s="20" t="s">
        <v>21</v>
      </c>
      <c r="H5227" s="14" t="s">
        <v>18</v>
      </c>
      <c r="I5227" s="22">
        <v>2022.0</v>
      </c>
      <c r="J5227" s="16" t="str">
        <f>IFERROR(__xludf.DUMMYFUNCTION("FILTER('CLASFICACIÓN'!$F$3:$F5618,'CLASFICACIÓN'!$G$3:$G5618=M5227)"),"LOS 3 AÑOS")</f>
        <v>LOS 3 AÑOS</v>
      </c>
      <c r="K5227" s="16"/>
      <c r="L5227" s="14" t="s">
        <v>189</v>
      </c>
      <c r="M5227" s="16" t="str">
        <f t="shared" si="1"/>
        <v>50492 CORAZON DE JESUS6 Primaria</v>
      </c>
      <c r="N5227" s="23"/>
      <c r="O5227" s="17"/>
      <c r="P5227" s="17"/>
      <c r="Q5227" s="17"/>
      <c r="R5227" s="17"/>
      <c r="S5227" s="17"/>
      <c r="T5227" s="17"/>
    </row>
    <row r="5228">
      <c r="A5228" s="21">
        <v>1356.0</v>
      </c>
      <c r="B5228" s="14" t="s">
        <v>90</v>
      </c>
      <c r="C5228" s="14" t="s">
        <v>14</v>
      </c>
      <c r="D5228" s="20" t="s">
        <v>22</v>
      </c>
      <c r="E5228" s="12" t="str">
        <f>IFERROR(__xludf.DUMMYFUNCTION("FILTER(colegios!$B$2:$B5618,colegios!$A$2:$A5618=L5228)"),"50492 CORAZON DE JESUS")</f>
        <v>50492 CORAZON DE JESUS</v>
      </c>
      <c r="F5228" s="14" t="s">
        <v>16</v>
      </c>
      <c r="G5228" s="20" t="s">
        <v>21</v>
      </c>
      <c r="H5228" s="14" t="s">
        <v>18</v>
      </c>
      <c r="I5228" s="22">
        <v>2022.0</v>
      </c>
      <c r="J5228" s="16" t="str">
        <f>IFERROR(__xludf.DUMMYFUNCTION("FILTER('CLASFICACIÓN'!$F$3:$F5618,'CLASFICACIÓN'!$G$3:$G5618=M5228)"),"LOS 3 AÑOS")</f>
        <v>LOS 3 AÑOS</v>
      </c>
      <c r="K5228" s="16"/>
      <c r="L5228" s="14" t="s">
        <v>189</v>
      </c>
      <c r="M5228" s="16" t="str">
        <f t="shared" si="1"/>
        <v>50492 CORAZON DE JESUS6 Primaria</v>
      </c>
      <c r="N5228" s="23"/>
      <c r="O5228" s="17"/>
      <c r="P5228" s="17"/>
      <c r="Q5228" s="17"/>
      <c r="R5228" s="17"/>
      <c r="S5228" s="17"/>
      <c r="T5228" s="17"/>
    </row>
    <row r="5229">
      <c r="A5229" s="21">
        <v>1357.0</v>
      </c>
      <c r="B5229" s="14" t="s">
        <v>90</v>
      </c>
      <c r="C5229" s="14" t="s">
        <v>14</v>
      </c>
      <c r="D5229" s="20" t="s">
        <v>22</v>
      </c>
      <c r="E5229" s="12" t="str">
        <f>IFERROR(__xludf.DUMMYFUNCTION("FILTER(colegios!$B$2:$B5618,colegios!$A$2:$A5618=L5229)"),"50492 CORAZON DE JESUS")</f>
        <v>50492 CORAZON DE JESUS</v>
      </c>
      <c r="F5229" s="14" t="s">
        <v>16</v>
      </c>
      <c r="G5229" s="20" t="s">
        <v>17</v>
      </c>
      <c r="H5229" s="14" t="s">
        <v>18</v>
      </c>
      <c r="I5229" s="22">
        <v>2022.0</v>
      </c>
      <c r="J5229" s="16" t="str">
        <f>IFERROR(__xludf.DUMMYFUNCTION("FILTER('CLASFICACIÓN'!$F$3:$F5618,'CLASFICACIÓN'!$G$3:$G5618=M5229)"),"LOS 3 AÑOS")</f>
        <v>LOS 3 AÑOS</v>
      </c>
      <c r="K5229" s="16"/>
      <c r="L5229" s="14" t="s">
        <v>189</v>
      </c>
      <c r="M5229" s="16" t="str">
        <f t="shared" si="1"/>
        <v>50492 CORAZON DE JESUS6 Primaria</v>
      </c>
      <c r="N5229" s="23"/>
      <c r="O5229" s="17"/>
      <c r="P5229" s="17"/>
      <c r="Q5229" s="17"/>
      <c r="R5229" s="17"/>
      <c r="S5229" s="17"/>
      <c r="T5229" s="17"/>
    </row>
    <row r="5230">
      <c r="A5230" s="21">
        <v>1358.0</v>
      </c>
      <c r="B5230" s="14" t="s">
        <v>90</v>
      </c>
      <c r="C5230" s="14" t="s">
        <v>14</v>
      </c>
      <c r="D5230" s="20" t="s">
        <v>22</v>
      </c>
      <c r="E5230" s="12" t="str">
        <f>IFERROR(__xludf.DUMMYFUNCTION("FILTER(colegios!$B$2:$B5618,colegios!$A$2:$A5618=L5230)"),"50492 CORAZON DE JESUS")</f>
        <v>50492 CORAZON DE JESUS</v>
      </c>
      <c r="F5230" s="14" t="s">
        <v>16</v>
      </c>
      <c r="G5230" s="20" t="s">
        <v>17</v>
      </c>
      <c r="H5230" s="14" t="s">
        <v>18</v>
      </c>
      <c r="I5230" s="22">
        <v>2022.0</v>
      </c>
      <c r="J5230" s="16" t="str">
        <f>IFERROR(__xludf.DUMMYFUNCTION("FILTER('CLASFICACIÓN'!$F$3:$F5618,'CLASFICACIÓN'!$G$3:$G5618=M5230)"),"LOS 3 AÑOS")</f>
        <v>LOS 3 AÑOS</v>
      </c>
      <c r="K5230" s="16"/>
      <c r="L5230" s="14" t="s">
        <v>189</v>
      </c>
      <c r="M5230" s="16" t="str">
        <f t="shared" si="1"/>
        <v>50492 CORAZON DE JESUS6 Primaria</v>
      </c>
      <c r="N5230" s="23"/>
      <c r="O5230" s="17"/>
      <c r="P5230" s="17"/>
      <c r="Q5230" s="17"/>
      <c r="R5230" s="17"/>
      <c r="S5230" s="17"/>
      <c r="T5230" s="17"/>
    </row>
    <row r="5231">
      <c r="A5231" s="21">
        <v>1359.0</v>
      </c>
      <c r="B5231" s="14" t="s">
        <v>90</v>
      </c>
      <c r="C5231" s="14" t="s">
        <v>14</v>
      </c>
      <c r="D5231" s="20" t="s">
        <v>22</v>
      </c>
      <c r="E5231" s="12" t="str">
        <f>IFERROR(__xludf.DUMMYFUNCTION("FILTER(colegios!$B$2:$B5618,colegios!$A$2:$A5618=L5231)"),"50492 CORAZON DE JESUS")</f>
        <v>50492 CORAZON DE JESUS</v>
      </c>
      <c r="F5231" s="14" t="s">
        <v>16</v>
      </c>
      <c r="G5231" s="20" t="s">
        <v>21</v>
      </c>
      <c r="H5231" s="14" t="s">
        <v>18</v>
      </c>
      <c r="I5231" s="22">
        <v>2022.0</v>
      </c>
      <c r="J5231" s="16" t="str">
        <f>IFERROR(__xludf.DUMMYFUNCTION("FILTER('CLASFICACIÓN'!$F$3:$F5618,'CLASFICACIÓN'!$G$3:$G5618=M5231)"),"LOS 3 AÑOS")</f>
        <v>LOS 3 AÑOS</v>
      </c>
      <c r="K5231" s="16"/>
      <c r="L5231" s="14" t="s">
        <v>189</v>
      </c>
      <c r="M5231" s="16" t="str">
        <f t="shared" si="1"/>
        <v>50492 CORAZON DE JESUS6 Primaria</v>
      </c>
      <c r="N5231" s="23"/>
      <c r="O5231" s="17"/>
      <c r="P5231" s="17"/>
      <c r="Q5231" s="17"/>
      <c r="R5231" s="17"/>
      <c r="S5231" s="17"/>
      <c r="T5231" s="17"/>
    </row>
    <row r="5232">
      <c r="A5232" s="21">
        <v>1360.0</v>
      </c>
      <c r="B5232" s="14" t="s">
        <v>90</v>
      </c>
      <c r="C5232" s="14" t="s">
        <v>14</v>
      </c>
      <c r="D5232" s="20" t="s">
        <v>22</v>
      </c>
      <c r="E5232" s="12" t="str">
        <f>IFERROR(__xludf.DUMMYFUNCTION("FILTER(colegios!$B$2:$B5618,colegios!$A$2:$A5618=L5232)"),"50492 CORAZON DE JESUS")</f>
        <v>50492 CORAZON DE JESUS</v>
      </c>
      <c r="F5232" s="14" t="s">
        <v>16</v>
      </c>
      <c r="G5232" s="20" t="s">
        <v>21</v>
      </c>
      <c r="H5232" s="14" t="s">
        <v>18</v>
      </c>
      <c r="I5232" s="22">
        <v>2022.0</v>
      </c>
      <c r="J5232" s="16" t="str">
        <f>IFERROR(__xludf.DUMMYFUNCTION("FILTER('CLASFICACIÓN'!$F$3:$F5618,'CLASFICACIÓN'!$G$3:$G5618=M5232)"),"LOS 3 AÑOS")</f>
        <v>LOS 3 AÑOS</v>
      </c>
      <c r="K5232" s="16"/>
      <c r="L5232" s="14" t="s">
        <v>189</v>
      </c>
      <c r="M5232" s="16" t="str">
        <f t="shared" si="1"/>
        <v>50492 CORAZON DE JESUS6 Primaria</v>
      </c>
      <c r="N5232" s="23"/>
      <c r="O5232" s="17"/>
      <c r="P5232" s="17"/>
      <c r="Q5232" s="17"/>
      <c r="R5232" s="17"/>
      <c r="S5232" s="17"/>
      <c r="T5232" s="17"/>
    </row>
    <row r="5233">
      <c r="A5233" s="21">
        <v>1361.0</v>
      </c>
      <c r="B5233" s="14" t="s">
        <v>90</v>
      </c>
      <c r="C5233" s="14" t="s">
        <v>14</v>
      </c>
      <c r="D5233" s="20" t="s">
        <v>22</v>
      </c>
      <c r="E5233" s="12" t="str">
        <f>IFERROR(__xludf.DUMMYFUNCTION("FILTER(colegios!$B$2:$B5618,colegios!$A$2:$A5618=L5233)"),"50492 CORAZON DE JESUS")</f>
        <v>50492 CORAZON DE JESUS</v>
      </c>
      <c r="F5233" s="14" t="s">
        <v>16</v>
      </c>
      <c r="G5233" s="20" t="s">
        <v>21</v>
      </c>
      <c r="H5233" s="14" t="s">
        <v>18</v>
      </c>
      <c r="I5233" s="22">
        <v>2022.0</v>
      </c>
      <c r="J5233" s="16" t="str">
        <f>IFERROR(__xludf.DUMMYFUNCTION("FILTER('CLASFICACIÓN'!$F$3:$F5618,'CLASFICACIÓN'!$G$3:$G5618=M5233)"),"LOS 3 AÑOS")</f>
        <v>LOS 3 AÑOS</v>
      </c>
      <c r="K5233" s="16"/>
      <c r="L5233" s="14" t="s">
        <v>189</v>
      </c>
      <c r="M5233" s="16" t="str">
        <f t="shared" si="1"/>
        <v>50492 CORAZON DE JESUS6 Primaria</v>
      </c>
      <c r="N5233" s="23"/>
      <c r="O5233" s="17"/>
      <c r="P5233" s="17"/>
      <c r="Q5233" s="17"/>
      <c r="R5233" s="17"/>
      <c r="S5233" s="17"/>
      <c r="T5233" s="17"/>
    </row>
    <row r="5234">
      <c r="A5234" s="21">
        <v>1362.0</v>
      </c>
      <c r="B5234" s="14" t="s">
        <v>90</v>
      </c>
      <c r="C5234" s="14" t="s">
        <v>14</v>
      </c>
      <c r="D5234" s="20" t="s">
        <v>22</v>
      </c>
      <c r="E5234" s="12" t="str">
        <f>IFERROR(__xludf.DUMMYFUNCTION("FILTER(colegios!$B$2:$B5618,colegios!$A$2:$A5618=L5234)"),"50492 CORAZON DE JESUS")</f>
        <v>50492 CORAZON DE JESUS</v>
      </c>
      <c r="F5234" s="14" t="s">
        <v>16</v>
      </c>
      <c r="G5234" s="20" t="s">
        <v>17</v>
      </c>
      <c r="H5234" s="14" t="s">
        <v>18</v>
      </c>
      <c r="I5234" s="22">
        <v>2022.0</v>
      </c>
      <c r="J5234" s="16" t="str">
        <f>IFERROR(__xludf.DUMMYFUNCTION("FILTER('CLASFICACIÓN'!$F$3:$F5618,'CLASFICACIÓN'!$G$3:$G5618=M5234)"),"LOS 3 AÑOS")</f>
        <v>LOS 3 AÑOS</v>
      </c>
      <c r="K5234" s="16"/>
      <c r="L5234" s="14" t="s">
        <v>189</v>
      </c>
      <c r="M5234" s="16" t="str">
        <f t="shared" si="1"/>
        <v>50492 CORAZON DE JESUS6 Primaria</v>
      </c>
      <c r="N5234" s="23"/>
      <c r="O5234" s="17"/>
      <c r="P5234" s="17"/>
      <c r="Q5234" s="17"/>
      <c r="R5234" s="17"/>
      <c r="S5234" s="17"/>
      <c r="T5234" s="17"/>
    </row>
    <row r="5235">
      <c r="A5235" s="21">
        <v>1363.0</v>
      </c>
      <c r="B5235" s="14" t="s">
        <v>90</v>
      </c>
      <c r="C5235" s="14" t="s">
        <v>14</v>
      </c>
      <c r="D5235" s="20" t="s">
        <v>22</v>
      </c>
      <c r="E5235" s="12" t="str">
        <f>IFERROR(__xludf.DUMMYFUNCTION("FILTER(colegios!$B$2:$B5618,colegios!$A$2:$A5618=L5235)"),"50492 CORAZON DE JESUS")</f>
        <v>50492 CORAZON DE JESUS</v>
      </c>
      <c r="F5235" s="14" t="s">
        <v>16</v>
      </c>
      <c r="G5235" s="20" t="s">
        <v>21</v>
      </c>
      <c r="H5235" s="14" t="s">
        <v>18</v>
      </c>
      <c r="I5235" s="22">
        <v>2022.0</v>
      </c>
      <c r="J5235" s="16" t="str">
        <f>IFERROR(__xludf.DUMMYFUNCTION("FILTER('CLASFICACIÓN'!$F$3:$F5618,'CLASFICACIÓN'!$G$3:$G5618=M5235)"),"LOS 3 AÑOS")</f>
        <v>LOS 3 AÑOS</v>
      </c>
      <c r="K5235" s="16"/>
      <c r="L5235" s="14" t="s">
        <v>189</v>
      </c>
      <c r="M5235" s="16" t="str">
        <f t="shared" si="1"/>
        <v>50492 CORAZON DE JESUS6 Primaria</v>
      </c>
      <c r="N5235" s="23"/>
      <c r="O5235" s="17"/>
      <c r="P5235" s="17"/>
      <c r="Q5235" s="17"/>
      <c r="R5235" s="17"/>
      <c r="S5235" s="17"/>
      <c r="T5235" s="17"/>
    </row>
    <row r="5236">
      <c r="A5236" s="21">
        <v>1364.0</v>
      </c>
      <c r="B5236" s="14" t="s">
        <v>90</v>
      </c>
      <c r="C5236" s="14" t="s">
        <v>14</v>
      </c>
      <c r="D5236" s="20" t="s">
        <v>22</v>
      </c>
      <c r="E5236" s="12" t="str">
        <f>IFERROR(__xludf.DUMMYFUNCTION("FILTER(colegios!$B$2:$B5618,colegios!$A$2:$A5618=L5236)"),"50492 CORAZON DE JESUS")</f>
        <v>50492 CORAZON DE JESUS</v>
      </c>
      <c r="F5236" s="14" t="s">
        <v>16</v>
      </c>
      <c r="G5236" s="20" t="s">
        <v>21</v>
      </c>
      <c r="H5236" s="14" t="s">
        <v>18</v>
      </c>
      <c r="I5236" s="22">
        <v>2022.0</v>
      </c>
      <c r="J5236" s="16" t="str">
        <f>IFERROR(__xludf.DUMMYFUNCTION("FILTER('CLASFICACIÓN'!$F$3:$F5618,'CLASFICACIÓN'!$G$3:$G5618=M5236)"),"LOS 3 AÑOS")</f>
        <v>LOS 3 AÑOS</v>
      </c>
      <c r="K5236" s="16"/>
      <c r="L5236" s="14" t="s">
        <v>189</v>
      </c>
      <c r="M5236" s="16" t="str">
        <f t="shared" si="1"/>
        <v>50492 CORAZON DE JESUS6 Primaria</v>
      </c>
      <c r="N5236" s="23"/>
      <c r="O5236" s="17"/>
      <c r="P5236" s="17"/>
      <c r="Q5236" s="17"/>
      <c r="R5236" s="17"/>
      <c r="S5236" s="17"/>
      <c r="T5236" s="17"/>
    </row>
    <row r="5237">
      <c r="A5237" s="21">
        <v>1365.0</v>
      </c>
      <c r="B5237" s="14" t="s">
        <v>90</v>
      </c>
      <c r="C5237" s="14" t="s">
        <v>14</v>
      </c>
      <c r="D5237" s="20" t="s">
        <v>22</v>
      </c>
      <c r="E5237" s="12" t="str">
        <f>IFERROR(__xludf.DUMMYFUNCTION("FILTER(colegios!$B$2:$B5618,colegios!$A$2:$A5618=L5237)"),"50492 CORAZON DE JESUS")</f>
        <v>50492 CORAZON DE JESUS</v>
      </c>
      <c r="F5237" s="14" t="s">
        <v>16</v>
      </c>
      <c r="G5237" s="20" t="s">
        <v>17</v>
      </c>
      <c r="H5237" s="14" t="s">
        <v>18</v>
      </c>
      <c r="I5237" s="22">
        <v>2022.0</v>
      </c>
      <c r="J5237" s="16" t="str">
        <f>IFERROR(__xludf.DUMMYFUNCTION("FILTER('CLASFICACIÓN'!$F$3:$F5618,'CLASFICACIÓN'!$G$3:$G5618=M5237)"),"LOS 3 AÑOS")</f>
        <v>LOS 3 AÑOS</v>
      </c>
      <c r="K5237" s="16"/>
      <c r="L5237" s="14" t="s">
        <v>189</v>
      </c>
      <c r="M5237" s="16" t="str">
        <f t="shared" si="1"/>
        <v>50492 CORAZON DE JESUS6 Primaria</v>
      </c>
      <c r="N5237" s="23"/>
      <c r="O5237" s="17"/>
      <c r="P5237" s="17"/>
      <c r="Q5237" s="17"/>
      <c r="R5237" s="17"/>
      <c r="S5237" s="17"/>
      <c r="T5237" s="17"/>
    </row>
    <row r="5238">
      <c r="A5238" s="21">
        <v>1366.0</v>
      </c>
      <c r="B5238" s="14" t="s">
        <v>90</v>
      </c>
      <c r="C5238" s="14" t="s">
        <v>14</v>
      </c>
      <c r="D5238" s="20" t="s">
        <v>22</v>
      </c>
      <c r="E5238" s="12" t="str">
        <f>IFERROR(__xludf.DUMMYFUNCTION("FILTER(colegios!$B$2:$B5618,colegios!$A$2:$A5618=L5238)"),"50492 CORAZON DE JESUS")</f>
        <v>50492 CORAZON DE JESUS</v>
      </c>
      <c r="F5238" s="14" t="s">
        <v>16</v>
      </c>
      <c r="G5238" s="20" t="s">
        <v>17</v>
      </c>
      <c r="H5238" s="14" t="s">
        <v>18</v>
      </c>
      <c r="I5238" s="22">
        <v>2022.0</v>
      </c>
      <c r="J5238" s="16" t="str">
        <f>IFERROR(__xludf.DUMMYFUNCTION("FILTER('CLASFICACIÓN'!$F$3:$F5618,'CLASFICACIÓN'!$G$3:$G5618=M5238)"),"LOS 3 AÑOS")</f>
        <v>LOS 3 AÑOS</v>
      </c>
      <c r="K5238" s="16"/>
      <c r="L5238" s="14" t="s">
        <v>189</v>
      </c>
      <c r="M5238" s="16" t="str">
        <f t="shared" si="1"/>
        <v>50492 CORAZON DE JESUS6 Primaria</v>
      </c>
      <c r="N5238" s="23"/>
      <c r="O5238" s="17"/>
      <c r="P5238" s="17"/>
      <c r="Q5238" s="17"/>
      <c r="R5238" s="17"/>
      <c r="S5238" s="17"/>
      <c r="T5238" s="17"/>
    </row>
    <row r="5239">
      <c r="A5239" s="21">
        <v>1367.0</v>
      </c>
      <c r="B5239" s="14" t="s">
        <v>90</v>
      </c>
      <c r="C5239" s="14" t="s">
        <v>14</v>
      </c>
      <c r="D5239" s="20" t="s">
        <v>22</v>
      </c>
      <c r="E5239" s="12" t="str">
        <f>IFERROR(__xludf.DUMMYFUNCTION("FILTER(colegios!$B$2:$B5618,colegios!$A$2:$A5618=L5239)"),"50492 CORAZON DE JESUS")</f>
        <v>50492 CORAZON DE JESUS</v>
      </c>
      <c r="F5239" s="14" t="s">
        <v>16</v>
      </c>
      <c r="G5239" s="20" t="s">
        <v>21</v>
      </c>
      <c r="H5239" s="14" t="s">
        <v>18</v>
      </c>
      <c r="I5239" s="22">
        <v>2022.0</v>
      </c>
      <c r="J5239" s="16" t="str">
        <f>IFERROR(__xludf.DUMMYFUNCTION("FILTER('CLASFICACIÓN'!$F$3:$F5618,'CLASFICACIÓN'!$G$3:$G5618=M5239)"),"LOS 3 AÑOS")</f>
        <v>LOS 3 AÑOS</v>
      </c>
      <c r="K5239" s="16"/>
      <c r="L5239" s="14" t="s">
        <v>189</v>
      </c>
      <c r="M5239" s="16" t="str">
        <f t="shared" si="1"/>
        <v>50492 CORAZON DE JESUS6 Primaria</v>
      </c>
      <c r="N5239" s="23"/>
      <c r="O5239" s="17"/>
      <c r="P5239" s="17"/>
      <c r="Q5239" s="17"/>
      <c r="R5239" s="17"/>
      <c r="S5239" s="17"/>
      <c r="T5239" s="17"/>
    </row>
    <row r="5240">
      <c r="A5240" s="21">
        <v>1368.0</v>
      </c>
      <c r="B5240" s="14" t="s">
        <v>90</v>
      </c>
      <c r="C5240" s="14" t="s">
        <v>14</v>
      </c>
      <c r="D5240" s="20" t="s">
        <v>22</v>
      </c>
      <c r="E5240" s="12" t="str">
        <f>IFERROR(__xludf.DUMMYFUNCTION("FILTER(colegios!$B$2:$B5618,colegios!$A$2:$A5618=L5240)"),"50492 CORAZON DE JESUS")</f>
        <v>50492 CORAZON DE JESUS</v>
      </c>
      <c r="F5240" s="14" t="s">
        <v>16</v>
      </c>
      <c r="G5240" s="20" t="s">
        <v>17</v>
      </c>
      <c r="H5240" s="14" t="s">
        <v>18</v>
      </c>
      <c r="I5240" s="22">
        <v>2022.0</v>
      </c>
      <c r="J5240" s="16" t="str">
        <f>IFERROR(__xludf.DUMMYFUNCTION("FILTER('CLASFICACIÓN'!$F$3:$F5618,'CLASFICACIÓN'!$G$3:$G5618=M5240)"),"LOS 3 AÑOS")</f>
        <v>LOS 3 AÑOS</v>
      </c>
      <c r="K5240" s="16"/>
      <c r="L5240" s="14" t="s">
        <v>189</v>
      </c>
      <c r="M5240" s="16" t="str">
        <f t="shared" si="1"/>
        <v>50492 CORAZON DE JESUS6 Primaria</v>
      </c>
      <c r="N5240" s="23"/>
      <c r="O5240" s="17"/>
      <c r="P5240" s="17"/>
      <c r="Q5240" s="17"/>
      <c r="R5240" s="17"/>
      <c r="S5240" s="17"/>
      <c r="T5240" s="17"/>
    </row>
    <row r="5241">
      <c r="A5241" s="21">
        <v>1369.0</v>
      </c>
      <c r="B5241" s="14" t="s">
        <v>90</v>
      </c>
      <c r="C5241" s="14" t="s">
        <v>14</v>
      </c>
      <c r="D5241" s="20" t="s">
        <v>22</v>
      </c>
      <c r="E5241" s="12" t="str">
        <f>IFERROR(__xludf.DUMMYFUNCTION("FILTER(colegios!$B$2:$B5618,colegios!$A$2:$A5618=L5241)"),"50492 CORAZON DE JESUS")</f>
        <v>50492 CORAZON DE JESUS</v>
      </c>
      <c r="F5241" s="14" t="s">
        <v>16</v>
      </c>
      <c r="G5241" s="20" t="s">
        <v>21</v>
      </c>
      <c r="H5241" s="14" t="s">
        <v>18</v>
      </c>
      <c r="I5241" s="22">
        <v>2022.0</v>
      </c>
      <c r="J5241" s="16" t="str">
        <f>IFERROR(__xludf.DUMMYFUNCTION("FILTER('CLASFICACIÓN'!$F$3:$F5618,'CLASFICACIÓN'!$G$3:$G5618=M5241)"),"LOS 3 AÑOS")</f>
        <v>LOS 3 AÑOS</v>
      </c>
      <c r="K5241" s="16"/>
      <c r="L5241" s="14" t="s">
        <v>189</v>
      </c>
      <c r="M5241" s="16" t="str">
        <f t="shared" si="1"/>
        <v>50492 CORAZON DE JESUS6 Primaria</v>
      </c>
      <c r="N5241" s="23"/>
      <c r="O5241" s="17"/>
      <c r="P5241" s="17"/>
      <c r="Q5241" s="17"/>
      <c r="R5241" s="17"/>
      <c r="S5241" s="17"/>
      <c r="T5241" s="17"/>
    </row>
    <row r="5242">
      <c r="A5242" s="21">
        <v>1370.0</v>
      </c>
      <c r="B5242" s="14" t="s">
        <v>90</v>
      </c>
      <c r="C5242" s="14" t="s">
        <v>14</v>
      </c>
      <c r="D5242" s="20" t="s">
        <v>22</v>
      </c>
      <c r="E5242" s="12" t="str">
        <f>IFERROR(__xludf.DUMMYFUNCTION("FILTER(colegios!$B$2:$B5618,colegios!$A$2:$A5618=L5242)"),"50492 CORAZON DE JESUS")</f>
        <v>50492 CORAZON DE JESUS</v>
      </c>
      <c r="F5242" s="14" t="s">
        <v>16</v>
      </c>
      <c r="G5242" s="20" t="s">
        <v>21</v>
      </c>
      <c r="H5242" s="14" t="s">
        <v>24</v>
      </c>
      <c r="I5242" s="22">
        <v>2022.0</v>
      </c>
      <c r="J5242" s="16" t="str">
        <f>IFERROR(__xludf.DUMMYFUNCTION("FILTER('CLASFICACIÓN'!$F$3:$F5618,'CLASFICACIÓN'!$G$3:$G5618=M5242)"),"LOS 3 AÑOS")</f>
        <v>LOS 3 AÑOS</v>
      </c>
      <c r="K5242" s="16"/>
      <c r="L5242" s="14" t="s">
        <v>189</v>
      </c>
      <c r="M5242" s="16" t="str">
        <f t="shared" si="1"/>
        <v>50492 CORAZON DE JESUS6 Primaria</v>
      </c>
      <c r="N5242" s="23"/>
      <c r="O5242" s="17"/>
      <c r="P5242" s="17"/>
      <c r="Q5242" s="17"/>
      <c r="R5242" s="17"/>
      <c r="S5242" s="17"/>
      <c r="T5242" s="17"/>
    </row>
    <row r="5243">
      <c r="A5243" s="21">
        <v>1371.0</v>
      </c>
      <c r="B5243" s="14" t="s">
        <v>90</v>
      </c>
      <c r="C5243" s="14" t="s">
        <v>14</v>
      </c>
      <c r="D5243" s="20" t="s">
        <v>22</v>
      </c>
      <c r="E5243" s="12" t="str">
        <f>IFERROR(__xludf.DUMMYFUNCTION("FILTER(colegios!$B$2:$B5618,colegios!$A$2:$A5618=L5243)"),"50492 CORAZON DE JESUS")</f>
        <v>50492 CORAZON DE JESUS</v>
      </c>
      <c r="F5243" s="14" t="s">
        <v>16</v>
      </c>
      <c r="G5243" s="20" t="s">
        <v>21</v>
      </c>
      <c r="H5243" s="14" t="s">
        <v>24</v>
      </c>
      <c r="I5243" s="22">
        <v>2022.0</v>
      </c>
      <c r="J5243" s="16" t="str">
        <f>IFERROR(__xludf.DUMMYFUNCTION("FILTER('CLASFICACIÓN'!$F$3:$F5618,'CLASFICACIÓN'!$G$3:$G5618=M5243)"),"LOS 3 AÑOS")</f>
        <v>LOS 3 AÑOS</v>
      </c>
      <c r="K5243" s="16"/>
      <c r="L5243" s="14" t="s">
        <v>189</v>
      </c>
      <c r="M5243" s="16" t="str">
        <f t="shared" si="1"/>
        <v>50492 CORAZON DE JESUS6 Primaria</v>
      </c>
      <c r="N5243" s="23"/>
      <c r="O5243" s="17"/>
      <c r="P5243" s="17"/>
      <c r="Q5243" s="17"/>
      <c r="R5243" s="17"/>
      <c r="S5243" s="17"/>
      <c r="T5243" s="17"/>
    </row>
    <row r="5244">
      <c r="A5244" s="21">
        <v>1372.0</v>
      </c>
      <c r="B5244" s="14" t="s">
        <v>90</v>
      </c>
      <c r="C5244" s="14" t="s">
        <v>14</v>
      </c>
      <c r="D5244" s="20" t="s">
        <v>22</v>
      </c>
      <c r="E5244" s="12" t="str">
        <f>IFERROR(__xludf.DUMMYFUNCTION("FILTER(colegios!$B$2:$B5618,colegios!$A$2:$A5618=L5244)"),"50492 CORAZON DE JESUS")</f>
        <v>50492 CORAZON DE JESUS</v>
      </c>
      <c r="F5244" s="14" t="s">
        <v>16</v>
      </c>
      <c r="G5244" s="20" t="s">
        <v>21</v>
      </c>
      <c r="H5244" s="14" t="s">
        <v>24</v>
      </c>
      <c r="I5244" s="22">
        <v>2022.0</v>
      </c>
      <c r="J5244" s="16" t="str">
        <f>IFERROR(__xludf.DUMMYFUNCTION("FILTER('CLASFICACIÓN'!$F$3:$F5618,'CLASFICACIÓN'!$G$3:$G5618=M5244)"),"LOS 3 AÑOS")</f>
        <v>LOS 3 AÑOS</v>
      </c>
      <c r="K5244" s="16"/>
      <c r="L5244" s="14" t="s">
        <v>189</v>
      </c>
      <c r="M5244" s="16" t="str">
        <f t="shared" si="1"/>
        <v>50492 CORAZON DE JESUS6 Primaria</v>
      </c>
      <c r="N5244" s="23"/>
      <c r="O5244" s="17"/>
      <c r="P5244" s="17"/>
      <c r="Q5244" s="17"/>
      <c r="R5244" s="17"/>
      <c r="S5244" s="17"/>
      <c r="T5244" s="17"/>
    </row>
    <row r="5245">
      <c r="A5245" s="21">
        <v>1373.0</v>
      </c>
      <c r="B5245" s="14" t="s">
        <v>90</v>
      </c>
      <c r="C5245" s="14" t="s">
        <v>14</v>
      </c>
      <c r="D5245" s="20" t="s">
        <v>22</v>
      </c>
      <c r="E5245" s="12" t="str">
        <f>IFERROR(__xludf.DUMMYFUNCTION("FILTER(colegios!$B$2:$B5618,colegios!$A$2:$A5618=L5245)"),"50492 CORAZON DE JESUS")</f>
        <v>50492 CORAZON DE JESUS</v>
      </c>
      <c r="F5245" s="14" t="s">
        <v>16</v>
      </c>
      <c r="G5245" s="20" t="s">
        <v>17</v>
      </c>
      <c r="H5245" s="14" t="s">
        <v>24</v>
      </c>
      <c r="I5245" s="22">
        <v>2022.0</v>
      </c>
      <c r="J5245" s="16" t="str">
        <f>IFERROR(__xludf.DUMMYFUNCTION("FILTER('CLASFICACIÓN'!$F$3:$F5618,'CLASFICACIÓN'!$G$3:$G5618=M5245)"),"LOS 3 AÑOS")</f>
        <v>LOS 3 AÑOS</v>
      </c>
      <c r="K5245" s="16"/>
      <c r="L5245" s="14" t="s">
        <v>189</v>
      </c>
      <c r="M5245" s="16" t="str">
        <f t="shared" si="1"/>
        <v>50492 CORAZON DE JESUS6 Primaria</v>
      </c>
      <c r="N5245" s="23"/>
      <c r="O5245" s="17"/>
      <c r="P5245" s="17"/>
      <c r="Q5245" s="17"/>
      <c r="R5245" s="17"/>
      <c r="S5245" s="17"/>
      <c r="T5245" s="17"/>
    </row>
    <row r="5246">
      <c r="A5246" s="21">
        <v>1374.0</v>
      </c>
      <c r="B5246" s="14" t="s">
        <v>90</v>
      </c>
      <c r="C5246" s="14" t="s">
        <v>14</v>
      </c>
      <c r="D5246" s="20" t="s">
        <v>22</v>
      </c>
      <c r="E5246" s="12" t="str">
        <f>IFERROR(__xludf.DUMMYFUNCTION("FILTER(colegios!$B$2:$B5618,colegios!$A$2:$A5618=L5246)"),"50492 CORAZON DE JESUS")</f>
        <v>50492 CORAZON DE JESUS</v>
      </c>
      <c r="F5246" s="14" t="s">
        <v>16</v>
      </c>
      <c r="G5246" s="20" t="s">
        <v>21</v>
      </c>
      <c r="H5246" s="14" t="s">
        <v>24</v>
      </c>
      <c r="I5246" s="22">
        <v>2022.0</v>
      </c>
      <c r="J5246" s="16" t="str">
        <f>IFERROR(__xludf.DUMMYFUNCTION("FILTER('CLASFICACIÓN'!$F$3:$F5618,'CLASFICACIÓN'!$G$3:$G5618=M5246)"),"LOS 3 AÑOS")</f>
        <v>LOS 3 AÑOS</v>
      </c>
      <c r="K5246" s="16"/>
      <c r="L5246" s="14" t="s">
        <v>189</v>
      </c>
      <c r="M5246" s="16" t="str">
        <f t="shared" si="1"/>
        <v>50492 CORAZON DE JESUS6 Primaria</v>
      </c>
      <c r="N5246" s="23"/>
      <c r="O5246" s="17"/>
      <c r="P5246" s="17"/>
      <c r="Q5246" s="17"/>
      <c r="R5246" s="17"/>
      <c r="S5246" s="17"/>
      <c r="T5246" s="17"/>
    </row>
    <row r="5247">
      <c r="A5247" s="21">
        <v>1375.0</v>
      </c>
      <c r="B5247" s="14" t="s">
        <v>90</v>
      </c>
      <c r="C5247" s="14" t="s">
        <v>14</v>
      </c>
      <c r="D5247" s="20" t="s">
        <v>22</v>
      </c>
      <c r="E5247" s="12" t="str">
        <f>IFERROR(__xludf.DUMMYFUNCTION("FILTER(colegios!$B$2:$B5618,colegios!$A$2:$A5618=L5247)"),"50492 CORAZON DE JESUS")</f>
        <v>50492 CORAZON DE JESUS</v>
      </c>
      <c r="F5247" s="14" t="s">
        <v>16</v>
      </c>
      <c r="G5247" s="20" t="s">
        <v>21</v>
      </c>
      <c r="H5247" s="14" t="s">
        <v>24</v>
      </c>
      <c r="I5247" s="22">
        <v>2022.0</v>
      </c>
      <c r="J5247" s="16" t="str">
        <f>IFERROR(__xludf.DUMMYFUNCTION("FILTER('CLASFICACIÓN'!$F$3:$F5618,'CLASFICACIÓN'!$G$3:$G5618=M5247)"),"LOS 3 AÑOS")</f>
        <v>LOS 3 AÑOS</v>
      </c>
      <c r="K5247" s="16"/>
      <c r="L5247" s="14" t="s">
        <v>189</v>
      </c>
      <c r="M5247" s="16" t="str">
        <f t="shared" si="1"/>
        <v>50492 CORAZON DE JESUS6 Primaria</v>
      </c>
      <c r="N5247" s="23"/>
      <c r="O5247" s="17"/>
      <c r="P5247" s="17"/>
      <c r="Q5247" s="17"/>
      <c r="R5247" s="17"/>
      <c r="S5247" s="17"/>
      <c r="T5247" s="17"/>
    </row>
    <row r="5248">
      <c r="A5248" s="21">
        <v>1376.0</v>
      </c>
      <c r="B5248" s="14" t="s">
        <v>90</v>
      </c>
      <c r="C5248" s="14" t="s">
        <v>14</v>
      </c>
      <c r="D5248" s="20" t="s">
        <v>22</v>
      </c>
      <c r="E5248" s="12" t="str">
        <f>IFERROR(__xludf.DUMMYFUNCTION("FILTER(colegios!$B$2:$B5618,colegios!$A$2:$A5618=L5248)"),"50492 CORAZON DE JESUS")</f>
        <v>50492 CORAZON DE JESUS</v>
      </c>
      <c r="F5248" s="14" t="s">
        <v>16</v>
      </c>
      <c r="G5248" s="20" t="s">
        <v>17</v>
      </c>
      <c r="H5248" s="14" t="s">
        <v>24</v>
      </c>
      <c r="I5248" s="22">
        <v>2022.0</v>
      </c>
      <c r="J5248" s="16" t="str">
        <f>IFERROR(__xludf.DUMMYFUNCTION("FILTER('CLASFICACIÓN'!$F$3:$F5618,'CLASFICACIÓN'!$G$3:$G5618=M5248)"),"LOS 3 AÑOS")</f>
        <v>LOS 3 AÑOS</v>
      </c>
      <c r="K5248" s="16"/>
      <c r="L5248" s="14" t="s">
        <v>189</v>
      </c>
      <c r="M5248" s="16" t="str">
        <f t="shared" si="1"/>
        <v>50492 CORAZON DE JESUS6 Primaria</v>
      </c>
      <c r="N5248" s="23"/>
      <c r="O5248" s="17"/>
      <c r="P5248" s="17"/>
      <c r="Q5248" s="17"/>
      <c r="R5248" s="17"/>
      <c r="S5248" s="17"/>
      <c r="T5248" s="17"/>
    </row>
    <row r="5249">
      <c r="A5249" s="21">
        <v>1377.0</v>
      </c>
      <c r="B5249" s="14" t="s">
        <v>90</v>
      </c>
      <c r="C5249" s="14" t="s">
        <v>14</v>
      </c>
      <c r="D5249" s="20" t="s">
        <v>22</v>
      </c>
      <c r="E5249" s="12" t="str">
        <f>IFERROR(__xludf.DUMMYFUNCTION("FILTER(colegios!$B$2:$B5618,colegios!$A$2:$A5618=L5249)"),"50492 CORAZON DE JESUS")</f>
        <v>50492 CORAZON DE JESUS</v>
      </c>
      <c r="F5249" s="14" t="s">
        <v>16</v>
      </c>
      <c r="G5249" s="20" t="s">
        <v>17</v>
      </c>
      <c r="H5249" s="14" t="s">
        <v>24</v>
      </c>
      <c r="I5249" s="22">
        <v>2022.0</v>
      </c>
      <c r="J5249" s="16" t="str">
        <f>IFERROR(__xludf.DUMMYFUNCTION("FILTER('CLASFICACIÓN'!$F$3:$F5618,'CLASFICACIÓN'!$G$3:$G5618=M5249)"),"LOS 3 AÑOS")</f>
        <v>LOS 3 AÑOS</v>
      </c>
      <c r="K5249" s="16"/>
      <c r="L5249" s="14" t="s">
        <v>189</v>
      </c>
      <c r="M5249" s="16" t="str">
        <f t="shared" si="1"/>
        <v>50492 CORAZON DE JESUS6 Primaria</v>
      </c>
      <c r="N5249" s="23"/>
      <c r="O5249" s="17"/>
      <c r="P5249" s="17"/>
      <c r="Q5249" s="17"/>
      <c r="R5249" s="17"/>
      <c r="S5249" s="17"/>
      <c r="T5249" s="17"/>
    </row>
    <row r="5250">
      <c r="A5250" s="21">
        <v>1378.0</v>
      </c>
      <c r="B5250" s="14" t="s">
        <v>90</v>
      </c>
      <c r="C5250" s="14" t="s">
        <v>14</v>
      </c>
      <c r="D5250" s="20" t="s">
        <v>22</v>
      </c>
      <c r="E5250" s="12" t="str">
        <f>IFERROR(__xludf.DUMMYFUNCTION("FILTER(colegios!$B$2:$B5618,colegios!$A$2:$A5618=L5250)"),"50492 CORAZON DE JESUS")</f>
        <v>50492 CORAZON DE JESUS</v>
      </c>
      <c r="F5250" s="14" t="s">
        <v>16</v>
      </c>
      <c r="G5250" s="20" t="s">
        <v>21</v>
      </c>
      <c r="H5250" s="14" t="s">
        <v>24</v>
      </c>
      <c r="I5250" s="22">
        <v>2022.0</v>
      </c>
      <c r="J5250" s="16" t="str">
        <f>IFERROR(__xludf.DUMMYFUNCTION("FILTER('CLASFICACIÓN'!$F$3:$F5618,'CLASFICACIÓN'!$G$3:$G5618=M5250)"),"LOS 3 AÑOS")</f>
        <v>LOS 3 AÑOS</v>
      </c>
      <c r="K5250" s="16"/>
      <c r="L5250" s="14" t="s">
        <v>189</v>
      </c>
      <c r="M5250" s="16" t="str">
        <f t="shared" si="1"/>
        <v>50492 CORAZON DE JESUS6 Primaria</v>
      </c>
      <c r="N5250" s="23"/>
      <c r="O5250" s="17"/>
      <c r="P5250" s="17"/>
      <c r="Q5250" s="17"/>
      <c r="R5250" s="17"/>
      <c r="S5250" s="17"/>
      <c r="T5250" s="17"/>
    </row>
    <row r="5251">
      <c r="A5251" s="21">
        <v>1379.0</v>
      </c>
      <c r="B5251" s="14" t="s">
        <v>90</v>
      </c>
      <c r="C5251" s="14" t="s">
        <v>14</v>
      </c>
      <c r="D5251" s="20" t="s">
        <v>22</v>
      </c>
      <c r="E5251" s="12" t="str">
        <f>IFERROR(__xludf.DUMMYFUNCTION("FILTER(colegios!$B$2:$B5618,colegios!$A$2:$A5618=L5251)"),"50492 CORAZON DE JESUS")</f>
        <v>50492 CORAZON DE JESUS</v>
      </c>
      <c r="F5251" s="14" t="s">
        <v>16</v>
      </c>
      <c r="G5251" s="20" t="s">
        <v>21</v>
      </c>
      <c r="H5251" s="14" t="s">
        <v>24</v>
      </c>
      <c r="I5251" s="22">
        <v>2022.0</v>
      </c>
      <c r="J5251" s="16" t="str">
        <f>IFERROR(__xludf.DUMMYFUNCTION("FILTER('CLASFICACIÓN'!$F$3:$F5618,'CLASFICACIÓN'!$G$3:$G5618=M5251)"),"LOS 3 AÑOS")</f>
        <v>LOS 3 AÑOS</v>
      </c>
      <c r="K5251" s="16"/>
      <c r="L5251" s="14" t="s">
        <v>189</v>
      </c>
      <c r="M5251" s="16" t="str">
        <f t="shared" si="1"/>
        <v>50492 CORAZON DE JESUS6 Primaria</v>
      </c>
      <c r="N5251" s="23"/>
      <c r="O5251" s="17"/>
      <c r="P5251" s="17"/>
      <c r="Q5251" s="17"/>
      <c r="R5251" s="17"/>
      <c r="S5251" s="17"/>
      <c r="T5251" s="17"/>
    </row>
    <row r="5252">
      <c r="A5252" s="21">
        <v>1380.0</v>
      </c>
      <c r="B5252" s="14" t="s">
        <v>90</v>
      </c>
      <c r="C5252" s="14" t="s">
        <v>14</v>
      </c>
      <c r="D5252" s="20" t="s">
        <v>22</v>
      </c>
      <c r="E5252" s="12" t="str">
        <f>IFERROR(__xludf.DUMMYFUNCTION("FILTER(colegios!$B$2:$B5618,colegios!$A$2:$A5618=L5252)"),"50492 CORAZON DE JESUS")</f>
        <v>50492 CORAZON DE JESUS</v>
      </c>
      <c r="F5252" s="14" t="s">
        <v>16</v>
      </c>
      <c r="G5252" s="20" t="s">
        <v>21</v>
      </c>
      <c r="H5252" s="14" t="s">
        <v>24</v>
      </c>
      <c r="I5252" s="22">
        <v>2022.0</v>
      </c>
      <c r="J5252" s="16" t="str">
        <f>IFERROR(__xludf.DUMMYFUNCTION("FILTER('CLASFICACIÓN'!$F$3:$F5618,'CLASFICACIÓN'!$G$3:$G5618=M5252)"),"LOS 3 AÑOS")</f>
        <v>LOS 3 AÑOS</v>
      </c>
      <c r="K5252" s="16"/>
      <c r="L5252" s="14" t="s">
        <v>189</v>
      </c>
      <c r="M5252" s="16" t="str">
        <f t="shared" si="1"/>
        <v>50492 CORAZON DE JESUS6 Primaria</v>
      </c>
      <c r="N5252" s="23"/>
      <c r="O5252" s="17"/>
      <c r="P5252" s="17"/>
      <c r="Q5252" s="17"/>
      <c r="R5252" s="17"/>
      <c r="S5252" s="17"/>
      <c r="T5252" s="17"/>
    </row>
    <row r="5253">
      <c r="A5253" s="21">
        <v>1381.0</v>
      </c>
      <c r="B5253" s="14" t="s">
        <v>90</v>
      </c>
      <c r="C5253" s="14" t="s">
        <v>14</v>
      </c>
      <c r="D5253" s="20" t="s">
        <v>22</v>
      </c>
      <c r="E5253" s="12" t="str">
        <f>IFERROR(__xludf.DUMMYFUNCTION("FILTER(colegios!$B$2:$B5618,colegios!$A$2:$A5618=L5253)"),"50492 CORAZON DE JESUS")</f>
        <v>50492 CORAZON DE JESUS</v>
      </c>
      <c r="F5253" s="14" t="s">
        <v>16</v>
      </c>
      <c r="G5253" s="20" t="s">
        <v>21</v>
      </c>
      <c r="H5253" s="14" t="s">
        <v>24</v>
      </c>
      <c r="I5253" s="22">
        <v>2022.0</v>
      </c>
      <c r="J5253" s="16" t="str">
        <f>IFERROR(__xludf.DUMMYFUNCTION("FILTER('CLASFICACIÓN'!$F$3:$F5618,'CLASFICACIÓN'!$G$3:$G5618=M5253)"),"LOS 3 AÑOS")</f>
        <v>LOS 3 AÑOS</v>
      </c>
      <c r="K5253" s="16"/>
      <c r="L5253" s="14" t="s">
        <v>189</v>
      </c>
      <c r="M5253" s="16" t="str">
        <f t="shared" si="1"/>
        <v>50492 CORAZON DE JESUS6 Primaria</v>
      </c>
      <c r="N5253" s="23"/>
      <c r="O5253" s="17"/>
      <c r="P5253" s="17"/>
      <c r="Q5253" s="17"/>
      <c r="R5253" s="17"/>
      <c r="S5253" s="17"/>
      <c r="T5253" s="17"/>
    </row>
    <row r="5254">
      <c r="A5254" s="21">
        <v>1382.0</v>
      </c>
      <c r="B5254" s="14" t="s">
        <v>90</v>
      </c>
      <c r="C5254" s="14" t="s">
        <v>14</v>
      </c>
      <c r="D5254" s="20" t="s">
        <v>22</v>
      </c>
      <c r="E5254" s="12" t="str">
        <f>IFERROR(__xludf.DUMMYFUNCTION("FILTER(colegios!$B$2:$B5618,colegios!$A$2:$A5618=L5254)"),"50492 CORAZON DE JESUS")</f>
        <v>50492 CORAZON DE JESUS</v>
      </c>
      <c r="F5254" s="14" t="s">
        <v>16</v>
      </c>
      <c r="G5254" s="20" t="s">
        <v>17</v>
      </c>
      <c r="H5254" s="14" t="s">
        <v>24</v>
      </c>
      <c r="I5254" s="22">
        <v>2022.0</v>
      </c>
      <c r="J5254" s="16" t="str">
        <f>IFERROR(__xludf.DUMMYFUNCTION("FILTER('CLASFICACIÓN'!$F$3:$F5618,'CLASFICACIÓN'!$G$3:$G5618=M5254)"),"LOS 3 AÑOS")</f>
        <v>LOS 3 AÑOS</v>
      </c>
      <c r="K5254" s="16"/>
      <c r="L5254" s="14" t="s">
        <v>189</v>
      </c>
      <c r="M5254" s="16" t="str">
        <f t="shared" si="1"/>
        <v>50492 CORAZON DE JESUS6 Primaria</v>
      </c>
      <c r="N5254" s="23"/>
      <c r="O5254" s="17"/>
      <c r="P5254" s="17"/>
      <c r="Q5254" s="17"/>
      <c r="R5254" s="17"/>
      <c r="S5254" s="17"/>
      <c r="T5254" s="17"/>
    </row>
    <row r="5255">
      <c r="A5255" s="21">
        <v>1383.0</v>
      </c>
      <c r="B5255" s="14" t="s">
        <v>90</v>
      </c>
      <c r="C5255" s="14" t="s">
        <v>14</v>
      </c>
      <c r="D5255" s="20" t="s">
        <v>22</v>
      </c>
      <c r="E5255" s="12" t="str">
        <f>IFERROR(__xludf.DUMMYFUNCTION("FILTER(colegios!$B$2:$B5618,colegios!$A$2:$A5618=L5255)"),"50492 CORAZON DE JESUS")</f>
        <v>50492 CORAZON DE JESUS</v>
      </c>
      <c r="F5255" s="14" t="s">
        <v>16</v>
      </c>
      <c r="G5255" s="20" t="s">
        <v>21</v>
      </c>
      <c r="H5255" s="14" t="s">
        <v>24</v>
      </c>
      <c r="I5255" s="22">
        <v>2022.0</v>
      </c>
      <c r="J5255" s="16" t="str">
        <f>IFERROR(__xludf.DUMMYFUNCTION("FILTER('CLASFICACIÓN'!$F$3:$F5618,'CLASFICACIÓN'!$G$3:$G5618=M5255)"),"LOS 3 AÑOS")</f>
        <v>LOS 3 AÑOS</v>
      </c>
      <c r="K5255" s="16"/>
      <c r="L5255" s="14" t="s">
        <v>189</v>
      </c>
      <c r="M5255" s="16" t="str">
        <f t="shared" si="1"/>
        <v>50492 CORAZON DE JESUS6 Primaria</v>
      </c>
      <c r="N5255" s="23"/>
      <c r="O5255" s="17"/>
      <c r="P5255" s="17"/>
      <c r="Q5255" s="17"/>
      <c r="R5255" s="17"/>
      <c r="S5255" s="17"/>
      <c r="T5255" s="17"/>
    </row>
    <row r="5256">
      <c r="A5256" s="21">
        <v>1384.0</v>
      </c>
      <c r="B5256" s="14" t="s">
        <v>90</v>
      </c>
      <c r="C5256" s="14" t="s">
        <v>14</v>
      </c>
      <c r="D5256" s="20" t="s">
        <v>22</v>
      </c>
      <c r="E5256" s="12" t="str">
        <f>IFERROR(__xludf.DUMMYFUNCTION("FILTER(colegios!$B$2:$B5618,colegios!$A$2:$A5618=L5256)"),"50492 CORAZON DE JESUS")</f>
        <v>50492 CORAZON DE JESUS</v>
      </c>
      <c r="F5256" s="14" t="s">
        <v>16</v>
      </c>
      <c r="G5256" s="20" t="s">
        <v>17</v>
      </c>
      <c r="H5256" s="14" t="s">
        <v>24</v>
      </c>
      <c r="I5256" s="22">
        <v>2022.0</v>
      </c>
      <c r="J5256" s="16" t="str">
        <f>IFERROR(__xludf.DUMMYFUNCTION("FILTER('CLASFICACIÓN'!$F$3:$F5618,'CLASFICACIÓN'!$G$3:$G5618=M5256)"),"LOS 3 AÑOS")</f>
        <v>LOS 3 AÑOS</v>
      </c>
      <c r="K5256" s="16"/>
      <c r="L5256" s="14" t="s">
        <v>189</v>
      </c>
      <c r="M5256" s="16" t="str">
        <f t="shared" si="1"/>
        <v>50492 CORAZON DE JESUS6 Primaria</v>
      </c>
      <c r="N5256" s="23"/>
      <c r="O5256" s="17"/>
      <c r="P5256" s="17"/>
      <c r="Q5256" s="17"/>
      <c r="R5256" s="17"/>
      <c r="S5256" s="17"/>
      <c r="T5256" s="17"/>
    </row>
    <row r="5257">
      <c r="A5257" s="21">
        <v>1385.0</v>
      </c>
      <c r="B5257" s="14" t="s">
        <v>90</v>
      </c>
      <c r="C5257" s="14" t="s">
        <v>14</v>
      </c>
      <c r="D5257" s="20" t="s">
        <v>22</v>
      </c>
      <c r="E5257" s="12" t="str">
        <f>IFERROR(__xludf.DUMMYFUNCTION("FILTER(colegios!$B$2:$B5618,colegios!$A$2:$A5618=L5257)"),"50492 CORAZON DE JESUS")</f>
        <v>50492 CORAZON DE JESUS</v>
      </c>
      <c r="F5257" s="14" t="s">
        <v>16</v>
      </c>
      <c r="G5257" s="20" t="s">
        <v>17</v>
      </c>
      <c r="H5257" s="14" t="s">
        <v>24</v>
      </c>
      <c r="I5257" s="22">
        <v>2022.0</v>
      </c>
      <c r="J5257" s="16" t="str">
        <f>IFERROR(__xludf.DUMMYFUNCTION("FILTER('CLASFICACIÓN'!$F$3:$F5618,'CLASFICACIÓN'!$G$3:$G5618=M5257)"),"LOS 3 AÑOS")</f>
        <v>LOS 3 AÑOS</v>
      </c>
      <c r="K5257" s="16"/>
      <c r="L5257" s="14" t="s">
        <v>189</v>
      </c>
      <c r="M5257" s="16" t="str">
        <f t="shared" si="1"/>
        <v>50492 CORAZON DE JESUS6 Primaria</v>
      </c>
      <c r="N5257" s="23"/>
      <c r="O5257" s="17"/>
      <c r="P5257" s="17"/>
      <c r="Q5257" s="17"/>
      <c r="R5257" s="17"/>
      <c r="S5257" s="17"/>
      <c r="T5257" s="17"/>
    </row>
    <row r="5258">
      <c r="A5258" s="21">
        <v>1386.0</v>
      </c>
      <c r="B5258" s="14" t="s">
        <v>90</v>
      </c>
      <c r="C5258" s="14" t="s">
        <v>14</v>
      </c>
      <c r="D5258" s="20" t="s">
        <v>22</v>
      </c>
      <c r="E5258" s="12" t="str">
        <f>IFERROR(__xludf.DUMMYFUNCTION("FILTER(colegios!$B$2:$B5618,colegios!$A$2:$A5618=L5258)"),"50492 CORAZON DE JESUS")</f>
        <v>50492 CORAZON DE JESUS</v>
      </c>
      <c r="F5258" s="14" t="s">
        <v>16</v>
      </c>
      <c r="G5258" s="20" t="s">
        <v>21</v>
      </c>
      <c r="H5258" s="14" t="s">
        <v>24</v>
      </c>
      <c r="I5258" s="22">
        <v>2022.0</v>
      </c>
      <c r="J5258" s="16" t="str">
        <f>IFERROR(__xludf.DUMMYFUNCTION("FILTER('CLASFICACIÓN'!$F$3:$F5618,'CLASFICACIÓN'!$G$3:$G5618=M5258)"),"LOS 3 AÑOS")</f>
        <v>LOS 3 AÑOS</v>
      </c>
      <c r="K5258" s="16"/>
      <c r="L5258" s="14" t="s">
        <v>189</v>
      </c>
      <c r="M5258" s="16" t="str">
        <f t="shared" si="1"/>
        <v>50492 CORAZON DE JESUS6 Primaria</v>
      </c>
      <c r="N5258" s="23"/>
      <c r="O5258" s="17"/>
      <c r="P5258" s="17"/>
      <c r="Q5258" s="17"/>
      <c r="R5258" s="17"/>
      <c r="S5258" s="17"/>
      <c r="T5258" s="17"/>
    </row>
    <row r="5259">
      <c r="A5259" s="21">
        <v>1387.0</v>
      </c>
      <c r="B5259" s="14" t="s">
        <v>90</v>
      </c>
      <c r="C5259" s="14" t="s">
        <v>14</v>
      </c>
      <c r="D5259" s="20" t="s">
        <v>22</v>
      </c>
      <c r="E5259" s="12" t="str">
        <f>IFERROR(__xludf.DUMMYFUNCTION("FILTER(colegios!$B$2:$B5618,colegios!$A$2:$A5618=L5259)"),"50492 CORAZON DE JESUS")</f>
        <v>50492 CORAZON DE JESUS</v>
      </c>
      <c r="F5259" s="14" t="s">
        <v>16</v>
      </c>
      <c r="G5259" s="20" t="s">
        <v>21</v>
      </c>
      <c r="H5259" s="14" t="s">
        <v>24</v>
      </c>
      <c r="I5259" s="22">
        <v>2022.0</v>
      </c>
      <c r="J5259" s="16" t="str">
        <f>IFERROR(__xludf.DUMMYFUNCTION("FILTER('CLASFICACIÓN'!$F$3:$F5618,'CLASFICACIÓN'!$G$3:$G5618=M5259)"),"LOS 3 AÑOS")</f>
        <v>LOS 3 AÑOS</v>
      </c>
      <c r="K5259" s="16"/>
      <c r="L5259" s="14" t="s">
        <v>189</v>
      </c>
      <c r="M5259" s="16" t="str">
        <f t="shared" si="1"/>
        <v>50492 CORAZON DE JESUS6 Primaria</v>
      </c>
      <c r="N5259" s="23"/>
      <c r="O5259" s="17"/>
      <c r="P5259" s="17"/>
      <c r="Q5259" s="17"/>
      <c r="R5259" s="17"/>
      <c r="S5259" s="17"/>
      <c r="T5259" s="17"/>
    </row>
    <row r="5260">
      <c r="A5260" s="21">
        <v>1388.0</v>
      </c>
      <c r="B5260" s="14" t="s">
        <v>90</v>
      </c>
      <c r="C5260" s="14" t="s">
        <v>14</v>
      </c>
      <c r="D5260" s="20" t="s">
        <v>22</v>
      </c>
      <c r="E5260" s="12" t="str">
        <f>IFERROR(__xludf.DUMMYFUNCTION("FILTER(colegios!$B$2:$B5618,colegios!$A$2:$A5618=L5260)"),"50492 CORAZON DE JESUS")</f>
        <v>50492 CORAZON DE JESUS</v>
      </c>
      <c r="F5260" s="14" t="s">
        <v>16</v>
      </c>
      <c r="G5260" s="20" t="s">
        <v>21</v>
      </c>
      <c r="H5260" s="14" t="s">
        <v>24</v>
      </c>
      <c r="I5260" s="22">
        <v>2022.0</v>
      </c>
      <c r="J5260" s="16" t="str">
        <f>IFERROR(__xludf.DUMMYFUNCTION("FILTER('CLASFICACIÓN'!$F$3:$F5618,'CLASFICACIÓN'!$G$3:$G5618=M5260)"),"LOS 3 AÑOS")</f>
        <v>LOS 3 AÑOS</v>
      </c>
      <c r="K5260" s="16"/>
      <c r="L5260" s="14" t="s">
        <v>189</v>
      </c>
      <c r="M5260" s="16" t="str">
        <f t="shared" si="1"/>
        <v>50492 CORAZON DE JESUS6 Primaria</v>
      </c>
      <c r="N5260" s="23"/>
      <c r="O5260" s="17"/>
      <c r="P5260" s="17"/>
      <c r="Q5260" s="17"/>
      <c r="R5260" s="17"/>
      <c r="S5260" s="17"/>
      <c r="T5260" s="17"/>
    </row>
    <row r="5261">
      <c r="A5261" s="21">
        <v>1389.0</v>
      </c>
      <c r="B5261" s="14" t="s">
        <v>90</v>
      </c>
      <c r="C5261" s="14" t="s">
        <v>14</v>
      </c>
      <c r="D5261" s="20" t="s">
        <v>22</v>
      </c>
      <c r="E5261" s="12" t="str">
        <f>IFERROR(__xludf.DUMMYFUNCTION("FILTER(colegios!$B$2:$B5618,colegios!$A$2:$A5618=L5261)"),"50492 CORAZON DE JESUS")</f>
        <v>50492 CORAZON DE JESUS</v>
      </c>
      <c r="F5261" s="14" t="s">
        <v>16</v>
      </c>
      <c r="G5261" s="20" t="s">
        <v>21</v>
      </c>
      <c r="H5261" s="14" t="s">
        <v>24</v>
      </c>
      <c r="I5261" s="22">
        <v>2022.0</v>
      </c>
      <c r="J5261" s="16" t="str">
        <f>IFERROR(__xludf.DUMMYFUNCTION("FILTER('CLASFICACIÓN'!$F$3:$F5618,'CLASFICACIÓN'!$G$3:$G5618=M5261)"),"LOS 3 AÑOS")</f>
        <v>LOS 3 AÑOS</v>
      </c>
      <c r="K5261" s="16"/>
      <c r="L5261" s="14" t="s">
        <v>189</v>
      </c>
      <c r="M5261" s="16" t="str">
        <f t="shared" si="1"/>
        <v>50492 CORAZON DE JESUS6 Primaria</v>
      </c>
      <c r="N5261" s="23"/>
      <c r="O5261" s="17"/>
      <c r="P5261" s="17"/>
      <c r="Q5261" s="17"/>
      <c r="R5261" s="17"/>
      <c r="S5261" s="17"/>
      <c r="T5261" s="17"/>
    </row>
    <row r="5262">
      <c r="A5262" s="21">
        <v>1390.0</v>
      </c>
      <c r="B5262" s="14" t="s">
        <v>90</v>
      </c>
      <c r="C5262" s="14" t="s">
        <v>14</v>
      </c>
      <c r="D5262" s="20" t="s">
        <v>22</v>
      </c>
      <c r="E5262" s="12" t="str">
        <f>IFERROR(__xludf.DUMMYFUNCTION("FILTER(colegios!$B$2:$B5618,colegios!$A$2:$A5618=L5262)"),"50492 CORAZON DE JESUS")</f>
        <v>50492 CORAZON DE JESUS</v>
      </c>
      <c r="F5262" s="14" t="s">
        <v>16</v>
      </c>
      <c r="G5262" s="20" t="s">
        <v>17</v>
      </c>
      <c r="H5262" s="14" t="s">
        <v>24</v>
      </c>
      <c r="I5262" s="22">
        <v>2022.0</v>
      </c>
      <c r="J5262" s="16" t="str">
        <f>IFERROR(__xludf.DUMMYFUNCTION("FILTER('CLASFICACIÓN'!$F$3:$F5618,'CLASFICACIÓN'!$G$3:$G5618=M5262)"),"LOS 3 AÑOS")</f>
        <v>LOS 3 AÑOS</v>
      </c>
      <c r="K5262" s="16"/>
      <c r="L5262" s="14" t="s">
        <v>189</v>
      </c>
      <c r="M5262" s="16" t="str">
        <f t="shared" si="1"/>
        <v>50492 CORAZON DE JESUS6 Primaria</v>
      </c>
      <c r="N5262" s="23"/>
      <c r="O5262" s="17"/>
      <c r="P5262" s="17"/>
      <c r="Q5262" s="17"/>
      <c r="R5262" s="17"/>
      <c r="S5262" s="17"/>
      <c r="T5262" s="17"/>
    </row>
    <row r="5263">
      <c r="A5263" s="21">
        <v>1391.0</v>
      </c>
      <c r="B5263" s="14" t="s">
        <v>90</v>
      </c>
      <c r="C5263" s="14" t="s">
        <v>14</v>
      </c>
      <c r="D5263" s="20" t="s">
        <v>22</v>
      </c>
      <c r="E5263" s="12" t="str">
        <f>IFERROR(__xludf.DUMMYFUNCTION("FILTER(colegios!$B$2:$B5618,colegios!$A$2:$A5618=L5263)"),"50492 CORAZON DE JESUS")</f>
        <v>50492 CORAZON DE JESUS</v>
      </c>
      <c r="F5263" s="14" t="s">
        <v>16</v>
      </c>
      <c r="G5263" s="20" t="s">
        <v>17</v>
      </c>
      <c r="H5263" s="14" t="s">
        <v>24</v>
      </c>
      <c r="I5263" s="22">
        <v>2022.0</v>
      </c>
      <c r="J5263" s="16" t="str">
        <f>IFERROR(__xludf.DUMMYFUNCTION("FILTER('CLASFICACIÓN'!$F$3:$F5618,'CLASFICACIÓN'!$G$3:$G5618=M5263)"),"LOS 3 AÑOS")</f>
        <v>LOS 3 AÑOS</v>
      </c>
      <c r="K5263" s="16"/>
      <c r="L5263" s="14" t="s">
        <v>189</v>
      </c>
      <c r="M5263" s="16" t="str">
        <f t="shared" si="1"/>
        <v>50492 CORAZON DE JESUS6 Primaria</v>
      </c>
      <c r="N5263" s="23"/>
      <c r="O5263" s="17"/>
      <c r="P5263" s="17"/>
      <c r="Q5263" s="17"/>
      <c r="R5263" s="17"/>
      <c r="S5263" s="17"/>
      <c r="T5263" s="17"/>
    </row>
    <row r="5264">
      <c r="A5264" s="21">
        <v>1392.0</v>
      </c>
      <c r="B5264" s="14" t="s">
        <v>90</v>
      </c>
      <c r="C5264" s="14" t="s">
        <v>14</v>
      </c>
      <c r="D5264" s="20" t="s">
        <v>22</v>
      </c>
      <c r="E5264" s="12" t="str">
        <f>IFERROR(__xludf.DUMMYFUNCTION("FILTER(colegios!$B$2:$B5618,colegios!$A$2:$A5618=L5264)"),"50492 CORAZON DE JESUS")</f>
        <v>50492 CORAZON DE JESUS</v>
      </c>
      <c r="F5264" s="14" t="s">
        <v>16</v>
      </c>
      <c r="G5264" s="20" t="s">
        <v>17</v>
      </c>
      <c r="H5264" s="14" t="s">
        <v>24</v>
      </c>
      <c r="I5264" s="22">
        <v>2022.0</v>
      </c>
      <c r="J5264" s="16" t="str">
        <f>IFERROR(__xludf.DUMMYFUNCTION("FILTER('CLASFICACIÓN'!$F$3:$F5618,'CLASFICACIÓN'!$G$3:$G5618=M5264)"),"LOS 3 AÑOS")</f>
        <v>LOS 3 AÑOS</v>
      </c>
      <c r="K5264" s="16"/>
      <c r="L5264" s="14" t="s">
        <v>189</v>
      </c>
      <c r="M5264" s="16" t="str">
        <f t="shared" si="1"/>
        <v>50492 CORAZON DE JESUS6 Primaria</v>
      </c>
      <c r="N5264" s="23"/>
      <c r="O5264" s="17"/>
      <c r="P5264" s="17"/>
      <c r="Q5264" s="17"/>
      <c r="R5264" s="17"/>
      <c r="S5264" s="17"/>
      <c r="T5264" s="17"/>
    </row>
    <row r="5265">
      <c r="A5265" s="21">
        <v>1393.0</v>
      </c>
      <c r="B5265" s="14" t="s">
        <v>90</v>
      </c>
      <c r="C5265" s="14" t="s">
        <v>14</v>
      </c>
      <c r="D5265" s="20" t="s">
        <v>22</v>
      </c>
      <c r="E5265" s="12" t="str">
        <f>IFERROR(__xludf.DUMMYFUNCTION("FILTER(colegios!$B$2:$B5618,colegios!$A$2:$A5618=L5265)"),"50492 CORAZON DE JESUS")</f>
        <v>50492 CORAZON DE JESUS</v>
      </c>
      <c r="F5265" s="14" t="s">
        <v>16</v>
      </c>
      <c r="G5265" s="20" t="s">
        <v>17</v>
      </c>
      <c r="H5265" s="14" t="s">
        <v>24</v>
      </c>
      <c r="I5265" s="22">
        <v>2022.0</v>
      </c>
      <c r="J5265" s="16" t="str">
        <f>IFERROR(__xludf.DUMMYFUNCTION("FILTER('CLASFICACIÓN'!$F$3:$F5618,'CLASFICACIÓN'!$G$3:$G5618=M5265)"),"LOS 3 AÑOS")</f>
        <v>LOS 3 AÑOS</v>
      </c>
      <c r="K5265" s="16"/>
      <c r="L5265" s="14" t="s">
        <v>189</v>
      </c>
      <c r="M5265" s="16" t="str">
        <f t="shared" si="1"/>
        <v>50492 CORAZON DE JESUS6 Primaria</v>
      </c>
      <c r="N5265" s="23"/>
      <c r="O5265" s="17"/>
      <c r="P5265" s="17"/>
      <c r="Q5265" s="17"/>
      <c r="R5265" s="17"/>
      <c r="S5265" s="17"/>
      <c r="T5265" s="17"/>
    </row>
    <row r="5266">
      <c r="A5266" s="21">
        <v>1394.0</v>
      </c>
      <c r="B5266" s="14" t="s">
        <v>90</v>
      </c>
      <c r="C5266" s="14" t="s">
        <v>14</v>
      </c>
      <c r="D5266" s="20" t="s">
        <v>22</v>
      </c>
      <c r="E5266" s="12" t="str">
        <f>IFERROR(__xludf.DUMMYFUNCTION("FILTER(colegios!$B$2:$B5618,colegios!$A$2:$A5618=L5266)"),"50492 CORAZON DE JESUS")</f>
        <v>50492 CORAZON DE JESUS</v>
      </c>
      <c r="F5266" s="14" t="s">
        <v>16</v>
      </c>
      <c r="G5266" s="20" t="s">
        <v>21</v>
      </c>
      <c r="H5266" s="14" t="s">
        <v>24</v>
      </c>
      <c r="I5266" s="22">
        <v>2022.0</v>
      </c>
      <c r="J5266" s="16" t="str">
        <f>IFERROR(__xludf.DUMMYFUNCTION("FILTER('CLASFICACIÓN'!$F$3:$F5618,'CLASFICACIÓN'!$G$3:$G5618=M5266)"),"LOS 3 AÑOS")</f>
        <v>LOS 3 AÑOS</v>
      </c>
      <c r="K5266" s="16"/>
      <c r="L5266" s="14" t="s">
        <v>189</v>
      </c>
      <c r="M5266" s="16" t="str">
        <f t="shared" si="1"/>
        <v>50492 CORAZON DE JESUS6 Primaria</v>
      </c>
      <c r="N5266" s="23"/>
      <c r="O5266" s="17"/>
      <c r="P5266" s="17"/>
      <c r="Q5266" s="17"/>
      <c r="R5266" s="17"/>
      <c r="S5266" s="17"/>
      <c r="T5266" s="17"/>
    </row>
    <row r="5267">
      <c r="A5267" s="21">
        <v>1395.0</v>
      </c>
      <c r="B5267" s="14" t="s">
        <v>90</v>
      </c>
      <c r="C5267" s="14" t="s">
        <v>14</v>
      </c>
      <c r="D5267" s="20" t="s">
        <v>22</v>
      </c>
      <c r="E5267" s="12" t="str">
        <f>IFERROR(__xludf.DUMMYFUNCTION("FILTER(colegios!$B$2:$B5618,colegios!$A$2:$A5618=L5267)"),"50492 CORAZON DE JESUS")</f>
        <v>50492 CORAZON DE JESUS</v>
      </c>
      <c r="F5267" s="14" t="s">
        <v>16</v>
      </c>
      <c r="G5267" s="20" t="s">
        <v>21</v>
      </c>
      <c r="H5267" s="14" t="s">
        <v>24</v>
      </c>
      <c r="I5267" s="22">
        <v>2022.0</v>
      </c>
      <c r="J5267" s="16" t="str">
        <f>IFERROR(__xludf.DUMMYFUNCTION("FILTER('CLASFICACIÓN'!$F$3:$F5618,'CLASFICACIÓN'!$G$3:$G5618=M5267)"),"LOS 3 AÑOS")</f>
        <v>LOS 3 AÑOS</v>
      </c>
      <c r="K5267" s="16"/>
      <c r="L5267" s="14" t="s">
        <v>189</v>
      </c>
      <c r="M5267" s="16" t="str">
        <f t="shared" si="1"/>
        <v>50492 CORAZON DE JESUS6 Primaria</v>
      </c>
      <c r="N5267" s="23"/>
      <c r="O5267" s="17"/>
      <c r="P5267" s="17"/>
      <c r="Q5267" s="17"/>
      <c r="R5267" s="17"/>
      <c r="S5267" s="17"/>
      <c r="T5267" s="17"/>
    </row>
    <row r="5268">
      <c r="A5268" s="21">
        <v>1396.0</v>
      </c>
      <c r="B5268" s="14" t="s">
        <v>90</v>
      </c>
      <c r="C5268" s="14" t="s">
        <v>14</v>
      </c>
      <c r="D5268" s="20" t="s">
        <v>22</v>
      </c>
      <c r="E5268" s="12" t="str">
        <f>IFERROR(__xludf.DUMMYFUNCTION("FILTER(colegios!$B$2:$B5618,colegios!$A$2:$A5618=L5268)"),"50492 CORAZON DE JESUS")</f>
        <v>50492 CORAZON DE JESUS</v>
      </c>
      <c r="F5268" s="14" t="s">
        <v>16</v>
      </c>
      <c r="G5268" s="20" t="s">
        <v>17</v>
      </c>
      <c r="H5268" s="14" t="s">
        <v>24</v>
      </c>
      <c r="I5268" s="22">
        <v>2022.0</v>
      </c>
      <c r="J5268" s="16" t="str">
        <f>IFERROR(__xludf.DUMMYFUNCTION("FILTER('CLASFICACIÓN'!$F$3:$F5618,'CLASFICACIÓN'!$G$3:$G5618=M5268)"),"LOS 3 AÑOS")</f>
        <v>LOS 3 AÑOS</v>
      </c>
      <c r="K5268" s="16"/>
      <c r="L5268" s="14" t="s">
        <v>189</v>
      </c>
      <c r="M5268" s="16" t="str">
        <f t="shared" si="1"/>
        <v>50492 CORAZON DE JESUS6 Primaria</v>
      </c>
      <c r="N5268" s="23"/>
      <c r="O5268" s="17"/>
      <c r="P5268" s="17"/>
      <c r="Q5268" s="17"/>
      <c r="R5268" s="17"/>
      <c r="S5268" s="17"/>
      <c r="T5268" s="17"/>
    </row>
    <row r="5269">
      <c r="A5269" s="21">
        <v>1397.0</v>
      </c>
      <c r="B5269" s="14" t="s">
        <v>90</v>
      </c>
      <c r="C5269" s="14" t="s">
        <v>14</v>
      </c>
      <c r="D5269" s="20" t="s">
        <v>22</v>
      </c>
      <c r="E5269" s="12" t="str">
        <f>IFERROR(__xludf.DUMMYFUNCTION("FILTER(colegios!$B$2:$B5618,colegios!$A$2:$A5618=L5269)"),"50492 CORAZON DE JESUS")</f>
        <v>50492 CORAZON DE JESUS</v>
      </c>
      <c r="F5269" s="14" t="s">
        <v>16</v>
      </c>
      <c r="G5269" s="20" t="s">
        <v>17</v>
      </c>
      <c r="H5269" s="14" t="s">
        <v>24</v>
      </c>
      <c r="I5269" s="22">
        <v>2022.0</v>
      </c>
      <c r="J5269" s="16" t="str">
        <f>IFERROR(__xludf.DUMMYFUNCTION("FILTER('CLASFICACIÓN'!$F$3:$F5618,'CLASFICACIÓN'!$G$3:$G5618=M5269)"),"LOS 3 AÑOS")</f>
        <v>LOS 3 AÑOS</v>
      </c>
      <c r="K5269" s="16"/>
      <c r="L5269" s="14" t="s">
        <v>189</v>
      </c>
      <c r="M5269" s="16" t="str">
        <f t="shared" si="1"/>
        <v>50492 CORAZON DE JESUS6 Primaria</v>
      </c>
      <c r="N5269" s="23"/>
      <c r="O5269" s="17"/>
      <c r="P5269" s="17"/>
      <c r="Q5269" s="17"/>
      <c r="R5269" s="17"/>
      <c r="S5269" s="17"/>
      <c r="T5269" s="17"/>
    </row>
    <row r="5270">
      <c r="A5270" s="21">
        <v>1398.0</v>
      </c>
      <c r="B5270" s="14" t="s">
        <v>90</v>
      </c>
      <c r="C5270" s="14" t="s">
        <v>14</v>
      </c>
      <c r="D5270" s="20" t="s">
        <v>22</v>
      </c>
      <c r="E5270" s="12" t="str">
        <f>IFERROR(__xludf.DUMMYFUNCTION("FILTER(colegios!$B$2:$B5618,colegios!$A$2:$A5618=L5270)"),"50492 CORAZON DE JESUS")</f>
        <v>50492 CORAZON DE JESUS</v>
      </c>
      <c r="F5270" s="14" t="s">
        <v>16</v>
      </c>
      <c r="G5270" s="20" t="s">
        <v>17</v>
      </c>
      <c r="H5270" s="14" t="s">
        <v>24</v>
      </c>
      <c r="I5270" s="22">
        <v>2022.0</v>
      </c>
      <c r="J5270" s="16" t="str">
        <f>IFERROR(__xludf.DUMMYFUNCTION("FILTER('CLASFICACIÓN'!$F$3:$F5618,'CLASFICACIÓN'!$G$3:$G5618=M5270)"),"LOS 3 AÑOS")</f>
        <v>LOS 3 AÑOS</v>
      </c>
      <c r="K5270" s="16"/>
      <c r="L5270" s="14" t="s">
        <v>189</v>
      </c>
      <c r="M5270" s="16" t="str">
        <f t="shared" si="1"/>
        <v>50492 CORAZON DE JESUS6 Primaria</v>
      </c>
      <c r="N5270" s="23"/>
      <c r="O5270" s="17"/>
      <c r="P5270" s="17"/>
      <c r="Q5270" s="17"/>
      <c r="R5270" s="17"/>
      <c r="S5270" s="17"/>
      <c r="T5270" s="17"/>
    </row>
    <row r="5271">
      <c r="A5271" s="21">
        <v>1399.0</v>
      </c>
      <c r="B5271" s="14" t="s">
        <v>90</v>
      </c>
      <c r="C5271" s="14" t="s">
        <v>14</v>
      </c>
      <c r="D5271" s="20" t="s">
        <v>22</v>
      </c>
      <c r="E5271" s="12" t="str">
        <f>IFERROR(__xludf.DUMMYFUNCTION("FILTER(colegios!$B$2:$B5618,colegios!$A$2:$A5618=L5271)"),"50492 CORAZON DE JESUS")</f>
        <v>50492 CORAZON DE JESUS</v>
      </c>
      <c r="F5271" s="14" t="s">
        <v>16</v>
      </c>
      <c r="G5271" s="20" t="s">
        <v>17</v>
      </c>
      <c r="H5271" s="14" t="s">
        <v>24</v>
      </c>
      <c r="I5271" s="22">
        <v>2022.0</v>
      </c>
      <c r="J5271" s="16" t="str">
        <f>IFERROR(__xludf.DUMMYFUNCTION("FILTER('CLASFICACIÓN'!$F$3:$F5618,'CLASFICACIÓN'!$G$3:$G5618=M5271)"),"LOS 3 AÑOS")</f>
        <v>LOS 3 AÑOS</v>
      </c>
      <c r="K5271" s="16"/>
      <c r="L5271" s="14" t="s">
        <v>189</v>
      </c>
      <c r="M5271" s="16" t="str">
        <f t="shared" si="1"/>
        <v>50492 CORAZON DE JESUS6 Primaria</v>
      </c>
      <c r="N5271" s="23"/>
      <c r="O5271" s="17"/>
      <c r="P5271" s="17"/>
      <c r="Q5271" s="17"/>
      <c r="R5271" s="17"/>
      <c r="S5271" s="17"/>
      <c r="T5271" s="17"/>
    </row>
    <row r="5272">
      <c r="A5272" s="21">
        <v>1400.0</v>
      </c>
      <c r="B5272" s="14" t="s">
        <v>90</v>
      </c>
      <c r="C5272" s="14" t="s">
        <v>14</v>
      </c>
      <c r="D5272" s="20" t="s">
        <v>22</v>
      </c>
      <c r="E5272" s="12" t="str">
        <f>IFERROR(__xludf.DUMMYFUNCTION("FILTER(colegios!$B$2:$B5618,colegios!$A$2:$A5618=L5272)"),"50492 CORAZON DE JESUS")</f>
        <v>50492 CORAZON DE JESUS</v>
      </c>
      <c r="F5272" s="14" t="s">
        <v>16</v>
      </c>
      <c r="G5272" s="20" t="s">
        <v>21</v>
      </c>
      <c r="H5272" s="14" t="s">
        <v>24</v>
      </c>
      <c r="I5272" s="22">
        <v>2022.0</v>
      </c>
      <c r="J5272" s="16" t="str">
        <f>IFERROR(__xludf.DUMMYFUNCTION("FILTER('CLASFICACIÓN'!$F$3:$F5618,'CLASFICACIÓN'!$G$3:$G5618=M5272)"),"LOS 3 AÑOS")</f>
        <v>LOS 3 AÑOS</v>
      </c>
      <c r="K5272" s="16"/>
      <c r="L5272" s="14" t="s">
        <v>189</v>
      </c>
      <c r="M5272" s="16" t="str">
        <f t="shared" si="1"/>
        <v>50492 CORAZON DE JESUS6 Primaria</v>
      </c>
      <c r="N5272" s="23"/>
      <c r="O5272" s="17"/>
      <c r="P5272" s="17"/>
      <c r="Q5272" s="17"/>
      <c r="R5272" s="17"/>
      <c r="S5272" s="17"/>
      <c r="T5272" s="17"/>
    </row>
    <row r="5273">
      <c r="A5273" s="21">
        <v>1401.0</v>
      </c>
      <c r="B5273" s="14" t="s">
        <v>90</v>
      </c>
      <c r="C5273" s="14" t="s">
        <v>14</v>
      </c>
      <c r="D5273" s="20" t="s">
        <v>22</v>
      </c>
      <c r="E5273" s="12" t="str">
        <f>IFERROR(__xludf.DUMMYFUNCTION("FILTER(colegios!$B$2:$B5618,colegios!$A$2:$A5618=L5273)"),"50492 CORAZON DE JESUS")</f>
        <v>50492 CORAZON DE JESUS</v>
      </c>
      <c r="F5273" s="14" t="s">
        <v>16</v>
      </c>
      <c r="G5273" s="20" t="s">
        <v>17</v>
      </c>
      <c r="H5273" s="14" t="s">
        <v>32</v>
      </c>
      <c r="I5273" s="22">
        <v>2022.0</v>
      </c>
      <c r="J5273" s="16" t="str">
        <f>IFERROR(__xludf.DUMMYFUNCTION("FILTER('CLASFICACIÓN'!$F$3:$F5618,'CLASFICACIÓN'!$G$3:$G5618=M5273)"),"LOS 3 AÑOS")</f>
        <v>LOS 3 AÑOS</v>
      </c>
      <c r="K5273" s="16"/>
      <c r="L5273" s="14" t="s">
        <v>189</v>
      </c>
      <c r="M5273" s="16" t="str">
        <f t="shared" si="1"/>
        <v>50492 CORAZON DE JESUS6 Primaria</v>
      </c>
      <c r="N5273" s="23"/>
      <c r="O5273" s="17"/>
      <c r="P5273" s="17"/>
      <c r="Q5273" s="17"/>
      <c r="R5273" s="17"/>
      <c r="S5273" s="17"/>
      <c r="T5273" s="17"/>
    </row>
    <row r="5274">
      <c r="A5274" s="21">
        <v>1402.0</v>
      </c>
      <c r="B5274" s="14" t="s">
        <v>90</v>
      </c>
      <c r="C5274" s="14" t="s">
        <v>14</v>
      </c>
      <c r="D5274" s="20" t="s">
        <v>22</v>
      </c>
      <c r="E5274" s="12" t="str">
        <f>IFERROR(__xludf.DUMMYFUNCTION("FILTER(colegios!$B$2:$B5618,colegios!$A$2:$A5618=L5274)"),"501455 CRISTO REY TTIKARIY")</f>
        <v>501455 CRISTO REY TTIKARIY</v>
      </c>
      <c r="F5274" s="14" t="s">
        <v>16</v>
      </c>
      <c r="G5274" s="20" t="s">
        <v>17</v>
      </c>
      <c r="H5274" s="14" t="s">
        <v>18</v>
      </c>
      <c r="I5274" s="22">
        <v>2022.0</v>
      </c>
      <c r="J5274" s="16" t="str">
        <f>IFERROR(__xludf.DUMMYFUNCTION("FILTER('CLASFICACIÓN'!$F$3:$F5618,'CLASFICACIÓN'!$G$3:$G5618=M5274)"),"LOS 3 AÑOS")</f>
        <v>LOS 3 AÑOS</v>
      </c>
      <c r="K5274" s="16"/>
      <c r="L5274" s="14" t="s">
        <v>190</v>
      </c>
      <c r="M5274" s="16" t="str">
        <f t="shared" si="1"/>
        <v>501455 CRISTO REY TTIKARIY6 Primaria</v>
      </c>
      <c r="N5274" s="23"/>
      <c r="O5274" s="17"/>
      <c r="P5274" s="17"/>
      <c r="Q5274" s="17"/>
      <c r="R5274" s="17"/>
      <c r="S5274" s="17"/>
      <c r="T5274" s="17"/>
    </row>
    <row r="5275">
      <c r="A5275" s="21">
        <v>1403.0</v>
      </c>
      <c r="B5275" s="14" t="s">
        <v>90</v>
      </c>
      <c r="C5275" s="14" t="s">
        <v>14</v>
      </c>
      <c r="D5275" s="20" t="s">
        <v>22</v>
      </c>
      <c r="E5275" s="12" t="str">
        <f>IFERROR(__xludf.DUMMYFUNCTION("FILTER(colegios!$B$2:$B5618,colegios!$A$2:$A5618=L5275)"),"50550")</f>
        <v>50550</v>
      </c>
      <c r="F5275" s="14" t="s">
        <v>16</v>
      </c>
      <c r="G5275" s="20" t="s">
        <v>17</v>
      </c>
      <c r="H5275" s="14" t="s">
        <v>18</v>
      </c>
      <c r="I5275" s="22">
        <v>2022.0</v>
      </c>
      <c r="J5275" s="16" t="str">
        <f>IFERROR(__xludf.DUMMYFUNCTION("FILTER('CLASFICACIÓN'!$F$3:$F5618,'CLASFICACIÓN'!$G$3:$G5618=M5275)"),"LOS 3 AÑOS")</f>
        <v>LOS 3 AÑOS</v>
      </c>
      <c r="K5275" s="16"/>
      <c r="L5275" s="14" t="s">
        <v>191</v>
      </c>
      <c r="M5275" s="16" t="str">
        <f t="shared" si="1"/>
        <v>505506 Primaria</v>
      </c>
      <c r="N5275" s="23"/>
      <c r="O5275" s="17"/>
      <c r="P5275" s="17"/>
      <c r="Q5275" s="17"/>
      <c r="R5275" s="17"/>
      <c r="S5275" s="17"/>
      <c r="T5275" s="17"/>
    </row>
    <row r="5276">
      <c r="A5276" s="21">
        <v>1404.0</v>
      </c>
      <c r="B5276" s="14" t="s">
        <v>90</v>
      </c>
      <c r="C5276" s="14" t="s">
        <v>14</v>
      </c>
      <c r="D5276" s="20" t="s">
        <v>22</v>
      </c>
      <c r="E5276" s="12" t="str">
        <f>IFERROR(__xludf.DUMMYFUNCTION("FILTER(colegios!$B$2:$B5618,colegios!$A$2:$A5618=L5276)"),"50558")</f>
        <v>50558</v>
      </c>
      <c r="F5276" s="14" t="s">
        <v>16</v>
      </c>
      <c r="G5276" s="20" t="s">
        <v>17</v>
      </c>
      <c r="H5276" s="14" t="s">
        <v>18</v>
      </c>
      <c r="I5276" s="22">
        <v>2022.0</v>
      </c>
      <c r="J5276" s="16" t="str">
        <f>IFERROR(__xludf.DUMMYFUNCTION("FILTER('CLASFICACIÓN'!$F$3:$F5618,'CLASFICACIÓN'!$G$3:$G5618=M5276)"),"SOLO 2022 Y 2024")</f>
        <v>SOLO 2022 Y 2024</v>
      </c>
      <c r="K5276" s="16"/>
      <c r="L5276" s="14" t="s">
        <v>192</v>
      </c>
      <c r="M5276" s="16" t="str">
        <f t="shared" si="1"/>
        <v>505586 Primaria</v>
      </c>
      <c r="N5276" s="23"/>
      <c r="O5276" s="17"/>
      <c r="P5276" s="17"/>
      <c r="Q5276" s="17"/>
      <c r="R5276" s="17"/>
      <c r="S5276" s="17"/>
      <c r="T5276" s="17"/>
    </row>
    <row r="5277">
      <c r="A5277" s="21">
        <v>1405.0</v>
      </c>
      <c r="B5277" s="14" t="s">
        <v>90</v>
      </c>
      <c r="C5277" s="14" t="s">
        <v>14</v>
      </c>
      <c r="D5277" s="20" t="s">
        <v>22</v>
      </c>
      <c r="E5277" s="12" t="str">
        <f>IFERROR(__xludf.DUMMYFUNCTION("FILTER(colegios!$B$2:$B5618,colegios!$A$2:$A5618=L5277)"),"50854")</f>
        <v>50854</v>
      </c>
      <c r="F5277" s="14" t="s">
        <v>16</v>
      </c>
      <c r="G5277" s="20" t="s">
        <v>17</v>
      </c>
      <c r="H5277" s="14" t="s">
        <v>18</v>
      </c>
      <c r="I5277" s="22">
        <v>2022.0</v>
      </c>
      <c r="J5277" s="16" t="str">
        <f>IFERROR(__xludf.DUMMYFUNCTION("FILTER('CLASFICACIÓN'!$F$3:$F5618,'CLASFICACIÓN'!$G$3:$G5618=M5277)"),"SOLO 2022 Y 2024")</f>
        <v>SOLO 2022 Y 2024</v>
      </c>
      <c r="K5277" s="16"/>
      <c r="L5277" s="14" t="s">
        <v>197</v>
      </c>
      <c r="M5277" s="16" t="str">
        <f t="shared" si="1"/>
        <v>508546 Primaria</v>
      </c>
      <c r="N5277" s="23"/>
      <c r="O5277" s="17"/>
      <c r="P5277" s="17"/>
      <c r="Q5277" s="17"/>
      <c r="R5277" s="17"/>
      <c r="S5277" s="17"/>
      <c r="T5277" s="17"/>
    </row>
    <row r="5278">
      <c r="A5278" s="21">
        <v>1406.0</v>
      </c>
      <c r="B5278" s="14" t="s">
        <v>90</v>
      </c>
      <c r="C5278" s="14" t="s">
        <v>14</v>
      </c>
      <c r="D5278" s="20" t="s">
        <v>22</v>
      </c>
      <c r="E5278" s="12" t="str">
        <f>IFERROR(__xludf.DUMMYFUNCTION("FILTER(colegios!$B$2:$B5618,colegios!$A$2:$A5618=L5278)"),"50765")</f>
        <v>50765</v>
      </c>
      <c r="F5278" s="14" t="s">
        <v>16</v>
      </c>
      <c r="G5278" s="20" t="s">
        <v>17</v>
      </c>
      <c r="H5278" s="14" t="s">
        <v>18</v>
      </c>
      <c r="I5278" s="22">
        <v>2022.0</v>
      </c>
      <c r="J5278" s="16" t="str">
        <f>IFERROR(__xludf.DUMMYFUNCTION("FILTER('CLASFICACIÓN'!$F$3:$F5618,'CLASFICACIÓN'!$G$3:$G5618=M5278)"),"LOS 3 AÑOS")</f>
        <v>LOS 3 AÑOS</v>
      </c>
      <c r="K5278" s="16"/>
      <c r="L5278" s="14" t="s">
        <v>193</v>
      </c>
      <c r="M5278" s="16" t="str">
        <f t="shared" si="1"/>
        <v>507656 Primaria</v>
      </c>
      <c r="N5278" s="23"/>
      <c r="O5278" s="17"/>
      <c r="P5278" s="17"/>
      <c r="Q5278" s="17"/>
      <c r="R5278" s="17"/>
      <c r="S5278" s="17"/>
      <c r="T5278" s="17"/>
    </row>
    <row r="5279">
      <c r="A5279" s="21">
        <v>1407.0</v>
      </c>
      <c r="B5279" s="14" t="s">
        <v>90</v>
      </c>
      <c r="C5279" s="14" t="s">
        <v>14</v>
      </c>
      <c r="D5279" s="20" t="s">
        <v>22</v>
      </c>
      <c r="E5279" s="12" t="str">
        <f>IFERROR(__xludf.DUMMYFUNCTION("FILTER(colegios!$B$2:$B5618,colegios!$A$2:$A5618=L5279)"),"50719 VIRGEN DEL CARMEN")</f>
        <v>50719 VIRGEN DEL CARMEN</v>
      </c>
      <c r="F5279" s="14" t="s">
        <v>16</v>
      </c>
      <c r="G5279" s="20" t="s">
        <v>21</v>
      </c>
      <c r="H5279" s="14" t="s">
        <v>18</v>
      </c>
      <c r="I5279" s="22">
        <v>2022.0</v>
      </c>
      <c r="J5279" s="16" t="str">
        <f>IFERROR(__xludf.DUMMYFUNCTION("FILTER('CLASFICACIÓN'!$F$3:$F5618,'CLASFICACIÓN'!$G$3:$G5618=M5279)"),"SOLO 2022 Y 2024")</f>
        <v>SOLO 2022 Y 2024</v>
      </c>
      <c r="K5279" s="16"/>
      <c r="L5279" s="14" t="s">
        <v>194</v>
      </c>
      <c r="M5279" s="16" t="str">
        <f t="shared" si="1"/>
        <v>50719 VIRGEN DEL CARMEN6 Primaria</v>
      </c>
      <c r="N5279" s="23"/>
      <c r="O5279" s="17"/>
      <c r="P5279" s="17"/>
      <c r="Q5279" s="17"/>
      <c r="R5279" s="17"/>
      <c r="S5279" s="17"/>
      <c r="T5279" s="17"/>
    </row>
    <row r="5280">
      <c r="A5280" s="21">
        <v>1408.0</v>
      </c>
      <c r="B5280" s="14" t="s">
        <v>90</v>
      </c>
      <c r="C5280" s="14" t="s">
        <v>14</v>
      </c>
      <c r="D5280" s="20" t="s">
        <v>22</v>
      </c>
      <c r="E5280" s="12" t="str">
        <f>IFERROR(__xludf.DUMMYFUNCTION("FILTER(colegios!$B$2:$B5618,colegios!$A$2:$A5618=L5280)"),"50719 VIRGEN DEL CARMEN")</f>
        <v>50719 VIRGEN DEL CARMEN</v>
      </c>
      <c r="F5280" s="14" t="s">
        <v>16</v>
      </c>
      <c r="G5280" s="20" t="s">
        <v>21</v>
      </c>
      <c r="H5280" s="14" t="s">
        <v>18</v>
      </c>
      <c r="I5280" s="22">
        <v>2022.0</v>
      </c>
      <c r="J5280" s="16" t="str">
        <f>IFERROR(__xludf.DUMMYFUNCTION("FILTER('CLASFICACIÓN'!$F$3:$F5618,'CLASFICACIÓN'!$G$3:$G5618=M5280)"),"SOLO 2022 Y 2024")</f>
        <v>SOLO 2022 Y 2024</v>
      </c>
      <c r="K5280" s="16"/>
      <c r="L5280" s="14" t="s">
        <v>194</v>
      </c>
      <c r="M5280" s="16" t="str">
        <f t="shared" si="1"/>
        <v>50719 VIRGEN DEL CARMEN6 Primaria</v>
      </c>
      <c r="N5280" s="23"/>
      <c r="O5280" s="17"/>
      <c r="P5280" s="17"/>
      <c r="Q5280" s="17"/>
      <c r="R5280" s="17"/>
      <c r="S5280" s="17"/>
      <c r="T5280" s="17"/>
    </row>
    <row r="5281">
      <c r="A5281" s="21">
        <v>1409.0</v>
      </c>
      <c r="B5281" s="14" t="s">
        <v>90</v>
      </c>
      <c r="C5281" s="14" t="s">
        <v>14</v>
      </c>
      <c r="D5281" s="20" t="s">
        <v>22</v>
      </c>
      <c r="E5281" s="12" t="str">
        <f>IFERROR(__xludf.DUMMYFUNCTION("FILTER(colegios!$B$2:$B5618,colegios!$A$2:$A5618=L5281)"),"50719 VIRGEN DEL CARMEN")</f>
        <v>50719 VIRGEN DEL CARMEN</v>
      </c>
      <c r="F5281" s="14" t="s">
        <v>16</v>
      </c>
      <c r="G5281" s="20" t="s">
        <v>21</v>
      </c>
      <c r="H5281" s="14" t="s">
        <v>18</v>
      </c>
      <c r="I5281" s="22">
        <v>2022.0</v>
      </c>
      <c r="J5281" s="16" t="str">
        <f>IFERROR(__xludf.DUMMYFUNCTION("FILTER('CLASFICACIÓN'!$F$3:$F5618,'CLASFICACIÓN'!$G$3:$G5618=M5281)"),"SOLO 2022 Y 2024")</f>
        <v>SOLO 2022 Y 2024</v>
      </c>
      <c r="K5281" s="16"/>
      <c r="L5281" s="14" t="s">
        <v>194</v>
      </c>
      <c r="M5281" s="16" t="str">
        <f t="shared" si="1"/>
        <v>50719 VIRGEN DEL CARMEN6 Primaria</v>
      </c>
      <c r="N5281" s="23"/>
      <c r="O5281" s="17"/>
      <c r="P5281" s="17"/>
      <c r="Q5281" s="17"/>
      <c r="R5281" s="17"/>
      <c r="S5281" s="17"/>
      <c r="T5281" s="17"/>
    </row>
    <row r="5282">
      <c r="A5282" s="21">
        <v>1410.0</v>
      </c>
      <c r="B5282" s="14" t="s">
        <v>90</v>
      </c>
      <c r="C5282" s="14" t="s">
        <v>14</v>
      </c>
      <c r="D5282" s="20" t="s">
        <v>22</v>
      </c>
      <c r="E5282" s="12" t="str">
        <f>IFERROR(__xludf.DUMMYFUNCTION("FILTER(colegios!$B$2:$B5618,colegios!$A$2:$A5618=L5282)"),"50719 VIRGEN DEL CARMEN")</f>
        <v>50719 VIRGEN DEL CARMEN</v>
      </c>
      <c r="F5282" s="14" t="s">
        <v>16</v>
      </c>
      <c r="G5282" s="20" t="s">
        <v>21</v>
      </c>
      <c r="H5282" s="14" t="s">
        <v>18</v>
      </c>
      <c r="I5282" s="22">
        <v>2022.0</v>
      </c>
      <c r="J5282" s="16" t="str">
        <f>IFERROR(__xludf.DUMMYFUNCTION("FILTER('CLASFICACIÓN'!$F$3:$F5618,'CLASFICACIÓN'!$G$3:$G5618=M5282)"),"SOLO 2022 Y 2024")</f>
        <v>SOLO 2022 Y 2024</v>
      </c>
      <c r="K5282" s="16"/>
      <c r="L5282" s="14" t="s">
        <v>194</v>
      </c>
      <c r="M5282" s="16" t="str">
        <f t="shared" si="1"/>
        <v>50719 VIRGEN DEL CARMEN6 Primaria</v>
      </c>
      <c r="N5282" s="23"/>
      <c r="O5282" s="17"/>
      <c r="P5282" s="17"/>
      <c r="Q5282" s="17"/>
      <c r="R5282" s="17"/>
      <c r="S5282" s="17"/>
      <c r="T5282" s="17"/>
    </row>
    <row r="5283">
      <c r="A5283" s="21">
        <v>1411.0</v>
      </c>
      <c r="B5283" s="14" t="s">
        <v>90</v>
      </c>
      <c r="C5283" s="14" t="s">
        <v>14</v>
      </c>
      <c r="D5283" s="20" t="s">
        <v>22</v>
      </c>
      <c r="E5283" s="12" t="str">
        <f>IFERROR(__xludf.DUMMYFUNCTION("FILTER(colegios!$B$2:$B5618,colegios!$A$2:$A5618=L5283)"),"50719 VIRGEN DEL CARMEN")</f>
        <v>50719 VIRGEN DEL CARMEN</v>
      </c>
      <c r="F5283" s="14" t="s">
        <v>16</v>
      </c>
      <c r="G5283" s="20" t="s">
        <v>21</v>
      </c>
      <c r="H5283" s="14" t="s">
        <v>18</v>
      </c>
      <c r="I5283" s="22">
        <v>2022.0</v>
      </c>
      <c r="J5283" s="16" t="str">
        <f>IFERROR(__xludf.DUMMYFUNCTION("FILTER('CLASFICACIÓN'!$F$3:$F5618,'CLASFICACIÓN'!$G$3:$G5618=M5283)"),"SOLO 2022 Y 2024")</f>
        <v>SOLO 2022 Y 2024</v>
      </c>
      <c r="K5283" s="16"/>
      <c r="L5283" s="14" t="s">
        <v>194</v>
      </c>
      <c r="M5283" s="16" t="str">
        <f t="shared" si="1"/>
        <v>50719 VIRGEN DEL CARMEN6 Primaria</v>
      </c>
      <c r="N5283" s="23"/>
      <c r="O5283" s="17"/>
      <c r="P5283" s="17"/>
      <c r="Q5283" s="17"/>
      <c r="R5283" s="17"/>
      <c r="S5283" s="17"/>
      <c r="T5283" s="17"/>
    </row>
    <row r="5284">
      <c r="A5284" s="21">
        <v>1412.0</v>
      </c>
      <c r="B5284" s="14" t="s">
        <v>90</v>
      </c>
      <c r="C5284" s="14" t="s">
        <v>14</v>
      </c>
      <c r="D5284" s="20" t="s">
        <v>22</v>
      </c>
      <c r="E5284" s="12" t="str">
        <f>IFERROR(__xludf.DUMMYFUNCTION("FILTER(colegios!$B$2:$B5618,colegios!$A$2:$A5618=L5284)"),"50719 VIRGEN DEL CARMEN")</f>
        <v>50719 VIRGEN DEL CARMEN</v>
      </c>
      <c r="F5284" s="14" t="s">
        <v>16</v>
      </c>
      <c r="G5284" s="20" t="s">
        <v>21</v>
      </c>
      <c r="H5284" s="14" t="s">
        <v>18</v>
      </c>
      <c r="I5284" s="22">
        <v>2022.0</v>
      </c>
      <c r="J5284" s="16" t="str">
        <f>IFERROR(__xludf.DUMMYFUNCTION("FILTER('CLASFICACIÓN'!$F$3:$F5618,'CLASFICACIÓN'!$G$3:$G5618=M5284)"),"SOLO 2022 Y 2024")</f>
        <v>SOLO 2022 Y 2024</v>
      </c>
      <c r="K5284" s="16"/>
      <c r="L5284" s="14" t="s">
        <v>194</v>
      </c>
      <c r="M5284" s="16" t="str">
        <f t="shared" si="1"/>
        <v>50719 VIRGEN DEL CARMEN6 Primaria</v>
      </c>
      <c r="N5284" s="23"/>
      <c r="O5284" s="17"/>
      <c r="P5284" s="17"/>
      <c r="Q5284" s="17"/>
      <c r="R5284" s="17"/>
      <c r="S5284" s="17"/>
      <c r="T5284" s="17"/>
    </row>
    <row r="5285">
      <c r="A5285" s="21">
        <v>1413.0</v>
      </c>
      <c r="B5285" s="14" t="s">
        <v>90</v>
      </c>
      <c r="C5285" s="14" t="s">
        <v>14</v>
      </c>
      <c r="D5285" s="20" t="s">
        <v>22</v>
      </c>
      <c r="E5285" s="12" t="str">
        <f>IFERROR(__xludf.DUMMYFUNCTION("FILTER(colegios!$B$2:$B5618,colegios!$A$2:$A5618=L5285)"),"50719 VIRGEN DEL CARMEN")</f>
        <v>50719 VIRGEN DEL CARMEN</v>
      </c>
      <c r="F5285" s="14" t="s">
        <v>16</v>
      </c>
      <c r="G5285" s="20" t="s">
        <v>17</v>
      </c>
      <c r="H5285" s="14" t="s">
        <v>18</v>
      </c>
      <c r="I5285" s="22">
        <v>2022.0</v>
      </c>
      <c r="J5285" s="16" t="str">
        <f>IFERROR(__xludf.DUMMYFUNCTION("FILTER('CLASFICACIÓN'!$F$3:$F5618,'CLASFICACIÓN'!$G$3:$G5618=M5285)"),"SOLO 2022 Y 2024")</f>
        <v>SOLO 2022 Y 2024</v>
      </c>
      <c r="K5285" s="16"/>
      <c r="L5285" s="14" t="s">
        <v>194</v>
      </c>
      <c r="M5285" s="16" t="str">
        <f t="shared" si="1"/>
        <v>50719 VIRGEN DEL CARMEN6 Primaria</v>
      </c>
      <c r="N5285" s="23"/>
      <c r="O5285" s="17"/>
      <c r="P5285" s="17"/>
      <c r="Q5285" s="17"/>
      <c r="R5285" s="17"/>
      <c r="S5285" s="17"/>
      <c r="T5285" s="17"/>
    </row>
    <row r="5286">
      <c r="A5286" s="21">
        <v>1414.0</v>
      </c>
      <c r="B5286" s="14" t="s">
        <v>90</v>
      </c>
      <c r="C5286" s="14" t="s">
        <v>14</v>
      </c>
      <c r="D5286" s="20" t="s">
        <v>22</v>
      </c>
      <c r="E5286" s="12" t="str">
        <f>IFERROR(__xludf.DUMMYFUNCTION("FILTER(colegios!$B$2:$B5618,colegios!$A$2:$A5618=L5286)"),"50719 VIRGEN DEL CARMEN")</f>
        <v>50719 VIRGEN DEL CARMEN</v>
      </c>
      <c r="F5286" s="14" t="s">
        <v>16</v>
      </c>
      <c r="G5286" s="20" t="s">
        <v>21</v>
      </c>
      <c r="H5286" s="14" t="s">
        <v>18</v>
      </c>
      <c r="I5286" s="22">
        <v>2022.0</v>
      </c>
      <c r="J5286" s="16" t="str">
        <f>IFERROR(__xludf.DUMMYFUNCTION("FILTER('CLASFICACIÓN'!$F$3:$F5618,'CLASFICACIÓN'!$G$3:$G5618=M5286)"),"SOLO 2022 Y 2024")</f>
        <v>SOLO 2022 Y 2024</v>
      </c>
      <c r="K5286" s="16"/>
      <c r="L5286" s="14" t="s">
        <v>194</v>
      </c>
      <c r="M5286" s="16" t="str">
        <f t="shared" si="1"/>
        <v>50719 VIRGEN DEL CARMEN6 Primaria</v>
      </c>
      <c r="N5286" s="23"/>
      <c r="O5286" s="17"/>
      <c r="P5286" s="17"/>
      <c r="Q5286" s="17"/>
      <c r="R5286" s="17"/>
      <c r="S5286" s="17"/>
      <c r="T5286" s="17"/>
    </row>
    <row r="5287">
      <c r="A5287" s="21">
        <v>1415.0</v>
      </c>
      <c r="B5287" s="14" t="s">
        <v>90</v>
      </c>
      <c r="C5287" s="14" t="s">
        <v>14</v>
      </c>
      <c r="D5287" s="20" t="s">
        <v>22</v>
      </c>
      <c r="E5287" s="12" t="str">
        <f>IFERROR(__xludf.DUMMYFUNCTION("FILTER(colegios!$B$2:$B5618,colegios!$A$2:$A5618=L5287)"),"50719 VIRGEN DEL CARMEN")</f>
        <v>50719 VIRGEN DEL CARMEN</v>
      </c>
      <c r="F5287" s="14" t="s">
        <v>16</v>
      </c>
      <c r="G5287" s="20" t="s">
        <v>21</v>
      </c>
      <c r="H5287" s="14" t="s">
        <v>18</v>
      </c>
      <c r="I5287" s="22">
        <v>2022.0</v>
      </c>
      <c r="J5287" s="16" t="str">
        <f>IFERROR(__xludf.DUMMYFUNCTION("FILTER('CLASFICACIÓN'!$F$3:$F5618,'CLASFICACIÓN'!$G$3:$G5618=M5287)"),"SOLO 2022 Y 2024")</f>
        <v>SOLO 2022 Y 2024</v>
      </c>
      <c r="K5287" s="16"/>
      <c r="L5287" s="14" t="s">
        <v>194</v>
      </c>
      <c r="M5287" s="16" t="str">
        <f t="shared" si="1"/>
        <v>50719 VIRGEN DEL CARMEN6 Primaria</v>
      </c>
      <c r="N5287" s="23"/>
      <c r="O5287" s="17"/>
      <c r="P5287" s="17"/>
      <c r="Q5287" s="17"/>
      <c r="R5287" s="17"/>
      <c r="S5287" s="17"/>
      <c r="T5287" s="17"/>
    </row>
    <row r="5288">
      <c r="A5288" s="21">
        <v>1416.0</v>
      </c>
      <c r="B5288" s="14" t="s">
        <v>90</v>
      </c>
      <c r="C5288" s="14" t="s">
        <v>14</v>
      </c>
      <c r="D5288" s="20" t="s">
        <v>22</v>
      </c>
      <c r="E5288" s="12" t="str">
        <f>IFERROR(__xludf.DUMMYFUNCTION("FILTER(colegios!$B$2:$B5618,colegios!$A$2:$A5618=L5288)"),"50719 VIRGEN DEL CARMEN")</f>
        <v>50719 VIRGEN DEL CARMEN</v>
      </c>
      <c r="F5288" s="14" t="s">
        <v>16</v>
      </c>
      <c r="G5288" s="20" t="s">
        <v>17</v>
      </c>
      <c r="H5288" s="14" t="s">
        <v>18</v>
      </c>
      <c r="I5288" s="22">
        <v>2022.0</v>
      </c>
      <c r="J5288" s="16" t="str">
        <f>IFERROR(__xludf.DUMMYFUNCTION("FILTER('CLASFICACIÓN'!$F$3:$F5618,'CLASFICACIÓN'!$G$3:$G5618=M5288)"),"SOLO 2022 Y 2024")</f>
        <v>SOLO 2022 Y 2024</v>
      </c>
      <c r="K5288" s="16"/>
      <c r="L5288" s="14" t="s">
        <v>194</v>
      </c>
      <c r="M5288" s="16" t="str">
        <f t="shared" si="1"/>
        <v>50719 VIRGEN DEL CARMEN6 Primaria</v>
      </c>
      <c r="N5288" s="23"/>
      <c r="O5288" s="17"/>
      <c r="P5288" s="17"/>
      <c r="Q5288" s="17"/>
      <c r="R5288" s="17"/>
      <c r="S5288" s="17"/>
      <c r="T5288" s="17"/>
    </row>
    <row r="5289">
      <c r="A5289" s="21">
        <v>1417.0</v>
      </c>
      <c r="B5289" s="14" t="s">
        <v>90</v>
      </c>
      <c r="C5289" s="14" t="s">
        <v>14</v>
      </c>
      <c r="D5289" s="20" t="s">
        <v>22</v>
      </c>
      <c r="E5289" s="12" t="str">
        <f>IFERROR(__xludf.DUMMYFUNCTION("FILTER(colegios!$B$2:$B5618,colegios!$A$2:$A5618=L5289)"),"50719 VIRGEN DEL CARMEN")</f>
        <v>50719 VIRGEN DEL CARMEN</v>
      </c>
      <c r="F5289" s="14" t="s">
        <v>16</v>
      </c>
      <c r="G5289" s="20" t="s">
        <v>21</v>
      </c>
      <c r="H5289" s="14" t="s">
        <v>18</v>
      </c>
      <c r="I5289" s="22">
        <v>2022.0</v>
      </c>
      <c r="J5289" s="16" t="str">
        <f>IFERROR(__xludf.DUMMYFUNCTION("FILTER('CLASFICACIÓN'!$F$3:$F5618,'CLASFICACIÓN'!$G$3:$G5618=M5289)"),"SOLO 2022 Y 2024")</f>
        <v>SOLO 2022 Y 2024</v>
      </c>
      <c r="K5289" s="16"/>
      <c r="L5289" s="14" t="s">
        <v>194</v>
      </c>
      <c r="M5289" s="16" t="str">
        <f t="shared" si="1"/>
        <v>50719 VIRGEN DEL CARMEN6 Primaria</v>
      </c>
      <c r="N5289" s="23"/>
      <c r="O5289" s="17"/>
      <c r="P5289" s="17"/>
      <c r="Q5289" s="17"/>
      <c r="R5289" s="17"/>
      <c r="S5289" s="17"/>
      <c r="T5289" s="17"/>
    </row>
    <row r="5290">
      <c r="A5290" s="21">
        <v>1418.0</v>
      </c>
      <c r="B5290" s="14" t="s">
        <v>90</v>
      </c>
      <c r="C5290" s="14" t="s">
        <v>14</v>
      </c>
      <c r="D5290" s="20" t="s">
        <v>22</v>
      </c>
      <c r="E5290" s="12" t="str">
        <f>IFERROR(__xludf.DUMMYFUNCTION("FILTER(colegios!$B$2:$B5618,colegios!$A$2:$A5618=L5290)"),"50719 VIRGEN DEL CARMEN")</f>
        <v>50719 VIRGEN DEL CARMEN</v>
      </c>
      <c r="F5290" s="14" t="s">
        <v>16</v>
      </c>
      <c r="G5290" s="20" t="s">
        <v>21</v>
      </c>
      <c r="H5290" s="14" t="s">
        <v>18</v>
      </c>
      <c r="I5290" s="22">
        <v>2022.0</v>
      </c>
      <c r="J5290" s="16" t="str">
        <f>IFERROR(__xludf.DUMMYFUNCTION("FILTER('CLASFICACIÓN'!$F$3:$F5618,'CLASFICACIÓN'!$G$3:$G5618=M5290)"),"SOLO 2022 Y 2024")</f>
        <v>SOLO 2022 Y 2024</v>
      </c>
      <c r="K5290" s="16"/>
      <c r="L5290" s="14" t="s">
        <v>194</v>
      </c>
      <c r="M5290" s="16" t="str">
        <f t="shared" si="1"/>
        <v>50719 VIRGEN DEL CARMEN6 Primaria</v>
      </c>
      <c r="N5290" s="23"/>
      <c r="O5290" s="17"/>
      <c r="P5290" s="17"/>
      <c r="Q5290" s="17"/>
      <c r="R5290" s="17"/>
      <c r="S5290" s="17"/>
      <c r="T5290" s="17"/>
    </row>
    <row r="5291">
      <c r="A5291" s="21">
        <v>1419.0</v>
      </c>
      <c r="B5291" s="14" t="s">
        <v>90</v>
      </c>
      <c r="C5291" s="14" t="s">
        <v>14</v>
      </c>
      <c r="D5291" s="20" t="s">
        <v>22</v>
      </c>
      <c r="E5291" s="12" t="str">
        <f>IFERROR(__xludf.DUMMYFUNCTION("FILTER(colegios!$B$2:$B5618,colegios!$A$2:$A5618=L5291)"),"50719 VIRGEN DEL CARMEN")</f>
        <v>50719 VIRGEN DEL CARMEN</v>
      </c>
      <c r="F5291" s="14" t="s">
        <v>16</v>
      </c>
      <c r="G5291" s="20" t="s">
        <v>17</v>
      </c>
      <c r="H5291" s="14" t="s">
        <v>18</v>
      </c>
      <c r="I5291" s="22">
        <v>2022.0</v>
      </c>
      <c r="J5291" s="16" t="str">
        <f>IFERROR(__xludf.DUMMYFUNCTION("FILTER('CLASFICACIÓN'!$F$3:$F5618,'CLASFICACIÓN'!$G$3:$G5618=M5291)"),"SOLO 2022 Y 2024")</f>
        <v>SOLO 2022 Y 2024</v>
      </c>
      <c r="K5291" s="16"/>
      <c r="L5291" s="14" t="s">
        <v>194</v>
      </c>
      <c r="M5291" s="16" t="str">
        <f t="shared" si="1"/>
        <v>50719 VIRGEN DEL CARMEN6 Primaria</v>
      </c>
      <c r="N5291" s="23"/>
      <c r="O5291" s="17"/>
      <c r="P5291" s="17"/>
      <c r="Q5291" s="17"/>
      <c r="R5291" s="17"/>
      <c r="S5291" s="17"/>
      <c r="T5291" s="17"/>
    </row>
    <row r="5292">
      <c r="A5292" s="21">
        <v>1420.0</v>
      </c>
      <c r="B5292" s="14" t="s">
        <v>90</v>
      </c>
      <c r="C5292" s="14" t="s">
        <v>14</v>
      </c>
      <c r="D5292" s="20" t="s">
        <v>22</v>
      </c>
      <c r="E5292" s="12" t="str">
        <f>IFERROR(__xludf.DUMMYFUNCTION("FILTER(colegios!$B$2:$B5618,colegios!$A$2:$A5618=L5292)"),"50719 VIRGEN DEL CARMEN")</f>
        <v>50719 VIRGEN DEL CARMEN</v>
      </c>
      <c r="F5292" s="14" t="s">
        <v>16</v>
      </c>
      <c r="G5292" s="20" t="s">
        <v>17</v>
      </c>
      <c r="H5292" s="14" t="s">
        <v>18</v>
      </c>
      <c r="I5292" s="22">
        <v>2022.0</v>
      </c>
      <c r="J5292" s="16" t="str">
        <f>IFERROR(__xludf.DUMMYFUNCTION("FILTER('CLASFICACIÓN'!$F$3:$F5618,'CLASFICACIÓN'!$G$3:$G5618=M5292)"),"SOLO 2022 Y 2024")</f>
        <v>SOLO 2022 Y 2024</v>
      </c>
      <c r="K5292" s="16"/>
      <c r="L5292" s="14" t="s">
        <v>194</v>
      </c>
      <c r="M5292" s="16" t="str">
        <f t="shared" si="1"/>
        <v>50719 VIRGEN DEL CARMEN6 Primaria</v>
      </c>
      <c r="N5292" s="23"/>
      <c r="O5292" s="17"/>
      <c r="P5292" s="17"/>
      <c r="Q5292" s="17"/>
      <c r="R5292" s="17"/>
      <c r="S5292" s="17"/>
      <c r="T5292" s="17"/>
    </row>
    <row r="5293">
      <c r="A5293" s="21">
        <v>1421.0</v>
      </c>
      <c r="B5293" s="14" t="s">
        <v>90</v>
      </c>
      <c r="C5293" s="14" t="s">
        <v>14</v>
      </c>
      <c r="D5293" s="20" t="s">
        <v>22</v>
      </c>
      <c r="E5293" s="12" t="str">
        <f>IFERROR(__xludf.DUMMYFUNCTION("FILTER(colegios!$B$2:$B5618,colegios!$A$2:$A5618=L5293)"),"50719 VIRGEN DEL CARMEN")</f>
        <v>50719 VIRGEN DEL CARMEN</v>
      </c>
      <c r="F5293" s="14" t="s">
        <v>16</v>
      </c>
      <c r="G5293" s="20" t="s">
        <v>17</v>
      </c>
      <c r="H5293" s="14" t="s">
        <v>18</v>
      </c>
      <c r="I5293" s="22">
        <v>2022.0</v>
      </c>
      <c r="J5293" s="16" t="str">
        <f>IFERROR(__xludf.DUMMYFUNCTION("FILTER('CLASFICACIÓN'!$F$3:$F5618,'CLASFICACIÓN'!$G$3:$G5618=M5293)"),"SOLO 2022 Y 2024")</f>
        <v>SOLO 2022 Y 2024</v>
      </c>
      <c r="K5293" s="16"/>
      <c r="L5293" s="14" t="s">
        <v>194</v>
      </c>
      <c r="M5293" s="16" t="str">
        <f t="shared" si="1"/>
        <v>50719 VIRGEN DEL CARMEN6 Primaria</v>
      </c>
      <c r="N5293" s="23"/>
      <c r="O5293" s="17"/>
      <c r="P5293" s="17"/>
      <c r="Q5293" s="17"/>
      <c r="R5293" s="17"/>
      <c r="S5293" s="17"/>
      <c r="T5293" s="17"/>
    </row>
    <row r="5294">
      <c r="A5294" s="21">
        <v>1422.0</v>
      </c>
      <c r="B5294" s="14" t="s">
        <v>90</v>
      </c>
      <c r="C5294" s="14" t="s">
        <v>14</v>
      </c>
      <c r="D5294" s="20" t="s">
        <v>22</v>
      </c>
      <c r="E5294" s="12" t="str">
        <f>IFERROR(__xludf.DUMMYFUNCTION("FILTER(colegios!$B$2:$B5618,colegios!$A$2:$A5618=L5294)"),"50719 VIRGEN DEL CARMEN")</f>
        <v>50719 VIRGEN DEL CARMEN</v>
      </c>
      <c r="F5294" s="14" t="s">
        <v>16</v>
      </c>
      <c r="G5294" s="20" t="s">
        <v>21</v>
      </c>
      <c r="H5294" s="14" t="s">
        <v>18</v>
      </c>
      <c r="I5294" s="22">
        <v>2022.0</v>
      </c>
      <c r="J5294" s="16" t="str">
        <f>IFERROR(__xludf.DUMMYFUNCTION("FILTER('CLASFICACIÓN'!$F$3:$F5618,'CLASFICACIÓN'!$G$3:$G5618=M5294)"),"SOLO 2022 Y 2024")</f>
        <v>SOLO 2022 Y 2024</v>
      </c>
      <c r="K5294" s="16"/>
      <c r="L5294" s="14" t="s">
        <v>194</v>
      </c>
      <c r="M5294" s="16" t="str">
        <f t="shared" si="1"/>
        <v>50719 VIRGEN DEL CARMEN6 Primaria</v>
      </c>
      <c r="N5294" s="23"/>
      <c r="O5294" s="17"/>
      <c r="P5294" s="17"/>
      <c r="Q5294" s="17"/>
      <c r="R5294" s="17"/>
      <c r="S5294" s="17"/>
      <c r="T5294" s="17"/>
    </row>
    <row r="5295">
      <c r="A5295" s="21">
        <v>1423.0</v>
      </c>
      <c r="B5295" s="14" t="s">
        <v>90</v>
      </c>
      <c r="C5295" s="14" t="s">
        <v>14</v>
      </c>
      <c r="D5295" s="20" t="s">
        <v>22</v>
      </c>
      <c r="E5295" s="12" t="str">
        <f>IFERROR(__xludf.DUMMYFUNCTION("FILTER(colegios!$B$2:$B5618,colegios!$A$2:$A5618=L5295)"),"50719 VIRGEN DEL CARMEN")</f>
        <v>50719 VIRGEN DEL CARMEN</v>
      </c>
      <c r="F5295" s="14" t="s">
        <v>16</v>
      </c>
      <c r="G5295" s="20" t="s">
        <v>17</v>
      </c>
      <c r="H5295" s="14" t="s">
        <v>18</v>
      </c>
      <c r="I5295" s="22">
        <v>2022.0</v>
      </c>
      <c r="J5295" s="16" t="str">
        <f>IFERROR(__xludf.DUMMYFUNCTION("FILTER('CLASFICACIÓN'!$F$3:$F5618,'CLASFICACIÓN'!$G$3:$G5618=M5295)"),"SOLO 2022 Y 2024")</f>
        <v>SOLO 2022 Y 2024</v>
      </c>
      <c r="K5295" s="16"/>
      <c r="L5295" s="14" t="s">
        <v>194</v>
      </c>
      <c r="M5295" s="16" t="str">
        <f t="shared" si="1"/>
        <v>50719 VIRGEN DEL CARMEN6 Primaria</v>
      </c>
      <c r="N5295" s="23"/>
      <c r="O5295" s="17"/>
      <c r="P5295" s="17"/>
      <c r="Q5295" s="17"/>
      <c r="R5295" s="17"/>
      <c r="S5295" s="17"/>
      <c r="T5295" s="17"/>
    </row>
    <row r="5296">
      <c r="A5296" s="21">
        <v>1424.0</v>
      </c>
      <c r="B5296" s="14" t="s">
        <v>90</v>
      </c>
      <c r="C5296" s="14" t="s">
        <v>14</v>
      </c>
      <c r="D5296" s="20" t="s">
        <v>22</v>
      </c>
      <c r="E5296" s="12" t="str">
        <f>IFERROR(__xludf.DUMMYFUNCTION("FILTER(colegios!$B$2:$B5618,colegios!$A$2:$A5618=L5296)"),"50719 VIRGEN DEL CARMEN")</f>
        <v>50719 VIRGEN DEL CARMEN</v>
      </c>
      <c r="F5296" s="14" t="s">
        <v>16</v>
      </c>
      <c r="G5296" s="20" t="s">
        <v>21</v>
      </c>
      <c r="H5296" s="14" t="s">
        <v>18</v>
      </c>
      <c r="I5296" s="22">
        <v>2022.0</v>
      </c>
      <c r="J5296" s="16" t="str">
        <f>IFERROR(__xludf.DUMMYFUNCTION("FILTER('CLASFICACIÓN'!$F$3:$F5618,'CLASFICACIÓN'!$G$3:$G5618=M5296)"),"SOLO 2022 Y 2024")</f>
        <v>SOLO 2022 Y 2024</v>
      </c>
      <c r="K5296" s="16"/>
      <c r="L5296" s="14" t="s">
        <v>194</v>
      </c>
      <c r="M5296" s="16" t="str">
        <f t="shared" si="1"/>
        <v>50719 VIRGEN DEL CARMEN6 Primaria</v>
      </c>
      <c r="N5296" s="23"/>
      <c r="O5296" s="17"/>
      <c r="P5296" s="17"/>
      <c r="Q5296" s="17"/>
      <c r="R5296" s="17"/>
      <c r="S5296" s="17"/>
      <c r="T5296" s="17"/>
    </row>
    <row r="5297">
      <c r="A5297" s="21">
        <v>1425.0</v>
      </c>
      <c r="B5297" s="14" t="s">
        <v>90</v>
      </c>
      <c r="C5297" s="14" t="s">
        <v>14</v>
      </c>
      <c r="D5297" s="20" t="s">
        <v>22</v>
      </c>
      <c r="E5297" s="12" t="str">
        <f>IFERROR(__xludf.DUMMYFUNCTION("FILTER(colegios!$B$2:$B5618,colegios!$A$2:$A5618=L5297)"),"50719 VIRGEN DEL CARMEN")</f>
        <v>50719 VIRGEN DEL CARMEN</v>
      </c>
      <c r="F5297" s="14" t="s">
        <v>16</v>
      </c>
      <c r="G5297" s="20" t="s">
        <v>17</v>
      </c>
      <c r="H5297" s="14" t="s">
        <v>18</v>
      </c>
      <c r="I5297" s="22">
        <v>2022.0</v>
      </c>
      <c r="J5297" s="16" t="str">
        <f>IFERROR(__xludf.DUMMYFUNCTION("FILTER('CLASFICACIÓN'!$F$3:$F5618,'CLASFICACIÓN'!$G$3:$G5618=M5297)"),"SOLO 2022 Y 2024")</f>
        <v>SOLO 2022 Y 2024</v>
      </c>
      <c r="K5297" s="16"/>
      <c r="L5297" s="14" t="s">
        <v>194</v>
      </c>
      <c r="M5297" s="16" t="str">
        <f t="shared" si="1"/>
        <v>50719 VIRGEN DEL CARMEN6 Primaria</v>
      </c>
      <c r="N5297" s="23"/>
      <c r="O5297" s="17"/>
      <c r="P5297" s="17"/>
      <c r="Q5297" s="17"/>
      <c r="R5297" s="17"/>
      <c r="S5297" s="17"/>
      <c r="T5297" s="17"/>
    </row>
    <row r="5298">
      <c r="A5298" s="21">
        <v>1426.0</v>
      </c>
      <c r="B5298" s="14" t="s">
        <v>90</v>
      </c>
      <c r="C5298" s="14" t="s">
        <v>14</v>
      </c>
      <c r="D5298" s="20" t="s">
        <v>22</v>
      </c>
      <c r="E5298" s="12" t="str">
        <f>IFERROR(__xludf.DUMMYFUNCTION("FILTER(colegios!$B$2:$B5618,colegios!$A$2:$A5618=L5298)"),"50719 VIRGEN DEL CARMEN")</f>
        <v>50719 VIRGEN DEL CARMEN</v>
      </c>
      <c r="F5298" s="14" t="s">
        <v>16</v>
      </c>
      <c r="G5298" s="20" t="s">
        <v>17</v>
      </c>
      <c r="H5298" s="14" t="s">
        <v>18</v>
      </c>
      <c r="I5298" s="22">
        <v>2022.0</v>
      </c>
      <c r="J5298" s="16" t="str">
        <f>IFERROR(__xludf.DUMMYFUNCTION("FILTER('CLASFICACIÓN'!$F$3:$F5618,'CLASFICACIÓN'!$G$3:$G5618=M5298)"),"SOLO 2022 Y 2024")</f>
        <v>SOLO 2022 Y 2024</v>
      </c>
      <c r="K5298" s="16"/>
      <c r="L5298" s="14" t="s">
        <v>194</v>
      </c>
      <c r="M5298" s="16" t="str">
        <f t="shared" si="1"/>
        <v>50719 VIRGEN DEL CARMEN6 Primaria</v>
      </c>
      <c r="N5298" s="23"/>
      <c r="O5298" s="17"/>
      <c r="P5298" s="17"/>
      <c r="Q5298" s="17"/>
      <c r="R5298" s="17"/>
      <c r="S5298" s="17"/>
      <c r="T5298" s="17"/>
    </row>
    <row r="5299">
      <c r="A5299" s="21">
        <v>1427.0</v>
      </c>
      <c r="B5299" s="14" t="s">
        <v>90</v>
      </c>
      <c r="C5299" s="14" t="s">
        <v>14</v>
      </c>
      <c r="D5299" s="20" t="s">
        <v>22</v>
      </c>
      <c r="E5299" s="12" t="str">
        <f>IFERROR(__xludf.DUMMYFUNCTION("FILTER(colegios!$B$2:$B5618,colegios!$A$2:$A5618=L5299)"),"50719 VIRGEN DEL CARMEN")</f>
        <v>50719 VIRGEN DEL CARMEN</v>
      </c>
      <c r="F5299" s="14" t="s">
        <v>16</v>
      </c>
      <c r="G5299" s="20" t="s">
        <v>21</v>
      </c>
      <c r="H5299" s="14" t="s">
        <v>18</v>
      </c>
      <c r="I5299" s="22">
        <v>2022.0</v>
      </c>
      <c r="J5299" s="16" t="str">
        <f>IFERROR(__xludf.DUMMYFUNCTION("FILTER('CLASFICACIÓN'!$F$3:$F5618,'CLASFICACIÓN'!$G$3:$G5618=M5299)"),"SOLO 2022 Y 2024")</f>
        <v>SOLO 2022 Y 2024</v>
      </c>
      <c r="K5299" s="16"/>
      <c r="L5299" s="14" t="s">
        <v>194</v>
      </c>
      <c r="M5299" s="16" t="str">
        <f t="shared" si="1"/>
        <v>50719 VIRGEN DEL CARMEN6 Primaria</v>
      </c>
      <c r="N5299" s="23"/>
      <c r="O5299" s="17"/>
      <c r="P5299" s="17"/>
      <c r="Q5299" s="17"/>
      <c r="R5299" s="17"/>
      <c r="S5299" s="17"/>
      <c r="T5299" s="17"/>
    </row>
    <row r="5300">
      <c r="A5300" s="21">
        <v>1428.0</v>
      </c>
      <c r="B5300" s="14" t="s">
        <v>90</v>
      </c>
      <c r="C5300" s="14" t="s">
        <v>14</v>
      </c>
      <c r="D5300" s="20" t="s">
        <v>22</v>
      </c>
      <c r="E5300" s="12" t="str">
        <f>IFERROR(__xludf.DUMMYFUNCTION("FILTER(colegios!$B$2:$B5618,colegios!$A$2:$A5618=L5300)"),"50719 VIRGEN DEL CARMEN")</f>
        <v>50719 VIRGEN DEL CARMEN</v>
      </c>
      <c r="F5300" s="14" t="s">
        <v>16</v>
      </c>
      <c r="G5300" s="20" t="s">
        <v>17</v>
      </c>
      <c r="H5300" s="14" t="s">
        <v>18</v>
      </c>
      <c r="I5300" s="22">
        <v>2022.0</v>
      </c>
      <c r="J5300" s="16" t="str">
        <f>IFERROR(__xludf.DUMMYFUNCTION("FILTER('CLASFICACIÓN'!$F$3:$F5618,'CLASFICACIÓN'!$G$3:$G5618=M5300)"),"SOLO 2022 Y 2024")</f>
        <v>SOLO 2022 Y 2024</v>
      </c>
      <c r="K5300" s="16"/>
      <c r="L5300" s="14" t="s">
        <v>194</v>
      </c>
      <c r="M5300" s="16" t="str">
        <f t="shared" si="1"/>
        <v>50719 VIRGEN DEL CARMEN6 Primaria</v>
      </c>
      <c r="N5300" s="23"/>
      <c r="O5300" s="17"/>
      <c r="P5300" s="17"/>
      <c r="Q5300" s="17"/>
      <c r="R5300" s="17"/>
      <c r="S5300" s="17"/>
      <c r="T5300" s="17"/>
    </row>
    <row r="5301">
      <c r="A5301" s="21">
        <v>1429.0</v>
      </c>
      <c r="B5301" s="14" t="s">
        <v>90</v>
      </c>
      <c r="C5301" s="14" t="s">
        <v>14</v>
      </c>
      <c r="D5301" s="20" t="s">
        <v>22</v>
      </c>
      <c r="E5301" s="12" t="str">
        <f>IFERROR(__xludf.DUMMYFUNCTION("FILTER(colegios!$B$2:$B5618,colegios!$A$2:$A5618=L5301)"),"50719 VIRGEN DEL CARMEN")</f>
        <v>50719 VIRGEN DEL CARMEN</v>
      </c>
      <c r="F5301" s="14" t="s">
        <v>16</v>
      </c>
      <c r="G5301" s="20" t="s">
        <v>21</v>
      </c>
      <c r="H5301" s="14" t="s">
        <v>18</v>
      </c>
      <c r="I5301" s="22">
        <v>2022.0</v>
      </c>
      <c r="J5301" s="16" t="str">
        <f>IFERROR(__xludf.DUMMYFUNCTION("FILTER('CLASFICACIÓN'!$F$3:$F5618,'CLASFICACIÓN'!$G$3:$G5618=M5301)"),"SOLO 2022 Y 2024")</f>
        <v>SOLO 2022 Y 2024</v>
      </c>
      <c r="K5301" s="16"/>
      <c r="L5301" s="14" t="s">
        <v>194</v>
      </c>
      <c r="M5301" s="16" t="str">
        <f t="shared" si="1"/>
        <v>50719 VIRGEN DEL CARMEN6 Primaria</v>
      </c>
      <c r="N5301" s="23"/>
      <c r="O5301" s="17"/>
      <c r="P5301" s="17"/>
      <c r="Q5301" s="17"/>
      <c r="R5301" s="17"/>
      <c r="S5301" s="17"/>
      <c r="T5301" s="17"/>
    </row>
    <row r="5302">
      <c r="A5302" s="21">
        <v>1430.0</v>
      </c>
      <c r="B5302" s="14" t="s">
        <v>90</v>
      </c>
      <c r="C5302" s="14" t="s">
        <v>14</v>
      </c>
      <c r="D5302" s="20" t="s">
        <v>22</v>
      </c>
      <c r="E5302" s="12" t="str">
        <f>IFERROR(__xludf.DUMMYFUNCTION("FILTER(colegios!$B$2:$B5618,colegios!$A$2:$A5618=L5302)"),"50719 VIRGEN DEL CARMEN")</f>
        <v>50719 VIRGEN DEL CARMEN</v>
      </c>
      <c r="F5302" s="14" t="s">
        <v>16</v>
      </c>
      <c r="G5302" s="20" t="s">
        <v>21</v>
      </c>
      <c r="H5302" s="14" t="s">
        <v>18</v>
      </c>
      <c r="I5302" s="22">
        <v>2022.0</v>
      </c>
      <c r="J5302" s="16" t="str">
        <f>IFERROR(__xludf.DUMMYFUNCTION("FILTER('CLASFICACIÓN'!$F$3:$F5618,'CLASFICACIÓN'!$G$3:$G5618=M5302)"),"SOLO 2022 Y 2024")</f>
        <v>SOLO 2022 Y 2024</v>
      </c>
      <c r="K5302" s="16"/>
      <c r="L5302" s="14" t="s">
        <v>194</v>
      </c>
      <c r="M5302" s="16" t="str">
        <f t="shared" si="1"/>
        <v>50719 VIRGEN DEL CARMEN6 Primaria</v>
      </c>
      <c r="N5302" s="23"/>
      <c r="O5302" s="17"/>
      <c r="P5302" s="17"/>
      <c r="Q5302" s="17"/>
      <c r="R5302" s="17"/>
      <c r="S5302" s="17"/>
      <c r="T5302" s="17"/>
    </row>
    <row r="5303">
      <c r="A5303" s="21">
        <v>1431.0</v>
      </c>
      <c r="B5303" s="14" t="s">
        <v>90</v>
      </c>
      <c r="C5303" s="14" t="s">
        <v>14</v>
      </c>
      <c r="D5303" s="20" t="s">
        <v>22</v>
      </c>
      <c r="E5303" s="12" t="str">
        <f>IFERROR(__xludf.DUMMYFUNCTION("FILTER(colegios!$B$2:$B5618,colegios!$A$2:$A5618=L5303)"),"50719 VIRGEN DEL CARMEN")</f>
        <v>50719 VIRGEN DEL CARMEN</v>
      </c>
      <c r="F5303" s="14" t="s">
        <v>16</v>
      </c>
      <c r="G5303" s="20" t="s">
        <v>21</v>
      </c>
      <c r="H5303" s="14" t="s">
        <v>18</v>
      </c>
      <c r="I5303" s="22">
        <v>2022.0</v>
      </c>
      <c r="J5303" s="16" t="str">
        <f>IFERROR(__xludf.DUMMYFUNCTION("FILTER('CLASFICACIÓN'!$F$3:$F5618,'CLASFICACIÓN'!$G$3:$G5618=M5303)"),"SOLO 2022 Y 2024")</f>
        <v>SOLO 2022 Y 2024</v>
      </c>
      <c r="K5303" s="16"/>
      <c r="L5303" s="14" t="s">
        <v>194</v>
      </c>
      <c r="M5303" s="16" t="str">
        <f t="shared" si="1"/>
        <v>50719 VIRGEN DEL CARMEN6 Primaria</v>
      </c>
      <c r="N5303" s="23"/>
      <c r="O5303" s="17"/>
      <c r="P5303" s="17"/>
      <c r="Q5303" s="17"/>
      <c r="R5303" s="17"/>
      <c r="S5303" s="17"/>
      <c r="T5303" s="17"/>
    </row>
    <row r="5304">
      <c r="A5304" s="21">
        <v>1432.0</v>
      </c>
      <c r="B5304" s="14" t="s">
        <v>90</v>
      </c>
      <c r="C5304" s="14" t="s">
        <v>14</v>
      </c>
      <c r="D5304" s="20" t="s">
        <v>22</v>
      </c>
      <c r="E5304" s="12" t="str">
        <f>IFERROR(__xludf.DUMMYFUNCTION("FILTER(colegios!$B$2:$B5618,colegios!$A$2:$A5618=L5304)"),"50719 VIRGEN DEL CARMEN")</f>
        <v>50719 VIRGEN DEL CARMEN</v>
      </c>
      <c r="F5304" s="14" t="s">
        <v>16</v>
      </c>
      <c r="G5304" s="20" t="s">
        <v>17</v>
      </c>
      <c r="H5304" s="14" t="s">
        <v>18</v>
      </c>
      <c r="I5304" s="22">
        <v>2022.0</v>
      </c>
      <c r="J5304" s="16" t="str">
        <f>IFERROR(__xludf.DUMMYFUNCTION("FILTER('CLASFICACIÓN'!$F$3:$F5618,'CLASFICACIÓN'!$G$3:$G5618=M5304)"),"SOLO 2022 Y 2024")</f>
        <v>SOLO 2022 Y 2024</v>
      </c>
      <c r="K5304" s="16"/>
      <c r="L5304" s="14" t="s">
        <v>194</v>
      </c>
      <c r="M5304" s="16" t="str">
        <f t="shared" si="1"/>
        <v>50719 VIRGEN DEL CARMEN6 Primaria</v>
      </c>
      <c r="N5304" s="23"/>
      <c r="O5304" s="17"/>
      <c r="P5304" s="17"/>
      <c r="Q5304" s="17"/>
      <c r="R5304" s="17"/>
      <c r="S5304" s="17"/>
      <c r="T5304" s="17"/>
    </row>
    <row r="5305">
      <c r="A5305" s="21">
        <v>1433.0</v>
      </c>
      <c r="B5305" s="14" t="s">
        <v>90</v>
      </c>
      <c r="C5305" s="14" t="s">
        <v>14</v>
      </c>
      <c r="D5305" s="20" t="s">
        <v>22</v>
      </c>
      <c r="E5305" s="12" t="str">
        <f>IFERROR(__xludf.DUMMYFUNCTION("FILTER(colegios!$B$2:$B5618,colegios!$A$2:$A5618=L5305)"),"50719 VIRGEN DEL CARMEN")</f>
        <v>50719 VIRGEN DEL CARMEN</v>
      </c>
      <c r="F5305" s="14" t="s">
        <v>16</v>
      </c>
      <c r="G5305" s="20" t="s">
        <v>21</v>
      </c>
      <c r="H5305" s="14" t="s">
        <v>18</v>
      </c>
      <c r="I5305" s="22">
        <v>2022.0</v>
      </c>
      <c r="J5305" s="16" t="str">
        <f>IFERROR(__xludf.DUMMYFUNCTION("FILTER('CLASFICACIÓN'!$F$3:$F5618,'CLASFICACIÓN'!$G$3:$G5618=M5305)"),"SOLO 2022 Y 2024")</f>
        <v>SOLO 2022 Y 2024</v>
      </c>
      <c r="K5305" s="16"/>
      <c r="L5305" s="14" t="s">
        <v>194</v>
      </c>
      <c r="M5305" s="16" t="str">
        <f t="shared" si="1"/>
        <v>50719 VIRGEN DEL CARMEN6 Primaria</v>
      </c>
      <c r="N5305" s="23"/>
      <c r="O5305" s="17"/>
      <c r="P5305" s="17"/>
      <c r="Q5305" s="17"/>
      <c r="R5305" s="17"/>
      <c r="S5305" s="17"/>
      <c r="T5305" s="17"/>
    </row>
    <row r="5306">
      <c r="A5306" s="21">
        <v>1434.0</v>
      </c>
      <c r="B5306" s="14" t="s">
        <v>90</v>
      </c>
      <c r="C5306" s="14" t="s">
        <v>14</v>
      </c>
      <c r="D5306" s="20" t="s">
        <v>22</v>
      </c>
      <c r="E5306" s="12" t="str">
        <f>IFERROR(__xludf.DUMMYFUNCTION("FILTER(colegios!$B$2:$B5618,colegios!$A$2:$A5618=L5306)"),"50719 VIRGEN DEL CARMEN")</f>
        <v>50719 VIRGEN DEL CARMEN</v>
      </c>
      <c r="F5306" s="14" t="s">
        <v>16</v>
      </c>
      <c r="G5306" s="20" t="s">
        <v>21</v>
      </c>
      <c r="H5306" s="14" t="s">
        <v>18</v>
      </c>
      <c r="I5306" s="22">
        <v>2022.0</v>
      </c>
      <c r="J5306" s="16" t="str">
        <f>IFERROR(__xludf.DUMMYFUNCTION("FILTER('CLASFICACIÓN'!$F$3:$F5618,'CLASFICACIÓN'!$G$3:$G5618=M5306)"),"SOLO 2022 Y 2024")</f>
        <v>SOLO 2022 Y 2024</v>
      </c>
      <c r="K5306" s="16"/>
      <c r="L5306" s="14" t="s">
        <v>194</v>
      </c>
      <c r="M5306" s="16" t="str">
        <f t="shared" si="1"/>
        <v>50719 VIRGEN DEL CARMEN6 Primaria</v>
      </c>
      <c r="N5306" s="23"/>
      <c r="O5306" s="17"/>
      <c r="P5306" s="17"/>
      <c r="Q5306" s="17"/>
      <c r="R5306" s="17"/>
      <c r="S5306" s="17"/>
      <c r="T5306" s="17"/>
    </row>
    <row r="5307">
      <c r="A5307" s="21">
        <v>1435.0</v>
      </c>
      <c r="B5307" s="14" t="s">
        <v>90</v>
      </c>
      <c r="C5307" s="14" t="s">
        <v>14</v>
      </c>
      <c r="D5307" s="20" t="s">
        <v>22</v>
      </c>
      <c r="E5307" s="12" t="str">
        <f>IFERROR(__xludf.DUMMYFUNCTION("FILTER(colegios!$B$2:$B5618,colegios!$A$2:$A5618=L5307)"),"50719 VIRGEN DEL CARMEN")</f>
        <v>50719 VIRGEN DEL CARMEN</v>
      </c>
      <c r="F5307" s="14" t="s">
        <v>16</v>
      </c>
      <c r="G5307" s="20" t="s">
        <v>17</v>
      </c>
      <c r="H5307" s="14" t="s">
        <v>18</v>
      </c>
      <c r="I5307" s="22">
        <v>2022.0</v>
      </c>
      <c r="J5307" s="16" t="str">
        <f>IFERROR(__xludf.DUMMYFUNCTION("FILTER('CLASFICACIÓN'!$F$3:$F5618,'CLASFICACIÓN'!$G$3:$G5618=M5307)"),"SOLO 2022 Y 2024")</f>
        <v>SOLO 2022 Y 2024</v>
      </c>
      <c r="K5307" s="16"/>
      <c r="L5307" s="14" t="s">
        <v>194</v>
      </c>
      <c r="M5307" s="16" t="str">
        <f t="shared" si="1"/>
        <v>50719 VIRGEN DEL CARMEN6 Primaria</v>
      </c>
      <c r="N5307" s="23"/>
      <c r="O5307" s="17"/>
      <c r="P5307" s="17"/>
      <c r="Q5307" s="17"/>
      <c r="R5307" s="17"/>
      <c r="S5307" s="17"/>
      <c r="T5307" s="17"/>
    </row>
    <row r="5308">
      <c r="A5308" s="21">
        <v>1436.0</v>
      </c>
      <c r="B5308" s="14" t="s">
        <v>90</v>
      </c>
      <c r="C5308" s="14" t="s">
        <v>14</v>
      </c>
      <c r="D5308" s="20" t="s">
        <v>22</v>
      </c>
      <c r="E5308" s="12" t="str">
        <f>IFERROR(__xludf.DUMMYFUNCTION("FILTER(colegios!$B$2:$B5618,colegios!$A$2:$A5618=L5308)"),"50719 VIRGEN DEL CARMEN")</f>
        <v>50719 VIRGEN DEL CARMEN</v>
      </c>
      <c r="F5308" s="14" t="s">
        <v>16</v>
      </c>
      <c r="G5308" s="20" t="s">
        <v>17</v>
      </c>
      <c r="H5308" s="14" t="s">
        <v>18</v>
      </c>
      <c r="I5308" s="22">
        <v>2022.0</v>
      </c>
      <c r="J5308" s="16" t="str">
        <f>IFERROR(__xludf.DUMMYFUNCTION("FILTER('CLASFICACIÓN'!$F$3:$F5618,'CLASFICACIÓN'!$G$3:$G5618=M5308)"),"SOLO 2022 Y 2024")</f>
        <v>SOLO 2022 Y 2024</v>
      </c>
      <c r="K5308" s="16"/>
      <c r="L5308" s="14" t="s">
        <v>194</v>
      </c>
      <c r="M5308" s="16" t="str">
        <f t="shared" si="1"/>
        <v>50719 VIRGEN DEL CARMEN6 Primaria</v>
      </c>
      <c r="N5308" s="23"/>
      <c r="O5308" s="17"/>
      <c r="P5308" s="17"/>
      <c r="Q5308" s="17"/>
      <c r="R5308" s="17"/>
      <c r="S5308" s="17"/>
      <c r="T5308" s="17"/>
    </row>
    <row r="5309">
      <c r="A5309" s="21">
        <v>1437.0</v>
      </c>
      <c r="B5309" s="14" t="s">
        <v>90</v>
      </c>
      <c r="C5309" s="14" t="s">
        <v>14</v>
      </c>
      <c r="D5309" s="20" t="s">
        <v>22</v>
      </c>
      <c r="E5309" s="12" t="str">
        <f>IFERROR(__xludf.DUMMYFUNCTION("FILTER(colegios!$B$2:$B5618,colegios!$A$2:$A5618=L5309)"),"50719 VIRGEN DEL CARMEN")</f>
        <v>50719 VIRGEN DEL CARMEN</v>
      </c>
      <c r="F5309" s="14" t="s">
        <v>16</v>
      </c>
      <c r="G5309" s="20" t="s">
        <v>17</v>
      </c>
      <c r="H5309" s="14" t="s">
        <v>18</v>
      </c>
      <c r="I5309" s="22">
        <v>2022.0</v>
      </c>
      <c r="J5309" s="16" t="str">
        <f>IFERROR(__xludf.DUMMYFUNCTION("FILTER('CLASFICACIÓN'!$F$3:$F5618,'CLASFICACIÓN'!$G$3:$G5618=M5309)"),"SOLO 2022 Y 2024")</f>
        <v>SOLO 2022 Y 2024</v>
      </c>
      <c r="K5309" s="16"/>
      <c r="L5309" s="14" t="s">
        <v>194</v>
      </c>
      <c r="M5309" s="16" t="str">
        <f t="shared" si="1"/>
        <v>50719 VIRGEN DEL CARMEN6 Primaria</v>
      </c>
      <c r="N5309" s="23"/>
      <c r="O5309" s="17"/>
      <c r="P5309" s="17"/>
      <c r="Q5309" s="17"/>
      <c r="R5309" s="17"/>
      <c r="S5309" s="17"/>
      <c r="T5309" s="17"/>
    </row>
    <row r="5310">
      <c r="A5310" s="21">
        <v>1438.0</v>
      </c>
      <c r="B5310" s="14" t="s">
        <v>90</v>
      </c>
      <c r="C5310" s="14" t="s">
        <v>14</v>
      </c>
      <c r="D5310" s="20" t="s">
        <v>22</v>
      </c>
      <c r="E5310" s="12" t="str">
        <f>IFERROR(__xludf.DUMMYFUNCTION("FILTER(colegios!$B$2:$B5618,colegios!$A$2:$A5618=L5310)"),"50719 VIRGEN DEL CARMEN")</f>
        <v>50719 VIRGEN DEL CARMEN</v>
      </c>
      <c r="F5310" s="14" t="s">
        <v>16</v>
      </c>
      <c r="G5310" s="20" t="s">
        <v>21</v>
      </c>
      <c r="H5310" s="14" t="s">
        <v>18</v>
      </c>
      <c r="I5310" s="22">
        <v>2022.0</v>
      </c>
      <c r="J5310" s="16" t="str">
        <f>IFERROR(__xludf.DUMMYFUNCTION("FILTER('CLASFICACIÓN'!$F$3:$F5618,'CLASFICACIÓN'!$G$3:$G5618=M5310)"),"SOLO 2022 Y 2024")</f>
        <v>SOLO 2022 Y 2024</v>
      </c>
      <c r="K5310" s="16"/>
      <c r="L5310" s="14" t="s">
        <v>194</v>
      </c>
      <c r="M5310" s="16" t="str">
        <f t="shared" si="1"/>
        <v>50719 VIRGEN DEL CARMEN6 Primaria</v>
      </c>
      <c r="N5310" s="23"/>
      <c r="O5310" s="17"/>
      <c r="P5310" s="17"/>
      <c r="Q5310" s="17"/>
      <c r="R5310" s="17"/>
      <c r="S5310" s="17"/>
      <c r="T5310" s="17"/>
    </row>
    <row r="5311">
      <c r="A5311" s="21">
        <v>1439.0</v>
      </c>
      <c r="B5311" s="14" t="s">
        <v>90</v>
      </c>
      <c r="C5311" s="14" t="s">
        <v>14</v>
      </c>
      <c r="D5311" s="20" t="s">
        <v>22</v>
      </c>
      <c r="E5311" s="12" t="str">
        <f>IFERROR(__xludf.DUMMYFUNCTION("FILTER(colegios!$B$2:$B5618,colegios!$A$2:$A5618=L5311)"),"50719 VIRGEN DEL CARMEN")</f>
        <v>50719 VIRGEN DEL CARMEN</v>
      </c>
      <c r="F5311" s="14" t="s">
        <v>16</v>
      </c>
      <c r="G5311" s="20" t="s">
        <v>17</v>
      </c>
      <c r="H5311" s="14" t="s">
        <v>18</v>
      </c>
      <c r="I5311" s="22">
        <v>2022.0</v>
      </c>
      <c r="J5311" s="16" t="str">
        <f>IFERROR(__xludf.DUMMYFUNCTION("FILTER('CLASFICACIÓN'!$F$3:$F5618,'CLASFICACIÓN'!$G$3:$G5618=M5311)"),"SOLO 2022 Y 2024")</f>
        <v>SOLO 2022 Y 2024</v>
      </c>
      <c r="K5311" s="16"/>
      <c r="L5311" s="14" t="s">
        <v>194</v>
      </c>
      <c r="M5311" s="16" t="str">
        <f t="shared" si="1"/>
        <v>50719 VIRGEN DEL CARMEN6 Primaria</v>
      </c>
      <c r="N5311" s="23"/>
      <c r="O5311" s="17"/>
      <c r="P5311" s="17"/>
      <c r="Q5311" s="17"/>
      <c r="R5311" s="17"/>
      <c r="S5311" s="17"/>
      <c r="T5311" s="17"/>
    </row>
    <row r="5312">
      <c r="A5312" s="21">
        <v>1440.0</v>
      </c>
      <c r="B5312" s="14" t="s">
        <v>90</v>
      </c>
      <c r="C5312" s="14" t="s">
        <v>14</v>
      </c>
      <c r="D5312" s="20" t="s">
        <v>22</v>
      </c>
      <c r="E5312" s="12" t="str">
        <f>IFERROR(__xludf.DUMMYFUNCTION("FILTER(colegios!$B$2:$B5618,colegios!$A$2:$A5618=L5312)"),"50719 VIRGEN DEL CARMEN")</f>
        <v>50719 VIRGEN DEL CARMEN</v>
      </c>
      <c r="F5312" s="14" t="s">
        <v>16</v>
      </c>
      <c r="G5312" s="20" t="s">
        <v>17</v>
      </c>
      <c r="H5312" s="14" t="s">
        <v>18</v>
      </c>
      <c r="I5312" s="22">
        <v>2022.0</v>
      </c>
      <c r="J5312" s="16" t="str">
        <f>IFERROR(__xludf.DUMMYFUNCTION("FILTER('CLASFICACIÓN'!$F$3:$F5618,'CLASFICACIÓN'!$G$3:$G5618=M5312)"),"SOLO 2022 Y 2024")</f>
        <v>SOLO 2022 Y 2024</v>
      </c>
      <c r="K5312" s="16"/>
      <c r="L5312" s="14" t="s">
        <v>194</v>
      </c>
      <c r="M5312" s="16" t="str">
        <f t="shared" si="1"/>
        <v>50719 VIRGEN DEL CARMEN6 Primaria</v>
      </c>
      <c r="N5312" s="23"/>
      <c r="O5312" s="17"/>
      <c r="P5312" s="17"/>
      <c r="Q5312" s="17"/>
      <c r="R5312" s="17"/>
      <c r="S5312" s="17"/>
      <c r="T5312" s="17"/>
    </row>
    <row r="5313">
      <c r="A5313" s="21">
        <v>1441.0</v>
      </c>
      <c r="B5313" s="14" t="s">
        <v>90</v>
      </c>
      <c r="C5313" s="14" t="s">
        <v>14</v>
      </c>
      <c r="D5313" s="20" t="s">
        <v>22</v>
      </c>
      <c r="E5313" s="12" t="str">
        <f>IFERROR(__xludf.DUMMYFUNCTION("FILTER(colegios!$B$2:$B5618,colegios!$A$2:$A5618=L5313)"),"50719 VIRGEN DEL CARMEN")</f>
        <v>50719 VIRGEN DEL CARMEN</v>
      </c>
      <c r="F5313" s="14" t="s">
        <v>16</v>
      </c>
      <c r="G5313" s="20" t="s">
        <v>21</v>
      </c>
      <c r="H5313" s="14" t="s">
        <v>18</v>
      </c>
      <c r="I5313" s="22">
        <v>2022.0</v>
      </c>
      <c r="J5313" s="16" t="str">
        <f>IFERROR(__xludf.DUMMYFUNCTION("FILTER('CLASFICACIÓN'!$F$3:$F5618,'CLASFICACIÓN'!$G$3:$G5618=M5313)"),"SOLO 2022 Y 2024")</f>
        <v>SOLO 2022 Y 2024</v>
      </c>
      <c r="K5313" s="16"/>
      <c r="L5313" s="14" t="s">
        <v>194</v>
      </c>
      <c r="M5313" s="16" t="str">
        <f t="shared" si="1"/>
        <v>50719 VIRGEN DEL CARMEN6 Primaria</v>
      </c>
      <c r="N5313" s="23"/>
      <c r="O5313" s="17"/>
      <c r="P5313" s="17"/>
      <c r="Q5313" s="17"/>
      <c r="R5313" s="17"/>
      <c r="S5313" s="17"/>
      <c r="T5313" s="17"/>
    </row>
    <row r="5314">
      <c r="A5314" s="21">
        <v>1442.0</v>
      </c>
      <c r="B5314" s="14" t="s">
        <v>90</v>
      </c>
      <c r="C5314" s="14" t="s">
        <v>14</v>
      </c>
      <c r="D5314" s="20" t="s">
        <v>22</v>
      </c>
      <c r="E5314" s="12" t="str">
        <f>IFERROR(__xludf.DUMMYFUNCTION("FILTER(colegios!$B$2:$B5618,colegios!$A$2:$A5618=L5314)"),"50719 VIRGEN DEL CARMEN")</f>
        <v>50719 VIRGEN DEL CARMEN</v>
      </c>
      <c r="F5314" s="14" t="s">
        <v>16</v>
      </c>
      <c r="G5314" s="20" t="s">
        <v>21</v>
      </c>
      <c r="H5314" s="14" t="s">
        <v>18</v>
      </c>
      <c r="I5314" s="22">
        <v>2022.0</v>
      </c>
      <c r="J5314" s="16" t="str">
        <f>IFERROR(__xludf.DUMMYFUNCTION("FILTER('CLASFICACIÓN'!$F$3:$F5618,'CLASFICACIÓN'!$G$3:$G5618=M5314)"),"SOLO 2022 Y 2024")</f>
        <v>SOLO 2022 Y 2024</v>
      </c>
      <c r="K5314" s="16"/>
      <c r="L5314" s="14" t="s">
        <v>194</v>
      </c>
      <c r="M5314" s="16" t="str">
        <f t="shared" si="1"/>
        <v>50719 VIRGEN DEL CARMEN6 Primaria</v>
      </c>
      <c r="N5314" s="23"/>
      <c r="O5314" s="17"/>
      <c r="P5314" s="17"/>
      <c r="Q5314" s="17"/>
      <c r="R5314" s="17"/>
      <c r="S5314" s="17"/>
      <c r="T5314" s="17"/>
    </row>
    <row r="5315">
      <c r="A5315" s="21">
        <v>1443.0</v>
      </c>
      <c r="B5315" s="14" t="s">
        <v>90</v>
      </c>
      <c r="C5315" s="14" t="s">
        <v>14</v>
      </c>
      <c r="D5315" s="20" t="s">
        <v>22</v>
      </c>
      <c r="E5315" s="12" t="str">
        <f>IFERROR(__xludf.DUMMYFUNCTION("FILTER(colegios!$B$2:$B5618,colegios!$A$2:$A5618=L5315)"),"50719 VIRGEN DEL CARMEN")</f>
        <v>50719 VIRGEN DEL CARMEN</v>
      </c>
      <c r="F5315" s="14" t="s">
        <v>16</v>
      </c>
      <c r="G5315" s="20" t="s">
        <v>17</v>
      </c>
      <c r="H5315" s="14" t="s">
        <v>18</v>
      </c>
      <c r="I5315" s="22">
        <v>2022.0</v>
      </c>
      <c r="J5315" s="16" t="str">
        <f>IFERROR(__xludf.DUMMYFUNCTION("FILTER('CLASFICACIÓN'!$F$3:$F5618,'CLASFICACIÓN'!$G$3:$G5618=M5315)"),"SOLO 2022 Y 2024")</f>
        <v>SOLO 2022 Y 2024</v>
      </c>
      <c r="K5315" s="16"/>
      <c r="L5315" s="14" t="s">
        <v>194</v>
      </c>
      <c r="M5315" s="16" t="str">
        <f t="shared" si="1"/>
        <v>50719 VIRGEN DEL CARMEN6 Primaria</v>
      </c>
      <c r="N5315" s="23"/>
      <c r="O5315" s="17"/>
      <c r="P5315" s="17"/>
      <c r="Q5315" s="17"/>
      <c r="R5315" s="17"/>
      <c r="S5315" s="17"/>
      <c r="T5315" s="17"/>
    </row>
    <row r="5316">
      <c r="A5316" s="21">
        <v>1444.0</v>
      </c>
      <c r="B5316" s="14" t="s">
        <v>90</v>
      </c>
      <c r="C5316" s="14" t="s">
        <v>14</v>
      </c>
      <c r="D5316" s="20" t="s">
        <v>22</v>
      </c>
      <c r="E5316" s="12" t="str">
        <f>IFERROR(__xludf.DUMMYFUNCTION("FILTER(colegios!$B$2:$B5618,colegios!$A$2:$A5618=L5316)"),"50719 VIRGEN DEL CARMEN")</f>
        <v>50719 VIRGEN DEL CARMEN</v>
      </c>
      <c r="F5316" s="14" t="s">
        <v>16</v>
      </c>
      <c r="G5316" s="20" t="s">
        <v>21</v>
      </c>
      <c r="H5316" s="14" t="s">
        <v>18</v>
      </c>
      <c r="I5316" s="22">
        <v>2022.0</v>
      </c>
      <c r="J5316" s="16" t="str">
        <f>IFERROR(__xludf.DUMMYFUNCTION("FILTER('CLASFICACIÓN'!$F$3:$F5618,'CLASFICACIÓN'!$G$3:$G5618=M5316)"),"SOLO 2022 Y 2024")</f>
        <v>SOLO 2022 Y 2024</v>
      </c>
      <c r="K5316" s="16"/>
      <c r="L5316" s="14" t="s">
        <v>194</v>
      </c>
      <c r="M5316" s="16" t="str">
        <f t="shared" si="1"/>
        <v>50719 VIRGEN DEL CARMEN6 Primaria</v>
      </c>
      <c r="N5316" s="23"/>
      <c r="O5316" s="17"/>
      <c r="P5316" s="17"/>
      <c r="Q5316" s="17"/>
      <c r="R5316" s="17"/>
      <c r="S5316" s="17"/>
      <c r="T5316" s="17"/>
    </row>
    <row r="5317">
      <c r="A5317" s="21">
        <v>1445.0</v>
      </c>
      <c r="B5317" s="14" t="s">
        <v>90</v>
      </c>
      <c r="C5317" s="14" t="s">
        <v>14</v>
      </c>
      <c r="D5317" s="20" t="s">
        <v>22</v>
      </c>
      <c r="E5317" s="12" t="str">
        <f>IFERROR(__xludf.DUMMYFUNCTION("FILTER(colegios!$B$2:$B5618,colegios!$A$2:$A5618=L5317)"),"50719 VIRGEN DEL CARMEN")</f>
        <v>50719 VIRGEN DEL CARMEN</v>
      </c>
      <c r="F5317" s="14" t="s">
        <v>16</v>
      </c>
      <c r="G5317" s="20" t="s">
        <v>21</v>
      </c>
      <c r="H5317" s="14" t="s">
        <v>18</v>
      </c>
      <c r="I5317" s="22">
        <v>2022.0</v>
      </c>
      <c r="J5317" s="16" t="str">
        <f>IFERROR(__xludf.DUMMYFUNCTION("FILTER('CLASFICACIÓN'!$F$3:$F5618,'CLASFICACIÓN'!$G$3:$G5618=M5317)"),"SOLO 2022 Y 2024")</f>
        <v>SOLO 2022 Y 2024</v>
      </c>
      <c r="K5317" s="16"/>
      <c r="L5317" s="14" t="s">
        <v>194</v>
      </c>
      <c r="M5317" s="16" t="str">
        <f t="shared" si="1"/>
        <v>50719 VIRGEN DEL CARMEN6 Primaria</v>
      </c>
      <c r="N5317" s="23"/>
      <c r="O5317" s="17"/>
      <c r="P5317" s="17"/>
      <c r="Q5317" s="17"/>
      <c r="R5317" s="17"/>
      <c r="S5317" s="17"/>
      <c r="T5317" s="17"/>
    </row>
    <row r="5318">
      <c r="A5318" s="21">
        <v>1446.0</v>
      </c>
      <c r="B5318" s="14" t="s">
        <v>90</v>
      </c>
      <c r="C5318" s="14" t="s">
        <v>14</v>
      </c>
      <c r="D5318" s="20" t="s">
        <v>22</v>
      </c>
      <c r="E5318" s="12" t="str">
        <f>IFERROR(__xludf.DUMMYFUNCTION("FILTER(colegios!$B$2:$B5618,colegios!$A$2:$A5618=L5318)"),"50719 VIRGEN DEL CARMEN")</f>
        <v>50719 VIRGEN DEL CARMEN</v>
      </c>
      <c r="F5318" s="14" t="s">
        <v>16</v>
      </c>
      <c r="G5318" s="20" t="s">
        <v>21</v>
      </c>
      <c r="H5318" s="14" t="s">
        <v>18</v>
      </c>
      <c r="I5318" s="22">
        <v>2022.0</v>
      </c>
      <c r="J5318" s="16" t="str">
        <f>IFERROR(__xludf.DUMMYFUNCTION("FILTER('CLASFICACIÓN'!$F$3:$F5618,'CLASFICACIÓN'!$G$3:$G5618=M5318)"),"SOLO 2022 Y 2024")</f>
        <v>SOLO 2022 Y 2024</v>
      </c>
      <c r="K5318" s="16"/>
      <c r="L5318" s="14" t="s">
        <v>194</v>
      </c>
      <c r="M5318" s="16" t="str">
        <f t="shared" si="1"/>
        <v>50719 VIRGEN DEL CARMEN6 Primaria</v>
      </c>
      <c r="N5318" s="23"/>
      <c r="O5318" s="17"/>
      <c r="P5318" s="17"/>
      <c r="Q5318" s="17"/>
      <c r="R5318" s="17"/>
      <c r="S5318" s="17"/>
      <c r="T5318" s="17"/>
    </row>
    <row r="5319">
      <c r="A5319" s="21">
        <v>1447.0</v>
      </c>
      <c r="B5319" s="14" t="s">
        <v>90</v>
      </c>
      <c r="C5319" s="14" t="s">
        <v>14</v>
      </c>
      <c r="D5319" s="20" t="s">
        <v>22</v>
      </c>
      <c r="E5319" s="12" t="str">
        <f>IFERROR(__xludf.DUMMYFUNCTION("FILTER(colegios!$B$2:$B5618,colegios!$A$2:$A5618=L5319)"),"50719 VIRGEN DEL CARMEN")</f>
        <v>50719 VIRGEN DEL CARMEN</v>
      </c>
      <c r="F5319" s="14" t="s">
        <v>16</v>
      </c>
      <c r="G5319" s="20" t="s">
        <v>21</v>
      </c>
      <c r="H5319" s="14" t="s">
        <v>18</v>
      </c>
      <c r="I5319" s="22">
        <v>2022.0</v>
      </c>
      <c r="J5319" s="16" t="str">
        <f>IFERROR(__xludf.DUMMYFUNCTION("FILTER('CLASFICACIÓN'!$F$3:$F5618,'CLASFICACIÓN'!$G$3:$G5618=M5319)"),"SOLO 2022 Y 2024")</f>
        <v>SOLO 2022 Y 2024</v>
      </c>
      <c r="K5319" s="16"/>
      <c r="L5319" s="14" t="s">
        <v>194</v>
      </c>
      <c r="M5319" s="16" t="str">
        <f t="shared" si="1"/>
        <v>50719 VIRGEN DEL CARMEN6 Primaria</v>
      </c>
      <c r="N5319" s="23"/>
      <c r="O5319" s="17"/>
      <c r="P5319" s="17"/>
      <c r="Q5319" s="17"/>
      <c r="R5319" s="17"/>
      <c r="S5319" s="17"/>
      <c r="T5319" s="17"/>
    </row>
    <row r="5320">
      <c r="A5320" s="21">
        <v>1448.0</v>
      </c>
      <c r="B5320" s="14" t="s">
        <v>90</v>
      </c>
      <c r="C5320" s="14" t="s">
        <v>14</v>
      </c>
      <c r="D5320" s="20" t="s">
        <v>22</v>
      </c>
      <c r="E5320" s="12" t="str">
        <f>IFERROR(__xludf.DUMMYFUNCTION("FILTER(colegios!$B$2:$B5618,colegios!$A$2:$A5618=L5320)"),"50719 VIRGEN DEL CARMEN")</f>
        <v>50719 VIRGEN DEL CARMEN</v>
      </c>
      <c r="F5320" s="14" t="s">
        <v>16</v>
      </c>
      <c r="G5320" s="20" t="s">
        <v>17</v>
      </c>
      <c r="H5320" s="14" t="s">
        <v>18</v>
      </c>
      <c r="I5320" s="22">
        <v>2022.0</v>
      </c>
      <c r="J5320" s="16" t="str">
        <f>IFERROR(__xludf.DUMMYFUNCTION("FILTER('CLASFICACIÓN'!$F$3:$F5618,'CLASFICACIÓN'!$G$3:$G5618=M5320)"),"SOLO 2022 Y 2024")</f>
        <v>SOLO 2022 Y 2024</v>
      </c>
      <c r="K5320" s="16"/>
      <c r="L5320" s="14" t="s">
        <v>194</v>
      </c>
      <c r="M5320" s="16" t="str">
        <f t="shared" si="1"/>
        <v>50719 VIRGEN DEL CARMEN6 Primaria</v>
      </c>
      <c r="N5320" s="23"/>
      <c r="O5320" s="17"/>
      <c r="P5320" s="17"/>
      <c r="Q5320" s="17"/>
      <c r="R5320" s="17"/>
      <c r="S5320" s="17"/>
      <c r="T5320" s="17"/>
    </row>
    <row r="5321">
      <c r="A5321" s="21">
        <v>1449.0</v>
      </c>
      <c r="B5321" s="14" t="s">
        <v>90</v>
      </c>
      <c r="C5321" s="14" t="s">
        <v>14</v>
      </c>
      <c r="D5321" s="20" t="s">
        <v>22</v>
      </c>
      <c r="E5321" s="12" t="str">
        <f>IFERROR(__xludf.DUMMYFUNCTION("FILTER(colegios!$B$2:$B5618,colegios!$A$2:$A5618=L5321)"),"50719 VIRGEN DEL CARMEN")</f>
        <v>50719 VIRGEN DEL CARMEN</v>
      </c>
      <c r="F5321" s="14" t="s">
        <v>16</v>
      </c>
      <c r="G5321" s="20" t="s">
        <v>17</v>
      </c>
      <c r="H5321" s="14" t="s">
        <v>18</v>
      </c>
      <c r="I5321" s="22">
        <v>2022.0</v>
      </c>
      <c r="J5321" s="16" t="str">
        <f>IFERROR(__xludf.DUMMYFUNCTION("FILTER('CLASFICACIÓN'!$F$3:$F5618,'CLASFICACIÓN'!$G$3:$G5618=M5321)"),"SOLO 2022 Y 2024")</f>
        <v>SOLO 2022 Y 2024</v>
      </c>
      <c r="K5321" s="16"/>
      <c r="L5321" s="14" t="s">
        <v>194</v>
      </c>
      <c r="M5321" s="16" t="str">
        <f t="shared" si="1"/>
        <v>50719 VIRGEN DEL CARMEN6 Primaria</v>
      </c>
      <c r="N5321" s="23"/>
      <c r="O5321" s="17"/>
      <c r="P5321" s="17"/>
      <c r="Q5321" s="17"/>
      <c r="R5321" s="17"/>
      <c r="S5321" s="17"/>
      <c r="T5321" s="17"/>
    </row>
    <row r="5322">
      <c r="A5322" s="21">
        <v>1450.0</v>
      </c>
      <c r="B5322" s="14" t="s">
        <v>90</v>
      </c>
      <c r="C5322" s="14" t="s">
        <v>14</v>
      </c>
      <c r="D5322" s="20" t="s">
        <v>22</v>
      </c>
      <c r="E5322" s="12" t="str">
        <f>IFERROR(__xludf.DUMMYFUNCTION("FILTER(colegios!$B$2:$B5618,colegios!$A$2:$A5618=L5322)"),"50719 VIRGEN DEL CARMEN")</f>
        <v>50719 VIRGEN DEL CARMEN</v>
      </c>
      <c r="F5322" s="14" t="s">
        <v>16</v>
      </c>
      <c r="G5322" s="20" t="s">
        <v>21</v>
      </c>
      <c r="H5322" s="14" t="s">
        <v>18</v>
      </c>
      <c r="I5322" s="22">
        <v>2022.0</v>
      </c>
      <c r="J5322" s="16" t="str">
        <f>IFERROR(__xludf.DUMMYFUNCTION("FILTER('CLASFICACIÓN'!$F$3:$F5618,'CLASFICACIÓN'!$G$3:$G5618=M5322)"),"SOLO 2022 Y 2024")</f>
        <v>SOLO 2022 Y 2024</v>
      </c>
      <c r="K5322" s="16"/>
      <c r="L5322" s="14" t="s">
        <v>194</v>
      </c>
      <c r="M5322" s="16" t="str">
        <f t="shared" si="1"/>
        <v>50719 VIRGEN DEL CARMEN6 Primaria</v>
      </c>
      <c r="N5322" s="23"/>
      <c r="O5322" s="17"/>
      <c r="P5322" s="17"/>
      <c r="Q5322" s="17"/>
      <c r="R5322" s="17"/>
      <c r="S5322" s="17"/>
      <c r="T5322" s="17"/>
    </row>
    <row r="5323">
      <c r="A5323" s="21">
        <v>1451.0</v>
      </c>
      <c r="B5323" s="14" t="s">
        <v>90</v>
      </c>
      <c r="C5323" s="14" t="s">
        <v>14</v>
      </c>
      <c r="D5323" s="20" t="s">
        <v>22</v>
      </c>
      <c r="E5323" s="12" t="str">
        <f>IFERROR(__xludf.DUMMYFUNCTION("FILTER(colegios!$B$2:$B5618,colegios!$A$2:$A5618=L5323)"),"50719 VIRGEN DEL CARMEN")</f>
        <v>50719 VIRGEN DEL CARMEN</v>
      </c>
      <c r="F5323" s="14" t="s">
        <v>16</v>
      </c>
      <c r="G5323" s="20" t="s">
        <v>17</v>
      </c>
      <c r="H5323" s="14" t="s">
        <v>18</v>
      </c>
      <c r="I5323" s="22">
        <v>2022.0</v>
      </c>
      <c r="J5323" s="16" t="str">
        <f>IFERROR(__xludf.DUMMYFUNCTION("FILTER('CLASFICACIÓN'!$F$3:$F5618,'CLASFICACIÓN'!$G$3:$G5618=M5323)"),"SOLO 2022 Y 2024")</f>
        <v>SOLO 2022 Y 2024</v>
      </c>
      <c r="K5323" s="16"/>
      <c r="L5323" s="14" t="s">
        <v>194</v>
      </c>
      <c r="M5323" s="16" t="str">
        <f t="shared" si="1"/>
        <v>50719 VIRGEN DEL CARMEN6 Primaria</v>
      </c>
      <c r="N5323" s="23"/>
      <c r="O5323" s="17"/>
      <c r="P5323" s="17"/>
      <c r="Q5323" s="17"/>
      <c r="R5323" s="17"/>
      <c r="S5323" s="17"/>
      <c r="T5323" s="17"/>
    </row>
    <row r="5324">
      <c r="A5324" s="21">
        <v>1452.0</v>
      </c>
      <c r="B5324" s="14" t="s">
        <v>90</v>
      </c>
      <c r="C5324" s="14" t="s">
        <v>14</v>
      </c>
      <c r="D5324" s="20" t="s">
        <v>22</v>
      </c>
      <c r="E5324" s="12" t="str">
        <f>IFERROR(__xludf.DUMMYFUNCTION("FILTER(colegios!$B$2:$B5618,colegios!$A$2:$A5618=L5324)"),"50719 VIRGEN DEL CARMEN")</f>
        <v>50719 VIRGEN DEL CARMEN</v>
      </c>
      <c r="F5324" s="14" t="s">
        <v>16</v>
      </c>
      <c r="G5324" s="20" t="s">
        <v>17</v>
      </c>
      <c r="H5324" s="14" t="s">
        <v>18</v>
      </c>
      <c r="I5324" s="22">
        <v>2022.0</v>
      </c>
      <c r="J5324" s="16" t="str">
        <f>IFERROR(__xludf.DUMMYFUNCTION("FILTER('CLASFICACIÓN'!$F$3:$F5618,'CLASFICACIÓN'!$G$3:$G5618=M5324)"),"SOLO 2022 Y 2024")</f>
        <v>SOLO 2022 Y 2024</v>
      </c>
      <c r="K5324" s="16"/>
      <c r="L5324" s="14" t="s">
        <v>194</v>
      </c>
      <c r="M5324" s="16" t="str">
        <f t="shared" si="1"/>
        <v>50719 VIRGEN DEL CARMEN6 Primaria</v>
      </c>
      <c r="N5324" s="23"/>
      <c r="O5324" s="17"/>
      <c r="P5324" s="17"/>
      <c r="Q5324" s="17"/>
      <c r="R5324" s="17"/>
      <c r="S5324" s="17"/>
      <c r="T5324" s="17"/>
    </row>
    <row r="5325">
      <c r="A5325" s="21">
        <v>1453.0</v>
      </c>
      <c r="B5325" s="14" t="s">
        <v>90</v>
      </c>
      <c r="C5325" s="14" t="s">
        <v>14</v>
      </c>
      <c r="D5325" s="20" t="s">
        <v>22</v>
      </c>
      <c r="E5325" s="12" t="str">
        <f>IFERROR(__xludf.DUMMYFUNCTION("FILTER(colegios!$B$2:$B5618,colegios!$A$2:$A5618=L5325)"),"50719 VIRGEN DEL CARMEN")</f>
        <v>50719 VIRGEN DEL CARMEN</v>
      </c>
      <c r="F5325" s="14" t="s">
        <v>16</v>
      </c>
      <c r="G5325" s="20" t="s">
        <v>21</v>
      </c>
      <c r="H5325" s="14" t="s">
        <v>18</v>
      </c>
      <c r="I5325" s="22">
        <v>2022.0</v>
      </c>
      <c r="J5325" s="16" t="str">
        <f>IFERROR(__xludf.DUMMYFUNCTION("FILTER('CLASFICACIÓN'!$F$3:$F5618,'CLASFICACIÓN'!$G$3:$G5618=M5325)"),"SOLO 2022 Y 2024")</f>
        <v>SOLO 2022 Y 2024</v>
      </c>
      <c r="K5325" s="16"/>
      <c r="L5325" s="14" t="s">
        <v>194</v>
      </c>
      <c r="M5325" s="16" t="str">
        <f t="shared" si="1"/>
        <v>50719 VIRGEN DEL CARMEN6 Primaria</v>
      </c>
      <c r="N5325" s="23"/>
      <c r="O5325" s="17"/>
      <c r="P5325" s="17"/>
      <c r="Q5325" s="17"/>
      <c r="R5325" s="17"/>
      <c r="S5325" s="17"/>
      <c r="T5325" s="17"/>
    </row>
    <row r="5326">
      <c r="A5326" s="21">
        <v>1454.0</v>
      </c>
      <c r="B5326" s="14" t="s">
        <v>90</v>
      </c>
      <c r="C5326" s="14" t="s">
        <v>14</v>
      </c>
      <c r="D5326" s="20" t="s">
        <v>22</v>
      </c>
      <c r="E5326" s="12" t="str">
        <f>IFERROR(__xludf.DUMMYFUNCTION("FILTER(colegios!$B$2:$B5618,colegios!$A$2:$A5618=L5326)"),"50719 VIRGEN DEL CARMEN")</f>
        <v>50719 VIRGEN DEL CARMEN</v>
      </c>
      <c r="F5326" s="14" t="s">
        <v>16</v>
      </c>
      <c r="G5326" s="20" t="s">
        <v>17</v>
      </c>
      <c r="H5326" s="14" t="s">
        <v>18</v>
      </c>
      <c r="I5326" s="22">
        <v>2022.0</v>
      </c>
      <c r="J5326" s="16" t="str">
        <f>IFERROR(__xludf.DUMMYFUNCTION("FILTER('CLASFICACIÓN'!$F$3:$F5618,'CLASFICACIÓN'!$G$3:$G5618=M5326)"),"SOLO 2022 Y 2024")</f>
        <v>SOLO 2022 Y 2024</v>
      </c>
      <c r="K5326" s="16"/>
      <c r="L5326" s="14" t="s">
        <v>194</v>
      </c>
      <c r="M5326" s="16" t="str">
        <f t="shared" si="1"/>
        <v>50719 VIRGEN DEL CARMEN6 Primaria</v>
      </c>
      <c r="N5326" s="23"/>
      <c r="O5326" s="17"/>
      <c r="P5326" s="17"/>
      <c r="Q5326" s="17"/>
      <c r="R5326" s="17"/>
      <c r="S5326" s="17"/>
      <c r="T5326" s="17"/>
    </row>
    <row r="5327">
      <c r="A5327" s="21">
        <v>1455.0</v>
      </c>
      <c r="B5327" s="14" t="s">
        <v>90</v>
      </c>
      <c r="C5327" s="14" t="s">
        <v>14</v>
      </c>
      <c r="D5327" s="20" t="s">
        <v>22</v>
      </c>
      <c r="E5327" s="12" t="str">
        <f>IFERROR(__xludf.DUMMYFUNCTION("FILTER(colegios!$B$2:$B5618,colegios!$A$2:$A5618=L5327)"),"50719 VIRGEN DEL CARMEN")</f>
        <v>50719 VIRGEN DEL CARMEN</v>
      </c>
      <c r="F5327" s="14" t="s">
        <v>16</v>
      </c>
      <c r="G5327" s="20" t="s">
        <v>21</v>
      </c>
      <c r="H5327" s="14" t="s">
        <v>18</v>
      </c>
      <c r="I5327" s="22">
        <v>2022.0</v>
      </c>
      <c r="J5327" s="16" t="str">
        <f>IFERROR(__xludf.DUMMYFUNCTION("FILTER('CLASFICACIÓN'!$F$3:$F5618,'CLASFICACIÓN'!$G$3:$G5618=M5327)"),"SOLO 2022 Y 2024")</f>
        <v>SOLO 2022 Y 2024</v>
      </c>
      <c r="K5327" s="16"/>
      <c r="L5327" s="14" t="s">
        <v>194</v>
      </c>
      <c r="M5327" s="16" t="str">
        <f t="shared" si="1"/>
        <v>50719 VIRGEN DEL CARMEN6 Primaria</v>
      </c>
      <c r="N5327" s="23"/>
      <c r="O5327" s="17"/>
      <c r="P5327" s="17"/>
      <c r="Q5327" s="17"/>
      <c r="R5327" s="17"/>
      <c r="S5327" s="17"/>
      <c r="T5327" s="17"/>
    </row>
    <row r="5328">
      <c r="A5328" s="21">
        <v>1456.0</v>
      </c>
      <c r="B5328" s="14" t="s">
        <v>90</v>
      </c>
      <c r="C5328" s="14" t="s">
        <v>14</v>
      </c>
      <c r="D5328" s="20" t="s">
        <v>22</v>
      </c>
      <c r="E5328" s="12" t="str">
        <f>IFERROR(__xludf.DUMMYFUNCTION("FILTER(colegios!$B$2:$B5618,colegios!$A$2:$A5618=L5328)"),"50719 VIRGEN DEL CARMEN")</f>
        <v>50719 VIRGEN DEL CARMEN</v>
      </c>
      <c r="F5328" s="14" t="s">
        <v>16</v>
      </c>
      <c r="G5328" s="20" t="s">
        <v>21</v>
      </c>
      <c r="H5328" s="14" t="s">
        <v>18</v>
      </c>
      <c r="I5328" s="22">
        <v>2022.0</v>
      </c>
      <c r="J5328" s="16" t="str">
        <f>IFERROR(__xludf.DUMMYFUNCTION("FILTER('CLASFICACIÓN'!$F$3:$F5618,'CLASFICACIÓN'!$G$3:$G5618=M5328)"),"SOLO 2022 Y 2024")</f>
        <v>SOLO 2022 Y 2024</v>
      </c>
      <c r="K5328" s="16"/>
      <c r="L5328" s="14" t="s">
        <v>194</v>
      </c>
      <c r="M5328" s="16" t="str">
        <f t="shared" si="1"/>
        <v>50719 VIRGEN DEL CARMEN6 Primaria</v>
      </c>
      <c r="N5328" s="23"/>
      <c r="O5328" s="17"/>
      <c r="P5328" s="17"/>
      <c r="Q5328" s="17"/>
      <c r="R5328" s="17"/>
      <c r="S5328" s="17"/>
      <c r="T5328" s="17"/>
    </row>
    <row r="5329">
      <c r="A5329" s="21">
        <v>1457.0</v>
      </c>
      <c r="B5329" s="14" t="s">
        <v>90</v>
      </c>
      <c r="C5329" s="14" t="s">
        <v>14</v>
      </c>
      <c r="D5329" s="20" t="s">
        <v>22</v>
      </c>
      <c r="E5329" s="12" t="str">
        <f>IFERROR(__xludf.DUMMYFUNCTION("FILTER(colegios!$B$2:$B5618,colegios!$A$2:$A5618=L5329)"),"50719 VIRGEN DEL CARMEN")</f>
        <v>50719 VIRGEN DEL CARMEN</v>
      </c>
      <c r="F5329" s="14" t="s">
        <v>16</v>
      </c>
      <c r="G5329" s="20" t="s">
        <v>17</v>
      </c>
      <c r="H5329" s="14" t="s">
        <v>18</v>
      </c>
      <c r="I5329" s="22">
        <v>2022.0</v>
      </c>
      <c r="J5329" s="16" t="str">
        <f>IFERROR(__xludf.DUMMYFUNCTION("FILTER('CLASFICACIÓN'!$F$3:$F5618,'CLASFICACIÓN'!$G$3:$G5618=M5329)"),"SOLO 2022 Y 2024")</f>
        <v>SOLO 2022 Y 2024</v>
      </c>
      <c r="K5329" s="16"/>
      <c r="L5329" s="14" t="s">
        <v>194</v>
      </c>
      <c r="M5329" s="16" t="str">
        <f t="shared" si="1"/>
        <v>50719 VIRGEN DEL CARMEN6 Primaria</v>
      </c>
      <c r="N5329" s="23"/>
      <c r="O5329" s="17"/>
      <c r="P5329" s="17"/>
      <c r="Q5329" s="17"/>
      <c r="R5329" s="17"/>
      <c r="S5329" s="17"/>
      <c r="T5329" s="17"/>
    </row>
    <row r="5330">
      <c r="A5330" s="21">
        <v>1458.0</v>
      </c>
      <c r="B5330" s="14" t="s">
        <v>90</v>
      </c>
      <c r="C5330" s="14" t="s">
        <v>14</v>
      </c>
      <c r="D5330" s="20" t="s">
        <v>22</v>
      </c>
      <c r="E5330" s="12" t="str">
        <f>IFERROR(__xludf.DUMMYFUNCTION("FILTER(colegios!$B$2:$B5618,colegios!$A$2:$A5618=L5330)"),"50719 VIRGEN DEL CARMEN")</f>
        <v>50719 VIRGEN DEL CARMEN</v>
      </c>
      <c r="F5330" s="14" t="s">
        <v>16</v>
      </c>
      <c r="G5330" s="20" t="s">
        <v>21</v>
      </c>
      <c r="H5330" s="14" t="s">
        <v>18</v>
      </c>
      <c r="I5330" s="22">
        <v>2022.0</v>
      </c>
      <c r="J5330" s="16" t="str">
        <f>IFERROR(__xludf.DUMMYFUNCTION("FILTER('CLASFICACIÓN'!$F$3:$F5618,'CLASFICACIÓN'!$G$3:$G5618=M5330)"),"SOLO 2022 Y 2024")</f>
        <v>SOLO 2022 Y 2024</v>
      </c>
      <c r="K5330" s="16"/>
      <c r="L5330" s="14" t="s">
        <v>194</v>
      </c>
      <c r="M5330" s="16" t="str">
        <f t="shared" si="1"/>
        <v>50719 VIRGEN DEL CARMEN6 Primaria</v>
      </c>
      <c r="N5330" s="23"/>
      <c r="O5330" s="17"/>
      <c r="P5330" s="17"/>
      <c r="Q5330" s="17"/>
      <c r="R5330" s="17"/>
      <c r="S5330" s="17"/>
      <c r="T5330" s="17"/>
    </row>
    <row r="5331">
      <c r="A5331" s="21">
        <v>1459.0</v>
      </c>
      <c r="B5331" s="14" t="s">
        <v>90</v>
      </c>
      <c r="C5331" s="14" t="s">
        <v>14</v>
      </c>
      <c r="D5331" s="20" t="s">
        <v>22</v>
      </c>
      <c r="E5331" s="12" t="str">
        <f>IFERROR(__xludf.DUMMYFUNCTION("FILTER(colegios!$B$2:$B5618,colegios!$A$2:$A5618=L5331)"),"50719 VIRGEN DEL CARMEN")</f>
        <v>50719 VIRGEN DEL CARMEN</v>
      </c>
      <c r="F5331" s="14" t="s">
        <v>16</v>
      </c>
      <c r="G5331" s="20" t="s">
        <v>17</v>
      </c>
      <c r="H5331" s="14" t="s">
        <v>18</v>
      </c>
      <c r="I5331" s="22">
        <v>2022.0</v>
      </c>
      <c r="J5331" s="16" t="str">
        <f>IFERROR(__xludf.DUMMYFUNCTION("FILTER('CLASFICACIÓN'!$F$3:$F5618,'CLASFICACIÓN'!$G$3:$G5618=M5331)"),"SOLO 2022 Y 2024")</f>
        <v>SOLO 2022 Y 2024</v>
      </c>
      <c r="K5331" s="16"/>
      <c r="L5331" s="14" t="s">
        <v>194</v>
      </c>
      <c r="M5331" s="16" t="str">
        <f t="shared" si="1"/>
        <v>50719 VIRGEN DEL CARMEN6 Primaria</v>
      </c>
      <c r="N5331" s="23"/>
      <c r="O5331" s="17"/>
      <c r="P5331" s="17"/>
      <c r="Q5331" s="17"/>
      <c r="R5331" s="17"/>
      <c r="S5331" s="17"/>
      <c r="T5331" s="17"/>
    </row>
    <row r="5332">
      <c r="A5332" s="21">
        <v>1460.0</v>
      </c>
      <c r="B5332" s="14" t="s">
        <v>90</v>
      </c>
      <c r="C5332" s="14" t="s">
        <v>14</v>
      </c>
      <c r="D5332" s="20" t="s">
        <v>22</v>
      </c>
      <c r="E5332" s="12" t="str">
        <f>IFERROR(__xludf.DUMMYFUNCTION("FILTER(colegios!$B$2:$B5618,colegios!$A$2:$A5618=L5332)"),"50719 VIRGEN DEL CARMEN")</f>
        <v>50719 VIRGEN DEL CARMEN</v>
      </c>
      <c r="F5332" s="14" t="s">
        <v>16</v>
      </c>
      <c r="G5332" s="20" t="s">
        <v>21</v>
      </c>
      <c r="H5332" s="14" t="s">
        <v>18</v>
      </c>
      <c r="I5332" s="22">
        <v>2022.0</v>
      </c>
      <c r="J5332" s="16" t="str">
        <f>IFERROR(__xludf.DUMMYFUNCTION("FILTER('CLASFICACIÓN'!$F$3:$F5618,'CLASFICACIÓN'!$G$3:$G5618=M5332)"),"SOLO 2022 Y 2024")</f>
        <v>SOLO 2022 Y 2024</v>
      </c>
      <c r="K5332" s="16"/>
      <c r="L5332" s="14" t="s">
        <v>194</v>
      </c>
      <c r="M5332" s="16" t="str">
        <f t="shared" si="1"/>
        <v>50719 VIRGEN DEL CARMEN6 Primaria</v>
      </c>
      <c r="N5332" s="23"/>
      <c r="O5332" s="17"/>
      <c r="P5332" s="17"/>
      <c r="Q5332" s="17"/>
      <c r="R5332" s="17"/>
      <c r="S5332" s="17"/>
      <c r="T5332" s="17"/>
    </row>
    <row r="5333">
      <c r="A5333" s="21">
        <v>1461.0</v>
      </c>
      <c r="B5333" s="14" t="s">
        <v>90</v>
      </c>
      <c r="C5333" s="14" t="s">
        <v>14</v>
      </c>
      <c r="D5333" s="20" t="s">
        <v>22</v>
      </c>
      <c r="E5333" s="12" t="str">
        <f>IFERROR(__xludf.DUMMYFUNCTION("FILTER(colegios!$B$2:$B5618,colegios!$A$2:$A5618=L5333)"),"50719 VIRGEN DEL CARMEN")</f>
        <v>50719 VIRGEN DEL CARMEN</v>
      </c>
      <c r="F5333" s="14" t="s">
        <v>16</v>
      </c>
      <c r="G5333" s="20" t="s">
        <v>21</v>
      </c>
      <c r="H5333" s="14" t="s">
        <v>18</v>
      </c>
      <c r="I5333" s="22">
        <v>2022.0</v>
      </c>
      <c r="J5333" s="16" t="str">
        <f>IFERROR(__xludf.DUMMYFUNCTION("FILTER('CLASFICACIÓN'!$F$3:$F5618,'CLASFICACIÓN'!$G$3:$G5618=M5333)"),"SOLO 2022 Y 2024")</f>
        <v>SOLO 2022 Y 2024</v>
      </c>
      <c r="K5333" s="16"/>
      <c r="L5333" s="14" t="s">
        <v>194</v>
      </c>
      <c r="M5333" s="16" t="str">
        <f t="shared" si="1"/>
        <v>50719 VIRGEN DEL CARMEN6 Primaria</v>
      </c>
      <c r="N5333" s="23"/>
      <c r="O5333" s="17"/>
      <c r="P5333" s="17"/>
      <c r="Q5333" s="17"/>
      <c r="R5333" s="17"/>
      <c r="S5333" s="17"/>
      <c r="T5333" s="17"/>
    </row>
    <row r="5334">
      <c r="A5334" s="21">
        <v>1462.0</v>
      </c>
      <c r="B5334" s="14" t="s">
        <v>90</v>
      </c>
      <c r="C5334" s="14" t="s">
        <v>14</v>
      </c>
      <c r="D5334" s="20" t="s">
        <v>22</v>
      </c>
      <c r="E5334" s="12" t="str">
        <f>IFERROR(__xludf.DUMMYFUNCTION("FILTER(colegios!$B$2:$B5618,colegios!$A$2:$A5618=L5334)"),"50719 VIRGEN DEL CARMEN")</f>
        <v>50719 VIRGEN DEL CARMEN</v>
      </c>
      <c r="F5334" s="14" t="s">
        <v>16</v>
      </c>
      <c r="G5334" s="20" t="s">
        <v>17</v>
      </c>
      <c r="H5334" s="14" t="s">
        <v>18</v>
      </c>
      <c r="I5334" s="22">
        <v>2022.0</v>
      </c>
      <c r="J5334" s="16" t="str">
        <f>IFERROR(__xludf.DUMMYFUNCTION("FILTER('CLASFICACIÓN'!$F$3:$F5618,'CLASFICACIÓN'!$G$3:$G5618=M5334)"),"SOLO 2022 Y 2024")</f>
        <v>SOLO 2022 Y 2024</v>
      </c>
      <c r="K5334" s="16"/>
      <c r="L5334" s="14" t="s">
        <v>194</v>
      </c>
      <c r="M5334" s="16" t="str">
        <f t="shared" si="1"/>
        <v>50719 VIRGEN DEL CARMEN6 Primaria</v>
      </c>
      <c r="N5334" s="23"/>
      <c r="O5334" s="17"/>
      <c r="P5334" s="17"/>
      <c r="Q5334" s="17"/>
      <c r="R5334" s="17"/>
      <c r="S5334" s="17"/>
      <c r="T5334" s="17"/>
    </row>
    <row r="5335">
      <c r="A5335" s="21">
        <v>1463.0</v>
      </c>
      <c r="B5335" s="14" t="s">
        <v>90</v>
      </c>
      <c r="C5335" s="14" t="s">
        <v>14</v>
      </c>
      <c r="D5335" s="20" t="s">
        <v>22</v>
      </c>
      <c r="E5335" s="12" t="str">
        <f>IFERROR(__xludf.DUMMYFUNCTION("FILTER(colegios!$B$2:$B5618,colegios!$A$2:$A5618=L5335)"),"50719 VIRGEN DEL CARMEN")</f>
        <v>50719 VIRGEN DEL CARMEN</v>
      </c>
      <c r="F5335" s="14" t="s">
        <v>16</v>
      </c>
      <c r="G5335" s="20" t="s">
        <v>21</v>
      </c>
      <c r="H5335" s="14" t="s">
        <v>18</v>
      </c>
      <c r="I5335" s="22">
        <v>2022.0</v>
      </c>
      <c r="J5335" s="16" t="str">
        <f>IFERROR(__xludf.DUMMYFUNCTION("FILTER('CLASFICACIÓN'!$F$3:$F5618,'CLASFICACIÓN'!$G$3:$G5618=M5335)"),"SOLO 2022 Y 2024")</f>
        <v>SOLO 2022 Y 2024</v>
      </c>
      <c r="K5335" s="16"/>
      <c r="L5335" s="14" t="s">
        <v>194</v>
      </c>
      <c r="M5335" s="16" t="str">
        <f t="shared" si="1"/>
        <v>50719 VIRGEN DEL CARMEN6 Primaria</v>
      </c>
      <c r="N5335" s="23"/>
      <c r="O5335" s="17"/>
      <c r="P5335" s="17"/>
      <c r="Q5335" s="17"/>
      <c r="R5335" s="17"/>
      <c r="S5335" s="17"/>
      <c r="T5335" s="17"/>
    </row>
    <row r="5336">
      <c r="A5336" s="21">
        <v>1464.0</v>
      </c>
      <c r="B5336" s="14" t="s">
        <v>90</v>
      </c>
      <c r="C5336" s="14" t="s">
        <v>14</v>
      </c>
      <c r="D5336" s="20" t="s">
        <v>22</v>
      </c>
      <c r="E5336" s="12" t="str">
        <f>IFERROR(__xludf.DUMMYFUNCTION("FILTER(colegios!$B$2:$B5618,colegios!$A$2:$A5618=L5336)"),"50719 VIRGEN DEL CARMEN")</f>
        <v>50719 VIRGEN DEL CARMEN</v>
      </c>
      <c r="F5336" s="14" t="s">
        <v>16</v>
      </c>
      <c r="G5336" s="20" t="s">
        <v>21</v>
      </c>
      <c r="H5336" s="14" t="s">
        <v>18</v>
      </c>
      <c r="I5336" s="22">
        <v>2022.0</v>
      </c>
      <c r="J5336" s="16" t="str">
        <f>IFERROR(__xludf.DUMMYFUNCTION("FILTER('CLASFICACIÓN'!$F$3:$F5618,'CLASFICACIÓN'!$G$3:$G5618=M5336)"),"SOLO 2022 Y 2024")</f>
        <v>SOLO 2022 Y 2024</v>
      </c>
      <c r="K5336" s="16"/>
      <c r="L5336" s="14" t="s">
        <v>194</v>
      </c>
      <c r="M5336" s="16" t="str">
        <f t="shared" si="1"/>
        <v>50719 VIRGEN DEL CARMEN6 Primaria</v>
      </c>
      <c r="N5336" s="23"/>
      <c r="O5336" s="17"/>
      <c r="P5336" s="17"/>
      <c r="Q5336" s="17"/>
      <c r="R5336" s="17"/>
      <c r="S5336" s="17"/>
      <c r="T5336" s="17"/>
    </row>
    <row r="5337">
      <c r="A5337" s="21">
        <v>1465.0</v>
      </c>
      <c r="B5337" s="14" t="s">
        <v>90</v>
      </c>
      <c r="C5337" s="14" t="s">
        <v>14</v>
      </c>
      <c r="D5337" s="20" t="s">
        <v>22</v>
      </c>
      <c r="E5337" s="12" t="str">
        <f>IFERROR(__xludf.DUMMYFUNCTION("FILTER(colegios!$B$2:$B5618,colegios!$A$2:$A5618=L5337)"),"50719 VIRGEN DEL CARMEN")</f>
        <v>50719 VIRGEN DEL CARMEN</v>
      </c>
      <c r="F5337" s="14" t="s">
        <v>16</v>
      </c>
      <c r="G5337" s="20" t="s">
        <v>21</v>
      </c>
      <c r="H5337" s="14" t="s">
        <v>18</v>
      </c>
      <c r="I5337" s="22">
        <v>2022.0</v>
      </c>
      <c r="J5337" s="16" t="str">
        <f>IFERROR(__xludf.DUMMYFUNCTION("FILTER('CLASFICACIÓN'!$F$3:$F5618,'CLASFICACIÓN'!$G$3:$G5618=M5337)"),"SOLO 2022 Y 2024")</f>
        <v>SOLO 2022 Y 2024</v>
      </c>
      <c r="K5337" s="16"/>
      <c r="L5337" s="14" t="s">
        <v>194</v>
      </c>
      <c r="M5337" s="16" t="str">
        <f t="shared" si="1"/>
        <v>50719 VIRGEN DEL CARMEN6 Primaria</v>
      </c>
      <c r="N5337" s="23"/>
      <c r="O5337" s="17"/>
      <c r="P5337" s="17"/>
      <c r="Q5337" s="17"/>
      <c r="R5337" s="17"/>
      <c r="S5337" s="17"/>
      <c r="T5337" s="17"/>
    </row>
    <row r="5338">
      <c r="A5338" s="21">
        <v>1466.0</v>
      </c>
      <c r="B5338" s="14" t="s">
        <v>90</v>
      </c>
      <c r="C5338" s="14" t="s">
        <v>14</v>
      </c>
      <c r="D5338" s="20" t="s">
        <v>22</v>
      </c>
      <c r="E5338" s="12" t="str">
        <f>IFERROR(__xludf.DUMMYFUNCTION("FILTER(colegios!$B$2:$B5618,colegios!$A$2:$A5618=L5338)"),"50719 VIRGEN DEL CARMEN")</f>
        <v>50719 VIRGEN DEL CARMEN</v>
      </c>
      <c r="F5338" s="14" t="s">
        <v>16</v>
      </c>
      <c r="G5338" s="20" t="s">
        <v>21</v>
      </c>
      <c r="H5338" s="14" t="s">
        <v>18</v>
      </c>
      <c r="I5338" s="22">
        <v>2022.0</v>
      </c>
      <c r="J5338" s="16" t="str">
        <f>IFERROR(__xludf.DUMMYFUNCTION("FILTER('CLASFICACIÓN'!$F$3:$F5618,'CLASFICACIÓN'!$G$3:$G5618=M5338)"),"SOLO 2022 Y 2024")</f>
        <v>SOLO 2022 Y 2024</v>
      </c>
      <c r="K5338" s="16"/>
      <c r="L5338" s="14" t="s">
        <v>194</v>
      </c>
      <c r="M5338" s="16" t="str">
        <f t="shared" si="1"/>
        <v>50719 VIRGEN DEL CARMEN6 Primaria</v>
      </c>
      <c r="N5338" s="23"/>
      <c r="O5338" s="17"/>
      <c r="P5338" s="17"/>
      <c r="Q5338" s="17"/>
      <c r="R5338" s="17"/>
      <c r="S5338" s="17"/>
      <c r="T5338" s="17"/>
    </row>
    <row r="5339">
      <c r="A5339" s="21">
        <v>1467.0</v>
      </c>
      <c r="B5339" s="14" t="s">
        <v>90</v>
      </c>
      <c r="C5339" s="14" t="s">
        <v>14</v>
      </c>
      <c r="D5339" s="20" t="s">
        <v>22</v>
      </c>
      <c r="E5339" s="12" t="str">
        <f>IFERROR(__xludf.DUMMYFUNCTION("FILTER(colegios!$B$2:$B5618,colegios!$A$2:$A5618=L5339)"),"50719 VIRGEN DEL CARMEN")</f>
        <v>50719 VIRGEN DEL CARMEN</v>
      </c>
      <c r="F5339" s="14" t="s">
        <v>16</v>
      </c>
      <c r="G5339" s="20" t="s">
        <v>21</v>
      </c>
      <c r="H5339" s="14" t="s">
        <v>18</v>
      </c>
      <c r="I5339" s="22">
        <v>2022.0</v>
      </c>
      <c r="J5339" s="16" t="str">
        <f>IFERROR(__xludf.DUMMYFUNCTION("FILTER('CLASFICACIÓN'!$F$3:$F5618,'CLASFICACIÓN'!$G$3:$G5618=M5339)"),"SOLO 2022 Y 2024")</f>
        <v>SOLO 2022 Y 2024</v>
      </c>
      <c r="K5339" s="16"/>
      <c r="L5339" s="14" t="s">
        <v>194</v>
      </c>
      <c r="M5339" s="16" t="str">
        <f t="shared" si="1"/>
        <v>50719 VIRGEN DEL CARMEN6 Primaria</v>
      </c>
      <c r="N5339" s="23"/>
      <c r="O5339" s="17"/>
      <c r="P5339" s="17"/>
      <c r="Q5339" s="17"/>
      <c r="R5339" s="17"/>
      <c r="S5339" s="17"/>
      <c r="T5339" s="17"/>
    </row>
    <row r="5340">
      <c r="A5340" s="21">
        <v>1468.0</v>
      </c>
      <c r="B5340" s="14" t="s">
        <v>90</v>
      </c>
      <c r="C5340" s="14" t="s">
        <v>14</v>
      </c>
      <c r="D5340" s="20" t="s">
        <v>22</v>
      </c>
      <c r="E5340" s="12" t="str">
        <f>IFERROR(__xludf.DUMMYFUNCTION("FILTER(colegios!$B$2:$B5618,colegios!$A$2:$A5618=L5340)"),"50719 VIRGEN DEL CARMEN")</f>
        <v>50719 VIRGEN DEL CARMEN</v>
      </c>
      <c r="F5340" s="14" t="s">
        <v>16</v>
      </c>
      <c r="G5340" s="20" t="s">
        <v>17</v>
      </c>
      <c r="H5340" s="14" t="s">
        <v>18</v>
      </c>
      <c r="I5340" s="22">
        <v>2022.0</v>
      </c>
      <c r="J5340" s="16" t="str">
        <f>IFERROR(__xludf.DUMMYFUNCTION("FILTER('CLASFICACIÓN'!$F$3:$F5618,'CLASFICACIÓN'!$G$3:$G5618=M5340)"),"SOLO 2022 Y 2024")</f>
        <v>SOLO 2022 Y 2024</v>
      </c>
      <c r="K5340" s="16"/>
      <c r="L5340" s="14" t="s">
        <v>194</v>
      </c>
      <c r="M5340" s="16" t="str">
        <f t="shared" si="1"/>
        <v>50719 VIRGEN DEL CARMEN6 Primaria</v>
      </c>
      <c r="N5340" s="23"/>
      <c r="O5340" s="17"/>
      <c r="P5340" s="17"/>
      <c r="Q5340" s="17"/>
      <c r="R5340" s="17"/>
      <c r="S5340" s="17"/>
      <c r="T5340" s="17"/>
    </row>
    <row r="5341">
      <c r="A5341" s="21">
        <v>1469.0</v>
      </c>
      <c r="B5341" s="14" t="s">
        <v>90</v>
      </c>
      <c r="C5341" s="14" t="s">
        <v>14</v>
      </c>
      <c r="D5341" s="20" t="s">
        <v>22</v>
      </c>
      <c r="E5341" s="12" t="str">
        <f>IFERROR(__xludf.DUMMYFUNCTION("FILTER(colegios!$B$2:$B5618,colegios!$A$2:$A5618=L5341)"),"50719 VIRGEN DEL CARMEN")</f>
        <v>50719 VIRGEN DEL CARMEN</v>
      </c>
      <c r="F5341" s="14" t="s">
        <v>16</v>
      </c>
      <c r="G5341" s="20" t="s">
        <v>17</v>
      </c>
      <c r="H5341" s="14" t="s">
        <v>18</v>
      </c>
      <c r="I5341" s="22">
        <v>2022.0</v>
      </c>
      <c r="J5341" s="16" t="str">
        <f>IFERROR(__xludf.DUMMYFUNCTION("FILTER('CLASFICACIÓN'!$F$3:$F5618,'CLASFICACIÓN'!$G$3:$G5618=M5341)"),"SOLO 2022 Y 2024")</f>
        <v>SOLO 2022 Y 2024</v>
      </c>
      <c r="K5341" s="16"/>
      <c r="L5341" s="14" t="s">
        <v>194</v>
      </c>
      <c r="M5341" s="16" t="str">
        <f t="shared" si="1"/>
        <v>50719 VIRGEN DEL CARMEN6 Primaria</v>
      </c>
      <c r="N5341" s="23"/>
      <c r="O5341" s="17"/>
      <c r="P5341" s="17"/>
      <c r="Q5341" s="17"/>
      <c r="R5341" s="17"/>
      <c r="S5341" s="17"/>
      <c r="T5341" s="17"/>
    </row>
    <row r="5342">
      <c r="A5342" s="21">
        <v>1470.0</v>
      </c>
      <c r="B5342" s="14" t="s">
        <v>90</v>
      </c>
      <c r="C5342" s="14" t="s">
        <v>14</v>
      </c>
      <c r="D5342" s="20" t="s">
        <v>22</v>
      </c>
      <c r="E5342" s="12" t="str">
        <f>IFERROR(__xludf.DUMMYFUNCTION("FILTER(colegios!$B$2:$B5618,colegios!$A$2:$A5618=L5342)"),"50719 VIRGEN DEL CARMEN")</f>
        <v>50719 VIRGEN DEL CARMEN</v>
      </c>
      <c r="F5342" s="14" t="s">
        <v>16</v>
      </c>
      <c r="G5342" s="20" t="s">
        <v>21</v>
      </c>
      <c r="H5342" s="14" t="s">
        <v>18</v>
      </c>
      <c r="I5342" s="22">
        <v>2022.0</v>
      </c>
      <c r="J5342" s="16" t="str">
        <f>IFERROR(__xludf.DUMMYFUNCTION("FILTER('CLASFICACIÓN'!$F$3:$F5618,'CLASFICACIÓN'!$G$3:$G5618=M5342)"),"SOLO 2022 Y 2024")</f>
        <v>SOLO 2022 Y 2024</v>
      </c>
      <c r="K5342" s="16"/>
      <c r="L5342" s="14" t="s">
        <v>194</v>
      </c>
      <c r="M5342" s="16" t="str">
        <f t="shared" si="1"/>
        <v>50719 VIRGEN DEL CARMEN6 Primaria</v>
      </c>
      <c r="N5342" s="23"/>
      <c r="O5342" s="17"/>
      <c r="P5342" s="17"/>
      <c r="Q5342" s="17"/>
      <c r="R5342" s="17"/>
      <c r="S5342" s="17"/>
      <c r="T5342" s="17"/>
    </row>
    <row r="5343">
      <c r="A5343" s="21">
        <v>1471.0</v>
      </c>
      <c r="B5343" s="14" t="s">
        <v>90</v>
      </c>
      <c r="C5343" s="14" t="s">
        <v>14</v>
      </c>
      <c r="D5343" s="20" t="s">
        <v>22</v>
      </c>
      <c r="E5343" s="12" t="str">
        <f>IFERROR(__xludf.DUMMYFUNCTION("FILTER(colegios!$B$2:$B5618,colegios!$A$2:$A5618=L5343)"),"50719 VIRGEN DEL CARMEN")</f>
        <v>50719 VIRGEN DEL CARMEN</v>
      </c>
      <c r="F5343" s="14" t="s">
        <v>16</v>
      </c>
      <c r="G5343" s="20" t="s">
        <v>21</v>
      </c>
      <c r="H5343" s="14" t="s">
        <v>18</v>
      </c>
      <c r="I5343" s="22">
        <v>2022.0</v>
      </c>
      <c r="J5343" s="16" t="str">
        <f>IFERROR(__xludf.DUMMYFUNCTION("FILTER('CLASFICACIÓN'!$F$3:$F5618,'CLASFICACIÓN'!$G$3:$G5618=M5343)"),"SOLO 2022 Y 2024")</f>
        <v>SOLO 2022 Y 2024</v>
      </c>
      <c r="K5343" s="16"/>
      <c r="L5343" s="14" t="s">
        <v>194</v>
      </c>
      <c r="M5343" s="16" t="str">
        <f t="shared" si="1"/>
        <v>50719 VIRGEN DEL CARMEN6 Primaria</v>
      </c>
      <c r="N5343" s="23"/>
      <c r="O5343" s="17"/>
      <c r="P5343" s="17"/>
      <c r="Q5343" s="17"/>
      <c r="R5343" s="17"/>
      <c r="S5343" s="17"/>
      <c r="T5343" s="17"/>
    </row>
    <row r="5344">
      <c r="A5344" s="21">
        <v>1472.0</v>
      </c>
      <c r="B5344" s="14" t="s">
        <v>90</v>
      </c>
      <c r="C5344" s="14" t="s">
        <v>14</v>
      </c>
      <c r="D5344" s="20" t="s">
        <v>22</v>
      </c>
      <c r="E5344" s="12" t="str">
        <f>IFERROR(__xludf.DUMMYFUNCTION("FILTER(colegios!$B$2:$B5618,colegios!$A$2:$A5618=L5344)"),"50719 VIRGEN DEL CARMEN")</f>
        <v>50719 VIRGEN DEL CARMEN</v>
      </c>
      <c r="F5344" s="14" t="s">
        <v>16</v>
      </c>
      <c r="G5344" s="20" t="s">
        <v>21</v>
      </c>
      <c r="H5344" s="14" t="s">
        <v>18</v>
      </c>
      <c r="I5344" s="22">
        <v>2022.0</v>
      </c>
      <c r="J5344" s="16" t="str">
        <f>IFERROR(__xludf.DUMMYFUNCTION("FILTER('CLASFICACIÓN'!$F$3:$F5618,'CLASFICACIÓN'!$G$3:$G5618=M5344)"),"SOLO 2022 Y 2024")</f>
        <v>SOLO 2022 Y 2024</v>
      </c>
      <c r="K5344" s="16"/>
      <c r="L5344" s="14" t="s">
        <v>194</v>
      </c>
      <c r="M5344" s="16" t="str">
        <f t="shared" si="1"/>
        <v>50719 VIRGEN DEL CARMEN6 Primaria</v>
      </c>
      <c r="N5344" s="23"/>
      <c r="O5344" s="17"/>
      <c r="P5344" s="17"/>
      <c r="Q5344" s="17"/>
      <c r="R5344" s="17"/>
      <c r="S5344" s="17"/>
      <c r="T5344" s="17"/>
    </row>
    <row r="5345">
      <c r="A5345" s="21">
        <v>1473.0</v>
      </c>
      <c r="B5345" s="14" t="s">
        <v>90</v>
      </c>
      <c r="C5345" s="14" t="s">
        <v>14</v>
      </c>
      <c r="D5345" s="20" t="s">
        <v>22</v>
      </c>
      <c r="E5345" s="12" t="str">
        <f>IFERROR(__xludf.DUMMYFUNCTION("FILTER(colegios!$B$2:$B5618,colegios!$A$2:$A5618=L5345)"),"50719 VIRGEN DEL CARMEN")</f>
        <v>50719 VIRGEN DEL CARMEN</v>
      </c>
      <c r="F5345" s="14" t="s">
        <v>16</v>
      </c>
      <c r="G5345" s="20" t="s">
        <v>17</v>
      </c>
      <c r="H5345" s="14" t="s">
        <v>18</v>
      </c>
      <c r="I5345" s="22">
        <v>2022.0</v>
      </c>
      <c r="J5345" s="16" t="str">
        <f>IFERROR(__xludf.DUMMYFUNCTION("FILTER('CLASFICACIÓN'!$F$3:$F5618,'CLASFICACIÓN'!$G$3:$G5618=M5345)"),"SOLO 2022 Y 2024")</f>
        <v>SOLO 2022 Y 2024</v>
      </c>
      <c r="K5345" s="16"/>
      <c r="L5345" s="14" t="s">
        <v>194</v>
      </c>
      <c r="M5345" s="16" t="str">
        <f t="shared" si="1"/>
        <v>50719 VIRGEN DEL CARMEN6 Primaria</v>
      </c>
      <c r="N5345" s="23"/>
      <c r="O5345" s="17"/>
      <c r="P5345" s="17"/>
      <c r="Q5345" s="17"/>
      <c r="R5345" s="17"/>
      <c r="S5345" s="17"/>
      <c r="T5345" s="17"/>
    </row>
    <row r="5346">
      <c r="A5346" s="21">
        <v>1474.0</v>
      </c>
      <c r="B5346" s="14" t="s">
        <v>90</v>
      </c>
      <c r="C5346" s="14" t="s">
        <v>14</v>
      </c>
      <c r="D5346" s="20" t="s">
        <v>22</v>
      </c>
      <c r="E5346" s="12" t="str">
        <f>IFERROR(__xludf.DUMMYFUNCTION("FILTER(colegios!$B$2:$B5618,colegios!$A$2:$A5618=L5346)"),"50719 VIRGEN DEL CARMEN")</f>
        <v>50719 VIRGEN DEL CARMEN</v>
      </c>
      <c r="F5346" s="14" t="s">
        <v>16</v>
      </c>
      <c r="G5346" s="20" t="s">
        <v>21</v>
      </c>
      <c r="H5346" s="14" t="s">
        <v>18</v>
      </c>
      <c r="I5346" s="22">
        <v>2022.0</v>
      </c>
      <c r="J5346" s="16" t="str">
        <f>IFERROR(__xludf.DUMMYFUNCTION("FILTER('CLASFICACIÓN'!$F$3:$F5618,'CLASFICACIÓN'!$G$3:$G5618=M5346)"),"SOLO 2022 Y 2024")</f>
        <v>SOLO 2022 Y 2024</v>
      </c>
      <c r="K5346" s="16"/>
      <c r="L5346" s="14" t="s">
        <v>194</v>
      </c>
      <c r="M5346" s="16" t="str">
        <f t="shared" si="1"/>
        <v>50719 VIRGEN DEL CARMEN6 Primaria</v>
      </c>
      <c r="N5346" s="23"/>
      <c r="O5346" s="17"/>
      <c r="P5346" s="17"/>
      <c r="Q5346" s="17"/>
      <c r="R5346" s="17"/>
      <c r="S5346" s="17"/>
      <c r="T5346" s="17"/>
    </row>
    <row r="5347">
      <c r="A5347" s="21">
        <v>1475.0</v>
      </c>
      <c r="B5347" s="14" t="s">
        <v>90</v>
      </c>
      <c r="C5347" s="14" t="s">
        <v>14</v>
      </c>
      <c r="D5347" s="20" t="s">
        <v>22</v>
      </c>
      <c r="E5347" s="12" t="str">
        <f>IFERROR(__xludf.DUMMYFUNCTION("FILTER(colegios!$B$2:$B5618,colegios!$A$2:$A5618=L5347)"),"50719 VIRGEN DEL CARMEN")</f>
        <v>50719 VIRGEN DEL CARMEN</v>
      </c>
      <c r="F5347" s="14" t="s">
        <v>16</v>
      </c>
      <c r="G5347" s="20" t="s">
        <v>17</v>
      </c>
      <c r="H5347" s="14" t="s">
        <v>18</v>
      </c>
      <c r="I5347" s="22">
        <v>2022.0</v>
      </c>
      <c r="J5347" s="16" t="str">
        <f>IFERROR(__xludf.DUMMYFUNCTION("FILTER('CLASFICACIÓN'!$F$3:$F5618,'CLASFICACIÓN'!$G$3:$G5618=M5347)"),"SOLO 2022 Y 2024")</f>
        <v>SOLO 2022 Y 2024</v>
      </c>
      <c r="K5347" s="16"/>
      <c r="L5347" s="14" t="s">
        <v>194</v>
      </c>
      <c r="M5347" s="16" t="str">
        <f t="shared" si="1"/>
        <v>50719 VIRGEN DEL CARMEN6 Primaria</v>
      </c>
      <c r="N5347" s="23"/>
      <c r="O5347" s="17"/>
      <c r="P5347" s="17"/>
      <c r="Q5347" s="17"/>
      <c r="R5347" s="17"/>
      <c r="S5347" s="17"/>
      <c r="T5347" s="17"/>
    </row>
    <row r="5348">
      <c r="A5348" s="21">
        <v>1476.0</v>
      </c>
      <c r="B5348" s="14" t="s">
        <v>90</v>
      </c>
      <c r="C5348" s="14" t="s">
        <v>14</v>
      </c>
      <c r="D5348" s="20" t="s">
        <v>22</v>
      </c>
      <c r="E5348" s="12" t="str">
        <f>IFERROR(__xludf.DUMMYFUNCTION("FILTER(colegios!$B$2:$B5618,colegios!$A$2:$A5618=L5348)"),"50719 VIRGEN DEL CARMEN")</f>
        <v>50719 VIRGEN DEL CARMEN</v>
      </c>
      <c r="F5348" s="14" t="s">
        <v>16</v>
      </c>
      <c r="G5348" s="20" t="s">
        <v>21</v>
      </c>
      <c r="H5348" s="14" t="s">
        <v>18</v>
      </c>
      <c r="I5348" s="22">
        <v>2022.0</v>
      </c>
      <c r="J5348" s="16" t="str">
        <f>IFERROR(__xludf.DUMMYFUNCTION("FILTER('CLASFICACIÓN'!$F$3:$F5618,'CLASFICACIÓN'!$G$3:$G5618=M5348)"),"SOLO 2022 Y 2024")</f>
        <v>SOLO 2022 Y 2024</v>
      </c>
      <c r="K5348" s="16"/>
      <c r="L5348" s="14" t="s">
        <v>194</v>
      </c>
      <c r="M5348" s="16" t="str">
        <f t="shared" si="1"/>
        <v>50719 VIRGEN DEL CARMEN6 Primaria</v>
      </c>
      <c r="N5348" s="23"/>
      <c r="O5348" s="17"/>
      <c r="P5348" s="17"/>
      <c r="Q5348" s="17"/>
      <c r="R5348" s="17"/>
      <c r="S5348" s="17"/>
      <c r="T5348" s="17"/>
    </row>
    <row r="5349">
      <c r="A5349" s="21">
        <v>1477.0</v>
      </c>
      <c r="B5349" s="14" t="s">
        <v>90</v>
      </c>
      <c r="C5349" s="14" t="s">
        <v>14</v>
      </c>
      <c r="D5349" s="20" t="s">
        <v>22</v>
      </c>
      <c r="E5349" s="12" t="str">
        <f>IFERROR(__xludf.DUMMYFUNCTION("FILTER(colegios!$B$2:$B5618,colegios!$A$2:$A5618=L5349)"),"50719 VIRGEN DEL CARMEN")</f>
        <v>50719 VIRGEN DEL CARMEN</v>
      </c>
      <c r="F5349" s="14" t="s">
        <v>16</v>
      </c>
      <c r="G5349" s="20" t="s">
        <v>21</v>
      </c>
      <c r="H5349" s="14" t="s">
        <v>18</v>
      </c>
      <c r="I5349" s="22">
        <v>2022.0</v>
      </c>
      <c r="J5349" s="16" t="str">
        <f>IFERROR(__xludf.DUMMYFUNCTION("FILTER('CLASFICACIÓN'!$F$3:$F5618,'CLASFICACIÓN'!$G$3:$G5618=M5349)"),"SOLO 2022 Y 2024")</f>
        <v>SOLO 2022 Y 2024</v>
      </c>
      <c r="K5349" s="16"/>
      <c r="L5349" s="14" t="s">
        <v>194</v>
      </c>
      <c r="M5349" s="16" t="str">
        <f t="shared" si="1"/>
        <v>50719 VIRGEN DEL CARMEN6 Primaria</v>
      </c>
      <c r="N5349" s="23"/>
      <c r="O5349" s="17"/>
      <c r="P5349" s="17"/>
      <c r="Q5349" s="17"/>
      <c r="R5349" s="17"/>
      <c r="S5349" s="17"/>
      <c r="T5349" s="17"/>
    </row>
    <row r="5350">
      <c r="A5350" s="21">
        <v>1478.0</v>
      </c>
      <c r="B5350" s="14" t="s">
        <v>90</v>
      </c>
      <c r="C5350" s="14" t="s">
        <v>14</v>
      </c>
      <c r="D5350" s="20" t="s">
        <v>22</v>
      </c>
      <c r="E5350" s="12" t="str">
        <f>IFERROR(__xludf.DUMMYFUNCTION("FILTER(colegios!$B$2:$B5618,colegios!$A$2:$A5618=L5350)"),"50719 VIRGEN DEL CARMEN")</f>
        <v>50719 VIRGEN DEL CARMEN</v>
      </c>
      <c r="F5350" s="14" t="s">
        <v>16</v>
      </c>
      <c r="G5350" s="20" t="s">
        <v>21</v>
      </c>
      <c r="H5350" s="14" t="s">
        <v>18</v>
      </c>
      <c r="I5350" s="22">
        <v>2022.0</v>
      </c>
      <c r="J5350" s="16" t="str">
        <f>IFERROR(__xludf.DUMMYFUNCTION("FILTER('CLASFICACIÓN'!$F$3:$F5618,'CLASFICACIÓN'!$G$3:$G5618=M5350)"),"SOLO 2022 Y 2024")</f>
        <v>SOLO 2022 Y 2024</v>
      </c>
      <c r="K5350" s="16"/>
      <c r="L5350" s="14" t="s">
        <v>194</v>
      </c>
      <c r="M5350" s="16" t="str">
        <f t="shared" si="1"/>
        <v>50719 VIRGEN DEL CARMEN6 Primaria</v>
      </c>
      <c r="N5350" s="23"/>
      <c r="O5350" s="17"/>
      <c r="P5350" s="17"/>
      <c r="Q5350" s="17"/>
      <c r="R5350" s="17"/>
      <c r="S5350" s="17"/>
      <c r="T5350" s="17"/>
    </row>
    <row r="5351">
      <c r="A5351" s="21">
        <v>1479.0</v>
      </c>
      <c r="B5351" s="14" t="s">
        <v>90</v>
      </c>
      <c r="C5351" s="14" t="s">
        <v>14</v>
      </c>
      <c r="D5351" s="20" t="s">
        <v>22</v>
      </c>
      <c r="E5351" s="12" t="str">
        <f>IFERROR(__xludf.DUMMYFUNCTION("FILTER(colegios!$B$2:$B5618,colegios!$A$2:$A5618=L5351)"),"50719 VIRGEN DEL CARMEN")</f>
        <v>50719 VIRGEN DEL CARMEN</v>
      </c>
      <c r="F5351" s="14" t="s">
        <v>16</v>
      </c>
      <c r="G5351" s="20" t="s">
        <v>17</v>
      </c>
      <c r="H5351" s="14" t="s">
        <v>18</v>
      </c>
      <c r="I5351" s="22">
        <v>2022.0</v>
      </c>
      <c r="J5351" s="16" t="str">
        <f>IFERROR(__xludf.DUMMYFUNCTION("FILTER('CLASFICACIÓN'!$F$3:$F5618,'CLASFICACIÓN'!$G$3:$G5618=M5351)"),"SOLO 2022 Y 2024")</f>
        <v>SOLO 2022 Y 2024</v>
      </c>
      <c r="K5351" s="16"/>
      <c r="L5351" s="14" t="s">
        <v>194</v>
      </c>
      <c r="M5351" s="16" t="str">
        <f t="shared" si="1"/>
        <v>50719 VIRGEN DEL CARMEN6 Primaria</v>
      </c>
      <c r="N5351" s="23"/>
      <c r="O5351" s="17"/>
      <c r="P5351" s="17"/>
      <c r="Q5351" s="17"/>
      <c r="R5351" s="17"/>
      <c r="S5351" s="17"/>
      <c r="T5351" s="17"/>
    </row>
    <row r="5352">
      <c r="A5352" s="21">
        <v>1480.0</v>
      </c>
      <c r="B5352" s="14" t="s">
        <v>90</v>
      </c>
      <c r="C5352" s="14" t="s">
        <v>14</v>
      </c>
      <c r="D5352" s="20" t="s">
        <v>22</v>
      </c>
      <c r="E5352" s="12" t="str">
        <f>IFERROR(__xludf.DUMMYFUNCTION("FILTER(colegios!$B$2:$B5618,colegios!$A$2:$A5618=L5352)"),"50719 VIRGEN DEL CARMEN")</f>
        <v>50719 VIRGEN DEL CARMEN</v>
      </c>
      <c r="F5352" s="14" t="s">
        <v>16</v>
      </c>
      <c r="G5352" s="20" t="s">
        <v>17</v>
      </c>
      <c r="H5352" s="14" t="s">
        <v>24</v>
      </c>
      <c r="I5352" s="22">
        <v>2022.0</v>
      </c>
      <c r="J5352" s="16" t="str">
        <f>IFERROR(__xludf.DUMMYFUNCTION("FILTER('CLASFICACIÓN'!$F$3:$F5618,'CLASFICACIÓN'!$G$3:$G5618=M5352)"),"SOLO 2022 Y 2024")</f>
        <v>SOLO 2022 Y 2024</v>
      </c>
      <c r="K5352" s="16"/>
      <c r="L5352" s="14" t="s">
        <v>194</v>
      </c>
      <c r="M5352" s="16" t="str">
        <f t="shared" si="1"/>
        <v>50719 VIRGEN DEL CARMEN6 Primaria</v>
      </c>
      <c r="N5352" s="23"/>
      <c r="O5352" s="17"/>
      <c r="P5352" s="17"/>
      <c r="Q5352" s="17"/>
      <c r="R5352" s="17"/>
      <c r="S5352" s="17"/>
      <c r="T5352" s="17"/>
    </row>
    <row r="5353">
      <c r="A5353" s="21">
        <v>1481.0</v>
      </c>
      <c r="B5353" s="14" t="s">
        <v>90</v>
      </c>
      <c r="C5353" s="14" t="s">
        <v>14</v>
      </c>
      <c r="D5353" s="20" t="s">
        <v>22</v>
      </c>
      <c r="E5353" s="12" t="str">
        <f>IFERROR(__xludf.DUMMYFUNCTION("FILTER(colegios!$B$2:$B5618,colegios!$A$2:$A5618=L5353)"),"50719 VIRGEN DEL CARMEN")</f>
        <v>50719 VIRGEN DEL CARMEN</v>
      </c>
      <c r="F5353" s="14" t="s">
        <v>16</v>
      </c>
      <c r="G5353" s="20" t="s">
        <v>21</v>
      </c>
      <c r="H5353" s="14" t="s">
        <v>24</v>
      </c>
      <c r="I5353" s="22">
        <v>2022.0</v>
      </c>
      <c r="J5353" s="16" t="str">
        <f>IFERROR(__xludf.DUMMYFUNCTION("FILTER('CLASFICACIÓN'!$F$3:$F5618,'CLASFICACIÓN'!$G$3:$G5618=M5353)"),"SOLO 2022 Y 2024")</f>
        <v>SOLO 2022 Y 2024</v>
      </c>
      <c r="K5353" s="16"/>
      <c r="L5353" s="14" t="s">
        <v>194</v>
      </c>
      <c r="M5353" s="16" t="str">
        <f t="shared" si="1"/>
        <v>50719 VIRGEN DEL CARMEN6 Primaria</v>
      </c>
      <c r="N5353" s="23"/>
      <c r="O5353" s="17"/>
      <c r="P5353" s="17"/>
      <c r="Q5353" s="17"/>
      <c r="R5353" s="17"/>
      <c r="S5353" s="17"/>
      <c r="T5353" s="17"/>
    </row>
    <row r="5354">
      <c r="A5354" s="21">
        <v>1482.0</v>
      </c>
      <c r="B5354" s="14" t="s">
        <v>90</v>
      </c>
      <c r="C5354" s="14" t="s">
        <v>14</v>
      </c>
      <c r="D5354" s="20" t="s">
        <v>22</v>
      </c>
      <c r="E5354" s="12" t="str">
        <f>IFERROR(__xludf.DUMMYFUNCTION("FILTER(colegios!$B$2:$B5618,colegios!$A$2:$A5618=L5354)"),"50719 VIRGEN DEL CARMEN")</f>
        <v>50719 VIRGEN DEL CARMEN</v>
      </c>
      <c r="F5354" s="14" t="s">
        <v>16</v>
      </c>
      <c r="G5354" s="20" t="s">
        <v>21</v>
      </c>
      <c r="H5354" s="14" t="s">
        <v>24</v>
      </c>
      <c r="I5354" s="22">
        <v>2022.0</v>
      </c>
      <c r="J5354" s="16" t="str">
        <f>IFERROR(__xludf.DUMMYFUNCTION("FILTER('CLASFICACIÓN'!$F$3:$F5618,'CLASFICACIÓN'!$G$3:$G5618=M5354)"),"SOLO 2022 Y 2024")</f>
        <v>SOLO 2022 Y 2024</v>
      </c>
      <c r="K5354" s="16"/>
      <c r="L5354" s="14" t="s">
        <v>194</v>
      </c>
      <c r="M5354" s="16" t="str">
        <f t="shared" si="1"/>
        <v>50719 VIRGEN DEL CARMEN6 Primaria</v>
      </c>
      <c r="N5354" s="23"/>
      <c r="O5354" s="17"/>
      <c r="P5354" s="17"/>
      <c r="Q5354" s="17"/>
      <c r="R5354" s="17"/>
      <c r="S5354" s="17"/>
      <c r="T5354" s="17"/>
    </row>
    <row r="5355">
      <c r="A5355" s="21">
        <v>1483.0</v>
      </c>
      <c r="B5355" s="14" t="s">
        <v>90</v>
      </c>
      <c r="C5355" s="14" t="s">
        <v>14</v>
      </c>
      <c r="D5355" s="20" t="s">
        <v>22</v>
      </c>
      <c r="E5355" s="12" t="str">
        <f>IFERROR(__xludf.DUMMYFUNCTION("FILTER(colegios!$B$2:$B5618,colegios!$A$2:$A5618=L5355)"),"50719 VIRGEN DEL CARMEN")</f>
        <v>50719 VIRGEN DEL CARMEN</v>
      </c>
      <c r="F5355" s="14" t="s">
        <v>16</v>
      </c>
      <c r="G5355" s="20" t="s">
        <v>21</v>
      </c>
      <c r="H5355" s="14" t="s">
        <v>24</v>
      </c>
      <c r="I5355" s="22">
        <v>2022.0</v>
      </c>
      <c r="J5355" s="16" t="str">
        <f>IFERROR(__xludf.DUMMYFUNCTION("FILTER('CLASFICACIÓN'!$F$3:$F5618,'CLASFICACIÓN'!$G$3:$G5618=M5355)"),"SOLO 2022 Y 2024")</f>
        <v>SOLO 2022 Y 2024</v>
      </c>
      <c r="K5355" s="16"/>
      <c r="L5355" s="14" t="s">
        <v>194</v>
      </c>
      <c r="M5355" s="16" t="str">
        <f t="shared" si="1"/>
        <v>50719 VIRGEN DEL CARMEN6 Primaria</v>
      </c>
      <c r="N5355" s="23"/>
      <c r="O5355" s="17"/>
      <c r="P5355" s="17"/>
      <c r="Q5355" s="17"/>
      <c r="R5355" s="17"/>
      <c r="S5355" s="17"/>
      <c r="T5355" s="17"/>
    </row>
    <row r="5356">
      <c r="A5356" s="21">
        <v>1484.0</v>
      </c>
      <c r="B5356" s="14" t="s">
        <v>90</v>
      </c>
      <c r="C5356" s="14" t="s">
        <v>14</v>
      </c>
      <c r="D5356" s="20" t="s">
        <v>22</v>
      </c>
      <c r="E5356" s="12" t="str">
        <f>IFERROR(__xludf.DUMMYFUNCTION("FILTER(colegios!$B$2:$B5618,colegios!$A$2:$A5618=L5356)"),"50719 VIRGEN DEL CARMEN")</f>
        <v>50719 VIRGEN DEL CARMEN</v>
      </c>
      <c r="F5356" s="14" t="s">
        <v>16</v>
      </c>
      <c r="G5356" s="20" t="s">
        <v>21</v>
      </c>
      <c r="H5356" s="14" t="s">
        <v>24</v>
      </c>
      <c r="I5356" s="22">
        <v>2022.0</v>
      </c>
      <c r="J5356" s="16" t="str">
        <f>IFERROR(__xludf.DUMMYFUNCTION("FILTER('CLASFICACIÓN'!$F$3:$F5618,'CLASFICACIÓN'!$G$3:$G5618=M5356)"),"SOLO 2022 Y 2024")</f>
        <v>SOLO 2022 Y 2024</v>
      </c>
      <c r="K5356" s="16"/>
      <c r="L5356" s="14" t="s">
        <v>194</v>
      </c>
      <c r="M5356" s="16" t="str">
        <f t="shared" si="1"/>
        <v>50719 VIRGEN DEL CARMEN6 Primaria</v>
      </c>
      <c r="N5356" s="23"/>
      <c r="O5356" s="17"/>
      <c r="P5356" s="17"/>
      <c r="Q5356" s="17"/>
      <c r="R5356" s="17"/>
      <c r="S5356" s="17"/>
      <c r="T5356" s="17"/>
    </row>
    <row r="5357">
      <c r="A5357" s="21">
        <v>1485.0</v>
      </c>
      <c r="B5357" s="14" t="s">
        <v>90</v>
      </c>
      <c r="C5357" s="14" t="s">
        <v>14</v>
      </c>
      <c r="D5357" s="20" t="s">
        <v>22</v>
      </c>
      <c r="E5357" s="12" t="str">
        <f>IFERROR(__xludf.DUMMYFUNCTION("FILTER(colegios!$B$2:$B5618,colegios!$A$2:$A5618=L5357)"),"50719 VIRGEN DEL CARMEN")</f>
        <v>50719 VIRGEN DEL CARMEN</v>
      </c>
      <c r="F5357" s="14" t="s">
        <v>16</v>
      </c>
      <c r="G5357" s="20" t="s">
        <v>21</v>
      </c>
      <c r="H5357" s="14" t="s">
        <v>24</v>
      </c>
      <c r="I5357" s="22">
        <v>2022.0</v>
      </c>
      <c r="J5357" s="16" t="str">
        <f>IFERROR(__xludf.DUMMYFUNCTION("FILTER('CLASFICACIÓN'!$F$3:$F5618,'CLASFICACIÓN'!$G$3:$G5618=M5357)"),"SOLO 2022 Y 2024")</f>
        <v>SOLO 2022 Y 2024</v>
      </c>
      <c r="K5357" s="16"/>
      <c r="L5357" s="14" t="s">
        <v>194</v>
      </c>
      <c r="M5357" s="16" t="str">
        <f t="shared" si="1"/>
        <v>50719 VIRGEN DEL CARMEN6 Primaria</v>
      </c>
      <c r="N5357" s="23"/>
      <c r="O5357" s="17"/>
      <c r="P5357" s="17"/>
      <c r="Q5357" s="17"/>
      <c r="R5357" s="17"/>
      <c r="S5357" s="17"/>
      <c r="T5357" s="17"/>
    </row>
    <row r="5358">
      <c r="A5358" s="21">
        <v>1486.0</v>
      </c>
      <c r="B5358" s="14" t="s">
        <v>90</v>
      </c>
      <c r="C5358" s="14" t="s">
        <v>14</v>
      </c>
      <c r="D5358" s="20" t="s">
        <v>22</v>
      </c>
      <c r="E5358" s="12" t="str">
        <f>IFERROR(__xludf.DUMMYFUNCTION("FILTER(colegios!$B$2:$B5618,colegios!$A$2:$A5618=L5358)"),"50719 VIRGEN DEL CARMEN")</f>
        <v>50719 VIRGEN DEL CARMEN</v>
      </c>
      <c r="F5358" s="14" t="s">
        <v>16</v>
      </c>
      <c r="G5358" s="20" t="s">
        <v>21</v>
      </c>
      <c r="H5358" s="14" t="s">
        <v>24</v>
      </c>
      <c r="I5358" s="22">
        <v>2022.0</v>
      </c>
      <c r="J5358" s="16" t="str">
        <f>IFERROR(__xludf.DUMMYFUNCTION("FILTER('CLASFICACIÓN'!$F$3:$F5618,'CLASFICACIÓN'!$G$3:$G5618=M5358)"),"SOLO 2022 Y 2024")</f>
        <v>SOLO 2022 Y 2024</v>
      </c>
      <c r="K5358" s="16"/>
      <c r="L5358" s="14" t="s">
        <v>194</v>
      </c>
      <c r="M5358" s="16" t="str">
        <f t="shared" si="1"/>
        <v>50719 VIRGEN DEL CARMEN6 Primaria</v>
      </c>
      <c r="N5358" s="23"/>
      <c r="O5358" s="17"/>
      <c r="P5358" s="17"/>
      <c r="Q5358" s="17"/>
      <c r="R5358" s="17"/>
      <c r="S5358" s="17"/>
      <c r="T5358" s="17"/>
    </row>
    <row r="5359">
      <c r="A5359" s="21">
        <v>1487.0</v>
      </c>
      <c r="B5359" s="14" t="s">
        <v>90</v>
      </c>
      <c r="C5359" s="14" t="s">
        <v>14</v>
      </c>
      <c r="D5359" s="20" t="s">
        <v>22</v>
      </c>
      <c r="E5359" s="12" t="str">
        <f>IFERROR(__xludf.DUMMYFUNCTION("FILTER(colegios!$B$2:$B5618,colegios!$A$2:$A5618=L5359)"),"50719 VIRGEN DEL CARMEN")</f>
        <v>50719 VIRGEN DEL CARMEN</v>
      </c>
      <c r="F5359" s="14" t="s">
        <v>16</v>
      </c>
      <c r="G5359" s="20" t="s">
        <v>21</v>
      </c>
      <c r="H5359" s="14" t="s">
        <v>24</v>
      </c>
      <c r="I5359" s="22">
        <v>2022.0</v>
      </c>
      <c r="J5359" s="16" t="str">
        <f>IFERROR(__xludf.DUMMYFUNCTION("FILTER('CLASFICACIÓN'!$F$3:$F5618,'CLASFICACIÓN'!$G$3:$G5618=M5359)"),"SOLO 2022 Y 2024")</f>
        <v>SOLO 2022 Y 2024</v>
      </c>
      <c r="K5359" s="16"/>
      <c r="L5359" s="14" t="s">
        <v>194</v>
      </c>
      <c r="M5359" s="16" t="str">
        <f t="shared" si="1"/>
        <v>50719 VIRGEN DEL CARMEN6 Primaria</v>
      </c>
      <c r="N5359" s="23"/>
      <c r="O5359" s="17"/>
      <c r="P5359" s="17"/>
      <c r="Q5359" s="17"/>
      <c r="R5359" s="17"/>
      <c r="S5359" s="17"/>
      <c r="T5359" s="17"/>
    </row>
    <row r="5360">
      <c r="A5360" s="21">
        <v>1488.0</v>
      </c>
      <c r="B5360" s="14" t="s">
        <v>90</v>
      </c>
      <c r="C5360" s="14" t="s">
        <v>14</v>
      </c>
      <c r="D5360" s="20" t="s">
        <v>22</v>
      </c>
      <c r="E5360" s="12" t="str">
        <f>IFERROR(__xludf.DUMMYFUNCTION("FILTER(colegios!$B$2:$B5618,colegios!$A$2:$A5618=L5360)"),"50719 VIRGEN DEL CARMEN")</f>
        <v>50719 VIRGEN DEL CARMEN</v>
      </c>
      <c r="F5360" s="14" t="s">
        <v>16</v>
      </c>
      <c r="G5360" s="20" t="s">
        <v>21</v>
      </c>
      <c r="H5360" s="14" t="s">
        <v>24</v>
      </c>
      <c r="I5360" s="22">
        <v>2022.0</v>
      </c>
      <c r="J5360" s="16" t="str">
        <f>IFERROR(__xludf.DUMMYFUNCTION("FILTER('CLASFICACIÓN'!$F$3:$F5618,'CLASFICACIÓN'!$G$3:$G5618=M5360)"),"SOLO 2022 Y 2024")</f>
        <v>SOLO 2022 Y 2024</v>
      </c>
      <c r="K5360" s="16"/>
      <c r="L5360" s="14" t="s">
        <v>194</v>
      </c>
      <c r="M5360" s="16" t="str">
        <f t="shared" si="1"/>
        <v>50719 VIRGEN DEL CARMEN6 Primaria</v>
      </c>
      <c r="N5360" s="23"/>
      <c r="O5360" s="17"/>
      <c r="P5360" s="17"/>
      <c r="Q5360" s="17"/>
      <c r="R5360" s="17"/>
      <c r="S5360" s="17"/>
      <c r="T5360" s="17"/>
    </row>
    <row r="5361">
      <c r="A5361" s="21">
        <v>1489.0</v>
      </c>
      <c r="B5361" s="14" t="s">
        <v>90</v>
      </c>
      <c r="C5361" s="14" t="s">
        <v>14</v>
      </c>
      <c r="D5361" s="20" t="s">
        <v>22</v>
      </c>
      <c r="E5361" s="12" t="str">
        <f>IFERROR(__xludf.DUMMYFUNCTION("FILTER(colegios!$B$2:$B5618,colegios!$A$2:$A5618=L5361)"),"50719 VIRGEN DEL CARMEN")</f>
        <v>50719 VIRGEN DEL CARMEN</v>
      </c>
      <c r="F5361" s="14" t="s">
        <v>16</v>
      </c>
      <c r="G5361" s="20" t="s">
        <v>21</v>
      </c>
      <c r="H5361" s="14" t="s">
        <v>24</v>
      </c>
      <c r="I5361" s="22">
        <v>2022.0</v>
      </c>
      <c r="J5361" s="16" t="str">
        <f>IFERROR(__xludf.DUMMYFUNCTION("FILTER('CLASFICACIÓN'!$F$3:$F5618,'CLASFICACIÓN'!$G$3:$G5618=M5361)"),"SOLO 2022 Y 2024")</f>
        <v>SOLO 2022 Y 2024</v>
      </c>
      <c r="K5361" s="16"/>
      <c r="L5361" s="14" t="s">
        <v>194</v>
      </c>
      <c r="M5361" s="16" t="str">
        <f t="shared" si="1"/>
        <v>50719 VIRGEN DEL CARMEN6 Primaria</v>
      </c>
      <c r="N5361" s="23"/>
      <c r="O5361" s="17"/>
      <c r="P5361" s="17"/>
      <c r="Q5361" s="17"/>
      <c r="R5361" s="17"/>
      <c r="S5361" s="17"/>
      <c r="T5361" s="17"/>
    </row>
    <row r="5362">
      <c r="A5362" s="21">
        <v>1490.0</v>
      </c>
      <c r="B5362" s="14" t="s">
        <v>90</v>
      </c>
      <c r="C5362" s="14" t="s">
        <v>14</v>
      </c>
      <c r="D5362" s="20" t="s">
        <v>22</v>
      </c>
      <c r="E5362" s="12" t="str">
        <f>IFERROR(__xludf.DUMMYFUNCTION("FILTER(colegios!$B$2:$B5618,colegios!$A$2:$A5618=L5362)"),"50719 VIRGEN DEL CARMEN")</f>
        <v>50719 VIRGEN DEL CARMEN</v>
      </c>
      <c r="F5362" s="14" t="s">
        <v>16</v>
      </c>
      <c r="G5362" s="20" t="s">
        <v>17</v>
      </c>
      <c r="H5362" s="14" t="s">
        <v>24</v>
      </c>
      <c r="I5362" s="22">
        <v>2022.0</v>
      </c>
      <c r="J5362" s="16" t="str">
        <f>IFERROR(__xludf.DUMMYFUNCTION("FILTER('CLASFICACIÓN'!$F$3:$F5618,'CLASFICACIÓN'!$G$3:$G5618=M5362)"),"SOLO 2022 Y 2024")</f>
        <v>SOLO 2022 Y 2024</v>
      </c>
      <c r="K5362" s="16"/>
      <c r="L5362" s="14" t="s">
        <v>194</v>
      </c>
      <c r="M5362" s="16" t="str">
        <f t="shared" si="1"/>
        <v>50719 VIRGEN DEL CARMEN6 Primaria</v>
      </c>
      <c r="N5362" s="23"/>
      <c r="O5362" s="17"/>
      <c r="P5362" s="17"/>
      <c r="Q5362" s="17"/>
      <c r="R5362" s="17"/>
      <c r="S5362" s="17"/>
      <c r="T5362" s="17"/>
    </row>
    <row r="5363">
      <c r="A5363" s="21">
        <v>1491.0</v>
      </c>
      <c r="B5363" s="14" t="s">
        <v>90</v>
      </c>
      <c r="C5363" s="14" t="s">
        <v>14</v>
      </c>
      <c r="D5363" s="20" t="s">
        <v>22</v>
      </c>
      <c r="E5363" s="12" t="str">
        <f>IFERROR(__xludf.DUMMYFUNCTION("FILTER(colegios!$B$2:$B5618,colegios!$A$2:$A5618=L5363)"),"50719 VIRGEN DEL CARMEN")</f>
        <v>50719 VIRGEN DEL CARMEN</v>
      </c>
      <c r="F5363" s="14" t="s">
        <v>16</v>
      </c>
      <c r="G5363" s="20" t="s">
        <v>21</v>
      </c>
      <c r="H5363" s="14" t="s">
        <v>24</v>
      </c>
      <c r="I5363" s="22">
        <v>2022.0</v>
      </c>
      <c r="J5363" s="16" t="str">
        <f>IFERROR(__xludf.DUMMYFUNCTION("FILTER('CLASFICACIÓN'!$F$3:$F5618,'CLASFICACIÓN'!$G$3:$G5618=M5363)"),"SOLO 2022 Y 2024")</f>
        <v>SOLO 2022 Y 2024</v>
      </c>
      <c r="K5363" s="16"/>
      <c r="L5363" s="14" t="s">
        <v>194</v>
      </c>
      <c r="M5363" s="16" t="str">
        <f t="shared" si="1"/>
        <v>50719 VIRGEN DEL CARMEN6 Primaria</v>
      </c>
      <c r="N5363" s="23"/>
      <c r="O5363" s="17"/>
      <c r="P5363" s="17"/>
      <c r="Q5363" s="17"/>
      <c r="R5363" s="17"/>
      <c r="S5363" s="17"/>
      <c r="T5363" s="17"/>
    </row>
    <row r="5364">
      <c r="A5364" s="21">
        <v>1492.0</v>
      </c>
      <c r="B5364" s="14" t="s">
        <v>90</v>
      </c>
      <c r="C5364" s="14" t="s">
        <v>14</v>
      </c>
      <c r="D5364" s="20" t="s">
        <v>22</v>
      </c>
      <c r="E5364" s="12" t="str">
        <f>IFERROR(__xludf.DUMMYFUNCTION("FILTER(colegios!$B$2:$B5618,colegios!$A$2:$A5618=L5364)"),"50719 VIRGEN DEL CARMEN")</f>
        <v>50719 VIRGEN DEL CARMEN</v>
      </c>
      <c r="F5364" s="14" t="s">
        <v>16</v>
      </c>
      <c r="G5364" s="20" t="s">
        <v>21</v>
      </c>
      <c r="H5364" s="14" t="s">
        <v>24</v>
      </c>
      <c r="I5364" s="22">
        <v>2022.0</v>
      </c>
      <c r="J5364" s="16" t="str">
        <f>IFERROR(__xludf.DUMMYFUNCTION("FILTER('CLASFICACIÓN'!$F$3:$F5618,'CLASFICACIÓN'!$G$3:$G5618=M5364)"),"SOLO 2022 Y 2024")</f>
        <v>SOLO 2022 Y 2024</v>
      </c>
      <c r="K5364" s="16"/>
      <c r="L5364" s="14" t="s">
        <v>194</v>
      </c>
      <c r="M5364" s="16" t="str">
        <f t="shared" si="1"/>
        <v>50719 VIRGEN DEL CARMEN6 Primaria</v>
      </c>
      <c r="N5364" s="23"/>
      <c r="O5364" s="17"/>
      <c r="P5364" s="17"/>
      <c r="Q5364" s="17"/>
      <c r="R5364" s="17"/>
      <c r="S5364" s="17"/>
      <c r="T5364" s="17"/>
    </row>
    <row r="5365">
      <c r="A5365" s="21">
        <v>1493.0</v>
      </c>
      <c r="B5365" s="14" t="s">
        <v>90</v>
      </c>
      <c r="C5365" s="14" t="s">
        <v>14</v>
      </c>
      <c r="D5365" s="20" t="s">
        <v>22</v>
      </c>
      <c r="E5365" s="12" t="str">
        <f>IFERROR(__xludf.DUMMYFUNCTION("FILTER(colegios!$B$2:$B5618,colegios!$A$2:$A5618=L5365)"),"50719 VIRGEN DEL CARMEN")</f>
        <v>50719 VIRGEN DEL CARMEN</v>
      </c>
      <c r="F5365" s="14" t="s">
        <v>16</v>
      </c>
      <c r="G5365" s="20" t="s">
        <v>17</v>
      </c>
      <c r="H5365" s="14" t="s">
        <v>24</v>
      </c>
      <c r="I5365" s="22">
        <v>2022.0</v>
      </c>
      <c r="J5365" s="16" t="str">
        <f>IFERROR(__xludf.DUMMYFUNCTION("FILTER('CLASFICACIÓN'!$F$3:$F5618,'CLASFICACIÓN'!$G$3:$G5618=M5365)"),"SOLO 2022 Y 2024")</f>
        <v>SOLO 2022 Y 2024</v>
      </c>
      <c r="K5365" s="16"/>
      <c r="L5365" s="14" t="s">
        <v>194</v>
      </c>
      <c r="M5365" s="16" t="str">
        <f t="shared" si="1"/>
        <v>50719 VIRGEN DEL CARMEN6 Primaria</v>
      </c>
      <c r="N5365" s="23"/>
      <c r="O5365" s="17"/>
      <c r="P5365" s="17"/>
      <c r="Q5365" s="17"/>
      <c r="R5365" s="17"/>
      <c r="S5365" s="17"/>
      <c r="T5365" s="17"/>
    </row>
    <row r="5366">
      <c r="A5366" s="21">
        <v>1494.0</v>
      </c>
      <c r="B5366" s="14" t="s">
        <v>90</v>
      </c>
      <c r="C5366" s="14" t="s">
        <v>14</v>
      </c>
      <c r="D5366" s="20" t="s">
        <v>22</v>
      </c>
      <c r="E5366" s="12" t="str">
        <f>IFERROR(__xludf.DUMMYFUNCTION("FILTER(colegios!$B$2:$B5618,colegios!$A$2:$A5618=L5366)"),"50719 VIRGEN DEL CARMEN")</f>
        <v>50719 VIRGEN DEL CARMEN</v>
      </c>
      <c r="F5366" s="14" t="s">
        <v>16</v>
      </c>
      <c r="G5366" s="20" t="s">
        <v>21</v>
      </c>
      <c r="H5366" s="14" t="s">
        <v>24</v>
      </c>
      <c r="I5366" s="22">
        <v>2022.0</v>
      </c>
      <c r="J5366" s="16" t="str">
        <f>IFERROR(__xludf.DUMMYFUNCTION("FILTER('CLASFICACIÓN'!$F$3:$F5618,'CLASFICACIÓN'!$G$3:$G5618=M5366)"),"SOLO 2022 Y 2024")</f>
        <v>SOLO 2022 Y 2024</v>
      </c>
      <c r="K5366" s="16"/>
      <c r="L5366" s="14" t="s">
        <v>194</v>
      </c>
      <c r="M5366" s="16" t="str">
        <f t="shared" si="1"/>
        <v>50719 VIRGEN DEL CARMEN6 Primaria</v>
      </c>
      <c r="N5366" s="23"/>
      <c r="O5366" s="17"/>
      <c r="P5366" s="17"/>
      <c r="Q5366" s="17"/>
      <c r="R5366" s="17"/>
      <c r="S5366" s="17"/>
      <c r="T5366" s="17"/>
    </row>
    <row r="5367">
      <c r="A5367" s="21">
        <v>1495.0</v>
      </c>
      <c r="B5367" s="14" t="s">
        <v>90</v>
      </c>
      <c r="C5367" s="14" t="s">
        <v>14</v>
      </c>
      <c r="D5367" s="20" t="s">
        <v>22</v>
      </c>
      <c r="E5367" s="12" t="str">
        <f>IFERROR(__xludf.DUMMYFUNCTION("FILTER(colegios!$B$2:$B5618,colegios!$A$2:$A5618=L5367)"),"50719 VIRGEN DEL CARMEN")</f>
        <v>50719 VIRGEN DEL CARMEN</v>
      </c>
      <c r="F5367" s="14" t="s">
        <v>16</v>
      </c>
      <c r="G5367" s="20" t="s">
        <v>21</v>
      </c>
      <c r="H5367" s="14" t="s">
        <v>24</v>
      </c>
      <c r="I5367" s="22">
        <v>2022.0</v>
      </c>
      <c r="J5367" s="16" t="str">
        <f>IFERROR(__xludf.DUMMYFUNCTION("FILTER('CLASFICACIÓN'!$F$3:$F5618,'CLASFICACIÓN'!$G$3:$G5618=M5367)"),"SOLO 2022 Y 2024")</f>
        <v>SOLO 2022 Y 2024</v>
      </c>
      <c r="K5367" s="16"/>
      <c r="L5367" s="14" t="s">
        <v>194</v>
      </c>
      <c r="M5367" s="16" t="str">
        <f t="shared" si="1"/>
        <v>50719 VIRGEN DEL CARMEN6 Primaria</v>
      </c>
      <c r="N5367" s="23"/>
      <c r="O5367" s="17"/>
      <c r="P5367" s="17"/>
      <c r="Q5367" s="17"/>
      <c r="R5367" s="17"/>
      <c r="S5367" s="17"/>
      <c r="T5367" s="17"/>
    </row>
    <row r="5368">
      <c r="A5368" s="21">
        <v>1496.0</v>
      </c>
      <c r="B5368" s="14" t="s">
        <v>90</v>
      </c>
      <c r="C5368" s="14" t="s">
        <v>14</v>
      </c>
      <c r="D5368" s="20" t="s">
        <v>22</v>
      </c>
      <c r="E5368" s="12" t="str">
        <f>IFERROR(__xludf.DUMMYFUNCTION("FILTER(colegios!$B$2:$B5618,colegios!$A$2:$A5618=L5368)"),"50719 VIRGEN DEL CARMEN")</f>
        <v>50719 VIRGEN DEL CARMEN</v>
      </c>
      <c r="F5368" s="14" t="s">
        <v>16</v>
      </c>
      <c r="G5368" s="20" t="s">
        <v>17</v>
      </c>
      <c r="H5368" s="14" t="s">
        <v>24</v>
      </c>
      <c r="I5368" s="22">
        <v>2022.0</v>
      </c>
      <c r="J5368" s="16" t="str">
        <f>IFERROR(__xludf.DUMMYFUNCTION("FILTER('CLASFICACIÓN'!$F$3:$F5618,'CLASFICACIÓN'!$G$3:$G5618=M5368)"),"SOLO 2022 Y 2024")</f>
        <v>SOLO 2022 Y 2024</v>
      </c>
      <c r="K5368" s="16"/>
      <c r="L5368" s="14" t="s">
        <v>194</v>
      </c>
      <c r="M5368" s="16" t="str">
        <f t="shared" si="1"/>
        <v>50719 VIRGEN DEL CARMEN6 Primaria</v>
      </c>
      <c r="N5368" s="23"/>
      <c r="O5368" s="17"/>
      <c r="P5368" s="17"/>
      <c r="Q5368" s="17"/>
      <c r="R5368" s="17"/>
      <c r="S5368" s="17"/>
      <c r="T5368" s="17"/>
    </row>
    <row r="5369">
      <c r="A5369" s="21">
        <v>1497.0</v>
      </c>
      <c r="B5369" s="14" t="s">
        <v>90</v>
      </c>
      <c r="C5369" s="14" t="s">
        <v>14</v>
      </c>
      <c r="D5369" s="20" t="s">
        <v>22</v>
      </c>
      <c r="E5369" s="12" t="str">
        <f>IFERROR(__xludf.DUMMYFUNCTION("FILTER(colegios!$B$2:$B5618,colegios!$A$2:$A5618=L5369)"),"50719 VIRGEN DEL CARMEN")</f>
        <v>50719 VIRGEN DEL CARMEN</v>
      </c>
      <c r="F5369" s="14" t="s">
        <v>16</v>
      </c>
      <c r="G5369" s="20" t="s">
        <v>17</v>
      </c>
      <c r="H5369" s="14" t="s">
        <v>24</v>
      </c>
      <c r="I5369" s="22">
        <v>2022.0</v>
      </c>
      <c r="J5369" s="16" t="str">
        <f>IFERROR(__xludf.DUMMYFUNCTION("FILTER('CLASFICACIÓN'!$F$3:$F5618,'CLASFICACIÓN'!$G$3:$G5618=M5369)"),"SOLO 2022 Y 2024")</f>
        <v>SOLO 2022 Y 2024</v>
      </c>
      <c r="K5369" s="16"/>
      <c r="L5369" s="14" t="s">
        <v>194</v>
      </c>
      <c r="M5369" s="16" t="str">
        <f t="shared" si="1"/>
        <v>50719 VIRGEN DEL CARMEN6 Primaria</v>
      </c>
      <c r="N5369" s="23"/>
      <c r="O5369" s="17"/>
      <c r="P5369" s="17"/>
      <c r="Q5369" s="17"/>
      <c r="R5369" s="17"/>
      <c r="S5369" s="17"/>
      <c r="T5369" s="17"/>
    </row>
    <row r="5370">
      <c r="A5370" s="21">
        <v>1498.0</v>
      </c>
      <c r="B5370" s="14" t="s">
        <v>90</v>
      </c>
      <c r="C5370" s="14" t="s">
        <v>14</v>
      </c>
      <c r="D5370" s="20" t="s">
        <v>22</v>
      </c>
      <c r="E5370" s="12" t="str">
        <f>IFERROR(__xludf.DUMMYFUNCTION("FILTER(colegios!$B$2:$B5618,colegios!$A$2:$A5618=L5370)"),"50719 VIRGEN DEL CARMEN")</f>
        <v>50719 VIRGEN DEL CARMEN</v>
      </c>
      <c r="F5370" s="14" t="s">
        <v>16</v>
      </c>
      <c r="G5370" s="20" t="s">
        <v>21</v>
      </c>
      <c r="H5370" s="14" t="s">
        <v>24</v>
      </c>
      <c r="I5370" s="22">
        <v>2022.0</v>
      </c>
      <c r="J5370" s="16" t="str">
        <f>IFERROR(__xludf.DUMMYFUNCTION("FILTER('CLASFICACIÓN'!$F$3:$F5618,'CLASFICACIÓN'!$G$3:$G5618=M5370)"),"SOLO 2022 Y 2024")</f>
        <v>SOLO 2022 Y 2024</v>
      </c>
      <c r="K5370" s="16"/>
      <c r="L5370" s="14" t="s">
        <v>194</v>
      </c>
      <c r="M5370" s="16" t="str">
        <f t="shared" si="1"/>
        <v>50719 VIRGEN DEL CARMEN6 Primaria</v>
      </c>
      <c r="N5370" s="23"/>
      <c r="O5370" s="17"/>
      <c r="P5370" s="17"/>
      <c r="Q5370" s="17"/>
      <c r="R5370" s="17"/>
      <c r="S5370" s="17"/>
      <c r="T5370" s="17"/>
    </row>
    <row r="5371">
      <c r="A5371" s="21">
        <v>1499.0</v>
      </c>
      <c r="B5371" s="14" t="s">
        <v>90</v>
      </c>
      <c r="C5371" s="14" t="s">
        <v>14</v>
      </c>
      <c r="D5371" s="20" t="s">
        <v>22</v>
      </c>
      <c r="E5371" s="12" t="str">
        <f>IFERROR(__xludf.DUMMYFUNCTION("FILTER(colegios!$B$2:$B5618,colegios!$A$2:$A5618=L5371)"),"50719 VIRGEN DEL CARMEN")</f>
        <v>50719 VIRGEN DEL CARMEN</v>
      </c>
      <c r="F5371" s="14" t="s">
        <v>16</v>
      </c>
      <c r="G5371" s="20" t="s">
        <v>17</v>
      </c>
      <c r="H5371" s="14" t="s">
        <v>24</v>
      </c>
      <c r="I5371" s="22">
        <v>2022.0</v>
      </c>
      <c r="J5371" s="16" t="str">
        <f>IFERROR(__xludf.DUMMYFUNCTION("FILTER('CLASFICACIÓN'!$F$3:$F5618,'CLASFICACIÓN'!$G$3:$G5618=M5371)"),"SOLO 2022 Y 2024")</f>
        <v>SOLO 2022 Y 2024</v>
      </c>
      <c r="K5371" s="16"/>
      <c r="L5371" s="14" t="s">
        <v>194</v>
      </c>
      <c r="M5371" s="16" t="str">
        <f t="shared" si="1"/>
        <v>50719 VIRGEN DEL CARMEN6 Primaria</v>
      </c>
      <c r="N5371" s="23"/>
      <c r="O5371" s="17"/>
      <c r="P5371" s="17"/>
      <c r="Q5371" s="17"/>
      <c r="R5371" s="17"/>
      <c r="S5371" s="17"/>
      <c r="T5371" s="17"/>
    </row>
    <row r="5372">
      <c r="A5372" s="21">
        <v>1500.0</v>
      </c>
      <c r="B5372" s="14" t="s">
        <v>90</v>
      </c>
      <c r="C5372" s="14" t="s">
        <v>14</v>
      </c>
      <c r="D5372" s="20" t="s">
        <v>22</v>
      </c>
      <c r="E5372" s="12" t="str">
        <f>IFERROR(__xludf.DUMMYFUNCTION("FILTER(colegios!$B$2:$B5618,colegios!$A$2:$A5618=L5372)"),"50719 VIRGEN DEL CARMEN")</f>
        <v>50719 VIRGEN DEL CARMEN</v>
      </c>
      <c r="F5372" s="14" t="s">
        <v>16</v>
      </c>
      <c r="G5372" s="20" t="s">
        <v>21</v>
      </c>
      <c r="H5372" s="14" t="s">
        <v>24</v>
      </c>
      <c r="I5372" s="22">
        <v>2022.0</v>
      </c>
      <c r="J5372" s="16" t="str">
        <f>IFERROR(__xludf.DUMMYFUNCTION("FILTER('CLASFICACIÓN'!$F$3:$F5618,'CLASFICACIÓN'!$G$3:$G5618=M5372)"),"SOLO 2022 Y 2024")</f>
        <v>SOLO 2022 Y 2024</v>
      </c>
      <c r="K5372" s="16"/>
      <c r="L5372" s="14" t="s">
        <v>194</v>
      </c>
      <c r="M5372" s="16" t="str">
        <f t="shared" si="1"/>
        <v>50719 VIRGEN DEL CARMEN6 Primaria</v>
      </c>
      <c r="N5372" s="23"/>
      <c r="O5372" s="17"/>
      <c r="P5372" s="17"/>
      <c r="Q5372" s="17"/>
      <c r="R5372" s="17"/>
      <c r="S5372" s="17"/>
      <c r="T5372" s="17"/>
    </row>
    <row r="5373">
      <c r="A5373" s="21">
        <v>1501.0</v>
      </c>
      <c r="B5373" s="14" t="s">
        <v>90</v>
      </c>
      <c r="C5373" s="14" t="s">
        <v>14</v>
      </c>
      <c r="D5373" s="20" t="s">
        <v>22</v>
      </c>
      <c r="E5373" s="12" t="str">
        <f>IFERROR(__xludf.DUMMYFUNCTION("FILTER(colegios!$B$2:$B5618,colegios!$A$2:$A5618=L5373)"),"50719 VIRGEN DEL CARMEN")</f>
        <v>50719 VIRGEN DEL CARMEN</v>
      </c>
      <c r="F5373" s="14" t="s">
        <v>16</v>
      </c>
      <c r="G5373" s="20" t="s">
        <v>21</v>
      </c>
      <c r="H5373" s="14" t="s">
        <v>32</v>
      </c>
      <c r="I5373" s="22">
        <v>2022.0</v>
      </c>
      <c r="J5373" s="16" t="str">
        <f>IFERROR(__xludf.DUMMYFUNCTION("FILTER('CLASFICACIÓN'!$F$3:$F5618,'CLASFICACIÓN'!$G$3:$G5618=M5373)"),"SOLO 2022 Y 2024")</f>
        <v>SOLO 2022 Y 2024</v>
      </c>
      <c r="K5373" s="16"/>
      <c r="L5373" s="14" t="s">
        <v>194</v>
      </c>
      <c r="M5373" s="16" t="str">
        <f t="shared" si="1"/>
        <v>50719 VIRGEN DEL CARMEN6 Primaria</v>
      </c>
      <c r="N5373" s="23"/>
      <c r="O5373" s="17"/>
      <c r="P5373" s="17"/>
      <c r="Q5373" s="17"/>
      <c r="R5373" s="17"/>
      <c r="S5373" s="17"/>
      <c r="T5373" s="17"/>
    </row>
    <row r="5374">
      <c r="A5374" s="21">
        <v>1502.0</v>
      </c>
      <c r="B5374" s="14" t="s">
        <v>90</v>
      </c>
      <c r="C5374" s="14" t="s">
        <v>14</v>
      </c>
      <c r="D5374" s="20" t="s">
        <v>22</v>
      </c>
      <c r="E5374" s="12" t="str">
        <f>IFERROR(__xludf.DUMMYFUNCTION("FILTER(colegios!$B$2:$B5618,colegios!$A$2:$A5618=L5374)"),"50719 VIRGEN DEL CARMEN")</f>
        <v>50719 VIRGEN DEL CARMEN</v>
      </c>
      <c r="F5374" s="14" t="s">
        <v>16</v>
      </c>
      <c r="G5374" s="20" t="s">
        <v>17</v>
      </c>
      <c r="H5374" s="14" t="s">
        <v>32</v>
      </c>
      <c r="I5374" s="22">
        <v>2022.0</v>
      </c>
      <c r="J5374" s="16" t="str">
        <f>IFERROR(__xludf.DUMMYFUNCTION("FILTER('CLASFICACIÓN'!$F$3:$F5618,'CLASFICACIÓN'!$G$3:$G5618=M5374)"),"SOLO 2022 Y 2024")</f>
        <v>SOLO 2022 Y 2024</v>
      </c>
      <c r="K5374" s="16"/>
      <c r="L5374" s="14" t="s">
        <v>194</v>
      </c>
      <c r="M5374" s="16" t="str">
        <f t="shared" si="1"/>
        <v>50719 VIRGEN DEL CARMEN6 Primaria</v>
      </c>
      <c r="N5374" s="23"/>
      <c r="O5374" s="17"/>
      <c r="P5374" s="17"/>
      <c r="Q5374" s="17"/>
      <c r="R5374" s="17"/>
      <c r="S5374" s="17"/>
      <c r="T5374" s="17"/>
    </row>
    <row r="5375">
      <c r="A5375" s="21">
        <v>1503.0</v>
      </c>
      <c r="B5375" s="14" t="s">
        <v>90</v>
      </c>
      <c r="C5375" s="14" t="s">
        <v>14</v>
      </c>
      <c r="D5375" s="20" t="s">
        <v>22</v>
      </c>
      <c r="E5375" s="12" t="str">
        <f>IFERROR(__xludf.DUMMYFUNCTION("FILTER(colegios!$B$2:$B5618,colegios!$A$2:$A5618=L5375)"),"50719 VIRGEN DEL CARMEN")</f>
        <v>50719 VIRGEN DEL CARMEN</v>
      </c>
      <c r="F5375" s="14" t="s">
        <v>16</v>
      </c>
      <c r="G5375" s="20" t="s">
        <v>21</v>
      </c>
      <c r="H5375" s="14" t="s">
        <v>32</v>
      </c>
      <c r="I5375" s="22">
        <v>2022.0</v>
      </c>
      <c r="J5375" s="16" t="str">
        <f>IFERROR(__xludf.DUMMYFUNCTION("FILTER('CLASFICACIÓN'!$F$3:$F5618,'CLASFICACIÓN'!$G$3:$G5618=M5375)"),"SOLO 2022 Y 2024")</f>
        <v>SOLO 2022 Y 2024</v>
      </c>
      <c r="K5375" s="16"/>
      <c r="L5375" s="14" t="s">
        <v>194</v>
      </c>
      <c r="M5375" s="16" t="str">
        <f t="shared" si="1"/>
        <v>50719 VIRGEN DEL CARMEN6 Primaria</v>
      </c>
      <c r="N5375" s="23"/>
      <c r="O5375" s="17"/>
      <c r="P5375" s="17"/>
      <c r="Q5375" s="17"/>
      <c r="R5375" s="17"/>
      <c r="S5375" s="17"/>
      <c r="T5375" s="17"/>
    </row>
    <row r="5376">
      <c r="A5376" s="21">
        <v>1504.0</v>
      </c>
      <c r="B5376" s="14" t="s">
        <v>90</v>
      </c>
      <c r="C5376" s="14" t="s">
        <v>14</v>
      </c>
      <c r="D5376" s="20" t="s">
        <v>22</v>
      </c>
      <c r="E5376" s="12" t="str">
        <f>IFERROR(__xludf.DUMMYFUNCTION("FILTER(colegios!$B$2:$B5618,colegios!$A$2:$A5618=L5376)"),"50719 VIRGEN DEL CARMEN")</f>
        <v>50719 VIRGEN DEL CARMEN</v>
      </c>
      <c r="F5376" s="14" t="s">
        <v>16</v>
      </c>
      <c r="G5376" s="20" t="s">
        <v>17</v>
      </c>
      <c r="H5376" s="14" t="s">
        <v>32</v>
      </c>
      <c r="I5376" s="22">
        <v>2022.0</v>
      </c>
      <c r="J5376" s="16" t="str">
        <f>IFERROR(__xludf.DUMMYFUNCTION("FILTER('CLASFICACIÓN'!$F$3:$F5618,'CLASFICACIÓN'!$G$3:$G5618=M5376)"),"SOLO 2022 Y 2024")</f>
        <v>SOLO 2022 Y 2024</v>
      </c>
      <c r="K5376" s="16"/>
      <c r="L5376" s="14" t="s">
        <v>194</v>
      </c>
      <c r="M5376" s="16" t="str">
        <f t="shared" si="1"/>
        <v>50719 VIRGEN DEL CARMEN6 Primaria</v>
      </c>
      <c r="N5376" s="23"/>
      <c r="O5376" s="17"/>
      <c r="P5376" s="17"/>
      <c r="Q5376" s="17"/>
      <c r="R5376" s="17"/>
      <c r="S5376" s="17"/>
      <c r="T5376" s="17"/>
    </row>
    <row r="5377">
      <c r="A5377" s="21">
        <v>1505.0</v>
      </c>
      <c r="B5377" s="14" t="s">
        <v>90</v>
      </c>
      <c r="C5377" s="14" t="s">
        <v>14</v>
      </c>
      <c r="D5377" s="20" t="s">
        <v>22</v>
      </c>
      <c r="E5377" s="12" t="str">
        <f>IFERROR(__xludf.DUMMYFUNCTION("FILTER(colegios!$B$2:$B5618,colegios!$A$2:$A5618=L5377)"),"50719 VIRGEN DEL CARMEN")</f>
        <v>50719 VIRGEN DEL CARMEN</v>
      </c>
      <c r="F5377" s="14" t="s">
        <v>16</v>
      </c>
      <c r="G5377" s="20" t="s">
        <v>21</v>
      </c>
      <c r="H5377" s="14" t="s">
        <v>32</v>
      </c>
      <c r="I5377" s="22">
        <v>2022.0</v>
      </c>
      <c r="J5377" s="16" t="str">
        <f>IFERROR(__xludf.DUMMYFUNCTION("FILTER('CLASFICACIÓN'!$F$3:$F5618,'CLASFICACIÓN'!$G$3:$G5618=M5377)"),"SOLO 2022 Y 2024")</f>
        <v>SOLO 2022 Y 2024</v>
      </c>
      <c r="K5377" s="16"/>
      <c r="L5377" s="14" t="s">
        <v>194</v>
      </c>
      <c r="M5377" s="16" t="str">
        <f t="shared" si="1"/>
        <v>50719 VIRGEN DEL CARMEN6 Primaria</v>
      </c>
      <c r="N5377" s="23"/>
      <c r="O5377" s="17"/>
      <c r="P5377" s="17"/>
      <c r="Q5377" s="17"/>
      <c r="R5377" s="17"/>
      <c r="S5377" s="17"/>
      <c r="T5377" s="17"/>
    </row>
    <row r="5378">
      <c r="A5378" s="21">
        <v>1506.0</v>
      </c>
      <c r="B5378" s="14" t="s">
        <v>90</v>
      </c>
      <c r="C5378" s="14" t="s">
        <v>14</v>
      </c>
      <c r="D5378" s="20" t="s">
        <v>22</v>
      </c>
      <c r="E5378" s="12" t="str">
        <f>IFERROR(__xludf.DUMMYFUNCTION("FILTER(colegios!$B$2:$B5618,colegios!$A$2:$A5618=L5378)"),"50719 VIRGEN DEL CARMEN")</f>
        <v>50719 VIRGEN DEL CARMEN</v>
      </c>
      <c r="F5378" s="14" t="s">
        <v>16</v>
      </c>
      <c r="G5378" s="20" t="s">
        <v>21</v>
      </c>
      <c r="H5378" s="14" t="s">
        <v>32</v>
      </c>
      <c r="I5378" s="22">
        <v>2022.0</v>
      </c>
      <c r="J5378" s="16" t="str">
        <f>IFERROR(__xludf.DUMMYFUNCTION("FILTER('CLASFICACIÓN'!$F$3:$F5618,'CLASFICACIÓN'!$G$3:$G5618=M5378)"),"SOLO 2022 Y 2024")</f>
        <v>SOLO 2022 Y 2024</v>
      </c>
      <c r="K5378" s="16"/>
      <c r="L5378" s="14" t="s">
        <v>194</v>
      </c>
      <c r="M5378" s="16" t="str">
        <f t="shared" si="1"/>
        <v>50719 VIRGEN DEL CARMEN6 Primaria</v>
      </c>
      <c r="N5378" s="23"/>
      <c r="O5378" s="17"/>
      <c r="P5378" s="17"/>
      <c r="Q5378" s="17"/>
      <c r="R5378" s="17"/>
      <c r="S5378" s="17"/>
      <c r="T5378" s="17"/>
    </row>
    <row r="5379">
      <c r="A5379" s="21">
        <v>1507.0</v>
      </c>
      <c r="B5379" s="14" t="s">
        <v>90</v>
      </c>
      <c r="C5379" s="14" t="s">
        <v>14</v>
      </c>
      <c r="D5379" s="20" t="s">
        <v>22</v>
      </c>
      <c r="E5379" s="12" t="str">
        <f>IFERROR(__xludf.DUMMYFUNCTION("FILTER(colegios!$B$2:$B5618,colegios!$A$2:$A5618=L5379)"),"50796")</f>
        <v>50796</v>
      </c>
      <c r="F5379" s="14" t="s">
        <v>16</v>
      </c>
      <c r="G5379" s="20" t="s">
        <v>17</v>
      </c>
      <c r="H5379" s="14" t="s">
        <v>18</v>
      </c>
      <c r="I5379" s="22">
        <v>2022.0</v>
      </c>
      <c r="J5379" s="16" t="str">
        <f>IFERROR(__xludf.DUMMYFUNCTION("FILTER('CLASFICACIÓN'!$F$3:$F5618,'CLASFICACIÓN'!$G$3:$G5618=M5379)"),"SOLO LINEA BASE")</f>
        <v>SOLO LINEA BASE</v>
      </c>
      <c r="K5379" s="16"/>
      <c r="L5379" s="14" t="s">
        <v>196</v>
      </c>
      <c r="M5379" s="16" t="str">
        <f t="shared" si="1"/>
        <v>507966 Primaria</v>
      </c>
      <c r="N5379" s="23"/>
      <c r="O5379" s="17"/>
      <c r="P5379" s="17"/>
      <c r="Q5379" s="17"/>
      <c r="R5379" s="17"/>
      <c r="S5379" s="17"/>
      <c r="T5379" s="17"/>
    </row>
    <row r="5380">
      <c r="A5380" s="21">
        <v>1508.0</v>
      </c>
      <c r="B5380" s="14" t="s">
        <v>90</v>
      </c>
      <c r="C5380" s="14" t="s">
        <v>27</v>
      </c>
      <c r="D5380" s="20" t="s">
        <v>28</v>
      </c>
      <c r="E5380" s="12" t="str">
        <f>IFERROR(__xludf.DUMMYFUNCTION("FILTER(colegios!$B$2:$B5618,colegios!$A$2:$A5618=L5380)"),"ALMIRANTE MIGUEL GRAU SEMINARIO")</f>
        <v>ALMIRANTE MIGUEL GRAU SEMINARIO</v>
      </c>
      <c r="F5380" s="14" t="s">
        <v>16</v>
      </c>
      <c r="G5380" s="20" t="s">
        <v>21</v>
      </c>
      <c r="H5380" s="14" t="s">
        <v>18</v>
      </c>
      <c r="I5380" s="22">
        <v>2022.0</v>
      </c>
      <c r="J5380" s="16" t="str">
        <f>IFERROR(__xludf.DUMMYFUNCTION("FILTER('CLASFICACIÓN'!$F$3:$F5618,'CLASFICACIÓN'!$G$3:$G5618=M5380)"),"SOLO LINEA BASE")</f>
        <v>SOLO LINEA BASE</v>
      </c>
      <c r="K5380" s="16"/>
      <c r="L5380" s="14" t="s">
        <v>198</v>
      </c>
      <c r="M5380" s="16" t="str">
        <f t="shared" si="1"/>
        <v>ALMIRANTE MIGUEL GRAU SEMINARIO2 Secundaria</v>
      </c>
      <c r="N5380" s="23"/>
      <c r="O5380" s="17"/>
      <c r="P5380" s="17"/>
      <c r="Q5380" s="17"/>
      <c r="R5380" s="17"/>
      <c r="S5380" s="17"/>
      <c r="T5380" s="17"/>
    </row>
    <row r="5381">
      <c r="A5381" s="21">
        <v>1509.0</v>
      </c>
      <c r="B5381" s="14" t="s">
        <v>90</v>
      </c>
      <c r="C5381" s="14" t="s">
        <v>27</v>
      </c>
      <c r="D5381" s="20" t="s">
        <v>28</v>
      </c>
      <c r="E5381" s="12" t="str">
        <f>IFERROR(__xludf.DUMMYFUNCTION("FILTER(colegios!$B$2:$B5618,colegios!$A$2:$A5618=L5381)"),"1457365 LOS RIT'S DEL ALTO ANDINO")</f>
        <v>1457365 LOS RIT'S DEL ALTO ANDINO</v>
      </c>
      <c r="F5381" s="14" t="s">
        <v>16</v>
      </c>
      <c r="G5381" s="20" t="s">
        <v>17</v>
      </c>
      <c r="H5381" s="14" t="s">
        <v>18</v>
      </c>
      <c r="I5381" s="22">
        <v>2022.0</v>
      </c>
      <c r="J5381" s="16" t="str">
        <f>IFERROR(__xludf.DUMMYFUNCTION("FILTER('CLASFICACIÓN'!$F$3:$F5618,'CLASFICACIÓN'!$G$3:$G5618=M5381)"),"SOLO LINEA BASE")</f>
        <v>SOLO LINEA BASE</v>
      </c>
      <c r="K5381" s="16"/>
      <c r="L5381" s="14" t="s">
        <v>199</v>
      </c>
      <c r="M5381" s="16" t="str">
        <f t="shared" si="1"/>
        <v>1457365 LOS RIT'S DEL ALTO ANDINO2 Secundaria</v>
      </c>
      <c r="N5381" s="23"/>
      <c r="O5381" s="17"/>
      <c r="P5381" s="17"/>
      <c r="Q5381" s="17"/>
      <c r="R5381" s="17"/>
      <c r="S5381" s="17"/>
      <c r="T5381" s="17"/>
    </row>
    <row r="5382">
      <c r="A5382" s="21">
        <v>1510.0</v>
      </c>
      <c r="B5382" s="14" t="s">
        <v>90</v>
      </c>
      <c r="C5382" s="14" t="s">
        <v>27</v>
      </c>
      <c r="D5382" s="20" t="s">
        <v>28</v>
      </c>
      <c r="E5382" s="12" t="str">
        <f>IFERROR(__xludf.DUMMYFUNCTION("FILTER(colegios!$B$2:$B5618,colegios!$A$2:$A5618=L5382)"),"501432 PAPA FRANCISCO I")</f>
        <v>501432 PAPA FRANCISCO I</v>
      </c>
      <c r="F5382" s="14" t="s">
        <v>16</v>
      </c>
      <c r="G5382" s="20" t="s">
        <v>21</v>
      </c>
      <c r="H5382" s="14" t="s">
        <v>18</v>
      </c>
      <c r="I5382" s="22">
        <v>2022.0</v>
      </c>
      <c r="J5382" s="16" t="str">
        <f>IFERROR(__xludf.DUMMYFUNCTION("FILTER('CLASFICACIÓN'!$F$3:$F5618,'CLASFICACIÓN'!$G$3:$G5618=M5382)"),"SOLO 2022 Y 2024")</f>
        <v>SOLO 2022 Y 2024</v>
      </c>
      <c r="K5382" s="16"/>
      <c r="L5382" s="14" t="s">
        <v>200</v>
      </c>
      <c r="M5382" s="16" t="str">
        <f t="shared" si="1"/>
        <v>501432 PAPA FRANCISCO I2 Secundaria</v>
      </c>
      <c r="N5382" s="23"/>
      <c r="O5382" s="17"/>
      <c r="P5382" s="17"/>
      <c r="Q5382" s="17"/>
      <c r="R5382" s="17"/>
      <c r="S5382" s="17"/>
      <c r="T5382" s="17"/>
    </row>
    <row r="5383">
      <c r="A5383" s="21">
        <v>1511.0</v>
      </c>
      <c r="B5383" s="14" t="s">
        <v>90</v>
      </c>
      <c r="C5383" s="14" t="s">
        <v>27</v>
      </c>
      <c r="D5383" s="20" t="s">
        <v>201</v>
      </c>
      <c r="E5383" s="12" t="str">
        <f>IFERROR(__xludf.DUMMYFUNCTION("FILTER(colegios!$B$2:$B5618,colegios!$A$2:$A5618=L5383)"),"ALMIRANTE MIGUEL GRAU SEMINARIO")</f>
        <v>ALMIRANTE MIGUEL GRAU SEMINARIO</v>
      </c>
      <c r="F5383" s="14" t="s">
        <v>16</v>
      </c>
      <c r="G5383" s="20" t="s">
        <v>17</v>
      </c>
      <c r="H5383" s="14" t="s">
        <v>18</v>
      </c>
      <c r="I5383" s="22">
        <v>2022.0</v>
      </c>
      <c r="J5383" s="16" t="str">
        <f>IFERROR(__xludf.DUMMYFUNCTION("FILTER('CLASFICACIÓN'!$F$3:$F5618,'CLASFICACIÓN'!$G$3:$G5618=M5383)"),"SOLO LINEA BASE")</f>
        <v>SOLO LINEA BASE</v>
      </c>
      <c r="K5383" s="16"/>
      <c r="L5383" s="14" t="s">
        <v>198</v>
      </c>
      <c r="M5383" s="16" t="str">
        <f t="shared" si="1"/>
        <v>ALMIRANTE MIGUEL GRAU SEMINARIO5 Secundaria</v>
      </c>
      <c r="N5383" s="23"/>
      <c r="O5383" s="17"/>
      <c r="P5383" s="17"/>
      <c r="Q5383" s="17"/>
      <c r="R5383" s="17"/>
      <c r="S5383" s="17"/>
      <c r="T5383" s="17"/>
    </row>
    <row r="5384">
      <c r="A5384" s="21">
        <v>1512.0</v>
      </c>
      <c r="B5384" s="14" t="s">
        <v>90</v>
      </c>
      <c r="C5384" s="14" t="s">
        <v>27</v>
      </c>
      <c r="D5384" s="20" t="s">
        <v>201</v>
      </c>
      <c r="E5384" s="12" t="str">
        <f>IFERROR(__xludf.DUMMYFUNCTION("FILTER(colegios!$B$2:$B5618,colegios!$A$2:$A5618=L5384)"),"ALMIRANTE MIGUEL GRAU SEMINARIO")</f>
        <v>ALMIRANTE MIGUEL GRAU SEMINARIO</v>
      </c>
      <c r="F5384" s="14" t="s">
        <v>16</v>
      </c>
      <c r="G5384" s="20" t="s">
        <v>21</v>
      </c>
      <c r="H5384" s="14" t="s">
        <v>18</v>
      </c>
      <c r="I5384" s="22">
        <v>2022.0</v>
      </c>
      <c r="J5384" s="16" t="str">
        <f>IFERROR(__xludf.DUMMYFUNCTION("FILTER('CLASFICACIÓN'!$F$3:$F5618,'CLASFICACIÓN'!$G$3:$G5618=M5384)"),"SOLO LINEA BASE")</f>
        <v>SOLO LINEA BASE</v>
      </c>
      <c r="K5384" s="16"/>
      <c r="L5384" s="14" t="s">
        <v>198</v>
      </c>
      <c r="M5384" s="16" t="str">
        <f t="shared" si="1"/>
        <v>ALMIRANTE MIGUEL GRAU SEMINARIO5 Secundaria</v>
      </c>
      <c r="N5384" s="23"/>
      <c r="O5384" s="17"/>
      <c r="P5384" s="17"/>
      <c r="Q5384" s="17"/>
      <c r="R5384" s="17"/>
      <c r="S5384" s="17"/>
      <c r="T5384" s="17"/>
    </row>
    <row r="5385">
      <c r="A5385" s="21">
        <v>1513.0</v>
      </c>
      <c r="B5385" s="14" t="s">
        <v>90</v>
      </c>
      <c r="C5385" s="14" t="s">
        <v>27</v>
      </c>
      <c r="D5385" s="20" t="s">
        <v>201</v>
      </c>
      <c r="E5385" s="12" t="str">
        <f>IFERROR(__xludf.DUMMYFUNCTION("FILTER(colegios!$B$2:$B5618,colegios!$A$2:$A5618=L5385)"),"ALMIRANTE MIGUEL GRAU SEMINARIO")</f>
        <v>ALMIRANTE MIGUEL GRAU SEMINARIO</v>
      </c>
      <c r="F5385" s="14" t="s">
        <v>16</v>
      </c>
      <c r="G5385" s="20" t="s">
        <v>17</v>
      </c>
      <c r="H5385" s="14" t="s">
        <v>18</v>
      </c>
      <c r="I5385" s="22">
        <v>2022.0</v>
      </c>
      <c r="J5385" s="16" t="str">
        <f>IFERROR(__xludf.DUMMYFUNCTION("FILTER('CLASFICACIÓN'!$F$3:$F5618,'CLASFICACIÓN'!$G$3:$G5618=M5385)"),"SOLO LINEA BASE")</f>
        <v>SOLO LINEA BASE</v>
      </c>
      <c r="K5385" s="16"/>
      <c r="L5385" s="14" t="s">
        <v>198</v>
      </c>
      <c r="M5385" s="16" t="str">
        <f t="shared" si="1"/>
        <v>ALMIRANTE MIGUEL GRAU SEMINARIO5 Secundaria</v>
      </c>
      <c r="N5385" s="23"/>
      <c r="O5385" s="17"/>
      <c r="P5385" s="17"/>
      <c r="Q5385" s="17"/>
      <c r="R5385" s="17"/>
      <c r="S5385" s="17"/>
      <c r="T5385" s="17"/>
    </row>
    <row r="5386">
      <c r="A5386" s="21">
        <v>1514.0</v>
      </c>
      <c r="B5386" s="14" t="s">
        <v>90</v>
      </c>
      <c r="C5386" s="14" t="s">
        <v>27</v>
      </c>
      <c r="D5386" s="20" t="s">
        <v>201</v>
      </c>
      <c r="E5386" s="12" t="str">
        <f>IFERROR(__xludf.DUMMYFUNCTION("FILTER(colegios!$B$2:$B5618,colegios!$A$2:$A5618=L5386)"),"ALMIRANTE MIGUEL GRAU SEMINARIO")</f>
        <v>ALMIRANTE MIGUEL GRAU SEMINARIO</v>
      </c>
      <c r="F5386" s="14" t="s">
        <v>16</v>
      </c>
      <c r="G5386" s="20" t="s">
        <v>21</v>
      </c>
      <c r="H5386" s="14" t="s">
        <v>18</v>
      </c>
      <c r="I5386" s="22">
        <v>2022.0</v>
      </c>
      <c r="J5386" s="16" t="str">
        <f>IFERROR(__xludf.DUMMYFUNCTION("FILTER('CLASFICACIÓN'!$F$3:$F5618,'CLASFICACIÓN'!$G$3:$G5618=M5386)"),"SOLO LINEA BASE")</f>
        <v>SOLO LINEA BASE</v>
      </c>
      <c r="K5386" s="16"/>
      <c r="L5386" s="14" t="s">
        <v>198</v>
      </c>
      <c r="M5386" s="16" t="str">
        <f t="shared" si="1"/>
        <v>ALMIRANTE MIGUEL GRAU SEMINARIO5 Secundaria</v>
      </c>
      <c r="N5386" s="23"/>
      <c r="O5386" s="17"/>
      <c r="P5386" s="17"/>
      <c r="Q5386" s="17"/>
      <c r="R5386" s="17"/>
      <c r="S5386" s="17"/>
      <c r="T5386" s="17"/>
    </row>
    <row r="5387">
      <c r="A5387" s="21">
        <v>1515.0</v>
      </c>
      <c r="B5387" s="14" t="s">
        <v>90</v>
      </c>
      <c r="C5387" s="14" t="s">
        <v>27</v>
      </c>
      <c r="D5387" s="20" t="s">
        <v>201</v>
      </c>
      <c r="E5387" s="12" t="str">
        <f>IFERROR(__xludf.DUMMYFUNCTION("FILTER(colegios!$B$2:$B5618,colegios!$A$2:$A5618=L5387)"),"ALMIRANTE MIGUEL GRAU SEMINARIO")</f>
        <v>ALMIRANTE MIGUEL GRAU SEMINARIO</v>
      </c>
      <c r="F5387" s="14" t="s">
        <v>16</v>
      </c>
      <c r="G5387" s="20" t="s">
        <v>17</v>
      </c>
      <c r="H5387" s="14" t="s">
        <v>18</v>
      </c>
      <c r="I5387" s="22">
        <v>2022.0</v>
      </c>
      <c r="J5387" s="16" t="str">
        <f>IFERROR(__xludf.DUMMYFUNCTION("FILTER('CLASFICACIÓN'!$F$3:$F5618,'CLASFICACIÓN'!$G$3:$G5618=M5387)"),"SOLO LINEA BASE")</f>
        <v>SOLO LINEA BASE</v>
      </c>
      <c r="K5387" s="16"/>
      <c r="L5387" s="14" t="s">
        <v>198</v>
      </c>
      <c r="M5387" s="16" t="str">
        <f t="shared" si="1"/>
        <v>ALMIRANTE MIGUEL GRAU SEMINARIO5 Secundaria</v>
      </c>
      <c r="N5387" s="23"/>
      <c r="O5387" s="17"/>
      <c r="P5387" s="17"/>
      <c r="Q5387" s="17"/>
      <c r="R5387" s="17"/>
      <c r="S5387" s="17"/>
      <c r="T5387" s="17"/>
    </row>
    <row r="5388">
      <c r="A5388" s="21">
        <v>1516.0</v>
      </c>
      <c r="B5388" s="14" t="s">
        <v>90</v>
      </c>
      <c r="C5388" s="14" t="s">
        <v>27</v>
      </c>
      <c r="D5388" s="20" t="s">
        <v>201</v>
      </c>
      <c r="E5388" s="12" t="str">
        <f>IFERROR(__xludf.DUMMYFUNCTION("FILTER(colegios!$B$2:$B5618,colegios!$A$2:$A5618=L5388)"),"ALMIRANTE MIGUEL GRAU SEMINARIO")</f>
        <v>ALMIRANTE MIGUEL GRAU SEMINARIO</v>
      </c>
      <c r="F5388" s="14" t="s">
        <v>16</v>
      </c>
      <c r="G5388" s="20" t="s">
        <v>21</v>
      </c>
      <c r="H5388" s="14" t="s">
        <v>18</v>
      </c>
      <c r="I5388" s="22">
        <v>2022.0</v>
      </c>
      <c r="J5388" s="16" t="str">
        <f>IFERROR(__xludf.DUMMYFUNCTION("FILTER('CLASFICACIÓN'!$F$3:$F5618,'CLASFICACIÓN'!$G$3:$G5618=M5388)"),"SOLO LINEA BASE")</f>
        <v>SOLO LINEA BASE</v>
      </c>
      <c r="K5388" s="16"/>
      <c r="L5388" s="14" t="s">
        <v>198</v>
      </c>
      <c r="M5388" s="16" t="str">
        <f t="shared" si="1"/>
        <v>ALMIRANTE MIGUEL GRAU SEMINARIO5 Secundaria</v>
      </c>
      <c r="N5388" s="23"/>
      <c r="O5388" s="17"/>
      <c r="P5388" s="17"/>
      <c r="Q5388" s="17"/>
      <c r="R5388" s="17"/>
      <c r="S5388" s="17"/>
      <c r="T5388" s="17"/>
    </row>
    <row r="5389">
      <c r="A5389" s="21">
        <v>1517.0</v>
      </c>
      <c r="B5389" s="14" t="s">
        <v>90</v>
      </c>
      <c r="C5389" s="14" t="s">
        <v>27</v>
      </c>
      <c r="D5389" s="20" t="s">
        <v>201</v>
      </c>
      <c r="E5389" s="12" t="str">
        <f>IFERROR(__xludf.DUMMYFUNCTION("FILTER(colegios!$B$2:$B5618,colegios!$A$2:$A5618=L5389)"),"ALMIRANTE MIGUEL GRAU SEMINARIO")</f>
        <v>ALMIRANTE MIGUEL GRAU SEMINARIO</v>
      </c>
      <c r="F5389" s="14" t="s">
        <v>16</v>
      </c>
      <c r="G5389" s="20" t="s">
        <v>17</v>
      </c>
      <c r="H5389" s="14" t="s">
        <v>18</v>
      </c>
      <c r="I5389" s="22">
        <v>2022.0</v>
      </c>
      <c r="J5389" s="16" t="str">
        <f>IFERROR(__xludf.DUMMYFUNCTION("FILTER('CLASFICACIÓN'!$F$3:$F5618,'CLASFICACIÓN'!$G$3:$G5618=M5389)"),"SOLO LINEA BASE")</f>
        <v>SOLO LINEA BASE</v>
      </c>
      <c r="K5389" s="16"/>
      <c r="L5389" s="14" t="s">
        <v>198</v>
      </c>
      <c r="M5389" s="16" t="str">
        <f t="shared" si="1"/>
        <v>ALMIRANTE MIGUEL GRAU SEMINARIO5 Secundaria</v>
      </c>
      <c r="N5389" s="23"/>
      <c r="O5389" s="17"/>
      <c r="P5389" s="17"/>
      <c r="Q5389" s="17"/>
      <c r="R5389" s="17"/>
      <c r="S5389" s="17"/>
      <c r="T5389" s="17"/>
    </row>
    <row r="5390">
      <c r="A5390" s="21">
        <v>1518.0</v>
      </c>
      <c r="B5390" s="14" t="s">
        <v>90</v>
      </c>
      <c r="C5390" s="14" t="s">
        <v>27</v>
      </c>
      <c r="D5390" s="20" t="s">
        <v>201</v>
      </c>
      <c r="E5390" s="12" t="str">
        <f>IFERROR(__xludf.DUMMYFUNCTION("FILTER(colegios!$B$2:$B5618,colegios!$A$2:$A5618=L5390)"),"ALMIRANTE MIGUEL GRAU SEMINARIO")</f>
        <v>ALMIRANTE MIGUEL GRAU SEMINARIO</v>
      </c>
      <c r="F5390" s="14" t="s">
        <v>16</v>
      </c>
      <c r="G5390" s="20" t="s">
        <v>17</v>
      </c>
      <c r="H5390" s="14" t="s">
        <v>18</v>
      </c>
      <c r="I5390" s="22">
        <v>2022.0</v>
      </c>
      <c r="J5390" s="16" t="str">
        <f>IFERROR(__xludf.DUMMYFUNCTION("FILTER('CLASFICACIÓN'!$F$3:$F5618,'CLASFICACIÓN'!$G$3:$G5618=M5390)"),"SOLO LINEA BASE")</f>
        <v>SOLO LINEA BASE</v>
      </c>
      <c r="K5390" s="16"/>
      <c r="L5390" s="14" t="s">
        <v>198</v>
      </c>
      <c r="M5390" s="16" t="str">
        <f t="shared" si="1"/>
        <v>ALMIRANTE MIGUEL GRAU SEMINARIO5 Secundaria</v>
      </c>
      <c r="N5390" s="23"/>
      <c r="O5390" s="17"/>
      <c r="P5390" s="17"/>
      <c r="Q5390" s="17"/>
      <c r="R5390" s="17"/>
      <c r="S5390" s="17"/>
      <c r="T5390" s="17"/>
    </row>
    <row r="5391">
      <c r="A5391" s="21">
        <v>1519.0</v>
      </c>
      <c r="B5391" s="14" t="s">
        <v>90</v>
      </c>
      <c r="C5391" s="14" t="s">
        <v>27</v>
      </c>
      <c r="D5391" s="20" t="s">
        <v>201</v>
      </c>
      <c r="E5391" s="12" t="str">
        <f>IFERROR(__xludf.DUMMYFUNCTION("FILTER(colegios!$B$2:$B5618,colegios!$A$2:$A5618=L5391)"),"ALMIRANTE MIGUEL GRAU SEMINARIO")</f>
        <v>ALMIRANTE MIGUEL GRAU SEMINARIO</v>
      </c>
      <c r="F5391" s="14" t="s">
        <v>16</v>
      </c>
      <c r="G5391" s="20" t="s">
        <v>17</v>
      </c>
      <c r="H5391" s="14" t="s">
        <v>18</v>
      </c>
      <c r="I5391" s="22">
        <v>2022.0</v>
      </c>
      <c r="J5391" s="16" t="str">
        <f>IFERROR(__xludf.DUMMYFUNCTION("FILTER('CLASFICACIÓN'!$F$3:$F5618,'CLASFICACIÓN'!$G$3:$G5618=M5391)"),"SOLO LINEA BASE")</f>
        <v>SOLO LINEA BASE</v>
      </c>
      <c r="K5391" s="16"/>
      <c r="L5391" s="14" t="s">
        <v>198</v>
      </c>
      <c r="M5391" s="16" t="str">
        <f t="shared" si="1"/>
        <v>ALMIRANTE MIGUEL GRAU SEMINARIO5 Secundaria</v>
      </c>
      <c r="N5391" s="23"/>
      <c r="O5391" s="17"/>
      <c r="P5391" s="17"/>
      <c r="Q5391" s="17"/>
      <c r="R5391" s="17"/>
      <c r="S5391" s="17"/>
      <c r="T5391" s="17"/>
    </row>
    <row r="5392">
      <c r="A5392" s="21">
        <v>1520.0</v>
      </c>
      <c r="B5392" s="14" t="s">
        <v>90</v>
      </c>
      <c r="C5392" s="14" t="s">
        <v>27</v>
      </c>
      <c r="D5392" s="20" t="s">
        <v>201</v>
      </c>
      <c r="E5392" s="12" t="str">
        <f>IFERROR(__xludf.DUMMYFUNCTION("FILTER(colegios!$B$2:$B5618,colegios!$A$2:$A5618=L5392)"),"ALMIRANTE MIGUEL GRAU SEMINARIO")</f>
        <v>ALMIRANTE MIGUEL GRAU SEMINARIO</v>
      </c>
      <c r="F5392" s="14" t="s">
        <v>16</v>
      </c>
      <c r="G5392" s="20" t="s">
        <v>21</v>
      </c>
      <c r="H5392" s="14" t="s">
        <v>18</v>
      </c>
      <c r="I5392" s="22">
        <v>2022.0</v>
      </c>
      <c r="J5392" s="16" t="str">
        <f>IFERROR(__xludf.DUMMYFUNCTION("FILTER('CLASFICACIÓN'!$F$3:$F5618,'CLASFICACIÓN'!$G$3:$G5618=M5392)"),"SOLO LINEA BASE")</f>
        <v>SOLO LINEA BASE</v>
      </c>
      <c r="K5392" s="16"/>
      <c r="L5392" s="14" t="s">
        <v>198</v>
      </c>
      <c r="M5392" s="16" t="str">
        <f t="shared" si="1"/>
        <v>ALMIRANTE MIGUEL GRAU SEMINARIO5 Secundaria</v>
      </c>
      <c r="N5392" s="23"/>
      <c r="O5392" s="17"/>
      <c r="P5392" s="17"/>
      <c r="Q5392" s="17"/>
      <c r="R5392" s="17"/>
      <c r="S5392" s="17"/>
      <c r="T5392" s="17"/>
    </row>
    <row r="5393">
      <c r="A5393" s="21">
        <v>1521.0</v>
      </c>
      <c r="B5393" s="14" t="s">
        <v>90</v>
      </c>
      <c r="C5393" s="14" t="s">
        <v>27</v>
      </c>
      <c r="D5393" s="20" t="s">
        <v>201</v>
      </c>
      <c r="E5393" s="12" t="str">
        <f>IFERROR(__xludf.DUMMYFUNCTION("FILTER(colegios!$B$2:$B5618,colegios!$A$2:$A5618=L5393)"),"ALMIRANTE MIGUEL GRAU SEMINARIO")</f>
        <v>ALMIRANTE MIGUEL GRAU SEMINARIO</v>
      </c>
      <c r="F5393" s="14" t="s">
        <v>16</v>
      </c>
      <c r="G5393" s="20" t="s">
        <v>17</v>
      </c>
      <c r="H5393" s="14" t="s">
        <v>18</v>
      </c>
      <c r="I5393" s="22">
        <v>2022.0</v>
      </c>
      <c r="J5393" s="16" t="str">
        <f>IFERROR(__xludf.DUMMYFUNCTION("FILTER('CLASFICACIÓN'!$F$3:$F5618,'CLASFICACIÓN'!$G$3:$G5618=M5393)"),"SOLO LINEA BASE")</f>
        <v>SOLO LINEA BASE</v>
      </c>
      <c r="K5393" s="16"/>
      <c r="L5393" s="14" t="s">
        <v>198</v>
      </c>
      <c r="M5393" s="16" t="str">
        <f t="shared" si="1"/>
        <v>ALMIRANTE MIGUEL GRAU SEMINARIO5 Secundaria</v>
      </c>
      <c r="N5393" s="23"/>
      <c r="O5393" s="17"/>
      <c r="P5393" s="17"/>
      <c r="Q5393" s="17"/>
      <c r="R5393" s="17"/>
      <c r="S5393" s="17"/>
      <c r="T5393" s="17"/>
    </row>
    <row r="5394">
      <c r="A5394" s="21">
        <v>1522.0</v>
      </c>
      <c r="B5394" s="14" t="s">
        <v>90</v>
      </c>
      <c r="C5394" s="14" t="s">
        <v>27</v>
      </c>
      <c r="D5394" s="20" t="s">
        <v>201</v>
      </c>
      <c r="E5394" s="12" t="str">
        <f>IFERROR(__xludf.DUMMYFUNCTION("FILTER(colegios!$B$2:$B5618,colegios!$A$2:$A5618=L5394)"),"ALMIRANTE MIGUEL GRAU SEMINARIO")</f>
        <v>ALMIRANTE MIGUEL GRAU SEMINARIO</v>
      </c>
      <c r="F5394" s="14" t="s">
        <v>16</v>
      </c>
      <c r="G5394" s="20" t="s">
        <v>17</v>
      </c>
      <c r="H5394" s="14" t="s">
        <v>18</v>
      </c>
      <c r="I5394" s="22">
        <v>2022.0</v>
      </c>
      <c r="J5394" s="16" t="str">
        <f>IFERROR(__xludf.DUMMYFUNCTION("FILTER('CLASFICACIÓN'!$F$3:$F5618,'CLASFICACIÓN'!$G$3:$G5618=M5394)"),"SOLO LINEA BASE")</f>
        <v>SOLO LINEA BASE</v>
      </c>
      <c r="K5394" s="16"/>
      <c r="L5394" s="14" t="s">
        <v>198</v>
      </c>
      <c r="M5394" s="16" t="str">
        <f t="shared" si="1"/>
        <v>ALMIRANTE MIGUEL GRAU SEMINARIO5 Secundaria</v>
      </c>
      <c r="N5394" s="23"/>
      <c r="O5394" s="17"/>
      <c r="P5394" s="17"/>
      <c r="Q5394" s="17"/>
      <c r="R5394" s="17"/>
      <c r="S5394" s="17"/>
      <c r="T5394" s="17"/>
    </row>
    <row r="5395">
      <c r="A5395" s="21">
        <v>1523.0</v>
      </c>
      <c r="B5395" s="14" t="s">
        <v>90</v>
      </c>
      <c r="C5395" s="14" t="s">
        <v>27</v>
      </c>
      <c r="D5395" s="20" t="s">
        <v>201</v>
      </c>
      <c r="E5395" s="12" t="str">
        <f>IFERROR(__xludf.DUMMYFUNCTION("FILTER(colegios!$B$2:$B5618,colegios!$A$2:$A5618=L5395)"),"ALMIRANTE MIGUEL GRAU SEMINARIO")</f>
        <v>ALMIRANTE MIGUEL GRAU SEMINARIO</v>
      </c>
      <c r="F5395" s="14" t="s">
        <v>16</v>
      </c>
      <c r="G5395" s="20" t="s">
        <v>17</v>
      </c>
      <c r="H5395" s="14" t="s">
        <v>18</v>
      </c>
      <c r="I5395" s="22">
        <v>2022.0</v>
      </c>
      <c r="J5395" s="16" t="str">
        <f>IFERROR(__xludf.DUMMYFUNCTION("FILTER('CLASFICACIÓN'!$F$3:$F5618,'CLASFICACIÓN'!$G$3:$G5618=M5395)"),"SOLO LINEA BASE")</f>
        <v>SOLO LINEA BASE</v>
      </c>
      <c r="K5395" s="16"/>
      <c r="L5395" s="14" t="s">
        <v>198</v>
      </c>
      <c r="M5395" s="16" t="str">
        <f t="shared" si="1"/>
        <v>ALMIRANTE MIGUEL GRAU SEMINARIO5 Secundaria</v>
      </c>
      <c r="N5395" s="23"/>
      <c r="O5395" s="17"/>
      <c r="P5395" s="17"/>
      <c r="Q5395" s="17"/>
      <c r="R5395" s="17"/>
      <c r="S5395" s="17"/>
      <c r="T5395" s="17"/>
    </row>
    <row r="5396">
      <c r="A5396" s="21">
        <v>1524.0</v>
      </c>
      <c r="B5396" s="14" t="s">
        <v>90</v>
      </c>
      <c r="C5396" s="14" t="s">
        <v>27</v>
      </c>
      <c r="D5396" s="20" t="s">
        <v>201</v>
      </c>
      <c r="E5396" s="12" t="str">
        <f>IFERROR(__xludf.DUMMYFUNCTION("FILTER(colegios!$B$2:$B5618,colegios!$A$2:$A5618=L5396)"),"ALMIRANTE MIGUEL GRAU SEMINARIO")</f>
        <v>ALMIRANTE MIGUEL GRAU SEMINARIO</v>
      </c>
      <c r="F5396" s="14" t="s">
        <v>16</v>
      </c>
      <c r="G5396" s="20" t="s">
        <v>21</v>
      </c>
      <c r="H5396" s="14" t="s">
        <v>18</v>
      </c>
      <c r="I5396" s="22">
        <v>2022.0</v>
      </c>
      <c r="J5396" s="16" t="str">
        <f>IFERROR(__xludf.DUMMYFUNCTION("FILTER('CLASFICACIÓN'!$F$3:$F5618,'CLASFICACIÓN'!$G$3:$G5618=M5396)"),"SOLO LINEA BASE")</f>
        <v>SOLO LINEA BASE</v>
      </c>
      <c r="K5396" s="16"/>
      <c r="L5396" s="14" t="s">
        <v>198</v>
      </c>
      <c r="M5396" s="16" t="str">
        <f t="shared" si="1"/>
        <v>ALMIRANTE MIGUEL GRAU SEMINARIO5 Secundaria</v>
      </c>
      <c r="N5396" s="23"/>
      <c r="O5396" s="17"/>
      <c r="P5396" s="17"/>
      <c r="Q5396" s="17"/>
      <c r="R5396" s="17"/>
      <c r="S5396" s="17"/>
      <c r="T5396" s="17"/>
    </row>
    <row r="5397">
      <c r="A5397" s="21">
        <v>1525.0</v>
      </c>
      <c r="B5397" s="14" t="s">
        <v>90</v>
      </c>
      <c r="C5397" s="14" t="s">
        <v>27</v>
      </c>
      <c r="D5397" s="20" t="s">
        <v>201</v>
      </c>
      <c r="E5397" s="12" t="str">
        <f>IFERROR(__xludf.DUMMYFUNCTION("FILTER(colegios!$B$2:$B5618,colegios!$A$2:$A5618=L5397)"),"ALMIRANTE MIGUEL GRAU SEMINARIO")</f>
        <v>ALMIRANTE MIGUEL GRAU SEMINARIO</v>
      </c>
      <c r="F5397" s="14" t="s">
        <v>16</v>
      </c>
      <c r="G5397" s="20" t="s">
        <v>21</v>
      </c>
      <c r="H5397" s="14" t="s">
        <v>18</v>
      </c>
      <c r="I5397" s="22">
        <v>2022.0</v>
      </c>
      <c r="J5397" s="16" t="str">
        <f>IFERROR(__xludf.DUMMYFUNCTION("FILTER('CLASFICACIÓN'!$F$3:$F5618,'CLASFICACIÓN'!$G$3:$G5618=M5397)"),"SOLO LINEA BASE")</f>
        <v>SOLO LINEA BASE</v>
      </c>
      <c r="K5397" s="16"/>
      <c r="L5397" s="14" t="s">
        <v>198</v>
      </c>
      <c r="M5397" s="16" t="str">
        <f t="shared" si="1"/>
        <v>ALMIRANTE MIGUEL GRAU SEMINARIO5 Secundaria</v>
      </c>
      <c r="N5397" s="23"/>
      <c r="O5397" s="17"/>
      <c r="P5397" s="17"/>
      <c r="Q5397" s="17"/>
      <c r="R5397" s="17"/>
      <c r="S5397" s="17"/>
      <c r="T5397" s="17"/>
    </row>
    <row r="5398">
      <c r="A5398" s="21">
        <v>1526.0</v>
      </c>
      <c r="B5398" s="14" t="s">
        <v>90</v>
      </c>
      <c r="C5398" s="14" t="s">
        <v>27</v>
      </c>
      <c r="D5398" s="20" t="s">
        <v>201</v>
      </c>
      <c r="E5398" s="12" t="str">
        <f>IFERROR(__xludf.DUMMYFUNCTION("FILTER(colegios!$B$2:$B5618,colegios!$A$2:$A5618=L5398)"),"ALMIRANTE MIGUEL GRAU SEMINARIO")</f>
        <v>ALMIRANTE MIGUEL GRAU SEMINARIO</v>
      </c>
      <c r="F5398" s="14" t="s">
        <v>16</v>
      </c>
      <c r="G5398" s="20" t="s">
        <v>17</v>
      </c>
      <c r="H5398" s="14" t="s">
        <v>18</v>
      </c>
      <c r="I5398" s="22">
        <v>2022.0</v>
      </c>
      <c r="J5398" s="16" t="str">
        <f>IFERROR(__xludf.DUMMYFUNCTION("FILTER('CLASFICACIÓN'!$F$3:$F5618,'CLASFICACIÓN'!$G$3:$G5618=M5398)"),"SOLO LINEA BASE")</f>
        <v>SOLO LINEA BASE</v>
      </c>
      <c r="K5398" s="16"/>
      <c r="L5398" s="14" t="s">
        <v>198</v>
      </c>
      <c r="M5398" s="16" t="str">
        <f t="shared" si="1"/>
        <v>ALMIRANTE MIGUEL GRAU SEMINARIO5 Secundaria</v>
      </c>
      <c r="N5398" s="23"/>
      <c r="O5398" s="17"/>
      <c r="P5398" s="17"/>
      <c r="Q5398" s="17"/>
      <c r="R5398" s="17"/>
      <c r="S5398" s="17"/>
      <c r="T5398" s="17"/>
    </row>
    <row r="5399">
      <c r="A5399" s="21">
        <v>1527.0</v>
      </c>
      <c r="B5399" s="14" t="s">
        <v>90</v>
      </c>
      <c r="C5399" s="14" t="s">
        <v>27</v>
      </c>
      <c r="D5399" s="20" t="s">
        <v>201</v>
      </c>
      <c r="E5399" s="12" t="str">
        <f>IFERROR(__xludf.DUMMYFUNCTION("FILTER(colegios!$B$2:$B5618,colegios!$A$2:$A5618=L5399)"),"ALMIRANTE MIGUEL GRAU SEMINARIO")</f>
        <v>ALMIRANTE MIGUEL GRAU SEMINARIO</v>
      </c>
      <c r="F5399" s="14" t="s">
        <v>16</v>
      </c>
      <c r="G5399" s="20" t="s">
        <v>21</v>
      </c>
      <c r="H5399" s="14" t="s">
        <v>18</v>
      </c>
      <c r="I5399" s="22">
        <v>2022.0</v>
      </c>
      <c r="J5399" s="16" t="str">
        <f>IFERROR(__xludf.DUMMYFUNCTION("FILTER('CLASFICACIÓN'!$F$3:$F5618,'CLASFICACIÓN'!$G$3:$G5618=M5399)"),"SOLO LINEA BASE")</f>
        <v>SOLO LINEA BASE</v>
      </c>
      <c r="K5399" s="16"/>
      <c r="L5399" s="14" t="s">
        <v>198</v>
      </c>
      <c r="M5399" s="16" t="str">
        <f t="shared" si="1"/>
        <v>ALMIRANTE MIGUEL GRAU SEMINARIO5 Secundaria</v>
      </c>
      <c r="N5399" s="23"/>
      <c r="O5399" s="17"/>
      <c r="P5399" s="17"/>
      <c r="Q5399" s="17"/>
      <c r="R5399" s="17"/>
      <c r="S5399" s="17"/>
      <c r="T5399" s="17"/>
    </row>
    <row r="5400">
      <c r="A5400" s="21">
        <v>1528.0</v>
      </c>
      <c r="B5400" s="14" t="s">
        <v>90</v>
      </c>
      <c r="C5400" s="14" t="s">
        <v>27</v>
      </c>
      <c r="D5400" s="20" t="s">
        <v>201</v>
      </c>
      <c r="E5400" s="12" t="str">
        <f>IFERROR(__xludf.DUMMYFUNCTION("FILTER(colegios!$B$2:$B5618,colegios!$A$2:$A5618=L5400)"),"ALMIRANTE MIGUEL GRAU SEMINARIO")</f>
        <v>ALMIRANTE MIGUEL GRAU SEMINARIO</v>
      </c>
      <c r="F5400" s="14" t="s">
        <v>16</v>
      </c>
      <c r="G5400" s="20" t="s">
        <v>21</v>
      </c>
      <c r="H5400" s="14" t="s">
        <v>18</v>
      </c>
      <c r="I5400" s="22">
        <v>2022.0</v>
      </c>
      <c r="J5400" s="16" t="str">
        <f>IFERROR(__xludf.DUMMYFUNCTION("FILTER('CLASFICACIÓN'!$F$3:$F5618,'CLASFICACIÓN'!$G$3:$G5618=M5400)"),"SOLO LINEA BASE")</f>
        <v>SOLO LINEA BASE</v>
      </c>
      <c r="K5400" s="16"/>
      <c r="L5400" s="14" t="s">
        <v>198</v>
      </c>
      <c r="M5400" s="16" t="str">
        <f t="shared" si="1"/>
        <v>ALMIRANTE MIGUEL GRAU SEMINARIO5 Secundaria</v>
      </c>
      <c r="N5400" s="23"/>
      <c r="O5400" s="17"/>
      <c r="P5400" s="17"/>
      <c r="Q5400" s="17"/>
      <c r="R5400" s="17"/>
      <c r="S5400" s="17"/>
      <c r="T5400" s="17"/>
    </row>
    <row r="5401">
      <c r="A5401" s="21">
        <v>1529.0</v>
      </c>
      <c r="B5401" s="14" t="s">
        <v>90</v>
      </c>
      <c r="C5401" s="14" t="s">
        <v>27</v>
      </c>
      <c r="D5401" s="20" t="s">
        <v>201</v>
      </c>
      <c r="E5401" s="12" t="str">
        <f>IFERROR(__xludf.DUMMYFUNCTION("FILTER(colegios!$B$2:$B5618,colegios!$A$2:$A5618=L5401)"),"ALMIRANTE MIGUEL GRAU SEMINARIO")</f>
        <v>ALMIRANTE MIGUEL GRAU SEMINARIO</v>
      </c>
      <c r="F5401" s="14" t="s">
        <v>16</v>
      </c>
      <c r="G5401" s="20" t="s">
        <v>17</v>
      </c>
      <c r="H5401" s="14" t="s">
        <v>18</v>
      </c>
      <c r="I5401" s="22">
        <v>2022.0</v>
      </c>
      <c r="J5401" s="16" t="str">
        <f>IFERROR(__xludf.DUMMYFUNCTION("FILTER('CLASFICACIÓN'!$F$3:$F5618,'CLASFICACIÓN'!$G$3:$G5618=M5401)"),"SOLO LINEA BASE")</f>
        <v>SOLO LINEA BASE</v>
      </c>
      <c r="K5401" s="16"/>
      <c r="L5401" s="14" t="s">
        <v>198</v>
      </c>
      <c r="M5401" s="16" t="str">
        <f t="shared" si="1"/>
        <v>ALMIRANTE MIGUEL GRAU SEMINARIO5 Secundaria</v>
      </c>
      <c r="N5401" s="23"/>
      <c r="O5401" s="17"/>
      <c r="P5401" s="17"/>
      <c r="Q5401" s="17"/>
      <c r="R5401" s="17"/>
      <c r="S5401" s="17"/>
      <c r="T5401" s="17"/>
    </row>
    <row r="5402">
      <c r="A5402" s="21">
        <v>1530.0</v>
      </c>
      <c r="B5402" s="14" t="s">
        <v>90</v>
      </c>
      <c r="C5402" s="14" t="s">
        <v>27</v>
      </c>
      <c r="D5402" s="20" t="s">
        <v>201</v>
      </c>
      <c r="E5402" s="12" t="str">
        <f>IFERROR(__xludf.DUMMYFUNCTION("FILTER(colegios!$B$2:$B5618,colegios!$A$2:$A5618=L5402)"),"ALMIRANTE MIGUEL GRAU SEMINARIO")</f>
        <v>ALMIRANTE MIGUEL GRAU SEMINARIO</v>
      </c>
      <c r="F5402" s="14" t="s">
        <v>16</v>
      </c>
      <c r="G5402" s="20" t="s">
        <v>17</v>
      </c>
      <c r="H5402" s="14" t="s">
        <v>18</v>
      </c>
      <c r="I5402" s="22">
        <v>2022.0</v>
      </c>
      <c r="J5402" s="16" t="str">
        <f>IFERROR(__xludf.DUMMYFUNCTION("FILTER('CLASFICACIÓN'!$F$3:$F5618,'CLASFICACIÓN'!$G$3:$G5618=M5402)"),"SOLO LINEA BASE")</f>
        <v>SOLO LINEA BASE</v>
      </c>
      <c r="K5402" s="16"/>
      <c r="L5402" s="14" t="s">
        <v>198</v>
      </c>
      <c r="M5402" s="16" t="str">
        <f t="shared" si="1"/>
        <v>ALMIRANTE MIGUEL GRAU SEMINARIO5 Secundaria</v>
      </c>
      <c r="N5402" s="23"/>
      <c r="O5402" s="17"/>
      <c r="P5402" s="17"/>
      <c r="Q5402" s="17"/>
      <c r="R5402" s="17"/>
      <c r="S5402" s="17"/>
      <c r="T5402" s="17"/>
    </row>
    <row r="5403">
      <c r="A5403" s="21">
        <v>1531.0</v>
      </c>
      <c r="B5403" s="14" t="s">
        <v>90</v>
      </c>
      <c r="C5403" s="14" t="s">
        <v>27</v>
      </c>
      <c r="D5403" s="20" t="s">
        <v>201</v>
      </c>
      <c r="E5403" s="12" t="str">
        <f>IFERROR(__xludf.DUMMYFUNCTION("FILTER(colegios!$B$2:$B5618,colegios!$A$2:$A5618=L5403)"),"ALMIRANTE MIGUEL GRAU SEMINARIO")</f>
        <v>ALMIRANTE MIGUEL GRAU SEMINARIO</v>
      </c>
      <c r="F5403" s="14" t="s">
        <v>16</v>
      </c>
      <c r="G5403" s="20" t="s">
        <v>17</v>
      </c>
      <c r="H5403" s="14" t="s">
        <v>18</v>
      </c>
      <c r="I5403" s="22">
        <v>2022.0</v>
      </c>
      <c r="J5403" s="16" t="str">
        <f>IFERROR(__xludf.DUMMYFUNCTION("FILTER('CLASFICACIÓN'!$F$3:$F5618,'CLASFICACIÓN'!$G$3:$G5618=M5403)"),"SOLO LINEA BASE")</f>
        <v>SOLO LINEA BASE</v>
      </c>
      <c r="K5403" s="16"/>
      <c r="L5403" s="14" t="s">
        <v>198</v>
      </c>
      <c r="M5403" s="16" t="str">
        <f t="shared" si="1"/>
        <v>ALMIRANTE MIGUEL GRAU SEMINARIO5 Secundaria</v>
      </c>
      <c r="N5403" s="23"/>
      <c r="O5403" s="17"/>
      <c r="P5403" s="17"/>
      <c r="Q5403" s="17"/>
      <c r="R5403" s="17"/>
      <c r="S5403" s="17"/>
      <c r="T5403" s="17"/>
    </row>
    <row r="5404">
      <c r="A5404" s="21">
        <v>1532.0</v>
      </c>
      <c r="B5404" s="14" t="s">
        <v>90</v>
      </c>
      <c r="C5404" s="14" t="s">
        <v>27</v>
      </c>
      <c r="D5404" s="20" t="s">
        <v>201</v>
      </c>
      <c r="E5404" s="12" t="str">
        <f>IFERROR(__xludf.DUMMYFUNCTION("FILTER(colegios!$B$2:$B5618,colegios!$A$2:$A5618=L5404)"),"ALMIRANTE MIGUEL GRAU SEMINARIO")</f>
        <v>ALMIRANTE MIGUEL GRAU SEMINARIO</v>
      </c>
      <c r="F5404" s="14" t="s">
        <v>16</v>
      </c>
      <c r="G5404" s="20" t="s">
        <v>21</v>
      </c>
      <c r="H5404" s="14" t="s">
        <v>18</v>
      </c>
      <c r="I5404" s="22">
        <v>2022.0</v>
      </c>
      <c r="J5404" s="16" t="str">
        <f>IFERROR(__xludf.DUMMYFUNCTION("FILTER('CLASFICACIÓN'!$F$3:$F5618,'CLASFICACIÓN'!$G$3:$G5618=M5404)"),"SOLO LINEA BASE")</f>
        <v>SOLO LINEA BASE</v>
      </c>
      <c r="K5404" s="16"/>
      <c r="L5404" s="14" t="s">
        <v>198</v>
      </c>
      <c r="M5404" s="16" t="str">
        <f t="shared" si="1"/>
        <v>ALMIRANTE MIGUEL GRAU SEMINARIO5 Secundaria</v>
      </c>
      <c r="N5404" s="23"/>
      <c r="O5404" s="17"/>
      <c r="P5404" s="17"/>
      <c r="Q5404" s="17"/>
      <c r="R5404" s="17"/>
      <c r="S5404" s="17"/>
      <c r="T5404" s="17"/>
    </row>
    <row r="5405">
      <c r="A5405" s="21">
        <v>1533.0</v>
      </c>
      <c r="B5405" s="14" t="s">
        <v>90</v>
      </c>
      <c r="C5405" s="14" t="s">
        <v>27</v>
      </c>
      <c r="D5405" s="20" t="s">
        <v>201</v>
      </c>
      <c r="E5405" s="12" t="str">
        <f>IFERROR(__xludf.DUMMYFUNCTION("FILTER(colegios!$B$2:$B5618,colegios!$A$2:$A5618=L5405)"),"ALMIRANTE MIGUEL GRAU SEMINARIO")</f>
        <v>ALMIRANTE MIGUEL GRAU SEMINARIO</v>
      </c>
      <c r="F5405" s="14" t="s">
        <v>16</v>
      </c>
      <c r="G5405" s="20" t="s">
        <v>21</v>
      </c>
      <c r="H5405" s="14" t="s">
        <v>18</v>
      </c>
      <c r="I5405" s="22">
        <v>2022.0</v>
      </c>
      <c r="J5405" s="16" t="str">
        <f>IFERROR(__xludf.DUMMYFUNCTION("FILTER('CLASFICACIÓN'!$F$3:$F5618,'CLASFICACIÓN'!$G$3:$G5618=M5405)"),"SOLO LINEA BASE")</f>
        <v>SOLO LINEA BASE</v>
      </c>
      <c r="K5405" s="16"/>
      <c r="L5405" s="14" t="s">
        <v>198</v>
      </c>
      <c r="M5405" s="16" t="str">
        <f t="shared" si="1"/>
        <v>ALMIRANTE MIGUEL GRAU SEMINARIO5 Secundaria</v>
      </c>
      <c r="N5405" s="23"/>
      <c r="O5405" s="17"/>
      <c r="P5405" s="17"/>
      <c r="Q5405" s="17"/>
      <c r="R5405" s="17"/>
      <c r="S5405" s="17"/>
      <c r="T5405" s="17"/>
    </row>
    <row r="5406">
      <c r="A5406" s="21">
        <v>1534.0</v>
      </c>
      <c r="B5406" s="14" t="s">
        <v>90</v>
      </c>
      <c r="C5406" s="14" t="s">
        <v>27</v>
      </c>
      <c r="D5406" s="20" t="s">
        <v>201</v>
      </c>
      <c r="E5406" s="12" t="str">
        <f>IFERROR(__xludf.DUMMYFUNCTION("FILTER(colegios!$B$2:$B5618,colegios!$A$2:$A5618=L5406)"),"ALMIRANTE MIGUEL GRAU SEMINARIO")</f>
        <v>ALMIRANTE MIGUEL GRAU SEMINARIO</v>
      </c>
      <c r="F5406" s="14" t="s">
        <v>16</v>
      </c>
      <c r="G5406" s="20" t="s">
        <v>21</v>
      </c>
      <c r="H5406" s="14" t="s">
        <v>18</v>
      </c>
      <c r="I5406" s="22">
        <v>2022.0</v>
      </c>
      <c r="J5406" s="16" t="str">
        <f>IFERROR(__xludf.DUMMYFUNCTION("FILTER('CLASFICACIÓN'!$F$3:$F5618,'CLASFICACIÓN'!$G$3:$G5618=M5406)"),"SOLO LINEA BASE")</f>
        <v>SOLO LINEA BASE</v>
      </c>
      <c r="K5406" s="16"/>
      <c r="L5406" s="14" t="s">
        <v>198</v>
      </c>
      <c r="M5406" s="16" t="str">
        <f t="shared" si="1"/>
        <v>ALMIRANTE MIGUEL GRAU SEMINARIO5 Secundaria</v>
      </c>
      <c r="N5406" s="23"/>
      <c r="O5406" s="17"/>
      <c r="P5406" s="17"/>
      <c r="Q5406" s="17"/>
      <c r="R5406" s="17"/>
      <c r="S5406" s="17"/>
      <c r="T5406" s="17"/>
    </row>
    <row r="5407">
      <c r="A5407" s="21">
        <v>1535.0</v>
      </c>
      <c r="B5407" s="14" t="s">
        <v>90</v>
      </c>
      <c r="C5407" s="14" t="s">
        <v>27</v>
      </c>
      <c r="D5407" s="20" t="s">
        <v>201</v>
      </c>
      <c r="E5407" s="12" t="str">
        <f>IFERROR(__xludf.DUMMYFUNCTION("FILTER(colegios!$B$2:$B5618,colegios!$A$2:$A5618=L5407)"),"ALMIRANTE MIGUEL GRAU SEMINARIO")</f>
        <v>ALMIRANTE MIGUEL GRAU SEMINARIO</v>
      </c>
      <c r="F5407" s="14" t="s">
        <v>16</v>
      </c>
      <c r="G5407" s="20" t="s">
        <v>21</v>
      </c>
      <c r="H5407" s="14" t="s">
        <v>18</v>
      </c>
      <c r="I5407" s="22">
        <v>2022.0</v>
      </c>
      <c r="J5407" s="16" t="str">
        <f>IFERROR(__xludf.DUMMYFUNCTION("FILTER('CLASFICACIÓN'!$F$3:$F5618,'CLASFICACIÓN'!$G$3:$G5618=M5407)"),"SOLO LINEA BASE")</f>
        <v>SOLO LINEA BASE</v>
      </c>
      <c r="K5407" s="16"/>
      <c r="L5407" s="14" t="s">
        <v>198</v>
      </c>
      <c r="M5407" s="16" t="str">
        <f t="shared" si="1"/>
        <v>ALMIRANTE MIGUEL GRAU SEMINARIO5 Secundaria</v>
      </c>
      <c r="N5407" s="23"/>
      <c r="O5407" s="17"/>
      <c r="P5407" s="17"/>
      <c r="Q5407" s="17"/>
      <c r="R5407" s="17"/>
      <c r="S5407" s="17"/>
      <c r="T5407" s="17"/>
    </row>
    <row r="5408">
      <c r="A5408" s="21">
        <v>1536.0</v>
      </c>
      <c r="B5408" s="14" t="s">
        <v>90</v>
      </c>
      <c r="C5408" s="14" t="s">
        <v>27</v>
      </c>
      <c r="D5408" s="20" t="s">
        <v>201</v>
      </c>
      <c r="E5408" s="12" t="str">
        <f>IFERROR(__xludf.DUMMYFUNCTION("FILTER(colegios!$B$2:$B5618,colegios!$A$2:$A5618=L5408)"),"ALMIRANTE MIGUEL GRAU SEMINARIO")</f>
        <v>ALMIRANTE MIGUEL GRAU SEMINARIO</v>
      </c>
      <c r="F5408" s="14" t="s">
        <v>16</v>
      </c>
      <c r="G5408" s="20" t="s">
        <v>21</v>
      </c>
      <c r="H5408" s="14" t="s">
        <v>18</v>
      </c>
      <c r="I5408" s="22">
        <v>2022.0</v>
      </c>
      <c r="J5408" s="16" t="str">
        <f>IFERROR(__xludf.DUMMYFUNCTION("FILTER('CLASFICACIÓN'!$F$3:$F5618,'CLASFICACIÓN'!$G$3:$G5618=M5408)"),"SOLO LINEA BASE")</f>
        <v>SOLO LINEA BASE</v>
      </c>
      <c r="K5408" s="16"/>
      <c r="L5408" s="14" t="s">
        <v>198</v>
      </c>
      <c r="M5408" s="16" t="str">
        <f t="shared" si="1"/>
        <v>ALMIRANTE MIGUEL GRAU SEMINARIO5 Secundaria</v>
      </c>
      <c r="N5408" s="23"/>
      <c r="O5408" s="17"/>
      <c r="P5408" s="17"/>
      <c r="Q5408" s="17"/>
      <c r="R5408" s="17"/>
      <c r="S5408" s="17"/>
      <c r="T5408" s="17"/>
    </row>
    <row r="5409">
      <c r="A5409" s="21">
        <v>1537.0</v>
      </c>
      <c r="B5409" s="14" t="s">
        <v>90</v>
      </c>
      <c r="C5409" s="14" t="s">
        <v>27</v>
      </c>
      <c r="D5409" s="20" t="s">
        <v>201</v>
      </c>
      <c r="E5409" s="12" t="str">
        <f>IFERROR(__xludf.DUMMYFUNCTION("FILTER(colegios!$B$2:$B5618,colegios!$A$2:$A5618=L5409)"),"ALMIRANTE MIGUEL GRAU SEMINARIO")</f>
        <v>ALMIRANTE MIGUEL GRAU SEMINARIO</v>
      </c>
      <c r="F5409" s="14" t="s">
        <v>16</v>
      </c>
      <c r="G5409" s="20" t="s">
        <v>21</v>
      </c>
      <c r="H5409" s="14" t="s">
        <v>18</v>
      </c>
      <c r="I5409" s="22">
        <v>2022.0</v>
      </c>
      <c r="J5409" s="16" t="str">
        <f>IFERROR(__xludf.DUMMYFUNCTION("FILTER('CLASFICACIÓN'!$F$3:$F5618,'CLASFICACIÓN'!$G$3:$G5618=M5409)"),"SOLO LINEA BASE")</f>
        <v>SOLO LINEA BASE</v>
      </c>
      <c r="K5409" s="16"/>
      <c r="L5409" s="14" t="s">
        <v>198</v>
      </c>
      <c r="M5409" s="16" t="str">
        <f t="shared" si="1"/>
        <v>ALMIRANTE MIGUEL GRAU SEMINARIO5 Secundaria</v>
      </c>
      <c r="N5409" s="23"/>
      <c r="O5409" s="17"/>
      <c r="P5409" s="17"/>
      <c r="Q5409" s="17"/>
      <c r="R5409" s="17"/>
      <c r="S5409" s="17"/>
      <c r="T5409" s="17"/>
    </row>
    <row r="5410">
      <c r="A5410" s="21">
        <v>1538.0</v>
      </c>
      <c r="B5410" s="14" t="s">
        <v>90</v>
      </c>
      <c r="C5410" s="14" t="s">
        <v>27</v>
      </c>
      <c r="D5410" s="20" t="s">
        <v>201</v>
      </c>
      <c r="E5410" s="12" t="str">
        <f>IFERROR(__xludf.DUMMYFUNCTION("FILTER(colegios!$B$2:$B5618,colegios!$A$2:$A5618=L5410)"),"ALMIRANTE MIGUEL GRAU SEMINARIO")</f>
        <v>ALMIRANTE MIGUEL GRAU SEMINARIO</v>
      </c>
      <c r="F5410" s="14" t="s">
        <v>16</v>
      </c>
      <c r="G5410" s="20" t="s">
        <v>17</v>
      </c>
      <c r="H5410" s="14" t="s">
        <v>18</v>
      </c>
      <c r="I5410" s="22">
        <v>2022.0</v>
      </c>
      <c r="J5410" s="16" t="str">
        <f>IFERROR(__xludf.DUMMYFUNCTION("FILTER('CLASFICACIÓN'!$F$3:$F5618,'CLASFICACIÓN'!$G$3:$G5618=M5410)"),"SOLO LINEA BASE")</f>
        <v>SOLO LINEA BASE</v>
      </c>
      <c r="K5410" s="16"/>
      <c r="L5410" s="14" t="s">
        <v>198</v>
      </c>
      <c r="M5410" s="16" t="str">
        <f t="shared" si="1"/>
        <v>ALMIRANTE MIGUEL GRAU SEMINARIO5 Secundaria</v>
      </c>
      <c r="N5410" s="23"/>
      <c r="O5410" s="17"/>
      <c r="P5410" s="17"/>
      <c r="Q5410" s="17"/>
      <c r="R5410" s="17"/>
      <c r="S5410" s="17"/>
      <c r="T5410" s="17"/>
    </row>
    <row r="5411">
      <c r="A5411" s="21">
        <v>1539.0</v>
      </c>
      <c r="B5411" s="14" t="s">
        <v>90</v>
      </c>
      <c r="C5411" s="14" t="s">
        <v>27</v>
      </c>
      <c r="D5411" s="20" t="s">
        <v>201</v>
      </c>
      <c r="E5411" s="12" t="str">
        <f>IFERROR(__xludf.DUMMYFUNCTION("FILTER(colegios!$B$2:$B5618,colegios!$A$2:$A5618=L5411)"),"ALMIRANTE MIGUEL GRAU SEMINARIO")</f>
        <v>ALMIRANTE MIGUEL GRAU SEMINARIO</v>
      </c>
      <c r="F5411" s="14" t="s">
        <v>16</v>
      </c>
      <c r="G5411" s="20" t="s">
        <v>21</v>
      </c>
      <c r="H5411" s="14" t="s">
        <v>18</v>
      </c>
      <c r="I5411" s="22">
        <v>2022.0</v>
      </c>
      <c r="J5411" s="16" t="str">
        <f>IFERROR(__xludf.DUMMYFUNCTION("FILTER('CLASFICACIÓN'!$F$3:$F5618,'CLASFICACIÓN'!$G$3:$G5618=M5411)"),"SOLO LINEA BASE")</f>
        <v>SOLO LINEA BASE</v>
      </c>
      <c r="K5411" s="16"/>
      <c r="L5411" s="14" t="s">
        <v>198</v>
      </c>
      <c r="M5411" s="16" t="str">
        <f t="shared" si="1"/>
        <v>ALMIRANTE MIGUEL GRAU SEMINARIO5 Secundaria</v>
      </c>
      <c r="N5411" s="23"/>
      <c r="O5411" s="17"/>
      <c r="P5411" s="17"/>
      <c r="Q5411" s="17"/>
      <c r="R5411" s="17"/>
      <c r="S5411" s="17"/>
      <c r="T5411" s="17"/>
    </row>
    <row r="5412">
      <c r="A5412" s="21">
        <v>1540.0</v>
      </c>
      <c r="B5412" s="14" t="s">
        <v>90</v>
      </c>
      <c r="C5412" s="14" t="s">
        <v>27</v>
      </c>
      <c r="D5412" s="20" t="s">
        <v>201</v>
      </c>
      <c r="E5412" s="12" t="str">
        <f>IFERROR(__xludf.DUMMYFUNCTION("FILTER(colegios!$B$2:$B5618,colegios!$A$2:$A5618=L5412)"),"ALMIRANTE MIGUEL GRAU SEMINARIO")</f>
        <v>ALMIRANTE MIGUEL GRAU SEMINARIO</v>
      </c>
      <c r="F5412" s="14" t="s">
        <v>16</v>
      </c>
      <c r="G5412" s="20" t="s">
        <v>21</v>
      </c>
      <c r="H5412" s="14" t="s">
        <v>18</v>
      </c>
      <c r="I5412" s="22">
        <v>2022.0</v>
      </c>
      <c r="J5412" s="16" t="str">
        <f>IFERROR(__xludf.DUMMYFUNCTION("FILTER('CLASFICACIÓN'!$F$3:$F5618,'CLASFICACIÓN'!$G$3:$G5618=M5412)"),"SOLO LINEA BASE")</f>
        <v>SOLO LINEA BASE</v>
      </c>
      <c r="K5412" s="16"/>
      <c r="L5412" s="14" t="s">
        <v>198</v>
      </c>
      <c r="M5412" s="16" t="str">
        <f t="shared" si="1"/>
        <v>ALMIRANTE MIGUEL GRAU SEMINARIO5 Secundaria</v>
      </c>
      <c r="N5412" s="23"/>
      <c r="O5412" s="17"/>
      <c r="P5412" s="17"/>
      <c r="Q5412" s="17"/>
      <c r="R5412" s="17"/>
      <c r="S5412" s="17"/>
      <c r="T5412" s="17"/>
    </row>
    <row r="5413">
      <c r="A5413" s="21">
        <v>1541.0</v>
      </c>
      <c r="B5413" s="14" t="s">
        <v>90</v>
      </c>
      <c r="C5413" s="14" t="s">
        <v>27</v>
      </c>
      <c r="D5413" s="20" t="s">
        <v>201</v>
      </c>
      <c r="E5413" s="12" t="str">
        <f>IFERROR(__xludf.DUMMYFUNCTION("FILTER(colegios!$B$2:$B5618,colegios!$A$2:$A5618=L5413)"),"ALMIRANTE MIGUEL GRAU SEMINARIO")</f>
        <v>ALMIRANTE MIGUEL GRAU SEMINARIO</v>
      </c>
      <c r="F5413" s="14" t="s">
        <v>16</v>
      </c>
      <c r="G5413" s="20" t="s">
        <v>17</v>
      </c>
      <c r="H5413" s="14" t="s">
        <v>18</v>
      </c>
      <c r="I5413" s="22">
        <v>2022.0</v>
      </c>
      <c r="J5413" s="16" t="str">
        <f>IFERROR(__xludf.DUMMYFUNCTION("FILTER('CLASFICACIÓN'!$F$3:$F5618,'CLASFICACIÓN'!$G$3:$G5618=M5413)"),"SOLO LINEA BASE")</f>
        <v>SOLO LINEA BASE</v>
      </c>
      <c r="K5413" s="16"/>
      <c r="L5413" s="14" t="s">
        <v>198</v>
      </c>
      <c r="M5413" s="16" t="str">
        <f t="shared" si="1"/>
        <v>ALMIRANTE MIGUEL GRAU SEMINARIO5 Secundaria</v>
      </c>
      <c r="N5413" s="23"/>
      <c r="O5413" s="17"/>
      <c r="P5413" s="17"/>
      <c r="Q5413" s="17"/>
      <c r="R5413" s="17"/>
      <c r="S5413" s="17"/>
      <c r="T5413" s="17"/>
    </row>
    <row r="5414">
      <c r="A5414" s="21">
        <v>1542.0</v>
      </c>
      <c r="B5414" s="14" t="s">
        <v>90</v>
      </c>
      <c r="C5414" s="14" t="s">
        <v>27</v>
      </c>
      <c r="D5414" s="20" t="s">
        <v>201</v>
      </c>
      <c r="E5414" s="12" t="str">
        <f>IFERROR(__xludf.DUMMYFUNCTION("FILTER(colegios!$B$2:$B5618,colegios!$A$2:$A5618=L5414)"),"ALMIRANTE MIGUEL GRAU SEMINARIO")</f>
        <v>ALMIRANTE MIGUEL GRAU SEMINARIO</v>
      </c>
      <c r="F5414" s="14" t="s">
        <v>16</v>
      </c>
      <c r="G5414" s="20" t="s">
        <v>21</v>
      </c>
      <c r="H5414" s="14" t="s">
        <v>18</v>
      </c>
      <c r="I5414" s="22">
        <v>2022.0</v>
      </c>
      <c r="J5414" s="16" t="str">
        <f>IFERROR(__xludf.DUMMYFUNCTION("FILTER('CLASFICACIÓN'!$F$3:$F5618,'CLASFICACIÓN'!$G$3:$G5618=M5414)"),"SOLO LINEA BASE")</f>
        <v>SOLO LINEA BASE</v>
      </c>
      <c r="K5414" s="16"/>
      <c r="L5414" s="14" t="s">
        <v>198</v>
      </c>
      <c r="M5414" s="16" t="str">
        <f t="shared" si="1"/>
        <v>ALMIRANTE MIGUEL GRAU SEMINARIO5 Secundaria</v>
      </c>
      <c r="N5414" s="23"/>
      <c r="O5414" s="17"/>
      <c r="P5414" s="17"/>
      <c r="Q5414" s="17"/>
      <c r="R5414" s="17"/>
      <c r="S5414" s="17"/>
      <c r="T5414" s="17"/>
    </row>
    <row r="5415">
      <c r="A5415" s="21">
        <v>1543.0</v>
      </c>
      <c r="B5415" s="14" t="s">
        <v>90</v>
      </c>
      <c r="C5415" s="14" t="s">
        <v>27</v>
      </c>
      <c r="D5415" s="20" t="s">
        <v>201</v>
      </c>
      <c r="E5415" s="12" t="str">
        <f>IFERROR(__xludf.DUMMYFUNCTION("FILTER(colegios!$B$2:$B5618,colegios!$A$2:$A5618=L5415)"),"ALMIRANTE MIGUEL GRAU SEMINARIO")</f>
        <v>ALMIRANTE MIGUEL GRAU SEMINARIO</v>
      </c>
      <c r="F5415" s="14" t="s">
        <v>16</v>
      </c>
      <c r="G5415" s="20" t="s">
        <v>21</v>
      </c>
      <c r="H5415" s="14" t="s">
        <v>18</v>
      </c>
      <c r="I5415" s="22">
        <v>2022.0</v>
      </c>
      <c r="J5415" s="16" t="str">
        <f>IFERROR(__xludf.DUMMYFUNCTION("FILTER('CLASFICACIÓN'!$F$3:$F5618,'CLASFICACIÓN'!$G$3:$G5618=M5415)"),"SOLO LINEA BASE")</f>
        <v>SOLO LINEA BASE</v>
      </c>
      <c r="K5415" s="16"/>
      <c r="L5415" s="14" t="s">
        <v>198</v>
      </c>
      <c r="M5415" s="16" t="str">
        <f t="shared" si="1"/>
        <v>ALMIRANTE MIGUEL GRAU SEMINARIO5 Secundaria</v>
      </c>
      <c r="N5415" s="23"/>
      <c r="O5415" s="17"/>
      <c r="P5415" s="17"/>
      <c r="Q5415" s="17"/>
      <c r="R5415" s="17"/>
      <c r="S5415" s="17"/>
      <c r="T5415" s="17"/>
    </row>
    <row r="5416">
      <c r="A5416" s="21">
        <v>1544.0</v>
      </c>
      <c r="B5416" s="14" t="s">
        <v>90</v>
      </c>
      <c r="C5416" s="14" t="s">
        <v>27</v>
      </c>
      <c r="D5416" s="20" t="s">
        <v>201</v>
      </c>
      <c r="E5416" s="12" t="str">
        <f>IFERROR(__xludf.DUMMYFUNCTION("FILTER(colegios!$B$2:$B5618,colegios!$A$2:$A5618=L5416)"),"ALMIRANTE MIGUEL GRAU SEMINARIO")</f>
        <v>ALMIRANTE MIGUEL GRAU SEMINARIO</v>
      </c>
      <c r="F5416" s="14" t="s">
        <v>16</v>
      </c>
      <c r="G5416" s="20" t="s">
        <v>21</v>
      </c>
      <c r="H5416" s="14" t="s">
        <v>18</v>
      </c>
      <c r="I5416" s="22">
        <v>2022.0</v>
      </c>
      <c r="J5416" s="16" t="str">
        <f>IFERROR(__xludf.DUMMYFUNCTION("FILTER('CLASFICACIÓN'!$F$3:$F5618,'CLASFICACIÓN'!$G$3:$G5618=M5416)"),"SOLO LINEA BASE")</f>
        <v>SOLO LINEA BASE</v>
      </c>
      <c r="K5416" s="16"/>
      <c r="L5416" s="14" t="s">
        <v>198</v>
      </c>
      <c r="M5416" s="16" t="str">
        <f t="shared" si="1"/>
        <v>ALMIRANTE MIGUEL GRAU SEMINARIO5 Secundaria</v>
      </c>
      <c r="N5416" s="23"/>
      <c r="O5416" s="17"/>
      <c r="P5416" s="17"/>
      <c r="Q5416" s="17"/>
      <c r="R5416" s="17"/>
      <c r="S5416" s="17"/>
      <c r="T5416" s="17"/>
    </row>
    <row r="5417">
      <c r="A5417" s="21">
        <v>1545.0</v>
      </c>
      <c r="B5417" s="14" t="s">
        <v>90</v>
      </c>
      <c r="C5417" s="14" t="s">
        <v>27</v>
      </c>
      <c r="D5417" s="20" t="s">
        <v>201</v>
      </c>
      <c r="E5417" s="12" t="str">
        <f>IFERROR(__xludf.DUMMYFUNCTION("FILTER(colegios!$B$2:$B5618,colegios!$A$2:$A5618=L5417)"),"ALMIRANTE MIGUEL GRAU SEMINARIO")</f>
        <v>ALMIRANTE MIGUEL GRAU SEMINARIO</v>
      </c>
      <c r="F5417" s="14" t="s">
        <v>16</v>
      </c>
      <c r="G5417" s="20" t="s">
        <v>17</v>
      </c>
      <c r="H5417" s="14" t="s">
        <v>18</v>
      </c>
      <c r="I5417" s="22">
        <v>2022.0</v>
      </c>
      <c r="J5417" s="16" t="str">
        <f>IFERROR(__xludf.DUMMYFUNCTION("FILTER('CLASFICACIÓN'!$F$3:$F5618,'CLASFICACIÓN'!$G$3:$G5618=M5417)"),"SOLO LINEA BASE")</f>
        <v>SOLO LINEA BASE</v>
      </c>
      <c r="K5417" s="16"/>
      <c r="L5417" s="14" t="s">
        <v>198</v>
      </c>
      <c r="M5417" s="16" t="str">
        <f t="shared" si="1"/>
        <v>ALMIRANTE MIGUEL GRAU SEMINARIO5 Secundaria</v>
      </c>
      <c r="N5417" s="23"/>
      <c r="O5417" s="17"/>
      <c r="P5417" s="17"/>
      <c r="Q5417" s="17"/>
      <c r="R5417" s="17"/>
      <c r="S5417" s="17"/>
      <c r="T5417" s="17"/>
    </row>
    <row r="5418">
      <c r="A5418" s="21">
        <v>1546.0</v>
      </c>
      <c r="B5418" s="14" t="s">
        <v>90</v>
      </c>
      <c r="C5418" s="14" t="s">
        <v>27</v>
      </c>
      <c r="D5418" s="20" t="s">
        <v>201</v>
      </c>
      <c r="E5418" s="12" t="str">
        <f>IFERROR(__xludf.DUMMYFUNCTION("FILTER(colegios!$B$2:$B5618,colegios!$A$2:$A5618=L5418)"),"ALMIRANTE MIGUEL GRAU SEMINARIO")</f>
        <v>ALMIRANTE MIGUEL GRAU SEMINARIO</v>
      </c>
      <c r="F5418" s="14" t="s">
        <v>16</v>
      </c>
      <c r="G5418" s="20" t="s">
        <v>21</v>
      </c>
      <c r="H5418" s="14" t="s">
        <v>18</v>
      </c>
      <c r="I5418" s="22">
        <v>2022.0</v>
      </c>
      <c r="J5418" s="16" t="str">
        <f>IFERROR(__xludf.DUMMYFUNCTION("FILTER('CLASFICACIÓN'!$F$3:$F5618,'CLASFICACIÓN'!$G$3:$G5618=M5418)"),"SOLO LINEA BASE")</f>
        <v>SOLO LINEA BASE</v>
      </c>
      <c r="K5418" s="16"/>
      <c r="L5418" s="14" t="s">
        <v>198</v>
      </c>
      <c r="M5418" s="16" t="str">
        <f t="shared" si="1"/>
        <v>ALMIRANTE MIGUEL GRAU SEMINARIO5 Secundaria</v>
      </c>
      <c r="N5418" s="23"/>
      <c r="O5418" s="17"/>
      <c r="P5418" s="17"/>
      <c r="Q5418" s="17"/>
      <c r="R5418" s="17"/>
      <c r="S5418" s="17"/>
      <c r="T5418" s="17"/>
    </row>
    <row r="5419">
      <c r="A5419" s="21">
        <v>1547.0</v>
      </c>
      <c r="B5419" s="14" t="s">
        <v>90</v>
      </c>
      <c r="C5419" s="14" t="s">
        <v>27</v>
      </c>
      <c r="D5419" s="20" t="s">
        <v>201</v>
      </c>
      <c r="E5419" s="12" t="str">
        <f>IFERROR(__xludf.DUMMYFUNCTION("FILTER(colegios!$B$2:$B5618,colegios!$A$2:$A5618=L5419)"),"ALMIRANTE MIGUEL GRAU SEMINARIO")</f>
        <v>ALMIRANTE MIGUEL GRAU SEMINARIO</v>
      </c>
      <c r="F5419" s="14" t="s">
        <v>16</v>
      </c>
      <c r="G5419" s="20" t="s">
        <v>17</v>
      </c>
      <c r="H5419" s="14" t="s">
        <v>18</v>
      </c>
      <c r="I5419" s="22">
        <v>2022.0</v>
      </c>
      <c r="J5419" s="16" t="str">
        <f>IFERROR(__xludf.DUMMYFUNCTION("FILTER('CLASFICACIÓN'!$F$3:$F5618,'CLASFICACIÓN'!$G$3:$G5618=M5419)"),"SOLO LINEA BASE")</f>
        <v>SOLO LINEA BASE</v>
      </c>
      <c r="K5419" s="16"/>
      <c r="L5419" s="14" t="s">
        <v>198</v>
      </c>
      <c r="M5419" s="16" t="str">
        <f t="shared" si="1"/>
        <v>ALMIRANTE MIGUEL GRAU SEMINARIO5 Secundaria</v>
      </c>
      <c r="N5419" s="23"/>
      <c r="O5419" s="17"/>
      <c r="P5419" s="17"/>
      <c r="Q5419" s="17"/>
      <c r="R5419" s="17"/>
      <c r="S5419" s="17"/>
      <c r="T5419" s="17"/>
    </row>
    <row r="5420">
      <c r="A5420" s="21">
        <v>1548.0</v>
      </c>
      <c r="B5420" s="14" t="s">
        <v>90</v>
      </c>
      <c r="C5420" s="14" t="s">
        <v>27</v>
      </c>
      <c r="D5420" s="20" t="s">
        <v>201</v>
      </c>
      <c r="E5420" s="12" t="str">
        <f>IFERROR(__xludf.DUMMYFUNCTION("FILTER(colegios!$B$2:$B5618,colegios!$A$2:$A5618=L5420)"),"ALMIRANTE MIGUEL GRAU SEMINARIO")</f>
        <v>ALMIRANTE MIGUEL GRAU SEMINARIO</v>
      </c>
      <c r="F5420" s="14" t="s">
        <v>16</v>
      </c>
      <c r="G5420" s="20" t="s">
        <v>17</v>
      </c>
      <c r="H5420" s="14" t="s">
        <v>18</v>
      </c>
      <c r="I5420" s="22">
        <v>2022.0</v>
      </c>
      <c r="J5420" s="16" t="str">
        <f>IFERROR(__xludf.DUMMYFUNCTION("FILTER('CLASFICACIÓN'!$F$3:$F5618,'CLASFICACIÓN'!$G$3:$G5618=M5420)"),"SOLO LINEA BASE")</f>
        <v>SOLO LINEA BASE</v>
      </c>
      <c r="K5420" s="16"/>
      <c r="L5420" s="14" t="s">
        <v>198</v>
      </c>
      <c r="M5420" s="16" t="str">
        <f t="shared" si="1"/>
        <v>ALMIRANTE MIGUEL GRAU SEMINARIO5 Secundaria</v>
      </c>
      <c r="N5420" s="23"/>
      <c r="O5420" s="17"/>
      <c r="P5420" s="17"/>
      <c r="Q5420" s="17"/>
      <c r="R5420" s="17"/>
      <c r="S5420" s="17"/>
      <c r="T5420" s="17"/>
    </row>
    <row r="5421">
      <c r="A5421" s="21">
        <v>1549.0</v>
      </c>
      <c r="B5421" s="14" t="s">
        <v>90</v>
      </c>
      <c r="C5421" s="14" t="s">
        <v>27</v>
      </c>
      <c r="D5421" s="20" t="s">
        <v>201</v>
      </c>
      <c r="E5421" s="12" t="str">
        <f>IFERROR(__xludf.DUMMYFUNCTION("FILTER(colegios!$B$2:$B5618,colegios!$A$2:$A5618=L5421)"),"ALMIRANTE MIGUEL GRAU SEMINARIO")</f>
        <v>ALMIRANTE MIGUEL GRAU SEMINARIO</v>
      </c>
      <c r="F5421" s="14" t="s">
        <v>16</v>
      </c>
      <c r="G5421" s="20" t="s">
        <v>17</v>
      </c>
      <c r="H5421" s="14" t="s">
        <v>18</v>
      </c>
      <c r="I5421" s="22">
        <v>2022.0</v>
      </c>
      <c r="J5421" s="16" t="str">
        <f>IFERROR(__xludf.DUMMYFUNCTION("FILTER('CLASFICACIÓN'!$F$3:$F5618,'CLASFICACIÓN'!$G$3:$G5618=M5421)"),"SOLO LINEA BASE")</f>
        <v>SOLO LINEA BASE</v>
      </c>
      <c r="K5421" s="16"/>
      <c r="L5421" s="14" t="s">
        <v>198</v>
      </c>
      <c r="M5421" s="16" t="str">
        <f t="shared" si="1"/>
        <v>ALMIRANTE MIGUEL GRAU SEMINARIO5 Secundaria</v>
      </c>
      <c r="N5421" s="23"/>
      <c r="O5421" s="17"/>
      <c r="P5421" s="17"/>
      <c r="Q5421" s="17"/>
      <c r="R5421" s="17"/>
      <c r="S5421" s="17"/>
      <c r="T5421" s="17"/>
    </row>
    <row r="5422">
      <c r="A5422" s="21">
        <v>1550.0</v>
      </c>
      <c r="B5422" s="14" t="s">
        <v>90</v>
      </c>
      <c r="C5422" s="14" t="s">
        <v>27</v>
      </c>
      <c r="D5422" s="20" t="s">
        <v>201</v>
      </c>
      <c r="E5422" s="12" t="str">
        <f>IFERROR(__xludf.DUMMYFUNCTION("FILTER(colegios!$B$2:$B5618,colegios!$A$2:$A5618=L5422)"),"ALMIRANTE MIGUEL GRAU SEMINARIO")</f>
        <v>ALMIRANTE MIGUEL GRAU SEMINARIO</v>
      </c>
      <c r="F5422" s="14" t="s">
        <v>16</v>
      </c>
      <c r="G5422" s="20" t="s">
        <v>17</v>
      </c>
      <c r="H5422" s="14" t="s">
        <v>18</v>
      </c>
      <c r="I5422" s="22">
        <v>2022.0</v>
      </c>
      <c r="J5422" s="16" t="str">
        <f>IFERROR(__xludf.DUMMYFUNCTION("FILTER('CLASFICACIÓN'!$F$3:$F5618,'CLASFICACIÓN'!$G$3:$G5618=M5422)"),"SOLO LINEA BASE")</f>
        <v>SOLO LINEA BASE</v>
      </c>
      <c r="K5422" s="16"/>
      <c r="L5422" s="14" t="s">
        <v>198</v>
      </c>
      <c r="M5422" s="16" t="str">
        <f t="shared" si="1"/>
        <v>ALMIRANTE MIGUEL GRAU SEMINARIO5 Secundaria</v>
      </c>
      <c r="N5422" s="23"/>
      <c r="O5422" s="17"/>
      <c r="P5422" s="17"/>
      <c r="Q5422" s="17"/>
      <c r="R5422" s="17"/>
      <c r="S5422" s="17"/>
      <c r="T5422" s="17"/>
    </row>
    <row r="5423">
      <c r="A5423" s="21">
        <v>1551.0</v>
      </c>
      <c r="B5423" s="14" t="s">
        <v>90</v>
      </c>
      <c r="C5423" s="14" t="s">
        <v>27</v>
      </c>
      <c r="D5423" s="20" t="s">
        <v>201</v>
      </c>
      <c r="E5423" s="12" t="str">
        <f>IFERROR(__xludf.DUMMYFUNCTION("FILTER(colegios!$B$2:$B5618,colegios!$A$2:$A5618=L5423)"),"ALMIRANTE MIGUEL GRAU SEMINARIO")</f>
        <v>ALMIRANTE MIGUEL GRAU SEMINARIO</v>
      </c>
      <c r="F5423" s="14" t="s">
        <v>16</v>
      </c>
      <c r="G5423" s="20" t="s">
        <v>21</v>
      </c>
      <c r="H5423" s="14" t="s">
        <v>18</v>
      </c>
      <c r="I5423" s="22">
        <v>2022.0</v>
      </c>
      <c r="J5423" s="16" t="str">
        <f>IFERROR(__xludf.DUMMYFUNCTION("FILTER('CLASFICACIÓN'!$F$3:$F5618,'CLASFICACIÓN'!$G$3:$G5618=M5423)"),"SOLO LINEA BASE")</f>
        <v>SOLO LINEA BASE</v>
      </c>
      <c r="K5423" s="16"/>
      <c r="L5423" s="14" t="s">
        <v>198</v>
      </c>
      <c r="M5423" s="16" t="str">
        <f t="shared" si="1"/>
        <v>ALMIRANTE MIGUEL GRAU SEMINARIO5 Secundaria</v>
      </c>
      <c r="N5423" s="23"/>
      <c r="O5423" s="17"/>
      <c r="P5423" s="17"/>
      <c r="Q5423" s="17"/>
      <c r="R5423" s="17"/>
      <c r="S5423" s="17"/>
      <c r="T5423" s="17"/>
    </row>
    <row r="5424">
      <c r="A5424" s="21">
        <v>1552.0</v>
      </c>
      <c r="B5424" s="14" t="s">
        <v>90</v>
      </c>
      <c r="C5424" s="14" t="s">
        <v>27</v>
      </c>
      <c r="D5424" s="20" t="s">
        <v>201</v>
      </c>
      <c r="E5424" s="12" t="str">
        <f>IFERROR(__xludf.DUMMYFUNCTION("FILTER(colegios!$B$2:$B5618,colegios!$A$2:$A5618=L5424)"),"ALMIRANTE MIGUEL GRAU SEMINARIO")</f>
        <v>ALMIRANTE MIGUEL GRAU SEMINARIO</v>
      </c>
      <c r="F5424" s="14" t="s">
        <v>16</v>
      </c>
      <c r="G5424" s="20" t="s">
        <v>17</v>
      </c>
      <c r="H5424" s="14" t="s">
        <v>18</v>
      </c>
      <c r="I5424" s="22">
        <v>2022.0</v>
      </c>
      <c r="J5424" s="16" t="str">
        <f>IFERROR(__xludf.DUMMYFUNCTION("FILTER('CLASFICACIÓN'!$F$3:$F5618,'CLASFICACIÓN'!$G$3:$G5618=M5424)"),"SOLO LINEA BASE")</f>
        <v>SOLO LINEA BASE</v>
      </c>
      <c r="K5424" s="16"/>
      <c r="L5424" s="14" t="s">
        <v>198</v>
      </c>
      <c r="M5424" s="16" t="str">
        <f t="shared" si="1"/>
        <v>ALMIRANTE MIGUEL GRAU SEMINARIO5 Secundaria</v>
      </c>
      <c r="N5424" s="23"/>
      <c r="O5424" s="17"/>
      <c r="P5424" s="17"/>
      <c r="Q5424" s="17"/>
      <c r="R5424" s="17"/>
      <c r="S5424" s="17"/>
      <c r="T5424" s="17"/>
    </row>
    <row r="5425">
      <c r="A5425" s="21">
        <v>1553.0</v>
      </c>
      <c r="B5425" s="14" t="s">
        <v>90</v>
      </c>
      <c r="C5425" s="14" t="s">
        <v>27</v>
      </c>
      <c r="D5425" s="20" t="s">
        <v>201</v>
      </c>
      <c r="E5425" s="12" t="str">
        <f>IFERROR(__xludf.DUMMYFUNCTION("FILTER(colegios!$B$2:$B5618,colegios!$A$2:$A5618=L5425)"),"ALMIRANTE MIGUEL GRAU SEMINARIO")</f>
        <v>ALMIRANTE MIGUEL GRAU SEMINARIO</v>
      </c>
      <c r="F5425" s="14" t="s">
        <v>16</v>
      </c>
      <c r="G5425" s="20" t="s">
        <v>17</v>
      </c>
      <c r="H5425" s="14" t="s">
        <v>18</v>
      </c>
      <c r="I5425" s="22">
        <v>2022.0</v>
      </c>
      <c r="J5425" s="16" t="str">
        <f>IFERROR(__xludf.DUMMYFUNCTION("FILTER('CLASFICACIÓN'!$F$3:$F5618,'CLASFICACIÓN'!$G$3:$G5618=M5425)"),"SOLO LINEA BASE")</f>
        <v>SOLO LINEA BASE</v>
      </c>
      <c r="K5425" s="16"/>
      <c r="L5425" s="14" t="s">
        <v>198</v>
      </c>
      <c r="M5425" s="16" t="str">
        <f t="shared" si="1"/>
        <v>ALMIRANTE MIGUEL GRAU SEMINARIO5 Secundaria</v>
      </c>
      <c r="N5425" s="23"/>
      <c r="O5425" s="17"/>
      <c r="P5425" s="17"/>
      <c r="Q5425" s="17"/>
      <c r="R5425" s="17"/>
      <c r="S5425" s="17"/>
      <c r="T5425" s="17"/>
    </row>
    <row r="5426">
      <c r="A5426" s="21">
        <v>1554.0</v>
      </c>
      <c r="B5426" s="14" t="s">
        <v>90</v>
      </c>
      <c r="C5426" s="14" t="s">
        <v>27</v>
      </c>
      <c r="D5426" s="20" t="s">
        <v>201</v>
      </c>
      <c r="E5426" s="12" t="str">
        <f>IFERROR(__xludf.DUMMYFUNCTION("FILTER(colegios!$B$2:$B5618,colegios!$A$2:$A5618=L5426)"),"ALMIRANTE MIGUEL GRAU SEMINARIO")</f>
        <v>ALMIRANTE MIGUEL GRAU SEMINARIO</v>
      </c>
      <c r="F5426" s="14" t="s">
        <v>16</v>
      </c>
      <c r="G5426" s="20" t="s">
        <v>17</v>
      </c>
      <c r="H5426" s="14" t="s">
        <v>18</v>
      </c>
      <c r="I5426" s="22">
        <v>2022.0</v>
      </c>
      <c r="J5426" s="16" t="str">
        <f>IFERROR(__xludf.DUMMYFUNCTION("FILTER('CLASFICACIÓN'!$F$3:$F5618,'CLASFICACIÓN'!$G$3:$G5618=M5426)"),"SOLO LINEA BASE")</f>
        <v>SOLO LINEA BASE</v>
      </c>
      <c r="K5426" s="16"/>
      <c r="L5426" s="14" t="s">
        <v>198</v>
      </c>
      <c r="M5426" s="16" t="str">
        <f t="shared" si="1"/>
        <v>ALMIRANTE MIGUEL GRAU SEMINARIO5 Secundaria</v>
      </c>
      <c r="N5426" s="23"/>
      <c r="O5426" s="17"/>
      <c r="P5426" s="17"/>
      <c r="Q5426" s="17"/>
      <c r="R5426" s="17"/>
      <c r="S5426" s="17"/>
      <c r="T5426" s="17"/>
    </row>
    <row r="5427">
      <c r="A5427" s="21">
        <v>1555.0</v>
      </c>
      <c r="B5427" s="14" t="s">
        <v>90</v>
      </c>
      <c r="C5427" s="14" t="s">
        <v>27</v>
      </c>
      <c r="D5427" s="20" t="s">
        <v>201</v>
      </c>
      <c r="E5427" s="12" t="str">
        <f>IFERROR(__xludf.DUMMYFUNCTION("FILTER(colegios!$B$2:$B5618,colegios!$A$2:$A5618=L5427)"),"ALMIRANTE MIGUEL GRAU SEMINARIO")</f>
        <v>ALMIRANTE MIGUEL GRAU SEMINARIO</v>
      </c>
      <c r="F5427" s="14" t="s">
        <v>16</v>
      </c>
      <c r="G5427" s="20" t="s">
        <v>21</v>
      </c>
      <c r="H5427" s="14" t="s">
        <v>18</v>
      </c>
      <c r="I5427" s="22">
        <v>2022.0</v>
      </c>
      <c r="J5427" s="16" t="str">
        <f>IFERROR(__xludf.DUMMYFUNCTION("FILTER('CLASFICACIÓN'!$F$3:$F5618,'CLASFICACIÓN'!$G$3:$G5618=M5427)"),"SOLO LINEA BASE")</f>
        <v>SOLO LINEA BASE</v>
      </c>
      <c r="K5427" s="16"/>
      <c r="L5427" s="14" t="s">
        <v>198</v>
      </c>
      <c r="M5427" s="16" t="str">
        <f t="shared" si="1"/>
        <v>ALMIRANTE MIGUEL GRAU SEMINARIO5 Secundaria</v>
      </c>
      <c r="N5427" s="23"/>
      <c r="O5427" s="17"/>
      <c r="P5427" s="17"/>
      <c r="Q5427" s="17"/>
      <c r="R5427" s="17"/>
      <c r="S5427" s="17"/>
      <c r="T5427" s="17"/>
    </row>
    <row r="5428">
      <c r="A5428" s="21">
        <v>1556.0</v>
      </c>
      <c r="B5428" s="14" t="s">
        <v>90</v>
      </c>
      <c r="C5428" s="14" t="s">
        <v>27</v>
      </c>
      <c r="D5428" s="20" t="s">
        <v>201</v>
      </c>
      <c r="E5428" s="12" t="str">
        <f>IFERROR(__xludf.DUMMYFUNCTION("FILTER(colegios!$B$2:$B5618,colegios!$A$2:$A5618=L5428)"),"ALMIRANTE MIGUEL GRAU SEMINARIO")</f>
        <v>ALMIRANTE MIGUEL GRAU SEMINARIO</v>
      </c>
      <c r="F5428" s="14" t="s">
        <v>16</v>
      </c>
      <c r="G5428" s="20" t="s">
        <v>17</v>
      </c>
      <c r="H5428" s="14" t="s">
        <v>18</v>
      </c>
      <c r="I5428" s="22">
        <v>2022.0</v>
      </c>
      <c r="J5428" s="16" t="str">
        <f>IFERROR(__xludf.DUMMYFUNCTION("FILTER('CLASFICACIÓN'!$F$3:$F5618,'CLASFICACIÓN'!$G$3:$G5618=M5428)"),"SOLO LINEA BASE")</f>
        <v>SOLO LINEA BASE</v>
      </c>
      <c r="K5428" s="16"/>
      <c r="L5428" s="14" t="s">
        <v>198</v>
      </c>
      <c r="M5428" s="16" t="str">
        <f t="shared" si="1"/>
        <v>ALMIRANTE MIGUEL GRAU SEMINARIO5 Secundaria</v>
      </c>
      <c r="N5428" s="23"/>
      <c r="O5428" s="17"/>
      <c r="P5428" s="17"/>
      <c r="Q5428" s="17"/>
      <c r="R5428" s="17"/>
      <c r="S5428" s="17"/>
      <c r="T5428" s="17"/>
    </row>
    <row r="5429">
      <c r="A5429" s="21">
        <v>1557.0</v>
      </c>
      <c r="B5429" s="14" t="s">
        <v>90</v>
      </c>
      <c r="C5429" s="14" t="s">
        <v>27</v>
      </c>
      <c r="D5429" s="20" t="s">
        <v>201</v>
      </c>
      <c r="E5429" s="12" t="str">
        <f>IFERROR(__xludf.DUMMYFUNCTION("FILTER(colegios!$B$2:$B5618,colegios!$A$2:$A5618=L5429)"),"ALMIRANTE MIGUEL GRAU SEMINARIO")</f>
        <v>ALMIRANTE MIGUEL GRAU SEMINARIO</v>
      </c>
      <c r="F5429" s="14" t="s">
        <v>16</v>
      </c>
      <c r="G5429" s="20" t="s">
        <v>21</v>
      </c>
      <c r="H5429" s="14" t="s">
        <v>18</v>
      </c>
      <c r="I5429" s="22">
        <v>2022.0</v>
      </c>
      <c r="J5429" s="16" t="str">
        <f>IFERROR(__xludf.DUMMYFUNCTION("FILTER('CLASFICACIÓN'!$F$3:$F5618,'CLASFICACIÓN'!$G$3:$G5618=M5429)"),"SOLO LINEA BASE")</f>
        <v>SOLO LINEA BASE</v>
      </c>
      <c r="K5429" s="16"/>
      <c r="L5429" s="14" t="s">
        <v>198</v>
      </c>
      <c r="M5429" s="16" t="str">
        <f t="shared" si="1"/>
        <v>ALMIRANTE MIGUEL GRAU SEMINARIO5 Secundaria</v>
      </c>
      <c r="N5429" s="23"/>
      <c r="O5429" s="17"/>
      <c r="P5429" s="17"/>
      <c r="Q5429" s="17"/>
      <c r="R5429" s="17"/>
      <c r="S5429" s="17"/>
      <c r="T5429" s="17"/>
    </row>
    <row r="5430">
      <c r="A5430" s="21">
        <v>1558.0</v>
      </c>
      <c r="B5430" s="14" t="s">
        <v>90</v>
      </c>
      <c r="C5430" s="14" t="s">
        <v>27</v>
      </c>
      <c r="D5430" s="20" t="s">
        <v>201</v>
      </c>
      <c r="E5430" s="12" t="str">
        <f>IFERROR(__xludf.DUMMYFUNCTION("FILTER(colegios!$B$2:$B5618,colegios!$A$2:$A5618=L5430)"),"ALMIRANTE MIGUEL GRAU SEMINARIO")</f>
        <v>ALMIRANTE MIGUEL GRAU SEMINARIO</v>
      </c>
      <c r="F5430" s="14" t="s">
        <v>16</v>
      </c>
      <c r="G5430" s="20" t="s">
        <v>21</v>
      </c>
      <c r="H5430" s="14" t="s">
        <v>24</v>
      </c>
      <c r="I5430" s="22">
        <v>2022.0</v>
      </c>
      <c r="J5430" s="16" t="str">
        <f>IFERROR(__xludf.DUMMYFUNCTION("FILTER('CLASFICACIÓN'!$F$3:$F5618,'CLASFICACIÓN'!$G$3:$G5618=M5430)"),"SOLO LINEA BASE")</f>
        <v>SOLO LINEA BASE</v>
      </c>
      <c r="K5430" s="16"/>
      <c r="L5430" s="14" t="s">
        <v>198</v>
      </c>
      <c r="M5430" s="16" t="str">
        <f t="shared" si="1"/>
        <v>ALMIRANTE MIGUEL GRAU SEMINARIO5 Secundaria</v>
      </c>
      <c r="N5430" s="23"/>
      <c r="O5430" s="17"/>
      <c r="P5430" s="17"/>
      <c r="Q5430" s="17"/>
      <c r="R5430" s="17"/>
      <c r="S5430" s="17"/>
      <c r="T5430" s="17"/>
    </row>
    <row r="5431">
      <c r="A5431" s="21">
        <v>1559.0</v>
      </c>
      <c r="B5431" s="14" t="s">
        <v>90</v>
      </c>
      <c r="C5431" s="14" t="s">
        <v>27</v>
      </c>
      <c r="D5431" s="20" t="s">
        <v>201</v>
      </c>
      <c r="E5431" s="12" t="str">
        <f>IFERROR(__xludf.DUMMYFUNCTION("FILTER(colegios!$B$2:$B5618,colegios!$A$2:$A5618=L5431)"),"ALMIRANTE MIGUEL GRAU SEMINARIO")</f>
        <v>ALMIRANTE MIGUEL GRAU SEMINARIO</v>
      </c>
      <c r="F5431" s="14" t="s">
        <v>16</v>
      </c>
      <c r="G5431" s="20" t="s">
        <v>17</v>
      </c>
      <c r="H5431" s="14" t="s">
        <v>24</v>
      </c>
      <c r="I5431" s="22">
        <v>2022.0</v>
      </c>
      <c r="J5431" s="16" t="str">
        <f>IFERROR(__xludf.DUMMYFUNCTION("FILTER('CLASFICACIÓN'!$F$3:$F5618,'CLASFICACIÓN'!$G$3:$G5618=M5431)"),"SOLO LINEA BASE")</f>
        <v>SOLO LINEA BASE</v>
      </c>
      <c r="K5431" s="16"/>
      <c r="L5431" s="14" t="s">
        <v>198</v>
      </c>
      <c r="M5431" s="16" t="str">
        <f t="shared" si="1"/>
        <v>ALMIRANTE MIGUEL GRAU SEMINARIO5 Secundaria</v>
      </c>
      <c r="N5431" s="23"/>
      <c r="O5431" s="17"/>
      <c r="P5431" s="17"/>
      <c r="Q5431" s="17"/>
      <c r="R5431" s="17"/>
      <c r="S5431" s="17"/>
      <c r="T5431" s="17"/>
    </row>
    <row r="5432">
      <c r="A5432" s="21">
        <v>1560.0</v>
      </c>
      <c r="B5432" s="14" t="s">
        <v>90</v>
      </c>
      <c r="C5432" s="14" t="s">
        <v>27</v>
      </c>
      <c r="D5432" s="20" t="s">
        <v>201</v>
      </c>
      <c r="E5432" s="12" t="str">
        <f>IFERROR(__xludf.DUMMYFUNCTION("FILTER(colegios!$B$2:$B5618,colegios!$A$2:$A5618=L5432)"),"ALMIRANTE MIGUEL GRAU SEMINARIO")</f>
        <v>ALMIRANTE MIGUEL GRAU SEMINARIO</v>
      </c>
      <c r="F5432" s="14" t="s">
        <v>16</v>
      </c>
      <c r="G5432" s="20" t="s">
        <v>21</v>
      </c>
      <c r="H5432" s="14" t="s">
        <v>24</v>
      </c>
      <c r="I5432" s="22">
        <v>2022.0</v>
      </c>
      <c r="J5432" s="16" t="str">
        <f>IFERROR(__xludf.DUMMYFUNCTION("FILTER('CLASFICACIÓN'!$F$3:$F5618,'CLASFICACIÓN'!$G$3:$G5618=M5432)"),"SOLO LINEA BASE")</f>
        <v>SOLO LINEA BASE</v>
      </c>
      <c r="K5432" s="16"/>
      <c r="L5432" s="14" t="s">
        <v>198</v>
      </c>
      <c r="M5432" s="16" t="str">
        <f t="shared" si="1"/>
        <v>ALMIRANTE MIGUEL GRAU SEMINARIO5 Secundaria</v>
      </c>
      <c r="N5432" s="23"/>
      <c r="O5432" s="17"/>
      <c r="P5432" s="17"/>
      <c r="Q5432" s="17"/>
      <c r="R5432" s="17"/>
      <c r="S5432" s="17"/>
      <c r="T5432" s="17"/>
    </row>
    <row r="5433">
      <c r="A5433" s="21">
        <v>1561.0</v>
      </c>
      <c r="B5433" s="14" t="s">
        <v>90</v>
      </c>
      <c r="C5433" s="14" t="s">
        <v>27</v>
      </c>
      <c r="D5433" s="20" t="s">
        <v>201</v>
      </c>
      <c r="E5433" s="12" t="str">
        <f>IFERROR(__xludf.DUMMYFUNCTION("FILTER(colegios!$B$2:$B5618,colegios!$A$2:$A5618=L5433)"),"1457365 LOS RIT'S DEL ALTO ANDINO")</f>
        <v>1457365 LOS RIT'S DEL ALTO ANDINO</v>
      </c>
      <c r="F5433" s="14" t="s">
        <v>16</v>
      </c>
      <c r="G5433" s="20" t="s">
        <v>21</v>
      </c>
      <c r="H5433" s="14" t="s">
        <v>18</v>
      </c>
      <c r="I5433" s="22">
        <v>2022.0</v>
      </c>
      <c r="J5433" s="16" t="str">
        <f>IFERROR(__xludf.DUMMYFUNCTION("FILTER('CLASFICACIÓN'!$F$3:$F5618,'CLASFICACIÓN'!$G$3:$G5618=M5433)"),"SOLO LINEA BASE")</f>
        <v>SOLO LINEA BASE</v>
      </c>
      <c r="K5433" s="16"/>
      <c r="L5433" s="14" t="s">
        <v>199</v>
      </c>
      <c r="M5433" s="16" t="str">
        <f t="shared" si="1"/>
        <v>1457365 LOS RIT'S DEL ALTO ANDINO5 Secundaria</v>
      </c>
      <c r="N5433" s="23"/>
      <c r="O5433" s="17"/>
      <c r="P5433" s="17"/>
      <c r="Q5433" s="17"/>
      <c r="R5433" s="17"/>
      <c r="S5433" s="17"/>
      <c r="T5433" s="17"/>
    </row>
    <row r="5434">
      <c r="A5434" s="21">
        <v>1562.0</v>
      </c>
      <c r="B5434" s="14" t="s">
        <v>90</v>
      </c>
      <c r="C5434" s="14" t="s">
        <v>27</v>
      </c>
      <c r="D5434" s="20" t="s">
        <v>201</v>
      </c>
      <c r="E5434" s="12" t="str">
        <f>IFERROR(__xludf.DUMMYFUNCTION("FILTER(colegios!$B$2:$B5618,colegios!$A$2:$A5618=L5434)"),"1457365 LOS RIT'S DEL ALTO ANDINO")</f>
        <v>1457365 LOS RIT'S DEL ALTO ANDINO</v>
      </c>
      <c r="F5434" s="14" t="s">
        <v>16</v>
      </c>
      <c r="G5434" s="20" t="s">
        <v>17</v>
      </c>
      <c r="H5434" s="14" t="s">
        <v>18</v>
      </c>
      <c r="I5434" s="22">
        <v>2022.0</v>
      </c>
      <c r="J5434" s="16" t="str">
        <f>IFERROR(__xludf.DUMMYFUNCTION("FILTER('CLASFICACIÓN'!$F$3:$F5618,'CLASFICACIÓN'!$G$3:$G5618=M5434)"),"SOLO LINEA BASE")</f>
        <v>SOLO LINEA BASE</v>
      </c>
      <c r="K5434" s="16"/>
      <c r="L5434" s="14" t="s">
        <v>199</v>
      </c>
      <c r="M5434" s="16" t="str">
        <f t="shared" si="1"/>
        <v>1457365 LOS RIT'S DEL ALTO ANDINO5 Secundaria</v>
      </c>
      <c r="N5434" s="23"/>
      <c r="O5434" s="17"/>
      <c r="P5434" s="17"/>
      <c r="Q5434" s="17"/>
      <c r="R5434" s="17"/>
      <c r="S5434" s="17"/>
      <c r="T5434" s="17"/>
    </row>
    <row r="5435">
      <c r="A5435" s="21">
        <v>1563.0</v>
      </c>
      <c r="B5435" s="14" t="s">
        <v>90</v>
      </c>
      <c r="C5435" s="14" t="s">
        <v>27</v>
      </c>
      <c r="D5435" s="20" t="s">
        <v>201</v>
      </c>
      <c r="E5435" s="12" t="str">
        <f>IFERROR(__xludf.DUMMYFUNCTION("FILTER(colegios!$B$2:$B5618,colegios!$A$2:$A5618=L5435)"),"1457365 LOS RIT'S DEL ALTO ANDINO")</f>
        <v>1457365 LOS RIT'S DEL ALTO ANDINO</v>
      </c>
      <c r="F5435" s="14" t="s">
        <v>16</v>
      </c>
      <c r="G5435" s="20" t="s">
        <v>21</v>
      </c>
      <c r="H5435" s="14" t="s">
        <v>18</v>
      </c>
      <c r="I5435" s="22">
        <v>2022.0</v>
      </c>
      <c r="J5435" s="16" t="str">
        <f>IFERROR(__xludf.DUMMYFUNCTION("FILTER('CLASFICACIÓN'!$F$3:$F5618,'CLASFICACIÓN'!$G$3:$G5618=M5435)"),"SOLO LINEA BASE")</f>
        <v>SOLO LINEA BASE</v>
      </c>
      <c r="K5435" s="16"/>
      <c r="L5435" s="14" t="s">
        <v>199</v>
      </c>
      <c r="M5435" s="16" t="str">
        <f t="shared" si="1"/>
        <v>1457365 LOS RIT'S DEL ALTO ANDINO5 Secundaria</v>
      </c>
      <c r="N5435" s="23"/>
      <c r="O5435" s="17"/>
      <c r="P5435" s="17"/>
      <c r="Q5435" s="17"/>
      <c r="R5435" s="17"/>
      <c r="S5435" s="17"/>
      <c r="T5435" s="17"/>
    </row>
    <row r="5436">
      <c r="A5436" s="21">
        <v>1564.0</v>
      </c>
      <c r="B5436" s="14" t="s">
        <v>90</v>
      </c>
      <c r="C5436" s="14" t="s">
        <v>27</v>
      </c>
      <c r="D5436" s="20" t="s">
        <v>201</v>
      </c>
      <c r="E5436" s="12" t="str">
        <f>IFERROR(__xludf.DUMMYFUNCTION("FILTER(colegios!$B$2:$B5618,colegios!$A$2:$A5618=L5436)"),"1457365 LOS RIT'S DEL ALTO ANDINO")</f>
        <v>1457365 LOS RIT'S DEL ALTO ANDINO</v>
      </c>
      <c r="F5436" s="14" t="s">
        <v>16</v>
      </c>
      <c r="G5436" s="20" t="s">
        <v>21</v>
      </c>
      <c r="H5436" s="14" t="s">
        <v>18</v>
      </c>
      <c r="I5436" s="22">
        <v>2022.0</v>
      </c>
      <c r="J5436" s="16" t="str">
        <f>IFERROR(__xludf.DUMMYFUNCTION("FILTER('CLASFICACIÓN'!$F$3:$F5618,'CLASFICACIÓN'!$G$3:$G5618=M5436)"),"SOLO LINEA BASE")</f>
        <v>SOLO LINEA BASE</v>
      </c>
      <c r="K5436" s="16"/>
      <c r="L5436" s="14" t="s">
        <v>199</v>
      </c>
      <c r="M5436" s="16" t="str">
        <f t="shared" si="1"/>
        <v>1457365 LOS RIT'S DEL ALTO ANDINO5 Secundaria</v>
      </c>
      <c r="N5436" s="23"/>
      <c r="O5436" s="17"/>
      <c r="P5436" s="17"/>
      <c r="Q5436" s="17"/>
      <c r="R5436" s="17"/>
      <c r="S5436" s="17"/>
      <c r="T5436" s="17"/>
    </row>
    <row r="5437">
      <c r="A5437" s="21">
        <v>1565.0</v>
      </c>
      <c r="B5437" s="14" t="s">
        <v>90</v>
      </c>
      <c r="C5437" s="14" t="s">
        <v>27</v>
      </c>
      <c r="D5437" s="20" t="s">
        <v>201</v>
      </c>
      <c r="E5437" s="12" t="str">
        <f>IFERROR(__xludf.DUMMYFUNCTION("FILTER(colegios!$B$2:$B5618,colegios!$A$2:$A5618=L5437)"),"1457365 LOS RIT'S DEL ALTO ANDINO")</f>
        <v>1457365 LOS RIT'S DEL ALTO ANDINO</v>
      </c>
      <c r="F5437" s="14" t="s">
        <v>16</v>
      </c>
      <c r="G5437" s="20" t="s">
        <v>21</v>
      </c>
      <c r="H5437" s="14" t="s">
        <v>18</v>
      </c>
      <c r="I5437" s="22">
        <v>2022.0</v>
      </c>
      <c r="J5437" s="16" t="str">
        <f>IFERROR(__xludf.DUMMYFUNCTION("FILTER('CLASFICACIÓN'!$F$3:$F5618,'CLASFICACIÓN'!$G$3:$G5618=M5437)"),"SOLO LINEA BASE")</f>
        <v>SOLO LINEA BASE</v>
      </c>
      <c r="K5437" s="16"/>
      <c r="L5437" s="14" t="s">
        <v>199</v>
      </c>
      <c r="M5437" s="16" t="str">
        <f t="shared" si="1"/>
        <v>1457365 LOS RIT'S DEL ALTO ANDINO5 Secundaria</v>
      </c>
      <c r="N5437" s="23"/>
      <c r="O5437" s="17"/>
      <c r="P5437" s="17"/>
      <c r="Q5437" s="17"/>
      <c r="R5437" s="17"/>
      <c r="S5437" s="17"/>
      <c r="T5437" s="17"/>
    </row>
    <row r="5438">
      <c r="A5438" s="21">
        <v>1566.0</v>
      </c>
      <c r="B5438" s="14" t="s">
        <v>90</v>
      </c>
      <c r="C5438" s="14" t="s">
        <v>27</v>
      </c>
      <c r="D5438" s="20" t="s">
        <v>201</v>
      </c>
      <c r="E5438" s="12" t="str">
        <f>IFERROR(__xludf.DUMMYFUNCTION("FILTER(colegios!$B$2:$B5618,colegios!$A$2:$A5618=L5438)"),"1457365 LOS RIT'S DEL ALTO ANDINO")</f>
        <v>1457365 LOS RIT'S DEL ALTO ANDINO</v>
      </c>
      <c r="F5438" s="14" t="s">
        <v>16</v>
      </c>
      <c r="G5438" s="20" t="s">
        <v>21</v>
      </c>
      <c r="H5438" s="14" t="s">
        <v>18</v>
      </c>
      <c r="I5438" s="22">
        <v>2022.0</v>
      </c>
      <c r="J5438" s="16" t="str">
        <f>IFERROR(__xludf.DUMMYFUNCTION("FILTER('CLASFICACIÓN'!$F$3:$F5618,'CLASFICACIÓN'!$G$3:$G5618=M5438)"),"SOLO LINEA BASE")</f>
        <v>SOLO LINEA BASE</v>
      </c>
      <c r="K5438" s="16"/>
      <c r="L5438" s="14" t="s">
        <v>199</v>
      </c>
      <c r="M5438" s="16" t="str">
        <f t="shared" si="1"/>
        <v>1457365 LOS RIT'S DEL ALTO ANDINO5 Secundaria</v>
      </c>
      <c r="N5438" s="23"/>
      <c r="O5438" s="17"/>
      <c r="P5438" s="17"/>
      <c r="Q5438" s="17"/>
      <c r="R5438" s="17"/>
      <c r="S5438" s="17"/>
      <c r="T5438" s="17"/>
    </row>
    <row r="5439">
      <c r="A5439" s="21">
        <v>1567.0</v>
      </c>
      <c r="B5439" s="14" t="s">
        <v>90</v>
      </c>
      <c r="C5439" s="14" t="s">
        <v>27</v>
      </c>
      <c r="D5439" s="20" t="s">
        <v>201</v>
      </c>
      <c r="E5439" s="12" t="str">
        <f>IFERROR(__xludf.DUMMYFUNCTION("FILTER(colegios!$B$2:$B5618,colegios!$A$2:$A5618=L5439)"),"1457365 LOS RIT'S DEL ALTO ANDINO")</f>
        <v>1457365 LOS RIT'S DEL ALTO ANDINO</v>
      </c>
      <c r="F5439" s="14" t="s">
        <v>16</v>
      </c>
      <c r="G5439" s="20" t="s">
        <v>21</v>
      </c>
      <c r="H5439" s="14" t="s">
        <v>18</v>
      </c>
      <c r="I5439" s="22">
        <v>2022.0</v>
      </c>
      <c r="J5439" s="16" t="str">
        <f>IFERROR(__xludf.DUMMYFUNCTION("FILTER('CLASFICACIÓN'!$F$3:$F5618,'CLASFICACIÓN'!$G$3:$G5618=M5439)"),"SOLO LINEA BASE")</f>
        <v>SOLO LINEA BASE</v>
      </c>
      <c r="K5439" s="16"/>
      <c r="L5439" s="14" t="s">
        <v>199</v>
      </c>
      <c r="M5439" s="16" t="str">
        <f t="shared" si="1"/>
        <v>1457365 LOS RIT'S DEL ALTO ANDINO5 Secundaria</v>
      </c>
      <c r="N5439" s="23"/>
      <c r="O5439" s="17"/>
      <c r="P5439" s="17"/>
      <c r="Q5439" s="17"/>
      <c r="R5439" s="17"/>
      <c r="S5439" s="17"/>
      <c r="T5439" s="17"/>
    </row>
    <row r="5440">
      <c r="A5440" s="21">
        <v>1568.0</v>
      </c>
      <c r="B5440" s="14" t="s">
        <v>90</v>
      </c>
      <c r="C5440" s="14" t="s">
        <v>27</v>
      </c>
      <c r="D5440" s="20" t="s">
        <v>201</v>
      </c>
      <c r="E5440" s="12" t="str">
        <f>IFERROR(__xludf.DUMMYFUNCTION("FILTER(colegios!$B$2:$B5618,colegios!$A$2:$A5618=L5440)"),"1457365 LOS RIT'S DEL ALTO ANDINO")</f>
        <v>1457365 LOS RIT'S DEL ALTO ANDINO</v>
      </c>
      <c r="F5440" s="14" t="s">
        <v>16</v>
      </c>
      <c r="G5440" s="20" t="s">
        <v>21</v>
      </c>
      <c r="H5440" s="14" t="s">
        <v>18</v>
      </c>
      <c r="I5440" s="22">
        <v>2022.0</v>
      </c>
      <c r="J5440" s="16" t="str">
        <f>IFERROR(__xludf.DUMMYFUNCTION("FILTER('CLASFICACIÓN'!$F$3:$F5618,'CLASFICACIÓN'!$G$3:$G5618=M5440)"),"SOLO LINEA BASE")</f>
        <v>SOLO LINEA BASE</v>
      </c>
      <c r="K5440" s="16"/>
      <c r="L5440" s="14" t="s">
        <v>199</v>
      </c>
      <c r="M5440" s="16" t="str">
        <f t="shared" si="1"/>
        <v>1457365 LOS RIT'S DEL ALTO ANDINO5 Secundaria</v>
      </c>
      <c r="N5440" s="23"/>
      <c r="O5440" s="17"/>
      <c r="P5440" s="17"/>
      <c r="Q5440" s="17"/>
      <c r="R5440" s="17"/>
      <c r="S5440" s="17"/>
      <c r="T5440" s="17"/>
    </row>
    <row r="5441">
      <c r="A5441" s="21">
        <v>1569.0</v>
      </c>
      <c r="B5441" s="14" t="s">
        <v>90</v>
      </c>
      <c r="C5441" s="14" t="s">
        <v>27</v>
      </c>
      <c r="D5441" s="20" t="s">
        <v>201</v>
      </c>
      <c r="E5441" s="12" t="str">
        <f>IFERROR(__xludf.DUMMYFUNCTION("FILTER(colegios!$B$2:$B5618,colegios!$A$2:$A5618=L5441)"),"1457365 LOS RIT'S DEL ALTO ANDINO")</f>
        <v>1457365 LOS RIT'S DEL ALTO ANDINO</v>
      </c>
      <c r="F5441" s="14" t="s">
        <v>16</v>
      </c>
      <c r="G5441" s="20" t="s">
        <v>21</v>
      </c>
      <c r="H5441" s="14" t="s">
        <v>18</v>
      </c>
      <c r="I5441" s="22">
        <v>2022.0</v>
      </c>
      <c r="J5441" s="16" t="str">
        <f>IFERROR(__xludf.DUMMYFUNCTION("FILTER('CLASFICACIÓN'!$F$3:$F5618,'CLASFICACIÓN'!$G$3:$G5618=M5441)"),"SOLO LINEA BASE")</f>
        <v>SOLO LINEA BASE</v>
      </c>
      <c r="K5441" s="16"/>
      <c r="L5441" s="14" t="s">
        <v>199</v>
      </c>
      <c r="M5441" s="16" t="str">
        <f t="shared" si="1"/>
        <v>1457365 LOS RIT'S DEL ALTO ANDINO5 Secundaria</v>
      </c>
      <c r="N5441" s="23"/>
      <c r="O5441" s="17"/>
      <c r="P5441" s="17"/>
      <c r="Q5441" s="17"/>
      <c r="R5441" s="17"/>
      <c r="S5441" s="17"/>
      <c r="T5441" s="17"/>
    </row>
    <row r="5442">
      <c r="A5442" s="21">
        <v>1570.0</v>
      </c>
      <c r="B5442" s="14" t="s">
        <v>90</v>
      </c>
      <c r="C5442" s="14" t="s">
        <v>27</v>
      </c>
      <c r="D5442" s="20" t="s">
        <v>201</v>
      </c>
      <c r="E5442" s="12" t="str">
        <f>IFERROR(__xludf.DUMMYFUNCTION("FILTER(colegios!$B$2:$B5618,colegios!$A$2:$A5618=L5442)"),"1457365 LOS RIT'S DEL ALTO ANDINO")</f>
        <v>1457365 LOS RIT'S DEL ALTO ANDINO</v>
      </c>
      <c r="F5442" s="14" t="s">
        <v>16</v>
      </c>
      <c r="G5442" s="20" t="s">
        <v>17</v>
      </c>
      <c r="H5442" s="14" t="s">
        <v>18</v>
      </c>
      <c r="I5442" s="22">
        <v>2022.0</v>
      </c>
      <c r="J5442" s="16" t="str">
        <f>IFERROR(__xludf.DUMMYFUNCTION("FILTER('CLASFICACIÓN'!$F$3:$F5618,'CLASFICACIÓN'!$G$3:$G5618=M5442)"),"SOLO LINEA BASE")</f>
        <v>SOLO LINEA BASE</v>
      </c>
      <c r="K5442" s="16"/>
      <c r="L5442" s="14" t="s">
        <v>199</v>
      </c>
      <c r="M5442" s="16" t="str">
        <f t="shared" si="1"/>
        <v>1457365 LOS RIT'S DEL ALTO ANDINO5 Secundaria</v>
      </c>
      <c r="N5442" s="23"/>
      <c r="O5442" s="17"/>
      <c r="P5442" s="17"/>
      <c r="Q5442" s="17"/>
      <c r="R5442" s="17"/>
      <c r="S5442" s="17"/>
      <c r="T5442" s="17"/>
    </row>
    <row r="5443">
      <c r="A5443" s="21">
        <v>1571.0</v>
      </c>
      <c r="B5443" s="14" t="s">
        <v>90</v>
      </c>
      <c r="C5443" s="14" t="s">
        <v>27</v>
      </c>
      <c r="D5443" s="20" t="s">
        <v>201</v>
      </c>
      <c r="E5443" s="12" t="str">
        <f>IFERROR(__xludf.DUMMYFUNCTION("FILTER(colegios!$B$2:$B5618,colegios!$A$2:$A5618=L5443)"),"1457365 LOS RIT'S DEL ALTO ANDINO")</f>
        <v>1457365 LOS RIT'S DEL ALTO ANDINO</v>
      </c>
      <c r="F5443" s="14" t="s">
        <v>16</v>
      </c>
      <c r="G5443" s="20" t="s">
        <v>21</v>
      </c>
      <c r="H5443" s="14" t="s">
        <v>18</v>
      </c>
      <c r="I5443" s="22">
        <v>2022.0</v>
      </c>
      <c r="J5443" s="16" t="str">
        <f>IFERROR(__xludf.DUMMYFUNCTION("FILTER('CLASFICACIÓN'!$F$3:$F5618,'CLASFICACIÓN'!$G$3:$G5618=M5443)"),"SOLO LINEA BASE")</f>
        <v>SOLO LINEA BASE</v>
      </c>
      <c r="K5443" s="16"/>
      <c r="L5443" s="14" t="s">
        <v>199</v>
      </c>
      <c r="M5443" s="16" t="str">
        <f t="shared" si="1"/>
        <v>1457365 LOS RIT'S DEL ALTO ANDINO5 Secundaria</v>
      </c>
      <c r="N5443" s="23"/>
      <c r="O5443" s="17"/>
      <c r="P5443" s="17"/>
      <c r="Q5443" s="17"/>
      <c r="R5443" s="17"/>
      <c r="S5443" s="17"/>
      <c r="T5443" s="17"/>
    </row>
    <row r="5444">
      <c r="A5444" s="21">
        <v>1572.0</v>
      </c>
      <c r="B5444" s="14" t="s">
        <v>90</v>
      </c>
      <c r="C5444" s="14" t="s">
        <v>27</v>
      </c>
      <c r="D5444" s="20" t="s">
        <v>201</v>
      </c>
      <c r="E5444" s="12" t="str">
        <f>IFERROR(__xludf.DUMMYFUNCTION("FILTER(colegios!$B$2:$B5618,colegios!$A$2:$A5618=L5444)"),"1457365 LOS RIT'S DEL ALTO ANDINO")</f>
        <v>1457365 LOS RIT'S DEL ALTO ANDINO</v>
      </c>
      <c r="F5444" s="14" t="s">
        <v>16</v>
      </c>
      <c r="G5444" s="20" t="s">
        <v>21</v>
      </c>
      <c r="H5444" s="14" t="s">
        <v>18</v>
      </c>
      <c r="I5444" s="22">
        <v>2022.0</v>
      </c>
      <c r="J5444" s="16" t="str">
        <f>IFERROR(__xludf.DUMMYFUNCTION("FILTER('CLASFICACIÓN'!$F$3:$F5618,'CLASFICACIÓN'!$G$3:$G5618=M5444)"),"SOLO LINEA BASE")</f>
        <v>SOLO LINEA BASE</v>
      </c>
      <c r="K5444" s="16"/>
      <c r="L5444" s="14" t="s">
        <v>199</v>
      </c>
      <c r="M5444" s="16" t="str">
        <f t="shared" si="1"/>
        <v>1457365 LOS RIT'S DEL ALTO ANDINO5 Secundaria</v>
      </c>
      <c r="N5444" s="23"/>
      <c r="O5444" s="17"/>
      <c r="P5444" s="17"/>
      <c r="Q5444" s="17"/>
      <c r="R5444" s="17"/>
      <c r="S5444" s="17"/>
      <c r="T5444" s="17"/>
    </row>
    <row r="5445">
      <c r="A5445" s="21">
        <v>1573.0</v>
      </c>
      <c r="B5445" s="14" t="s">
        <v>90</v>
      </c>
      <c r="C5445" s="14" t="s">
        <v>27</v>
      </c>
      <c r="D5445" s="20" t="s">
        <v>201</v>
      </c>
      <c r="E5445" s="12" t="str">
        <f>IFERROR(__xludf.DUMMYFUNCTION("FILTER(colegios!$B$2:$B5618,colegios!$A$2:$A5618=L5445)"),"1457365 LOS RIT'S DEL ALTO ANDINO")</f>
        <v>1457365 LOS RIT'S DEL ALTO ANDINO</v>
      </c>
      <c r="F5445" s="14" t="s">
        <v>16</v>
      </c>
      <c r="G5445" s="20" t="s">
        <v>21</v>
      </c>
      <c r="H5445" s="14" t="s">
        <v>18</v>
      </c>
      <c r="I5445" s="22">
        <v>2022.0</v>
      </c>
      <c r="J5445" s="16" t="str">
        <f>IFERROR(__xludf.DUMMYFUNCTION("FILTER('CLASFICACIÓN'!$F$3:$F5618,'CLASFICACIÓN'!$G$3:$G5618=M5445)"),"SOLO LINEA BASE")</f>
        <v>SOLO LINEA BASE</v>
      </c>
      <c r="K5445" s="16"/>
      <c r="L5445" s="14" t="s">
        <v>199</v>
      </c>
      <c r="M5445" s="16" t="str">
        <f t="shared" si="1"/>
        <v>1457365 LOS RIT'S DEL ALTO ANDINO5 Secundaria</v>
      </c>
      <c r="N5445" s="23"/>
      <c r="O5445" s="17"/>
      <c r="P5445" s="17"/>
      <c r="Q5445" s="17"/>
      <c r="R5445" s="17"/>
      <c r="S5445" s="17"/>
      <c r="T5445" s="17"/>
    </row>
    <row r="5446">
      <c r="A5446" s="21">
        <v>1574.0</v>
      </c>
      <c r="B5446" s="14" t="s">
        <v>90</v>
      </c>
      <c r="C5446" s="14" t="s">
        <v>27</v>
      </c>
      <c r="D5446" s="20" t="s">
        <v>201</v>
      </c>
      <c r="E5446" s="12" t="str">
        <f>IFERROR(__xludf.DUMMYFUNCTION("FILTER(colegios!$B$2:$B5618,colegios!$A$2:$A5618=L5446)"),"1457365 LOS RIT'S DEL ALTO ANDINO")</f>
        <v>1457365 LOS RIT'S DEL ALTO ANDINO</v>
      </c>
      <c r="F5446" s="14" t="s">
        <v>16</v>
      </c>
      <c r="G5446" s="20" t="s">
        <v>21</v>
      </c>
      <c r="H5446" s="14" t="s">
        <v>18</v>
      </c>
      <c r="I5446" s="22">
        <v>2022.0</v>
      </c>
      <c r="J5446" s="16" t="str">
        <f>IFERROR(__xludf.DUMMYFUNCTION("FILTER('CLASFICACIÓN'!$F$3:$F5618,'CLASFICACIÓN'!$G$3:$G5618=M5446)"),"SOLO LINEA BASE")</f>
        <v>SOLO LINEA BASE</v>
      </c>
      <c r="K5446" s="16"/>
      <c r="L5446" s="14" t="s">
        <v>199</v>
      </c>
      <c r="M5446" s="16" t="str">
        <f t="shared" si="1"/>
        <v>1457365 LOS RIT'S DEL ALTO ANDINO5 Secundaria</v>
      </c>
      <c r="N5446" s="23"/>
      <c r="O5446" s="17"/>
      <c r="P5446" s="17"/>
      <c r="Q5446" s="17"/>
      <c r="R5446" s="17"/>
      <c r="S5446" s="17"/>
      <c r="T5446" s="17"/>
    </row>
    <row r="5447">
      <c r="A5447" s="21">
        <v>1575.0</v>
      </c>
      <c r="B5447" s="14" t="s">
        <v>90</v>
      </c>
      <c r="C5447" s="14" t="s">
        <v>27</v>
      </c>
      <c r="D5447" s="20" t="s">
        <v>201</v>
      </c>
      <c r="E5447" s="12" t="str">
        <f>IFERROR(__xludf.DUMMYFUNCTION("FILTER(colegios!$B$2:$B5618,colegios!$A$2:$A5618=L5447)"),"1457365 LOS RIT'S DEL ALTO ANDINO")</f>
        <v>1457365 LOS RIT'S DEL ALTO ANDINO</v>
      </c>
      <c r="F5447" s="14" t="s">
        <v>16</v>
      </c>
      <c r="G5447" s="20" t="s">
        <v>21</v>
      </c>
      <c r="H5447" s="14" t="s">
        <v>18</v>
      </c>
      <c r="I5447" s="22">
        <v>2022.0</v>
      </c>
      <c r="J5447" s="16" t="str">
        <f>IFERROR(__xludf.DUMMYFUNCTION("FILTER('CLASFICACIÓN'!$F$3:$F5618,'CLASFICACIÓN'!$G$3:$G5618=M5447)"),"SOLO LINEA BASE")</f>
        <v>SOLO LINEA BASE</v>
      </c>
      <c r="K5447" s="16"/>
      <c r="L5447" s="14" t="s">
        <v>199</v>
      </c>
      <c r="M5447" s="16" t="str">
        <f t="shared" si="1"/>
        <v>1457365 LOS RIT'S DEL ALTO ANDINO5 Secundaria</v>
      </c>
      <c r="N5447" s="23"/>
      <c r="O5447" s="17"/>
      <c r="P5447" s="17"/>
      <c r="Q5447" s="17"/>
      <c r="R5447" s="17"/>
      <c r="S5447" s="17"/>
      <c r="T5447" s="17"/>
    </row>
    <row r="5448">
      <c r="A5448" s="21">
        <v>1576.0</v>
      </c>
      <c r="B5448" s="14" t="s">
        <v>90</v>
      </c>
      <c r="C5448" s="14" t="s">
        <v>27</v>
      </c>
      <c r="D5448" s="20" t="s">
        <v>201</v>
      </c>
      <c r="E5448" s="12" t="str">
        <f>IFERROR(__xludf.DUMMYFUNCTION("FILTER(colegios!$B$2:$B5618,colegios!$A$2:$A5618=L5448)"),"1457365 LOS RIT'S DEL ALTO ANDINO")</f>
        <v>1457365 LOS RIT'S DEL ALTO ANDINO</v>
      </c>
      <c r="F5448" s="14" t="s">
        <v>16</v>
      </c>
      <c r="G5448" s="20" t="s">
        <v>21</v>
      </c>
      <c r="H5448" s="14" t="s">
        <v>18</v>
      </c>
      <c r="I5448" s="22">
        <v>2022.0</v>
      </c>
      <c r="J5448" s="16" t="str">
        <f>IFERROR(__xludf.DUMMYFUNCTION("FILTER('CLASFICACIÓN'!$F$3:$F5618,'CLASFICACIÓN'!$G$3:$G5618=M5448)"),"SOLO LINEA BASE")</f>
        <v>SOLO LINEA BASE</v>
      </c>
      <c r="K5448" s="16"/>
      <c r="L5448" s="14" t="s">
        <v>199</v>
      </c>
      <c r="M5448" s="16" t="str">
        <f t="shared" si="1"/>
        <v>1457365 LOS RIT'S DEL ALTO ANDINO5 Secundaria</v>
      </c>
      <c r="N5448" s="23"/>
      <c r="O5448" s="17"/>
      <c r="P5448" s="17"/>
      <c r="Q5448" s="17"/>
      <c r="R5448" s="17"/>
      <c r="S5448" s="17"/>
      <c r="T5448" s="17"/>
    </row>
    <row r="5449">
      <c r="A5449" s="21">
        <v>1577.0</v>
      </c>
      <c r="B5449" s="14" t="s">
        <v>90</v>
      </c>
      <c r="C5449" s="14" t="s">
        <v>27</v>
      </c>
      <c r="D5449" s="20" t="s">
        <v>201</v>
      </c>
      <c r="E5449" s="12" t="str">
        <f>IFERROR(__xludf.DUMMYFUNCTION("FILTER(colegios!$B$2:$B5618,colegios!$A$2:$A5618=L5449)"),"1457365 LOS RIT'S DEL ALTO ANDINO")</f>
        <v>1457365 LOS RIT'S DEL ALTO ANDINO</v>
      </c>
      <c r="F5449" s="14" t="s">
        <v>16</v>
      </c>
      <c r="G5449" s="20" t="s">
        <v>17</v>
      </c>
      <c r="H5449" s="14" t="s">
        <v>18</v>
      </c>
      <c r="I5449" s="22">
        <v>2022.0</v>
      </c>
      <c r="J5449" s="16" t="str">
        <f>IFERROR(__xludf.DUMMYFUNCTION("FILTER('CLASFICACIÓN'!$F$3:$F5618,'CLASFICACIÓN'!$G$3:$G5618=M5449)"),"SOLO LINEA BASE")</f>
        <v>SOLO LINEA BASE</v>
      </c>
      <c r="K5449" s="16"/>
      <c r="L5449" s="14" t="s">
        <v>199</v>
      </c>
      <c r="M5449" s="16" t="str">
        <f t="shared" si="1"/>
        <v>1457365 LOS RIT'S DEL ALTO ANDINO5 Secundaria</v>
      </c>
      <c r="N5449" s="23"/>
      <c r="O5449" s="17"/>
      <c r="P5449" s="17"/>
      <c r="Q5449" s="17"/>
      <c r="R5449" s="17"/>
      <c r="S5449" s="17"/>
      <c r="T5449" s="17"/>
    </row>
    <row r="5450">
      <c r="A5450" s="21">
        <v>1578.0</v>
      </c>
      <c r="B5450" s="14" t="s">
        <v>90</v>
      </c>
      <c r="C5450" s="14" t="s">
        <v>27</v>
      </c>
      <c r="D5450" s="20" t="s">
        <v>201</v>
      </c>
      <c r="E5450" s="12" t="str">
        <f>IFERROR(__xludf.DUMMYFUNCTION("FILTER(colegios!$B$2:$B5618,colegios!$A$2:$A5618=L5450)"),"1457365 LOS RIT'S DEL ALTO ANDINO")</f>
        <v>1457365 LOS RIT'S DEL ALTO ANDINO</v>
      </c>
      <c r="F5450" s="14" t="s">
        <v>16</v>
      </c>
      <c r="G5450" s="20" t="s">
        <v>21</v>
      </c>
      <c r="H5450" s="14" t="s">
        <v>18</v>
      </c>
      <c r="I5450" s="22">
        <v>2022.0</v>
      </c>
      <c r="J5450" s="16" t="str">
        <f>IFERROR(__xludf.DUMMYFUNCTION("FILTER('CLASFICACIÓN'!$F$3:$F5618,'CLASFICACIÓN'!$G$3:$G5618=M5450)"),"SOLO LINEA BASE")</f>
        <v>SOLO LINEA BASE</v>
      </c>
      <c r="K5450" s="16"/>
      <c r="L5450" s="14" t="s">
        <v>199</v>
      </c>
      <c r="M5450" s="16" t="str">
        <f t="shared" si="1"/>
        <v>1457365 LOS RIT'S DEL ALTO ANDINO5 Secundaria</v>
      </c>
      <c r="N5450" s="23"/>
      <c r="O5450" s="17"/>
      <c r="P5450" s="17"/>
      <c r="Q5450" s="17"/>
      <c r="R5450" s="17"/>
      <c r="S5450" s="17"/>
      <c r="T5450" s="17"/>
    </row>
    <row r="5451">
      <c r="A5451" s="21">
        <v>1579.0</v>
      </c>
      <c r="B5451" s="14" t="s">
        <v>90</v>
      </c>
      <c r="C5451" s="14" t="s">
        <v>27</v>
      </c>
      <c r="D5451" s="20" t="s">
        <v>201</v>
      </c>
      <c r="E5451" s="12" t="str">
        <f>IFERROR(__xludf.DUMMYFUNCTION("FILTER(colegios!$B$2:$B5618,colegios!$A$2:$A5618=L5451)"),"1457365 LOS RIT'S DEL ALTO ANDINO")</f>
        <v>1457365 LOS RIT'S DEL ALTO ANDINO</v>
      </c>
      <c r="F5451" s="14" t="s">
        <v>16</v>
      </c>
      <c r="G5451" s="20" t="s">
        <v>21</v>
      </c>
      <c r="H5451" s="14" t="s">
        <v>18</v>
      </c>
      <c r="I5451" s="22">
        <v>2022.0</v>
      </c>
      <c r="J5451" s="16" t="str">
        <f>IFERROR(__xludf.DUMMYFUNCTION("FILTER('CLASFICACIÓN'!$F$3:$F5618,'CLASFICACIÓN'!$G$3:$G5618=M5451)"),"SOLO LINEA BASE")</f>
        <v>SOLO LINEA BASE</v>
      </c>
      <c r="K5451" s="16"/>
      <c r="L5451" s="14" t="s">
        <v>199</v>
      </c>
      <c r="M5451" s="16" t="str">
        <f t="shared" si="1"/>
        <v>1457365 LOS RIT'S DEL ALTO ANDINO5 Secundaria</v>
      </c>
      <c r="N5451" s="23"/>
      <c r="O5451" s="17"/>
      <c r="P5451" s="17"/>
      <c r="Q5451" s="17"/>
      <c r="R5451" s="17"/>
      <c r="S5451" s="17"/>
      <c r="T5451" s="17"/>
    </row>
    <row r="5452">
      <c r="A5452" s="21">
        <v>1580.0</v>
      </c>
      <c r="B5452" s="14" t="s">
        <v>90</v>
      </c>
      <c r="C5452" s="14" t="s">
        <v>27</v>
      </c>
      <c r="D5452" s="20" t="s">
        <v>201</v>
      </c>
      <c r="E5452" s="12" t="str">
        <f>IFERROR(__xludf.DUMMYFUNCTION("FILTER(colegios!$B$2:$B5618,colegios!$A$2:$A5618=L5452)"),"1457365 LOS RIT'S DEL ALTO ANDINO")</f>
        <v>1457365 LOS RIT'S DEL ALTO ANDINO</v>
      </c>
      <c r="F5452" s="14" t="s">
        <v>16</v>
      </c>
      <c r="G5452" s="20" t="s">
        <v>21</v>
      </c>
      <c r="H5452" s="14" t="s">
        <v>18</v>
      </c>
      <c r="I5452" s="22">
        <v>2022.0</v>
      </c>
      <c r="J5452" s="16" t="str">
        <f>IFERROR(__xludf.DUMMYFUNCTION("FILTER('CLASFICACIÓN'!$F$3:$F5618,'CLASFICACIÓN'!$G$3:$G5618=M5452)"),"SOLO LINEA BASE")</f>
        <v>SOLO LINEA BASE</v>
      </c>
      <c r="K5452" s="16"/>
      <c r="L5452" s="14" t="s">
        <v>199</v>
      </c>
      <c r="M5452" s="16" t="str">
        <f t="shared" si="1"/>
        <v>1457365 LOS RIT'S DEL ALTO ANDINO5 Secundaria</v>
      </c>
      <c r="N5452" s="23"/>
      <c r="O5452" s="17"/>
      <c r="P5452" s="17"/>
      <c r="Q5452" s="17"/>
      <c r="R5452" s="17"/>
      <c r="S5452" s="17"/>
      <c r="T5452" s="17"/>
    </row>
    <row r="5453">
      <c r="A5453" s="21">
        <v>1581.0</v>
      </c>
      <c r="B5453" s="14" t="s">
        <v>90</v>
      </c>
      <c r="C5453" s="14" t="s">
        <v>27</v>
      </c>
      <c r="D5453" s="20" t="s">
        <v>201</v>
      </c>
      <c r="E5453" s="12" t="str">
        <f>IFERROR(__xludf.DUMMYFUNCTION("FILTER(colegios!$B$2:$B5618,colegios!$A$2:$A5618=L5453)"),"1457365 LOS RIT'S DEL ALTO ANDINO")</f>
        <v>1457365 LOS RIT'S DEL ALTO ANDINO</v>
      </c>
      <c r="F5453" s="14" t="s">
        <v>16</v>
      </c>
      <c r="G5453" s="20" t="s">
        <v>17</v>
      </c>
      <c r="H5453" s="14" t="s">
        <v>18</v>
      </c>
      <c r="I5453" s="22">
        <v>2022.0</v>
      </c>
      <c r="J5453" s="16" t="str">
        <f>IFERROR(__xludf.DUMMYFUNCTION("FILTER('CLASFICACIÓN'!$F$3:$F5618,'CLASFICACIÓN'!$G$3:$G5618=M5453)"),"SOLO LINEA BASE")</f>
        <v>SOLO LINEA BASE</v>
      </c>
      <c r="K5453" s="16"/>
      <c r="L5453" s="14" t="s">
        <v>199</v>
      </c>
      <c r="M5453" s="16" t="str">
        <f t="shared" si="1"/>
        <v>1457365 LOS RIT'S DEL ALTO ANDINO5 Secundaria</v>
      </c>
      <c r="N5453" s="23"/>
      <c r="O5453" s="17"/>
      <c r="P5453" s="17"/>
      <c r="Q5453" s="17"/>
      <c r="R5453" s="17"/>
      <c r="S5453" s="17"/>
      <c r="T5453" s="17"/>
    </row>
    <row r="5454">
      <c r="A5454" s="21">
        <v>1582.0</v>
      </c>
      <c r="B5454" s="14" t="s">
        <v>90</v>
      </c>
      <c r="C5454" s="14" t="s">
        <v>27</v>
      </c>
      <c r="D5454" s="20" t="s">
        <v>201</v>
      </c>
      <c r="E5454" s="12" t="str">
        <f>IFERROR(__xludf.DUMMYFUNCTION("FILTER(colegios!$B$2:$B5618,colegios!$A$2:$A5618=L5454)"),"1457365 LOS RIT'S DEL ALTO ANDINO")</f>
        <v>1457365 LOS RIT'S DEL ALTO ANDINO</v>
      </c>
      <c r="F5454" s="14" t="s">
        <v>16</v>
      </c>
      <c r="G5454" s="20" t="s">
        <v>21</v>
      </c>
      <c r="H5454" s="14" t="s">
        <v>18</v>
      </c>
      <c r="I5454" s="22">
        <v>2022.0</v>
      </c>
      <c r="J5454" s="16" t="str">
        <f>IFERROR(__xludf.DUMMYFUNCTION("FILTER('CLASFICACIÓN'!$F$3:$F5618,'CLASFICACIÓN'!$G$3:$G5618=M5454)"),"SOLO LINEA BASE")</f>
        <v>SOLO LINEA BASE</v>
      </c>
      <c r="K5454" s="16"/>
      <c r="L5454" s="14" t="s">
        <v>199</v>
      </c>
      <c r="M5454" s="16" t="str">
        <f t="shared" si="1"/>
        <v>1457365 LOS RIT'S DEL ALTO ANDINO5 Secundaria</v>
      </c>
      <c r="N5454" s="23"/>
      <c r="O5454" s="17"/>
      <c r="P5454" s="17"/>
      <c r="Q5454" s="17"/>
      <c r="R5454" s="17"/>
      <c r="S5454" s="17"/>
      <c r="T5454" s="17"/>
    </row>
    <row r="5455">
      <c r="A5455" s="21">
        <v>1583.0</v>
      </c>
      <c r="B5455" s="14" t="s">
        <v>90</v>
      </c>
      <c r="C5455" s="14" t="s">
        <v>27</v>
      </c>
      <c r="D5455" s="20" t="s">
        <v>201</v>
      </c>
      <c r="E5455" s="12" t="str">
        <f>IFERROR(__xludf.DUMMYFUNCTION("FILTER(colegios!$B$2:$B5618,colegios!$A$2:$A5618=L5455)"),"1457365 LOS RIT'S DEL ALTO ANDINO")</f>
        <v>1457365 LOS RIT'S DEL ALTO ANDINO</v>
      </c>
      <c r="F5455" s="14" t="s">
        <v>16</v>
      </c>
      <c r="G5455" s="20" t="s">
        <v>21</v>
      </c>
      <c r="H5455" s="14" t="s">
        <v>18</v>
      </c>
      <c r="I5455" s="22">
        <v>2022.0</v>
      </c>
      <c r="J5455" s="16" t="str">
        <f>IFERROR(__xludf.DUMMYFUNCTION("FILTER('CLASFICACIÓN'!$F$3:$F5618,'CLASFICACIÓN'!$G$3:$G5618=M5455)"),"SOLO LINEA BASE")</f>
        <v>SOLO LINEA BASE</v>
      </c>
      <c r="K5455" s="16"/>
      <c r="L5455" s="14" t="s">
        <v>199</v>
      </c>
      <c r="M5455" s="16" t="str">
        <f t="shared" si="1"/>
        <v>1457365 LOS RIT'S DEL ALTO ANDINO5 Secundaria</v>
      </c>
      <c r="N5455" s="23"/>
      <c r="O5455" s="17"/>
      <c r="P5455" s="17"/>
      <c r="Q5455" s="17"/>
      <c r="R5455" s="17"/>
      <c r="S5455" s="17"/>
      <c r="T5455" s="17"/>
    </row>
    <row r="5456">
      <c r="A5456" s="21">
        <v>1584.0</v>
      </c>
      <c r="B5456" s="14" t="s">
        <v>90</v>
      </c>
      <c r="C5456" s="14" t="s">
        <v>27</v>
      </c>
      <c r="D5456" s="20" t="s">
        <v>201</v>
      </c>
      <c r="E5456" s="12" t="str">
        <f>IFERROR(__xludf.DUMMYFUNCTION("FILTER(colegios!$B$2:$B5618,colegios!$A$2:$A5618=L5456)"),"1457365 LOS RIT'S DEL ALTO ANDINO")</f>
        <v>1457365 LOS RIT'S DEL ALTO ANDINO</v>
      </c>
      <c r="F5456" s="14" t="s">
        <v>16</v>
      </c>
      <c r="G5456" s="20" t="s">
        <v>21</v>
      </c>
      <c r="H5456" s="14" t="s">
        <v>18</v>
      </c>
      <c r="I5456" s="22">
        <v>2022.0</v>
      </c>
      <c r="J5456" s="16" t="str">
        <f>IFERROR(__xludf.DUMMYFUNCTION("FILTER('CLASFICACIÓN'!$F$3:$F5618,'CLASFICACIÓN'!$G$3:$G5618=M5456)"),"SOLO LINEA BASE")</f>
        <v>SOLO LINEA BASE</v>
      </c>
      <c r="K5456" s="16"/>
      <c r="L5456" s="14" t="s">
        <v>199</v>
      </c>
      <c r="M5456" s="16" t="str">
        <f t="shared" si="1"/>
        <v>1457365 LOS RIT'S DEL ALTO ANDINO5 Secundaria</v>
      </c>
      <c r="N5456" s="23"/>
      <c r="O5456" s="17"/>
      <c r="P5456" s="17"/>
      <c r="Q5456" s="17"/>
      <c r="R5456" s="17"/>
      <c r="S5456" s="17"/>
      <c r="T5456" s="17"/>
    </row>
    <row r="5457">
      <c r="A5457" s="21">
        <v>1585.0</v>
      </c>
      <c r="B5457" s="14" t="s">
        <v>90</v>
      </c>
      <c r="C5457" s="14" t="s">
        <v>27</v>
      </c>
      <c r="D5457" s="20" t="s">
        <v>201</v>
      </c>
      <c r="E5457" s="12" t="str">
        <f>IFERROR(__xludf.DUMMYFUNCTION("FILTER(colegios!$B$2:$B5618,colegios!$A$2:$A5618=L5457)"),"1457365 LOS RIT'S DEL ALTO ANDINO")</f>
        <v>1457365 LOS RIT'S DEL ALTO ANDINO</v>
      </c>
      <c r="F5457" s="14" t="s">
        <v>16</v>
      </c>
      <c r="G5457" s="20" t="s">
        <v>21</v>
      </c>
      <c r="H5457" s="14" t="s">
        <v>18</v>
      </c>
      <c r="I5457" s="22">
        <v>2022.0</v>
      </c>
      <c r="J5457" s="16" t="str">
        <f>IFERROR(__xludf.DUMMYFUNCTION("FILTER('CLASFICACIÓN'!$F$3:$F5618,'CLASFICACIÓN'!$G$3:$G5618=M5457)"),"SOLO LINEA BASE")</f>
        <v>SOLO LINEA BASE</v>
      </c>
      <c r="K5457" s="16"/>
      <c r="L5457" s="14" t="s">
        <v>199</v>
      </c>
      <c r="M5457" s="16" t="str">
        <f t="shared" si="1"/>
        <v>1457365 LOS RIT'S DEL ALTO ANDINO5 Secundaria</v>
      </c>
      <c r="N5457" s="23"/>
      <c r="O5457" s="17"/>
      <c r="P5457" s="17"/>
      <c r="Q5457" s="17"/>
      <c r="R5457" s="17"/>
      <c r="S5457" s="17"/>
      <c r="T5457" s="17"/>
    </row>
    <row r="5458">
      <c r="A5458" s="21">
        <v>1586.0</v>
      </c>
      <c r="B5458" s="14" t="s">
        <v>90</v>
      </c>
      <c r="C5458" s="14" t="s">
        <v>27</v>
      </c>
      <c r="D5458" s="20" t="s">
        <v>201</v>
      </c>
      <c r="E5458" s="12" t="str">
        <f>IFERROR(__xludf.DUMMYFUNCTION("FILTER(colegios!$B$2:$B5618,colegios!$A$2:$A5618=L5458)"),"1457365 LOS RIT'S DEL ALTO ANDINO")</f>
        <v>1457365 LOS RIT'S DEL ALTO ANDINO</v>
      </c>
      <c r="F5458" s="14" t="s">
        <v>16</v>
      </c>
      <c r="G5458" s="20" t="s">
        <v>21</v>
      </c>
      <c r="H5458" s="14" t="s">
        <v>18</v>
      </c>
      <c r="I5458" s="22">
        <v>2022.0</v>
      </c>
      <c r="J5458" s="16" t="str">
        <f>IFERROR(__xludf.DUMMYFUNCTION("FILTER('CLASFICACIÓN'!$F$3:$F5618,'CLASFICACIÓN'!$G$3:$G5618=M5458)"),"SOLO LINEA BASE")</f>
        <v>SOLO LINEA BASE</v>
      </c>
      <c r="K5458" s="16"/>
      <c r="L5458" s="14" t="s">
        <v>199</v>
      </c>
      <c r="M5458" s="16" t="str">
        <f t="shared" si="1"/>
        <v>1457365 LOS RIT'S DEL ALTO ANDINO5 Secundaria</v>
      </c>
      <c r="N5458" s="23"/>
      <c r="O5458" s="17"/>
      <c r="P5458" s="17"/>
      <c r="Q5458" s="17"/>
      <c r="R5458" s="17"/>
      <c r="S5458" s="17"/>
      <c r="T5458" s="17"/>
    </row>
    <row r="5459">
      <c r="A5459" s="21">
        <v>1587.0</v>
      </c>
      <c r="B5459" s="14" t="s">
        <v>90</v>
      </c>
      <c r="C5459" s="14" t="s">
        <v>27</v>
      </c>
      <c r="D5459" s="20" t="s">
        <v>201</v>
      </c>
      <c r="E5459" s="12" t="str">
        <f>IFERROR(__xludf.DUMMYFUNCTION("FILTER(colegios!$B$2:$B5618,colegios!$A$2:$A5618=L5459)"),"1457365 LOS RIT'S DEL ALTO ANDINO")</f>
        <v>1457365 LOS RIT'S DEL ALTO ANDINO</v>
      </c>
      <c r="F5459" s="14" t="s">
        <v>16</v>
      </c>
      <c r="G5459" s="20" t="s">
        <v>17</v>
      </c>
      <c r="H5459" s="14" t="s">
        <v>18</v>
      </c>
      <c r="I5459" s="22">
        <v>2022.0</v>
      </c>
      <c r="J5459" s="16" t="str">
        <f>IFERROR(__xludf.DUMMYFUNCTION("FILTER('CLASFICACIÓN'!$F$3:$F5618,'CLASFICACIÓN'!$G$3:$G5618=M5459)"),"SOLO LINEA BASE")</f>
        <v>SOLO LINEA BASE</v>
      </c>
      <c r="K5459" s="16"/>
      <c r="L5459" s="14" t="s">
        <v>199</v>
      </c>
      <c r="M5459" s="16" t="str">
        <f t="shared" si="1"/>
        <v>1457365 LOS RIT'S DEL ALTO ANDINO5 Secundaria</v>
      </c>
      <c r="N5459" s="23"/>
      <c r="O5459" s="17"/>
      <c r="P5459" s="17"/>
      <c r="Q5459" s="17"/>
      <c r="R5459" s="17"/>
      <c r="S5459" s="17"/>
      <c r="T5459" s="17"/>
    </row>
    <row r="5460">
      <c r="A5460" s="21">
        <v>1588.0</v>
      </c>
      <c r="B5460" s="14" t="s">
        <v>90</v>
      </c>
      <c r="C5460" s="14" t="s">
        <v>27</v>
      </c>
      <c r="D5460" s="20" t="s">
        <v>201</v>
      </c>
      <c r="E5460" s="12" t="str">
        <f>IFERROR(__xludf.DUMMYFUNCTION("FILTER(colegios!$B$2:$B5618,colegios!$A$2:$A5618=L5460)"),"1457365 LOS RIT'S DEL ALTO ANDINO")</f>
        <v>1457365 LOS RIT'S DEL ALTO ANDINO</v>
      </c>
      <c r="F5460" s="14" t="s">
        <v>16</v>
      </c>
      <c r="G5460" s="20" t="s">
        <v>21</v>
      </c>
      <c r="H5460" s="14" t="s">
        <v>18</v>
      </c>
      <c r="I5460" s="22">
        <v>2022.0</v>
      </c>
      <c r="J5460" s="16" t="str">
        <f>IFERROR(__xludf.DUMMYFUNCTION("FILTER('CLASFICACIÓN'!$F$3:$F5618,'CLASFICACIÓN'!$G$3:$G5618=M5460)"),"SOLO LINEA BASE")</f>
        <v>SOLO LINEA BASE</v>
      </c>
      <c r="K5460" s="16"/>
      <c r="L5460" s="14" t="s">
        <v>199</v>
      </c>
      <c r="M5460" s="16" t="str">
        <f t="shared" si="1"/>
        <v>1457365 LOS RIT'S DEL ALTO ANDINO5 Secundaria</v>
      </c>
      <c r="N5460" s="23"/>
      <c r="O5460" s="17"/>
      <c r="P5460" s="17"/>
      <c r="Q5460" s="17"/>
      <c r="R5460" s="17"/>
      <c r="S5460" s="17"/>
      <c r="T5460" s="17"/>
    </row>
    <row r="5461">
      <c r="A5461" s="21">
        <v>1589.0</v>
      </c>
      <c r="B5461" s="14" t="s">
        <v>90</v>
      </c>
      <c r="C5461" s="14" t="s">
        <v>27</v>
      </c>
      <c r="D5461" s="20" t="s">
        <v>201</v>
      </c>
      <c r="E5461" s="12" t="str">
        <f>IFERROR(__xludf.DUMMYFUNCTION("FILTER(colegios!$B$2:$B5618,colegios!$A$2:$A5618=L5461)"),"1457365 LOS RIT'S DEL ALTO ANDINO")</f>
        <v>1457365 LOS RIT'S DEL ALTO ANDINO</v>
      </c>
      <c r="F5461" s="14" t="s">
        <v>16</v>
      </c>
      <c r="G5461" s="20" t="s">
        <v>17</v>
      </c>
      <c r="H5461" s="14" t="s">
        <v>18</v>
      </c>
      <c r="I5461" s="22">
        <v>2022.0</v>
      </c>
      <c r="J5461" s="16" t="str">
        <f>IFERROR(__xludf.DUMMYFUNCTION("FILTER('CLASFICACIÓN'!$F$3:$F5618,'CLASFICACIÓN'!$G$3:$G5618=M5461)"),"SOLO LINEA BASE")</f>
        <v>SOLO LINEA BASE</v>
      </c>
      <c r="K5461" s="16"/>
      <c r="L5461" s="14" t="s">
        <v>199</v>
      </c>
      <c r="M5461" s="16" t="str">
        <f t="shared" si="1"/>
        <v>1457365 LOS RIT'S DEL ALTO ANDINO5 Secundaria</v>
      </c>
      <c r="N5461" s="23"/>
      <c r="O5461" s="17"/>
      <c r="P5461" s="17"/>
      <c r="Q5461" s="17"/>
      <c r="R5461" s="17"/>
      <c r="S5461" s="17"/>
      <c r="T5461" s="17"/>
    </row>
    <row r="5462">
      <c r="A5462" s="21">
        <v>1590.0</v>
      </c>
      <c r="B5462" s="14" t="s">
        <v>90</v>
      </c>
      <c r="C5462" s="14" t="s">
        <v>27</v>
      </c>
      <c r="D5462" s="20" t="s">
        <v>201</v>
      </c>
      <c r="E5462" s="12" t="str">
        <f>IFERROR(__xludf.DUMMYFUNCTION("FILTER(colegios!$B$2:$B5618,colegios!$A$2:$A5618=L5462)"),"1457365 LOS RIT'S DEL ALTO ANDINO")</f>
        <v>1457365 LOS RIT'S DEL ALTO ANDINO</v>
      </c>
      <c r="F5462" s="14" t="s">
        <v>16</v>
      </c>
      <c r="G5462" s="20" t="s">
        <v>21</v>
      </c>
      <c r="H5462" s="14" t="s">
        <v>18</v>
      </c>
      <c r="I5462" s="22">
        <v>2022.0</v>
      </c>
      <c r="J5462" s="16" t="str">
        <f>IFERROR(__xludf.DUMMYFUNCTION("FILTER('CLASFICACIÓN'!$F$3:$F5618,'CLASFICACIÓN'!$G$3:$G5618=M5462)"),"SOLO LINEA BASE")</f>
        <v>SOLO LINEA BASE</v>
      </c>
      <c r="K5462" s="16"/>
      <c r="L5462" s="14" t="s">
        <v>199</v>
      </c>
      <c r="M5462" s="16" t="str">
        <f t="shared" si="1"/>
        <v>1457365 LOS RIT'S DEL ALTO ANDINO5 Secundaria</v>
      </c>
      <c r="N5462" s="23"/>
      <c r="O5462" s="17"/>
      <c r="P5462" s="17"/>
      <c r="Q5462" s="17"/>
      <c r="R5462" s="17"/>
      <c r="S5462" s="17"/>
      <c r="T5462" s="17"/>
    </row>
    <row r="5463">
      <c r="A5463" s="21">
        <v>1591.0</v>
      </c>
      <c r="B5463" s="14" t="s">
        <v>90</v>
      </c>
      <c r="C5463" s="14" t="s">
        <v>27</v>
      </c>
      <c r="D5463" s="20" t="s">
        <v>201</v>
      </c>
      <c r="E5463" s="12" t="str">
        <f>IFERROR(__xludf.DUMMYFUNCTION("FILTER(colegios!$B$2:$B5618,colegios!$A$2:$A5618=L5463)"),"1457365 LOS RIT'S DEL ALTO ANDINO")</f>
        <v>1457365 LOS RIT'S DEL ALTO ANDINO</v>
      </c>
      <c r="F5463" s="14" t="s">
        <v>16</v>
      </c>
      <c r="G5463" s="20" t="s">
        <v>21</v>
      </c>
      <c r="H5463" s="14" t="s">
        <v>18</v>
      </c>
      <c r="I5463" s="22">
        <v>2022.0</v>
      </c>
      <c r="J5463" s="16" t="str">
        <f>IFERROR(__xludf.DUMMYFUNCTION("FILTER('CLASFICACIÓN'!$F$3:$F5618,'CLASFICACIÓN'!$G$3:$G5618=M5463)"),"SOLO LINEA BASE")</f>
        <v>SOLO LINEA BASE</v>
      </c>
      <c r="K5463" s="16"/>
      <c r="L5463" s="14" t="s">
        <v>199</v>
      </c>
      <c r="M5463" s="16" t="str">
        <f t="shared" si="1"/>
        <v>1457365 LOS RIT'S DEL ALTO ANDINO5 Secundaria</v>
      </c>
      <c r="N5463" s="23"/>
      <c r="O5463" s="17"/>
      <c r="P5463" s="17"/>
      <c r="Q5463" s="17"/>
      <c r="R5463" s="17"/>
      <c r="S5463" s="17"/>
      <c r="T5463" s="17"/>
    </row>
    <row r="5464">
      <c r="A5464" s="21">
        <v>1592.0</v>
      </c>
      <c r="B5464" s="14" t="s">
        <v>90</v>
      </c>
      <c r="C5464" s="14" t="s">
        <v>27</v>
      </c>
      <c r="D5464" s="20" t="s">
        <v>201</v>
      </c>
      <c r="E5464" s="12" t="str">
        <f>IFERROR(__xludf.DUMMYFUNCTION("FILTER(colegios!$B$2:$B5618,colegios!$A$2:$A5618=L5464)"),"1457365 LOS RIT'S DEL ALTO ANDINO")</f>
        <v>1457365 LOS RIT'S DEL ALTO ANDINO</v>
      </c>
      <c r="F5464" s="14" t="s">
        <v>16</v>
      </c>
      <c r="G5464" s="20" t="s">
        <v>21</v>
      </c>
      <c r="H5464" s="14" t="s">
        <v>18</v>
      </c>
      <c r="I5464" s="22">
        <v>2022.0</v>
      </c>
      <c r="J5464" s="16" t="str">
        <f>IFERROR(__xludf.DUMMYFUNCTION("FILTER('CLASFICACIÓN'!$F$3:$F5618,'CLASFICACIÓN'!$G$3:$G5618=M5464)"),"SOLO LINEA BASE")</f>
        <v>SOLO LINEA BASE</v>
      </c>
      <c r="K5464" s="16"/>
      <c r="L5464" s="14" t="s">
        <v>199</v>
      </c>
      <c r="M5464" s="16" t="str">
        <f t="shared" si="1"/>
        <v>1457365 LOS RIT'S DEL ALTO ANDINO5 Secundaria</v>
      </c>
      <c r="N5464" s="23"/>
      <c r="O5464" s="17"/>
      <c r="P5464" s="17"/>
      <c r="Q5464" s="17"/>
      <c r="R5464" s="17"/>
      <c r="S5464" s="17"/>
      <c r="T5464" s="17"/>
    </row>
    <row r="5465">
      <c r="A5465" s="21">
        <v>1593.0</v>
      </c>
      <c r="B5465" s="14" t="s">
        <v>90</v>
      </c>
      <c r="C5465" s="14" t="s">
        <v>27</v>
      </c>
      <c r="D5465" s="20" t="s">
        <v>201</v>
      </c>
      <c r="E5465" s="12" t="str">
        <f>IFERROR(__xludf.DUMMYFUNCTION("FILTER(colegios!$B$2:$B5618,colegios!$A$2:$A5618=L5465)"),"1457365 LOS RIT'S DEL ALTO ANDINO")</f>
        <v>1457365 LOS RIT'S DEL ALTO ANDINO</v>
      </c>
      <c r="F5465" s="14" t="s">
        <v>16</v>
      </c>
      <c r="G5465" s="20" t="s">
        <v>17</v>
      </c>
      <c r="H5465" s="14" t="s">
        <v>18</v>
      </c>
      <c r="I5465" s="22">
        <v>2022.0</v>
      </c>
      <c r="J5465" s="16" t="str">
        <f>IFERROR(__xludf.DUMMYFUNCTION("FILTER('CLASFICACIÓN'!$F$3:$F5618,'CLASFICACIÓN'!$G$3:$G5618=M5465)"),"SOLO LINEA BASE")</f>
        <v>SOLO LINEA BASE</v>
      </c>
      <c r="K5465" s="16"/>
      <c r="L5465" s="14" t="s">
        <v>199</v>
      </c>
      <c r="M5465" s="16" t="str">
        <f t="shared" si="1"/>
        <v>1457365 LOS RIT'S DEL ALTO ANDINO5 Secundaria</v>
      </c>
      <c r="N5465" s="23"/>
      <c r="O5465" s="17"/>
      <c r="P5465" s="17"/>
      <c r="Q5465" s="17"/>
      <c r="R5465" s="17"/>
      <c r="S5465" s="17"/>
      <c r="T5465" s="17"/>
    </row>
    <row r="5466">
      <c r="A5466" s="21">
        <v>1594.0</v>
      </c>
      <c r="B5466" s="14" t="s">
        <v>90</v>
      </c>
      <c r="C5466" s="14" t="s">
        <v>27</v>
      </c>
      <c r="D5466" s="20" t="s">
        <v>201</v>
      </c>
      <c r="E5466" s="12" t="str">
        <f>IFERROR(__xludf.DUMMYFUNCTION("FILTER(colegios!$B$2:$B5618,colegios!$A$2:$A5618=L5466)"),"1457365 LOS RIT'S DEL ALTO ANDINO")</f>
        <v>1457365 LOS RIT'S DEL ALTO ANDINO</v>
      </c>
      <c r="F5466" s="14" t="s">
        <v>16</v>
      </c>
      <c r="G5466" s="20" t="s">
        <v>21</v>
      </c>
      <c r="H5466" s="14" t="s">
        <v>18</v>
      </c>
      <c r="I5466" s="22">
        <v>2022.0</v>
      </c>
      <c r="J5466" s="16" t="str">
        <f>IFERROR(__xludf.DUMMYFUNCTION("FILTER('CLASFICACIÓN'!$F$3:$F5618,'CLASFICACIÓN'!$G$3:$G5618=M5466)"),"SOLO LINEA BASE")</f>
        <v>SOLO LINEA BASE</v>
      </c>
      <c r="K5466" s="16"/>
      <c r="L5466" s="14" t="s">
        <v>199</v>
      </c>
      <c r="M5466" s="16" t="str">
        <f t="shared" si="1"/>
        <v>1457365 LOS RIT'S DEL ALTO ANDINO5 Secundaria</v>
      </c>
      <c r="N5466" s="23"/>
      <c r="O5466" s="17"/>
      <c r="P5466" s="17"/>
      <c r="Q5466" s="17"/>
      <c r="R5466" s="17"/>
      <c r="S5466" s="17"/>
      <c r="T5466" s="17"/>
    </row>
    <row r="5467">
      <c r="A5467" s="21">
        <v>1595.0</v>
      </c>
      <c r="B5467" s="14" t="s">
        <v>90</v>
      </c>
      <c r="C5467" s="14" t="s">
        <v>27</v>
      </c>
      <c r="D5467" s="20" t="s">
        <v>201</v>
      </c>
      <c r="E5467" s="12" t="str">
        <f>IFERROR(__xludf.DUMMYFUNCTION("FILTER(colegios!$B$2:$B5618,colegios!$A$2:$A5618=L5467)"),"1457365 LOS RIT'S DEL ALTO ANDINO")</f>
        <v>1457365 LOS RIT'S DEL ALTO ANDINO</v>
      </c>
      <c r="F5467" s="14" t="s">
        <v>16</v>
      </c>
      <c r="G5467" s="20" t="s">
        <v>17</v>
      </c>
      <c r="H5467" s="14" t="s">
        <v>18</v>
      </c>
      <c r="I5467" s="22">
        <v>2022.0</v>
      </c>
      <c r="J5467" s="16" t="str">
        <f>IFERROR(__xludf.DUMMYFUNCTION("FILTER('CLASFICACIÓN'!$F$3:$F5618,'CLASFICACIÓN'!$G$3:$G5618=M5467)"),"SOLO LINEA BASE")</f>
        <v>SOLO LINEA BASE</v>
      </c>
      <c r="K5467" s="16"/>
      <c r="L5467" s="14" t="s">
        <v>199</v>
      </c>
      <c r="M5467" s="16" t="str">
        <f t="shared" si="1"/>
        <v>1457365 LOS RIT'S DEL ALTO ANDINO5 Secundaria</v>
      </c>
      <c r="N5467" s="23"/>
      <c r="O5467" s="17"/>
      <c r="P5467" s="17"/>
      <c r="Q5467" s="17"/>
      <c r="R5467" s="17"/>
      <c r="S5467" s="17"/>
      <c r="T5467" s="17"/>
    </row>
    <row r="5468">
      <c r="A5468" s="21">
        <v>1596.0</v>
      </c>
      <c r="B5468" s="14" t="s">
        <v>90</v>
      </c>
      <c r="C5468" s="14" t="s">
        <v>27</v>
      </c>
      <c r="D5468" s="20" t="s">
        <v>201</v>
      </c>
      <c r="E5468" s="12" t="str">
        <f>IFERROR(__xludf.DUMMYFUNCTION("FILTER(colegios!$B$2:$B5618,colegios!$A$2:$A5618=L5468)"),"1457365 LOS RIT'S DEL ALTO ANDINO")</f>
        <v>1457365 LOS RIT'S DEL ALTO ANDINO</v>
      </c>
      <c r="F5468" s="14" t="s">
        <v>16</v>
      </c>
      <c r="G5468" s="20" t="s">
        <v>21</v>
      </c>
      <c r="H5468" s="14" t="s">
        <v>18</v>
      </c>
      <c r="I5468" s="22">
        <v>2022.0</v>
      </c>
      <c r="J5468" s="16" t="str">
        <f>IFERROR(__xludf.DUMMYFUNCTION("FILTER('CLASFICACIÓN'!$F$3:$F5618,'CLASFICACIÓN'!$G$3:$G5618=M5468)"),"SOLO LINEA BASE")</f>
        <v>SOLO LINEA BASE</v>
      </c>
      <c r="K5468" s="16"/>
      <c r="L5468" s="14" t="s">
        <v>199</v>
      </c>
      <c r="M5468" s="16" t="str">
        <f t="shared" si="1"/>
        <v>1457365 LOS RIT'S DEL ALTO ANDINO5 Secundaria</v>
      </c>
      <c r="N5468" s="23"/>
      <c r="O5468" s="17"/>
      <c r="P5468" s="17"/>
      <c r="Q5468" s="17"/>
      <c r="R5468" s="17"/>
      <c r="S5468" s="17"/>
      <c r="T5468" s="17"/>
    </row>
    <row r="5469">
      <c r="A5469" s="21">
        <v>1597.0</v>
      </c>
      <c r="B5469" s="14" t="s">
        <v>90</v>
      </c>
      <c r="C5469" s="14" t="s">
        <v>27</v>
      </c>
      <c r="D5469" s="20" t="s">
        <v>201</v>
      </c>
      <c r="E5469" s="12" t="str">
        <f>IFERROR(__xludf.DUMMYFUNCTION("FILTER(colegios!$B$2:$B5618,colegios!$A$2:$A5618=L5469)"),"1457365 LOS RIT'S DEL ALTO ANDINO")</f>
        <v>1457365 LOS RIT'S DEL ALTO ANDINO</v>
      </c>
      <c r="F5469" s="14" t="s">
        <v>16</v>
      </c>
      <c r="G5469" s="20" t="s">
        <v>17</v>
      </c>
      <c r="H5469" s="14" t="s">
        <v>18</v>
      </c>
      <c r="I5469" s="22">
        <v>2022.0</v>
      </c>
      <c r="J5469" s="16" t="str">
        <f>IFERROR(__xludf.DUMMYFUNCTION("FILTER('CLASFICACIÓN'!$F$3:$F5618,'CLASFICACIÓN'!$G$3:$G5618=M5469)"),"SOLO LINEA BASE")</f>
        <v>SOLO LINEA BASE</v>
      </c>
      <c r="K5469" s="16"/>
      <c r="L5469" s="14" t="s">
        <v>199</v>
      </c>
      <c r="M5469" s="16" t="str">
        <f t="shared" si="1"/>
        <v>1457365 LOS RIT'S DEL ALTO ANDINO5 Secundaria</v>
      </c>
      <c r="N5469" s="23"/>
      <c r="O5469" s="17"/>
      <c r="P5469" s="17"/>
      <c r="Q5469" s="17"/>
      <c r="R5469" s="17"/>
      <c r="S5469" s="17"/>
      <c r="T5469" s="17"/>
    </row>
    <row r="5470">
      <c r="A5470" s="21">
        <v>1598.0</v>
      </c>
      <c r="B5470" s="14" t="s">
        <v>90</v>
      </c>
      <c r="C5470" s="14" t="s">
        <v>27</v>
      </c>
      <c r="D5470" s="20" t="s">
        <v>201</v>
      </c>
      <c r="E5470" s="12" t="str">
        <f>IFERROR(__xludf.DUMMYFUNCTION("FILTER(colegios!$B$2:$B5618,colegios!$A$2:$A5618=L5470)"),"1457365 LOS RIT'S DEL ALTO ANDINO")</f>
        <v>1457365 LOS RIT'S DEL ALTO ANDINO</v>
      </c>
      <c r="F5470" s="14" t="s">
        <v>16</v>
      </c>
      <c r="G5470" s="20" t="s">
        <v>21</v>
      </c>
      <c r="H5470" s="14" t="s">
        <v>18</v>
      </c>
      <c r="I5470" s="22">
        <v>2022.0</v>
      </c>
      <c r="J5470" s="16" t="str">
        <f>IFERROR(__xludf.DUMMYFUNCTION("FILTER('CLASFICACIÓN'!$F$3:$F5618,'CLASFICACIÓN'!$G$3:$G5618=M5470)"),"SOLO LINEA BASE")</f>
        <v>SOLO LINEA BASE</v>
      </c>
      <c r="K5470" s="16"/>
      <c r="L5470" s="14" t="s">
        <v>199</v>
      </c>
      <c r="M5470" s="16" t="str">
        <f t="shared" si="1"/>
        <v>1457365 LOS RIT'S DEL ALTO ANDINO5 Secundaria</v>
      </c>
      <c r="N5470" s="23"/>
      <c r="O5470" s="17"/>
      <c r="P5470" s="17"/>
      <c r="Q5470" s="17"/>
      <c r="R5470" s="17"/>
      <c r="S5470" s="17"/>
      <c r="T5470" s="17"/>
    </row>
    <row r="5471">
      <c r="A5471" s="21">
        <v>1599.0</v>
      </c>
      <c r="B5471" s="14" t="s">
        <v>90</v>
      </c>
      <c r="C5471" s="14" t="s">
        <v>27</v>
      </c>
      <c r="D5471" s="20" t="s">
        <v>201</v>
      </c>
      <c r="E5471" s="12" t="str">
        <f>IFERROR(__xludf.DUMMYFUNCTION("FILTER(colegios!$B$2:$B5618,colegios!$A$2:$A5618=L5471)"),"1457365 LOS RIT'S DEL ALTO ANDINO")</f>
        <v>1457365 LOS RIT'S DEL ALTO ANDINO</v>
      </c>
      <c r="F5471" s="14" t="s">
        <v>16</v>
      </c>
      <c r="G5471" s="20" t="s">
        <v>21</v>
      </c>
      <c r="H5471" s="14" t="s">
        <v>18</v>
      </c>
      <c r="I5471" s="22">
        <v>2022.0</v>
      </c>
      <c r="J5471" s="16" t="str">
        <f>IFERROR(__xludf.DUMMYFUNCTION("FILTER('CLASFICACIÓN'!$F$3:$F5618,'CLASFICACIÓN'!$G$3:$G5618=M5471)"),"SOLO LINEA BASE")</f>
        <v>SOLO LINEA BASE</v>
      </c>
      <c r="K5471" s="16"/>
      <c r="L5471" s="14" t="s">
        <v>199</v>
      </c>
      <c r="M5471" s="16" t="str">
        <f t="shared" si="1"/>
        <v>1457365 LOS RIT'S DEL ALTO ANDINO5 Secundaria</v>
      </c>
      <c r="N5471" s="23"/>
      <c r="O5471" s="17"/>
      <c r="P5471" s="17"/>
      <c r="Q5471" s="17"/>
      <c r="R5471" s="17"/>
      <c r="S5471" s="17"/>
      <c r="T5471" s="17"/>
    </row>
    <row r="5472">
      <c r="A5472" s="21">
        <v>1600.0</v>
      </c>
      <c r="B5472" s="14" t="s">
        <v>90</v>
      </c>
      <c r="C5472" s="14" t="s">
        <v>27</v>
      </c>
      <c r="D5472" s="20" t="s">
        <v>201</v>
      </c>
      <c r="E5472" s="12" t="str">
        <f>IFERROR(__xludf.DUMMYFUNCTION("FILTER(colegios!$B$2:$B5618,colegios!$A$2:$A5618=L5472)"),"1457365 LOS RIT'S DEL ALTO ANDINO")</f>
        <v>1457365 LOS RIT'S DEL ALTO ANDINO</v>
      </c>
      <c r="F5472" s="14" t="s">
        <v>16</v>
      </c>
      <c r="G5472" s="20" t="s">
        <v>21</v>
      </c>
      <c r="H5472" s="14" t="s">
        <v>18</v>
      </c>
      <c r="I5472" s="22">
        <v>2022.0</v>
      </c>
      <c r="J5472" s="16" t="str">
        <f>IFERROR(__xludf.DUMMYFUNCTION("FILTER('CLASFICACIÓN'!$F$3:$F5618,'CLASFICACIÓN'!$G$3:$G5618=M5472)"),"SOLO LINEA BASE")</f>
        <v>SOLO LINEA BASE</v>
      </c>
      <c r="K5472" s="16"/>
      <c r="L5472" s="14" t="s">
        <v>199</v>
      </c>
      <c r="M5472" s="16" t="str">
        <f t="shared" si="1"/>
        <v>1457365 LOS RIT'S DEL ALTO ANDINO5 Secundaria</v>
      </c>
      <c r="N5472" s="23"/>
      <c r="O5472" s="17"/>
      <c r="P5472" s="17"/>
      <c r="Q5472" s="17"/>
      <c r="R5472" s="17"/>
      <c r="S5472" s="17"/>
      <c r="T5472" s="17"/>
    </row>
    <row r="5473">
      <c r="A5473" s="21">
        <v>1601.0</v>
      </c>
      <c r="B5473" s="14" t="s">
        <v>90</v>
      </c>
      <c r="C5473" s="14" t="s">
        <v>27</v>
      </c>
      <c r="D5473" s="20" t="s">
        <v>201</v>
      </c>
      <c r="E5473" s="12" t="str">
        <f>IFERROR(__xludf.DUMMYFUNCTION("FILTER(colegios!$B$2:$B5618,colegios!$A$2:$A5618=L5473)"),"1457365 LOS RIT'S DEL ALTO ANDINO")</f>
        <v>1457365 LOS RIT'S DEL ALTO ANDINO</v>
      </c>
      <c r="F5473" s="14" t="s">
        <v>16</v>
      </c>
      <c r="G5473" s="20" t="s">
        <v>17</v>
      </c>
      <c r="H5473" s="14" t="s">
        <v>18</v>
      </c>
      <c r="I5473" s="22">
        <v>2022.0</v>
      </c>
      <c r="J5473" s="16" t="str">
        <f>IFERROR(__xludf.DUMMYFUNCTION("FILTER('CLASFICACIÓN'!$F$3:$F5618,'CLASFICACIÓN'!$G$3:$G5618=M5473)"),"SOLO LINEA BASE")</f>
        <v>SOLO LINEA BASE</v>
      </c>
      <c r="K5473" s="16"/>
      <c r="L5473" s="14" t="s">
        <v>199</v>
      </c>
      <c r="M5473" s="16" t="str">
        <f t="shared" si="1"/>
        <v>1457365 LOS RIT'S DEL ALTO ANDINO5 Secundaria</v>
      </c>
      <c r="N5473" s="23"/>
      <c r="O5473" s="17"/>
      <c r="P5473" s="17"/>
      <c r="Q5473" s="17"/>
      <c r="R5473" s="17"/>
      <c r="S5473" s="17"/>
      <c r="T5473" s="17"/>
    </row>
    <row r="5474">
      <c r="A5474" s="21">
        <v>1602.0</v>
      </c>
      <c r="B5474" s="14" t="s">
        <v>90</v>
      </c>
      <c r="C5474" s="14" t="s">
        <v>27</v>
      </c>
      <c r="D5474" s="20" t="s">
        <v>201</v>
      </c>
      <c r="E5474" s="12" t="str">
        <f>IFERROR(__xludf.DUMMYFUNCTION("FILTER(colegios!$B$2:$B5618,colegios!$A$2:$A5618=L5474)"),"1457365 LOS RIT'S DEL ALTO ANDINO")</f>
        <v>1457365 LOS RIT'S DEL ALTO ANDINO</v>
      </c>
      <c r="F5474" s="14" t="s">
        <v>16</v>
      </c>
      <c r="G5474" s="20" t="s">
        <v>21</v>
      </c>
      <c r="H5474" s="14" t="s">
        <v>18</v>
      </c>
      <c r="I5474" s="22">
        <v>2022.0</v>
      </c>
      <c r="J5474" s="16" t="str">
        <f>IFERROR(__xludf.DUMMYFUNCTION("FILTER('CLASFICACIÓN'!$F$3:$F5618,'CLASFICACIÓN'!$G$3:$G5618=M5474)"),"SOLO LINEA BASE")</f>
        <v>SOLO LINEA BASE</v>
      </c>
      <c r="K5474" s="16"/>
      <c r="L5474" s="14" t="s">
        <v>199</v>
      </c>
      <c r="M5474" s="16" t="str">
        <f t="shared" si="1"/>
        <v>1457365 LOS RIT'S DEL ALTO ANDINO5 Secundaria</v>
      </c>
      <c r="N5474" s="23"/>
      <c r="O5474" s="17"/>
      <c r="P5474" s="17"/>
      <c r="Q5474" s="17"/>
      <c r="R5474" s="17"/>
      <c r="S5474" s="17"/>
      <c r="T5474" s="17"/>
    </row>
    <row r="5475">
      <c r="A5475" s="21">
        <v>1603.0</v>
      </c>
      <c r="B5475" s="14" t="s">
        <v>90</v>
      </c>
      <c r="C5475" s="14" t="s">
        <v>27</v>
      </c>
      <c r="D5475" s="20" t="s">
        <v>201</v>
      </c>
      <c r="E5475" s="12" t="str">
        <f>IFERROR(__xludf.DUMMYFUNCTION("FILTER(colegios!$B$2:$B5618,colegios!$A$2:$A5618=L5475)"),"1457365 LOS RIT'S DEL ALTO ANDINO")</f>
        <v>1457365 LOS RIT'S DEL ALTO ANDINO</v>
      </c>
      <c r="F5475" s="14" t="s">
        <v>16</v>
      </c>
      <c r="G5475" s="20" t="s">
        <v>21</v>
      </c>
      <c r="H5475" s="14" t="s">
        <v>18</v>
      </c>
      <c r="I5475" s="22">
        <v>2022.0</v>
      </c>
      <c r="J5475" s="16" t="str">
        <f>IFERROR(__xludf.DUMMYFUNCTION("FILTER('CLASFICACIÓN'!$F$3:$F5618,'CLASFICACIÓN'!$G$3:$G5618=M5475)"),"SOLO LINEA BASE")</f>
        <v>SOLO LINEA BASE</v>
      </c>
      <c r="K5475" s="16"/>
      <c r="L5475" s="14" t="s">
        <v>199</v>
      </c>
      <c r="M5475" s="16" t="str">
        <f t="shared" si="1"/>
        <v>1457365 LOS RIT'S DEL ALTO ANDINO5 Secundaria</v>
      </c>
      <c r="N5475" s="23"/>
      <c r="O5475" s="17"/>
      <c r="P5475" s="17"/>
      <c r="Q5475" s="17"/>
      <c r="R5475" s="17"/>
      <c r="S5475" s="17"/>
      <c r="T5475" s="17"/>
    </row>
    <row r="5476">
      <c r="A5476" s="21">
        <v>1604.0</v>
      </c>
      <c r="B5476" s="14" t="s">
        <v>90</v>
      </c>
      <c r="C5476" s="14" t="s">
        <v>27</v>
      </c>
      <c r="D5476" s="20" t="s">
        <v>201</v>
      </c>
      <c r="E5476" s="12" t="str">
        <f>IFERROR(__xludf.DUMMYFUNCTION("FILTER(colegios!$B$2:$B5618,colegios!$A$2:$A5618=L5476)"),"1457365 LOS RIT'S DEL ALTO ANDINO")</f>
        <v>1457365 LOS RIT'S DEL ALTO ANDINO</v>
      </c>
      <c r="F5476" s="14" t="s">
        <v>16</v>
      </c>
      <c r="G5476" s="20" t="s">
        <v>17</v>
      </c>
      <c r="H5476" s="14" t="s">
        <v>18</v>
      </c>
      <c r="I5476" s="22">
        <v>2022.0</v>
      </c>
      <c r="J5476" s="16" t="str">
        <f>IFERROR(__xludf.DUMMYFUNCTION("FILTER('CLASFICACIÓN'!$F$3:$F5618,'CLASFICACIÓN'!$G$3:$G5618=M5476)"),"SOLO LINEA BASE")</f>
        <v>SOLO LINEA BASE</v>
      </c>
      <c r="K5476" s="16"/>
      <c r="L5476" s="14" t="s">
        <v>199</v>
      </c>
      <c r="M5476" s="16" t="str">
        <f t="shared" si="1"/>
        <v>1457365 LOS RIT'S DEL ALTO ANDINO5 Secundaria</v>
      </c>
      <c r="N5476" s="23"/>
      <c r="O5476" s="17"/>
      <c r="P5476" s="17"/>
      <c r="Q5476" s="17"/>
      <c r="R5476" s="17"/>
      <c r="S5476" s="17"/>
      <c r="T5476" s="17"/>
    </row>
    <row r="5477">
      <c r="A5477" s="21">
        <v>1605.0</v>
      </c>
      <c r="B5477" s="14" t="s">
        <v>90</v>
      </c>
      <c r="C5477" s="14" t="s">
        <v>27</v>
      </c>
      <c r="D5477" s="20" t="s">
        <v>201</v>
      </c>
      <c r="E5477" s="12" t="str">
        <f>IFERROR(__xludf.DUMMYFUNCTION("FILTER(colegios!$B$2:$B5618,colegios!$A$2:$A5618=L5477)"),"1457365 LOS RIT'S DEL ALTO ANDINO")</f>
        <v>1457365 LOS RIT'S DEL ALTO ANDINO</v>
      </c>
      <c r="F5477" s="14" t="s">
        <v>16</v>
      </c>
      <c r="G5477" s="20" t="s">
        <v>17</v>
      </c>
      <c r="H5477" s="14" t="s">
        <v>18</v>
      </c>
      <c r="I5477" s="22">
        <v>2022.0</v>
      </c>
      <c r="J5477" s="16" t="str">
        <f>IFERROR(__xludf.DUMMYFUNCTION("FILTER('CLASFICACIÓN'!$F$3:$F5618,'CLASFICACIÓN'!$G$3:$G5618=M5477)"),"SOLO LINEA BASE")</f>
        <v>SOLO LINEA BASE</v>
      </c>
      <c r="K5477" s="16"/>
      <c r="L5477" s="14" t="s">
        <v>199</v>
      </c>
      <c r="M5477" s="16" t="str">
        <f t="shared" si="1"/>
        <v>1457365 LOS RIT'S DEL ALTO ANDINO5 Secundaria</v>
      </c>
      <c r="N5477" s="23"/>
      <c r="O5477" s="17"/>
      <c r="P5477" s="17"/>
      <c r="Q5477" s="17"/>
      <c r="R5477" s="17"/>
      <c r="S5477" s="17"/>
      <c r="T5477" s="17"/>
    </row>
    <row r="5478">
      <c r="A5478" s="21">
        <v>1606.0</v>
      </c>
      <c r="B5478" s="14" t="s">
        <v>90</v>
      </c>
      <c r="C5478" s="14" t="s">
        <v>27</v>
      </c>
      <c r="D5478" s="20" t="s">
        <v>201</v>
      </c>
      <c r="E5478" s="12" t="str">
        <f>IFERROR(__xludf.DUMMYFUNCTION("FILTER(colegios!$B$2:$B5618,colegios!$A$2:$A5618=L5478)"),"1457365 LOS RIT'S DEL ALTO ANDINO")</f>
        <v>1457365 LOS RIT'S DEL ALTO ANDINO</v>
      </c>
      <c r="F5478" s="14" t="s">
        <v>16</v>
      </c>
      <c r="G5478" s="20" t="s">
        <v>21</v>
      </c>
      <c r="H5478" s="14" t="s">
        <v>18</v>
      </c>
      <c r="I5478" s="22">
        <v>2022.0</v>
      </c>
      <c r="J5478" s="16" t="str">
        <f>IFERROR(__xludf.DUMMYFUNCTION("FILTER('CLASFICACIÓN'!$F$3:$F5618,'CLASFICACIÓN'!$G$3:$G5618=M5478)"),"SOLO LINEA BASE")</f>
        <v>SOLO LINEA BASE</v>
      </c>
      <c r="K5478" s="16"/>
      <c r="L5478" s="14" t="s">
        <v>199</v>
      </c>
      <c r="M5478" s="16" t="str">
        <f t="shared" si="1"/>
        <v>1457365 LOS RIT'S DEL ALTO ANDINO5 Secundaria</v>
      </c>
      <c r="N5478" s="23"/>
      <c r="O5478" s="17"/>
      <c r="P5478" s="17"/>
      <c r="Q5478" s="17"/>
      <c r="R5478" s="17"/>
      <c r="S5478" s="17"/>
      <c r="T5478" s="17"/>
    </row>
    <row r="5479">
      <c r="A5479" s="21">
        <v>1607.0</v>
      </c>
      <c r="B5479" s="14" t="s">
        <v>90</v>
      </c>
      <c r="C5479" s="14" t="s">
        <v>27</v>
      </c>
      <c r="D5479" s="20" t="s">
        <v>201</v>
      </c>
      <c r="E5479" s="12" t="str">
        <f>IFERROR(__xludf.DUMMYFUNCTION("FILTER(colegios!$B$2:$B5618,colegios!$A$2:$A5618=L5479)"),"1457365 LOS RIT'S DEL ALTO ANDINO")</f>
        <v>1457365 LOS RIT'S DEL ALTO ANDINO</v>
      </c>
      <c r="F5479" s="14" t="s">
        <v>16</v>
      </c>
      <c r="G5479" s="20" t="s">
        <v>21</v>
      </c>
      <c r="H5479" s="14" t="s">
        <v>18</v>
      </c>
      <c r="I5479" s="22">
        <v>2022.0</v>
      </c>
      <c r="J5479" s="16" t="str">
        <f>IFERROR(__xludf.DUMMYFUNCTION("FILTER('CLASFICACIÓN'!$F$3:$F5618,'CLASFICACIÓN'!$G$3:$G5618=M5479)"),"SOLO LINEA BASE")</f>
        <v>SOLO LINEA BASE</v>
      </c>
      <c r="K5479" s="16"/>
      <c r="L5479" s="14" t="s">
        <v>199</v>
      </c>
      <c r="M5479" s="16" t="str">
        <f t="shared" si="1"/>
        <v>1457365 LOS RIT'S DEL ALTO ANDINO5 Secundaria</v>
      </c>
      <c r="N5479" s="23"/>
      <c r="O5479" s="17"/>
      <c r="P5479" s="17"/>
      <c r="Q5479" s="17"/>
      <c r="R5479" s="17"/>
      <c r="S5479" s="17"/>
      <c r="T5479" s="17"/>
    </row>
    <row r="5480">
      <c r="A5480" s="21">
        <v>1608.0</v>
      </c>
      <c r="B5480" s="14" t="s">
        <v>90</v>
      </c>
      <c r="C5480" s="14" t="s">
        <v>27</v>
      </c>
      <c r="D5480" s="20" t="s">
        <v>201</v>
      </c>
      <c r="E5480" s="12" t="str">
        <f>IFERROR(__xludf.DUMMYFUNCTION("FILTER(colegios!$B$2:$B5618,colegios!$A$2:$A5618=L5480)"),"1457365 LOS RIT'S DEL ALTO ANDINO")</f>
        <v>1457365 LOS RIT'S DEL ALTO ANDINO</v>
      </c>
      <c r="F5480" s="14" t="s">
        <v>16</v>
      </c>
      <c r="G5480" s="20" t="s">
        <v>17</v>
      </c>
      <c r="H5480" s="14" t="s">
        <v>18</v>
      </c>
      <c r="I5480" s="22">
        <v>2022.0</v>
      </c>
      <c r="J5480" s="16" t="str">
        <f>IFERROR(__xludf.DUMMYFUNCTION("FILTER('CLASFICACIÓN'!$F$3:$F5618,'CLASFICACIÓN'!$G$3:$G5618=M5480)"),"SOLO LINEA BASE")</f>
        <v>SOLO LINEA BASE</v>
      </c>
      <c r="K5480" s="16"/>
      <c r="L5480" s="14" t="s">
        <v>199</v>
      </c>
      <c r="M5480" s="16" t="str">
        <f t="shared" si="1"/>
        <v>1457365 LOS RIT'S DEL ALTO ANDINO5 Secundaria</v>
      </c>
      <c r="N5480" s="23"/>
      <c r="O5480" s="17"/>
      <c r="P5480" s="17"/>
      <c r="Q5480" s="17"/>
      <c r="R5480" s="17"/>
      <c r="S5480" s="17"/>
      <c r="T5480" s="17"/>
    </row>
    <row r="5481">
      <c r="A5481" s="21">
        <v>1609.0</v>
      </c>
      <c r="B5481" s="14" t="s">
        <v>90</v>
      </c>
      <c r="C5481" s="14" t="s">
        <v>27</v>
      </c>
      <c r="D5481" s="20" t="s">
        <v>201</v>
      </c>
      <c r="E5481" s="12" t="str">
        <f>IFERROR(__xludf.DUMMYFUNCTION("FILTER(colegios!$B$2:$B5618,colegios!$A$2:$A5618=L5481)"),"1457365 LOS RIT'S DEL ALTO ANDINO")</f>
        <v>1457365 LOS RIT'S DEL ALTO ANDINO</v>
      </c>
      <c r="F5481" s="14" t="s">
        <v>16</v>
      </c>
      <c r="G5481" s="20" t="s">
        <v>17</v>
      </c>
      <c r="H5481" s="14" t="s">
        <v>18</v>
      </c>
      <c r="I5481" s="22">
        <v>2022.0</v>
      </c>
      <c r="J5481" s="16" t="str">
        <f>IFERROR(__xludf.DUMMYFUNCTION("FILTER('CLASFICACIÓN'!$F$3:$F5618,'CLASFICACIÓN'!$G$3:$G5618=M5481)"),"SOLO LINEA BASE")</f>
        <v>SOLO LINEA BASE</v>
      </c>
      <c r="K5481" s="16"/>
      <c r="L5481" s="14" t="s">
        <v>199</v>
      </c>
      <c r="M5481" s="16" t="str">
        <f t="shared" si="1"/>
        <v>1457365 LOS RIT'S DEL ALTO ANDINO5 Secundaria</v>
      </c>
      <c r="N5481" s="23"/>
      <c r="O5481" s="17"/>
      <c r="P5481" s="17"/>
      <c r="Q5481" s="17"/>
      <c r="R5481" s="17"/>
      <c r="S5481" s="17"/>
      <c r="T5481" s="17"/>
    </row>
    <row r="5482">
      <c r="A5482" s="21">
        <v>1610.0</v>
      </c>
      <c r="B5482" s="14" t="s">
        <v>90</v>
      </c>
      <c r="C5482" s="14" t="s">
        <v>27</v>
      </c>
      <c r="D5482" s="20" t="s">
        <v>201</v>
      </c>
      <c r="E5482" s="12" t="str">
        <f>IFERROR(__xludf.DUMMYFUNCTION("FILTER(colegios!$B$2:$B5618,colegios!$A$2:$A5618=L5482)"),"1457365 LOS RIT'S DEL ALTO ANDINO")</f>
        <v>1457365 LOS RIT'S DEL ALTO ANDINO</v>
      </c>
      <c r="F5482" s="14" t="s">
        <v>16</v>
      </c>
      <c r="G5482" s="20" t="s">
        <v>21</v>
      </c>
      <c r="H5482" s="14" t="s">
        <v>18</v>
      </c>
      <c r="I5482" s="22">
        <v>2022.0</v>
      </c>
      <c r="J5482" s="16" t="str">
        <f>IFERROR(__xludf.DUMMYFUNCTION("FILTER('CLASFICACIÓN'!$F$3:$F5618,'CLASFICACIÓN'!$G$3:$G5618=M5482)"),"SOLO LINEA BASE")</f>
        <v>SOLO LINEA BASE</v>
      </c>
      <c r="K5482" s="16"/>
      <c r="L5482" s="14" t="s">
        <v>199</v>
      </c>
      <c r="M5482" s="16" t="str">
        <f t="shared" si="1"/>
        <v>1457365 LOS RIT'S DEL ALTO ANDINO5 Secundaria</v>
      </c>
      <c r="N5482" s="23"/>
      <c r="O5482" s="17"/>
      <c r="P5482" s="17"/>
      <c r="Q5482" s="17"/>
      <c r="R5482" s="17"/>
      <c r="S5482" s="17"/>
      <c r="T5482" s="17"/>
    </row>
    <row r="5483">
      <c r="A5483" s="21">
        <v>1611.0</v>
      </c>
      <c r="B5483" s="14" t="s">
        <v>90</v>
      </c>
      <c r="C5483" s="14" t="s">
        <v>27</v>
      </c>
      <c r="D5483" s="20" t="s">
        <v>201</v>
      </c>
      <c r="E5483" s="12" t="str">
        <f>IFERROR(__xludf.DUMMYFUNCTION("FILTER(colegios!$B$2:$B5618,colegios!$A$2:$A5618=L5483)"),"1457365 LOS RIT'S DEL ALTO ANDINO")</f>
        <v>1457365 LOS RIT'S DEL ALTO ANDINO</v>
      </c>
      <c r="F5483" s="14" t="s">
        <v>16</v>
      </c>
      <c r="G5483" s="20" t="s">
        <v>21</v>
      </c>
      <c r="H5483" s="14" t="s">
        <v>18</v>
      </c>
      <c r="I5483" s="22">
        <v>2022.0</v>
      </c>
      <c r="J5483" s="16" t="str">
        <f>IFERROR(__xludf.DUMMYFUNCTION("FILTER('CLASFICACIÓN'!$F$3:$F5618,'CLASFICACIÓN'!$G$3:$G5618=M5483)"),"SOLO LINEA BASE")</f>
        <v>SOLO LINEA BASE</v>
      </c>
      <c r="K5483" s="16"/>
      <c r="L5483" s="14" t="s">
        <v>199</v>
      </c>
      <c r="M5483" s="16" t="str">
        <f t="shared" si="1"/>
        <v>1457365 LOS RIT'S DEL ALTO ANDINO5 Secundaria</v>
      </c>
      <c r="N5483" s="23"/>
      <c r="O5483" s="17"/>
      <c r="P5483" s="17"/>
      <c r="Q5483" s="17"/>
      <c r="R5483" s="17"/>
      <c r="S5483" s="17"/>
      <c r="T5483" s="17"/>
    </row>
    <row r="5484">
      <c r="A5484" s="21">
        <v>1612.0</v>
      </c>
      <c r="B5484" s="14" t="s">
        <v>90</v>
      </c>
      <c r="C5484" s="14" t="s">
        <v>27</v>
      </c>
      <c r="D5484" s="20" t="s">
        <v>201</v>
      </c>
      <c r="E5484" s="12" t="str">
        <f>IFERROR(__xludf.DUMMYFUNCTION("FILTER(colegios!$B$2:$B5618,colegios!$A$2:$A5618=L5484)"),"1457365 LOS RIT'S DEL ALTO ANDINO")</f>
        <v>1457365 LOS RIT'S DEL ALTO ANDINO</v>
      </c>
      <c r="F5484" s="14" t="s">
        <v>16</v>
      </c>
      <c r="G5484" s="20" t="s">
        <v>21</v>
      </c>
      <c r="H5484" s="14" t="s">
        <v>18</v>
      </c>
      <c r="I5484" s="22">
        <v>2022.0</v>
      </c>
      <c r="J5484" s="16" t="str">
        <f>IFERROR(__xludf.DUMMYFUNCTION("FILTER('CLASFICACIÓN'!$F$3:$F5618,'CLASFICACIÓN'!$G$3:$G5618=M5484)"),"SOLO LINEA BASE")</f>
        <v>SOLO LINEA BASE</v>
      </c>
      <c r="K5484" s="16"/>
      <c r="L5484" s="14" t="s">
        <v>199</v>
      </c>
      <c r="M5484" s="16" t="str">
        <f t="shared" si="1"/>
        <v>1457365 LOS RIT'S DEL ALTO ANDINO5 Secundaria</v>
      </c>
      <c r="N5484" s="23"/>
      <c r="O5484" s="17"/>
      <c r="P5484" s="17"/>
      <c r="Q5484" s="17"/>
      <c r="R5484" s="17"/>
      <c r="S5484" s="17"/>
      <c r="T5484" s="17"/>
    </row>
    <row r="5485">
      <c r="A5485" s="21">
        <v>1613.0</v>
      </c>
      <c r="B5485" s="14" t="s">
        <v>90</v>
      </c>
      <c r="C5485" s="14" t="s">
        <v>27</v>
      </c>
      <c r="D5485" s="20" t="s">
        <v>201</v>
      </c>
      <c r="E5485" s="12" t="str">
        <f>IFERROR(__xludf.DUMMYFUNCTION("FILTER(colegios!$B$2:$B5618,colegios!$A$2:$A5618=L5485)"),"1457365 LOS RIT'S DEL ALTO ANDINO")</f>
        <v>1457365 LOS RIT'S DEL ALTO ANDINO</v>
      </c>
      <c r="F5485" s="14" t="s">
        <v>16</v>
      </c>
      <c r="G5485" s="20" t="s">
        <v>21</v>
      </c>
      <c r="H5485" s="14" t="s">
        <v>18</v>
      </c>
      <c r="I5485" s="22">
        <v>2022.0</v>
      </c>
      <c r="J5485" s="16" t="str">
        <f>IFERROR(__xludf.DUMMYFUNCTION("FILTER('CLASFICACIÓN'!$F$3:$F5618,'CLASFICACIÓN'!$G$3:$G5618=M5485)"),"SOLO LINEA BASE")</f>
        <v>SOLO LINEA BASE</v>
      </c>
      <c r="K5485" s="16"/>
      <c r="L5485" s="14" t="s">
        <v>199</v>
      </c>
      <c r="M5485" s="16" t="str">
        <f t="shared" si="1"/>
        <v>1457365 LOS RIT'S DEL ALTO ANDINO5 Secundaria</v>
      </c>
      <c r="N5485" s="23"/>
      <c r="O5485" s="17"/>
      <c r="P5485" s="17"/>
      <c r="Q5485" s="17"/>
      <c r="R5485" s="17"/>
      <c r="S5485" s="17"/>
      <c r="T5485" s="17"/>
    </row>
    <row r="5486">
      <c r="A5486" s="21">
        <v>1614.0</v>
      </c>
      <c r="B5486" s="14" t="s">
        <v>90</v>
      </c>
      <c r="C5486" s="14" t="s">
        <v>27</v>
      </c>
      <c r="D5486" s="20" t="s">
        <v>201</v>
      </c>
      <c r="E5486" s="12" t="str">
        <f>IFERROR(__xludf.DUMMYFUNCTION("FILTER(colegios!$B$2:$B5618,colegios!$A$2:$A5618=L5486)"),"1457365 LOS RIT'S DEL ALTO ANDINO")</f>
        <v>1457365 LOS RIT'S DEL ALTO ANDINO</v>
      </c>
      <c r="F5486" s="14" t="s">
        <v>16</v>
      </c>
      <c r="G5486" s="20" t="s">
        <v>21</v>
      </c>
      <c r="H5486" s="14" t="s">
        <v>18</v>
      </c>
      <c r="I5486" s="22">
        <v>2022.0</v>
      </c>
      <c r="J5486" s="16" t="str">
        <f>IFERROR(__xludf.DUMMYFUNCTION("FILTER('CLASFICACIÓN'!$F$3:$F5618,'CLASFICACIÓN'!$G$3:$G5618=M5486)"),"SOLO LINEA BASE")</f>
        <v>SOLO LINEA BASE</v>
      </c>
      <c r="K5486" s="16"/>
      <c r="L5486" s="14" t="s">
        <v>199</v>
      </c>
      <c r="M5486" s="16" t="str">
        <f t="shared" si="1"/>
        <v>1457365 LOS RIT'S DEL ALTO ANDINO5 Secundaria</v>
      </c>
      <c r="N5486" s="23"/>
      <c r="O5486" s="17"/>
      <c r="P5486" s="17"/>
      <c r="Q5486" s="17"/>
      <c r="R5486" s="17"/>
      <c r="S5486" s="17"/>
      <c r="T5486" s="17"/>
    </row>
    <row r="5487">
      <c r="A5487" s="21">
        <v>1615.0</v>
      </c>
      <c r="B5487" s="14" t="s">
        <v>90</v>
      </c>
      <c r="C5487" s="14" t="s">
        <v>27</v>
      </c>
      <c r="D5487" s="20" t="s">
        <v>201</v>
      </c>
      <c r="E5487" s="12" t="str">
        <f>IFERROR(__xludf.DUMMYFUNCTION("FILTER(colegios!$B$2:$B5618,colegios!$A$2:$A5618=L5487)"),"1457365 LOS RIT'S DEL ALTO ANDINO")</f>
        <v>1457365 LOS RIT'S DEL ALTO ANDINO</v>
      </c>
      <c r="F5487" s="14" t="s">
        <v>16</v>
      </c>
      <c r="G5487" s="20" t="s">
        <v>17</v>
      </c>
      <c r="H5487" s="14" t="s">
        <v>18</v>
      </c>
      <c r="I5487" s="22">
        <v>2022.0</v>
      </c>
      <c r="J5487" s="16" t="str">
        <f>IFERROR(__xludf.DUMMYFUNCTION("FILTER('CLASFICACIÓN'!$F$3:$F5618,'CLASFICACIÓN'!$G$3:$G5618=M5487)"),"SOLO LINEA BASE")</f>
        <v>SOLO LINEA BASE</v>
      </c>
      <c r="K5487" s="16"/>
      <c r="L5487" s="14" t="s">
        <v>199</v>
      </c>
      <c r="M5487" s="16" t="str">
        <f t="shared" si="1"/>
        <v>1457365 LOS RIT'S DEL ALTO ANDINO5 Secundaria</v>
      </c>
      <c r="N5487" s="23"/>
      <c r="O5487" s="17"/>
      <c r="P5487" s="17"/>
      <c r="Q5487" s="17"/>
      <c r="R5487" s="17"/>
      <c r="S5487" s="17"/>
      <c r="T5487" s="17"/>
    </row>
    <row r="5488">
      <c r="A5488" s="21">
        <v>1616.0</v>
      </c>
      <c r="B5488" s="14" t="s">
        <v>90</v>
      </c>
      <c r="C5488" s="14" t="s">
        <v>27</v>
      </c>
      <c r="D5488" s="20" t="s">
        <v>201</v>
      </c>
      <c r="E5488" s="12" t="str">
        <f>IFERROR(__xludf.DUMMYFUNCTION("FILTER(colegios!$B$2:$B5618,colegios!$A$2:$A5618=L5488)"),"1457365 LOS RIT'S DEL ALTO ANDINO")</f>
        <v>1457365 LOS RIT'S DEL ALTO ANDINO</v>
      </c>
      <c r="F5488" s="14" t="s">
        <v>16</v>
      </c>
      <c r="G5488" s="20" t="s">
        <v>17</v>
      </c>
      <c r="H5488" s="14" t="s">
        <v>18</v>
      </c>
      <c r="I5488" s="22">
        <v>2022.0</v>
      </c>
      <c r="J5488" s="16" t="str">
        <f>IFERROR(__xludf.DUMMYFUNCTION("FILTER('CLASFICACIÓN'!$F$3:$F5618,'CLASFICACIÓN'!$G$3:$G5618=M5488)"),"SOLO LINEA BASE")</f>
        <v>SOLO LINEA BASE</v>
      </c>
      <c r="K5488" s="16"/>
      <c r="L5488" s="14" t="s">
        <v>199</v>
      </c>
      <c r="M5488" s="16" t="str">
        <f t="shared" si="1"/>
        <v>1457365 LOS RIT'S DEL ALTO ANDINO5 Secundaria</v>
      </c>
      <c r="N5488" s="23"/>
      <c r="O5488" s="17"/>
      <c r="P5488" s="17"/>
      <c r="Q5488" s="17"/>
      <c r="R5488" s="17"/>
      <c r="S5488" s="17"/>
      <c r="T5488" s="17"/>
    </row>
    <row r="5489">
      <c r="A5489" s="21">
        <v>1617.0</v>
      </c>
      <c r="B5489" s="14" t="s">
        <v>90</v>
      </c>
      <c r="C5489" s="14" t="s">
        <v>27</v>
      </c>
      <c r="D5489" s="20" t="s">
        <v>201</v>
      </c>
      <c r="E5489" s="12" t="str">
        <f>IFERROR(__xludf.DUMMYFUNCTION("FILTER(colegios!$B$2:$B5618,colegios!$A$2:$A5618=L5489)"),"1457365 LOS RIT'S DEL ALTO ANDINO")</f>
        <v>1457365 LOS RIT'S DEL ALTO ANDINO</v>
      </c>
      <c r="F5489" s="14" t="s">
        <v>16</v>
      </c>
      <c r="G5489" s="20" t="s">
        <v>17</v>
      </c>
      <c r="H5489" s="14" t="s">
        <v>18</v>
      </c>
      <c r="I5489" s="22">
        <v>2022.0</v>
      </c>
      <c r="J5489" s="16" t="str">
        <f>IFERROR(__xludf.DUMMYFUNCTION("FILTER('CLASFICACIÓN'!$F$3:$F5618,'CLASFICACIÓN'!$G$3:$G5618=M5489)"),"SOLO LINEA BASE")</f>
        <v>SOLO LINEA BASE</v>
      </c>
      <c r="K5489" s="16"/>
      <c r="L5489" s="14" t="s">
        <v>199</v>
      </c>
      <c r="M5489" s="16" t="str">
        <f t="shared" si="1"/>
        <v>1457365 LOS RIT'S DEL ALTO ANDINO5 Secundaria</v>
      </c>
      <c r="N5489" s="23"/>
      <c r="O5489" s="17"/>
      <c r="P5489" s="17"/>
      <c r="Q5489" s="17"/>
      <c r="R5489" s="17"/>
      <c r="S5489" s="17"/>
      <c r="T5489" s="17"/>
    </row>
    <row r="5490">
      <c r="A5490" s="21">
        <v>1618.0</v>
      </c>
      <c r="B5490" s="14" t="s">
        <v>90</v>
      </c>
      <c r="C5490" s="14" t="s">
        <v>27</v>
      </c>
      <c r="D5490" s="20" t="s">
        <v>201</v>
      </c>
      <c r="E5490" s="12" t="str">
        <f>IFERROR(__xludf.DUMMYFUNCTION("FILTER(colegios!$B$2:$B5618,colegios!$A$2:$A5618=L5490)"),"1457365 LOS RIT'S DEL ALTO ANDINO")</f>
        <v>1457365 LOS RIT'S DEL ALTO ANDINO</v>
      </c>
      <c r="F5490" s="14" t="s">
        <v>16</v>
      </c>
      <c r="G5490" s="20" t="s">
        <v>17</v>
      </c>
      <c r="H5490" s="14" t="s">
        <v>18</v>
      </c>
      <c r="I5490" s="22">
        <v>2022.0</v>
      </c>
      <c r="J5490" s="16" t="str">
        <f>IFERROR(__xludf.DUMMYFUNCTION("FILTER('CLASFICACIÓN'!$F$3:$F5618,'CLASFICACIÓN'!$G$3:$G5618=M5490)"),"SOLO LINEA BASE")</f>
        <v>SOLO LINEA BASE</v>
      </c>
      <c r="K5490" s="16"/>
      <c r="L5490" s="14" t="s">
        <v>199</v>
      </c>
      <c r="M5490" s="16" t="str">
        <f t="shared" si="1"/>
        <v>1457365 LOS RIT'S DEL ALTO ANDINO5 Secundaria</v>
      </c>
      <c r="N5490" s="23"/>
      <c r="O5490" s="17"/>
      <c r="P5490" s="17"/>
      <c r="Q5490" s="17"/>
      <c r="R5490" s="17"/>
      <c r="S5490" s="17"/>
      <c r="T5490" s="17"/>
    </row>
    <row r="5491">
      <c r="A5491" s="21">
        <v>1619.0</v>
      </c>
      <c r="B5491" s="14" t="s">
        <v>90</v>
      </c>
      <c r="C5491" s="14" t="s">
        <v>27</v>
      </c>
      <c r="D5491" s="20" t="s">
        <v>201</v>
      </c>
      <c r="E5491" s="12" t="str">
        <f>IFERROR(__xludf.DUMMYFUNCTION("FILTER(colegios!$B$2:$B5618,colegios!$A$2:$A5618=L5491)"),"1457365 LOS RIT'S DEL ALTO ANDINO")</f>
        <v>1457365 LOS RIT'S DEL ALTO ANDINO</v>
      </c>
      <c r="F5491" s="14" t="s">
        <v>16</v>
      </c>
      <c r="G5491" s="20" t="s">
        <v>17</v>
      </c>
      <c r="H5491" s="14" t="s">
        <v>18</v>
      </c>
      <c r="I5491" s="22">
        <v>2022.0</v>
      </c>
      <c r="J5491" s="16" t="str">
        <f>IFERROR(__xludf.DUMMYFUNCTION("FILTER('CLASFICACIÓN'!$F$3:$F5618,'CLASFICACIÓN'!$G$3:$G5618=M5491)"),"SOLO LINEA BASE")</f>
        <v>SOLO LINEA BASE</v>
      </c>
      <c r="K5491" s="16"/>
      <c r="L5491" s="14" t="s">
        <v>199</v>
      </c>
      <c r="M5491" s="16" t="str">
        <f t="shared" si="1"/>
        <v>1457365 LOS RIT'S DEL ALTO ANDINO5 Secundaria</v>
      </c>
      <c r="N5491" s="23"/>
      <c r="O5491" s="17"/>
      <c r="P5491" s="17"/>
      <c r="Q5491" s="17"/>
      <c r="R5491" s="17"/>
      <c r="S5491" s="17"/>
      <c r="T5491" s="17"/>
    </row>
    <row r="5492">
      <c r="A5492" s="21">
        <v>1620.0</v>
      </c>
      <c r="B5492" s="14" t="s">
        <v>90</v>
      </c>
      <c r="C5492" s="14" t="s">
        <v>27</v>
      </c>
      <c r="D5492" s="20" t="s">
        <v>201</v>
      </c>
      <c r="E5492" s="12" t="str">
        <f>IFERROR(__xludf.DUMMYFUNCTION("FILTER(colegios!$B$2:$B5618,colegios!$A$2:$A5618=L5492)"),"1457365 LOS RIT'S DEL ALTO ANDINO")</f>
        <v>1457365 LOS RIT'S DEL ALTO ANDINO</v>
      </c>
      <c r="F5492" s="14" t="s">
        <v>16</v>
      </c>
      <c r="G5492" s="20" t="s">
        <v>21</v>
      </c>
      <c r="H5492" s="14" t="s">
        <v>18</v>
      </c>
      <c r="I5492" s="22">
        <v>2022.0</v>
      </c>
      <c r="J5492" s="16" t="str">
        <f>IFERROR(__xludf.DUMMYFUNCTION("FILTER('CLASFICACIÓN'!$F$3:$F5618,'CLASFICACIÓN'!$G$3:$G5618=M5492)"),"SOLO LINEA BASE")</f>
        <v>SOLO LINEA BASE</v>
      </c>
      <c r="K5492" s="16"/>
      <c r="L5492" s="14" t="s">
        <v>199</v>
      </c>
      <c r="M5492" s="16" t="str">
        <f t="shared" si="1"/>
        <v>1457365 LOS RIT'S DEL ALTO ANDINO5 Secundaria</v>
      </c>
      <c r="N5492" s="23"/>
      <c r="O5492" s="17"/>
      <c r="P5492" s="17"/>
      <c r="Q5492" s="17"/>
      <c r="R5492" s="17"/>
      <c r="S5492" s="17"/>
      <c r="T5492" s="17"/>
    </row>
    <row r="5493">
      <c r="A5493" s="21">
        <v>1621.0</v>
      </c>
      <c r="B5493" s="14" t="s">
        <v>90</v>
      </c>
      <c r="C5493" s="14" t="s">
        <v>27</v>
      </c>
      <c r="D5493" s="20" t="s">
        <v>201</v>
      </c>
      <c r="E5493" s="12" t="str">
        <f>IFERROR(__xludf.DUMMYFUNCTION("FILTER(colegios!$B$2:$B5618,colegios!$A$2:$A5618=L5493)"),"1457365 LOS RIT'S DEL ALTO ANDINO")</f>
        <v>1457365 LOS RIT'S DEL ALTO ANDINO</v>
      </c>
      <c r="F5493" s="14" t="s">
        <v>16</v>
      </c>
      <c r="G5493" s="20" t="s">
        <v>21</v>
      </c>
      <c r="H5493" s="14" t="s">
        <v>18</v>
      </c>
      <c r="I5493" s="22">
        <v>2022.0</v>
      </c>
      <c r="J5493" s="16" t="str">
        <f>IFERROR(__xludf.DUMMYFUNCTION("FILTER('CLASFICACIÓN'!$F$3:$F5618,'CLASFICACIÓN'!$G$3:$G5618=M5493)"),"SOLO LINEA BASE")</f>
        <v>SOLO LINEA BASE</v>
      </c>
      <c r="K5493" s="16"/>
      <c r="L5493" s="14" t="s">
        <v>199</v>
      </c>
      <c r="M5493" s="16" t="str">
        <f t="shared" si="1"/>
        <v>1457365 LOS RIT'S DEL ALTO ANDINO5 Secundaria</v>
      </c>
      <c r="N5493" s="23"/>
      <c r="O5493" s="17"/>
      <c r="P5493" s="17"/>
      <c r="Q5493" s="17"/>
      <c r="R5493" s="17"/>
      <c r="S5493" s="17"/>
      <c r="T5493" s="17"/>
    </row>
    <row r="5494">
      <c r="A5494" s="21">
        <v>1622.0</v>
      </c>
      <c r="B5494" s="14" t="s">
        <v>90</v>
      </c>
      <c r="C5494" s="14" t="s">
        <v>27</v>
      </c>
      <c r="D5494" s="20" t="s">
        <v>201</v>
      </c>
      <c r="E5494" s="12" t="str">
        <f>IFERROR(__xludf.DUMMYFUNCTION("FILTER(colegios!$B$2:$B5618,colegios!$A$2:$A5618=L5494)"),"1457365 LOS RIT'S DEL ALTO ANDINO")</f>
        <v>1457365 LOS RIT'S DEL ALTO ANDINO</v>
      </c>
      <c r="F5494" s="14" t="s">
        <v>16</v>
      </c>
      <c r="G5494" s="20" t="s">
        <v>17</v>
      </c>
      <c r="H5494" s="14" t="s">
        <v>18</v>
      </c>
      <c r="I5494" s="22">
        <v>2022.0</v>
      </c>
      <c r="J5494" s="16" t="str">
        <f>IFERROR(__xludf.DUMMYFUNCTION("FILTER('CLASFICACIÓN'!$F$3:$F5618,'CLASFICACIÓN'!$G$3:$G5618=M5494)"),"SOLO LINEA BASE")</f>
        <v>SOLO LINEA BASE</v>
      </c>
      <c r="K5494" s="16"/>
      <c r="L5494" s="14" t="s">
        <v>199</v>
      </c>
      <c r="M5494" s="16" t="str">
        <f t="shared" si="1"/>
        <v>1457365 LOS RIT'S DEL ALTO ANDINO5 Secundaria</v>
      </c>
      <c r="N5494" s="23"/>
      <c r="O5494" s="17"/>
      <c r="P5494" s="17"/>
      <c r="Q5494" s="17"/>
      <c r="R5494" s="17"/>
      <c r="S5494" s="17"/>
      <c r="T5494" s="17"/>
    </row>
    <row r="5495">
      <c r="A5495" s="21">
        <v>1623.0</v>
      </c>
      <c r="B5495" s="14" t="s">
        <v>90</v>
      </c>
      <c r="C5495" s="14" t="s">
        <v>27</v>
      </c>
      <c r="D5495" s="20" t="s">
        <v>201</v>
      </c>
      <c r="E5495" s="12" t="str">
        <f>IFERROR(__xludf.DUMMYFUNCTION("FILTER(colegios!$B$2:$B5618,colegios!$A$2:$A5618=L5495)"),"1457365 LOS RIT'S DEL ALTO ANDINO")</f>
        <v>1457365 LOS RIT'S DEL ALTO ANDINO</v>
      </c>
      <c r="F5495" s="14" t="s">
        <v>16</v>
      </c>
      <c r="G5495" s="20" t="s">
        <v>17</v>
      </c>
      <c r="H5495" s="14" t="s">
        <v>18</v>
      </c>
      <c r="I5495" s="22">
        <v>2022.0</v>
      </c>
      <c r="J5495" s="16" t="str">
        <f>IFERROR(__xludf.DUMMYFUNCTION("FILTER('CLASFICACIÓN'!$F$3:$F5618,'CLASFICACIÓN'!$G$3:$G5618=M5495)"),"SOLO LINEA BASE")</f>
        <v>SOLO LINEA BASE</v>
      </c>
      <c r="K5495" s="16"/>
      <c r="L5495" s="14" t="s">
        <v>199</v>
      </c>
      <c r="M5495" s="16" t="str">
        <f t="shared" si="1"/>
        <v>1457365 LOS RIT'S DEL ALTO ANDINO5 Secundaria</v>
      </c>
      <c r="N5495" s="23"/>
      <c r="O5495" s="17"/>
      <c r="P5495" s="17"/>
      <c r="Q5495" s="17"/>
      <c r="R5495" s="17"/>
      <c r="S5495" s="17"/>
      <c r="T5495" s="17"/>
    </row>
    <row r="5496">
      <c r="A5496" s="21">
        <v>1624.0</v>
      </c>
      <c r="B5496" s="14" t="s">
        <v>90</v>
      </c>
      <c r="C5496" s="14" t="s">
        <v>27</v>
      </c>
      <c r="D5496" s="20" t="s">
        <v>201</v>
      </c>
      <c r="E5496" s="12" t="str">
        <f>IFERROR(__xludf.DUMMYFUNCTION("FILTER(colegios!$B$2:$B5618,colegios!$A$2:$A5618=L5496)"),"1457365 LOS RIT'S DEL ALTO ANDINO")</f>
        <v>1457365 LOS RIT'S DEL ALTO ANDINO</v>
      </c>
      <c r="F5496" s="14" t="s">
        <v>16</v>
      </c>
      <c r="G5496" s="20" t="s">
        <v>21</v>
      </c>
      <c r="H5496" s="14" t="s">
        <v>18</v>
      </c>
      <c r="I5496" s="22">
        <v>2022.0</v>
      </c>
      <c r="J5496" s="16" t="str">
        <f>IFERROR(__xludf.DUMMYFUNCTION("FILTER('CLASFICACIÓN'!$F$3:$F5618,'CLASFICACIÓN'!$G$3:$G5618=M5496)"),"SOLO LINEA BASE")</f>
        <v>SOLO LINEA BASE</v>
      </c>
      <c r="K5496" s="16"/>
      <c r="L5496" s="14" t="s">
        <v>199</v>
      </c>
      <c r="M5496" s="16" t="str">
        <f t="shared" si="1"/>
        <v>1457365 LOS RIT'S DEL ALTO ANDINO5 Secundaria</v>
      </c>
      <c r="N5496" s="23"/>
      <c r="O5496" s="17"/>
      <c r="P5496" s="17"/>
      <c r="Q5496" s="17"/>
      <c r="R5496" s="17"/>
      <c r="S5496" s="17"/>
      <c r="T5496" s="17"/>
    </row>
    <row r="5497">
      <c r="A5497" s="21">
        <v>1625.0</v>
      </c>
      <c r="B5497" s="14" t="s">
        <v>90</v>
      </c>
      <c r="C5497" s="14" t="s">
        <v>27</v>
      </c>
      <c r="D5497" s="20" t="s">
        <v>201</v>
      </c>
      <c r="E5497" s="12" t="str">
        <f>IFERROR(__xludf.DUMMYFUNCTION("FILTER(colegios!$B$2:$B5618,colegios!$A$2:$A5618=L5497)"),"1457365 LOS RIT'S DEL ALTO ANDINO")</f>
        <v>1457365 LOS RIT'S DEL ALTO ANDINO</v>
      </c>
      <c r="F5497" s="14" t="s">
        <v>16</v>
      </c>
      <c r="G5497" s="20" t="s">
        <v>17</v>
      </c>
      <c r="H5497" s="14" t="s">
        <v>18</v>
      </c>
      <c r="I5497" s="22">
        <v>2022.0</v>
      </c>
      <c r="J5497" s="16" t="str">
        <f>IFERROR(__xludf.DUMMYFUNCTION("FILTER('CLASFICACIÓN'!$F$3:$F5618,'CLASFICACIÓN'!$G$3:$G5618=M5497)"),"SOLO LINEA BASE")</f>
        <v>SOLO LINEA BASE</v>
      </c>
      <c r="K5497" s="16"/>
      <c r="L5497" s="14" t="s">
        <v>199</v>
      </c>
      <c r="M5497" s="16" t="str">
        <f t="shared" si="1"/>
        <v>1457365 LOS RIT'S DEL ALTO ANDINO5 Secundaria</v>
      </c>
      <c r="N5497" s="23"/>
      <c r="O5497" s="17"/>
      <c r="P5497" s="17"/>
      <c r="Q5497" s="17"/>
      <c r="R5497" s="17"/>
      <c r="S5497" s="17"/>
      <c r="T5497" s="17"/>
    </row>
    <row r="5498">
      <c r="A5498" s="21">
        <v>1626.0</v>
      </c>
      <c r="B5498" s="14" t="s">
        <v>90</v>
      </c>
      <c r="C5498" s="14" t="s">
        <v>27</v>
      </c>
      <c r="D5498" s="20" t="s">
        <v>201</v>
      </c>
      <c r="E5498" s="12" t="str">
        <f>IFERROR(__xludf.DUMMYFUNCTION("FILTER(colegios!$B$2:$B5618,colegios!$A$2:$A5618=L5498)"),"1457365 LOS RIT'S DEL ALTO ANDINO")</f>
        <v>1457365 LOS RIT'S DEL ALTO ANDINO</v>
      </c>
      <c r="F5498" s="14" t="s">
        <v>16</v>
      </c>
      <c r="G5498" s="20" t="s">
        <v>17</v>
      </c>
      <c r="H5498" s="14" t="s">
        <v>18</v>
      </c>
      <c r="I5498" s="22">
        <v>2022.0</v>
      </c>
      <c r="J5498" s="16" t="str">
        <f>IFERROR(__xludf.DUMMYFUNCTION("FILTER('CLASFICACIÓN'!$F$3:$F5618,'CLASFICACIÓN'!$G$3:$G5618=M5498)"),"SOLO LINEA BASE")</f>
        <v>SOLO LINEA BASE</v>
      </c>
      <c r="K5498" s="16"/>
      <c r="L5498" s="14" t="s">
        <v>199</v>
      </c>
      <c r="M5498" s="16" t="str">
        <f t="shared" si="1"/>
        <v>1457365 LOS RIT'S DEL ALTO ANDINO5 Secundaria</v>
      </c>
      <c r="N5498" s="23"/>
      <c r="O5498" s="17"/>
      <c r="P5498" s="17"/>
      <c r="Q5498" s="17"/>
      <c r="R5498" s="17"/>
      <c r="S5498" s="17"/>
      <c r="T5498" s="17"/>
    </row>
    <row r="5499">
      <c r="A5499" s="21">
        <v>1627.0</v>
      </c>
      <c r="B5499" s="14" t="s">
        <v>90</v>
      </c>
      <c r="C5499" s="14" t="s">
        <v>27</v>
      </c>
      <c r="D5499" s="20" t="s">
        <v>201</v>
      </c>
      <c r="E5499" s="12" t="str">
        <f>IFERROR(__xludf.DUMMYFUNCTION("FILTER(colegios!$B$2:$B5618,colegios!$A$2:$A5618=L5499)"),"1457365 LOS RIT'S DEL ALTO ANDINO")</f>
        <v>1457365 LOS RIT'S DEL ALTO ANDINO</v>
      </c>
      <c r="F5499" s="14" t="s">
        <v>16</v>
      </c>
      <c r="G5499" s="20" t="s">
        <v>17</v>
      </c>
      <c r="H5499" s="14" t="s">
        <v>18</v>
      </c>
      <c r="I5499" s="22">
        <v>2022.0</v>
      </c>
      <c r="J5499" s="16" t="str">
        <f>IFERROR(__xludf.DUMMYFUNCTION("FILTER('CLASFICACIÓN'!$F$3:$F5618,'CLASFICACIÓN'!$G$3:$G5618=M5499)"),"SOLO LINEA BASE")</f>
        <v>SOLO LINEA BASE</v>
      </c>
      <c r="K5499" s="16"/>
      <c r="L5499" s="14" t="s">
        <v>199</v>
      </c>
      <c r="M5499" s="16" t="str">
        <f t="shared" si="1"/>
        <v>1457365 LOS RIT'S DEL ALTO ANDINO5 Secundaria</v>
      </c>
      <c r="N5499" s="23"/>
      <c r="O5499" s="17"/>
      <c r="P5499" s="17"/>
      <c r="Q5499" s="17"/>
      <c r="R5499" s="17"/>
      <c r="S5499" s="17"/>
      <c r="T5499" s="17"/>
    </row>
    <row r="5500">
      <c r="A5500" s="21">
        <v>1628.0</v>
      </c>
      <c r="B5500" s="14" t="s">
        <v>90</v>
      </c>
      <c r="C5500" s="14" t="s">
        <v>27</v>
      </c>
      <c r="D5500" s="20" t="s">
        <v>201</v>
      </c>
      <c r="E5500" s="12" t="str">
        <f>IFERROR(__xludf.DUMMYFUNCTION("FILTER(colegios!$B$2:$B5618,colegios!$A$2:$A5618=L5500)"),"1457365 LOS RIT'S DEL ALTO ANDINO")</f>
        <v>1457365 LOS RIT'S DEL ALTO ANDINO</v>
      </c>
      <c r="F5500" s="14" t="s">
        <v>16</v>
      </c>
      <c r="G5500" s="20" t="s">
        <v>21</v>
      </c>
      <c r="H5500" s="14" t="s">
        <v>24</v>
      </c>
      <c r="I5500" s="22">
        <v>2022.0</v>
      </c>
      <c r="J5500" s="16" t="str">
        <f>IFERROR(__xludf.DUMMYFUNCTION("FILTER('CLASFICACIÓN'!$F$3:$F5618,'CLASFICACIÓN'!$G$3:$G5618=M5500)"),"SOLO LINEA BASE")</f>
        <v>SOLO LINEA BASE</v>
      </c>
      <c r="K5500" s="16"/>
      <c r="L5500" s="14" t="s">
        <v>199</v>
      </c>
      <c r="M5500" s="16" t="str">
        <f t="shared" si="1"/>
        <v>1457365 LOS RIT'S DEL ALTO ANDINO5 Secundaria</v>
      </c>
      <c r="N5500" s="23"/>
      <c r="O5500" s="17"/>
      <c r="P5500" s="17"/>
      <c r="Q5500" s="17"/>
      <c r="R5500" s="17"/>
      <c r="S5500" s="17"/>
      <c r="T5500" s="17"/>
    </row>
    <row r="5501">
      <c r="A5501" s="21">
        <v>1629.0</v>
      </c>
      <c r="B5501" s="14" t="s">
        <v>90</v>
      </c>
      <c r="C5501" s="14" t="s">
        <v>27</v>
      </c>
      <c r="D5501" s="20" t="s">
        <v>201</v>
      </c>
      <c r="E5501" s="12" t="str">
        <f>IFERROR(__xludf.DUMMYFUNCTION("FILTER(colegios!$B$2:$B5618,colegios!$A$2:$A5618=L5501)"),"1457365 LOS RIT'S DEL ALTO ANDINO")</f>
        <v>1457365 LOS RIT'S DEL ALTO ANDINO</v>
      </c>
      <c r="F5501" s="14" t="s">
        <v>16</v>
      </c>
      <c r="G5501" s="20" t="s">
        <v>21</v>
      </c>
      <c r="H5501" s="14" t="s">
        <v>24</v>
      </c>
      <c r="I5501" s="22">
        <v>2022.0</v>
      </c>
      <c r="J5501" s="16" t="str">
        <f>IFERROR(__xludf.DUMMYFUNCTION("FILTER('CLASFICACIÓN'!$F$3:$F5618,'CLASFICACIÓN'!$G$3:$G5618=M5501)"),"SOLO LINEA BASE")</f>
        <v>SOLO LINEA BASE</v>
      </c>
      <c r="K5501" s="16"/>
      <c r="L5501" s="14" t="s">
        <v>199</v>
      </c>
      <c r="M5501" s="16" t="str">
        <f t="shared" si="1"/>
        <v>1457365 LOS RIT'S DEL ALTO ANDINO5 Secundaria</v>
      </c>
      <c r="N5501" s="23"/>
      <c r="O5501" s="17"/>
      <c r="P5501" s="17"/>
      <c r="Q5501" s="17"/>
      <c r="R5501" s="17"/>
      <c r="S5501" s="17"/>
      <c r="T5501" s="17"/>
    </row>
    <row r="5502">
      <c r="A5502" s="21">
        <v>1630.0</v>
      </c>
      <c r="B5502" s="14" t="s">
        <v>90</v>
      </c>
      <c r="C5502" s="14" t="s">
        <v>27</v>
      </c>
      <c r="D5502" s="20" t="s">
        <v>201</v>
      </c>
      <c r="E5502" s="12" t="str">
        <f>IFERROR(__xludf.DUMMYFUNCTION("FILTER(colegios!$B$2:$B5618,colegios!$A$2:$A5618=L5502)"),"1457365 LOS RIT'S DEL ALTO ANDINO")</f>
        <v>1457365 LOS RIT'S DEL ALTO ANDINO</v>
      </c>
      <c r="F5502" s="14" t="s">
        <v>16</v>
      </c>
      <c r="G5502" s="20" t="s">
        <v>21</v>
      </c>
      <c r="H5502" s="14" t="s">
        <v>24</v>
      </c>
      <c r="I5502" s="22">
        <v>2022.0</v>
      </c>
      <c r="J5502" s="16" t="str">
        <f>IFERROR(__xludf.DUMMYFUNCTION("FILTER('CLASFICACIÓN'!$F$3:$F5618,'CLASFICACIÓN'!$G$3:$G5618=M5502)"),"SOLO LINEA BASE")</f>
        <v>SOLO LINEA BASE</v>
      </c>
      <c r="K5502" s="16"/>
      <c r="L5502" s="14" t="s">
        <v>199</v>
      </c>
      <c r="M5502" s="16" t="str">
        <f t="shared" si="1"/>
        <v>1457365 LOS RIT'S DEL ALTO ANDINO5 Secundaria</v>
      </c>
      <c r="N5502" s="23"/>
      <c r="O5502" s="17"/>
      <c r="P5502" s="17"/>
      <c r="Q5502" s="17"/>
      <c r="R5502" s="17"/>
      <c r="S5502" s="17"/>
      <c r="T5502" s="17"/>
    </row>
    <row r="5503">
      <c r="A5503" s="21">
        <v>1631.0</v>
      </c>
      <c r="B5503" s="14" t="s">
        <v>90</v>
      </c>
      <c r="C5503" s="14" t="s">
        <v>27</v>
      </c>
      <c r="D5503" s="20" t="s">
        <v>201</v>
      </c>
      <c r="E5503" s="12" t="str">
        <f>IFERROR(__xludf.DUMMYFUNCTION("FILTER(colegios!$B$2:$B5618,colegios!$A$2:$A5618=L5503)"),"1457365 LOS RIT'S DEL ALTO ANDINO")</f>
        <v>1457365 LOS RIT'S DEL ALTO ANDINO</v>
      </c>
      <c r="F5503" s="14" t="s">
        <v>16</v>
      </c>
      <c r="G5503" s="20" t="s">
        <v>21</v>
      </c>
      <c r="H5503" s="14" t="s">
        <v>24</v>
      </c>
      <c r="I5503" s="22">
        <v>2022.0</v>
      </c>
      <c r="J5503" s="16" t="str">
        <f>IFERROR(__xludf.DUMMYFUNCTION("FILTER('CLASFICACIÓN'!$F$3:$F5618,'CLASFICACIÓN'!$G$3:$G5618=M5503)"),"SOLO LINEA BASE")</f>
        <v>SOLO LINEA BASE</v>
      </c>
      <c r="K5503" s="16"/>
      <c r="L5503" s="14" t="s">
        <v>199</v>
      </c>
      <c r="M5503" s="16" t="str">
        <f t="shared" si="1"/>
        <v>1457365 LOS RIT'S DEL ALTO ANDINO5 Secundaria</v>
      </c>
      <c r="N5503" s="23"/>
      <c r="O5503" s="17"/>
      <c r="P5503" s="17"/>
      <c r="Q5503" s="17"/>
      <c r="R5503" s="17"/>
      <c r="S5503" s="17"/>
      <c r="T5503" s="17"/>
    </row>
    <row r="5504">
      <c r="A5504" s="21">
        <v>1632.0</v>
      </c>
      <c r="B5504" s="14" t="s">
        <v>90</v>
      </c>
      <c r="C5504" s="14" t="s">
        <v>27</v>
      </c>
      <c r="D5504" s="20" t="s">
        <v>201</v>
      </c>
      <c r="E5504" s="12" t="str">
        <f>IFERROR(__xludf.DUMMYFUNCTION("FILTER(colegios!$B$2:$B5618,colegios!$A$2:$A5618=L5504)"),"1457365 LOS RIT'S DEL ALTO ANDINO")</f>
        <v>1457365 LOS RIT'S DEL ALTO ANDINO</v>
      </c>
      <c r="F5504" s="14" t="s">
        <v>16</v>
      </c>
      <c r="G5504" s="20" t="s">
        <v>21</v>
      </c>
      <c r="H5504" s="14" t="s">
        <v>24</v>
      </c>
      <c r="I5504" s="22">
        <v>2022.0</v>
      </c>
      <c r="J5504" s="16" t="str">
        <f>IFERROR(__xludf.DUMMYFUNCTION("FILTER('CLASFICACIÓN'!$F$3:$F5618,'CLASFICACIÓN'!$G$3:$G5618=M5504)"),"SOLO LINEA BASE")</f>
        <v>SOLO LINEA BASE</v>
      </c>
      <c r="K5504" s="16"/>
      <c r="L5504" s="14" t="s">
        <v>199</v>
      </c>
      <c r="M5504" s="16" t="str">
        <f t="shared" si="1"/>
        <v>1457365 LOS RIT'S DEL ALTO ANDINO5 Secundaria</v>
      </c>
      <c r="N5504" s="23"/>
      <c r="O5504" s="17"/>
      <c r="P5504" s="17"/>
      <c r="Q5504" s="17"/>
      <c r="R5504" s="17"/>
      <c r="S5504" s="17"/>
      <c r="T5504" s="17"/>
    </row>
    <row r="5505">
      <c r="A5505" s="21">
        <v>1633.0</v>
      </c>
      <c r="B5505" s="14" t="s">
        <v>90</v>
      </c>
      <c r="C5505" s="14" t="s">
        <v>27</v>
      </c>
      <c r="D5505" s="20" t="s">
        <v>201</v>
      </c>
      <c r="E5505" s="12" t="str">
        <f>IFERROR(__xludf.DUMMYFUNCTION("FILTER(colegios!$B$2:$B5618,colegios!$A$2:$A5618=L5505)"),"1457365 LOS RIT'S DEL ALTO ANDINO")</f>
        <v>1457365 LOS RIT'S DEL ALTO ANDINO</v>
      </c>
      <c r="F5505" s="14" t="s">
        <v>16</v>
      </c>
      <c r="G5505" s="20" t="s">
        <v>21</v>
      </c>
      <c r="H5505" s="14" t="s">
        <v>24</v>
      </c>
      <c r="I5505" s="22">
        <v>2022.0</v>
      </c>
      <c r="J5505" s="16" t="str">
        <f>IFERROR(__xludf.DUMMYFUNCTION("FILTER('CLASFICACIÓN'!$F$3:$F5618,'CLASFICACIÓN'!$G$3:$G5618=M5505)"),"SOLO LINEA BASE")</f>
        <v>SOLO LINEA BASE</v>
      </c>
      <c r="K5505" s="16"/>
      <c r="L5505" s="14" t="s">
        <v>199</v>
      </c>
      <c r="M5505" s="16" t="str">
        <f t="shared" si="1"/>
        <v>1457365 LOS RIT'S DEL ALTO ANDINO5 Secundaria</v>
      </c>
      <c r="N5505" s="23"/>
      <c r="O5505" s="17"/>
      <c r="P5505" s="17"/>
      <c r="Q5505" s="17"/>
      <c r="R5505" s="17"/>
      <c r="S5505" s="17"/>
      <c r="T5505" s="17"/>
    </row>
    <row r="5506">
      <c r="A5506" s="21">
        <v>1634.0</v>
      </c>
      <c r="B5506" s="14" t="s">
        <v>90</v>
      </c>
      <c r="C5506" s="14" t="s">
        <v>27</v>
      </c>
      <c r="D5506" s="20" t="s">
        <v>201</v>
      </c>
      <c r="E5506" s="12" t="str">
        <f>IFERROR(__xludf.DUMMYFUNCTION("FILTER(colegios!$B$2:$B5618,colegios!$A$2:$A5618=L5506)"),"1457365 LOS RIT'S DEL ALTO ANDINO")</f>
        <v>1457365 LOS RIT'S DEL ALTO ANDINO</v>
      </c>
      <c r="F5506" s="14" t="s">
        <v>16</v>
      </c>
      <c r="G5506" s="20" t="s">
        <v>17</v>
      </c>
      <c r="H5506" s="14" t="s">
        <v>24</v>
      </c>
      <c r="I5506" s="22">
        <v>2022.0</v>
      </c>
      <c r="J5506" s="16" t="str">
        <f>IFERROR(__xludf.DUMMYFUNCTION("FILTER('CLASFICACIÓN'!$F$3:$F5618,'CLASFICACIÓN'!$G$3:$G5618=M5506)"),"SOLO LINEA BASE")</f>
        <v>SOLO LINEA BASE</v>
      </c>
      <c r="K5506" s="16"/>
      <c r="L5506" s="14" t="s">
        <v>199</v>
      </c>
      <c r="M5506" s="16" t="str">
        <f t="shared" si="1"/>
        <v>1457365 LOS RIT'S DEL ALTO ANDINO5 Secundaria</v>
      </c>
      <c r="N5506" s="23"/>
      <c r="O5506" s="17"/>
      <c r="P5506" s="17"/>
      <c r="Q5506" s="17"/>
      <c r="R5506" s="17"/>
      <c r="S5506" s="17"/>
      <c r="T5506" s="17"/>
    </row>
    <row r="5507">
      <c r="A5507" s="21">
        <v>1635.0</v>
      </c>
      <c r="B5507" s="14" t="s">
        <v>90</v>
      </c>
      <c r="C5507" s="14" t="s">
        <v>27</v>
      </c>
      <c r="D5507" s="20" t="s">
        <v>201</v>
      </c>
      <c r="E5507" s="12" t="str">
        <f>IFERROR(__xludf.DUMMYFUNCTION("FILTER(colegios!$B$2:$B5618,colegios!$A$2:$A5618=L5507)"),"1457365 LOS RIT'S DEL ALTO ANDINO")</f>
        <v>1457365 LOS RIT'S DEL ALTO ANDINO</v>
      </c>
      <c r="F5507" s="14" t="s">
        <v>16</v>
      </c>
      <c r="G5507" s="20" t="s">
        <v>21</v>
      </c>
      <c r="H5507" s="14" t="s">
        <v>24</v>
      </c>
      <c r="I5507" s="22">
        <v>2022.0</v>
      </c>
      <c r="J5507" s="16" t="str">
        <f>IFERROR(__xludf.DUMMYFUNCTION("FILTER('CLASFICACIÓN'!$F$3:$F5618,'CLASFICACIÓN'!$G$3:$G5618=M5507)"),"SOLO LINEA BASE")</f>
        <v>SOLO LINEA BASE</v>
      </c>
      <c r="K5507" s="16"/>
      <c r="L5507" s="14" t="s">
        <v>199</v>
      </c>
      <c r="M5507" s="16" t="str">
        <f t="shared" si="1"/>
        <v>1457365 LOS RIT'S DEL ALTO ANDINO5 Secundaria</v>
      </c>
      <c r="N5507" s="23"/>
      <c r="O5507" s="17"/>
      <c r="P5507" s="17"/>
      <c r="Q5507" s="17"/>
      <c r="R5507" s="17"/>
      <c r="S5507" s="17"/>
      <c r="T5507" s="17"/>
    </row>
    <row r="5508">
      <c r="A5508" s="21">
        <v>1636.0</v>
      </c>
      <c r="B5508" s="14" t="s">
        <v>90</v>
      </c>
      <c r="C5508" s="14" t="s">
        <v>27</v>
      </c>
      <c r="D5508" s="20" t="s">
        <v>201</v>
      </c>
      <c r="E5508" s="12" t="str">
        <f>IFERROR(__xludf.DUMMYFUNCTION("FILTER(colegios!$B$2:$B5618,colegios!$A$2:$A5618=L5508)"),"1457365 LOS RIT'S DEL ALTO ANDINO")</f>
        <v>1457365 LOS RIT'S DEL ALTO ANDINO</v>
      </c>
      <c r="F5508" s="14" t="s">
        <v>16</v>
      </c>
      <c r="G5508" s="20" t="s">
        <v>21</v>
      </c>
      <c r="H5508" s="14" t="s">
        <v>24</v>
      </c>
      <c r="I5508" s="22">
        <v>2022.0</v>
      </c>
      <c r="J5508" s="16" t="str">
        <f>IFERROR(__xludf.DUMMYFUNCTION("FILTER('CLASFICACIÓN'!$F$3:$F5618,'CLASFICACIÓN'!$G$3:$G5618=M5508)"),"SOLO LINEA BASE")</f>
        <v>SOLO LINEA BASE</v>
      </c>
      <c r="K5508" s="16"/>
      <c r="L5508" s="14" t="s">
        <v>199</v>
      </c>
      <c r="M5508" s="16" t="str">
        <f t="shared" si="1"/>
        <v>1457365 LOS RIT'S DEL ALTO ANDINO5 Secundaria</v>
      </c>
      <c r="N5508" s="23"/>
      <c r="O5508" s="17"/>
      <c r="P5508" s="17"/>
      <c r="Q5508" s="17"/>
      <c r="R5508" s="17"/>
      <c r="S5508" s="17"/>
      <c r="T5508" s="17"/>
    </row>
    <row r="5509">
      <c r="A5509" s="21">
        <v>1637.0</v>
      </c>
      <c r="B5509" s="14" t="s">
        <v>90</v>
      </c>
      <c r="C5509" s="14" t="s">
        <v>27</v>
      </c>
      <c r="D5509" s="20" t="s">
        <v>201</v>
      </c>
      <c r="E5509" s="12" t="str">
        <f>IFERROR(__xludf.DUMMYFUNCTION("FILTER(colegios!$B$2:$B5618,colegios!$A$2:$A5618=L5509)"),"1457365 LOS RIT'S DEL ALTO ANDINO")</f>
        <v>1457365 LOS RIT'S DEL ALTO ANDINO</v>
      </c>
      <c r="F5509" s="14" t="s">
        <v>16</v>
      </c>
      <c r="G5509" s="20" t="s">
        <v>17</v>
      </c>
      <c r="H5509" s="14" t="s">
        <v>24</v>
      </c>
      <c r="I5509" s="22">
        <v>2022.0</v>
      </c>
      <c r="J5509" s="16" t="str">
        <f>IFERROR(__xludf.DUMMYFUNCTION("FILTER('CLASFICACIÓN'!$F$3:$F5618,'CLASFICACIÓN'!$G$3:$G5618=M5509)"),"SOLO LINEA BASE")</f>
        <v>SOLO LINEA BASE</v>
      </c>
      <c r="K5509" s="16"/>
      <c r="L5509" s="14" t="s">
        <v>199</v>
      </c>
      <c r="M5509" s="16" t="str">
        <f t="shared" si="1"/>
        <v>1457365 LOS RIT'S DEL ALTO ANDINO5 Secundaria</v>
      </c>
      <c r="N5509" s="23"/>
      <c r="O5509" s="17"/>
      <c r="P5509" s="17"/>
      <c r="Q5509" s="17"/>
      <c r="R5509" s="17"/>
      <c r="S5509" s="17"/>
      <c r="T5509" s="17"/>
    </row>
    <row r="5510">
      <c r="A5510" s="21">
        <v>1638.0</v>
      </c>
      <c r="B5510" s="14" t="s">
        <v>90</v>
      </c>
      <c r="C5510" s="14" t="s">
        <v>27</v>
      </c>
      <c r="D5510" s="20" t="s">
        <v>201</v>
      </c>
      <c r="E5510" s="12" t="str">
        <f>IFERROR(__xludf.DUMMYFUNCTION("FILTER(colegios!$B$2:$B5618,colegios!$A$2:$A5618=L5510)"),"1457365 LOS RIT'S DEL ALTO ANDINO")</f>
        <v>1457365 LOS RIT'S DEL ALTO ANDINO</v>
      </c>
      <c r="F5510" s="14" t="s">
        <v>16</v>
      </c>
      <c r="G5510" s="20" t="s">
        <v>17</v>
      </c>
      <c r="H5510" s="14" t="s">
        <v>24</v>
      </c>
      <c r="I5510" s="22">
        <v>2022.0</v>
      </c>
      <c r="J5510" s="16" t="str">
        <f>IFERROR(__xludf.DUMMYFUNCTION("FILTER('CLASFICACIÓN'!$F$3:$F5618,'CLASFICACIÓN'!$G$3:$G5618=M5510)"),"SOLO LINEA BASE")</f>
        <v>SOLO LINEA BASE</v>
      </c>
      <c r="K5510" s="16"/>
      <c r="L5510" s="14" t="s">
        <v>199</v>
      </c>
      <c r="M5510" s="16" t="str">
        <f t="shared" si="1"/>
        <v>1457365 LOS RIT'S DEL ALTO ANDINO5 Secundaria</v>
      </c>
      <c r="N5510" s="23"/>
      <c r="O5510" s="17"/>
      <c r="P5510" s="17"/>
      <c r="Q5510" s="17"/>
      <c r="R5510" s="17"/>
      <c r="S5510" s="17"/>
      <c r="T5510" s="17"/>
    </row>
    <row r="5511">
      <c r="A5511" s="21">
        <v>1639.0</v>
      </c>
      <c r="B5511" s="14" t="s">
        <v>90</v>
      </c>
      <c r="C5511" s="14" t="s">
        <v>27</v>
      </c>
      <c r="D5511" s="20" t="s">
        <v>201</v>
      </c>
      <c r="E5511" s="12" t="str">
        <f>IFERROR(__xludf.DUMMYFUNCTION("FILTER(colegios!$B$2:$B5618,colegios!$A$2:$A5618=L5511)"),"1457365 LOS RIT'S DEL ALTO ANDINO")</f>
        <v>1457365 LOS RIT'S DEL ALTO ANDINO</v>
      </c>
      <c r="F5511" s="14" t="s">
        <v>16</v>
      </c>
      <c r="G5511" s="20" t="s">
        <v>17</v>
      </c>
      <c r="H5511" s="14" t="s">
        <v>24</v>
      </c>
      <c r="I5511" s="22">
        <v>2022.0</v>
      </c>
      <c r="J5511" s="16" t="str">
        <f>IFERROR(__xludf.DUMMYFUNCTION("FILTER('CLASFICACIÓN'!$F$3:$F5618,'CLASFICACIÓN'!$G$3:$G5618=M5511)"),"SOLO LINEA BASE")</f>
        <v>SOLO LINEA BASE</v>
      </c>
      <c r="K5511" s="16"/>
      <c r="L5511" s="14" t="s">
        <v>199</v>
      </c>
      <c r="M5511" s="16" t="str">
        <f t="shared" si="1"/>
        <v>1457365 LOS RIT'S DEL ALTO ANDINO5 Secundaria</v>
      </c>
      <c r="N5511" s="23"/>
      <c r="O5511" s="17"/>
      <c r="P5511" s="17"/>
      <c r="Q5511" s="17"/>
      <c r="R5511" s="17"/>
      <c r="S5511" s="17"/>
      <c r="T5511" s="17"/>
    </row>
    <row r="5512">
      <c r="A5512" s="21">
        <v>1640.0</v>
      </c>
      <c r="B5512" s="14" t="s">
        <v>90</v>
      </c>
      <c r="C5512" s="14" t="s">
        <v>27</v>
      </c>
      <c r="D5512" s="20" t="s">
        <v>201</v>
      </c>
      <c r="E5512" s="12" t="str">
        <f>IFERROR(__xludf.DUMMYFUNCTION("FILTER(colegios!$B$2:$B5618,colegios!$A$2:$A5618=L5512)"),"1457365 LOS RIT'S DEL ALTO ANDINO")</f>
        <v>1457365 LOS RIT'S DEL ALTO ANDINO</v>
      </c>
      <c r="F5512" s="14" t="s">
        <v>16</v>
      </c>
      <c r="G5512" s="20" t="s">
        <v>21</v>
      </c>
      <c r="H5512" s="14" t="s">
        <v>24</v>
      </c>
      <c r="I5512" s="22">
        <v>2022.0</v>
      </c>
      <c r="J5512" s="16" t="str">
        <f>IFERROR(__xludf.DUMMYFUNCTION("FILTER('CLASFICACIÓN'!$F$3:$F5618,'CLASFICACIÓN'!$G$3:$G5618=M5512)"),"SOLO LINEA BASE")</f>
        <v>SOLO LINEA BASE</v>
      </c>
      <c r="K5512" s="16"/>
      <c r="L5512" s="14" t="s">
        <v>199</v>
      </c>
      <c r="M5512" s="16" t="str">
        <f t="shared" si="1"/>
        <v>1457365 LOS RIT'S DEL ALTO ANDINO5 Secundaria</v>
      </c>
      <c r="N5512" s="23"/>
      <c r="O5512" s="17"/>
      <c r="P5512" s="17"/>
      <c r="Q5512" s="17"/>
      <c r="R5512" s="17"/>
      <c r="S5512" s="17"/>
      <c r="T5512" s="17"/>
    </row>
    <row r="5513">
      <c r="A5513" s="21">
        <v>1641.0</v>
      </c>
      <c r="B5513" s="14" t="s">
        <v>90</v>
      </c>
      <c r="C5513" s="14" t="s">
        <v>27</v>
      </c>
      <c r="D5513" s="20" t="s">
        <v>201</v>
      </c>
      <c r="E5513" s="12" t="str">
        <f>IFERROR(__xludf.DUMMYFUNCTION("FILTER(colegios!$B$2:$B5618,colegios!$A$2:$A5618=L5513)"),"1457365 LOS RIT'S DEL ALTO ANDINO")</f>
        <v>1457365 LOS RIT'S DEL ALTO ANDINO</v>
      </c>
      <c r="F5513" s="14" t="s">
        <v>16</v>
      </c>
      <c r="G5513" s="20" t="s">
        <v>17</v>
      </c>
      <c r="H5513" s="14" t="s">
        <v>24</v>
      </c>
      <c r="I5513" s="22">
        <v>2022.0</v>
      </c>
      <c r="J5513" s="16" t="str">
        <f>IFERROR(__xludf.DUMMYFUNCTION("FILTER('CLASFICACIÓN'!$F$3:$F5618,'CLASFICACIÓN'!$G$3:$G5618=M5513)"),"SOLO LINEA BASE")</f>
        <v>SOLO LINEA BASE</v>
      </c>
      <c r="K5513" s="16"/>
      <c r="L5513" s="14" t="s">
        <v>199</v>
      </c>
      <c r="M5513" s="16" t="str">
        <f t="shared" si="1"/>
        <v>1457365 LOS RIT'S DEL ALTO ANDINO5 Secundaria</v>
      </c>
      <c r="N5513" s="23"/>
      <c r="O5513" s="17"/>
      <c r="P5513" s="17"/>
      <c r="Q5513" s="17"/>
      <c r="R5513" s="17"/>
      <c r="S5513" s="17"/>
      <c r="T5513" s="17"/>
    </row>
    <row r="5514">
      <c r="A5514" s="21">
        <v>1642.0</v>
      </c>
      <c r="B5514" s="14" t="s">
        <v>90</v>
      </c>
      <c r="C5514" s="14" t="s">
        <v>27</v>
      </c>
      <c r="D5514" s="20" t="s">
        <v>201</v>
      </c>
      <c r="E5514" s="12" t="str">
        <f>IFERROR(__xludf.DUMMYFUNCTION("FILTER(colegios!$B$2:$B5618,colegios!$A$2:$A5618=L5514)"),"1457365 LOS RIT'S DEL ALTO ANDINO")</f>
        <v>1457365 LOS RIT'S DEL ALTO ANDINO</v>
      </c>
      <c r="F5514" s="14" t="s">
        <v>16</v>
      </c>
      <c r="G5514" s="20" t="s">
        <v>17</v>
      </c>
      <c r="H5514" s="14" t="s">
        <v>24</v>
      </c>
      <c r="I5514" s="22">
        <v>2022.0</v>
      </c>
      <c r="J5514" s="16" t="str">
        <f>IFERROR(__xludf.DUMMYFUNCTION("FILTER('CLASFICACIÓN'!$F$3:$F5618,'CLASFICACIÓN'!$G$3:$G5618=M5514)"),"SOLO LINEA BASE")</f>
        <v>SOLO LINEA BASE</v>
      </c>
      <c r="K5514" s="16"/>
      <c r="L5514" s="14" t="s">
        <v>199</v>
      </c>
      <c r="M5514" s="16" t="str">
        <f t="shared" si="1"/>
        <v>1457365 LOS RIT'S DEL ALTO ANDINO5 Secundaria</v>
      </c>
      <c r="N5514" s="23"/>
      <c r="O5514" s="17"/>
      <c r="P5514" s="17"/>
      <c r="Q5514" s="17"/>
      <c r="R5514" s="17"/>
      <c r="S5514" s="17"/>
      <c r="T5514" s="17"/>
    </row>
    <row r="5515">
      <c r="A5515" s="21">
        <v>1643.0</v>
      </c>
      <c r="B5515" s="14" t="s">
        <v>90</v>
      </c>
      <c r="C5515" s="14" t="s">
        <v>27</v>
      </c>
      <c r="D5515" s="20" t="s">
        <v>201</v>
      </c>
      <c r="E5515" s="12" t="str">
        <f>IFERROR(__xludf.DUMMYFUNCTION("FILTER(colegios!$B$2:$B5618,colegios!$A$2:$A5618=L5515)"),"1457365 LOS RIT'S DEL ALTO ANDINO")</f>
        <v>1457365 LOS RIT'S DEL ALTO ANDINO</v>
      </c>
      <c r="F5515" s="14" t="s">
        <v>16</v>
      </c>
      <c r="G5515" s="20" t="s">
        <v>21</v>
      </c>
      <c r="H5515" s="14" t="s">
        <v>24</v>
      </c>
      <c r="I5515" s="22">
        <v>2022.0</v>
      </c>
      <c r="J5515" s="16" t="str">
        <f>IFERROR(__xludf.DUMMYFUNCTION("FILTER('CLASFICACIÓN'!$F$3:$F5618,'CLASFICACIÓN'!$G$3:$G5618=M5515)"),"SOLO LINEA BASE")</f>
        <v>SOLO LINEA BASE</v>
      </c>
      <c r="K5515" s="16"/>
      <c r="L5515" s="14" t="s">
        <v>199</v>
      </c>
      <c r="M5515" s="16" t="str">
        <f t="shared" si="1"/>
        <v>1457365 LOS RIT'S DEL ALTO ANDINO5 Secundaria</v>
      </c>
      <c r="N5515" s="23"/>
      <c r="O5515" s="17"/>
      <c r="P5515" s="17"/>
      <c r="Q5515" s="17"/>
      <c r="R5515" s="17"/>
      <c r="S5515" s="17"/>
      <c r="T5515" s="17"/>
    </row>
    <row r="5516">
      <c r="A5516" s="21">
        <v>1644.0</v>
      </c>
      <c r="B5516" s="14" t="s">
        <v>90</v>
      </c>
      <c r="C5516" s="14" t="s">
        <v>27</v>
      </c>
      <c r="D5516" s="20" t="s">
        <v>201</v>
      </c>
      <c r="E5516" s="12" t="str">
        <f>IFERROR(__xludf.DUMMYFUNCTION("FILTER(colegios!$B$2:$B5618,colegios!$A$2:$A5618=L5516)"),"1457365 LOS RIT'S DEL ALTO ANDINO")</f>
        <v>1457365 LOS RIT'S DEL ALTO ANDINO</v>
      </c>
      <c r="F5516" s="14" t="s">
        <v>16</v>
      </c>
      <c r="G5516" s="20" t="s">
        <v>21</v>
      </c>
      <c r="H5516" s="14" t="s">
        <v>24</v>
      </c>
      <c r="I5516" s="22">
        <v>2022.0</v>
      </c>
      <c r="J5516" s="16" t="str">
        <f>IFERROR(__xludf.DUMMYFUNCTION("FILTER('CLASFICACIÓN'!$F$3:$F5618,'CLASFICACIÓN'!$G$3:$G5618=M5516)"),"SOLO LINEA BASE")</f>
        <v>SOLO LINEA BASE</v>
      </c>
      <c r="K5516" s="16"/>
      <c r="L5516" s="14" t="s">
        <v>199</v>
      </c>
      <c r="M5516" s="16" t="str">
        <f t="shared" si="1"/>
        <v>1457365 LOS RIT'S DEL ALTO ANDINO5 Secundaria</v>
      </c>
      <c r="N5516" s="23"/>
      <c r="O5516" s="17"/>
      <c r="P5516" s="17"/>
      <c r="Q5516" s="17"/>
      <c r="R5516" s="17"/>
      <c r="S5516" s="17"/>
      <c r="T5516" s="17"/>
    </row>
    <row r="5517">
      <c r="A5517" s="21">
        <v>1645.0</v>
      </c>
      <c r="B5517" s="14" t="s">
        <v>90</v>
      </c>
      <c r="C5517" s="14" t="s">
        <v>27</v>
      </c>
      <c r="D5517" s="20" t="s">
        <v>201</v>
      </c>
      <c r="E5517" s="12" t="str">
        <f>IFERROR(__xludf.DUMMYFUNCTION("FILTER(colegios!$B$2:$B5618,colegios!$A$2:$A5618=L5517)"),"1457365 LOS RIT'S DEL ALTO ANDINO")</f>
        <v>1457365 LOS RIT'S DEL ALTO ANDINO</v>
      </c>
      <c r="F5517" s="14" t="s">
        <v>16</v>
      </c>
      <c r="G5517" s="20" t="s">
        <v>21</v>
      </c>
      <c r="H5517" s="14" t="s">
        <v>24</v>
      </c>
      <c r="I5517" s="22">
        <v>2022.0</v>
      </c>
      <c r="J5517" s="16" t="str">
        <f>IFERROR(__xludf.DUMMYFUNCTION("FILTER('CLASFICACIÓN'!$F$3:$F5618,'CLASFICACIÓN'!$G$3:$G5618=M5517)"),"SOLO LINEA BASE")</f>
        <v>SOLO LINEA BASE</v>
      </c>
      <c r="K5517" s="16"/>
      <c r="L5517" s="14" t="s">
        <v>199</v>
      </c>
      <c r="M5517" s="16" t="str">
        <f t="shared" si="1"/>
        <v>1457365 LOS RIT'S DEL ALTO ANDINO5 Secundaria</v>
      </c>
      <c r="N5517" s="23"/>
      <c r="O5517" s="17"/>
      <c r="P5517" s="17"/>
      <c r="Q5517" s="17"/>
      <c r="R5517" s="17"/>
      <c r="S5517" s="17"/>
      <c r="T5517" s="17"/>
    </row>
    <row r="5518">
      <c r="A5518" s="21">
        <v>1646.0</v>
      </c>
      <c r="B5518" s="14" t="s">
        <v>90</v>
      </c>
      <c r="C5518" s="14" t="s">
        <v>27</v>
      </c>
      <c r="D5518" s="20" t="s">
        <v>201</v>
      </c>
      <c r="E5518" s="12" t="str">
        <f>IFERROR(__xludf.DUMMYFUNCTION("FILTER(colegios!$B$2:$B5618,colegios!$A$2:$A5618=L5518)"),"1457365 LOS RIT'S DEL ALTO ANDINO")</f>
        <v>1457365 LOS RIT'S DEL ALTO ANDINO</v>
      </c>
      <c r="F5518" s="14" t="s">
        <v>16</v>
      </c>
      <c r="G5518" s="20" t="s">
        <v>17</v>
      </c>
      <c r="H5518" s="14" t="s">
        <v>24</v>
      </c>
      <c r="I5518" s="22">
        <v>2022.0</v>
      </c>
      <c r="J5518" s="16" t="str">
        <f>IFERROR(__xludf.DUMMYFUNCTION("FILTER('CLASFICACIÓN'!$F$3:$F5618,'CLASFICACIÓN'!$G$3:$G5618=M5518)"),"SOLO LINEA BASE")</f>
        <v>SOLO LINEA BASE</v>
      </c>
      <c r="K5518" s="16"/>
      <c r="L5518" s="14" t="s">
        <v>199</v>
      </c>
      <c r="M5518" s="16" t="str">
        <f t="shared" si="1"/>
        <v>1457365 LOS RIT'S DEL ALTO ANDINO5 Secundaria</v>
      </c>
      <c r="N5518" s="23"/>
      <c r="O5518" s="17"/>
      <c r="P5518" s="17"/>
      <c r="Q5518" s="17"/>
      <c r="R5518" s="17"/>
      <c r="S5518" s="17"/>
      <c r="T5518" s="17"/>
    </row>
    <row r="5519">
      <c r="A5519" s="21">
        <v>1647.0</v>
      </c>
      <c r="B5519" s="14" t="s">
        <v>90</v>
      </c>
      <c r="C5519" s="14" t="s">
        <v>27</v>
      </c>
      <c r="D5519" s="20" t="s">
        <v>201</v>
      </c>
      <c r="E5519" s="12" t="str">
        <f>IFERROR(__xludf.DUMMYFUNCTION("FILTER(colegios!$B$2:$B5618,colegios!$A$2:$A5618=L5519)"),"1457365 LOS RIT'S DEL ALTO ANDINO")</f>
        <v>1457365 LOS RIT'S DEL ALTO ANDINO</v>
      </c>
      <c r="F5519" s="14" t="s">
        <v>16</v>
      </c>
      <c r="G5519" s="20" t="s">
        <v>21</v>
      </c>
      <c r="H5519" s="14" t="s">
        <v>24</v>
      </c>
      <c r="I5519" s="22">
        <v>2022.0</v>
      </c>
      <c r="J5519" s="16" t="str">
        <f>IFERROR(__xludf.DUMMYFUNCTION("FILTER('CLASFICACIÓN'!$F$3:$F5618,'CLASFICACIÓN'!$G$3:$G5618=M5519)"),"SOLO LINEA BASE")</f>
        <v>SOLO LINEA BASE</v>
      </c>
      <c r="K5519" s="16"/>
      <c r="L5519" s="14" t="s">
        <v>199</v>
      </c>
      <c r="M5519" s="16" t="str">
        <f t="shared" si="1"/>
        <v>1457365 LOS RIT'S DEL ALTO ANDINO5 Secundaria</v>
      </c>
      <c r="N5519" s="23"/>
      <c r="O5519" s="17"/>
      <c r="P5519" s="17"/>
      <c r="Q5519" s="17"/>
      <c r="R5519" s="17"/>
      <c r="S5519" s="17"/>
      <c r="T5519" s="17"/>
    </row>
    <row r="5520">
      <c r="A5520" s="21">
        <v>1648.0</v>
      </c>
      <c r="B5520" s="14" t="s">
        <v>90</v>
      </c>
      <c r="C5520" s="14" t="s">
        <v>27</v>
      </c>
      <c r="D5520" s="20" t="s">
        <v>201</v>
      </c>
      <c r="E5520" s="12" t="str">
        <f>IFERROR(__xludf.DUMMYFUNCTION("FILTER(colegios!$B$2:$B5618,colegios!$A$2:$A5618=L5520)"),"1457365 LOS RIT'S DEL ALTO ANDINO")</f>
        <v>1457365 LOS RIT'S DEL ALTO ANDINO</v>
      </c>
      <c r="F5520" s="14" t="s">
        <v>16</v>
      </c>
      <c r="G5520" s="20" t="s">
        <v>17</v>
      </c>
      <c r="H5520" s="14" t="s">
        <v>24</v>
      </c>
      <c r="I5520" s="22">
        <v>2022.0</v>
      </c>
      <c r="J5520" s="16" t="str">
        <f>IFERROR(__xludf.DUMMYFUNCTION("FILTER('CLASFICACIÓN'!$F$3:$F5618,'CLASFICACIÓN'!$G$3:$G5618=M5520)"),"SOLO LINEA BASE")</f>
        <v>SOLO LINEA BASE</v>
      </c>
      <c r="K5520" s="16"/>
      <c r="L5520" s="14" t="s">
        <v>199</v>
      </c>
      <c r="M5520" s="16" t="str">
        <f t="shared" si="1"/>
        <v>1457365 LOS RIT'S DEL ALTO ANDINO5 Secundaria</v>
      </c>
      <c r="N5520" s="23"/>
      <c r="O5520" s="17"/>
      <c r="P5520" s="17"/>
      <c r="Q5520" s="17"/>
      <c r="R5520" s="17"/>
      <c r="S5520" s="17"/>
      <c r="T5520" s="17"/>
    </row>
    <row r="5521">
      <c r="A5521" s="21">
        <v>1649.0</v>
      </c>
      <c r="B5521" s="14" t="s">
        <v>90</v>
      </c>
      <c r="C5521" s="14" t="s">
        <v>27</v>
      </c>
      <c r="D5521" s="20" t="s">
        <v>201</v>
      </c>
      <c r="E5521" s="12" t="str">
        <f>IFERROR(__xludf.DUMMYFUNCTION("FILTER(colegios!$B$2:$B5618,colegios!$A$2:$A5618=L5521)"),"1457365 LOS RIT'S DEL ALTO ANDINO")</f>
        <v>1457365 LOS RIT'S DEL ALTO ANDINO</v>
      </c>
      <c r="F5521" s="14" t="s">
        <v>16</v>
      </c>
      <c r="G5521" s="20" t="s">
        <v>21</v>
      </c>
      <c r="H5521" s="14" t="s">
        <v>24</v>
      </c>
      <c r="I5521" s="22">
        <v>2022.0</v>
      </c>
      <c r="J5521" s="16" t="str">
        <f>IFERROR(__xludf.DUMMYFUNCTION("FILTER('CLASFICACIÓN'!$F$3:$F5618,'CLASFICACIÓN'!$G$3:$G5618=M5521)"),"SOLO LINEA BASE")</f>
        <v>SOLO LINEA BASE</v>
      </c>
      <c r="K5521" s="16"/>
      <c r="L5521" s="14" t="s">
        <v>199</v>
      </c>
      <c r="M5521" s="16" t="str">
        <f t="shared" si="1"/>
        <v>1457365 LOS RIT'S DEL ALTO ANDINO5 Secundaria</v>
      </c>
      <c r="N5521" s="23"/>
      <c r="O5521" s="17"/>
      <c r="P5521" s="17"/>
      <c r="Q5521" s="17"/>
      <c r="R5521" s="17"/>
      <c r="S5521" s="17"/>
      <c r="T5521" s="17"/>
    </row>
    <row r="5522">
      <c r="A5522" s="21">
        <v>1650.0</v>
      </c>
      <c r="B5522" s="14" t="s">
        <v>90</v>
      </c>
      <c r="C5522" s="14" t="s">
        <v>27</v>
      </c>
      <c r="D5522" s="20" t="s">
        <v>201</v>
      </c>
      <c r="E5522" s="12" t="str">
        <f>IFERROR(__xludf.DUMMYFUNCTION("FILTER(colegios!$B$2:$B5618,colegios!$A$2:$A5618=L5522)"),"1457365 LOS RIT'S DEL ALTO ANDINO")</f>
        <v>1457365 LOS RIT'S DEL ALTO ANDINO</v>
      </c>
      <c r="F5522" s="14" t="s">
        <v>16</v>
      </c>
      <c r="G5522" s="20" t="s">
        <v>17</v>
      </c>
      <c r="H5522" s="14" t="s">
        <v>24</v>
      </c>
      <c r="I5522" s="22">
        <v>2022.0</v>
      </c>
      <c r="J5522" s="16" t="str">
        <f>IFERROR(__xludf.DUMMYFUNCTION("FILTER('CLASFICACIÓN'!$F$3:$F5618,'CLASFICACIÓN'!$G$3:$G5618=M5522)"),"SOLO LINEA BASE")</f>
        <v>SOLO LINEA BASE</v>
      </c>
      <c r="K5522" s="16"/>
      <c r="L5522" s="14" t="s">
        <v>199</v>
      </c>
      <c r="M5522" s="16" t="str">
        <f t="shared" si="1"/>
        <v>1457365 LOS RIT'S DEL ALTO ANDINO5 Secundaria</v>
      </c>
      <c r="N5522" s="23"/>
      <c r="O5522" s="17"/>
      <c r="P5522" s="17"/>
      <c r="Q5522" s="17"/>
      <c r="R5522" s="17"/>
      <c r="S5522" s="17"/>
      <c r="T5522" s="17"/>
    </row>
    <row r="5523">
      <c r="A5523" s="21">
        <v>1651.0</v>
      </c>
      <c r="B5523" s="14" t="s">
        <v>90</v>
      </c>
      <c r="C5523" s="14" t="s">
        <v>27</v>
      </c>
      <c r="D5523" s="20" t="s">
        <v>201</v>
      </c>
      <c r="E5523" s="12" t="str">
        <f>IFERROR(__xludf.DUMMYFUNCTION("FILTER(colegios!$B$2:$B5618,colegios!$A$2:$A5618=L5523)"),"1457365 LOS RIT'S DEL ALTO ANDINO")</f>
        <v>1457365 LOS RIT'S DEL ALTO ANDINO</v>
      </c>
      <c r="F5523" s="14" t="s">
        <v>16</v>
      </c>
      <c r="G5523" s="20" t="s">
        <v>17</v>
      </c>
      <c r="H5523" s="14" t="s">
        <v>24</v>
      </c>
      <c r="I5523" s="22">
        <v>2022.0</v>
      </c>
      <c r="J5523" s="16" t="str">
        <f>IFERROR(__xludf.DUMMYFUNCTION("FILTER('CLASFICACIÓN'!$F$3:$F5618,'CLASFICACIÓN'!$G$3:$G5618=M5523)"),"SOLO LINEA BASE")</f>
        <v>SOLO LINEA BASE</v>
      </c>
      <c r="K5523" s="16"/>
      <c r="L5523" s="14" t="s">
        <v>199</v>
      </c>
      <c r="M5523" s="16" t="str">
        <f t="shared" si="1"/>
        <v>1457365 LOS RIT'S DEL ALTO ANDINO5 Secundaria</v>
      </c>
      <c r="N5523" s="23"/>
      <c r="O5523" s="17"/>
      <c r="P5523" s="17"/>
      <c r="Q5523" s="17"/>
      <c r="R5523" s="17"/>
      <c r="S5523" s="17"/>
      <c r="T5523" s="17"/>
    </row>
    <row r="5524">
      <c r="A5524" s="21">
        <v>1652.0</v>
      </c>
      <c r="B5524" s="14" t="s">
        <v>90</v>
      </c>
      <c r="C5524" s="14" t="s">
        <v>27</v>
      </c>
      <c r="D5524" s="20" t="s">
        <v>201</v>
      </c>
      <c r="E5524" s="12" t="str">
        <f>IFERROR(__xludf.DUMMYFUNCTION("FILTER(colegios!$B$2:$B5618,colegios!$A$2:$A5618=L5524)"),"1457365 LOS RIT'S DEL ALTO ANDINO")</f>
        <v>1457365 LOS RIT'S DEL ALTO ANDINO</v>
      </c>
      <c r="F5524" s="14" t="s">
        <v>16</v>
      </c>
      <c r="G5524" s="20" t="s">
        <v>17</v>
      </c>
      <c r="H5524" s="14" t="s">
        <v>24</v>
      </c>
      <c r="I5524" s="22">
        <v>2022.0</v>
      </c>
      <c r="J5524" s="16" t="str">
        <f>IFERROR(__xludf.DUMMYFUNCTION("FILTER('CLASFICACIÓN'!$F$3:$F5618,'CLASFICACIÓN'!$G$3:$G5618=M5524)"),"SOLO LINEA BASE")</f>
        <v>SOLO LINEA BASE</v>
      </c>
      <c r="K5524" s="16"/>
      <c r="L5524" s="14" t="s">
        <v>199</v>
      </c>
      <c r="M5524" s="16" t="str">
        <f t="shared" si="1"/>
        <v>1457365 LOS RIT'S DEL ALTO ANDINO5 Secundaria</v>
      </c>
      <c r="N5524" s="23"/>
      <c r="O5524" s="17"/>
      <c r="P5524" s="17"/>
      <c r="Q5524" s="17"/>
      <c r="R5524" s="17"/>
      <c r="S5524" s="17"/>
      <c r="T5524" s="17"/>
    </row>
    <row r="5525">
      <c r="A5525" s="21">
        <v>1653.0</v>
      </c>
      <c r="B5525" s="14" t="s">
        <v>90</v>
      </c>
      <c r="C5525" s="14" t="s">
        <v>27</v>
      </c>
      <c r="D5525" s="20" t="s">
        <v>201</v>
      </c>
      <c r="E5525" s="12" t="str">
        <f>IFERROR(__xludf.DUMMYFUNCTION("FILTER(colegios!$B$2:$B5618,colegios!$A$2:$A5618=L5525)"),"1457365 LOS RIT'S DEL ALTO ANDINO")</f>
        <v>1457365 LOS RIT'S DEL ALTO ANDINO</v>
      </c>
      <c r="F5525" s="14" t="s">
        <v>16</v>
      </c>
      <c r="G5525" s="20" t="s">
        <v>17</v>
      </c>
      <c r="H5525" s="14" t="s">
        <v>24</v>
      </c>
      <c r="I5525" s="22">
        <v>2022.0</v>
      </c>
      <c r="J5525" s="16" t="str">
        <f>IFERROR(__xludf.DUMMYFUNCTION("FILTER('CLASFICACIÓN'!$F$3:$F5618,'CLASFICACIÓN'!$G$3:$G5618=M5525)"),"SOLO LINEA BASE")</f>
        <v>SOLO LINEA BASE</v>
      </c>
      <c r="K5525" s="16"/>
      <c r="L5525" s="14" t="s">
        <v>199</v>
      </c>
      <c r="M5525" s="16" t="str">
        <f t="shared" si="1"/>
        <v>1457365 LOS RIT'S DEL ALTO ANDINO5 Secundaria</v>
      </c>
      <c r="N5525" s="23"/>
      <c r="O5525" s="17"/>
      <c r="P5525" s="17"/>
      <c r="Q5525" s="17"/>
      <c r="R5525" s="17"/>
      <c r="S5525" s="17"/>
      <c r="T5525" s="17"/>
    </row>
    <row r="5526">
      <c r="A5526" s="21">
        <v>1654.0</v>
      </c>
      <c r="B5526" s="14" t="s">
        <v>90</v>
      </c>
      <c r="C5526" s="14" t="s">
        <v>27</v>
      </c>
      <c r="D5526" s="20" t="s">
        <v>201</v>
      </c>
      <c r="E5526" s="12" t="str">
        <f>IFERROR(__xludf.DUMMYFUNCTION("FILTER(colegios!$B$2:$B5618,colegios!$A$2:$A5618=L5526)"),"1457365 LOS RIT'S DEL ALTO ANDINO")</f>
        <v>1457365 LOS RIT'S DEL ALTO ANDINO</v>
      </c>
      <c r="F5526" s="14" t="s">
        <v>16</v>
      </c>
      <c r="G5526" s="20" t="s">
        <v>21</v>
      </c>
      <c r="H5526" s="14" t="s">
        <v>24</v>
      </c>
      <c r="I5526" s="22">
        <v>2022.0</v>
      </c>
      <c r="J5526" s="16" t="str">
        <f>IFERROR(__xludf.DUMMYFUNCTION("FILTER('CLASFICACIÓN'!$F$3:$F5618,'CLASFICACIÓN'!$G$3:$G5618=M5526)"),"SOLO LINEA BASE")</f>
        <v>SOLO LINEA BASE</v>
      </c>
      <c r="K5526" s="16"/>
      <c r="L5526" s="14" t="s">
        <v>199</v>
      </c>
      <c r="M5526" s="16" t="str">
        <f t="shared" si="1"/>
        <v>1457365 LOS RIT'S DEL ALTO ANDINO5 Secundaria</v>
      </c>
      <c r="N5526" s="23"/>
      <c r="O5526" s="17"/>
      <c r="P5526" s="17"/>
      <c r="Q5526" s="17"/>
      <c r="R5526" s="17"/>
      <c r="S5526" s="17"/>
      <c r="T5526" s="17"/>
    </row>
    <row r="5527">
      <c r="A5527" s="21">
        <v>1655.0</v>
      </c>
      <c r="B5527" s="14" t="s">
        <v>90</v>
      </c>
      <c r="C5527" s="14" t="s">
        <v>27</v>
      </c>
      <c r="D5527" s="20" t="s">
        <v>201</v>
      </c>
      <c r="E5527" s="12" t="str">
        <f>IFERROR(__xludf.DUMMYFUNCTION("FILTER(colegios!$B$2:$B5618,colegios!$A$2:$A5618=L5527)"),"1457365 LOS RIT'S DEL ALTO ANDINO")</f>
        <v>1457365 LOS RIT'S DEL ALTO ANDINO</v>
      </c>
      <c r="F5527" s="14" t="s">
        <v>16</v>
      </c>
      <c r="G5527" s="20" t="s">
        <v>17</v>
      </c>
      <c r="H5527" s="14" t="s">
        <v>24</v>
      </c>
      <c r="I5527" s="22">
        <v>2022.0</v>
      </c>
      <c r="J5527" s="16" t="str">
        <f>IFERROR(__xludf.DUMMYFUNCTION("FILTER('CLASFICACIÓN'!$F$3:$F5618,'CLASFICACIÓN'!$G$3:$G5618=M5527)"),"SOLO LINEA BASE")</f>
        <v>SOLO LINEA BASE</v>
      </c>
      <c r="K5527" s="16"/>
      <c r="L5527" s="14" t="s">
        <v>199</v>
      </c>
      <c r="M5527" s="16" t="str">
        <f t="shared" si="1"/>
        <v>1457365 LOS RIT'S DEL ALTO ANDINO5 Secundaria</v>
      </c>
      <c r="N5527" s="23"/>
      <c r="O5527" s="17"/>
      <c r="P5527" s="17"/>
      <c r="Q5527" s="17"/>
      <c r="R5527" s="17"/>
      <c r="S5527" s="17"/>
      <c r="T5527" s="17"/>
    </row>
    <row r="5528">
      <c r="A5528" s="21">
        <v>1656.0</v>
      </c>
      <c r="B5528" s="14" t="s">
        <v>90</v>
      </c>
      <c r="C5528" s="14" t="s">
        <v>27</v>
      </c>
      <c r="D5528" s="20" t="s">
        <v>201</v>
      </c>
      <c r="E5528" s="12" t="str">
        <f>IFERROR(__xludf.DUMMYFUNCTION("FILTER(colegios!$B$2:$B5618,colegios!$A$2:$A5618=L5528)"),"1457365 LOS RIT'S DEL ALTO ANDINO")</f>
        <v>1457365 LOS RIT'S DEL ALTO ANDINO</v>
      </c>
      <c r="F5528" s="14" t="s">
        <v>16</v>
      </c>
      <c r="G5528" s="20" t="s">
        <v>21</v>
      </c>
      <c r="H5528" s="14" t="s">
        <v>24</v>
      </c>
      <c r="I5528" s="22">
        <v>2022.0</v>
      </c>
      <c r="J5528" s="16" t="str">
        <f>IFERROR(__xludf.DUMMYFUNCTION("FILTER('CLASFICACIÓN'!$F$3:$F5618,'CLASFICACIÓN'!$G$3:$G5618=M5528)"),"SOLO LINEA BASE")</f>
        <v>SOLO LINEA BASE</v>
      </c>
      <c r="K5528" s="16"/>
      <c r="L5528" s="14" t="s">
        <v>199</v>
      </c>
      <c r="M5528" s="16" t="str">
        <f t="shared" si="1"/>
        <v>1457365 LOS RIT'S DEL ALTO ANDINO5 Secundaria</v>
      </c>
      <c r="N5528" s="23"/>
      <c r="O5528" s="17"/>
      <c r="P5528" s="17"/>
      <c r="Q5528" s="17"/>
      <c r="R5528" s="17"/>
      <c r="S5528" s="17"/>
      <c r="T5528" s="17"/>
    </row>
    <row r="5529">
      <c r="A5529" s="21">
        <v>1657.0</v>
      </c>
      <c r="B5529" s="14" t="s">
        <v>90</v>
      </c>
      <c r="C5529" s="14" t="s">
        <v>27</v>
      </c>
      <c r="D5529" s="20" t="s">
        <v>201</v>
      </c>
      <c r="E5529" s="12" t="str">
        <f>IFERROR(__xludf.DUMMYFUNCTION("FILTER(colegios!$B$2:$B5618,colegios!$A$2:$A5618=L5529)"),"1457365 LOS RIT'S DEL ALTO ANDINO")</f>
        <v>1457365 LOS RIT'S DEL ALTO ANDINO</v>
      </c>
      <c r="F5529" s="14" t="s">
        <v>16</v>
      </c>
      <c r="G5529" s="20" t="s">
        <v>21</v>
      </c>
      <c r="H5529" s="14" t="s">
        <v>24</v>
      </c>
      <c r="I5529" s="22">
        <v>2022.0</v>
      </c>
      <c r="J5529" s="16" t="str">
        <f>IFERROR(__xludf.DUMMYFUNCTION("FILTER('CLASFICACIÓN'!$F$3:$F5618,'CLASFICACIÓN'!$G$3:$G5618=M5529)"),"SOLO LINEA BASE")</f>
        <v>SOLO LINEA BASE</v>
      </c>
      <c r="K5529" s="16"/>
      <c r="L5529" s="14" t="s">
        <v>199</v>
      </c>
      <c r="M5529" s="16" t="str">
        <f t="shared" si="1"/>
        <v>1457365 LOS RIT'S DEL ALTO ANDINO5 Secundaria</v>
      </c>
      <c r="N5529" s="23"/>
      <c r="O5529" s="17"/>
      <c r="P5529" s="17"/>
      <c r="Q5529" s="17"/>
      <c r="R5529" s="17"/>
      <c r="S5529" s="17"/>
      <c r="T5529" s="17"/>
    </row>
    <row r="5530">
      <c r="A5530" s="21">
        <v>1658.0</v>
      </c>
      <c r="B5530" s="14" t="s">
        <v>90</v>
      </c>
      <c r="C5530" s="14" t="s">
        <v>27</v>
      </c>
      <c r="D5530" s="20" t="s">
        <v>201</v>
      </c>
      <c r="E5530" s="12" t="str">
        <f>IFERROR(__xludf.DUMMYFUNCTION("FILTER(colegios!$B$2:$B5618,colegios!$A$2:$A5618=L5530)"),"1457365 LOS RIT'S DEL ALTO ANDINO")</f>
        <v>1457365 LOS RIT'S DEL ALTO ANDINO</v>
      </c>
      <c r="F5530" s="14" t="s">
        <v>16</v>
      </c>
      <c r="G5530" s="20" t="s">
        <v>17</v>
      </c>
      <c r="H5530" s="14" t="s">
        <v>24</v>
      </c>
      <c r="I5530" s="22">
        <v>2022.0</v>
      </c>
      <c r="J5530" s="16" t="str">
        <f>IFERROR(__xludf.DUMMYFUNCTION("FILTER('CLASFICACIÓN'!$F$3:$F5618,'CLASFICACIÓN'!$G$3:$G5618=M5530)"),"SOLO LINEA BASE")</f>
        <v>SOLO LINEA BASE</v>
      </c>
      <c r="K5530" s="16"/>
      <c r="L5530" s="14" t="s">
        <v>199</v>
      </c>
      <c r="M5530" s="16" t="str">
        <f t="shared" si="1"/>
        <v>1457365 LOS RIT'S DEL ALTO ANDINO5 Secundaria</v>
      </c>
      <c r="N5530" s="23"/>
      <c r="O5530" s="17"/>
      <c r="P5530" s="17"/>
      <c r="Q5530" s="17"/>
      <c r="R5530" s="17"/>
      <c r="S5530" s="17"/>
      <c r="T5530" s="17"/>
    </row>
    <row r="5531">
      <c r="A5531" s="21">
        <v>1659.0</v>
      </c>
      <c r="B5531" s="14" t="s">
        <v>90</v>
      </c>
      <c r="C5531" s="14" t="s">
        <v>27</v>
      </c>
      <c r="D5531" s="20" t="s">
        <v>201</v>
      </c>
      <c r="E5531" s="12" t="str">
        <f>IFERROR(__xludf.DUMMYFUNCTION("FILTER(colegios!$B$2:$B5618,colegios!$A$2:$A5618=L5531)"),"1457365 LOS RIT'S DEL ALTO ANDINO")</f>
        <v>1457365 LOS RIT'S DEL ALTO ANDINO</v>
      </c>
      <c r="F5531" s="14" t="s">
        <v>16</v>
      </c>
      <c r="G5531" s="20" t="s">
        <v>21</v>
      </c>
      <c r="H5531" s="14" t="s">
        <v>24</v>
      </c>
      <c r="I5531" s="22">
        <v>2022.0</v>
      </c>
      <c r="J5531" s="16" t="str">
        <f>IFERROR(__xludf.DUMMYFUNCTION("FILTER('CLASFICACIÓN'!$F$3:$F5618,'CLASFICACIÓN'!$G$3:$G5618=M5531)"),"SOLO LINEA BASE")</f>
        <v>SOLO LINEA BASE</v>
      </c>
      <c r="K5531" s="16"/>
      <c r="L5531" s="14" t="s">
        <v>199</v>
      </c>
      <c r="M5531" s="16" t="str">
        <f t="shared" si="1"/>
        <v>1457365 LOS RIT'S DEL ALTO ANDINO5 Secundaria</v>
      </c>
      <c r="N5531" s="23"/>
      <c r="O5531" s="17"/>
      <c r="P5531" s="17"/>
      <c r="Q5531" s="17"/>
      <c r="R5531" s="17"/>
      <c r="S5531" s="17"/>
      <c r="T5531" s="17"/>
    </row>
    <row r="5532">
      <c r="A5532" s="21">
        <v>1660.0</v>
      </c>
      <c r="B5532" s="14" t="s">
        <v>90</v>
      </c>
      <c r="C5532" s="14" t="s">
        <v>27</v>
      </c>
      <c r="D5532" s="20" t="s">
        <v>201</v>
      </c>
      <c r="E5532" s="12" t="str">
        <f>IFERROR(__xludf.DUMMYFUNCTION("FILTER(colegios!$B$2:$B5618,colegios!$A$2:$A5618=L5532)"),"1457365 LOS RIT'S DEL ALTO ANDINO")</f>
        <v>1457365 LOS RIT'S DEL ALTO ANDINO</v>
      </c>
      <c r="F5532" s="14" t="s">
        <v>16</v>
      </c>
      <c r="G5532" s="20" t="s">
        <v>21</v>
      </c>
      <c r="H5532" s="14" t="s">
        <v>24</v>
      </c>
      <c r="I5532" s="22">
        <v>2022.0</v>
      </c>
      <c r="J5532" s="16" t="str">
        <f>IFERROR(__xludf.DUMMYFUNCTION("FILTER('CLASFICACIÓN'!$F$3:$F5618,'CLASFICACIÓN'!$G$3:$G5618=M5532)"),"SOLO LINEA BASE")</f>
        <v>SOLO LINEA BASE</v>
      </c>
      <c r="K5532" s="16"/>
      <c r="L5532" s="14" t="s">
        <v>199</v>
      </c>
      <c r="M5532" s="16" t="str">
        <f t="shared" si="1"/>
        <v>1457365 LOS RIT'S DEL ALTO ANDINO5 Secundaria</v>
      </c>
      <c r="N5532" s="23"/>
      <c r="O5532" s="17"/>
      <c r="P5532" s="17"/>
      <c r="Q5532" s="17"/>
      <c r="R5532" s="17"/>
      <c r="S5532" s="17"/>
      <c r="T5532" s="17"/>
    </row>
    <row r="5533">
      <c r="A5533" s="32">
        <v>1.0</v>
      </c>
      <c r="B5533" s="28" t="s">
        <v>48</v>
      </c>
      <c r="C5533" s="27" t="str">
        <f t="shared" ref="C5533:C5618" si="2">MID(D5533,3,20)</f>
        <v>Primaria</v>
      </c>
      <c r="D5533" s="28" t="s">
        <v>15</v>
      </c>
      <c r="E5533" s="25" t="str">
        <f>IFERROR(__xludf.DUMMYFUNCTION("FILTER(colegios!$B$2:$B5618,colegios!$A$2:$A5618=L5533)"),"14924 DANIEL ALCIDES CARRION")</f>
        <v>14924 DANIEL ALCIDES CARRION</v>
      </c>
      <c r="F5533" s="27" t="s">
        <v>16</v>
      </c>
      <c r="G5533" s="28" t="s">
        <v>21</v>
      </c>
      <c r="H5533" s="27" t="s">
        <v>18</v>
      </c>
      <c r="I5533" s="33">
        <v>2024.0</v>
      </c>
      <c r="J5533" s="34" t="str">
        <f>IFERROR(__xludf.DUMMYFUNCTION("FILTER('CLASFICACIÓN'!$F$3:$F5618,'CLASFICACIÓN'!$G$3:$G5618=M5533)"),"2023 Y 2024")</f>
        <v>2023 Y 2024</v>
      </c>
      <c r="K5533" s="34" t="str">
        <f t="array" ref="K5533">IFERROR(DGET('PADD-R'!$B$1:$K5618,'PADD-R'!$K$1,{'PADD-R'!$B$1;E5533}),"NO PARTICIPÓ")</f>
        <v>PADD 2023 Y 2024</v>
      </c>
      <c r="L5533" s="27" t="s">
        <v>49</v>
      </c>
      <c r="M5533" s="34" t="str">
        <f t="shared" si="1"/>
        <v>14924 DANIEL ALCIDES CARRION2 Primaria</v>
      </c>
      <c r="N5533" s="30"/>
      <c r="O5533" s="31"/>
      <c r="P5533" s="31"/>
      <c r="Q5533" s="31"/>
      <c r="R5533" s="31"/>
      <c r="S5533" s="31"/>
      <c r="T5533" s="31"/>
    </row>
    <row r="5534">
      <c r="A5534" s="21">
        <v>2.0</v>
      </c>
      <c r="B5534" s="20" t="s">
        <v>48</v>
      </c>
      <c r="C5534" s="14" t="str">
        <f t="shared" si="2"/>
        <v>Primaria</v>
      </c>
      <c r="D5534" s="20" t="s">
        <v>15</v>
      </c>
      <c r="E5534" s="12" t="str">
        <f>IFERROR(__xludf.DUMMYFUNCTION("FILTER(colegios!$B$2:$B5618,colegios!$A$2:$A5618=L5534)"),"14924 DANIEL ALCIDES CARRION")</f>
        <v>14924 DANIEL ALCIDES CARRION</v>
      </c>
      <c r="F5534" s="14" t="s">
        <v>16</v>
      </c>
      <c r="G5534" s="20" t="s">
        <v>17</v>
      </c>
      <c r="H5534" s="14" t="s">
        <v>24</v>
      </c>
      <c r="I5534" s="22">
        <v>2024.0</v>
      </c>
      <c r="J5534" s="16" t="str">
        <f>IFERROR(__xludf.DUMMYFUNCTION("FILTER('CLASFICACIÓN'!$F$3:$F5618,'CLASFICACIÓN'!$G$3:$G5618=M5534)"),"2023 Y 2024")</f>
        <v>2023 Y 2024</v>
      </c>
      <c r="K5534" s="16" t="str">
        <f t="array" ref="K5534">IFERROR(DGET('PADD-R'!$B$1:$K5618,'PADD-R'!$K$1,{'PADD-R'!$B$1;E5534}),"NO PARTICIPÓ")</f>
        <v>PADD 2023 Y 2024</v>
      </c>
      <c r="L5534" s="14" t="s">
        <v>49</v>
      </c>
      <c r="M5534" s="16" t="str">
        <f t="shared" si="1"/>
        <v>14924 DANIEL ALCIDES CARRION2 Primaria</v>
      </c>
      <c r="N5534" s="23"/>
      <c r="O5534" s="17"/>
      <c r="P5534" s="17"/>
      <c r="Q5534" s="17"/>
      <c r="R5534" s="17"/>
      <c r="S5534" s="17"/>
      <c r="T5534" s="17"/>
    </row>
    <row r="5535">
      <c r="A5535" s="21">
        <v>3.0</v>
      </c>
      <c r="B5535" s="20" t="s">
        <v>48</v>
      </c>
      <c r="C5535" s="14" t="str">
        <f t="shared" si="2"/>
        <v>Primaria</v>
      </c>
      <c r="D5535" s="20" t="s">
        <v>15</v>
      </c>
      <c r="E5535" s="12" t="str">
        <f>IFERROR(__xludf.DUMMYFUNCTION("FILTER(colegios!$B$2:$B5618,colegios!$A$2:$A5618=L5535)"),"14924 DANIEL ALCIDES CARRION")</f>
        <v>14924 DANIEL ALCIDES CARRION</v>
      </c>
      <c r="F5535" s="14" t="s">
        <v>16</v>
      </c>
      <c r="G5535" s="20" t="s">
        <v>21</v>
      </c>
      <c r="H5535" s="14" t="s">
        <v>24</v>
      </c>
      <c r="I5535" s="22">
        <v>2024.0</v>
      </c>
      <c r="J5535" s="16" t="str">
        <f>IFERROR(__xludf.DUMMYFUNCTION("FILTER('CLASFICACIÓN'!$F$3:$F5618,'CLASFICACIÓN'!$G$3:$G5618=M5535)"),"2023 Y 2024")</f>
        <v>2023 Y 2024</v>
      </c>
      <c r="K5535" s="16" t="str">
        <f t="array" ref="K5535">IFERROR(DGET('PADD-R'!$B$1:$K5618,'PADD-R'!$K$1,{'PADD-R'!$B$1;E5535}),"NO PARTICIPÓ")</f>
        <v>PADD 2023 Y 2024</v>
      </c>
      <c r="L5535" s="14" t="s">
        <v>49</v>
      </c>
      <c r="M5535" s="16" t="str">
        <f t="shared" si="1"/>
        <v>14924 DANIEL ALCIDES CARRION2 Primaria</v>
      </c>
      <c r="N5535" s="23"/>
      <c r="O5535" s="17"/>
      <c r="P5535" s="17"/>
      <c r="Q5535" s="17"/>
      <c r="R5535" s="17"/>
      <c r="S5535" s="17"/>
      <c r="T5535" s="17"/>
    </row>
    <row r="5536">
      <c r="A5536" s="21">
        <v>4.0</v>
      </c>
      <c r="B5536" s="20" t="s">
        <v>48</v>
      </c>
      <c r="C5536" s="14" t="str">
        <f t="shared" si="2"/>
        <v>Primaria</v>
      </c>
      <c r="D5536" s="20" t="s">
        <v>15</v>
      </c>
      <c r="E5536" s="12" t="str">
        <f>IFERROR(__xludf.DUMMYFUNCTION("FILTER(colegios!$B$2:$B5618,colegios!$A$2:$A5618=L5536)"),"14924 DANIEL ALCIDES CARRION")</f>
        <v>14924 DANIEL ALCIDES CARRION</v>
      </c>
      <c r="F5536" s="14" t="s">
        <v>16</v>
      </c>
      <c r="G5536" s="20" t="s">
        <v>21</v>
      </c>
      <c r="H5536" s="14" t="s">
        <v>24</v>
      </c>
      <c r="I5536" s="22">
        <v>2024.0</v>
      </c>
      <c r="J5536" s="16" t="str">
        <f>IFERROR(__xludf.DUMMYFUNCTION("FILTER('CLASFICACIÓN'!$F$3:$F5618,'CLASFICACIÓN'!$G$3:$G5618=M5536)"),"2023 Y 2024")</f>
        <v>2023 Y 2024</v>
      </c>
      <c r="K5536" s="16" t="str">
        <f t="array" ref="K5536">IFERROR(DGET('PADD-R'!$B$1:$K5618,'PADD-R'!$K$1,{'PADD-R'!$B$1;E5536}),"NO PARTICIPÓ")</f>
        <v>PADD 2023 Y 2024</v>
      </c>
      <c r="L5536" s="14" t="s">
        <v>49</v>
      </c>
      <c r="M5536" s="16" t="str">
        <f t="shared" si="1"/>
        <v>14924 DANIEL ALCIDES CARRION2 Primaria</v>
      </c>
      <c r="N5536" s="23"/>
      <c r="O5536" s="17"/>
      <c r="P5536" s="17"/>
      <c r="Q5536" s="17"/>
      <c r="R5536" s="17"/>
      <c r="S5536" s="17"/>
      <c r="T5536" s="17"/>
    </row>
    <row r="5537">
      <c r="A5537" s="21">
        <v>5.0</v>
      </c>
      <c r="B5537" s="20" t="s">
        <v>48</v>
      </c>
      <c r="C5537" s="14" t="str">
        <f t="shared" si="2"/>
        <v>Primaria</v>
      </c>
      <c r="D5537" s="20" t="s">
        <v>15</v>
      </c>
      <c r="E5537" s="12" t="str">
        <f>IFERROR(__xludf.DUMMYFUNCTION("FILTER(colegios!$B$2:$B5618,colegios!$A$2:$A5618=L5537)"),"14924 DANIEL ALCIDES CARRION")</f>
        <v>14924 DANIEL ALCIDES CARRION</v>
      </c>
      <c r="F5537" s="14" t="s">
        <v>16</v>
      </c>
      <c r="G5537" s="20" t="s">
        <v>17</v>
      </c>
      <c r="H5537" s="14" t="s">
        <v>24</v>
      </c>
      <c r="I5537" s="22">
        <v>2024.0</v>
      </c>
      <c r="J5537" s="16" t="str">
        <f>IFERROR(__xludf.DUMMYFUNCTION("FILTER('CLASFICACIÓN'!$F$3:$F5618,'CLASFICACIÓN'!$G$3:$G5618=M5537)"),"2023 Y 2024")</f>
        <v>2023 Y 2024</v>
      </c>
      <c r="K5537" s="16" t="str">
        <f t="array" ref="K5537">IFERROR(DGET('PADD-R'!$B$1:$K5618,'PADD-R'!$K$1,{'PADD-R'!$B$1;E5537}),"NO PARTICIPÓ")</f>
        <v>PADD 2023 Y 2024</v>
      </c>
      <c r="L5537" s="14" t="s">
        <v>49</v>
      </c>
      <c r="M5537" s="16" t="str">
        <f t="shared" si="1"/>
        <v>14924 DANIEL ALCIDES CARRION2 Primaria</v>
      </c>
      <c r="N5537" s="23"/>
      <c r="O5537" s="17"/>
      <c r="P5537" s="17"/>
      <c r="Q5537" s="17"/>
      <c r="R5537" s="17"/>
      <c r="S5537" s="17"/>
      <c r="T5537" s="17"/>
    </row>
    <row r="5538">
      <c r="A5538" s="21">
        <v>6.0</v>
      </c>
      <c r="B5538" s="20" t="s">
        <v>48</v>
      </c>
      <c r="C5538" s="14" t="str">
        <f t="shared" si="2"/>
        <v>Primaria</v>
      </c>
      <c r="D5538" s="20" t="s">
        <v>15</v>
      </c>
      <c r="E5538" s="12" t="str">
        <f>IFERROR(__xludf.DUMMYFUNCTION("FILTER(colegios!$B$2:$B5618,colegios!$A$2:$A5618=L5538)"),"14924 DANIEL ALCIDES CARRION")</f>
        <v>14924 DANIEL ALCIDES CARRION</v>
      </c>
      <c r="F5538" s="14" t="s">
        <v>16</v>
      </c>
      <c r="G5538" s="20" t="s">
        <v>21</v>
      </c>
      <c r="H5538" s="14" t="s">
        <v>24</v>
      </c>
      <c r="I5538" s="22">
        <v>2024.0</v>
      </c>
      <c r="J5538" s="16" t="str">
        <f>IFERROR(__xludf.DUMMYFUNCTION("FILTER('CLASFICACIÓN'!$F$3:$F5618,'CLASFICACIÓN'!$G$3:$G5618=M5538)"),"2023 Y 2024")</f>
        <v>2023 Y 2024</v>
      </c>
      <c r="K5538" s="16" t="str">
        <f t="array" ref="K5538">IFERROR(DGET('PADD-R'!$B$1:$K5618,'PADD-R'!$K$1,{'PADD-R'!$B$1;E5538}),"NO PARTICIPÓ")</f>
        <v>PADD 2023 Y 2024</v>
      </c>
      <c r="L5538" s="14" t="s">
        <v>49</v>
      </c>
      <c r="M5538" s="16" t="str">
        <f t="shared" si="1"/>
        <v>14924 DANIEL ALCIDES CARRION2 Primaria</v>
      </c>
      <c r="N5538" s="23"/>
      <c r="O5538" s="17"/>
      <c r="P5538" s="17"/>
      <c r="Q5538" s="17"/>
      <c r="R5538" s="17"/>
      <c r="S5538" s="17"/>
      <c r="T5538" s="17"/>
    </row>
    <row r="5539">
      <c r="A5539" s="21">
        <v>7.0</v>
      </c>
      <c r="B5539" s="20" t="s">
        <v>48</v>
      </c>
      <c r="C5539" s="14" t="str">
        <f t="shared" si="2"/>
        <v>Primaria</v>
      </c>
      <c r="D5539" s="20" t="s">
        <v>15</v>
      </c>
      <c r="E5539" s="12" t="str">
        <f>IFERROR(__xludf.DUMMYFUNCTION("FILTER(colegios!$B$2:$B5618,colegios!$A$2:$A5618=L5539)"),"14924 DANIEL ALCIDES CARRION")</f>
        <v>14924 DANIEL ALCIDES CARRION</v>
      </c>
      <c r="F5539" s="14" t="s">
        <v>16</v>
      </c>
      <c r="G5539" s="20" t="s">
        <v>21</v>
      </c>
      <c r="H5539" s="14" t="s">
        <v>24</v>
      </c>
      <c r="I5539" s="22">
        <v>2024.0</v>
      </c>
      <c r="J5539" s="16" t="str">
        <f>IFERROR(__xludf.DUMMYFUNCTION("FILTER('CLASFICACIÓN'!$F$3:$F5618,'CLASFICACIÓN'!$G$3:$G5618=M5539)"),"2023 Y 2024")</f>
        <v>2023 Y 2024</v>
      </c>
      <c r="K5539" s="16" t="str">
        <f t="array" ref="K5539">IFERROR(DGET('PADD-R'!$B$1:$K5618,'PADD-R'!$K$1,{'PADD-R'!$B$1;E5539}),"NO PARTICIPÓ")</f>
        <v>PADD 2023 Y 2024</v>
      </c>
      <c r="L5539" s="14" t="s">
        <v>49</v>
      </c>
      <c r="M5539" s="16" t="str">
        <f t="shared" si="1"/>
        <v>14924 DANIEL ALCIDES CARRION2 Primaria</v>
      </c>
      <c r="N5539" s="23"/>
      <c r="O5539" s="17"/>
      <c r="P5539" s="17"/>
      <c r="Q5539" s="17"/>
      <c r="R5539" s="17"/>
      <c r="S5539" s="17"/>
      <c r="T5539" s="17"/>
    </row>
    <row r="5540">
      <c r="A5540" s="21">
        <v>8.0</v>
      </c>
      <c r="B5540" s="20" t="s">
        <v>48</v>
      </c>
      <c r="C5540" s="14" t="str">
        <f t="shared" si="2"/>
        <v>Primaria</v>
      </c>
      <c r="D5540" s="20" t="s">
        <v>15</v>
      </c>
      <c r="E5540" s="12" t="str">
        <f>IFERROR(__xludf.DUMMYFUNCTION("FILTER(colegios!$B$2:$B5618,colegios!$A$2:$A5618=L5540)"),"14924 DANIEL ALCIDES CARRION")</f>
        <v>14924 DANIEL ALCIDES CARRION</v>
      </c>
      <c r="F5540" s="14" t="s">
        <v>16</v>
      </c>
      <c r="G5540" s="20" t="s">
        <v>17</v>
      </c>
      <c r="H5540" s="14" t="s">
        <v>18</v>
      </c>
      <c r="I5540" s="22">
        <v>2024.0</v>
      </c>
      <c r="J5540" s="16" t="str">
        <f>IFERROR(__xludf.DUMMYFUNCTION("FILTER('CLASFICACIÓN'!$F$3:$F5618,'CLASFICACIÓN'!$G$3:$G5618=M5540)"),"2023 Y 2024")</f>
        <v>2023 Y 2024</v>
      </c>
      <c r="K5540" s="16" t="str">
        <f t="array" ref="K5540">IFERROR(DGET('PADD-R'!$B$1:$K5618,'PADD-R'!$K$1,{'PADD-R'!$B$1;E5540}),"NO PARTICIPÓ")</f>
        <v>PADD 2023 Y 2024</v>
      </c>
      <c r="L5540" s="14" t="s">
        <v>49</v>
      </c>
      <c r="M5540" s="16" t="str">
        <f t="shared" si="1"/>
        <v>14924 DANIEL ALCIDES CARRION2 Primaria</v>
      </c>
      <c r="N5540" s="23"/>
      <c r="O5540" s="17"/>
      <c r="P5540" s="17"/>
      <c r="Q5540" s="17"/>
      <c r="R5540" s="17"/>
      <c r="S5540" s="17"/>
      <c r="T5540" s="17"/>
    </row>
    <row r="5541">
      <c r="A5541" s="21">
        <v>9.0</v>
      </c>
      <c r="B5541" s="20" t="s">
        <v>48</v>
      </c>
      <c r="C5541" s="14" t="str">
        <f t="shared" si="2"/>
        <v>Primaria</v>
      </c>
      <c r="D5541" s="20" t="s">
        <v>15</v>
      </c>
      <c r="E5541" s="12" t="str">
        <f>IFERROR(__xludf.DUMMYFUNCTION("FILTER(colegios!$B$2:$B5618,colegios!$A$2:$A5618=L5541)"),"14924 DANIEL ALCIDES CARRION")</f>
        <v>14924 DANIEL ALCIDES CARRION</v>
      </c>
      <c r="F5541" s="14" t="s">
        <v>16</v>
      </c>
      <c r="G5541" s="20" t="s">
        <v>17</v>
      </c>
      <c r="H5541" s="14" t="s">
        <v>24</v>
      </c>
      <c r="I5541" s="22">
        <v>2024.0</v>
      </c>
      <c r="J5541" s="16" t="str">
        <f>IFERROR(__xludf.DUMMYFUNCTION("FILTER('CLASFICACIÓN'!$F$3:$F5618,'CLASFICACIÓN'!$G$3:$G5618=M5541)"),"2023 Y 2024")</f>
        <v>2023 Y 2024</v>
      </c>
      <c r="K5541" s="16" t="str">
        <f t="array" ref="K5541">IFERROR(DGET('PADD-R'!$B$1:$K5618,'PADD-R'!$K$1,{'PADD-R'!$B$1;E5541}),"NO PARTICIPÓ")</f>
        <v>PADD 2023 Y 2024</v>
      </c>
      <c r="L5541" s="14" t="s">
        <v>49</v>
      </c>
      <c r="M5541" s="16" t="str">
        <f t="shared" si="1"/>
        <v>14924 DANIEL ALCIDES CARRION2 Primaria</v>
      </c>
      <c r="N5541" s="23"/>
      <c r="O5541" s="17"/>
      <c r="P5541" s="17"/>
      <c r="Q5541" s="17"/>
      <c r="R5541" s="17"/>
      <c r="S5541" s="17"/>
      <c r="T5541" s="17"/>
    </row>
    <row r="5542">
      <c r="A5542" s="21">
        <v>10.0</v>
      </c>
      <c r="B5542" s="20" t="s">
        <v>48</v>
      </c>
      <c r="C5542" s="14" t="str">
        <f t="shared" si="2"/>
        <v>Primaria</v>
      </c>
      <c r="D5542" s="20" t="s">
        <v>15</v>
      </c>
      <c r="E5542" s="12" t="str">
        <f>IFERROR(__xludf.DUMMYFUNCTION("FILTER(colegios!$B$2:$B5618,colegios!$A$2:$A5618=L5542)"),"14924 DANIEL ALCIDES CARRION")</f>
        <v>14924 DANIEL ALCIDES CARRION</v>
      </c>
      <c r="F5542" s="14" t="s">
        <v>16</v>
      </c>
      <c r="G5542" s="20" t="s">
        <v>21</v>
      </c>
      <c r="H5542" s="14" t="s">
        <v>24</v>
      </c>
      <c r="I5542" s="22">
        <v>2024.0</v>
      </c>
      <c r="J5542" s="16" t="str">
        <f>IFERROR(__xludf.DUMMYFUNCTION("FILTER('CLASFICACIÓN'!$F$3:$F5618,'CLASFICACIÓN'!$G$3:$G5618=M5542)"),"2023 Y 2024")</f>
        <v>2023 Y 2024</v>
      </c>
      <c r="K5542" s="16" t="str">
        <f t="array" ref="K5542">IFERROR(DGET('PADD-R'!$B$1:$K5618,'PADD-R'!$K$1,{'PADD-R'!$B$1;E5542}),"NO PARTICIPÓ")</f>
        <v>PADD 2023 Y 2024</v>
      </c>
      <c r="L5542" s="14" t="s">
        <v>49</v>
      </c>
      <c r="M5542" s="16" t="str">
        <f t="shared" si="1"/>
        <v>14924 DANIEL ALCIDES CARRION2 Primaria</v>
      </c>
      <c r="N5542" s="23"/>
      <c r="O5542" s="17"/>
      <c r="P5542" s="17"/>
      <c r="Q5542" s="17"/>
      <c r="R5542" s="17"/>
      <c r="S5542" s="17"/>
      <c r="T5542" s="17"/>
    </row>
    <row r="5543">
      <c r="A5543" s="21">
        <v>11.0</v>
      </c>
      <c r="B5543" s="20" t="s">
        <v>48</v>
      </c>
      <c r="C5543" s="14" t="str">
        <f t="shared" si="2"/>
        <v>Primaria</v>
      </c>
      <c r="D5543" s="20" t="s">
        <v>15</v>
      </c>
      <c r="E5543" s="12" t="str">
        <f>IFERROR(__xludf.DUMMYFUNCTION("FILTER(colegios!$B$2:$B5618,colegios!$A$2:$A5618=L5543)"),"14924 DANIEL ALCIDES CARRION")</f>
        <v>14924 DANIEL ALCIDES CARRION</v>
      </c>
      <c r="F5543" s="14" t="s">
        <v>16</v>
      </c>
      <c r="G5543" s="20" t="s">
        <v>21</v>
      </c>
      <c r="H5543" s="14" t="s">
        <v>24</v>
      </c>
      <c r="I5543" s="22">
        <v>2024.0</v>
      </c>
      <c r="J5543" s="16" t="str">
        <f>IFERROR(__xludf.DUMMYFUNCTION("FILTER('CLASFICACIÓN'!$F$3:$F5618,'CLASFICACIÓN'!$G$3:$G5618=M5543)"),"2023 Y 2024")</f>
        <v>2023 Y 2024</v>
      </c>
      <c r="K5543" s="16" t="str">
        <f t="array" ref="K5543">IFERROR(DGET('PADD-R'!$B$1:$K5618,'PADD-R'!$K$1,{'PADD-R'!$B$1;E5543}),"NO PARTICIPÓ")</f>
        <v>PADD 2023 Y 2024</v>
      </c>
      <c r="L5543" s="14" t="s">
        <v>49</v>
      </c>
      <c r="M5543" s="16" t="str">
        <f t="shared" si="1"/>
        <v>14924 DANIEL ALCIDES CARRION2 Primaria</v>
      </c>
      <c r="N5543" s="23"/>
      <c r="O5543" s="17"/>
      <c r="P5543" s="17"/>
      <c r="Q5543" s="17"/>
      <c r="R5543" s="17"/>
      <c r="S5543" s="17"/>
      <c r="T5543" s="17"/>
    </row>
    <row r="5544">
      <c r="A5544" s="21">
        <v>12.0</v>
      </c>
      <c r="B5544" s="20" t="s">
        <v>48</v>
      </c>
      <c r="C5544" s="14" t="str">
        <f t="shared" si="2"/>
        <v>Primaria</v>
      </c>
      <c r="D5544" s="20" t="s">
        <v>15</v>
      </c>
      <c r="E5544" s="12" t="str">
        <f>IFERROR(__xludf.DUMMYFUNCTION("FILTER(colegios!$B$2:$B5618,colegios!$A$2:$A5618=L5544)"),"14924 DANIEL ALCIDES CARRION")</f>
        <v>14924 DANIEL ALCIDES CARRION</v>
      </c>
      <c r="F5544" s="14" t="s">
        <v>16</v>
      </c>
      <c r="G5544" s="20" t="s">
        <v>21</v>
      </c>
      <c r="H5544" s="14" t="s">
        <v>18</v>
      </c>
      <c r="I5544" s="22">
        <v>2024.0</v>
      </c>
      <c r="J5544" s="16" t="str">
        <f>IFERROR(__xludf.DUMMYFUNCTION("FILTER('CLASFICACIÓN'!$F$3:$F5618,'CLASFICACIÓN'!$G$3:$G5618=M5544)"),"2023 Y 2024")</f>
        <v>2023 Y 2024</v>
      </c>
      <c r="K5544" s="16" t="str">
        <f t="array" ref="K5544">IFERROR(DGET('PADD-R'!$B$1:$K5618,'PADD-R'!$K$1,{'PADD-R'!$B$1;E5544}),"NO PARTICIPÓ")</f>
        <v>PADD 2023 Y 2024</v>
      </c>
      <c r="L5544" s="14" t="s">
        <v>49</v>
      </c>
      <c r="M5544" s="16" t="str">
        <f t="shared" si="1"/>
        <v>14924 DANIEL ALCIDES CARRION2 Primaria</v>
      </c>
      <c r="N5544" s="23"/>
      <c r="O5544" s="17"/>
      <c r="P5544" s="17"/>
      <c r="Q5544" s="17"/>
      <c r="R5544" s="17"/>
      <c r="S5544" s="17"/>
      <c r="T5544" s="17"/>
    </row>
    <row r="5545">
      <c r="A5545" s="21">
        <v>13.0</v>
      </c>
      <c r="B5545" s="20" t="s">
        <v>48</v>
      </c>
      <c r="C5545" s="14" t="str">
        <f t="shared" si="2"/>
        <v>Primaria</v>
      </c>
      <c r="D5545" s="20" t="s">
        <v>15</v>
      </c>
      <c r="E5545" s="12" t="str">
        <f>IFERROR(__xludf.DUMMYFUNCTION("FILTER(colegios!$B$2:$B5618,colegios!$A$2:$A5618=L5545)"),"14924 DANIEL ALCIDES CARRION")</f>
        <v>14924 DANIEL ALCIDES CARRION</v>
      </c>
      <c r="F5545" s="14" t="s">
        <v>16</v>
      </c>
      <c r="G5545" s="20" t="s">
        <v>21</v>
      </c>
      <c r="H5545" s="14" t="s">
        <v>24</v>
      </c>
      <c r="I5545" s="22">
        <v>2024.0</v>
      </c>
      <c r="J5545" s="16" t="str">
        <f>IFERROR(__xludf.DUMMYFUNCTION("FILTER('CLASFICACIÓN'!$F$3:$F5618,'CLASFICACIÓN'!$G$3:$G5618=M5545)"),"2023 Y 2024")</f>
        <v>2023 Y 2024</v>
      </c>
      <c r="K5545" s="16" t="str">
        <f t="array" ref="K5545">IFERROR(DGET('PADD-R'!$B$1:$K5618,'PADD-R'!$K$1,{'PADD-R'!$B$1;E5545}),"NO PARTICIPÓ")</f>
        <v>PADD 2023 Y 2024</v>
      </c>
      <c r="L5545" s="14" t="s">
        <v>49</v>
      </c>
      <c r="M5545" s="16" t="str">
        <f t="shared" si="1"/>
        <v>14924 DANIEL ALCIDES CARRION2 Primaria</v>
      </c>
      <c r="N5545" s="23"/>
      <c r="O5545" s="17"/>
      <c r="P5545" s="17"/>
      <c r="Q5545" s="17"/>
      <c r="R5545" s="17"/>
      <c r="S5545" s="17"/>
      <c r="T5545" s="17"/>
    </row>
    <row r="5546">
      <c r="A5546" s="21">
        <v>14.0</v>
      </c>
      <c r="B5546" s="20" t="s">
        <v>48</v>
      </c>
      <c r="C5546" s="14" t="str">
        <f t="shared" si="2"/>
        <v>Primaria</v>
      </c>
      <c r="D5546" s="20" t="s">
        <v>15</v>
      </c>
      <c r="E5546" s="12" t="str">
        <f>IFERROR(__xludf.DUMMYFUNCTION("FILTER(colegios!$B$2:$B5618,colegios!$A$2:$A5618=L5546)"),"14924 DANIEL ALCIDES CARRION")</f>
        <v>14924 DANIEL ALCIDES CARRION</v>
      </c>
      <c r="F5546" s="14" t="s">
        <v>16</v>
      </c>
      <c r="G5546" s="20" t="s">
        <v>17</v>
      </c>
      <c r="H5546" s="14" t="s">
        <v>24</v>
      </c>
      <c r="I5546" s="22">
        <v>2024.0</v>
      </c>
      <c r="J5546" s="16" t="str">
        <f>IFERROR(__xludf.DUMMYFUNCTION("FILTER('CLASFICACIÓN'!$F$3:$F5618,'CLASFICACIÓN'!$G$3:$G5618=M5546)"),"2023 Y 2024")</f>
        <v>2023 Y 2024</v>
      </c>
      <c r="K5546" s="16" t="str">
        <f t="array" ref="K5546">IFERROR(DGET('PADD-R'!$B$1:$K5618,'PADD-R'!$K$1,{'PADD-R'!$B$1;E5546}),"NO PARTICIPÓ")</f>
        <v>PADD 2023 Y 2024</v>
      </c>
      <c r="L5546" s="14" t="s">
        <v>49</v>
      </c>
      <c r="M5546" s="16" t="str">
        <f t="shared" si="1"/>
        <v>14924 DANIEL ALCIDES CARRION2 Primaria</v>
      </c>
      <c r="N5546" s="23"/>
      <c r="O5546" s="17"/>
      <c r="P5546" s="17"/>
      <c r="Q5546" s="17"/>
      <c r="R5546" s="17"/>
      <c r="S5546" s="17"/>
      <c r="T5546" s="17"/>
    </row>
    <row r="5547">
      <c r="A5547" s="21">
        <v>15.0</v>
      </c>
      <c r="B5547" s="20" t="s">
        <v>48</v>
      </c>
      <c r="C5547" s="14" t="str">
        <f t="shared" si="2"/>
        <v>Primaria</v>
      </c>
      <c r="D5547" s="20" t="s">
        <v>15</v>
      </c>
      <c r="E5547" s="12" t="str">
        <f>IFERROR(__xludf.DUMMYFUNCTION("FILTER(colegios!$B$2:$B5618,colegios!$A$2:$A5618=L5547)"),"14924 DANIEL ALCIDES CARRION")</f>
        <v>14924 DANIEL ALCIDES CARRION</v>
      </c>
      <c r="F5547" s="14" t="s">
        <v>16</v>
      </c>
      <c r="G5547" s="20" t="s">
        <v>17</v>
      </c>
      <c r="H5547" s="14" t="s">
        <v>24</v>
      </c>
      <c r="I5547" s="22">
        <v>2024.0</v>
      </c>
      <c r="J5547" s="16" t="str">
        <f>IFERROR(__xludf.DUMMYFUNCTION("FILTER('CLASFICACIÓN'!$F$3:$F5618,'CLASFICACIÓN'!$G$3:$G5618=M5547)"),"2023 Y 2024")</f>
        <v>2023 Y 2024</v>
      </c>
      <c r="K5547" s="16" t="str">
        <f t="array" ref="K5547">IFERROR(DGET('PADD-R'!$B$1:$K5618,'PADD-R'!$K$1,{'PADD-R'!$B$1;E5547}),"NO PARTICIPÓ")</f>
        <v>PADD 2023 Y 2024</v>
      </c>
      <c r="L5547" s="14" t="s">
        <v>49</v>
      </c>
      <c r="M5547" s="16" t="str">
        <f t="shared" si="1"/>
        <v>14924 DANIEL ALCIDES CARRION2 Primaria</v>
      </c>
      <c r="N5547" s="23"/>
      <c r="O5547" s="17"/>
      <c r="P5547" s="17"/>
      <c r="Q5547" s="17"/>
      <c r="R5547" s="17"/>
      <c r="S5547" s="17"/>
      <c r="T5547" s="17"/>
    </row>
    <row r="5548">
      <c r="A5548" s="21">
        <v>16.0</v>
      </c>
      <c r="B5548" s="20" t="s">
        <v>48</v>
      </c>
      <c r="C5548" s="14" t="str">
        <f t="shared" si="2"/>
        <v>Primaria</v>
      </c>
      <c r="D5548" s="20" t="s">
        <v>15</v>
      </c>
      <c r="E5548" s="12" t="str">
        <f>IFERROR(__xludf.DUMMYFUNCTION("FILTER(colegios!$B$2:$B5618,colegios!$A$2:$A5618=L5548)"),"14924 DANIEL ALCIDES CARRION")</f>
        <v>14924 DANIEL ALCIDES CARRION</v>
      </c>
      <c r="F5548" s="14" t="s">
        <v>16</v>
      </c>
      <c r="G5548" s="20" t="s">
        <v>17</v>
      </c>
      <c r="H5548" s="14" t="s">
        <v>24</v>
      </c>
      <c r="I5548" s="22">
        <v>2024.0</v>
      </c>
      <c r="J5548" s="16" t="str">
        <f>IFERROR(__xludf.DUMMYFUNCTION("FILTER('CLASFICACIÓN'!$F$3:$F5618,'CLASFICACIÓN'!$G$3:$G5618=M5548)"),"2023 Y 2024")</f>
        <v>2023 Y 2024</v>
      </c>
      <c r="K5548" s="16" t="str">
        <f t="array" ref="K5548">IFERROR(DGET('PADD-R'!$B$1:$K5618,'PADD-R'!$K$1,{'PADD-R'!$B$1;E5548}),"NO PARTICIPÓ")</f>
        <v>PADD 2023 Y 2024</v>
      </c>
      <c r="L5548" s="14" t="s">
        <v>49</v>
      </c>
      <c r="M5548" s="16" t="str">
        <f t="shared" si="1"/>
        <v>14924 DANIEL ALCIDES CARRION2 Primaria</v>
      </c>
      <c r="N5548" s="23"/>
      <c r="O5548" s="17"/>
      <c r="P5548" s="17"/>
      <c r="Q5548" s="17"/>
      <c r="R5548" s="17"/>
      <c r="S5548" s="17"/>
      <c r="T5548" s="17"/>
    </row>
    <row r="5549">
      <c r="A5549" s="21">
        <v>17.0</v>
      </c>
      <c r="B5549" s="20" t="s">
        <v>48</v>
      </c>
      <c r="C5549" s="14" t="str">
        <f t="shared" si="2"/>
        <v>Primaria</v>
      </c>
      <c r="D5549" s="20" t="s">
        <v>15</v>
      </c>
      <c r="E5549" s="12" t="str">
        <f>IFERROR(__xludf.DUMMYFUNCTION("FILTER(colegios!$B$2:$B5618,colegios!$A$2:$A5618=L5549)"),"14924 DANIEL ALCIDES CARRION")</f>
        <v>14924 DANIEL ALCIDES CARRION</v>
      </c>
      <c r="F5549" s="14" t="s">
        <v>16</v>
      </c>
      <c r="G5549" s="20" t="s">
        <v>17</v>
      </c>
      <c r="H5549" s="14" t="s">
        <v>18</v>
      </c>
      <c r="I5549" s="22">
        <v>2024.0</v>
      </c>
      <c r="J5549" s="16" t="str">
        <f>IFERROR(__xludf.DUMMYFUNCTION("FILTER('CLASFICACIÓN'!$F$3:$F5618,'CLASFICACIÓN'!$G$3:$G5618=M5549)"),"2023 Y 2024")</f>
        <v>2023 Y 2024</v>
      </c>
      <c r="K5549" s="16" t="str">
        <f t="array" ref="K5549">IFERROR(DGET('PADD-R'!$B$1:$K5618,'PADD-R'!$K$1,{'PADD-R'!$B$1;E5549}),"NO PARTICIPÓ")</f>
        <v>PADD 2023 Y 2024</v>
      </c>
      <c r="L5549" s="14" t="s">
        <v>49</v>
      </c>
      <c r="M5549" s="16" t="str">
        <f t="shared" si="1"/>
        <v>14924 DANIEL ALCIDES CARRION2 Primaria</v>
      </c>
      <c r="N5549" s="23"/>
      <c r="O5549" s="17"/>
      <c r="P5549" s="17"/>
      <c r="Q5549" s="17"/>
      <c r="R5549" s="17"/>
      <c r="S5549" s="17"/>
      <c r="T5549" s="17"/>
    </row>
    <row r="5550">
      <c r="A5550" s="21">
        <v>18.0</v>
      </c>
      <c r="B5550" s="20" t="s">
        <v>48</v>
      </c>
      <c r="C5550" s="14" t="str">
        <f t="shared" si="2"/>
        <v>Primaria</v>
      </c>
      <c r="D5550" s="20" t="s">
        <v>15</v>
      </c>
      <c r="E5550" s="12" t="str">
        <f>IFERROR(__xludf.DUMMYFUNCTION("FILTER(colegios!$B$2:$B5618,colegios!$A$2:$A5618=L5550)"),"14924 DANIEL ALCIDES CARRION")</f>
        <v>14924 DANIEL ALCIDES CARRION</v>
      </c>
      <c r="F5550" s="14" t="s">
        <v>16</v>
      </c>
      <c r="G5550" s="20" t="s">
        <v>17</v>
      </c>
      <c r="H5550" s="14" t="s">
        <v>24</v>
      </c>
      <c r="I5550" s="22">
        <v>2024.0</v>
      </c>
      <c r="J5550" s="16" t="str">
        <f>IFERROR(__xludf.DUMMYFUNCTION("FILTER('CLASFICACIÓN'!$F$3:$F5618,'CLASFICACIÓN'!$G$3:$G5618=M5550)"),"2023 Y 2024")</f>
        <v>2023 Y 2024</v>
      </c>
      <c r="K5550" s="16" t="str">
        <f t="array" ref="K5550">IFERROR(DGET('PADD-R'!$B$1:$K5618,'PADD-R'!$K$1,{'PADD-R'!$B$1;E5550}),"NO PARTICIPÓ")</f>
        <v>PADD 2023 Y 2024</v>
      </c>
      <c r="L5550" s="14" t="s">
        <v>49</v>
      </c>
      <c r="M5550" s="16" t="str">
        <f t="shared" si="1"/>
        <v>14924 DANIEL ALCIDES CARRION2 Primaria</v>
      </c>
      <c r="N5550" s="23"/>
      <c r="O5550" s="17"/>
      <c r="P5550" s="17"/>
      <c r="Q5550" s="17"/>
      <c r="R5550" s="17"/>
      <c r="S5550" s="17"/>
      <c r="T5550" s="17"/>
    </row>
    <row r="5551">
      <c r="A5551" s="21">
        <v>19.0</v>
      </c>
      <c r="B5551" s="20" t="s">
        <v>48</v>
      </c>
      <c r="C5551" s="14" t="str">
        <f t="shared" si="2"/>
        <v>Primaria</v>
      </c>
      <c r="D5551" s="20" t="s">
        <v>15</v>
      </c>
      <c r="E5551" s="12" t="str">
        <f>IFERROR(__xludf.DUMMYFUNCTION("FILTER(colegios!$B$2:$B5618,colegios!$A$2:$A5618=L5551)"),"14924 DANIEL ALCIDES CARRION")</f>
        <v>14924 DANIEL ALCIDES CARRION</v>
      </c>
      <c r="F5551" s="14" t="s">
        <v>16</v>
      </c>
      <c r="G5551" s="20" t="s">
        <v>21</v>
      </c>
      <c r="H5551" s="14" t="s">
        <v>24</v>
      </c>
      <c r="I5551" s="22">
        <v>2024.0</v>
      </c>
      <c r="J5551" s="16" t="str">
        <f>IFERROR(__xludf.DUMMYFUNCTION("FILTER('CLASFICACIÓN'!$F$3:$F5618,'CLASFICACIÓN'!$G$3:$G5618=M5551)"),"2023 Y 2024")</f>
        <v>2023 Y 2024</v>
      </c>
      <c r="K5551" s="16" t="str">
        <f t="array" ref="K5551">IFERROR(DGET('PADD-R'!$B$1:$K5618,'PADD-R'!$K$1,{'PADD-R'!$B$1;E5551}),"NO PARTICIPÓ")</f>
        <v>PADD 2023 Y 2024</v>
      </c>
      <c r="L5551" s="14" t="s">
        <v>49</v>
      </c>
      <c r="M5551" s="16" t="str">
        <f t="shared" si="1"/>
        <v>14924 DANIEL ALCIDES CARRION2 Primaria</v>
      </c>
      <c r="N5551" s="23"/>
      <c r="O5551" s="17"/>
      <c r="P5551" s="17"/>
      <c r="Q5551" s="17"/>
      <c r="R5551" s="17"/>
      <c r="S5551" s="17"/>
      <c r="T5551" s="17"/>
    </row>
    <row r="5552">
      <c r="A5552" s="21">
        <v>20.0</v>
      </c>
      <c r="B5552" s="20" t="s">
        <v>48</v>
      </c>
      <c r="C5552" s="14" t="str">
        <f t="shared" si="2"/>
        <v>Primaria</v>
      </c>
      <c r="D5552" s="20" t="s">
        <v>15</v>
      </c>
      <c r="E5552" s="12" t="str">
        <f>IFERROR(__xludf.DUMMYFUNCTION("FILTER(colegios!$B$2:$B5618,colegios!$A$2:$A5618=L5552)"),"14924 DANIEL ALCIDES CARRION")</f>
        <v>14924 DANIEL ALCIDES CARRION</v>
      </c>
      <c r="F5552" s="14" t="s">
        <v>16</v>
      </c>
      <c r="G5552" s="20" t="s">
        <v>21</v>
      </c>
      <c r="H5552" s="14" t="s">
        <v>24</v>
      </c>
      <c r="I5552" s="22">
        <v>2024.0</v>
      </c>
      <c r="J5552" s="16" t="str">
        <f>IFERROR(__xludf.DUMMYFUNCTION("FILTER('CLASFICACIÓN'!$F$3:$F5618,'CLASFICACIÓN'!$G$3:$G5618=M5552)"),"2023 Y 2024")</f>
        <v>2023 Y 2024</v>
      </c>
      <c r="K5552" s="16" t="str">
        <f t="array" ref="K5552">IFERROR(DGET('PADD-R'!$B$1:$K5618,'PADD-R'!$K$1,{'PADD-R'!$B$1;E5552}),"NO PARTICIPÓ")</f>
        <v>PADD 2023 Y 2024</v>
      </c>
      <c r="L5552" s="14" t="s">
        <v>49</v>
      </c>
      <c r="M5552" s="16" t="str">
        <f t="shared" si="1"/>
        <v>14924 DANIEL ALCIDES CARRION2 Primaria</v>
      </c>
      <c r="N5552" s="23"/>
      <c r="O5552" s="17"/>
      <c r="P5552" s="17"/>
      <c r="Q5552" s="17"/>
      <c r="R5552" s="17"/>
      <c r="S5552" s="17"/>
      <c r="T5552" s="17"/>
    </row>
    <row r="5553">
      <c r="A5553" s="21">
        <v>21.0</v>
      </c>
      <c r="B5553" s="20" t="s">
        <v>48</v>
      </c>
      <c r="C5553" s="14" t="str">
        <f t="shared" si="2"/>
        <v>Primaria</v>
      </c>
      <c r="D5553" s="20" t="s">
        <v>15</v>
      </c>
      <c r="E5553" s="12" t="str">
        <f>IFERROR(__xludf.DUMMYFUNCTION("FILTER(colegios!$B$2:$B5618,colegios!$A$2:$A5618=L5553)"),"14924 DANIEL ALCIDES CARRION")</f>
        <v>14924 DANIEL ALCIDES CARRION</v>
      </c>
      <c r="F5553" s="14" t="s">
        <v>16</v>
      </c>
      <c r="G5553" s="20" t="s">
        <v>21</v>
      </c>
      <c r="H5553" s="14" t="s">
        <v>18</v>
      </c>
      <c r="I5553" s="22">
        <v>2024.0</v>
      </c>
      <c r="J5553" s="16" t="str">
        <f>IFERROR(__xludf.DUMMYFUNCTION("FILTER('CLASFICACIÓN'!$F$3:$F5618,'CLASFICACIÓN'!$G$3:$G5618=M5553)"),"2023 Y 2024")</f>
        <v>2023 Y 2024</v>
      </c>
      <c r="K5553" s="16" t="str">
        <f t="array" ref="K5553">IFERROR(DGET('PADD-R'!$B$1:$K5618,'PADD-R'!$K$1,{'PADD-R'!$B$1;E5553}),"NO PARTICIPÓ")</f>
        <v>PADD 2023 Y 2024</v>
      </c>
      <c r="L5553" s="14" t="s">
        <v>49</v>
      </c>
      <c r="M5553" s="16" t="str">
        <f t="shared" si="1"/>
        <v>14924 DANIEL ALCIDES CARRION2 Primaria</v>
      </c>
      <c r="N5553" s="23"/>
      <c r="O5553" s="17"/>
      <c r="P5553" s="17"/>
      <c r="Q5553" s="17"/>
      <c r="R5553" s="17"/>
      <c r="S5553" s="17"/>
      <c r="T5553" s="17"/>
    </row>
    <row r="5554">
      <c r="A5554" s="21">
        <v>22.0</v>
      </c>
      <c r="B5554" s="20" t="s">
        <v>48</v>
      </c>
      <c r="C5554" s="14" t="str">
        <f t="shared" si="2"/>
        <v>Primaria</v>
      </c>
      <c r="D5554" s="20" t="s">
        <v>15</v>
      </c>
      <c r="E5554" s="12" t="str">
        <f>IFERROR(__xludf.DUMMYFUNCTION("FILTER(colegios!$B$2:$B5618,colegios!$A$2:$A5618=L5554)"),"20104")</f>
        <v>20104</v>
      </c>
      <c r="F5554" s="14" t="s">
        <v>16</v>
      </c>
      <c r="G5554" s="20" t="s">
        <v>21</v>
      </c>
      <c r="H5554" s="14" t="s">
        <v>18</v>
      </c>
      <c r="I5554" s="22">
        <v>2024.0</v>
      </c>
      <c r="J5554" s="16" t="str">
        <f>IFERROR(__xludf.DUMMYFUNCTION("FILTER('CLASFICACIÓN'!$F$3:$F5618,'CLASFICACIÓN'!$G$3:$G5618=M5554)"),"2023 Y 2024")</f>
        <v>2023 Y 2024</v>
      </c>
      <c r="K5554" s="16" t="str">
        <f t="array" ref="K5554">IFERROR(DGET('PADD-R'!$B$1:$K5618,'PADD-R'!$K$1,{'PADD-R'!$B$1;E5554}),"NO PARTICIPÓ")</f>
        <v>PADD 2023 Y 2024</v>
      </c>
      <c r="L5554" s="14" t="s">
        <v>50</v>
      </c>
      <c r="M5554" s="16" t="str">
        <f t="shared" si="1"/>
        <v>201042 Primaria</v>
      </c>
      <c r="N5554" s="23"/>
      <c r="O5554" s="17"/>
      <c r="P5554" s="17"/>
      <c r="Q5554" s="17"/>
      <c r="R5554" s="17"/>
      <c r="S5554" s="17"/>
      <c r="T5554" s="17"/>
    </row>
    <row r="5555">
      <c r="A5555" s="21">
        <v>23.0</v>
      </c>
      <c r="B5555" s="20" t="s">
        <v>48</v>
      </c>
      <c r="C5555" s="14" t="str">
        <f t="shared" si="2"/>
        <v>Primaria</v>
      </c>
      <c r="D5555" s="20" t="s">
        <v>15</v>
      </c>
      <c r="E5555" s="12" t="str">
        <f>IFERROR(__xludf.DUMMYFUNCTION("FILTER(colegios!$B$2:$B5618,colegios!$A$2:$A5618=L5555)"),"20104")</f>
        <v>20104</v>
      </c>
      <c r="F5555" s="14" t="s">
        <v>16</v>
      </c>
      <c r="G5555" s="20" t="s">
        <v>21</v>
      </c>
      <c r="H5555" s="14" t="s">
        <v>24</v>
      </c>
      <c r="I5555" s="22">
        <v>2024.0</v>
      </c>
      <c r="J5555" s="16" t="str">
        <f>IFERROR(__xludf.DUMMYFUNCTION("FILTER('CLASFICACIÓN'!$F$3:$F5618,'CLASFICACIÓN'!$G$3:$G5618=M5555)"),"2023 Y 2024")</f>
        <v>2023 Y 2024</v>
      </c>
      <c r="K5555" s="16" t="str">
        <f t="array" ref="K5555">IFERROR(DGET('PADD-R'!$B$1:$K5618,'PADD-R'!$K$1,{'PADD-R'!$B$1;E5555}),"NO PARTICIPÓ")</f>
        <v>PADD 2023 Y 2024</v>
      </c>
      <c r="L5555" s="14" t="s">
        <v>50</v>
      </c>
      <c r="M5555" s="16" t="str">
        <f t="shared" si="1"/>
        <v>201042 Primaria</v>
      </c>
      <c r="N5555" s="23"/>
      <c r="O5555" s="17"/>
      <c r="P5555" s="17"/>
      <c r="Q5555" s="17"/>
      <c r="R5555" s="17"/>
      <c r="S5555" s="17"/>
      <c r="T5555" s="17"/>
    </row>
    <row r="5556">
      <c r="A5556" s="21">
        <v>24.0</v>
      </c>
      <c r="B5556" s="20" t="s">
        <v>48</v>
      </c>
      <c r="C5556" s="14" t="str">
        <f t="shared" si="2"/>
        <v>Primaria</v>
      </c>
      <c r="D5556" s="20" t="s">
        <v>15</v>
      </c>
      <c r="E5556" s="12" t="str">
        <f>IFERROR(__xludf.DUMMYFUNCTION("FILTER(colegios!$B$2:$B5618,colegios!$A$2:$A5618=L5556)"),"20104")</f>
        <v>20104</v>
      </c>
      <c r="F5556" s="14" t="s">
        <v>16</v>
      </c>
      <c r="G5556" s="20" t="s">
        <v>21</v>
      </c>
      <c r="H5556" s="14" t="s">
        <v>18</v>
      </c>
      <c r="I5556" s="22">
        <v>2024.0</v>
      </c>
      <c r="J5556" s="16" t="str">
        <f>IFERROR(__xludf.DUMMYFUNCTION("FILTER('CLASFICACIÓN'!$F$3:$F5618,'CLASFICACIÓN'!$G$3:$G5618=M5556)"),"2023 Y 2024")</f>
        <v>2023 Y 2024</v>
      </c>
      <c r="K5556" s="16" t="str">
        <f t="array" ref="K5556">IFERROR(DGET('PADD-R'!$B$1:$K5618,'PADD-R'!$K$1,{'PADD-R'!$B$1;E5556}),"NO PARTICIPÓ")</f>
        <v>PADD 2023 Y 2024</v>
      </c>
      <c r="L5556" s="14" t="s">
        <v>50</v>
      </c>
      <c r="M5556" s="16" t="str">
        <f t="shared" si="1"/>
        <v>201042 Primaria</v>
      </c>
      <c r="N5556" s="23"/>
      <c r="O5556" s="17"/>
      <c r="P5556" s="17"/>
      <c r="Q5556" s="17"/>
      <c r="R5556" s="17"/>
      <c r="S5556" s="17"/>
      <c r="T5556" s="17"/>
    </row>
    <row r="5557">
      <c r="A5557" s="21">
        <v>25.0</v>
      </c>
      <c r="B5557" s="20" t="s">
        <v>48</v>
      </c>
      <c r="C5557" s="14" t="str">
        <f t="shared" si="2"/>
        <v>Primaria</v>
      </c>
      <c r="D5557" s="20" t="s">
        <v>15</v>
      </c>
      <c r="E5557" s="12" t="str">
        <f>IFERROR(__xludf.DUMMYFUNCTION("FILTER(colegios!$B$2:$B5618,colegios!$A$2:$A5618=L5557)"),"20104")</f>
        <v>20104</v>
      </c>
      <c r="F5557" s="14" t="s">
        <v>16</v>
      </c>
      <c r="G5557" s="20" t="s">
        <v>17</v>
      </c>
      <c r="H5557" s="14" t="s">
        <v>18</v>
      </c>
      <c r="I5557" s="22">
        <v>2024.0</v>
      </c>
      <c r="J5557" s="16" t="str">
        <f>IFERROR(__xludf.DUMMYFUNCTION("FILTER('CLASFICACIÓN'!$F$3:$F5618,'CLASFICACIÓN'!$G$3:$G5618=M5557)"),"2023 Y 2024")</f>
        <v>2023 Y 2024</v>
      </c>
      <c r="K5557" s="16" t="str">
        <f t="array" ref="K5557">IFERROR(DGET('PADD-R'!$B$1:$K5618,'PADD-R'!$K$1,{'PADD-R'!$B$1;E5557}),"NO PARTICIPÓ")</f>
        <v>PADD 2023 Y 2024</v>
      </c>
      <c r="L5557" s="14" t="s">
        <v>50</v>
      </c>
      <c r="M5557" s="16" t="str">
        <f t="shared" si="1"/>
        <v>201042 Primaria</v>
      </c>
      <c r="N5557" s="23"/>
      <c r="O5557" s="17"/>
      <c r="P5557" s="17"/>
      <c r="Q5557" s="17"/>
      <c r="R5557" s="17"/>
      <c r="S5557" s="17"/>
      <c r="T5557" s="17"/>
    </row>
    <row r="5558">
      <c r="A5558" s="21">
        <v>26.0</v>
      </c>
      <c r="B5558" s="20" t="s">
        <v>48</v>
      </c>
      <c r="C5558" s="14" t="str">
        <f t="shared" si="2"/>
        <v>Primaria</v>
      </c>
      <c r="D5558" s="20" t="s">
        <v>15</v>
      </c>
      <c r="E5558" s="12" t="str">
        <f>IFERROR(__xludf.DUMMYFUNCTION("FILTER(colegios!$B$2:$B5618,colegios!$A$2:$A5618=L5558)"),"20104")</f>
        <v>20104</v>
      </c>
      <c r="F5558" s="14" t="s">
        <v>16</v>
      </c>
      <c r="G5558" s="20" t="s">
        <v>17</v>
      </c>
      <c r="H5558" s="14" t="s">
        <v>18</v>
      </c>
      <c r="I5558" s="22">
        <v>2024.0</v>
      </c>
      <c r="J5558" s="16" t="str">
        <f>IFERROR(__xludf.DUMMYFUNCTION("FILTER('CLASFICACIÓN'!$F$3:$F5618,'CLASFICACIÓN'!$G$3:$G5618=M5558)"),"2023 Y 2024")</f>
        <v>2023 Y 2024</v>
      </c>
      <c r="K5558" s="16" t="str">
        <f t="array" ref="K5558">IFERROR(DGET('PADD-R'!$B$1:$K5618,'PADD-R'!$K$1,{'PADD-R'!$B$1;E5558}),"NO PARTICIPÓ")</f>
        <v>PADD 2023 Y 2024</v>
      </c>
      <c r="L5558" s="14" t="s">
        <v>50</v>
      </c>
      <c r="M5558" s="16" t="str">
        <f t="shared" si="1"/>
        <v>201042 Primaria</v>
      </c>
      <c r="N5558" s="23"/>
      <c r="O5558" s="17"/>
      <c r="P5558" s="17"/>
      <c r="Q5558" s="17"/>
      <c r="R5558" s="17"/>
      <c r="S5558" s="17"/>
      <c r="T5558" s="17"/>
    </row>
    <row r="5559">
      <c r="A5559" s="21">
        <v>27.0</v>
      </c>
      <c r="B5559" s="20" t="s">
        <v>48</v>
      </c>
      <c r="C5559" s="14" t="str">
        <f t="shared" si="2"/>
        <v>Primaria</v>
      </c>
      <c r="D5559" s="20" t="s">
        <v>15</v>
      </c>
      <c r="E5559" s="12" t="str">
        <f>IFERROR(__xludf.DUMMYFUNCTION("FILTER(colegios!$B$2:$B5618,colegios!$A$2:$A5618=L5559)"),"14975")</f>
        <v>14975</v>
      </c>
      <c r="F5559" s="14" t="s">
        <v>16</v>
      </c>
      <c r="G5559" s="20" t="s">
        <v>21</v>
      </c>
      <c r="H5559" s="14" t="s">
        <v>24</v>
      </c>
      <c r="I5559" s="22">
        <v>2024.0</v>
      </c>
      <c r="J5559" s="16" t="str">
        <f>IFERROR(__xludf.DUMMYFUNCTION("FILTER('CLASFICACIÓN'!$F$3:$F5618,'CLASFICACIÓN'!$G$3:$G5618=M5559)"),"2023 Y 2024")</f>
        <v>2023 Y 2024</v>
      </c>
      <c r="K5559" s="16" t="str">
        <f t="array" ref="K5559">IFERROR(DGET('PADD-R'!$B$1:$K5618,'PADD-R'!$K$1,{'PADD-R'!$B$1;E5559}),"NO PARTICIPÓ")</f>
        <v>PADD 2023 Y 2024</v>
      </c>
      <c r="L5559" s="14" t="s">
        <v>51</v>
      </c>
      <c r="M5559" s="16" t="str">
        <f t="shared" si="1"/>
        <v>149752 Primaria</v>
      </c>
      <c r="N5559" s="23"/>
      <c r="O5559" s="17"/>
      <c r="P5559" s="17"/>
      <c r="Q5559" s="17"/>
      <c r="R5559" s="17"/>
      <c r="S5559" s="17"/>
      <c r="T5559" s="17"/>
    </row>
    <row r="5560">
      <c r="A5560" s="21">
        <v>28.0</v>
      </c>
      <c r="B5560" s="20" t="s">
        <v>48</v>
      </c>
      <c r="C5560" s="14" t="str">
        <f t="shared" si="2"/>
        <v>Primaria</v>
      </c>
      <c r="D5560" s="20" t="s">
        <v>15</v>
      </c>
      <c r="E5560" s="12" t="str">
        <f>IFERROR(__xludf.DUMMYFUNCTION("FILTER(colegios!$B$2:$B5618,colegios!$A$2:$A5618=L5560)"),"14975")</f>
        <v>14975</v>
      </c>
      <c r="F5560" s="14" t="s">
        <v>16</v>
      </c>
      <c r="G5560" s="20" t="s">
        <v>21</v>
      </c>
      <c r="H5560" s="14" t="s">
        <v>24</v>
      </c>
      <c r="I5560" s="22">
        <v>2024.0</v>
      </c>
      <c r="J5560" s="16" t="str">
        <f>IFERROR(__xludf.DUMMYFUNCTION("FILTER('CLASFICACIÓN'!$F$3:$F5618,'CLASFICACIÓN'!$G$3:$G5618=M5560)"),"2023 Y 2024")</f>
        <v>2023 Y 2024</v>
      </c>
      <c r="K5560" s="16" t="str">
        <f t="array" ref="K5560">IFERROR(DGET('PADD-R'!$B$1:$K5618,'PADD-R'!$K$1,{'PADD-R'!$B$1;E5560}),"NO PARTICIPÓ")</f>
        <v>PADD 2023 Y 2024</v>
      </c>
      <c r="L5560" s="14" t="s">
        <v>51</v>
      </c>
      <c r="M5560" s="16" t="str">
        <f t="shared" si="1"/>
        <v>149752 Primaria</v>
      </c>
      <c r="N5560" s="23"/>
      <c r="O5560" s="17"/>
      <c r="P5560" s="17"/>
      <c r="Q5560" s="17"/>
      <c r="R5560" s="17"/>
      <c r="S5560" s="17"/>
      <c r="T5560" s="17"/>
    </row>
    <row r="5561">
      <c r="A5561" s="21">
        <v>29.0</v>
      </c>
      <c r="B5561" s="20" t="s">
        <v>48</v>
      </c>
      <c r="C5561" s="14" t="str">
        <f t="shared" si="2"/>
        <v>Primaria</v>
      </c>
      <c r="D5561" s="20" t="s">
        <v>15</v>
      </c>
      <c r="E5561" s="12" t="str">
        <f>IFERROR(__xludf.DUMMYFUNCTION("FILTER(colegios!$B$2:$B5618,colegios!$A$2:$A5618=L5561)"),"14975")</f>
        <v>14975</v>
      </c>
      <c r="F5561" s="14" t="s">
        <v>16</v>
      </c>
      <c r="G5561" s="20" t="s">
        <v>17</v>
      </c>
      <c r="H5561" s="14" t="s">
        <v>24</v>
      </c>
      <c r="I5561" s="22">
        <v>2024.0</v>
      </c>
      <c r="J5561" s="16" t="str">
        <f>IFERROR(__xludf.DUMMYFUNCTION("FILTER('CLASFICACIÓN'!$F$3:$F5618,'CLASFICACIÓN'!$G$3:$G5618=M5561)"),"2023 Y 2024")</f>
        <v>2023 Y 2024</v>
      </c>
      <c r="K5561" s="16" t="str">
        <f t="array" ref="K5561">IFERROR(DGET('PADD-R'!$B$1:$K5618,'PADD-R'!$K$1,{'PADD-R'!$B$1;E5561}),"NO PARTICIPÓ")</f>
        <v>PADD 2023 Y 2024</v>
      </c>
      <c r="L5561" s="14" t="s">
        <v>51</v>
      </c>
      <c r="M5561" s="16" t="str">
        <f t="shared" si="1"/>
        <v>149752 Primaria</v>
      </c>
      <c r="N5561" s="23"/>
      <c r="O5561" s="17"/>
      <c r="P5561" s="17"/>
      <c r="Q5561" s="17"/>
      <c r="R5561" s="17"/>
      <c r="S5561" s="17"/>
      <c r="T5561" s="17"/>
    </row>
    <row r="5562">
      <c r="A5562" s="21">
        <v>30.0</v>
      </c>
      <c r="B5562" s="20" t="s">
        <v>48</v>
      </c>
      <c r="C5562" s="14" t="str">
        <f t="shared" si="2"/>
        <v>Primaria</v>
      </c>
      <c r="D5562" s="20" t="s">
        <v>15</v>
      </c>
      <c r="E5562" s="12" t="str">
        <f>IFERROR(__xludf.DUMMYFUNCTION("FILTER(colegios!$B$2:$B5618,colegios!$A$2:$A5618=L5562)"),"14975")</f>
        <v>14975</v>
      </c>
      <c r="F5562" s="14" t="s">
        <v>16</v>
      </c>
      <c r="G5562" s="20" t="s">
        <v>21</v>
      </c>
      <c r="H5562" s="14" t="s">
        <v>24</v>
      </c>
      <c r="I5562" s="22">
        <v>2024.0</v>
      </c>
      <c r="J5562" s="16" t="str">
        <f>IFERROR(__xludf.DUMMYFUNCTION("FILTER('CLASFICACIÓN'!$F$3:$F5618,'CLASFICACIÓN'!$G$3:$G5618=M5562)"),"2023 Y 2024")</f>
        <v>2023 Y 2024</v>
      </c>
      <c r="K5562" s="16" t="str">
        <f t="array" ref="K5562">IFERROR(DGET('PADD-R'!$B$1:$K5618,'PADD-R'!$K$1,{'PADD-R'!$B$1;E5562}),"NO PARTICIPÓ")</f>
        <v>PADD 2023 Y 2024</v>
      </c>
      <c r="L5562" s="14" t="s">
        <v>51</v>
      </c>
      <c r="M5562" s="16" t="str">
        <f t="shared" si="1"/>
        <v>149752 Primaria</v>
      </c>
      <c r="N5562" s="23"/>
      <c r="O5562" s="17"/>
      <c r="P5562" s="17"/>
      <c r="Q5562" s="17"/>
      <c r="R5562" s="17"/>
      <c r="S5562" s="17"/>
      <c r="T5562" s="17"/>
    </row>
    <row r="5563">
      <c r="A5563" s="21">
        <v>31.0</v>
      </c>
      <c r="B5563" s="20" t="s">
        <v>48</v>
      </c>
      <c r="C5563" s="14" t="str">
        <f t="shared" si="2"/>
        <v>Primaria</v>
      </c>
      <c r="D5563" s="20" t="s">
        <v>15</v>
      </c>
      <c r="E5563" s="12" t="str">
        <f>IFERROR(__xludf.DUMMYFUNCTION("FILTER(colegios!$B$2:$B5618,colegios!$A$2:$A5618=L5563)"),"14975")</f>
        <v>14975</v>
      </c>
      <c r="F5563" s="14" t="s">
        <v>16</v>
      </c>
      <c r="G5563" s="20" t="s">
        <v>17</v>
      </c>
      <c r="H5563" s="14" t="s">
        <v>24</v>
      </c>
      <c r="I5563" s="22">
        <v>2024.0</v>
      </c>
      <c r="J5563" s="16" t="str">
        <f>IFERROR(__xludf.DUMMYFUNCTION("FILTER('CLASFICACIÓN'!$F$3:$F5618,'CLASFICACIÓN'!$G$3:$G5618=M5563)"),"2023 Y 2024")</f>
        <v>2023 Y 2024</v>
      </c>
      <c r="K5563" s="16" t="str">
        <f t="array" ref="K5563">IFERROR(DGET('PADD-R'!$B$1:$K5618,'PADD-R'!$K$1,{'PADD-R'!$B$1;E5563}),"NO PARTICIPÓ")</f>
        <v>PADD 2023 Y 2024</v>
      </c>
      <c r="L5563" s="14" t="s">
        <v>51</v>
      </c>
      <c r="M5563" s="16" t="str">
        <f t="shared" si="1"/>
        <v>149752 Primaria</v>
      </c>
      <c r="N5563" s="23"/>
      <c r="O5563" s="17"/>
      <c r="P5563" s="17"/>
      <c r="Q5563" s="17"/>
      <c r="R5563" s="17"/>
      <c r="S5563" s="17"/>
      <c r="T5563" s="17"/>
    </row>
    <row r="5564">
      <c r="A5564" s="21">
        <v>32.0</v>
      </c>
      <c r="B5564" s="20" t="s">
        <v>48</v>
      </c>
      <c r="C5564" s="14" t="str">
        <f t="shared" si="2"/>
        <v>Primaria</v>
      </c>
      <c r="D5564" s="20" t="s">
        <v>15</v>
      </c>
      <c r="E5564" s="12" t="str">
        <f>IFERROR(__xludf.DUMMYFUNCTION("FILTER(colegios!$B$2:$B5618,colegios!$A$2:$A5618=L5564)"),"15304")</f>
        <v>15304</v>
      </c>
      <c r="F5564" s="14" t="s">
        <v>16</v>
      </c>
      <c r="G5564" s="20" t="s">
        <v>17</v>
      </c>
      <c r="H5564" s="14" t="s">
        <v>24</v>
      </c>
      <c r="I5564" s="22">
        <v>2024.0</v>
      </c>
      <c r="J5564" s="16" t="str">
        <f>IFERROR(__xludf.DUMMYFUNCTION("FILTER('CLASFICACIÓN'!$F$3:$F5618,'CLASFICACIÓN'!$G$3:$G5618=M5564)"),"2023 Y 2024")</f>
        <v>2023 Y 2024</v>
      </c>
      <c r="K5564" s="16" t="str">
        <f t="array" ref="K5564">IFERROR(DGET('PADD-R'!$B$1:$K5618,'PADD-R'!$K$1,{'PADD-R'!$B$1;E5564}),"NO PARTICIPÓ")</f>
        <v>SOLO 2023</v>
      </c>
      <c r="L5564" s="14" t="s">
        <v>52</v>
      </c>
      <c r="M5564" s="16" t="str">
        <f t="shared" si="1"/>
        <v>153042 Primaria</v>
      </c>
      <c r="N5564" s="23"/>
      <c r="O5564" s="17"/>
      <c r="P5564" s="17"/>
      <c r="Q5564" s="17"/>
      <c r="R5564" s="17"/>
      <c r="S5564" s="17"/>
      <c r="T5564" s="17"/>
    </row>
    <row r="5565">
      <c r="A5565" s="21">
        <v>33.0</v>
      </c>
      <c r="B5565" s="20" t="s">
        <v>48</v>
      </c>
      <c r="C5565" s="14" t="str">
        <f t="shared" si="2"/>
        <v>Primaria</v>
      </c>
      <c r="D5565" s="20" t="s">
        <v>15</v>
      </c>
      <c r="E5565" s="12" t="str">
        <f>IFERROR(__xludf.DUMMYFUNCTION("FILTER(colegios!$B$2:$B5618,colegios!$A$2:$A5618=L5565)"),"15304")</f>
        <v>15304</v>
      </c>
      <c r="F5565" s="14" t="s">
        <v>16</v>
      </c>
      <c r="G5565" s="20" t="s">
        <v>17</v>
      </c>
      <c r="H5565" s="14" t="s">
        <v>24</v>
      </c>
      <c r="I5565" s="22">
        <v>2024.0</v>
      </c>
      <c r="J5565" s="16" t="str">
        <f>IFERROR(__xludf.DUMMYFUNCTION("FILTER('CLASFICACIÓN'!$F$3:$F5618,'CLASFICACIÓN'!$G$3:$G5618=M5565)"),"2023 Y 2024")</f>
        <v>2023 Y 2024</v>
      </c>
      <c r="K5565" s="16" t="str">
        <f t="array" ref="K5565">IFERROR(DGET('PADD-R'!$B$1:$K5618,'PADD-R'!$K$1,{'PADD-R'!$B$1;E5565}),"NO PARTICIPÓ")</f>
        <v>SOLO 2023</v>
      </c>
      <c r="L5565" s="14" t="s">
        <v>52</v>
      </c>
      <c r="M5565" s="16" t="str">
        <f t="shared" si="1"/>
        <v>153042 Primaria</v>
      </c>
      <c r="N5565" s="23"/>
      <c r="O5565" s="17"/>
      <c r="P5565" s="17"/>
      <c r="Q5565" s="17"/>
      <c r="R5565" s="17"/>
      <c r="S5565" s="17"/>
      <c r="T5565" s="17"/>
    </row>
    <row r="5566">
      <c r="A5566" s="21">
        <v>34.0</v>
      </c>
      <c r="B5566" s="20" t="s">
        <v>48</v>
      </c>
      <c r="C5566" s="14" t="str">
        <f t="shared" si="2"/>
        <v>Primaria</v>
      </c>
      <c r="D5566" s="20" t="s">
        <v>15</v>
      </c>
      <c r="E5566" s="12" t="str">
        <f>IFERROR(__xludf.DUMMYFUNCTION("FILTER(colegios!$B$2:$B5618,colegios!$A$2:$A5618=L5566)"),"15304")</f>
        <v>15304</v>
      </c>
      <c r="F5566" s="14" t="s">
        <v>16</v>
      </c>
      <c r="G5566" s="20" t="s">
        <v>21</v>
      </c>
      <c r="H5566" s="14" t="s">
        <v>18</v>
      </c>
      <c r="I5566" s="22">
        <v>2024.0</v>
      </c>
      <c r="J5566" s="16" t="str">
        <f>IFERROR(__xludf.DUMMYFUNCTION("FILTER('CLASFICACIÓN'!$F$3:$F5618,'CLASFICACIÓN'!$G$3:$G5618=M5566)"),"2023 Y 2024")</f>
        <v>2023 Y 2024</v>
      </c>
      <c r="K5566" s="16" t="str">
        <f t="array" ref="K5566">IFERROR(DGET('PADD-R'!$B$1:$K5618,'PADD-R'!$K$1,{'PADD-R'!$B$1;E5566}),"NO PARTICIPÓ")</f>
        <v>SOLO 2023</v>
      </c>
      <c r="L5566" s="14" t="s">
        <v>52</v>
      </c>
      <c r="M5566" s="16" t="str">
        <f t="shared" si="1"/>
        <v>153042 Primaria</v>
      </c>
      <c r="N5566" s="23"/>
      <c r="O5566" s="17"/>
      <c r="P5566" s="17"/>
      <c r="Q5566" s="17"/>
      <c r="R5566" s="17"/>
      <c r="S5566" s="17"/>
      <c r="T5566" s="17"/>
    </row>
    <row r="5567">
      <c r="A5567" s="21">
        <v>35.0</v>
      </c>
      <c r="B5567" s="20" t="s">
        <v>48</v>
      </c>
      <c r="C5567" s="14" t="str">
        <f t="shared" si="2"/>
        <v>Primaria</v>
      </c>
      <c r="D5567" s="20" t="s">
        <v>15</v>
      </c>
      <c r="E5567" s="12" t="str">
        <f>IFERROR(__xludf.DUMMYFUNCTION("FILTER(colegios!$B$2:$B5618,colegios!$A$2:$A5618=L5567)"),"15304")</f>
        <v>15304</v>
      </c>
      <c r="F5567" s="14" t="s">
        <v>16</v>
      </c>
      <c r="G5567" s="20" t="s">
        <v>21</v>
      </c>
      <c r="H5567" s="14" t="s">
        <v>24</v>
      </c>
      <c r="I5567" s="22">
        <v>2024.0</v>
      </c>
      <c r="J5567" s="16" t="str">
        <f>IFERROR(__xludf.DUMMYFUNCTION("FILTER('CLASFICACIÓN'!$F$3:$F5618,'CLASFICACIÓN'!$G$3:$G5618=M5567)"),"2023 Y 2024")</f>
        <v>2023 Y 2024</v>
      </c>
      <c r="K5567" s="16" t="str">
        <f t="array" ref="K5567">IFERROR(DGET('PADD-R'!$B$1:$K5618,'PADD-R'!$K$1,{'PADD-R'!$B$1;E5567}),"NO PARTICIPÓ")</f>
        <v>SOLO 2023</v>
      </c>
      <c r="L5567" s="14" t="s">
        <v>52</v>
      </c>
      <c r="M5567" s="16" t="str">
        <f t="shared" si="1"/>
        <v>153042 Primaria</v>
      </c>
      <c r="N5567" s="23"/>
      <c r="O5567" s="17"/>
      <c r="P5567" s="17"/>
      <c r="Q5567" s="17"/>
      <c r="R5567" s="17"/>
      <c r="S5567" s="17"/>
      <c r="T5567" s="17"/>
    </row>
    <row r="5568">
      <c r="A5568" s="21">
        <v>36.0</v>
      </c>
      <c r="B5568" s="20" t="s">
        <v>48</v>
      </c>
      <c r="C5568" s="14" t="str">
        <f t="shared" si="2"/>
        <v>Primaria</v>
      </c>
      <c r="D5568" s="20" t="s">
        <v>15</v>
      </c>
      <c r="E5568" s="12" t="str">
        <f>IFERROR(__xludf.DUMMYFUNCTION("FILTER(colegios!$B$2:$B5618,colegios!$A$2:$A5618=L5568)"),"SAGRADO CORAZON DE JESUS")</f>
        <v>SAGRADO CORAZON DE JESUS</v>
      </c>
      <c r="F5568" s="14" t="s">
        <v>16</v>
      </c>
      <c r="G5568" s="20" t="s">
        <v>17</v>
      </c>
      <c r="H5568" s="14" t="s">
        <v>24</v>
      </c>
      <c r="I5568" s="22">
        <v>2024.0</v>
      </c>
      <c r="J5568" s="16" t="str">
        <f>IFERROR(__xludf.DUMMYFUNCTION("FILTER('CLASFICACIÓN'!$F$3:$F5618,'CLASFICACIÓN'!$G$3:$G5618=M5568)"),"LOS 3 AÑOS")</f>
        <v>LOS 3 AÑOS</v>
      </c>
      <c r="K5568" s="16" t="str">
        <f t="array" ref="K5568">IFERROR(DGET('PADD-R'!$B$1:$K5618,'PADD-R'!$K$1,{'PADD-R'!$B$1;E5568}),"NO PARTICIPÓ")</f>
        <v>NO PARTICIPÓ</v>
      </c>
      <c r="L5568" s="14" t="s">
        <v>53</v>
      </c>
      <c r="M5568" s="16" t="str">
        <f t="shared" si="1"/>
        <v>SAGRADO CORAZON DE JESUS2 Primaria</v>
      </c>
      <c r="N5568" s="23"/>
      <c r="O5568" s="17"/>
      <c r="P5568" s="17"/>
      <c r="Q5568" s="17"/>
      <c r="R5568" s="17"/>
      <c r="S5568" s="17"/>
      <c r="T5568" s="17"/>
    </row>
    <row r="5569">
      <c r="A5569" s="21">
        <v>37.0</v>
      </c>
      <c r="B5569" s="20" t="s">
        <v>48</v>
      </c>
      <c r="C5569" s="14" t="str">
        <f t="shared" si="2"/>
        <v>Primaria</v>
      </c>
      <c r="D5569" s="20" t="s">
        <v>15</v>
      </c>
      <c r="E5569" s="12" t="str">
        <f>IFERROR(__xludf.DUMMYFUNCTION("FILTER(colegios!$B$2:$B5618,colegios!$A$2:$A5618=L5569)"),"SAGRADO CORAZON DE JESUS")</f>
        <v>SAGRADO CORAZON DE JESUS</v>
      </c>
      <c r="F5569" s="14" t="s">
        <v>16</v>
      </c>
      <c r="G5569" s="20" t="s">
        <v>21</v>
      </c>
      <c r="H5569" s="14" t="s">
        <v>24</v>
      </c>
      <c r="I5569" s="22">
        <v>2024.0</v>
      </c>
      <c r="J5569" s="16" t="str">
        <f>IFERROR(__xludf.DUMMYFUNCTION("FILTER('CLASFICACIÓN'!$F$3:$F5618,'CLASFICACIÓN'!$G$3:$G5618=M5569)"),"LOS 3 AÑOS")</f>
        <v>LOS 3 AÑOS</v>
      </c>
      <c r="K5569" s="16" t="str">
        <f t="array" ref="K5569">IFERROR(DGET('PADD-R'!$B$1:$K5618,'PADD-R'!$K$1,{'PADD-R'!$B$1;E5569}),"NO PARTICIPÓ")</f>
        <v>NO PARTICIPÓ</v>
      </c>
      <c r="L5569" s="14" t="s">
        <v>53</v>
      </c>
      <c r="M5569" s="16" t="str">
        <f t="shared" si="1"/>
        <v>SAGRADO CORAZON DE JESUS2 Primaria</v>
      </c>
      <c r="N5569" s="23"/>
      <c r="O5569" s="17"/>
      <c r="P5569" s="17"/>
      <c r="Q5569" s="17"/>
      <c r="R5569" s="17"/>
      <c r="S5569" s="17"/>
      <c r="T5569" s="17"/>
    </row>
    <row r="5570">
      <c r="A5570" s="21">
        <v>38.0</v>
      </c>
      <c r="B5570" s="20" t="s">
        <v>48</v>
      </c>
      <c r="C5570" s="14" t="str">
        <f t="shared" si="2"/>
        <v>Primaria</v>
      </c>
      <c r="D5570" s="20" t="s">
        <v>15</v>
      </c>
      <c r="E5570" s="12" t="str">
        <f>IFERROR(__xludf.DUMMYFUNCTION("FILTER(colegios!$B$2:$B5618,colegios!$A$2:$A5618=L5570)"),"SAGRADO CORAZON DE JESUS")</f>
        <v>SAGRADO CORAZON DE JESUS</v>
      </c>
      <c r="F5570" s="14" t="s">
        <v>16</v>
      </c>
      <c r="G5570" s="20" t="s">
        <v>17</v>
      </c>
      <c r="H5570" s="14" t="s">
        <v>24</v>
      </c>
      <c r="I5570" s="22">
        <v>2024.0</v>
      </c>
      <c r="J5570" s="16" t="str">
        <f>IFERROR(__xludf.DUMMYFUNCTION("FILTER('CLASFICACIÓN'!$F$3:$F5618,'CLASFICACIÓN'!$G$3:$G5618=M5570)"),"LOS 3 AÑOS")</f>
        <v>LOS 3 AÑOS</v>
      </c>
      <c r="K5570" s="16" t="str">
        <f t="array" ref="K5570">IFERROR(DGET('PADD-R'!$B$1:$K5618,'PADD-R'!$K$1,{'PADD-R'!$B$1;E5570}),"NO PARTICIPÓ")</f>
        <v>NO PARTICIPÓ</v>
      </c>
      <c r="L5570" s="14" t="s">
        <v>53</v>
      </c>
      <c r="M5570" s="16" t="str">
        <f t="shared" si="1"/>
        <v>SAGRADO CORAZON DE JESUS2 Primaria</v>
      </c>
      <c r="N5570" s="23"/>
      <c r="O5570" s="17"/>
      <c r="P5570" s="17"/>
      <c r="Q5570" s="17"/>
      <c r="R5570" s="17"/>
      <c r="S5570" s="17"/>
      <c r="T5570" s="17"/>
    </row>
    <row r="5571">
      <c r="A5571" s="21">
        <v>39.0</v>
      </c>
      <c r="B5571" s="20" t="s">
        <v>48</v>
      </c>
      <c r="C5571" s="14" t="str">
        <f t="shared" si="2"/>
        <v>Primaria</v>
      </c>
      <c r="D5571" s="20" t="s">
        <v>15</v>
      </c>
      <c r="E5571" s="12" t="str">
        <f>IFERROR(__xludf.DUMMYFUNCTION("FILTER(colegios!$B$2:$B5618,colegios!$A$2:$A5618=L5571)"),"SAGRADO CORAZON DE JESUS")</f>
        <v>SAGRADO CORAZON DE JESUS</v>
      </c>
      <c r="F5571" s="14" t="s">
        <v>16</v>
      </c>
      <c r="G5571" s="20" t="s">
        <v>17</v>
      </c>
      <c r="H5571" s="14" t="s">
        <v>24</v>
      </c>
      <c r="I5571" s="22">
        <v>2024.0</v>
      </c>
      <c r="J5571" s="16" t="str">
        <f>IFERROR(__xludf.DUMMYFUNCTION("FILTER('CLASFICACIÓN'!$F$3:$F5618,'CLASFICACIÓN'!$G$3:$G5618=M5571)"),"LOS 3 AÑOS")</f>
        <v>LOS 3 AÑOS</v>
      </c>
      <c r="K5571" s="16" t="str">
        <f t="array" ref="K5571">IFERROR(DGET('PADD-R'!$B$1:$K5618,'PADD-R'!$K$1,{'PADD-R'!$B$1;E5571}),"NO PARTICIPÓ")</f>
        <v>NO PARTICIPÓ</v>
      </c>
      <c r="L5571" s="14" t="s">
        <v>53</v>
      </c>
      <c r="M5571" s="16" t="str">
        <f t="shared" si="1"/>
        <v>SAGRADO CORAZON DE JESUS2 Primaria</v>
      </c>
      <c r="N5571" s="23"/>
      <c r="O5571" s="17"/>
      <c r="P5571" s="17"/>
      <c r="Q5571" s="17"/>
      <c r="R5571" s="17"/>
      <c r="S5571" s="17"/>
      <c r="T5571" s="17"/>
    </row>
    <row r="5572">
      <c r="A5572" s="21">
        <v>40.0</v>
      </c>
      <c r="B5572" s="20" t="s">
        <v>48</v>
      </c>
      <c r="C5572" s="14" t="str">
        <f t="shared" si="2"/>
        <v>Primaria</v>
      </c>
      <c r="D5572" s="20" t="s">
        <v>15</v>
      </c>
      <c r="E5572" s="12" t="str">
        <f>IFERROR(__xludf.DUMMYFUNCTION("FILTER(colegios!$B$2:$B5618,colegios!$A$2:$A5618=L5572)"),"SAGRADO CORAZON DE JESUS")</f>
        <v>SAGRADO CORAZON DE JESUS</v>
      </c>
      <c r="F5572" s="14" t="s">
        <v>16</v>
      </c>
      <c r="G5572" s="20" t="s">
        <v>17</v>
      </c>
      <c r="H5572" s="14" t="s">
        <v>24</v>
      </c>
      <c r="I5572" s="22">
        <v>2024.0</v>
      </c>
      <c r="J5572" s="16" t="str">
        <f>IFERROR(__xludf.DUMMYFUNCTION("FILTER('CLASFICACIÓN'!$F$3:$F5618,'CLASFICACIÓN'!$G$3:$G5618=M5572)"),"LOS 3 AÑOS")</f>
        <v>LOS 3 AÑOS</v>
      </c>
      <c r="K5572" s="16" t="str">
        <f t="array" ref="K5572">IFERROR(DGET('PADD-R'!$B$1:$K5618,'PADD-R'!$K$1,{'PADD-R'!$B$1;E5572}),"NO PARTICIPÓ")</f>
        <v>NO PARTICIPÓ</v>
      </c>
      <c r="L5572" s="14" t="s">
        <v>53</v>
      </c>
      <c r="M5572" s="16" t="str">
        <f t="shared" si="1"/>
        <v>SAGRADO CORAZON DE JESUS2 Primaria</v>
      </c>
      <c r="N5572" s="23"/>
      <c r="O5572" s="17"/>
      <c r="P5572" s="17"/>
      <c r="Q5572" s="17"/>
      <c r="R5572" s="17"/>
      <c r="S5572" s="17"/>
      <c r="T5572" s="17"/>
    </row>
    <row r="5573">
      <c r="A5573" s="21">
        <v>41.0</v>
      </c>
      <c r="B5573" s="20" t="s">
        <v>48</v>
      </c>
      <c r="C5573" s="14" t="str">
        <f t="shared" si="2"/>
        <v>Primaria</v>
      </c>
      <c r="D5573" s="20" t="s">
        <v>15</v>
      </c>
      <c r="E5573" s="12" t="str">
        <f>IFERROR(__xludf.DUMMYFUNCTION("FILTER(colegios!$B$2:$B5618,colegios!$A$2:$A5618=L5573)"),"SAGRADO CORAZON DE JESUS")</f>
        <v>SAGRADO CORAZON DE JESUS</v>
      </c>
      <c r="F5573" s="14" t="s">
        <v>16</v>
      </c>
      <c r="G5573" s="20" t="s">
        <v>21</v>
      </c>
      <c r="H5573" s="14" t="s">
        <v>24</v>
      </c>
      <c r="I5573" s="22">
        <v>2024.0</v>
      </c>
      <c r="J5573" s="16" t="str">
        <f>IFERROR(__xludf.DUMMYFUNCTION("FILTER('CLASFICACIÓN'!$F$3:$F5618,'CLASFICACIÓN'!$G$3:$G5618=M5573)"),"LOS 3 AÑOS")</f>
        <v>LOS 3 AÑOS</v>
      </c>
      <c r="K5573" s="16" t="str">
        <f t="array" ref="K5573">IFERROR(DGET('PADD-R'!$B$1:$K5618,'PADD-R'!$K$1,{'PADD-R'!$B$1;E5573}),"NO PARTICIPÓ")</f>
        <v>NO PARTICIPÓ</v>
      </c>
      <c r="L5573" s="14" t="s">
        <v>53</v>
      </c>
      <c r="M5573" s="16" t="str">
        <f t="shared" si="1"/>
        <v>SAGRADO CORAZON DE JESUS2 Primaria</v>
      </c>
      <c r="N5573" s="23"/>
      <c r="O5573" s="17"/>
      <c r="P5573" s="17"/>
      <c r="Q5573" s="17"/>
      <c r="R5573" s="17"/>
      <c r="S5573" s="17"/>
      <c r="T5573" s="17"/>
    </row>
    <row r="5574">
      <c r="A5574" s="21">
        <v>42.0</v>
      </c>
      <c r="B5574" s="20" t="s">
        <v>48</v>
      </c>
      <c r="C5574" s="14" t="str">
        <f t="shared" si="2"/>
        <v>Primaria</v>
      </c>
      <c r="D5574" s="20" t="s">
        <v>15</v>
      </c>
      <c r="E5574" s="12" t="str">
        <f>IFERROR(__xludf.DUMMYFUNCTION("FILTER(colegios!$B$2:$B5618,colegios!$A$2:$A5618=L5574)"),"SAGRADO CORAZON DE JESUS")</f>
        <v>SAGRADO CORAZON DE JESUS</v>
      </c>
      <c r="F5574" s="14" t="s">
        <v>16</v>
      </c>
      <c r="G5574" s="20" t="s">
        <v>21</v>
      </c>
      <c r="H5574" s="14" t="s">
        <v>24</v>
      </c>
      <c r="I5574" s="22">
        <v>2024.0</v>
      </c>
      <c r="J5574" s="16" t="str">
        <f>IFERROR(__xludf.DUMMYFUNCTION("FILTER('CLASFICACIÓN'!$F$3:$F5618,'CLASFICACIÓN'!$G$3:$G5618=M5574)"),"LOS 3 AÑOS")</f>
        <v>LOS 3 AÑOS</v>
      </c>
      <c r="K5574" s="16" t="str">
        <f t="array" ref="K5574">IFERROR(DGET('PADD-R'!$B$1:$K5618,'PADD-R'!$K$1,{'PADD-R'!$B$1;E5574}),"NO PARTICIPÓ")</f>
        <v>NO PARTICIPÓ</v>
      </c>
      <c r="L5574" s="14" t="s">
        <v>53</v>
      </c>
      <c r="M5574" s="16" t="str">
        <f t="shared" si="1"/>
        <v>SAGRADO CORAZON DE JESUS2 Primaria</v>
      </c>
      <c r="N5574" s="23"/>
      <c r="O5574" s="17"/>
      <c r="P5574" s="17"/>
      <c r="Q5574" s="17"/>
      <c r="R5574" s="17"/>
      <c r="S5574" s="17"/>
      <c r="T5574" s="17"/>
    </row>
    <row r="5575">
      <c r="A5575" s="21">
        <v>43.0</v>
      </c>
      <c r="B5575" s="20" t="s">
        <v>48</v>
      </c>
      <c r="C5575" s="14" t="str">
        <f t="shared" si="2"/>
        <v>Primaria</v>
      </c>
      <c r="D5575" s="20" t="s">
        <v>15</v>
      </c>
      <c r="E5575" s="12" t="str">
        <f>IFERROR(__xludf.DUMMYFUNCTION("FILTER(colegios!$B$2:$B5618,colegios!$A$2:$A5618=L5575)"),"20123")</f>
        <v>20123</v>
      </c>
      <c r="F5575" s="14" t="s">
        <v>16</v>
      </c>
      <c r="G5575" s="20" t="s">
        <v>17</v>
      </c>
      <c r="H5575" s="14" t="s">
        <v>24</v>
      </c>
      <c r="I5575" s="22">
        <v>2024.0</v>
      </c>
      <c r="J5575" s="16" t="str">
        <f>IFERROR(__xludf.DUMMYFUNCTION("FILTER('CLASFICACIÓN'!$F$3:$F5618,'CLASFICACIÓN'!$G$3:$G5618=M5575)"),"2023 Y 2024")</f>
        <v>2023 Y 2024</v>
      </c>
      <c r="K5575" s="16" t="str">
        <f t="array" ref="K5575">IFERROR(DGET('PADD-R'!$B$1:$K5618,'PADD-R'!$K$1,{'PADD-R'!$B$1;E5575}),"NO PARTICIPÓ")</f>
        <v>SOLO 2023</v>
      </c>
      <c r="L5575" s="14" t="s">
        <v>54</v>
      </c>
      <c r="M5575" s="16" t="str">
        <f t="shared" si="1"/>
        <v>201232 Primaria</v>
      </c>
      <c r="N5575" s="23"/>
      <c r="O5575" s="17"/>
      <c r="P5575" s="17"/>
      <c r="Q5575" s="17"/>
      <c r="R5575" s="17"/>
      <c r="S5575" s="17"/>
      <c r="T5575" s="17"/>
    </row>
    <row r="5576">
      <c r="A5576" s="21">
        <v>44.0</v>
      </c>
      <c r="B5576" s="20" t="s">
        <v>48</v>
      </c>
      <c r="C5576" s="14" t="str">
        <f t="shared" si="2"/>
        <v>Primaria</v>
      </c>
      <c r="D5576" s="20" t="s">
        <v>15</v>
      </c>
      <c r="E5576" s="12" t="str">
        <f>IFERROR(__xludf.DUMMYFUNCTION("FILTER(colegios!$B$2:$B5618,colegios!$A$2:$A5618=L5576)"),"14144 SANTA ROSA")</f>
        <v>14144 SANTA ROSA</v>
      </c>
      <c r="F5576" s="14" t="s">
        <v>16</v>
      </c>
      <c r="G5576" s="20" t="s">
        <v>21</v>
      </c>
      <c r="H5576" s="14" t="s">
        <v>24</v>
      </c>
      <c r="I5576" s="22">
        <v>2024.0</v>
      </c>
      <c r="J5576" s="16" t="str">
        <f>IFERROR(__xludf.DUMMYFUNCTION("FILTER('CLASFICACIÓN'!$F$3:$F5618,'CLASFICACIÓN'!$G$3:$G5618=M5576)"),"LOS 3 AÑOS")</f>
        <v>LOS 3 AÑOS</v>
      </c>
      <c r="K5576" s="16" t="str">
        <f t="array" ref="K5576">IFERROR(DGET('PADD-R'!$B$1:$K5618,'PADD-R'!$K$1,{'PADD-R'!$B$1;E5576}),"NO PARTICIPÓ")</f>
        <v>SOLO 2023</v>
      </c>
      <c r="L5576" s="14" t="s">
        <v>55</v>
      </c>
      <c r="M5576" s="16" t="str">
        <f t="shared" si="1"/>
        <v>14144 SANTA ROSA2 Primaria</v>
      </c>
      <c r="N5576" s="23"/>
      <c r="O5576" s="17"/>
      <c r="P5576" s="17"/>
      <c r="Q5576" s="17"/>
      <c r="R5576" s="17"/>
      <c r="S5576" s="17"/>
      <c r="T5576" s="17"/>
    </row>
    <row r="5577">
      <c r="A5577" s="21">
        <v>45.0</v>
      </c>
      <c r="B5577" s="20" t="s">
        <v>48</v>
      </c>
      <c r="C5577" s="14" t="str">
        <f t="shared" si="2"/>
        <v>Primaria</v>
      </c>
      <c r="D5577" s="20" t="s">
        <v>15</v>
      </c>
      <c r="E5577" s="12" t="str">
        <f>IFERROR(__xludf.DUMMYFUNCTION("FILTER(colegios!$B$2:$B5618,colegios!$A$2:$A5618=L5577)"),"14144 SANTA ROSA")</f>
        <v>14144 SANTA ROSA</v>
      </c>
      <c r="F5577" s="14" t="s">
        <v>16</v>
      </c>
      <c r="G5577" s="20" t="s">
        <v>21</v>
      </c>
      <c r="H5577" s="14" t="s">
        <v>24</v>
      </c>
      <c r="I5577" s="22">
        <v>2024.0</v>
      </c>
      <c r="J5577" s="16" t="str">
        <f>IFERROR(__xludf.DUMMYFUNCTION("FILTER('CLASFICACIÓN'!$F$3:$F5618,'CLASFICACIÓN'!$G$3:$G5618=M5577)"),"LOS 3 AÑOS")</f>
        <v>LOS 3 AÑOS</v>
      </c>
      <c r="K5577" s="16" t="str">
        <f t="array" ref="K5577">IFERROR(DGET('PADD-R'!$B$1:$K5618,'PADD-R'!$K$1,{'PADD-R'!$B$1;E5577}),"NO PARTICIPÓ")</f>
        <v>SOLO 2023</v>
      </c>
      <c r="L5577" s="14" t="s">
        <v>55</v>
      </c>
      <c r="M5577" s="16" t="str">
        <f t="shared" si="1"/>
        <v>14144 SANTA ROSA2 Primaria</v>
      </c>
      <c r="N5577" s="23"/>
      <c r="O5577" s="17"/>
      <c r="P5577" s="17"/>
      <c r="Q5577" s="17"/>
      <c r="R5577" s="17"/>
      <c r="S5577" s="17"/>
      <c r="T5577" s="17"/>
    </row>
    <row r="5578">
      <c r="A5578" s="21">
        <v>46.0</v>
      </c>
      <c r="B5578" s="20" t="s">
        <v>48</v>
      </c>
      <c r="C5578" s="14" t="str">
        <f t="shared" si="2"/>
        <v>Primaria</v>
      </c>
      <c r="D5578" s="20" t="s">
        <v>15</v>
      </c>
      <c r="E5578" s="12" t="str">
        <f>IFERROR(__xludf.DUMMYFUNCTION("FILTER(colegios!$B$2:$B5618,colegios!$A$2:$A5618=L5578)"),"14144 SANTA ROSA")</f>
        <v>14144 SANTA ROSA</v>
      </c>
      <c r="F5578" s="14" t="s">
        <v>16</v>
      </c>
      <c r="G5578" s="20" t="s">
        <v>21</v>
      </c>
      <c r="H5578" s="14" t="s">
        <v>24</v>
      </c>
      <c r="I5578" s="22">
        <v>2024.0</v>
      </c>
      <c r="J5578" s="16" t="str">
        <f>IFERROR(__xludf.DUMMYFUNCTION("FILTER('CLASFICACIÓN'!$F$3:$F5618,'CLASFICACIÓN'!$G$3:$G5618=M5578)"),"LOS 3 AÑOS")</f>
        <v>LOS 3 AÑOS</v>
      </c>
      <c r="K5578" s="16" t="str">
        <f t="array" ref="K5578">IFERROR(DGET('PADD-R'!$B$1:$K5618,'PADD-R'!$K$1,{'PADD-R'!$B$1;E5578}),"NO PARTICIPÓ")</f>
        <v>SOLO 2023</v>
      </c>
      <c r="L5578" s="14" t="s">
        <v>55</v>
      </c>
      <c r="M5578" s="16" t="str">
        <f t="shared" si="1"/>
        <v>14144 SANTA ROSA2 Primaria</v>
      </c>
      <c r="N5578" s="23"/>
      <c r="O5578" s="17"/>
      <c r="P5578" s="17"/>
      <c r="Q5578" s="17"/>
      <c r="R5578" s="17"/>
      <c r="S5578" s="17"/>
      <c r="T5578" s="17"/>
    </row>
    <row r="5579">
      <c r="A5579" s="21">
        <v>47.0</v>
      </c>
      <c r="B5579" s="20" t="s">
        <v>48</v>
      </c>
      <c r="C5579" s="14" t="str">
        <f t="shared" si="2"/>
        <v>Primaria</v>
      </c>
      <c r="D5579" s="20" t="s">
        <v>15</v>
      </c>
      <c r="E5579" s="12" t="str">
        <f>IFERROR(__xludf.DUMMYFUNCTION("FILTER(colegios!$B$2:$B5618,colegios!$A$2:$A5618=L5579)"),"14144 SANTA ROSA")</f>
        <v>14144 SANTA ROSA</v>
      </c>
      <c r="F5579" s="14" t="s">
        <v>16</v>
      </c>
      <c r="G5579" s="20" t="s">
        <v>21</v>
      </c>
      <c r="H5579" s="14" t="s">
        <v>24</v>
      </c>
      <c r="I5579" s="22">
        <v>2024.0</v>
      </c>
      <c r="J5579" s="16" t="str">
        <f>IFERROR(__xludf.DUMMYFUNCTION("FILTER('CLASFICACIÓN'!$F$3:$F5618,'CLASFICACIÓN'!$G$3:$G5618=M5579)"),"LOS 3 AÑOS")</f>
        <v>LOS 3 AÑOS</v>
      </c>
      <c r="K5579" s="16" t="str">
        <f t="array" ref="K5579">IFERROR(DGET('PADD-R'!$B$1:$K5618,'PADD-R'!$K$1,{'PADD-R'!$B$1;E5579}),"NO PARTICIPÓ")</f>
        <v>SOLO 2023</v>
      </c>
      <c r="L5579" s="14" t="s">
        <v>55</v>
      </c>
      <c r="M5579" s="16" t="str">
        <f t="shared" si="1"/>
        <v>14144 SANTA ROSA2 Primaria</v>
      </c>
      <c r="N5579" s="23"/>
      <c r="O5579" s="17"/>
      <c r="P5579" s="17"/>
      <c r="Q5579" s="17"/>
      <c r="R5579" s="17"/>
      <c r="S5579" s="17"/>
      <c r="T5579" s="17"/>
    </row>
    <row r="5580">
      <c r="A5580" s="21">
        <v>48.0</v>
      </c>
      <c r="B5580" s="20" t="s">
        <v>48</v>
      </c>
      <c r="C5580" s="14" t="str">
        <f t="shared" si="2"/>
        <v>Primaria</v>
      </c>
      <c r="D5580" s="20" t="s">
        <v>15</v>
      </c>
      <c r="E5580" s="12" t="str">
        <f>IFERROR(__xludf.DUMMYFUNCTION("FILTER(colegios!$B$2:$B5618,colegios!$A$2:$A5618=L5580)"),"14144 SANTA ROSA")</f>
        <v>14144 SANTA ROSA</v>
      </c>
      <c r="F5580" s="14" t="s">
        <v>16</v>
      </c>
      <c r="G5580" s="20" t="s">
        <v>21</v>
      </c>
      <c r="H5580" s="14" t="s">
        <v>24</v>
      </c>
      <c r="I5580" s="22">
        <v>2024.0</v>
      </c>
      <c r="J5580" s="16" t="str">
        <f>IFERROR(__xludf.DUMMYFUNCTION("FILTER('CLASFICACIÓN'!$F$3:$F5618,'CLASFICACIÓN'!$G$3:$G5618=M5580)"),"LOS 3 AÑOS")</f>
        <v>LOS 3 AÑOS</v>
      </c>
      <c r="K5580" s="16" t="str">
        <f t="array" ref="K5580">IFERROR(DGET('PADD-R'!$B$1:$K5618,'PADD-R'!$K$1,{'PADD-R'!$B$1;E5580}),"NO PARTICIPÓ")</f>
        <v>SOLO 2023</v>
      </c>
      <c r="L5580" s="14" t="s">
        <v>55</v>
      </c>
      <c r="M5580" s="16" t="str">
        <f t="shared" si="1"/>
        <v>14144 SANTA ROSA2 Primaria</v>
      </c>
      <c r="N5580" s="23"/>
      <c r="O5580" s="17"/>
      <c r="P5580" s="17"/>
      <c r="Q5580" s="17"/>
      <c r="R5580" s="17"/>
      <c r="S5580" s="17"/>
      <c r="T5580" s="17"/>
    </row>
    <row r="5581">
      <c r="A5581" s="21">
        <v>49.0</v>
      </c>
      <c r="B5581" s="20" t="s">
        <v>48</v>
      </c>
      <c r="C5581" s="14" t="str">
        <f t="shared" si="2"/>
        <v>Primaria</v>
      </c>
      <c r="D5581" s="20" t="s">
        <v>15</v>
      </c>
      <c r="E5581" s="12" t="str">
        <f>IFERROR(__xludf.DUMMYFUNCTION("FILTER(colegios!$B$2:$B5618,colegios!$A$2:$A5618=L5581)"),"14144 SANTA ROSA")</f>
        <v>14144 SANTA ROSA</v>
      </c>
      <c r="F5581" s="14" t="s">
        <v>16</v>
      </c>
      <c r="G5581" s="20" t="s">
        <v>21</v>
      </c>
      <c r="H5581" s="14" t="s">
        <v>24</v>
      </c>
      <c r="I5581" s="22">
        <v>2024.0</v>
      </c>
      <c r="J5581" s="16" t="str">
        <f>IFERROR(__xludf.DUMMYFUNCTION("FILTER('CLASFICACIÓN'!$F$3:$F5618,'CLASFICACIÓN'!$G$3:$G5618=M5581)"),"LOS 3 AÑOS")</f>
        <v>LOS 3 AÑOS</v>
      </c>
      <c r="K5581" s="16" t="str">
        <f t="array" ref="K5581">IFERROR(DGET('PADD-R'!$B$1:$K5618,'PADD-R'!$K$1,{'PADD-R'!$B$1;E5581}),"NO PARTICIPÓ")</f>
        <v>SOLO 2023</v>
      </c>
      <c r="L5581" s="14" t="s">
        <v>55</v>
      </c>
      <c r="M5581" s="16" t="str">
        <f t="shared" si="1"/>
        <v>14144 SANTA ROSA2 Primaria</v>
      </c>
      <c r="N5581" s="23"/>
      <c r="O5581" s="17"/>
      <c r="P5581" s="17"/>
      <c r="Q5581" s="17"/>
      <c r="R5581" s="17"/>
      <c r="S5581" s="17"/>
      <c r="T5581" s="17"/>
    </row>
    <row r="5582">
      <c r="A5582" s="21">
        <v>50.0</v>
      </c>
      <c r="B5582" s="20" t="s">
        <v>48</v>
      </c>
      <c r="C5582" s="14" t="str">
        <f t="shared" si="2"/>
        <v>Primaria</v>
      </c>
      <c r="D5582" s="20" t="s">
        <v>15</v>
      </c>
      <c r="E5582" s="12" t="str">
        <f>IFERROR(__xludf.DUMMYFUNCTION("FILTER(colegios!$B$2:$B5618,colegios!$A$2:$A5618=L5582)"),"14144 SANTA ROSA")</f>
        <v>14144 SANTA ROSA</v>
      </c>
      <c r="F5582" s="14" t="s">
        <v>16</v>
      </c>
      <c r="G5582" s="20" t="s">
        <v>17</v>
      </c>
      <c r="H5582" s="14" t="s">
        <v>24</v>
      </c>
      <c r="I5582" s="22">
        <v>2024.0</v>
      </c>
      <c r="J5582" s="16" t="str">
        <f>IFERROR(__xludf.DUMMYFUNCTION("FILTER('CLASFICACIÓN'!$F$3:$F5618,'CLASFICACIÓN'!$G$3:$G5618=M5582)"),"LOS 3 AÑOS")</f>
        <v>LOS 3 AÑOS</v>
      </c>
      <c r="K5582" s="16" t="str">
        <f t="array" ref="K5582">IFERROR(DGET('PADD-R'!$B$1:$K5618,'PADD-R'!$K$1,{'PADD-R'!$B$1;E5582}),"NO PARTICIPÓ")</f>
        <v>SOLO 2023</v>
      </c>
      <c r="L5582" s="14" t="s">
        <v>55</v>
      </c>
      <c r="M5582" s="16" t="str">
        <f t="shared" si="1"/>
        <v>14144 SANTA ROSA2 Primaria</v>
      </c>
      <c r="N5582" s="23"/>
      <c r="O5582" s="17"/>
      <c r="P5582" s="17"/>
      <c r="Q5582" s="17"/>
      <c r="R5582" s="17"/>
      <c r="S5582" s="17"/>
      <c r="T5582" s="17"/>
    </row>
    <row r="5583">
      <c r="A5583" s="21">
        <v>51.0</v>
      </c>
      <c r="B5583" s="20" t="s">
        <v>48</v>
      </c>
      <c r="C5583" s="14" t="str">
        <f t="shared" si="2"/>
        <v>Primaria</v>
      </c>
      <c r="D5583" s="20" t="s">
        <v>15</v>
      </c>
      <c r="E5583" s="12" t="str">
        <f>IFERROR(__xludf.DUMMYFUNCTION("FILTER(colegios!$B$2:$B5618,colegios!$A$2:$A5618=L5583)"),"14144 SANTA ROSA")</f>
        <v>14144 SANTA ROSA</v>
      </c>
      <c r="F5583" s="14" t="s">
        <v>16</v>
      </c>
      <c r="G5583" s="20" t="s">
        <v>17</v>
      </c>
      <c r="H5583" s="14" t="s">
        <v>24</v>
      </c>
      <c r="I5583" s="22">
        <v>2024.0</v>
      </c>
      <c r="J5583" s="16" t="str">
        <f>IFERROR(__xludf.DUMMYFUNCTION("FILTER('CLASFICACIÓN'!$F$3:$F5618,'CLASFICACIÓN'!$G$3:$G5618=M5583)"),"LOS 3 AÑOS")</f>
        <v>LOS 3 AÑOS</v>
      </c>
      <c r="K5583" s="16" t="str">
        <f t="array" ref="K5583">IFERROR(DGET('PADD-R'!$B$1:$K5618,'PADD-R'!$K$1,{'PADD-R'!$B$1;E5583}),"NO PARTICIPÓ")</f>
        <v>SOLO 2023</v>
      </c>
      <c r="L5583" s="14" t="s">
        <v>55</v>
      </c>
      <c r="M5583" s="16" t="str">
        <f t="shared" si="1"/>
        <v>14144 SANTA ROSA2 Primaria</v>
      </c>
      <c r="N5583" s="23"/>
      <c r="O5583" s="17"/>
      <c r="P5583" s="17"/>
      <c r="Q5583" s="17"/>
      <c r="R5583" s="17"/>
      <c r="S5583" s="17"/>
      <c r="T5583" s="17"/>
    </row>
    <row r="5584">
      <c r="A5584" s="21">
        <v>52.0</v>
      </c>
      <c r="B5584" s="20" t="s">
        <v>48</v>
      </c>
      <c r="C5584" s="14" t="str">
        <f t="shared" si="2"/>
        <v>Primaria</v>
      </c>
      <c r="D5584" s="20" t="s">
        <v>15</v>
      </c>
      <c r="E5584" s="12" t="str">
        <f>IFERROR(__xludf.DUMMYFUNCTION("FILTER(colegios!$B$2:$B5618,colegios!$A$2:$A5618=L5584)"),"14144 SANTA ROSA")</f>
        <v>14144 SANTA ROSA</v>
      </c>
      <c r="F5584" s="14" t="s">
        <v>16</v>
      </c>
      <c r="G5584" s="20" t="s">
        <v>17</v>
      </c>
      <c r="H5584" s="14" t="s">
        <v>24</v>
      </c>
      <c r="I5584" s="22">
        <v>2024.0</v>
      </c>
      <c r="J5584" s="16" t="str">
        <f>IFERROR(__xludf.DUMMYFUNCTION("FILTER('CLASFICACIÓN'!$F$3:$F5618,'CLASFICACIÓN'!$G$3:$G5618=M5584)"),"LOS 3 AÑOS")</f>
        <v>LOS 3 AÑOS</v>
      </c>
      <c r="K5584" s="16" t="str">
        <f t="array" ref="K5584">IFERROR(DGET('PADD-R'!$B$1:$K5618,'PADD-R'!$K$1,{'PADD-R'!$B$1;E5584}),"NO PARTICIPÓ")</f>
        <v>SOLO 2023</v>
      </c>
      <c r="L5584" s="14" t="s">
        <v>55</v>
      </c>
      <c r="M5584" s="16" t="str">
        <f t="shared" si="1"/>
        <v>14144 SANTA ROSA2 Primaria</v>
      </c>
      <c r="N5584" s="23"/>
      <c r="O5584" s="17"/>
      <c r="P5584" s="17"/>
      <c r="Q5584" s="17"/>
      <c r="R5584" s="17"/>
      <c r="S5584" s="17"/>
      <c r="T5584" s="17"/>
    </row>
    <row r="5585">
      <c r="A5585" s="21">
        <v>53.0</v>
      </c>
      <c r="B5585" s="20" t="s">
        <v>48</v>
      </c>
      <c r="C5585" s="14" t="str">
        <f t="shared" si="2"/>
        <v>Primaria</v>
      </c>
      <c r="D5585" s="20" t="s">
        <v>15</v>
      </c>
      <c r="E5585" s="12" t="str">
        <f>IFERROR(__xludf.DUMMYFUNCTION("FILTER(colegios!$B$2:$B5618,colegios!$A$2:$A5618=L5585)"),"14144 SANTA ROSA")</f>
        <v>14144 SANTA ROSA</v>
      </c>
      <c r="F5585" s="14" t="s">
        <v>16</v>
      </c>
      <c r="G5585" s="20" t="s">
        <v>17</v>
      </c>
      <c r="H5585" s="14" t="s">
        <v>24</v>
      </c>
      <c r="I5585" s="22">
        <v>2024.0</v>
      </c>
      <c r="J5585" s="16" t="str">
        <f>IFERROR(__xludf.DUMMYFUNCTION("FILTER('CLASFICACIÓN'!$F$3:$F5618,'CLASFICACIÓN'!$G$3:$G5618=M5585)"),"LOS 3 AÑOS")</f>
        <v>LOS 3 AÑOS</v>
      </c>
      <c r="K5585" s="16" t="str">
        <f t="array" ref="K5585">IFERROR(DGET('PADD-R'!$B$1:$K5618,'PADD-R'!$K$1,{'PADD-R'!$B$1;E5585}),"NO PARTICIPÓ")</f>
        <v>SOLO 2023</v>
      </c>
      <c r="L5585" s="14" t="s">
        <v>55</v>
      </c>
      <c r="M5585" s="16" t="str">
        <f t="shared" si="1"/>
        <v>14144 SANTA ROSA2 Primaria</v>
      </c>
      <c r="N5585" s="23"/>
      <c r="O5585" s="17"/>
      <c r="P5585" s="17"/>
      <c r="Q5585" s="17"/>
      <c r="R5585" s="17"/>
      <c r="S5585" s="17"/>
      <c r="T5585" s="17"/>
    </row>
    <row r="5586">
      <c r="A5586" s="21">
        <v>54.0</v>
      </c>
      <c r="B5586" s="20" t="s">
        <v>48</v>
      </c>
      <c r="C5586" s="14" t="str">
        <f t="shared" si="2"/>
        <v>Primaria</v>
      </c>
      <c r="D5586" s="20" t="s">
        <v>15</v>
      </c>
      <c r="E5586" s="12" t="str">
        <f>IFERROR(__xludf.DUMMYFUNCTION("FILTER(colegios!$B$2:$B5618,colegios!$A$2:$A5618=L5586)"),"14144 SANTA ROSA")</f>
        <v>14144 SANTA ROSA</v>
      </c>
      <c r="F5586" s="14" t="s">
        <v>16</v>
      </c>
      <c r="G5586" s="20" t="s">
        <v>17</v>
      </c>
      <c r="H5586" s="14" t="s">
        <v>24</v>
      </c>
      <c r="I5586" s="22">
        <v>2024.0</v>
      </c>
      <c r="J5586" s="16" t="str">
        <f>IFERROR(__xludf.DUMMYFUNCTION("FILTER('CLASFICACIÓN'!$F$3:$F5618,'CLASFICACIÓN'!$G$3:$G5618=M5586)"),"LOS 3 AÑOS")</f>
        <v>LOS 3 AÑOS</v>
      </c>
      <c r="K5586" s="16" t="str">
        <f t="array" ref="K5586">IFERROR(DGET('PADD-R'!$B$1:$K5618,'PADD-R'!$K$1,{'PADD-R'!$B$1;E5586}),"NO PARTICIPÓ")</f>
        <v>SOLO 2023</v>
      </c>
      <c r="L5586" s="14" t="s">
        <v>55</v>
      </c>
      <c r="M5586" s="16" t="str">
        <f t="shared" si="1"/>
        <v>14144 SANTA ROSA2 Primaria</v>
      </c>
      <c r="N5586" s="23"/>
      <c r="O5586" s="17"/>
      <c r="P5586" s="17"/>
      <c r="Q5586" s="17"/>
      <c r="R5586" s="17"/>
      <c r="S5586" s="17"/>
      <c r="T5586" s="17"/>
    </row>
    <row r="5587">
      <c r="A5587" s="21">
        <v>55.0</v>
      </c>
      <c r="B5587" s="20" t="s">
        <v>48</v>
      </c>
      <c r="C5587" s="14" t="str">
        <f t="shared" si="2"/>
        <v>Primaria</v>
      </c>
      <c r="D5587" s="20" t="s">
        <v>15</v>
      </c>
      <c r="E5587" s="12" t="str">
        <f>IFERROR(__xludf.DUMMYFUNCTION("FILTER(colegios!$B$2:$B5618,colegios!$A$2:$A5618=L5587)"),"14144 SANTA ROSA")</f>
        <v>14144 SANTA ROSA</v>
      </c>
      <c r="F5587" s="14" t="s">
        <v>16</v>
      </c>
      <c r="G5587" s="20" t="s">
        <v>17</v>
      </c>
      <c r="H5587" s="14" t="s">
        <v>18</v>
      </c>
      <c r="I5587" s="22">
        <v>2024.0</v>
      </c>
      <c r="J5587" s="16" t="str">
        <f>IFERROR(__xludf.DUMMYFUNCTION("FILTER('CLASFICACIÓN'!$F$3:$F5618,'CLASFICACIÓN'!$G$3:$G5618=M5587)"),"LOS 3 AÑOS")</f>
        <v>LOS 3 AÑOS</v>
      </c>
      <c r="K5587" s="16" t="str">
        <f t="array" ref="K5587">IFERROR(DGET('PADD-R'!$B$1:$K5618,'PADD-R'!$K$1,{'PADD-R'!$B$1;E5587}),"NO PARTICIPÓ")</f>
        <v>SOLO 2023</v>
      </c>
      <c r="L5587" s="14" t="s">
        <v>55</v>
      </c>
      <c r="M5587" s="16" t="str">
        <f t="shared" si="1"/>
        <v>14144 SANTA ROSA2 Primaria</v>
      </c>
      <c r="N5587" s="23"/>
      <c r="O5587" s="17"/>
      <c r="P5587" s="17"/>
      <c r="Q5587" s="17"/>
      <c r="R5587" s="17"/>
      <c r="S5587" s="17"/>
      <c r="T5587" s="17"/>
    </row>
    <row r="5588">
      <c r="A5588" s="21">
        <v>56.0</v>
      </c>
      <c r="B5588" s="20" t="s">
        <v>48</v>
      </c>
      <c r="C5588" s="14" t="str">
        <f t="shared" si="2"/>
        <v>Primaria</v>
      </c>
      <c r="D5588" s="20" t="s">
        <v>15</v>
      </c>
      <c r="E5588" s="12" t="str">
        <f>IFERROR(__xludf.DUMMYFUNCTION("FILTER(colegios!$B$2:$B5618,colegios!$A$2:$A5618=L5588)"),"14144 SANTA ROSA")</f>
        <v>14144 SANTA ROSA</v>
      </c>
      <c r="F5588" s="14" t="s">
        <v>16</v>
      </c>
      <c r="G5588" s="20" t="s">
        <v>17</v>
      </c>
      <c r="H5588" s="14" t="s">
        <v>24</v>
      </c>
      <c r="I5588" s="22">
        <v>2024.0</v>
      </c>
      <c r="J5588" s="16" t="str">
        <f>IFERROR(__xludf.DUMMYFUNCTION("FILTER('CLASFICACIÓN'!$F$3:$F5618,'CLASFICACIÓN'!$G$3:$G5618=M5588)"),"LOS 3 AÑOS")</f>
        <v>LOS 3 AÑOS</v>
      </c>
      <c r="K5588" s="16" t="str">
        <f t="array" ref="K5588">IFERROR(DGET('PADD-R'!$B$1:$K5618,'PADD-R'!$K$1,{'PADD-R'!$B$1;E5588}),"NO PARTICIPÓ")</f>
        <v>SOLO 2023</v>
      </c>
      <c r="L5588" s="14" t="s">
        <v>55</v>
      </c>
      <c r="M5588" s="16" t="str">
        <f t="shared" si="1"/>
        <v>14144 SANTA ROSA2 Primaria</v>
      </c>
      <c r="N5588" s="23"/>
      <c r="O5588" s="17"/>
      <c r="P5588" s="17"/>
      <c r="Q5588" s="17"/>
      <c r="R5588" s="17"/>
      <c r="S5588" s="17"/>
      <c r="T5588" s="17"/>
    </row>
    <row r="5589">
      <c r="A5589" s="21">
        <v>57.0</v>
      </c>
      <c r="B5589" s="20" t="s">
        <v>48</v>
      </c>
      <c r="C5589" s="14" t="str">
        <f t="shared" si="2"/>
        <v>Primaria</v>
      </c>
      <c r="D5589" s="20" t="s">
        <v>15</v>
      </c>
      <c r="E5589" s="12" t="str">
        <f>IFERROR(__xludf.DUMMYFUNCTION("FILTER(colegios!$B$2:$B5618,colegios!$A$2:$A5618=L5589)"),"14144 SANTA ROSA")</f>
        <v>14144 SANTA ROSA</v>
      </c>
      <c r="F5589" s="14" t="s">
        <v>16</v>
      </c>
      <c r="G5589" s="20" t="s">
        <v>17</v>
      </c>
      <c r="H5589" s="14" t="s">
        <v>24</v>
      </c>
      <c r="I5589" s="22">
        <v>2024.0</v>
      </c>
      <c r="J5589" s="16" t="str">
        <f>IFERROR(__xludf.DUMMYFUNCTION("FILTER('CLASFICACIÓN'!$F$3:$F5618,'CLASFICACIÓN'!$G$3:$G5618=M5589)"),"LOS 3 AÑOS")</f>
        <v>LOS 3 AÑOS</v>
      </c>
      <c r="K5589" s="16" t="str">
        <f t="array" ref="K5589">IFERROR(DGET('PADD-R'!$B$1:$K5618,'PADD-R'!$K$1,{'PADD-R'!$B$1;E5589}),"NO PARTICIPÓ")</f>
        <v>SOLO 2023</v>
      </c>
      <c r="L5589" s="14" t="s">
        <v>55</v>
      </c>
      <c r="M5589" s="16" t="str">
        <f t="shared" si="1"/>
        <v>14144 SANTA ROSA2 Primaria</v>
      </c>
      <c r="N5589" s="23"/>
      <c r="O5589" s="17"/>
      <c r="P5589" s="17"/>
      <c r="Q5589" s="17"/>
      <c r="R5589" s="17"/>
      <c r="S5589" s="17"/>
      <c r="T5589" s="17"/>
    </row>
    <row r="5590">
      <c r="A5590" s="21">
        <v>58.0</v>
      </c>
      <c r="B5590" s="20" t="s">
        <v>48</v>
      </c>
      <c r="C5590" s="14" t="str">
        <f t="shared" si="2"/>
        <v>Primaria</v>
      </c>
      <c r="D5590" s="20" t="s">
        <v>15</v>
      </c>
      <c r="E5590" s="12" t="str">
        <f>IFERROR(__xludf.DUMMYFUNCTION("FILTER(colegios!$B$2:$B5618,colegios!$A$2:$A5618=L5590)"),"14144 SANTA ROSA")</f>
        <v>14144 SANTA ROSA</v>
      </c>
      <c r="F5590" s="14" t="s">
        <v>16</v>
      </c>
      <c r="G5590" s="20" t="s">
        <v>21</v>
      </c>
      <c r="H5590" s="14" t="s">
        <v>24</v>
      </c>
      <c r="I5590" s="22">
        <v>2024.0</v>
      </c>
      <c r="J5590" s="16" t="str">
        <f>IFERROR(__xludf.DUMMYFUNCTION("FILTER('CLASFICACIÓN'!$F$3:$F5618,'CLASFICACIÓN'!$G$3:$G5618=M5590)"),"LOS 3 AÑOS")</f>
        <v>LOS 3 AÑOS</v>
      </c>
      <c r="K5590" s="16" t="str">
        <f t="array" ref="K5590">IFERROR(DGET('PADD-R'!$B$1:$K5618,'PADD-R'!$K$1,{'PADD-R'!$B$1;E5590}),"NO PARTICIPÓ")</f>
        <v>SOLO 2023</v>
      </c>
      <c r="L5590" s="14" t="s">
        <v>55</v>
      </c>
      <c r="M5590" s="16" t="str">
        <f t="shared" si="1"/>
        <v>14144 SANTA ROSA2 Primaria</v>
      </c>
      <c r="N5590" s="23"/>
      <c r="O5590" s="17"/>
      <c r="P5590" s="17"/>
      <c r="Q5590" s="17"/>
      <c r="R5590" s="17"/>
      <c r="S5590" s="17"/>
      <c r="T5590" s="17"/>
    </row>
    <row r="5591">
      <c r="A5591" s="21">
        <v>59.0</v>
      </c>
      <c r="B5591" s="20" t="s">
        <v>48</v>
      </c>
      <c r="C5591" s="14" t="str">
        <f t="shared" si="2"/>
        <v>Primaria</v>
      </c>
      <c r="D5591" s="20" t="s">
        <v>15</v>
      </c>
      <c r="E5591" s="12" t="str">
        <f>IFERROR(__xludf.DUMMYFUNCTION("FILTER(colegios!$B$2:$B5618,colegios!$A$2:$A5618=L5591)"),"14144 SANTA ROSA")</f>
        <v>14144 SANTA ROSA</v>
      </c>
      <c r="F5591" s="14" t="s">
        <v>16</v>
      </c>
      <c r="G5591" s="20" t="s">
        <v>21</v>
      </c>
      <c r="H5591" s="14" t="s">
        <v>18</v>
      </c>
      <c r="I5591" s="22">
        <v>2024.0</v>
      </c>
      <c r="J5591" s="16" t="str">
        <f>IFERROR(__xludf.DUMMYFUNCTION("FILTER('CLASFICACIÓN'!$F$3:$F5618,'CLASFICACIÓN'!$G$3:$G5618=M5591)"),"LOS 3 AÑOS")</f>
        <v>LOS 3 AÑOS</v>
      </c>
      <c r="K5591" s="16" t="str">
        <f t="array" ref="K5591">IFERROR(DGET('PADD-R'!$B$1:$K5618,'PADD-R'!$K$1,{'PADD-R'!$B$1;E5591}),"NO PARTICIPÓ")</f>
        <v>SOLO 2023</v>
      </c>
      <c r="L5591" s="14" t="s">
        <v>55</v>
      </c>
      <c r="M5591" s="16" t="str">
        <f t="shared" si="1"/>
        <v>14144 SANTA ROSA2 Primaria</v>
      </c>
      <c r="N5591" s="23"/>
      <c r="O5591" s="17"/>
      <c r="P5591" s="17"/>
      <c r="Q5591" s="17"/>
      <c r="R5591" s="17"/>
      <c r="S5591" s="17"/>
      <c r="T5591" s="17"/>
    </row>
    <row r="5592">
      <c r="A5592" s="21">
        <v>60.0</v>
      </c>
      <c r="B5592" s="20" t="s">
        <v>48</v>
      </c>
      <c r="C5592" s="14" t="str">
        <f t="shared" si="2"/>
        <v>Primaria</v>
      </c>
      <c r="D5592" s="20" t="s">
        <v>15</v>
      </c>
      <c r="E5592" s="12" t="str">
        <f>IFERROR(__xludf.DUMMYFUNCTION("FILTER(colegios!$B$2:$B5618,colegios!$A$2:$A5618=L5592)"),"14144 SANTA ROSA")</f>
        <v>14144 SANTA ROSA</v>
      </c>
      <c r="F5592" s="14" t="s">
        <v>16</v>
      </c>
      <c r="G5592" s="20" t="s">
        <v>21</v>
      </c>
      <c r="H5592" s="14" t="s">
        <v>24</v>
      </c>
      <c r="I5592" s="22">
        <v>2024.0</v>
      </c>
      <c r="J5592" s="16" t="str">
        <f>IFERROR(__xludf.DUMMYFUNCTION("FILTER('CLASFICACIÓN'!$F$3:$F5618,'CLASFICACIÓN'!$G$3:$G5618=M5592)"),"LOS 3 AÑOS")</f>
        <v>LOS 3 AÑOS</v>
      </c>
      <c r="K5592" s="16" t="str">
        <f t="array" ref="K5592">IFERROR(DGET('PADD-R'!$B$1:$K5618,'PADD-R'!$K$1,{'PADD-R'!$B$1;E5592}),"NO PARTICIPÓ")</f>
        <v>SOLO 2023</v>
      </c>
      <c r="L5592" s="14" t="s">
        <v>55</v>
      </c>
      <c r="M5592" s="16" t="str">
        <f t="shared" si="1"/>
        <v>14144 SANTA ROSA2 Primaria</v>
      </c>
      <c r="N5592" s="23"/>
      <c r="O5592" s="17"/>
      <c r="P5592" s="17"/>
      <c r="Q5592" s="17"/>
      <c r="R5592" s="17"/>
      <c r="S5592" s="17"/>
      <c r="T5592" s="17"/>
    </row>
    <row r="5593">
      <c r="A5593" s="21">
        <v>61.0</v>
      </c>
      <c r="B5593" s="20" t="s">
        <v>48</v>
      </c>
      <c r="C5593" s="14" t="str">
        <f t="shared" si="2"/>
        <v>Primaria</v>
      </c>
      <c r="D5593" s="20" t="s">
        <v>15</v>
      </c>
      <c r="E5593" s="12" t="str">
        <f>IFERROR(__xludf.DUMMYFUNCTION("FILTER(colegios!$B$2:$B5618,colegios!$A$2:$A5618=L5593)"),"14144 SANTA ROSA")</f>
        <v>14144 SANTA ROSA</v>
      </c>
      <c r="F5593" s="14" t="s">
        <v>16</v>
      </c>
      <c r="G5593" s="20" t="s">
        <v>21</v>
      </c>
      <c r="H5593" s="14" t="s">
        <v>24</v>
      </c>
      <c r="I5593" s="22">
        <v>2024.0</v>
      </c>
      <c r="J5593" s="16" t="str">
        <f>IFERROR(__xludf.DUMMYFUNCTION("FILTER('CLASFICACIÓN'!$F$3:$F5618,'CLASFICACIÓN'!$G$3:$G5618=M5593)"),"LOS 3 AÑOS")</f>
        <v>LOS 3 AÑOS</v>
      </c>
      <c r="K5593" s="16" t="str">
        <f t="array" ref="K5593">IFERROR(DGET('PADD-R'!$B$1:$K5618,'PADD-R'!$K$1,{'PADD-R'!$B$1;E5593}),"NO PARTICIPÓ")</f>
        <v>SOLO 2023</v>
      </c>
      <c r="L5593" s="14" t="s">
        <v>55</v>
      </c>
      <c r="M5593" s="16" t="str">
        <f t="shared" si="1"/>
        <v>14144 SANTA ROSA2 Primaria</v>
      </c>
      <c r="N5593" s="23"/>
      <c r="O5593" s="17"/>
      <c r="P5593" s="17"/>
      <c r="Q5593" s="17"/>
      <c r="R5593" s="17"/>
      <c r="S5593" s="17"/>
      <c r="T5593" s="17"/>
    </row>
    <row r="5594">
      <c r="A5594" s="21">
        <v>62.0</v>
      </c>
      <c r="B5594" s="20" t="s">
        <v>48</v>
      </c>
      <c r="C5594" s="14" t="str">
        <f t="shared" si="2"/>
        <v>Primaria</v>
      </c>
      <c r="D5594" s="20" t="s">
        <v>15</v>
      </c>
      <c r="E5594" s="12" t="str">
        <f>IFERROR(__xludf.DUMMYFUNCTION("FILTER(colegios!$B$2:$B5618,colegios!$A$2:$A5618=L5594)"),"14144 SANTA ROSA")</f>
        <v>14144 SANTA ROSA</v>
      </c>
      <c r="F5594" s="14" t="s">
        <v>16</v>
      </c>
      <c r="G5594" s="20" t="s">
        <v>21</v>
      </c>
      <c r="H5594" s="14" t="s">
        <v>24</v>
      </c>
      <c r="I5594" s="22">
        <v>2024.0</v>
      </c>
      <c r="J5594" s="16" t="str">
        <f>IFERROR(__xludf.DUMMYFUNCTION("FILTER('CLASFICACIÓN'!$F$3:$F5618,'CLASFICACIÓN'!$G$3:$G5618=M5594)"),"LOS 3 AÑOS")</f>
        <v>LOS 3 AÑOS</v>
      </c>
      <c r="K5594" s="16" t="str">
        <f t="array" ref="K5594">IFERROR(DGET('PADD-R'!$B$1:$K5618,'PADD-R'!$K$1,{'PADD-R'!$B$1;E5594}),"NO PARTICIPÓ")</f>
        <v>SOLO 2023</v>
      </c>
      <c r="L5594" s="14" t="s">
        <v>55</v>
      </c>
      <c r="M5594" s="16" t="str">
        <f t="shared" si="1"/>
        <v>14144 SANTA ROSA2 Primaria</v>
      </c>
      <c r="N5594" s="23"/>
      <c r="O5594" s="17"/>
      <c r="P5594" s="17"/>
      <c r="Q5594" s="17"/>
      <c r="R5594" s="17"/>
      <c r="S5594" s="17"/>
      <c r="T5594" s="17"/>
    </row>
    <row r="5595">
      <c r="A5595" s="21">
        <v>63.0</v>
      </c>
      <c r="B5595" s="20" t="s">
        <v>48</v>
      </c>
      <c r="C5595" s="14" t="str">
        <f t="shared" si="2"/>
        <v>Primaria</v>
      </c>
      <c r="D5595" s="20" t="s">
        <v>15</v>
      </c>
      <c r="E5595" s="12" t="str">
        <f>IFERROR(__xludf.DUMMYFUNCTION("FILTER(colegios!$B$2:$B5618,colegios!$A$2:$A5618=L5595)"),"14144 SANTA ROSA")</f>
        <v>14144 SANTA ROSA</v>
      </c>
      <c r="F5595" s="14" t="s">
        <v>16</v>
      </c>
      <c r="G5595" s="20" t="s">
        <v>17</v>
      </c>
      <c r="H5595" s="14" t="s">
        <v>24</v>
      </c>
      <c r="I5595" s="22">
        <v>2024.0</v>
      </c>
      <c r="J5595" s="16" t="str">
        <f>IFERROR(__xludf.DUMMYFUNCTION("FILTER('CLASFICACIÓN'!$F$3:$F5618,'CLASFICACIÓN'!$G$3:$G5618=M5595)"),"LOS 3 AÑOS")</f>
        <v>LOS 3 AÑOS</v>
      </c>
      <c r="K5595" s="16" t="str">
        <f t="array" ref="K5595">IFERROR(DGET('PADD-R'!$B$1:$K5618,'PADD-R'!$K$1,{'PADD-R'!$B$1;E5595}),"NO PARTICIPÓ")</f>
        <v>SOLO 2023</v>
      </c>
      <c r="L5595" s="14" t="s">
        <v>55</v>
      </c>
      <c r="M5595" s="16" t="str">
        <f t="shared" si="1"/>
        <v>14144 SANTA ROSA2 Primaria</v>
      </c>
      <c r="N5595" s="23"/>
      <c r="O5595" s="17"/>
      <c r="P5595" s="17"/>
      <c r="Q5595" s="17"/>
      <c r="R5595" s="17"/>
      <c r="S5595" s="17"/>
      <c r="T5595" s="17"/>
    </row>
    <row r="5596">
      <c r="A5596" s="21">
        <v>64.0</v>
      </c>
      <c r="B5596" s="20" t="s">
        <v>48</v>
      </c>
      <c r="C5596" s="14" t="str">
        <f t="shared" si="2"/>
        <v>Primaria</v>
      </c>
      <c r="D5596" s="20" t="s">
        <v>15</v>
      </c>
      <c r="E5596" s="12" t="str">
        <f>IFERROR(__xludf.DUMMYFUNCTION("FILTER(colegios!$B$2:$B5618,colegios!$A$2:$A5618=L5596)"),"14144 SANTA ROSA")</f>
        <v>14144 SANTA ROSA</v>
      </c>
      <c r="F5596" s="14" t="s">
        <v>16</v>
      </c>
      <c r="G5596" s="20" t="s">
        <v>17</v>
      </c>
      <c r="H5596" s="14" t="s">
        <v>24</v>
      </c>
      <c r="I5596" s="22">
        <v>2024.0</v>
      </c>
      <c r="J5596" s="16" t="str">
        <f>IFERROR(__xludf.DUMMYFUNCTION("FILTER('CLASFICACIÓN'!$F$3:$F5618,'CLASFICACIÓN'!$G$3:$G5618=M5596)"),"LOS 3 AÑOS")</f>
        <v>LOS 3 AÑOS</v>
      </c>
      <c r="K5596" s="16" t="str">
        <f t="array" ref="K5596">IFERROR(DGET('PADD-R'!$B$1:$K5618,'PADD-R'!$K$1,{'PADD-R'!$B$1;E5596}),"NO PARTICIPÓ")</f>
        <v>SOLO 2023</v>
      </c>
      <c r="L5596" s="14" t="s">
        <v>55</v>
      </c>
      <c r="M5596" s="16" t="str">
        <f t="shared" si="1"/>
        <v>14144 SANTA ROSA2 Primaria</v>
      </c>
      <c r="N5596" s="23"/>
      <c r="O5596" s="17"/>
      <c r="P5596" s="17"/>
      <c r="Q5596" s="17"/>
      <c r="R5596" s="17"/>
      <c r="S5596" s="17"/>
      <c r="T5596" s="17"/>
    </row>
    <row r="5597">
      <c r="A5597" s="21">
        <v>65.0</v>
      </c>
      <c r="B5597" s="20" t="s">
        <v>48</v>
      </c>
      <c r="C5597" s="14" t="str">
        <f t="shared" si="2"/>
        <v>Primaria</v>
      </c>
      <c r="D5597" s="20" t="s">
        <v>15</v>
      </c>
      <c r="E5597" s="12" t="str">
        <f>IFERROR(__xludf.DUMMYFUNCTION("FILTER(colegios!$B$2:$B5618,colegios!$A$2:$A5618=L5597)"),"14144 SANTA ROSA")</f>
        <v>14144 SANTA ROSA</v>
      </c>
      <c r="F5597" s="14" t="s">
        <v>16</v>
      </c>
      <c r="G5597" s="20" t="s">
        <v>17</v>
      </c>
      <c r="H5597" s="14" t="s">
        <v>18</v>
      </c>
      <c r="I5597" s="22">
        <v>2024.0</v>
      </c>
      <c r="J5597" s="16" t="str">
        <f>IFERROR(__xludf.DUMMYFUNCTION("FILTER('CLASFICACIÓN'!$F$3:$F5618,'CLASFICACIÓN'!$G$3:$G5618=M5597)"),"LOS 3 AÑOS")</f>
        <v>LOS 3 AÑOS</v>
      </c>
      <c r="K5597" s="16" t="str">
        <f t="array" ref="K5597">IFERROR(DGET('PADD-R'!$B$1:$K5618,'PADD-R'!$K$1,{'PADD-R'!$B$1;E5597}),"NO PARTICIPÓ")</f>
        <v>SOLO 2023</v>
      </c>
      <c r="L5597" s="14" t="s">
        <v>55</v>
      </c>
      <c r="M5597" s="16" t="str">
        <f t="shared" si="1"/>
        <v>14144 SANTA ROSA2 Primaria</v>
      </c>
      <c r="N5597" s="23"/>
      <c r="O5597" s="17"/>
      <c r="P5597" s="17"/>
      <c r="Q5597" s="17"/>
      <c r="R5597" s="17"/>
      <c r="S5597" s="17"/>
      <c r="T5597" s="17"/>
    </row>
    <row r="5598">
      <c r="A5598" s="21">
        <v>66.0</v>
      </c>
      <c r="B5598" s="20" t="s">
        <v>48</v>
      </c>
      <c r="C5598" s="14" t="str">
        <f t="shared" si="2"/>
        <v>Primaria</v>
      </c>
      <c r="D5598" s="20" t="s">
        <v>15</v>
      </c>
      <c r="E5598" s="12" t="str">
        <f>IFERROR(__xludf.DUMMYFUNCTION("FILTER(colegios!$B$2:$B5618,colegios!$A$2:$A5618=L5598)"),"14144 SANTA ROSA")</f>
        <v>14144 SANTA ROSA</v>
      </c>
      <c r="F5598" s="14" t="s">
        <v>16</v>
      </c>
      <c r="G5598" s="20" t="s">
        <v>17</v>
      </c>
      <c r="H5598" s="14" t="s">
        <v>24</v>
      </c>
      <c r="I5598" s="22">
        <v>2024.0</v>
      </c>
      <c r="J5598" s="16" t="str">
        <f>IFERROR(__xludf.DUMMYFUNCTION("FILTER('CLASFICACIÓN'!$F$3:$F5618,'CLASFICACIÓN'!$G$3:$G5618=M5598)"),"LOS 3 AÑOS")</f>
        <v>LOS 3 AÑOS</v>
      </c>
      <c r="K5598" s="16" t="str">
        <f t="array" ref="K5598">IFERROR(DGET('PADD-R'!$B$1:$K5618,'PADD-R'!$K$1,{'PADD-R'!$B$1;E5598}),"NO PARTICIPÓ")</f>
        <v>SOLO 2023</v>
      </c>
      <c r="L5598" s="14" t="s">
        <v>55</v>
      </c>
      <c r="M5598" s="16" t="str">
        <f t="shared" si="1"/>
        <v>14144 SANTA ROSA2 Primaria</v>
      </c>
      <c r="N5598" s="23"/>
      <c r="O5598" s="17"/>
      <c r="P5598" s="17"/>
      <c r="Q5598" s="17"/>
      <c r="R5598" s="17"/>
      <c r="S5598" s="17"/>
      <c r="T5598" s="17"/>
    </row>
    <row r="5599">
      <c r="A5599" s="21">
        <v>67.0</v>
      </c>
      <c r="B5599" s="20" t="s">
        <v>48</v>
      </c>
      <c r="C5599" s="14" t="str">
        <f t="shared" si="2"/>
        <v>Primaria</v>
      </c>
      <c r="D5599" s="20" t="s">
        <v>15</v>
      </c>
      <c r="E5599" s="12" t="str">
        <f>IFERROR(__xludf.DUMMYFUNCTION("FILTER(colegios!$B$2:$B5618,colegios!$A$2:$A5618=L5599)"),"14144 SANTA ROSA")</f>
        <v>14144 SANTA ROSA</v>
      </c>
      <c r="F5599" s="14" t="s">
        <v>16</v>
      </c>
      <c r="G5599" s="20" t="s">
        <v>17</v>
      </c>
      <c r="H5599" s="14" t="s">
        <v>24</v>
      </c>
      <c r="I5599" s="22">
        <v>2024.0</v>
      </c>
      <c r="J5599" s="16" t="str">
        <f>IFERROR(__xludf.DUMMYFUNCTION("FILTER('CLASFICACIÓN'!$F$3:$F5618,'CLASFICACIÓN'!$G$3:$G5618=M5599)"),"LOS 3 AÑOS")</f>
        <v>LOS 3 AÑOS</v>
      </c>
      <c r="K5599" s="16" t="str">
        <f t="array" ref="K5599">IFERROR(DGET('PADD-R'!$B$1:$K5618,'PADD-R'!$K$1,{'PADD-R'!$B$1;E5599}),"NO PARTICIPÓ")</f>
        <v>SOLO 2023</v>
      </c>
      <c r="L5599" s="14" t="s">
        <v>55</v>
      </c>
      <c r="M5599" s="16" t="str">
        <f t="shared" si="1"/>
        <v>14144 SANTA ROSA2 Primaria</v>
      </c>
      <c r="N5599" s="23"/>
      <c r="O5599" s="17"/>
      <c r="P5599" s="17"/>
      <c r="Q5599" s="17"/>
      <c r="R5599" s="17"/>
      <c r="S5599" s="17"/>
      <c r="T5599" s="17"/>
    </row>
    <row r="5600">
      <c r="A5600" s="21">
        <v>68.0</v>
      </c>
      <c r="B5600" s="20" t="s">
        <v>48</v>
      </c>
      <c r="C5600" s="14" t="str">
        <f t="shared" si="2"/>
        <v>Primaria</v>
      </c>
      <c r="D5600" s="20" t="s">
        <v>15</v>
      </c>
      <c r="E5600" s="12" t="str">
        <f>IFERROR(__xludf.DUMMYFUNCTION("FILTER(colegios!$B$2:$B5618,colegios!$A$2:$A5618=L5600)"),"14144 SANTA ROSA")</f>
        <v>14144 SANTA ROSA</v>
      </c>
      <c r="F5600" s="14" t="s">
        <v>16</v>
      </c>
      <c r="G5600" s="20" t="s">
        <v>17</v>
      </c>
      <c r="H5600" s="14" t="s">
        <v>24</v>
      </c>
      <c r="I5600" s="22">
        <v>2024.0</v>
      </c>
      <c r="J5600" s="16" t="str">
        <f>IFERROR(__xludf.DUMMYFUNCTION("FILTER('CLASFICACIÓN'!$F$3:$F5618,'CLASFICACIÓN'!$G$3:$G5618=M5600)"),"LOS 3 AÑOS")</f>
        <v>LOS 3 AÑOS</v>
      </c>
      <c r="K5600" s="16" t="str">
        <f t="array" ref="K5600">IFERROR(DGET('PADD-R'!$B$1:$K5618,'PADD-R'!$K$1,{'PADD-R'!$B$1;E5600}),"NO PARTICIPÓ")</f>
        <v>SOLO 2023</v>
      </c>
      <c r="L5600" s="14" t="s">
        <v>55</v>
      </c>
      <c r="M5600" s="16" t="str">
        <f t="shared" si="1"/>
        <v>14144 SANTA ROSA2 Primaria</v>
      </c>
      <c r="N5600" s="23"/>
      <c r="O5600" s="17"/>
      <c r="P5600" s="17"/>
      <c r="Q5600" s="17"/>
      <c r="R5600" s="17"/>
      <c r="S5600" s="17"/>
      <c r="T5600" s="17"/>
    </row>
    <row r="5601">
      <c r="A5601" s="21">
        <v>69.0</v>
      </c>
      <c r="B5601" s="20" t="s">
        <v>48</v>
      </c>
      <c r="C5601" s="14" t="str">
        <f t="shared" si="2"/>
        <v>Primaria</v>
      </c>
      <c r="D5601" s="20" t="s">
        <v>15</v>
      </c>
      <c r="E5601" s="12" t="str">
        <f>IFERROR(__xludf.DUMMYFUNCTION("FILTER(colegios!$B$2:$B5618,colegios!$A$2:$A5618=L5601)"),"14894")</f>
        <v>14894</v>
      </c>
      <c r="F5601" s="14" t="s">
        <v>16</v>
      </c>
      <c r="G5601" s="20" t="s">
        <v>17</v>
      </c>
      <c r="H5601" s="14" t="s">
        <v>24</v>
      </c>
      <c r="I5601" s="22">
        <v>2024.0</v>
      </c>
      <c r="J5601" s="16" t="str">
        <f>IFERROR(__xludf.DUMMYFUNCTION("FILTER('CLASFICACIÓN'!$F$3:$F5618,'CLASFICACIÓN'!$G$3:$G5618=M5601)"),"SOLO 2022 Y 2024")</f>
        <v>SOLO 2022 Y 2024</v>
      </c>
      <c r="K5601" s="16" t="str">
        <f t="array" ref="K5601">IFERROR(DGET('PADD-R'!$B$1:$K5618,'PADD-R'!$K$1,{'PADD-R'!$B$1;E5601}),"NO PARTICIPÓ")</f>
        <v>SOLO 2024</v>
      </c>
      <c r="L5601" s="14" t="s">
        <v>62</v>
      </c>
      <c r="M5601" s="16" t="str">
        <f t="shared" si="1"/>
        <v>148942 Primaria</v>
      </c>
      <c r="N5601" s="23"/>
      <c r="O5601" s="17"/>
      <c r="P5601" s="17"/>
      <c r="Q5601" s="17"/>
      <c r="R5601" s="17"/>
      <c r="S5601" s="17"/>
      <c r="T5601" s="17"/>
    </row>
    <row r="5602">
      <c r="A5602" s="21">
        <v>70.0</v>
      </c>
      <c r="B5602" s="20" t="s">
        <v>48</v>
      </c>
      <c r="C5602" s="14" t="str">
        <f t="shared" si="2"/>
        <v>Primaria</v>
      </c>
      <c r="D5602" s="20" t="s">
        <v>15</v>
      </c>
      <c r="E5602" s="12" t="str">
        <f>IFERROR(__xludf.DUMMYFUNCTION("FILTER(colegios!$B$2:$B5618,colegios!$A$2:$A5618=L5602)"),"15219")</f>
        <v>15219</v>
      </c>
      <c r="F5602" s="14" t="s">
        <v>16</v>
      </c>
      <c r="G5602" s="20" t="s">
        <v>17</v>
      </c>
      <c r="H5602" s="14" t="s">
        <v>24</v>
      </c>
      <c r="I5602" s="22">
        <v>2024.0</v>
      </c>
      <c r="J5602" s="16" t="str">
        <f>IFERROR(__xludf.DUMMYFUNCTION("FILTER('CLASFICACIÓN'!$F$3:$F5618,'CLASFICACIÓN'!$G$3:$G5618=M5602)"),"2023 Y 2024")</f>
        <v>2023 Y 2024</v>
      </c>
      <c r="K5602" s="16" t="str">
        <f t="array" ref="K5602">IFERROR(DGET('PADD-R'!$B$1:$K5618,'PADD-R'!$K$1,{'PADD-R'!$B$1;E5602}),"NO PARTICIPÓ")</f>
        <v>SOLO 2023</v>
      </c>
      <c r="L5602" s="14" t="s">
        <v>56</v>
      </c>
      <c r="M5602" s="16" t="str">
        <f t="shared" si="1"/>
        <v>152192 Primaria</v>
      </c>
      <c r="N5602" s="23"/>
      <c r="O5602" s="17"/>
      <c r="P5602" s="17"/>
      <c r="Q5602" s="17"/>
      <c r="R5602" s="17"/>
      <c r="S5602" s="17"/>
      <c r="T5602" s="17"/>
    </row>
    <row r="5603">
      <c r="A5603" s="21">
        <v>71.0</v>
      </c>
      <c r="B5603" s="20" t="s">
        <v>48</v>
      </c>
      <c r="C5603" s="14" t="str">
        <f t="shared" si="2"/>
        <v>Primaria</v>
      </c>
      <c r="D5603" s="20" t="s">
        <v>15</v>
      </c>
      <c r="E5603" s="12" t="str">
        <f>IFERROR(__xludf.DUMMYFUNCTION("FILTER(colegios!$B$2:$B5618,colegios!$A$2:$A5618=L5603)"),"15219")</f>
        <v>15219</v>
      </c>
      <c r="F5603" s="14" t="s">
        <v>16</v>
      </c>
      <c r="G5603" s="20" t="s">
        <v>17</v>
      </c>
      <c r="H5603" s="14" t="s">
        <v>24</v>
      </c>
      <c r="I5603" s="22">
        <v>2024.0</v>
      </c>
      <c r="J5603" s="16" t="str">
        <f>IFERROR(__xludf.DUMMYFUNCTION("FILTER('CLASFICACIÓN'!$F$3:$F5618,'CLASFICACIÓN'!$G$3:$G5618=M5603)"),"2023 Y 2024")</f>
        <v>2023 Y 2024</v>
      </c>
      <c r="K5603" s="16" t="str">
        <f t="array" ref="K5603">IFERROR(DGET('PADD-R'!$B$1:$K5618,'PADD-R'!$K$1,{'PADD-R'!$B$1;E5603}),"NO PARTICIPÓ")</f>
        <v>SOLO 2023</v>
      </c>
      <c r="L5603" s="14" t="s">
        <v>56</v>
      </c>
      <c r="M5603" s="16" t="str">
        <f t="shared" si="1"/>
        <v>152192 Primaria</v>
      </c>
      <c r="N5603" s="23"/>
      <c r="O5603" s="17"/>
      <c r="P5603" s="17"/>
      <c r="Q5603" s="17"/>
      <c r="R5603" s="17"/>
      <c r="S5603" s="17"/>
      <c r="T5603" s="17"/>
    </row>
    <row r="5604">
      <c r="A5604" s="21">
        <v>72.0</v>
      </c>
      <c r="B5604" s="20" t="s">
        <v>48</v>
      </c>
      <c r="C5604" s="14" t="str">
        <f t="shared" si="2"/>
        <v>Primaria</v>
      </c>
      <c r="D5604" s="20" t="s">
        <v>15</v>
      </c>
      <c r="E5604" s="12" t="str">
        <f>IFERROR(__xludf.DUMMYFUNCTION("FILTER(colegios!$B$2:$B5618,colegios!$A$2:$A5618=L5604)"),"14141")</f>
        <v>14141</v>
      </c>
      <c r="F5604" s="14" t="s">
        <v>16</v>
      </c>
      <c r="G5604" s="20" t="s">
        <v>21</v>
      </c>
      <c r="H5604" s="14" t="s">
        <v>24</v>
      </c>
      <c r="I5604" s="22">
        <v>2024.0</v>
      </c>
      <c r="J5604" s="16" t="str">
        <f>IFERROR(__xludf.DUMMYFUNCTION("FILTER('CLASFICACIÓN'!$F$3:$F5618,'CLASFICACIÓN'!$G$3:$G5618=M5604)"),"SOLO 2024")</f>
        <v>SOLO 2024</v>
      </c>
      <c r="K5604" s="16" t="str">
        <f t="array" ref="K5604">IFERROR(DGET('PADD-R'!$B$1:$K5618,'PADD-R'!$K$1,{'PADD-R'!$B$1;E5604}),"NO PARTICIPÓ")</f>
        <v>PADD 2023 Y 2024</v>
      </c>
      <c r="L5604" s="14" t="s">
        <v>57</v>
      </c>
      <c r="M5604" s="16" t="str">
        <f t="shared" si="1"/>
        <v>141412 Primaria</v>
      </c>
      <c r="N5604" s="23"/>
      <c r="O5604" s="17"/>
      <c r="P5604" s="17"/>
      <c r="Q5604" s="17"/>
      <c r="R5604" s="17"/>
      <c r="S5604" s="17"/>
      <c r="T5604" s="17"/>
    </row>
    <row r="5605">
      <c r="A5605" s="21">
        <v>73.0</v>
      </c>
      <c r="B5605" s="20" t="s">
        <v>48</v>
      </c>
      <c r="C5605" s="14" t="str">
        <f t="shared" si="2"/>
        <v>Primaria</v>
      </c>
      <c r="D5605" s="20" t="s">
        <v>15</v>
      </c>
      <c r="E5605" s="12" t="str">
        <f>IFERROR(__xludf.DUMMYFUNCTION("FILTER(colegios!$B$2:$B5618,colegios!$A$2:$A5618=L5605)"),"15478")</f>
        <v>15478</v>
      </c>
      <c r="F5605" s="14" t="s">
        <v>16</v>
      </c>
      <c r="G5605" s="20" t="s">
        <v>17</v>
      </c>
      <c r="H5605" s="14" t="s">
        <v>24</v>
      </c>
      <c r="I5605" s="22">
        <v>2024.0</v>
      </c>
      <c r="J5605" s="16" t="str">
        <f>IFERROR(__xludf.DUMMYFUNCTION("FILTER('CLASFICACIÓN'!$F$3:$F5618,'CLASFICACIÓN'!$G$3:$G5618=M5605)"),"2023 Y 2024")</f>
        <v>2023 Y 2024</v>
      </c>
      <c r="K5605" s="16" t="str">
        <f t="array" ref="K5605">IFERROR(DGET('PADD-R'!$B$1:$K5618,'PADD-R'!$K$1,{'PADD-R'!$B$1;E5605}),"NO PARTICIPÓ")</f>
        <v>PADD 2023 Y 2024</v>
      </c>
      <c r="L5605" s="14" t="s">
        <v>58</v>
      </c>
      <c r="M5605" s="16" t="str">
        <f t="shared" si="1"/>
        <v>154782 Primaria</v>
      </c>
      <c r="N5605" s="23"/>
      <c r="O5605" s="17"/>
      <c r="P5605" s="17"/>
      <c r="Q5605" s="17"/>
      <c r="R5605" s="17"/>
      <c r="S5605" s="17"/>
      <c r="T5605" s="17"/>
    </row>
    <row r="5606">
      <c r="A5606" s="21">
        <v>74.0</v>
      </c>
      <c r="B5606" s="20" t="s">
        <v>48</v>
      </c>
      <c r="C5606" s="14" t="str">
        <f t="shared" si="2"/>
        <v>Primaria</v>
      </c>
      <c r="D5606" s="20" t="s">
        <v>15</v>
      </c>
      <c r="E5606" s="12" t="str">
        <f>IFERROR(__xludf.DUMMYFUNCTION("FILTER(colegios!$B$2:$B5618,colegios!$A$2:$A5618=L5606)"),"15478")</f>
        <v>15478</v>
      </c>
      <c r="F5606" s="14" t="s">
        <v>16</v>
      </c>
      <c r="G5606" s="20" t="s">
        <v>17</v>
      </c>
      <c r="H5606" s="14" t="s">
        <v>24</v>
      </c>
      <c r="I5606" s="22">
        <v>2024.0</v>
      </c>
      <c r="J5606" s="16" t="str">
        <f>IFERROR(__xludf.DUMMYFUNCTION("FILTER('CLASFICACIÓN'!$F$3:$F5618,'CLASFICACIÓN'!$G$3:$G5618=M5606)"),"2023 Y 2024")</f>
        <v>2023 Y 2024</v>
      </c>
      <c r="K5606" s="16" t="str">
        <f t="array" ref="K5606">IFERROR(DGET('PADD-R'!$B$1:$K5618,'PADD-R'!$K$1,{'PADD-R'!$B$1;E5606}),"NO PARTICIPÓ")</f>
        <v>PADD 2023 Y 2024</v>
      </c>
      <c r="L5606" s="14" t="s">
        <v>58</v>
      </c>
      <c r="M5606" s="16" t="str">
        <f t="shared" si="1"/>
        <v>154782 Primaria</v>
      </c>
      <c r="N5606" s="23"/>
      <c r="O5606" s="17"/>
      <c r="P5606" s="17"/>
      <c r="Q5606" s="17"/>
      <c r="R5606" s="17"/>
      <c r="S5606" s="17"/>
      <c r="T5606" s="17"/>
    </row>
    <row r="5607">
      <c r="A5607" s="21">
        <v>75.0</v>
      </c>
      <c r="B5607" s="20" t="s">
        <v>48</v>
      </c>
      <c r="C5607" s="14" t="str">
        <f t="shared" si="2"/>
        <v>Primaria</v>
      </c>
      <c r="D5607" s="20" t="s">
        <v>15</v>
      </c>
      <c r="E5607" s="12" t="str">
        <f>IFERROR(__xludf.DUMMYFUNCTION("FILTER(colegios!$B$2:$B5618,colegios!$A$2:$A5618=L5607)"),"14045")</f>
        <v>14045</v>
      </c>
      <c r="F5607" s="14" t="s">
        <v>16</v>
      </c>
      <c r="G5607" s="20" t="s">
        <v>17</v>
      </c>
      <c r="H5607" s="14" t="s">
        <v>24</v>
      </c>
      <c r="I5607" s="22">
        <v>2024.0</v>
      </c>
      <c r="J5607" s="16" t="str">
        <f>IFERROR(__xludf.DUMMYFUNCTION("FILTER('CLASFICACIÓN'!$F$3:$F5618,'CLASFICACIÓN'!$G$3:$G5618=M5607)"),"2023 Y 2024")</f>
        <v>2023 Y 2024</v>
      </c>
      <c r="K5607" s="16" t="str">
        <f t="array" ref="K5607">IFERROR(DGET('PADD-R'!$B$1:$K5618,'PADD-R'!$K$1,{'PADD-R'!$B$1;E5607}),"NO PARTICIPÓ")</f>
        <v>SOLO 2023</v>
      </c>
      <c r="L5607" s="14" t="s">
        <v>60</v>
      </c>
      <c r="M5607" s="16" t="str">
        <f t="shared" si="1"/>
        <v>140452 Primaria</v>
      </c>
      <c r="N5607" s="23"/>
      <c r="O5607" s="17"/>
      <c r="P5607" s="17"/>
      <c r="Q5607" s="17"/>
      <c r="R5607" s="17"/>
      <c r="S5607" s="17"/>
      <c r="T5607" s="17"/>
    </row>
    <row r="5608">
      <c r="A5608" s="21">
        <v>76.0</v>
      </c>
      <c r="B5608" s="20" t="s">
        <v>48</v>
      </c>
      <c r="C5608" s="14" t="str">
        <f t="shared" si="2"/>
        <v>Primaria</v>
      </c>
      <c r="D5608" s="20" t="s">
        <v>15</v>
      </c>
      <c r="E5608" s="12" t="str">
        <f>IFERROR(__xludf.DUMMYFUNCTION("FILTER(colegios!$B$2:$B5618,colegios!$A$2:$A5618=L5608)"),"14045")</f>
        <v>14045</v>
      </c>
      <c r="F5608" s="14" t="s">
        <v>16</v>
      </c>
      <c r="G5608" s="20" t="s">
        <v>21</v>
      </c>
      <c r="H5608" s="14" t="s">
        <v>24</v>
      </c>
      <c r="I5608" s="22">
        <v>2024.0</v>
      </c>
      <c r="J5608" s="16" t="str">
        <f>IFERROR(__xludf.DUMMYFUNCTION("FILTER('CLASFICACIÓN'!$F$3:$F5618,'CLASFICACIÓN'!$G$3:$G5618=M5608)"),"2023 Y 2024")</f>
        <v>2023 Y 2024</v>
      </c>
      <c r="K5608" s="16" t="str">
        <f t="array" ref="K5608">IFERROR(DGET('PADD-R'!$B$1:$K5618,'PADD-R'!$K$1,{'PADD-R'!$B$1;E5608}),"NO PARTICIPÓ")</f>
        <v>SOLO 2023</v>
      </c>
      <c r="L5608" s="14" t="s">
        <v>60</v>
      </c>
      <c r="M5608" s="16" t="str">
        <f t="shared" si="1"/>
        <v>140452 Primaria</v>
      </c>
      <c r="N5608" s="23"/>
      <c r="O5608" s="17"/>
      <c r="P5608" s="17"/>
      <c r="Q5608" s="17"/>
      <c r="R5608" s="17"/>
      <c r="S5608" s="17"/>
      <c r="T5608" s="17"/>
    </row>
    <row r="5609">
      <c r="A5609" s="21">
        <v>77.0</v>
      </c>
      <c r="B5609" s="20" t="s">
        <v>48</v>
      </c>
      <c r="C5609" s="14" t="str">
        <f t="shared" si="2"/>
        <v>Primaria</v>
      </c>
      <c r="D5609" s="20" t="s">
        <v>15</v>
      </c>
      <c r="E5609" s="12" t="str">
        <f>IFERROR(__xludf.DUMMYFUNCTION("FILTER(colegios!$B$2:$B5618,colegios!$A$2:$A5618=L5609)"),"14145 SANTA JULIA BILLIART")</f>
        <v>14145 SANTA JULIA BILLIART</v>
      </c>
      <c r="F5609" s="14" t="s">
        <v>16</v>
      </c>
      <c r="G5609" s="20" t="s">
        <v>17</v>
      </c>
      <c r="H5609" s="14" t="s">
        <v>18</v>
      </c>
      <c r="I5609" s="22">
        <v>2024.0</v>
      </c>
      <c r="J5609" s="16" t="str">
        <f>IFERROR(__xludf.DUMMYFUNCTION("FILTER('CLASFICACIÓN'!$F$3:$F5618,'CLASFICACIÓN'!$G$3:$G5618=M5609)"),"LOS 3 AÑOS")</f>
        <v>LOS 3 AÑOS</v>
      </c>
      <c r="K5609" s="16" t="str">
        <f t="array" ref="K5609">IFERROR(DGET('PADD-R'!$B$1:$K5618,'PADD-R'!$K$1,{'PADD-R'!$B$1;E5609}),"NO PARTICIPÓ")</f>
        <v>SOLO 2023</v>
      </c>
      <c r="L5609" s="14" t="s">
        <v>61</v>
      </c>
      <c r="M5609" s="16" t="str">
        <f t="shared" si="1"/>
        <v>14145 SANTA JULIA BILLIART2 Primaria</v>
      </c>
      <c r="N5609" s="23"/>
      <c r="O5609" s="17"/>
      <c r="P5609" s="17"/>
      <c r="Q5609" s="17"/>
      <c r="R5609" s="17"/>
      <c r="S5609" s="17"/>
      <c r="T5609" s="17"/>
    </row>
    <row r="5610">
      <c r="A5610" s="21">
        <v>78.0</v>
      </c>
      <c r="B5610" s="20" t="s">
        <v>48</v>
      </c>
      <c r="C5610" s="14" t="str">
        <f t="shared" si="2"/>
        <v>Primaria</v>
      </c>
      <c r="D5610" s="20" t="s">
        <v>15</v>
      </c>
      <c r="E5610" s="12" t="str">
        <f>IFERROR(__xludf.DUMMYFUNCTION("FILTER(colegios!$B$2:$B5618,colegios!$A$2:$A5618=L5610)"),"14145 SANTA JULIA BILLIART")</f>
        <v>14145 SANTA JULIA BILLIART</v>
      </c>
      <c r="F5610" s="14" t="s">
        <v>16</v>
      </c>
      <c r="G5610" s="20" t="s">
        <v>21</v>
      </c>
      <c r="H5610" s="14" t="s">
        <v>18</v>
      </c>
      <c r="I5610" s="22">
        <v>2024.0</v>
      </c>
      <c r="J5610" s="16" t="str">
        <f>IFERROR(__xludf.DUMMYFUNCTION("FILTER('CLASFICACIÓN'!$F$3:$F5618,'CLASFICACIÓN'!$G$3:$G5618=M5610)"),"LOS 3 AÑOS")</f>
        <v>LOS 3 AÑOS</v>
      </c>
      <c r="K5610" s="16" t="str">
        <f t="array" ref="K5610">IFERROR(DGET('PADD-R'!$B$1:$K5618,'PADD-R'!$K$1,{'PADD-R'!$B$1;E5610}),"NO PARTICIPÓ")</f>
        <v>SOLO 2023</v>
      </c>
      <c r="L5610" s="14" t="s">
        <v>61</v>
      </c>
      <c r="M5610" s="16" t="str">
        <f t="shared" si="1"/>
        <v>14145 SANTA JULIA BILLIART2 Primaria</v>
      </c>
      <c r="N5610" s="23"/>
      <c r="O5610" s="17"/>
      <c r="P5610" s="17"/>
      <c r="Q5610" s="17"/>
      <c r="R5610" s="17"/>
      <c r="S5610" s="17"/>
      <c r="T5610" s="17"/>
    </row>
    <row r="5611">
      <c r="A5611" s="21">
        <v>79.0</v>
      </c>
      <c r="B5611" s="20" t="s">
        <v>48</v>
      </c>
      <c r="C5611" s="14" t="str">
        <f t="shared" si="2"/>
        <v>Primaria</v>
      </c>
      <c r="D5611" s="20" t="s">
        <v>15</v>
      </c>
      <c r="E5611" s="12" t="str">
        <f>IFERROR(__xludf.DUMMYFUNCTION("FILTER(colegios!$B$2:$B5618,colegios!$A$2:$A5618=L5611)"),"14145 SANTA JULIA BILLIART")</f>
        <v>14145 SANTA JULIA BILLIART</v>
      </c>
      <c r="F5611" s="14" t="s">
        <v>16</v>
      </c>
      <c r="G5611" s="20" t="s">
        <v>21</v>
      </c>
      <c r="H5611" s="14" t="s">
        <v>18</v>
      </c>
      <c r="I5611" s="22">
        <v>2024.0</v>
      </c>
      <c r="J5611" s="16" t="str">
        <f>IFERROR(__xludf.DUMMYFUNCTION("FILTER('CLASFICACIÓN'!$F$3:$F5618,'CLASFICACIÓN'!$G$3:$G5618=M5611)"),"LOS 3 AÑOS")</f>
        <v>LOS 3 AÑOS</v>
      </c>
      <c r="K5611" s="16" t="str">
        <f t="array" ref="K5611">IFERROR(DGET('PADD-R'!$B$1:$K5618,'PADD-R'!$K$1,{'PADD-R'!$B$1;E5611}),"NO PARTICIPÓ")</f>
        <v>SOLO 2023</v>
      </c>
      <c r="L5611" s="14" t="s">
        <v>61</v>
      </c>
      <c r="M5611" s="16" t="str">
        <f t="shared" si="1"/>
        <v>14145 SANTA JULIA BILLIART2 Primaria</v>
      </c>
      <c r="N5611" s="23"/>
      <c r="O5611" s="17"/>
      <c r="P5611" s="17"/>
      <c r="Q5611" s="17"/>
      <c r="R5611" s="17"/>
      <c r="S5611" s="17"/>
      <c r="T5611" s="17"/>
    </row>
    <row r="5612">
      <c r="A5612" s="21">
        <v>80.0</v>
      </c>
      <c r="B5612" s="20" t="s">
        <v>48</v>
      </c>
      <c r="C5612" s="14" t="str">
        <f t="shared" si="2"/>
        <v>Primaria</v>
      </c>
      <c r="D5612" s="20" t="s">
        <v>15</v>
      </c>
      <c r="E5612" s="12" t="str">
        <f>IFERROR(__xludf.DUMMYFUNCTION("FILTER(colegios!$B$2:$B5618,colegios!$A$2:$A5618=L5612)"),"14145 SANTA JULIA BILLIART")</f>
        <v>14145 SANTA JULIA BILLIART</v>
      </c>
      <c r="F5612" s="14" t="s">
        <v>16</v>
      </c>
      <c r="G5612" s="20" t="s">
        <v>17</v>
      </c>
      <c r="H5612" s="14" t="s">
        <v>24</v>
      </c>
      <c r="I5612" s="22">
        <v>2024.0</v>
      </c>
      <c r="J5612" s="16" t="str">
        <f>IFERROR(__xludf.DUMMYFUNCTION("FILTER('CLASFICACIÓN'!$F$3:$F5618,'CLASFICACIÓN'!$G$3:$G5618=M5612)"),"LOS 3 AÑOS")</f>
        <v>LOS 3 AÑOS</v>
      </c>
      <c r="K5612" s="16" t="str">
        <f t="array" ref="K5612">IFERROR(DGET('PADD-R'!$B$1:$K5618,'PADD-R'!$K$1,{'PADD-R'!$B$1;E5612}),"NO PARTICIPÓ")</f>
        <v>SOLO 2023</v>
      </c>
      <c r="L5612" s="14" t="s">
        <v>61</v>
      </c>
      <c r="M5612" s="16" t="str">
        <f t="shared" si="1"/>
        <v>14145 SANTA JULIA BILLIART2 Primaria</v>
      </c>
      <c r="N5612" s="23"/>
      <c r="O5612" s="17"/>
      <c r="P5612" s="17"/>
      <c r="Q5612" s="17"/>
      <c r="R5612" s="17"/>
      <c r="S5612" s="17"/>
      <c r="T5612" s="17"/>
    </row>
    <row r="5613">
      <c r="A5613" s="21">
        <v>81.0</v>
      </c>
      <c r="B5613" s="20" t="s">
        <v>48</v>
      </c>
      <c r="C5613" s="14" t="str">
        <f t="shared" si="2"/>
        <v>Primaria</v>
      </c>
      <c r="D5613" s="20" t="s">
        <v>15</v>
      </c>
      <c r="E5613" s="12" t="str">
        <f>IFERROR(__xludf.DUMMYFUNCTION("FILTER(colegios!$B$2:$B5618,colegios!$A$2:$A5618=L5613)"),"14145 SANTA JULIA BILLIART")</f>
        <v>14145 SANTA JULIA BILLIART</v>
      </c>
      <c r="F5613" s="14" t="s">
        <v>16</v>
      </c>
      <c r="G5613" s="20" t="s">
        <v>17</v>
      </c>
      <c r="H5613" s="14" t="s">
        <v>18</v>
      </c>
      <c r="I5613" s="22">
        <v>2024.0</v>
      </c>
      <c r="J5613" s="16" t="str">
        <f>IFERROR(__xludf.DUMMYFUNCTION("FILTER('CLASFICACIÓN'!$F$3:$F5618,'CLASFICACIÓN'!$G$3:$G5618=M5613)"),"LOS 3 AÑOS")</f>
        <v>LOS 3 AÑOS</v>
      </c>
      <c r="K5613" s="16" t="str">
        <f t="array" ref="K5613">IFERROR(DGET('PADD-R'!$B$1:$K5618,'PADD-R'!$K$1,{'PADD-R'!$B$1;E5613}),"NO PARTICIPÓ")</f>
        <v>SOLO 2023</v>
      </c>
      <c r="L5613" s="14" t="s">
        <v>61</v>
      </c>
      <c r="M5613" s="16" t="str">
        <f t="shared" si="1"/>
        <v>14145 SANTA JULIA BILLIART2 Primaria</v>
      </c>
      <c r="N5613" s="23"/>
      <c r="O5613" s="17"/>
      <c r="P5613" s="17"/>
      <c r="Q5613" s="17"/>
      <c r="R5613" s="17"/>
      <c r="S5613" s="17"/>
      <c r="T5613" s="17"/>
    </row>
    <row r="5614">
      <c r="A5614" s="21">
        <v>82.0</v>
      </c>
      <c r="B5614" s="20" t="s">
        <v>48</v>
      </c>
      <c r="C5614" s="14" t="str">
        <f t="shared" si="2"/>
        <v>Primaria</v>
      </c>
      <c r="D5614" s="20" t="s">
        <v>15</v>
      </c>
      <c r="E5614" s="12" t="str">
        <f>IFERROR(__xludf.DUMMYFUNCTION("FILTER(colegios!$B$2:$B5618,colegios!$A$2:$A5618=L5614)"),"14145 SANTA JULIA BILLIART")</f>
        <v>14145 SANTA JULIA BILLIART</v>
      </c>
      <c r="F5614" s="14" t="s">
        <v>16</v>
      </c>
      <c r="G5614" s="20" t="s">
        <v>17</v>
      </c>
      <c r="H5614" s="14" t="s">
        <v>24</v>
      </c>
      <c r="I5614" s="22">
        <v>2024.0</v>
      </c>
      <c r="J5614" s="16" t="str">
        <f>IFERROR(__xludf.DUMMYFUNCTION("FILTER('CLASFICACIÓN'!$F$3:$F5618,'CLASFICACIÓN'!$G$3:$G5618=M5614)"),"LOS 3 AÑOS")</f>
        <v>LOS 3 AÑOS</v>
      </c>
      <c r="K5614" s="16" t="str">
        <f t="array" ref="K5614">IFERROR(DGET('PADD-R'!$B$1:$K5618,'PADD-R'!$K$1,{'PADD-R'!$B$1;E5614}),"NO PARTICIPÓ")</f>
        <v>SOLO 2023</v>
      </c>
      <c r="L5614" s="14" t="s">
        <v>61</v>
      </c>
      <c r="M5614" s="16" t="str">
        <f t="shared" si="1"/>
        <v>14145 SANTA JULIA BILLIART2 Primaria</v>
      </c>
      <c r="N5614" s="23"/>
      <c r="O5614" s="17"/>
      <c r="P5614" s="17"/>
      <c r="Q5614" s="17"/>
      <c r="R5614" s="17"/>
      <c r="S5614" s="17"/>
      <c r="T5614" s="17"/>
    </row>
    <row r="5615">
      <c r="A5615" s="21">
        <v>83.0</v>
      </c>
      <c r="B5615" s="20" t="s">
        <v>48</v>
      </c>
      <c r="C5615" s="14" t="str">
        <f t="shared" si="2"/>
        <v>Primaria</v>
      </c>
      <c r="D5615" s="20" t="s">
        <v>15</v>
      </c>
      <c r="E5615" s="12" t="str">
        <f>IFERROR(__xludf.DUMMYFUNCTION("FILTER(colegios!$B$2:$B5618,colegios!$A$2:$A5618=L5615)"),"14145 SANTA JULIA BILLIART")</f>
        <v>14145 SANTA JULIA BILLIART</v>
      </c>
      <c r="F5615" s="14" t="s">
        <v>16</v>
      </c>
      <c r="G5615" s="20" t="s">
        <v>17</v>
      </c>
      <c r="H5615" s="14" t="s">
        <v>24</v>
      </c>
      <c r="I5615" s="22">
        <v>2024.0</v>
      </c>
      <c r="J5615" s="16" t="str">
        <f>IFERROR(__xludf.DUMMYFUNCTION("FILTER('CLASFICACIÓN'!$F$3:$F5618,'CLASFICACIÓN'!$G$3:$G5618=M5615)"),"LOS 3 AÑOS")</f>
        <v>LOS 3 AÑOS</v>
      </c>
      <c r="K5615" s="16" t="str">
        <f t="array" ref="K5615">IFERROR(DGET('PADD-R'!$B$1:$K5618,'PADD-R'!$K$1,{'PADD-R'!$B$1;E5615}),"NO PARTICIPÓ")</f>
        <v>SOLO 2023</v>
      </c>
      <c r="L5615" s="14" t="s">
        <v>61</v>
      </c>
      <c r="M5615" s="16" t="str">
        <f t="shared" si="1"/>
        <v>14145 SANTA JULIA BILLIART2 Primaria</v>
      </c>
      <c r="N5615" s="23"/>
      <c r="O5615" s="17"/>
      <c r="P5615" s="17"/>
      <c r="Q5615" s="17"/>
      <c r="R5615" s="17"/>
      <c r="S5615" s="17"/>
      <c r="T5615" s="17"/>
    </row>
    <row r="5616">
      <c r="A5616" s="21">
        <v>84.0</v>
      </c>
      <c r="B5616" s="20" t="s">
        <v>48</v>
      </c>
      <c r="C5616" s="14" t="str">
        <f t="shared" si="2"/>
        <v>Primaria</v>
      </c>
      <c r="D5616" s="20" t="s">
        <v>15</v>
      </c>
      <c r="E5616" s="12" t="str">
        <f>IFERROR(__xludf.DUMMYFUNCTION("FILTER(colegios!$B$2:$B5618,colegios!$A$2:$A5618=L5616)"),"14145 SANTA JULIA BILLIART")</f>
        <v>14145 SANTA JULIA BILLIART</v>
      </c>
      <c r="F5616" s="14" t="s">
        <v>16</v>
      </c>
      <c r="G5616" s="20" t="s">
        <v>21</v>
      </c>
      <c r="H5616" s="14" t="s">
        <v>24</v>
      </c>
      <c r="I5616" s="22">
        <v>2024.0</v>
      </c>
      <c r="J5616" s="16" t="str">
        <f>IFERROR(__xludf.DUMMYFUNCTION("FILTER('CLASFICACIÓN'!$F$3:$F5618,'CLASFICACIÓN'!$G$3:$G5618=M5616)"),"LOS 3 AÑOS")</f>
        <v>LOS 3 AÑOS</v>
      </c>
      <c r="K5616" s="16" t="str">
        <f t="array" ref="K5616">IFERROR(DGET('PADD-R'!$B$1:$K5618,'PADD-R'!$K$1,{'PADD-R'!$B$1;E5616}),"NO PARTICIPÓ")</f>
        <v>SOLO 2023</v>
      </c>
      <c r="L5616" s="14" t="s">
        <v>61</v>
      </c>
      <c r="M5616" s="16" t="str">
        <f t="shared" si="1"/>
        <v>14145 SANTA JULIA BILLIART2 Primaria</v>
      </c>
      <c r="N5616" s="23"/>
      <c r="O5616" s="17"/>
      <c r="P5616" s="17"/>
      <c r="Q5616" s="17"/>
      <c r="R5616" s="17"/>
      <c r="S5616" s="17"/>
      <c r="T5616" s="17"/>
    </row>
    <row r="5617">
      <c r="A5617" s="21">
        <v>85.0</v>
      </c>
      <c r="B5617" s="20" t="s">
        <v>48</v>
      </c>
      <c r="C5617" s="14" t="str">
        <f t="shared" si="2"/>
        <v>Primaria</v>
      </c>
      <c r="D5617" s="20" t="s">
        <v>15</v>
      </c>
      <c r="E5617" s="12" t="str">
        <f>IFERROR(__xludf.DUMMYFUNCTION("FILTER(colegios!$B$2:$B5618,colegios!$A$2:$A5618=L5617)"),"14145 SANTA JULIA BILLIART")</f>
        <v>14145 SANTA JULIA BILLIART</v>
      </c>
      <c r="F5617" s="14" t="s">
        <v>16</v>
      </c>
      <c r="G5617" s="20" t="s">
        <v>21</v>
      </c>
      <c r="H5617" s="14" t="s">
        <v>24</v>
      </c>
      <c r="I5617" s="22">
        <v>2024.0</v>
      </c>
      <c r="J5617" s="16" t="str">
        <f>IFERROR(__xludf.DUMMYFUNCTION("FILTER('CLASFICACIÓN'!$F$3:$F5618,'CLASFICACIÓN'!$G$3:$G5618=M5617)"),"LOS 3 AÑOS")</f>
        <v>LOS 3 AÑOS</v>
      </c>
      <c r="K5617" s="16" t="str">
        <f t="array" ref="K5617">IFERROR(DGET('PADD-R'!$B$1:$K5618,'PADD-R'!$K$1,{'PADD-R'!$B$1;E5617}),"NO PARTICIPÓ")</f>
        <v>SOLO 2023</v>
      </c>
      <c r="L5617" s="14" t="s">
        <v>61</v>
      </c>
      <c r="M5617" s="16" t="str">
        <f t="shared" si="1"/>
        <v>14145 SANTA JULIA BILLIART2 Primaria</v>
      </c>
      <c r="N5617" s="23"/>
      <c r="O5617" s="17"/>
      <c r="P5617" s="17"/>
      <c r="Q5617" s="17"/>
      <c r="R5617" s="17"/>
      <c r="S5617" s="17"/>
      <c r="T5617" s="17"/>
    </row>
    <row r="5618">
      <c r="A5618" s="21">
        <v>86.0</v>
      </c>
      <c r="B5618" s="20" t="s">
        <v>48</v>
      </c>
      <c r="C5618" s="14" t="str">
        <f t="shared" si="2"/>
        <v>Primaria</v>
      </c>
      <c r="D5618" s="20" t="s">
        <v>15</v>
      </c>
      <c r="E5618" s="12" t="str">
        <f>IFERROR(__xludf.DUMMYFUNCTION("FILTER(colegios!$B$2:$B5618,colegios!$A$2:$A5618=L5618)"),"14145 SANTA JULIA BILLIART")</f>
        <v>14145 SANTA JULIA BILLIART</v>
      </c>
      <c r="F5618" s="14" t="s">
        <v>16</v>
      </c>
      <c r="G5618" s="20" t="s">
        <v>21</v>
      </c>
      <c r="H5618" s="14" t="s">
        <v>24</v>
      </c>
      <c r="I5618" s="22">
        <v>2024.0</v>
      </c>
      <c r="J5618" s="16" t="str">
        <f>IFERROR(__xludf.DUMMYFUNCTION("FILTER('CLASFICACIÓN'!$F$3:$F5618,'CLASFICACIÓN'!$G$3:$G5618=M5618)"),"LOS 3 AÑOS")</f>
        <v>LOS 3 AÑOS</v>
      </c>
      <c r="K5618" s="16" t="str">
        <f t="array" ref="K5618">IFERROR(DGET('PADD-R'!$B$1:$K5618,'PADD-R'!$K$1,{'PADD-R'!$B$1;E5618}),"NO PARTICIPÓ")</f>
        <v>SOLO 2023</v>
      </c>
      <c r="L5618" s="14" t="s">
        <v>61</v>
      </c>
      <c r="M5618" s="16" t="str">
        <f t="shared" si="1"/>
        <v>14145 SANTA JULIA BILLIART2 Primaria</v>
      </c>
      <c r="N5618" s="23"/>
      <c r="O5618" s="17"/>
      <c r="P5618" s="17"/>
      <c r="Q5618" s="17"/>
      <c r="R5618" s="17"/>
      <c r="S5618" s="17"/>
      <c r="T5618" s="17"/>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3.25"/>
    <col customWidth="1" min="3" max="3" width="4.75"/>
    <col customWidth="1" min="4" max="4" width="33.25"/>
    <col customWidth="1" min="7" max="7" width="28.63"/>
  </cols>
  <sheetData>
    <row r="1">
      <c r="A1" s="35" t="str">
        <f>IFERROR(__xludf.DUMMYFUNCTION("IMPORTRANGE(""https://docs.google.com/spreadsheets/d/1G0lKhjdDNZcuaaQlGltXi5PoiboQrtAFuEFhYlQNIWs/edit?gid=1917248718#gid=1917248718"",""Colegios!A1:D"")"),"Institución Educativa")</f>
        <v>Institución Educativa</v>
      </c>
      <c r="B1" s="36" t="str">
        <f>IFERROR(__xludf.DUMMYFUNCTION("""COMPUTED_VALUE"""),"Nombre a reemplazar")</f>
        <v>Nombre a reemplazar</v>
      </c>
      <c r="C1" s="36" t="str">
        <f>IFERROR(__xludf.DUMMYFUNCTION("""COMPUTED_VALUE"""),"Región")</f>
        <v>Región</v>
      </c>
      <c r="D1" s="36" t="str">
        <f>IFERROR(__xludf.DUMMYFUNCTION("""COMPUTED_VALUE"""),"Año")</f>
        <v>Año</v>
      </c>
      <c r="G1" s="17"/>
    </row>
    <row r="2">
      <c r="A2" s="17" t="str">
        <f>IFERROR(__xludf.DUMMYFUNCTION("""COMPUTED_VALUE"""),"Accocunca")</f>
        <v>Accocunca</v>
      </c>
      <c r="B2" s="17" t="str">
        <f>IFERROR(__xludf.DUMMYFUNCTION("""COMPUTED_VALUE"""),"50547")</f>
        <v>50547</v>
      </c>
      <c r="C2" s="37"/>
      <c r="D2" s="37"/>
      <c r="G2" s="17"/>
    </row>
    <row r="3">
      <c r="A3" s="17" t="str">
        <f>IFERROR(__xludf.DUMMYFUNCTION("""COMPUTED_VALUE"""),"Andamayo")</f>
        <v>Andamayo</v>
      </c>
      <c r="B3" s="17" t="str">
        <f>IFERROR(__xludf.DUMMYFUNCTION("""COMPUTED_VALUE"""),"50977")</f>
        <v>50977</v>
      </c>
      <c r="C3" s="37"/>
      <c r="D3" s="37"/>
      <c r="G3" s="17"/>
    </row>
    <row r="4">
      <c r="A4" s="17" t="str">
        <f>IFERROR(__xludf.DUMMYFUNCTION("""COMPUTED_VALUE"""),"Ccapana")</f>
        <v>Ccapana</v>
      </c>
      <c r="B4" s="17" t="str">
        <f>IFERROR(__xludf.DUMMYFUNCTION("""COMPUTED_VALUE"""),"50495")</f>
        <v>50495</v>
      </c>
      <c r="C4" s="37"/>
      <c r="D4" s="37"/>
      <c r="G4" s="17"/>
    </row>
    <row r="5">
      <c r="A5" s="17" t="str">
        <f>IFERROR(__xludf.DUMMYFUNCTION("""COMPUTED_VALUE"""),"Cristo Rey")</f>
        <v>Cristo Rey</v>
      </c>
      <c r="B5" s="17" t="str">
        <f>IFERROR(__xludf.DUMMYFUNCTION("""COMPUTED_VALUE"""),"501455 CRISTO REY TTIKARIY")</f>
        <v>501455 CRISTO REY TTIKARIY</v>
      </c>
      <c r="C5" s="37"/>
      <c r="D5" s="37"/>
      <c r="G5" s="17"/>
    </row>
    <row r="6">
      <c r="A6" s="17" t="str">
        <f>IFERROR(__xludf.DUMMYFUNCTION("""COMPUTED_VALUE"""),"Kumuncancha")</f>
        <v>Kumuncancha</v>
      </c>
      <c r="B6" s="17" t="str">
        <f>IFERROR(__xludf.DUMMYFUNCTION("""COMPUTED_VALUE"""),"501432 PAPA FRANCISCO I")</f>
        <v>501432 PAPA FRANCISCO I</v>
      </c>
      <c r="C6" s="37"/>
      <c r="D6" s="37"/>
      <c r="G6" s="17"/>
    </row>
    <row r="7">
      <c r="A7" s="17" t="str">
        <f>IFERROR(__xludf.DUMMYFUNCTION("""COMPUTED_VALUE"""),"Llachi")</f>
        <v>Llachi</v>
      </c>
      <c r="B7" s="17" t="str">
        <f>IFERROR(__xludf.DUMMYFUNCTION("""COMPUTED_VALUE"""),"50715")</f>
        <v>50715</v>
      </c>
      <c r="C7" s="37"/>
      <c r="D7" s="37"/>
      <c r="G7" s="17"/>
    </row>
    <row r="8">
      <c r="A8" s="17" t="str">
        <f>IFERROR(__xludf.DUMMYFUNCTION("""COMPUTED_VALUE"""),"Marampaqui")</f>
        <v>Marampaqui</v>
      </c>
      <c r="B8" s="17" t="str">
        <f>IFERROR(__xludf.DUMMYFUNCTION("""COMPUTED_VALUE"""),"50553")</f>
        <v>50553</v>
      </c>
      <c r="C8" s="37"/>
      <c r="D8" s="37"/>
      <c r="G8" s="17"/>
    </row>
    <row r="9">
      <c r="A9" s="17" t="str">
        <f>IFERROR(__xludf.DUMMYFUNCTION("""COMPUTED_VALUE"""),"Ocongate")</f>
        <v>Ocongate</v>
      </c>
      <c r="B9" s="17" t="str">
        <f>IFERROR(__xludf.DUMMYFUNCTION("""COMPUTED_VALUE"""),"50492 CORAZON DE JESUS")</f>
        <v>50492 CORAZON DE JESUS</v>
      </c>
      <c r="C9" s="37"/>
      <c r="D9" s="37"/>
      <c r="G9" s="17"/>
    </row>
    <row r="10">
      <c r="A10" s="17" t="str">
        <f>IFERROR(__xludf.DUMMYFUNCTION("""COMPUTED_VALUE"""),"Pampacancha")</f>
        <v>Pampacancha</v>
      </c>
      <c r="B10" s="17" t="str">
        <f>IFERROR(__xludf.DUMMYFUNCTION("""COMPUTED_VALUE"""),"50550")</f>
        <v>50550</v>
      </c>
      <c r="C10" s="37"/>
      <c r="D10" s="37"/>
      <c r="G10" s="17"/>
    </row>
    <row r="11">
      <c r="A11" s="17" t="str">
        <f>IFERROR(__xludf.DUMMYFUNCTION("""COMPUTED_VALUE"""),"Sallicancha")</f>
        <v>Sallicancha</v>
      </c>
      <c r="B11" s="17" t="str">
        <f>IFERROR(__xludf.DUMMYFUNCTION("""COMPUTED_VALUE"""),"50765")</f>
        <v>50765</v>
      </c>
      <c r="C11" s="37"/>
      <c r="D11" s="37"/>
      <c r="G11" s="17"/>
    </row>
    <row r="12">
      <c r="A12" s="17" t="str">
        <f>IFERROR(__xludf.DUMMYFUNCTION("""COMPUTED_VALUE"""),"Yanacancha")</f>
        <v>Yanacancha</v>
      </c>
      <c r="B12" s="17" t="str">
        <f>IFERROR(__xludf.DUMMYFUNCTION("""COMPUTED_VALUE"""),"50696 YANACANCHA")</f>
        <v>50696 YANACANCHA</v>
      </c>
      <c r="C12" s="37"/>
      <c r="D12" s="37"/>
      <c r="G12" s="17"/>
    </row>
    <row r="13">
      <c r="A13" s="17" t="str">
        <f>IFERROR(__xludf.DUMMYFUNCTION("""COMPUTED_VALUE"""),"50492- CORAZON DE JESUS OCONGATE")</f>
        <v>50492- CORAZON DE JESUS OCONGATE</v>
      </c>
      <c r="B13" s="17" t="str">
        <f>IFERROR(__xludf.DUMMYFUNCTION("""COMPUTED_VALUE"""),"50492 CORAZON DE JESUS")</f>
        <v>50492 CORAZON DE JESUS</v>
      </c>
      <c r="C13" s="37"/>
      <c r="D13" s="37"/>
      <c r="G13" s="17"/>
    </row>
    <row r="14">
      <c r="A14" s="17" t="str">
        <f>IFERROR(__xludf.DUMMYFUNCTION("""COMPUTED_VALUE"""),"50495 CCAPANA")</f>
        <v>50495 CCAPANA</v>
      </c>
      <c r="B14" s="17" t="str">
        <f>IFERROR(__xludf.DUMMYFUNCTION("""COMPUTED_VALUE"""),"50495")</f>
        <v>50495</v>
      </c>
      <c r="C14" s="37"/>
      <c r="D14" s="37"/>
      <c r="G14" s="17"/>
    </row>
    <row r="15">
      <c r="A15" s="17" t="str">
        <f>IFERROR(__xludf.DUMMYFUNCTION("""COMPUTED_VALUE"""),"50547 Accocunca")</f>
        <v>50547 Accocunca</v>
      </c>
      <c r="B15" s="17" t="str">
        <f>IFERROR(__xludf.DUMMYFUNCTION("""COMPUTED_VALUE"""),"50547")</f>
        <v>50547</v>
      </c>
      <c r="C15" s="37"/>
      <c r="D15" s="37"/>
      <c r="G15" s="17"/>
    </row>
    <row r="16">
      <c r="A16" s="17" t="str">
        <f>IFERROR(__xludf.DUMMYFUNCTION("""COMPUTED_VALUE"""),"50550 PAMPACANCHA")</f>
        <v>50550 PAMPACANCHA</v>
      </c>
      <c r="B16" s="17" t="str">
        <f>IFERROR(__xludf.DUMMYFUNCTION("""COMPUTED_VALUE"""),"50550")</f>
        <v>50550</v>
      </c>
      <c r="C16" s="37"/>
      <c r="D16" s="37"/>
      <c r="G16" s="17"/>
    </row>
    <row r="17">
      <c r="A17" s="17" t="str">
        <f>IFERROR(__xludf.DUMMYFUNCTION("""COMPUTED_VALUE"""),"50552 ""TÚPAC AMARU II"" - HUACATINCO")</f>
        <v>50552 "TÚPAC AMARU II" - HUACATINCO</v>
      </c>
      <c r="B17" s="17" t="str">
        <f>IFERROR(__xludf.DUMMYFUNCTION("""COMPUTED_VALUE"""),"50552 TUPAC AMARU II")</f>
        <v>50552 TUPAC AMARU II</v>
      </c>
      <c r="C17" s="37"/>
      <c r="D17" s="37"/>
      <c r="G17" s="17"/>
    </row>
    <row r="18">
      <c r="A18" s="17" t="str">
        <f>IFERROR(__xludf.DUMMYFUNCTION("""COMPUTED_VALUE"""),"50553 MARAMPAQUI")</f>
        <v>50553 MARAMPAQUI</v>
      </c>
      <c r="B18" s="17" t="str">
        <f>IFERROR(__xludf.DUMMYFUNCTION("""COMPUTED_VALUE"""),"50553")</f>
        <v>50553</v>
      </c>
      <c r="C18" s="37"/>
      <c r="D18" s="37"/>
      <c r="G18" s="17"/>
    </row>
    <row r="19">
      <c r="A19" s="17" t="str">
        <f>IFERROR(__xludf.DUMMYFUNCTION("""COMPUTED_VALUE"""),"50558 PARCCOCALLA")</f>
        <v>50558 PARCCOCALLA</v>
      </c>
      <c r="B19" s="17" t="str">
        <f>IFERROR(__xludf.DUMMYFUNCTION("""COMPUTED_VALUE"""),"50558")</f>
        <v>50558</v>
      </c>
      <c r="C19" s="37"/>
      <c r="D19" s="37"/>
      <c r="G19" s="17"/>
    </row>
    <row r="20">
      <c r="A20" s="17" t="str">
        <f>IFERROR(__xludf.DUMMYFUNCTION("""COMPUTED_VALUE"""),"50715 - Llachi")</f>
        <v>50715 - Llachi</v>
      </c>
      <c r="B20" s="17" t="str">
        <f>IFERROR(__xludf.DUMMYFUNCTION("""COMPUTED_VALUE"""),"50715")</f>
        <v>50715</v>
      </c>
      <c r="C20" s="37"/>
      <c r="D20" s="37"/>
      <c r="G20" s="17"/>
    </row>
    <row r="21">
      <c r="A21" s="17" t="str">
        <f>IFERROR(__xludf.DUMMYFUNCTION("""COMPUTED_VALUE"""),"50719- VIRGEN DEL CARMEN TINKE")</f>
        <v>50719- VIRGEN DEL CARMEN TINKE</v>
      </c>
      <c r="B21" s="17" t="str">
        <f>IFERROR(__xludf.DUMMYFUNCTION("""COMPUTED_VALUE"""),"50719 VIRGEN DEL CARMEN")</f>
        <v>50719 VIRGEN DEL CARMEN</v>
      </c>
      <c r="C21" s="37"/>
      <c r="D21" s="37"/>
      <c r="G21" s="17"/>
    </row>
    <row r="22">
      <c r="A22" s="17" t="str">
        <f>IFERROR(__xludf.DUMMYFUNCTION("""COMPUTED_VALUE"""),"50765 - SALLICANCHA")</f>
        <v>50765 - SALLICANCHA</v>
      </c>
      <c r="B22" s="17" t="str">
        <f>IFERROR(__xludf.DUMMYFUNCTION("""COMPUTED_VALUE"""),"50765")</f>
        <v>50765</v>
      </c>
      <c r="C22" s="37"/>
      <c r="D22" s="37"/>
      <c r="G22" s="17"/>
    </row>
    <row r="23">
      <c r="A23" s="17" t="str">
        <f>IFERROR(__xludf.DUMMYFUNCTION("""COMPUTED_VALUE"""),"50696 YANACANCHA")</f>
        <v>50696 YANACANCHA</v>
      </c>
      <c r="B23" s="17" t="str">
        <f>IFERROR(__xludf.DUMMYFUNCTION("""COMPUTED_VALUE"""),"50696 YANACANCHA")</f>
        <v>50696 YANACANCHA</v>
      </c>
      <c r="C23" s="37"/>
      <c r="D23" s="37"/>
      <c r="G23" s="17"/>
    </row>
    <row r="24">
      <c r="A24" s="17" t="str">
        <f>IFERROR(__xludf.DUMMYFUNCTION("""COMPUTED_VALUE"""),"50854 de PATAPALLAPA ALTA")</f>
        <v>50854 de PATAPALLAPA ALTA</v>
      </c>
      <c r="B24" s="17" t="str">
        <f>IFERROR(__xludf.DUMMYFUNCTION("""COMPUTED_VALUE"""),"50854")</f>
        <v>50854</v>
      </c>
      <c r="C24" s="37"/>
      <c r="D24" s="37"/>
      <c r="G24" s="17"/>
    </row>
    <row r="25">
      <c r="A25" s="17" t="str">
        <f>IFERROR(__xludf.DUMMYFUNCTION("""COMPUTED_VALUE"""),"50977 Andamayo")</f>
        <v>50977 Andamayo</v>
      </c>
      <c r="B25" s="17" t="str">
        <f>IFERROR(__xludf.DUMMYFUNCTION("""COMPUTED_VALUE"""),"50977")</f>
        <v>50977</v>
      </c>
      <c r="C25" s="37"/>
      <c r="D25" s="37"/>
      <c r="G25" s="17"/>
    </row>
    <row r="26">
      <c r="A26" s="17" t="str">
        <f>IFERROR(__xludf.DUMMYFUNCTION("""COMPUTED_VALUE"""),"501344 - CCASAPATA")</f>
        <v>501344 - CCASAPATA</v>
      </c>
      <c r="B26" s="17" t="str">
        <f>IFERROR(__xludf.DUMMYFUNCTION("""COMPUTED_VALUE"""),"501344")</f>
        <v>501344</v>
      </c>
      <c r="C26" s="37"/>
      <c r="D26" s="37"/>
      <c r="G26" s="17"/>
    </row>
    <row r="27">
      <c r="A27" s="17" t="str">
        <f>IFERROR(__xludf.DUMMYFUNCTION("""COMPUTED_VALUE"""),"501344- CCASAPATA")</f>
        <v>501344- CCASAPATA</v>
      </c>
      <c r="B27" s="17" t="str">
        <f>IFERROR(__xludf.DUMMYFUNCTION("""COMPUTED_VALUE"""),"501344")</f>
        <v>501344</v>
      </c>
      <c r="C27" s="37"/>
      <c r="D27" s="37"/>
      <c r="G27" s="17"/>
    </row>
    <row r="28">
      <c r="A28" s="17" t="str">
        <f>IFERROR(__xludf.DUMMYFUNCTION("""COMPUTED_VALUE"""),"501432 - Kumuncancha")</f>
        <v>501432 - Kumuncancha</v>
      </c>
      <c r="B28" s="17" t="str">
        <f>IFERROR(__xludf.DUMMYFUNCTION("""COMPUTED_VALUE"""),"501432 PAPA FRANCISCO I")</f>
        <v>501432 PAPA FRANCISCO I</v>
      </c>
      <c r="C28" s="37"/>
      <c r="D28" s="37"/>
      <c r="G28" s="17"/>
    </row>
    <row r="29">
      <c r="A29" s="17" t="str">
        <f>IFERROR(__xludf.DUMMYFUNCTION("""COMPUTED_VALUE"""),"501455 - CRISTO REY TIKARIY")</f>
        <v>501455 - CRISTO REY TIKARIY</v>
      </c>
      <c r="B29" s="17" t="str">
        <f>IFERROR(__xludf.DUMMYFUNCTION("""COMPUTED_VALUE"""),"501455 CRISTO REY TTIKARIY")</f>
        <v>501455 CRISTO REY TTIKARIY</v>
      </c>
      <c r="C29" s="37"/>
      <c r="D29" s="37"/>
      <c r="G29" s="17"/>
    </row>
    <row r="30">
      <c r="A30" s="17" t="str">
        <f>IFERROR(__xludf.DUMMYFUNCTION("""COMPUTED_VALUE"""),"Papa Francisco I")</f>
        <v>Papa Francisco I</v>
      </c>
      <c r="B30" s="17" t="str">
        <f>IFERROR(__xludf.DUMMYFUNCTION("""COMPUTED_VALUE"""),"501432 PAPA FRANCISCO I")</f>
        <v>501432 PAPA FRANCISCO I</v>
      </c>
      <c r="C30" s="37"/>
      <c r="D30" s="37"/>
      <c r="G30" s="17"/>
    </row>
    <row r="31">
      <c r="A31" s="17" t="str">
        <f>IFERROR(__xludf.DUMMYFUNCTION("""COMPUTED_VALUE"""),"601448")</f>
        <v>601448</v>
      </c>
      <c r="B31" s="17" t="str">
        <f>IFERROR(__xludf.DUMMYFUNCTION("""COMPUTED_VALUE"""),"601448")</f>
        <v>601448</v>
      </c>
      <c r="C31" s="37"/>
      <c r="D31" s="37"/>
      <c r="G31" s="17"/>
    </row>
    <row r="32">
      <c r="A32" s="17" t="str">
        <f>IFERROR(__xludf.DUMMYFUNCTION("""COMPUTED_VALUE"""),"601148")</f>
        <v>601148</v>
      </c>
      <c r="B32" s="17" t="str">
        <f>IFERROR(__xludf.DUMMYFUNCTION("""COMPUTED_VALUE"""),"601448")</f>
        <v>601448</v>
      </c>
      <c r="C32" s="37"/>
      <c r="D32" s="37"/>
      <c r="G32" s="17"/>
    </row>
    <row r="33">
      <c r="A33" s="17" t="str">
        <f>IFERROR(__xludf.DUMMYFUNCTION("""COMPUTED_VALUE"""),"601614")</f>
        <v>601614</v>
      </c>
      <c r="B33" s="17" t="str">
        <f>IFERROR(__xludf.DUMMYFUNCTION("""COMPUTED_VALUE"""),"601614")</f>
        <v>601614</v>
      </c>
      <c r="C33" s="37"/>
      <c r="D33" s="37"/>
      <c r="G33" s="17"/>
    </row>
    <row r="34">
      <c r="A34" s="17" t="str">
        <f>IFERROR(__xludf.DUMMYFUNCTION("""COMPUTED_VALUE"""),"EL MILAGRO")</f>
        <v>EL MILAGRO</v>
      </c>
      <c r="B34" s="17" t="str">
        <f>IFERROR(__xludf.DUMMYFUNCTION("""COMPUTED_VALUE"""),"EL MILAGRO")</f>
        <v>EL MILAGRO</v>
      </c>
      <c r="C34" s="37"/>
      <c r="D34" s="37"/>
      <c r="G34" s="17"/>
    </row>
    <row r="35">
      <c r="A35" s="17" t="str">
        <f>IFERROR(__xludf.DUMMYFUNCTION("""COMPUTED_VALUE"""),"EL MILAGRO ")</f>
        <v>EL MILAGRO </v>
      </c>
      <c r="B35" s="17" t="str">
        <f>IFERROR(__xludf.DUMMYFUNCTION("""COMPUTED_VALUE"""),"EL MILAGRO")</f>
        <v>EL MILAGRO</v>
      </c>
      <c r="C35" s="37"/>
      <c r="D35" s="37"/>
      <c r="G35" s="17"/>
    </row>
    <row r="36">
      <c r="A36" s="17" t="str">
        <f>IFERROR(__xludf.DUMMYFUNCTION("""COMPUTED_VALUE"""),"601514")</f>
        <v>601514</v>
      </c>
      <c r="B36" s="17" t="str">
        <f>IFERROR(__xludf.DUMMYFUNCTION("""COMPUTED_VALUE"""),"601514")</f>
        <v>601514</v>
      </c>
      <c r="C36" s="37"/>
      <c r="D36" s="37"/>
      <c r="G36" s="17"/>
    </row>
    <row r="37">
      <c r="A37" s="17" t="str">
        <f>IFERROR(__xludf.DUMMYFUNCTION("""COMPUTED_VALUE"""),"601331")</f>
        <v>601331</v>
      </c>
      <c r="B37" s="17" t="str">
        <f>IFERROR(__xludf.DUMMYFUNCTION("""COMPUTED_VALUE"""),"601331")</f>
        <v>601331</v>
      </c>
      <c r="C37" s="37"/>
      <c r="D37" s="37"/>
      <c r="G37" s="17"/>
    </row>
    <row r="38">
      <c r="A38" s="17" t="str">
        <f>IFERROR(__xludf.DUMMYFUNCTION("""COMPUTED_VALUE"""),"6010230")</f>
        <v>6010230</v>
      </c>
      <c r="B38" s="17" t="str">
        <f>IFERROR(__xludf.DUMMYFUNCTION("""COMPUTED_VALUE"""),"6010230 BARBARA D'ACHILLE")</f>
        <v>6010230 BARBARA D'ACHILLE</v>
      </c>
      <c r="C38" s="37"/>
      <c r="D38" s="37"/>
      <c r="G38" s="17"/>
    </row>
    <row r="39">
      <c r="A39" s="17" t="str">
        <f>IFERROR(__xludf.DUMMYFUNCTION("""COMPUTED_VALUE"""),"60133")</f>
        <v>60133</v>
      </c>
      <c r="B39" s="17" t="str">
        <f>IFERROR(__xludf.DUMMYFUNCTION("""COMPUTED_VALUE"""),"60133")</f>
        <v>60133</v>
      </c>
      <c r="C39" s="37"/>
      <c r="D39" s="37"/>
      <c r="G39" s="17"/>
    </row>
    <row r="40">
      <c r="A40" s="17" t="str">
        <f>IFERROR(__xludf.DUMMYFUNCTION("""COMPUTED_VALUE"""),"60136 MORALILLO")</f>
        <v>60136 MORALILLO</v>
      </c>
      <c r="B40" s="17" t="str">
        <f>IFERROR(__xludf.DUMMYFUNCTION("""COMPUTED_VALUE"""),"60136")</f>
        <v>60136</v>
      </c>
      <c r="C40" s="37"/>
      <c r="D40" s="37"/>
      <c r="G40" s="17"/>
    </row>
    <row r="41">
      <c r="A41" s="17" t="str">
        <f>IFERROR(__xludf.DUMMYFUNCTION("""COMPUTED_VALUE"""),"6010102 VILLA BUEN PASTOR")</f>
        <v>6010102 VILLA BUEN PASTOR</v>
      </c>
      <c r="B41" s="17" t="str">
        <f>IFERROR(__xludf.DUMMYFUNCTION("""COMPUTED_VALUE"""),"6010102")</f>
        <v>6010102</v>
      </c>
      <c r="C41" s="37"/>
      <c r="D41" s="37"/>
      <c r="G41" s="17"/>
    </row>
    <row r="42">
      <c r="A42" s="17" t="str">
        <f>IFERROR(__xludf.DUMMYFUNCTION("""COMPUTED_VALUE"""),"601448 NUEVO MILAGRO")</f>
        <v>601448 NUEVO MILAGRO</v>
      </c>
      <c r="B42" s="17" t="str">
        <f>IFERROR(__xludf.DUMMYFUNCTION("""COMPUTED_VALUE"""),"601448")</f>
        <v>601448</v>
      </c>
      <c r="C42" s="37"/>
      <c r="D42" s="37"/>
      <c r="G42" s="17"/>
    </row>
    <row r="43">
      <c r="A43" s="17" t="str">
        <f>IFERROR(__xludf.DUMMYFUNCTION("""COMPUTED_VALUE"""),"601614 NUEVA ESPERANZA")</f>
        <v>601614 NUEVA ESPERANZA</v>
      </c>
      <c r="B43" s="17" t="str">
        <f>IFERROR(__xludf.DUMMYFUNCTION("""COMPUTED_VALUE"""),"601614")</f>
        <v>601614</v>
      </c>
      <c r="C43" s="37"/>
      <c r="D43" s="37"/>
      <c r="G43" s="17"/>
    </row>
    <row r="44">
      <c r="A44" s="17" t="str">
        <f>IFERROR(__xludf.DUMMYFUNCTION("""COMPUTED_VALUE"""),"6010178 BELEN DE JUDA")</f>
        <v>6010178 BELEN DE JUDA</v>
      </c>
      <c r="B44" s="17" t="str">
        <f>IFERROR(__xludf.DUMMYFUNCTION("""COMPUTED_VALUE"""),"6010178")</f>
        <v>6010178</v>
      </c>
      <c r="C44" s="37"/>
      <c r="D44" s="37"/>
      <c r="G44" s="17"/>
    </row>
    <row r="45">
      <c r="A45" s="17" t="str">
        <f>IFERROR(__xludf.DUMMYFUNCTION("""COMPUTED_VALUE"""),"601514 DORADO")</f>
        <v>601514 DORADO</v>
      </c>
      <c r="B45" s="17" t="str">
        <f>IFERROR(__xludf.DUMMYFUNCTION("""COMPUTED_VALUE"""),"601514")</f>
        <v>601514</v>
      </c>
      <c r="C45" s="37"/>
      <c r="D45" s="37"/>
      <c r="G45" s="17"/>
    </row>
    <row r="46">
      <c r="A46" s="17" t="str">
        <f>IFERROR(__xludf.DUMMYFUNCTION("""COMPUTED_VALUE"""),"601514  DORADO")</f>
        <v>601514  DORADO</v>
      </c>
      <c r="B46" s="17" t="str">
        <f>IFERROR(__xludf.DUMMYFUNCTION("""COMPUTED_VALUE"""),"601514")</f>
        <v>601514</v>
      </c>
      <c r="C46" s="37"/>
      <c r="D46" s="37"/>
      <c r="G46" s="17"/>
    </row>
    <row r="47">
      <c r="A47" s="17" t="str">
        <f>IFERROR(__xludf.DUMMYFUNCTION("""COMPUTED_VALUE"""),"601331 TRECE DE FEBRERO")</f>
        <v>601331 TRECE DE FEBRERO</v>
      </c>
      <c r="B47" s="17" t="str">
        <f>IFERROR(__xludf.DUMMYFUNCTION("""COMPUTED_VALUE"""),"601331")</f>
        <v>601331</v>
      </c>
      <c r="C47" s="37"/>
      <c r="D47" s="37"/>
      <c r="G47" s="17"/>
    </row>
    <row r="48">
      <c r="A48" s="17" t="str">
        <f>IFERROR(__xludf.DUMMYFUNCTION("""COMPUTED_VALUE"""),"601391 PAUJIL II ZONA")</f>
        <v>601391 PAUJIL II ZONA</v>
      </c>
      <c r="B48" s="17" t="str">
        <f>IFERROR(__xludf.DUMMYFUNCTION("""COMPUTED_VALUE"""),"601391")</f>
        <v>601391</v>
      </c>
      <c r="C48" s="37"/>
      <c r="D48" s="37"/>
      <c r="G48" s="17"/>
    </row>
    <row r="49">
      <c r="A49" s="17" t="str">
        <f>IFERROR(__xludf.DUMMYFUNCTION("""COMPUTED_VALUE"""),"601570 ANGEL CARDENAS I")</f>
        <v>601570 ANGEL CARDENAS I</v>
      </c>
      <c r="B49" s="17" t="str">
        <f>IFERROR(__xludf.DUMMYFUNCTION("""COMPUTED_VALUE"""),"601570")</f>
        <v>601570</v>
      </c>
      <c r="C49" s="37"/>
      <c r="D49" s="37"/>
      <c r="G49" s="17"/>
    </row>
    <row r="50">
      <c r="A50" s="17" t="str">
        <f>IFERROR(__xludf.DUMMYFUNCTION("""COMPUTED_VALUE"""),"601678 ANGEL CARDENAS II")</f>
        <v>601678 ANGEL CARDENAS II</v>
      </c>
      <c r="B50" s="17" t="str">
        <f>IFERROR(__xludf.DUMMYFUNCTION("""COMPUTED_VALUE"""),"601678")</f>
        <v>601678</v>
      </c>
      <c r="C50" s="37"/>
      <c r="D50" s="37"/>
      <c r="G50" s="17"/>
    </row>
    <row r="51">
      <c r="A51" s="17" t="str">
        <f>IFERROR(__xludf.DUMMYFUNCTION("""COMPUTED_VALUE"""),"6010230 NUEVO HORIZONTE")</f>
        <v>6010230 NUEVO HORIZONTE</v>
      </c>
      <c r="B51" s="17" t="str">
        <f>IFERROR(__xludf.DUMMYFUNCTION("""COMPUTED_VALUE"""),"6010230 BARBARA D'ACHILLE")</f>
        <v>6010230 BARBARA D'ACHILLE</v>
      </c>
      <c r="C51" s="37"/>
      <c r="D51" s="37"/>
      <c r="G51" s="17"/>
    </row>
    <row r="52">
      <c r="A52" s="17" t="str">
        <f>IFERROR(__xludf.DUMMYFUNCTION("""COMPUTED_VALUE"""),"60181 SAN PEDRO DE PINTUYACU")</f>
        <v>60181 SAN PEDRO DE PINTUYACU</v>
      </c>
      <c r="B52" s="17" t="str">
        <f>IFERROR(__xludf.DUMMYFUNCTION("""COMPUTED_VALUE"""),"60181")</f>
        <v>60181</v>
      </c>
      <c r="C52" s="37"/>
      <c r="D52" s="37"/>
      <c r="G52" s="17"/>
    </row>
    <row r="53">
      <c r="A53" s="17" t="str">
        <f>IFERROR(__xludf.DUMMYFUNCTION("""COMPUTED_VALUE"""),"6010231 EX PETROLEROS I")</f>
        <v>6010231 EX PETROLEROS I</v>
      </c>
      <c r="B53" s="17" t="str">
        <f>IFERROR(__xludf.DUMMYFUNCTION("""COMPUTED_VALUE"""),"6010231")</f>
        <v>6010231</v>
      </c>
      <c r="C53" s="37"/>
      <c r="D53" s="37"/>
      <c r="G53" s="17"/>
    </row>
    <row r="54">
      <c r="A54" s="17" t="str">
        <f>IFERROR(__xludf.DUMMYFUNCTION("""COMPUTED_VALUE"""),"601511 10 DE OCTUBRE I")</f>
        <v>601511 10 DE OCTUBRE I</v>
      </c>
      <c r="B54" s="17" t="str">
        <f>IFERROR(__xludf.DUMMYFUNCTION("""COMPUTED_VALUE"""),"601511")</f>
        <v>601511</v>
      </c>
      <c r="C54" s="37"/>
      <c r="D54" s="37"/>
      <c r="G54" s="17"/>
    </row>
    <row r="55">
      <c r="A55" s="17" t="str">
        <f>IFERROR(__xludf.DUMMYFUNCTION("""COMPUTED_VALUE"""),"601580 10 DE OCTUBRE II")</f>
        <v>601580 10 DE OCTUBRE II</v>
      </c>
      <c r="B55" s="17" t="str">
        <f>IFERROR(__xludf.DUMMYFUNCTION("""COMPUTED_VALUE"""),"601580")</f>
        <v>601580</v>
      </c>
      <c r="C55" s="37"/>
      <c r="D55" s="37"/>
      <c r="G55" s="17"/>
    </row>
    <row r="56">
      <c r="A56" s="17" t="str">
        <f>IFERROR(__xludf.DUMMYFUNCTION("""COMPUTED_VALUE"""),"601444 TRIUNFO")</f>
        <v>601444 TRIUNFO</v>
      </c>
      <c r="B56" s="17" t="str">
        <f>IFERROR(__xludf.DUMMYFUNCTION("""COMPUTED_VALUE"""),"601444")</f>
        <v>601444</v>
      </c>
      <c r="C56" s="37"/>
      <c r="D56" s="37"/>
      <c r="G56" s="17"/>
    </row>
    <row r="57">
      <c r="A57" s="17" t="str">
        <f>IFERROR(__xludf.DUMMYFUNCTION("""COMPUTED_VALUE"""),"601571 HUAMBE")</f>
        <v>601571 HUAMBE</v>
      </c>
      <c r="B57" s="17" t="str">
        <f>IFERROR(__xludf.DUMMYFUNCTION("""COMPUTED_VALUE"""),"601571")</f>
        <v>601571</v>
      </c>
      <c r="C57" s="37"/>
      <c r="D57" s="37"/>
      <c r="G57" s="17"/>
    </row>
    <row r="58">
      <c r="A58" s="17" t="str">
        <f>IFERROR(__xludf.DUMMYFUNCTION("""COMPUTED_VALUE"""),"601563 LA HABANA")</f>
        <v>601563 LA HABANA</v>
      </c>
      <c r="B58" s="17" t="str">
        <f>IFERROR(__xludf.DUMMYFUNCTION("""COMPUTED_VALUE"""),"601563")</f>
        <v>601563</v>
      </c>
      <c r="C58" s="37"/>
      <c r="D58" s="37"/>
      <c r="G58" s="17"/>
    </row>
    <row r="59">
      <c r="A59" s="17" t="str">
        <f>IFERROR(__xludf.DUMMYFUNCTION("""COMPUTED_VALUE"""),"60133 CAHUIDE")</f>
        <v>60133 CAHUIDE</v>
      </c>
      <c r="B59" s="17" t="str">
        <f>IFERROR(__xludf.DUMMYFUNCTION("""COMPUTED_VALUE"""),"60133")</f>
        <v>60133</v>
      </c>
      <c r="C59" s="37"/>
      <c r="D59" s="37"/>
      <c r="G59" s="17"/>
    </row>
    <row r="60">
      <c r="A60" s="17" t="str">
        <f>IFERROR(__xludf.DUMMYFUNCTION("""COMPUTED_VALUE"""),"6013")</f>
        <v>6013</v>
      </c>
      <c r="B60" s="17" t="str">
        <f>IFERROR(__xludf.DUMMYFUNCTION("""COMPUTED_VALUE"""),"60133")</f>
        <v>60133</v>
      </c>
      <c r="C60" s="37"/>
      <c r="D60" s="37"/>
      <c r="G60" s="38"/>
    </row>
    <row r="61">
      <c r="A61" s="17" t="str">
        <f>IFERROR(__xludf.DUMMYFUNCTION("""COMPUTED_VALUE"""),"14975 El Carbon")</f>
        <v>14975 El Carbon</v>
      </c>
      <c r="B61" s="17" t="str">
        <f>IFERROR(__xludf.DUMMYFUNCTION("""COMPUTED_VALUE"""),"14975")</f>
        <v>14975</v>
      </c>
      <c r="C61" s="37"/>
      <c r="D61" s="37"/>
      <c r="G61" s="38"/>
    </row>
    <row r="62">
      <c r="A62" s="17" t="str">
        <f>IFERROR(__xludf.DUMMYFUNCTION("""COMPUTED_VALUE"""),"15219 Tinajones")</f>
        <v>15219 Tinajones</v>
      </c>
      <c r="B62" s="17" t="str">
        <f>IFERROR(__xludf.DUMMYFUNCTION("""COMPUTED_VALUE"""),"15219")</f>
        <v>15219</v>
      </c>
      <c r="C62" s="37"/>
      <c r="D62" s="37"/>
      <c r="G62" s="38"/>
    </row>
    <row r="63">
      <c r="A63" s="17" t="str">
        <f>IFERROR(__xludf.DUMMYFUNCTION("""COMPUTED_VALUE"""),"15478 Cerro de Leones")</f>
        <v>15478 Cerro de Leones</v>
      </c>
      <c r="B63" s="17" t="str">
        <f>IFERROR(__xludf.DUMMYFUNCTION("""COMPUTED_VALUE"""),"15478")</f>
        <v>15478</v>
      </c>
      <c r="C63" s="37"/>
      <c r="D63" s="37"/>
      <c r="G63" s="38"/>
    </row>
    <row r="64">
      <c r="A64" s="17" t="str">
        <f>IFERROR(__xludf.DUMMYFUNCTION("""COMPUTED_VALUE"""),"15383 Totoral Bajo")</f>
        <v>15383 Totoral Bajo</v>
      </c>
      <c r="B64" s="17" t="str">
        <f>IFERROR(__xludf.DUMMYFUNCTION("""COMPUTED_VALUE"""),"15383")</f>
        <v>15383</v>
      </c>
      <c r="C64" s="37"/>
      <c r="D64" s="37"/>
      <c r="G64" s="38"/>
    </row>
    <row r="65">
      <c r="A65" s="17" t="str">
        <f>IFERROR(__xludf.DUMMYFUNCTION("""COMPUTED_VALUE"""),"14045 Miraflores Bajo")</f>
        <v>14045 Miraflores Bajo</v>
      </c>
      <c r="B65" s="17" t="str">
        <f>IFERROR(__xludf.DUMMYFUNCTION("""COMPUTED_VALUE"""),"14045")</f>
        <v>14045</v>
      </c>
      <c r="C65" s="37"/>
      <c r="D65" s="37"/>
      <c r="G65" s="38"/>
    </row>
    <row r="66">
      <c r="A66" s="17" t="str">
        <f>IFERROR(__xludf.DUMMYFUNCTION("""COMPUTED_VALUE"""),"20104 CP-8")</f>
        <v>20104 CP-8</v>
      </c>
      <c r="B66" s="17" t="str">
        <f>IFERROR(__xludf.DUMMYFUNCTION("""COMPUTED_VALUE"""),"20104")</f>
        <v>20104</v>
      </c>
      <c r="C66" s="37"/>
      <c r="D66" s="37"/>
      <c r="G66" s="38"/>
    </row>
    <row r="67">
      <c r="A67" s="17" t="str">
        <f>IFERROR(__xludf.DUMMYFUNCTION("""COMPUTED_VALUE"""),"15304 Guaraguaos.B")</f>
        <v>15304 Guaraguaos.B</v>
      </c>
      <c r="B67" s="17" t="str">
        <f>IFERROR(__xludf.DUMMYFUNCTION("""COMPUTED_VALUE"""),"15304")</f>
        <v>15304</v>
      </c>
      <c r="C67" s="37"/>
      <c r="D67" s="37"/>
      <c r="G67" s="38"/>
    </row>
    <row r="68">
      <c r="A68" s="17" t="str">
        <f>IFERROR(__xludf.DUMMYFUNCTION("""COMPUTED_VALUE"""),"20123 Cruce de Vega")</f>
        <v>20123 Cruce de Vega</v>
      </c>
      <c r="B68" s="17" t="str">
        <f>IFERROR(__xludf.DUMMYFUNCTION("""COMPUTED_VALUE"""),"20123")</f>
        <v>20123</v>
      </c>
      <c r="C68" s="37"/>
      <c r="D68" s="37"/>
      <c r="G68" s="38"/>
    </row>
    <row r="69">
      <c r="A69" s="17" t="str">
        <f>IFERROR(__xludf.DUMMYFUNCTION("""COMPUTED_VALUE"""),"14141 Pueblo Nuevo")</f>
        <v>14141 Pueblo Nuevo</v>
      </c>
      <c r="B69" s="17" t="str">
        <f>IFERROR(__xludf.DUMMYFUNCTION("""COMPUTED_VALUE"""),"14141")</f>
        <v>14141</v>
      </c>
      <c r="C69" s="37"/>
      <c r="D69" s="37"/>
      <c r="G69" s="38"/>
    </row>
    <row r="70">
      <c r="A70" s="17" t="str">
        <f>IFERROR(__xludf.DUMMYFUNCTION("""COMPUTED_VALUE"""),"15220 Miraflores Alto")</f>
        <v>15220 Miraflores Alto</v>
      </c>
      <c r="B70" s="17" t="str">
        <f>IFERROR(__xludf.DUMMYFUNCTION("""COMPUTED_VALUE"""),"15220")</f>
        <v>15220</v>
      </c>
      <c r="C70" s="37"/>
      <c r="D70" s="37"/>
      <c r="G70" s="38"/>
    </row>
    <row r="71">
      <c r="A71" s="17" t="str">
        <f>IFERROR(__xludf.DUMMYFUNCTION("""COMPUTED_VALUE"""),"14145 SJB")</f>
        <v>14145 SJB</v>
      </c>
      <c r="B71" s="17" t="str">
        <f>IFERROR(__xludf.DUMMYFUNCTION("""COMPUTED_VALUE"""),"14145 SANTA JULIA BILLIART")</f>
        <v>14145 SANTA JULIA BILLIART</v>
      </c>
      <c r="C71" s="37"/>
      <c r="D71" s="37"/>
      <c r="G71" s="38"/>
    </row>
    <row r="72">
      <c r="A72" s="17" t="str">
        <f>IFERROR(__xludf.DUMMYFUNCTION("""COMPUTED_VALUE"""),"SCJ PUEBLO LIBRE")</f>
        <v>SCJ PUEBLO LIBRE</v>
      </c>
      <c r="B72" s="17" t="str">
        <f>IFERROR(__xludf.DUMMYFUNCTION("""COMPUTED_VALUE"""),"SAGRADO CORAZON DE JESUS")</f>
        <v>SAGRADO CORAZON DE JESUS</v>
      </c>
      <c r="C72" s="37"/>
      <c r="D72" s="37"/>
      <c r="G72" s="38"/>
    </row>
    <row r="73">
      <c r="A73" s="17" t="str">
        <f>IFERROR(__xludf.DUMMYFUNCTION("""COMPUTED_VALUE"""),"14924 DAC")</f>
        <v>14924 DAC</v>
      </c>
      <c r="B73" s="17" t="str">
        <f>IFERROR(__xludf.DUMMYFUNCTION("""COMPUTED_VALUE"""),"14924 DANIEL ALCIDES CARRION")</f>
        <v>14924 DANIEL ALCIDES CARRION</v>
      </c>
      <c r="C73" s="37"/>
      <c r="D73" s="37"/>
      <c r="G73" s="38"/>
    </row>
    <row r="74">
      <c r="A74" s="17" t="str">
        <f>IFERROR(__xludf.DUMMYFUNCTION("""COMPUTED_VALUE"""),"SantaRosa-Palominos")</f>
        <v>SantaRosa-Palominos</v>
      </c>
      <c r="B74" s="17" t="str">
        <f>IFERROR(__xludf.DUMMYFUNCTION("""COMPUTED_VALUE"""),"14144 SANTA ROSA")</f>
        <v>14144 SANTA ROSA</v>
      </c>
      <c r="C74" s="37"/>
      <c r="D74" s="37"/>
      <c r="G74" s="38"/>
    </row>
    <row r="75">
      <c r="A75" s="17" t="str">
        <f>IFERROR(__xludf.DUMMYFUNCTION("""COMPUTED_VALUE"""),"14924 DANIEL ALCIDES CARRION")</f>
        <v>14924 DANIEL ALCIDES CARRION</v>
      </c>
      <c r="B75" s="17" t="str">
        <f>IFERROR(__xludf.DUMMYFUNCTION("""COMPUTED_VALUE"""),"14924 DANIEL ALCIDES CARRION")</f>
        <v>14924 DANIEL ALCIDES CARRION</v>
      </c>
      <c r="C75" s="37"/>
      <c r="D75" s="37"/>
      <c r="G75" s="38"/>
    </row>
    <row r="76">
      <c r="A76" s="17" t="str">
        <f>IFERROR(__xludf.DUMMYFUNCTION("""COMPUTED_VALUE"""),"20104")</f>
        <v>20104</v>
      </c>
      <c r="B76" s="17" t="str">
        <f>IFERROR(__xludf.DUMMYFUNCTION("""COMPUTED_VALUE"""),"20104")</f>
        <v>20104</v>
      </c>
      <c r="C76" s="37"/>
      <c r="D76" s="37"/>
      <c r="G76" s="38"/>
    </row>
    <row r="77">
      <c r="A77" s="17" t="str">
        <f>IFERROR(__xludf.DUMMYFUNCTION("""COMPUTED_VALUE"""),"14975")</f>
        <v>14975</v>
      </c>
      <c r="B77" s="17" t="str">
        <f>IFERROR(__xludf.DUMMYFUNCTION("""COMPUTED_VALUE"""),"14975")</f>
        <v>14975</v>
      </c>
      <c r="C77" s="37"/>
      <c r="D77" s="37"/>
      <c r="G77" s="38"/>
    </row>
    <row r="78">
      <c r="A78" s="17" t="str">
        <f>IFERROR(__xludf.DUMMYFUNCTION("""COMPUTED_VALUE"""),"15304")</f>
        <v>15304</v>
      </c>
      <c r="B78" s="17" t="str">
        <f>IFERROR(__xludf.DUMMYFUNCTION("""COMPUTED_VALUE"""),"15304")</f>
        <v>15304</v>
      </c>
      <c r="C78" s="37"/>
      <c r="D78" s="37"/>
      <c r="G78" s="38"/>
    </row>
    <row r="79">
      <c r="A79" s="17" t="str">
        <f>IFERROR(__xludf.DUMMYFUNCTION("""COMPUTED_VALUE"""),"SAGRADO CORAZON DE JESUS")</f>
        <v>SAGRADO CORAZON DE JESUS</v>
      </c>
      <c r="B79" s="17" t="str">
        <f>IFERROR(__xludf.DUMMYFUNCTION("""COMPUTED_VALUE"""),"SAGRADO CORAZON DE JESUS")</f>
        <v>SAGRADO CORAZON DE JESUS</v>
      </c>
      <c r="C79" s="37"/>
      <c r="D79" s="37"/>
      <c r="G79" s="38"/>
    </row>
    <row r="80">
      <c r="A80" s="17" t="str">
        <f>IFERROR(__xludf.DUMMYFUNCTION("""COMPUTED_VALUE"""),"14144 SANTA ROSA")</f>
        <v>14144 SANTA ROSA</v>
      </c>
      <c r="B80" s="17" t="str">
        <f>IFERROR(__xludf.DUMMYFUNCTION("""COMPUTED_VALUE"""),"14144 SANTA ROSA")</f>
        <v>14144 SANTA ROSA</v>
      </c>
      <c r="C80" s="37"/>
      <c r="D80" s="37"/>
      <c r="G80" s="38"/>
    </row>
    <row r="81">
      <c r="A81" s="17" t="str">
        <f>IFERROR(__xludf.DUMMYFUNCTION("""COMPUTED_VALUE"""),"14894")</f>
        <v>14894</v>
      </c>
      <c r="B81" s="17" t="str">
        <f>IFERROR(__xludf.DUMMYFUNCTION("""COMPUTED_VALUE"""),"14894")</f>
        <v>14894</v>
      </c>
      <c r="C81" s="37"/>
      <c r="D81" s="37"/>
      <c r="G81" s="38"/>
    </row>
    <row r="82">
      <c r="A82" s="17" t="str">
        <f>IFERROR(__xludf.DUMMYFUNCTION("""COMPUTED_VALUE"""),"15383")</f>
        <v>15383</v>
      </c>
      <c r="B82" s="17" t="str">
        <f>IFERROR(__xludf.DUMMYFUNCTION("""COMPUTED_VALUE"""),"15383")</f>
        <v>15383</v>
      </c>
      <c r="C82" s="37"/>
      <c r="D82" s="37"/>
      <c r="G82" s="38"/>
    </row>
    <row r="83">
      <c r="A83" s="17" t="str">
        <f>IFERROR(__xludf.DUMMYFUNCTION("""COMPUTED_VALUE"""),"14141")</f>
        <v>14141</v>
      </c>
      <c r="B83" s="17" t="str">
        <f>IFERROR(__xludf.DUMMYFUNCTION("""COMPUTED_VALUE"""),"14141")</f>
        <v>14141</v>
      </c>
      <c r="C83" s="37"/>
      <c r="D83" s="37"/>
      <c r="G83" s="38"/>
    </row>
    <row r="84">
      <c r="A84" s="17" t="str">
        <f>IFERROR(__xludf.DUMMYFUNCTION("""COMPUTED_VALUE"""),"15478")</f>
        <v>15478</v>
      </c>
      <c r="B84" s="17" t="str">
        <f>IFERROR(__xludf.DUMMYFUNCTION("""COMPUTED_VALUE"""),"15478")</f>
        <v>15478</v>
      </c>
      <c r="C84" s="37"/>
      <c r="D84" s="37"/>
      <c r="G84" s="38"/>
    </row>
    <row r="85">
      <c r="A85" s="17" t="str">
        <f>IFERROR(__xludf.DUMMYFUNCTION("""COMPUTED_VALUE"""),"14045")</f>
        <v>14045</v>
      </c>
      <c r="B85" s="17" t="str">
        <f>IFERROR(__xludf.DUMMYFUNCTION("""COMPUTED_VALUE"""),"14045")</f>
        <v>14045</v>
      </c>
      <c r="C85" s="37"/>
      <c r="D85" s="37"/>
      <c r="G85" s="38"/>
    </row>
    <row r="86">
      <c r="A86" s="17" t="str">
        <f>IFERROR(__xludf.DUMMYFUNCTION("""COMPUTED_VALUE"""),"14145 SANTA JULIA BILLIART")</f>
        <v>14145 SANTA JULIA BILLIART</v>
      </c>
      <c r="B86" s="17" t="str">
        <f>IFERROR(__xludf.DUMMYFUNCTION("""COMPUTED_VALUE"""),"14145 SANTA JULIA BILLIART")</f>
        <v>14145 SANTA JULIA BILLIART</v>
      </c>
      <c r="C86" s="37"/>
      <c r="D86" s="37"/>
      <c r="G86" s="38"/>
    </row>
    <row r="87">
      <c r="A87" s="17" t="str">
        <f>IFERROR(__xludf.DUMMYFUNCTION("""COMPUTED_VALUE"""),"20123")</f>
        <v>20123</v>
      </c>
      <c r="B87" s="17" t="str">
        <f>IFERROR(__xludf.DUMMYFUNCTION("""COMPUTED_VALUE"""),"20123")</f>
        <v>20123</v>
      </c>
      <c r="C87" s="37"/>
      <c r="D87" s="37"/>
      <c r="G87" s="38"/>
    </row>
    <row r="88">
      <c r="A88" s="17" t="str">
        <f>IFERROR(__xludf.DUMMYFUNCTION("""COMPUTED_VALUE"""),"15219")</f>
        <v>15219</v>
      </c>
      <c r="B88" s="17" t="str">
        <f>IFERROR(__xludf.DUMMYFUNCTION("""COMPUTED_VALUE"""),"15219")</f>
        <v>15219</v>
      </c>
      <c r="C88" s="37"/>
      <c r="D88" s="37"/>
      <c r="G88" s="38"/>
    </row>
    <row r="89">
      <c r="A89" s="17" t="str">
        <f>IFERROR(__xludf.DUMMYFUNCTION("""COMPUTED_VALUE"""),"15220")</f>
        <v>15220</v>
      </c>
      <c r="B89" s="17" t="str">
        <f>IFERROR(__xludf.DUMMYFUNCTION("""COMPUTED_VALUE"""),"15220")</f>
        <v>15220</v>
      </c>
      <c r="C89" s="37"/>
      <c r="D89" s="37"/>
      <c r="G89" s="38"/>
    </row>
    <row r="90">
      <c r="A90" s="17" t="str">
        <f>IFERROR(__xludf.DUMMYFUNCTION("""COMPUTED_VALUE"""),"IE Sagrado Corazón")</f>
        <v>IE Sagrado Corazón</v>
      </c>
      <c r="B90" s="17" t="str">
        <f>IFERROR(__xludf.DUMMYFUNCTION("""COMPUTED_VALUE"""),"SAGRADO CORAZON DE JESUS")</f>
        <v>SAGRADO CORAZON DE JESUS</v>
      </c>
      <c r="C90" s="37"/>
      <c r="D90" s="37"/>
      <c r="G90" s="38"/>
    </row>
    <row r="91">
      <c r="A91" s="17" t="str">
        <f>IFERROR(__xludf.DUMMYFUNCTION("""COMPUTED_VALUE"""),"IE Santa Rosa")</f>
        <v>IE Santa Rosa</v>
      </c>
      <c r="B91" s="17" t="str">
        <f>IFERROR(__xludf.DUMMYFUNCTION("""COMPUTED_VALUE"""),"14144 SANTA ROSA")</f>
        <v>14144 SANTA ROSA</v>
      </c>
      <c r="C91" s="37"/>
      <c r="D91" s="37"/>
      <c r="G91" s="38"/>
    </row>
    <row r="92">
      <c r="A92" s="17" t="str">
        <f>IFERROR(__xludf.DUMMYFUNCTION("""COMPUTED_VALUE"""),"IE Totoral Alto")</f>
        <v>IE Totoral Alto</v>
      </c>
      <c r="B92" s="17" t="str">
        <f>IFERROR(__xludf.DUMMYFUNCTION("""COMPUTED_VALUE"""),"14894")</f>
        <v>14894</v>
      </c>
      <c r="C92" s="37"/>
      <c r="D92" s="37"/>
      <c r="G92" s="38"/>
    </row>
    <row r="93">
      <c r="A93" s="17" t="str">
        <f>IFERROR(__xludf.DUMMYFUNCTION("""COMPUTED_VALUE"""),"IE Santa Julia")</f>
        <v>IE Santa Julia</v>
      </c>
      <c r="B93" s="17" t="str">
        <f>IFERROR(__xludf.DUMMYFUNCTION("""COMPUTED_VALUE"""),"14145 SANTA JULIA BILLIART")</f>
        <v>14145 SANTA JULIA BILLIART</v>
      </c>
      <c r="C93" s="37"/>
      <c r="D93" s="37"/>
      <c r="G93" s="38"/>
    </row>
    <row r="94">
      <c r="A94" s="17" t="str">
        <f>IFERROR(__xludf.DUMMYFUNCTION("""COMPUTED_VALUE"""),"86809 Huarac-huarán")</f>
        <v>86809 Huarac-huarán</v>
      </c>
      <c r="B94" s="17" t="str">
        <f>IFERROR(__xludf.DUMMYFUNCTION("""COMPUTED_VALUE"""),"86809")</f>
        <v>86809</v>
      </c>
      <c r="C94" s="37"/>
      <c r="D94" s="37"/>
      <c r="G94" s="38"/>
    </row>
    <row r="95">
      <c r="A95" s="17" t="str">
        <f>IFERROR(__xludf.DUMMYFUNCTION("""COMPUTED_VALUE"""),"88247 - Capan")</f>
        <v>88247 - Capan</v>
      </c>
      <c r="B95" s="17" t="str">
        <f>IFERROR(__xludf.DUMMYFUNCTION("""COMPUTED_VALUE"""),"88247 SAN ENRIQUE")</f>
        <v>88247 SAN ENRIQUE</v>
      </c>
      <c r="C95" s="37"/>
      <c r="D95" s="37"/>
      <c r="G95" s="38"/>
    </row>
    <row r="96">
      <c r="A96" s="17" t="str">
        <f>IFERROR(__xludf.DUMMYFUNCTION("""COMPUTED_VALUE"""),"86548 - Pichiu")</f>
        <v>86548 - Pichiu</v>
      </c>
      <c r="B96" s="17" t="str">
        <f>IFERROR(__xludf.DUMMYFUNCTION("""COMPUTED_VALUE"""),"86548 JOSE MARIA VELAZ")</f>
        <v>86548 JOSE MARIA VELAZ</v>
      </c>
      <c r="C96" s="37"/>
      <c r="D96" s="37"/>
      <c r="G96" s="38"/>
    </row>
    <row r="97">
      <c r="A97" s="17" t="str">
        <f>IFERROR(__xludf.DUMMYFUNCTION("""COMPUTED_VALUE"""),"Huarachuran")</f>
        <v>Huarachuran</v>
      </c>
      <c r="B97" s="17" t="str">
        <f>IFERROR(__xludf.DUMMYFUNCTION("""COMPUTED_VALUE"""),"86809")</f>
        <v>86809</v>
      </c>
      <c r="C97" s="37"/>
      <c r="D97" s="37"/>
      <c r="G97" s="38"/>
    </row>
    <row r="98">
      <c r="A98" s="17" t="str">
        <f>IFERROR(__xludf.DUMMYFUNCTION("""COMPUTED_VALUE"""),"Pichiu")</f>
        <v>Pichiu</v>
      </c>
      <c r="B98" s="17" t="str">
        <f>IFERROR(__xludf.DUMMYFUNCTION("""COMPUTED_VALUE"""),"86548 JOSE MARIA VELAZ")</f>
        <v>86548 JOSE MARIA VELAZ</v>
      </c>
      <c r="C98" s="37"/>
      <c r="D98" s="37"/>
      <c r="G98" s="38"/>
    </row>
    <row r="99">
      <c r="A99" s="17" t="str">
        <f>IFERROR(__xludf.DUMMYFUNCTION("""COMPUTED_VALUE"""),"Carap")</f>
        <v>Carap</v>
      </c>
      <c r="B99" s="17" t="str">
        <f>IFERROR(__xludf.DUMMYFUNCTION("""COMPUTED_VALUE"""),"88327")</f>
        <v>88327</v>
      </c>
      <c r="C99" s="37"/>
      <c r="D99" s="37"/>
      <c r="G99" s="38"/>
    </row>
    <row r="100">
      <c r="A100" s="17" t="str">
        <f>IFERROR(__xludf.DUMMYFUNCTION("""COMPUTED_VALUE"""),"Capan")</f>
        <v>Capan</v>
      </c>
      <c r="B100" s="17" t="str">
        <f>IFERROR(__xludf.DUMMYFUNCTION("""COMPUTED_VALUE"""),"88247 SAN ENRIQUE")</f>
        <v>88247 SAN ENRIQUE</v>
      </c>
      <c r="C100" s="37"/>
      <c r="D100" s="37"/>
      <c r="G100" s="38"/>
    </row>
    <row r="101">
      <c r="A101" s="17" t="str">
        <f>IFERROR(__xludf.DUMMYFUNCTION("""COMPUTED_VALUE"""),"Huascar")</f>
        <v>Huascar</v>
      </c>
      <c r="B101" s="17" t="str">
        <f>IFERROR(__xludf.DUMMYFUNCTION("""COMPUTED_VALUE"""),"86769 ABRAHAM VALDELOMAR")</f>
        <v>86769 ABRAHAM VALDELOMAR</v>
      </c>
      <c r="C101" s="37"/>
      <c r="D101" s="37"/>
      <c r="G101" s="38"/>
    </row>
    <row r="102">
      <c r="A102" s="17" t="str">
        <f>IFERROR(__xludf.DUMMYFUNCTION("""COMPUTED_VALUE"""),"Captuy")</f>
        <v>Captuy</v>
      </c>
      <c r="B102" s="17" t="str">
        <f>IFERROR(__xludf.DUMMYFUNCTION("""COMPUTED_VALUE"""),"88225 CAPTUY")</f>
        <v>88225 CAPTUY</v>
      </c>
      <c r="C102" s="37"/>
      <c r="D102" s="37"/>
      <c r="G102" s="38"/>
    </row>
    <row r="103">
      <c r="A103" s="17" t="str">
        <f>IFERROR(__xludf.DUMMYFUNCTION("""COMPUTED_VALUE"""),"Huarac Huran")</f>
        <v>Huarac Huran</v>
      </c>
      <c r="B103" s="17" t="str">
        <f>IFERROR(__xludf.DUMMYFUNCTION("""COMPUTED_VALUE"""),"86809")</f>
        <v>86809</v>
      </c>
      <c r="C103" s="37"/>
      <c r="D103" s="37"/>
      <c r="G103" s="38"/>
    </row>
    <row r="104">
      <c r="A104" s="17" t="str">
        <f>IFERROR(__xludf.DUMMYFUNCTION("""COMPUTED_VALUE"""),"Huáscar")</f>
        <v>Huáscar</v>
      </c>
      <c r="B104" s="17" t="str">
        <f>IFERROR(__xludf.DUMMYFUNCTION("""COMPUTED_VALUE"""),"86769 ABRAHAM VALDELOMAR")</f>
        <v>86769 ABRAHAM VALDELOMAR</v>
      </c>
      <c r="C104" s="37"/>
      <c r="D104" s="37"/>
      <c r="G104" s="38"/>
    </row>
    <row r="105">
      <c r="A105" s="17" t="str">
        <f>IFERROR(__xludf.DUMMYFUNCTION("""COMPUTED_VALUE"""),"Huran Huran")</f>
        <v>Huran Huran</v>
      </c>
      <c r="B105" s="17" t="str">
        <f>IFERROR(__xludf.DUMMYFUNCTION("""COMPUTED_VALUE"""),"86809")</f>
        <v>86809</v>
      </c>
      <c r="C105" s="37"/>
      <c r="D105" s="37"/>
      <c r="G105" s="38"/>
    </row>
    <row r="106">
      <c r="A106" s="17" t="str">
        <f>IFERROR(__xludf.DUMMYFUNCTION("""COMPUTED_VALUE"""),"64155 Bagazan")</f>
        <v>64155 Bagazan</v>
      </c>
      <c r="B106" s="17" t="str">
        <f>IFERROR(__xludf.DUMMYFUNCTION("""COMPUTED_VALUE"""),"64155")</f>
        <v>64155</v>
      </c>
      <c r="C106" s="37"/>
      <c r="D106" s="37"/>
      <c r="G106" s="38"/>
    </row>
    <row r="107">
      <c r="A107" s="17" t="str">
        <f>IFERROR(__xludf.DUMMYFUNCTION("""COMPUTED_VALUE"""),"64346 Miraflores")</f>
        <v>64346 Miraflores</v>
      </c>
      <c r="B107" s="17" t="str">
        <f>IFERROR(__xludf.DUMMYFUNCTION("""COMPUTED_VALUE"""),"64346")</f>
        <v>64346</v>
      </c>
      <c r="C107" s="37"/>
      <c r="D107" s="37"/>
      <c r="G107" s="38"/>
    </row>
    <row r="108">
      <c r="A108" s="17" t="str">
        <f>IFERROR(__xludf.DUMMYFUNCTION("""COMPUTED_VALUE"""),"64641 Nueva Alianza")</f>
        <v>64641 Nueva Alianza</v>
      </c>
      <c r="B108" s="17" t="str">
        <f>IFERROR(__xludf.DUMMYFUNCTION("""COMPUTED_VALUE"""),"64641")</f>
        <v>64641</v>
      </c>
      <c r="C108" s="37"/>
      <c r="D108" s="37"/>
      <c r="G108" s="38"/>
    </row>
    <row r="109">
      <c r="A109" s="17" t="str">
        <f>IFERROR(__xludf.DUMMYFUNCTION("""COMPUTED_VALUE"""),"64872-B Santa Martha")</f>
        <v>64872-B Santa Martha</v>
      </c>
      <c r="B109" s="17" t="str">
        <f>IFERROR(__xludf.DUMMYFUNCTION("""COMPUTED_VALUE"""),"64871-B")</f>
        <v>64871-B</v>
      </c>
      <c r="C109" s="37"/>
      <c r="D109" s="37"/>
      <c r="G109" s="38"/>
    </row>
    <row r="110">
      <c r="A110" s="17" t="str">
        <f>IFERROR(__xludf.DUMMYFUNCTION("""COMPUTED_VALUE"""),"64996 Libertad")</f>
        <v>64996 Libertad</v>
      </c>
      <c r="B110" s="17" t="str">
        <f>IFERROR(__xludf.DUMMYFUNCTION("""COMPUTED_VALUE"""),"64996")</f>
        <v>64996</v>
      </c>
      <c r="C110" s="37"/>
      <c r="D110" s="37"/>
      <c r="G110" s="38"/>
    </row>
    <row r="111">
      <c r="A111" s="17" t="str">
        <f>IFERROR(__xludf.DUMMYFUNCTION("""COMPUTED_VALUE"""),"64028 Mazaray")</f>
        <v>64028 Mazaray</v>
      </c>
      <c r="B111" s="17" t="str">
        <f>IFERROR(__xludf.DUMMYFUNCTION("""COMPUTED_VALUE"""),"64028")</f>
        <v>64028</v>
      </c>
      <c r="C111" s="37"/>
      <c r="D111" s="37"/>
      <c r="G111" s="38"/>
    </row>
    <row r="112">
      <c r="A112" s="17" t="str">
        <f>IFERROR(__xludf.DUMMYFUNCTION("""COMPUTED_VALUE"""),"64048 Nuevo Barranca")</f>
        <v>64048 Nuevo Barranca</v>
      </c>
      <c r="B112" s="17" t="str">
        <f>IFERROR(__xludf.DUMMYFUNCTION("""COMPUTED_VALUE"""),"64048")</f>
        <v>64048</v>
      </c>
      <c r="C112" s="37"/>
      <c r="D112" s="37"/>
      <c r="G112" s="38"/>
    </row>
    <row r="113">
      <c r="A113" s="17" t="str">
        <f>IFERROR(__xludf.DUMMYFUNCTION("""COMPUTED_VALUE"""),"64115 Nuevo Bagazán")</f>
        <v>64115 Nuevo Bagazán</v>
      </c>
      <c r="B113" s="17" t="str">
        <f>IFERROR(__xludf.DUMMYFUNCTION("""COMPUTED_VALUE"""),"64115")</f>
        <v>64115</v>
      </c>
      <c r="C113" s="37"/>
      <c r="D113" s="37"/>
      <c r="G113" s="38"/>
    </row>
    <row r="114">
      <c r="A114" s="17" t="str">
        <f>IFERROR(__xludf.DUMMYFUNCTION("""COMPUTED_VALUE"""),"64508-B Santa Isabel")</f>
        <v>64508-B Santa Isabel</v>
      </c>
      <c r="B114" s="17" t="str">
        <f>IFERROR(__xludf.DUMMYFUNCTION("""COMPUTED_VALUE"""),"64508-B")</f>
        <v>64508-B</v>
      </c>
      <c r="C114" s="37"/>
      <c r="D114" s="37"/>
      <c r="G114" s="38"/>
    </row>
    <row r="115">
      <c r="A115" s="17" t="str">
        <f>IFERROR(__xludf.DUMMYFUNCTION("""COMPUTED_VALUE"""),"64873-B Santa Elisa")</f>
        <v>64873-B Santa Elisa</v>
      </c>
      <c r="B115" s="17" t="str">
        <f>IFERROR(__xludf.DUMMYFUNCTION("""COMPUTED_VALUE"""),"64873-B")</f>
        <v>64873-B</v>
      </c>
      <c r="C115" s="37"/>
      <c r="D115" s="37"/>
      <c r="G115" s="38"/>
    </row>
    <row r="116">
      <c r="A116" s="17" t="str">
        <f>IFERROR(__xludf.DUMMYFUNCTION("""COMPUTED_VALUE"""),"64545-B Puerto Consuelo")</f>
        <v>64545-B Puerto Consuelo</v>
      </c>
      <c r="B116" s="17" t="str">
        <f>IFERROR(__xludf.DUMMYFUNCTION("""COMPUTED_VALUE"""),"64545-B")</f>
        <v>64545-B</v>
      </c>
      <c r="C116" s="37"/>
      <c r="D116" s="37"/>
      <c r="G116" s="38"/>
    </row>
    <row r="117">
      <c r="A117" s="17" t="str">
        <f>IFERROR(__xludf.DUMMYFUNCTION("""COMPUTED_VALUE"""),"64949 Isla Primavera")</f>
        <v>64949 Isla Primavera</v>
      </c>
      <c r="B117" s="17" t="str">
        <f>IFERROR(__xludf.DUMMYFUNCTION("""COMPUTED_VALUE"""),"64949")</f>
        <v>64949</v>
      </c>
      <c r="C117" s="37"/>
      <c r="D117" s="37"/>
      <c r="G117" s="38"/>
    </row>
    <row r="118">
      <c r="A118" s="17" t="str">
        <f>IFERROR(__xludf.DUMMYFUNCTION("""COMPUTED_VALUE"""),"64871-B Santa Martha")</f>
        <v>64871-B Santa Martha</v>
      </c>
      <c r="B118" s="17" t="str">
        <f>IFERROR(__xludf.DUMMYFUNCTION("""COMPUTED_VALUE"""),"64871-B")</f>
        <v>64871-B</v>
      </c>
      <c r="C118" s="37"/>
      <c r="D118" s="37"/>
      <c r="G118" s="38"/>
    </row>
    <row r="119">
      <c r="A119" s="17" t="str">
        <f>IFERROR(__xludf.DUMMYFUNCTION("""COMPUTED_VALUE"""),"64829 Villa Esther")</f>
        <v>64829 Villa Esther</v>
      </c>
      <c r="B119" s="17" t="str">
        <f>IFERROR(__xludf.DUMMYFUNCTION("""COMPUTED_VALUE"""),"64829")</f>
        <v>64829</v>
      </c>
      <c r="C119" s="37"/>
      <c r="D119" s="37"/>
      <c r="G119" s="38"/>
    </row>
    <row r="120">
      <c r="A120" s="17" t="str">
        <f>IFERROR(__xludf.DUMMYFUNCTION("""COMPUTED_VALUE"""),"65199 Tres de Mayo")</f>
        <v>65199 Tres de Mayo</v>
      </c>
      <c r="B120" s="17" t="str">
        <f>IFERROR(__xludf.DUMMYFUNCTION("""COMPUTED_VALUE"""),"65199")</f>
        <v>65199</v>
      </c>
      <c r="C120" s="37"/>
      <c r="D120" s="37"/>
      <c r="G120" s="17"/>
    </row>
    <row r="121">
      <c r="A121" s="17" t="str">
        <f>IFERROR(__xludf.DUMMYFUNCTION("""COMPUTED_VALUE"""),"BAGAZAN 64115")</f>
        <v>BAGAZAN 64115</v>
      </c>
      <c r="B121" s="17" t="str">
        <f>IFERROR(__xludf.DUMMYFUNCTION("""COMPUTED_VALUE"""),"64115")</f>
        <v>64115</v>
      </c>
      <c r="C121" s="37"/>
      <c r="D121" s="37"/>
      <c r="G121" s="17"/>
    </row>
    <row r="122">
      <c r="A122" s="17" t="str">
        <f>IFERROR(__xludf.DUMMYFUNCTION("""COMPUTED_VALUE"""),"MAZARAY 64028")</f>
        <v>MAZARAY 64028</v>
      </c>
      <c r="B122" s="17" t="str">
        <f>IFERROR(__xludf.DUMMYFUNCTION("""COMPUTED_VALUE"""),"64028")</f>
        <v>64028</v>
      </c>
      <c r="C122" s="37"/>
      <c r="D122" s="37"/>
      <c r="G122" s="17"/>
    </row>
    <row r="123">
      <c r="A123" s="17" t="str">
        <f>IFERROR(__xludf.DUMMYFUNCTION("""COMPUTED_VALUE"""),"VILLA ESTHER 64829")</f>
        <v>VILLA ESTHER 64829</v>
      </c>
      <c r="B123" s="17" t="str">
        <f>IFERROR(__xludf.DUMMYFUNCTION("""COMPUTED_VALUE"""),"64829")</f>
        <v>64829</v>
      </c>
      <c r="C123" s="37"/>
      <c r="D123" s="37"/>
      <c r="G123" s="17"/>
    </row>
    <row r="124">
      <c r="A124" s="17" t="str">
        <f>IFERROR(__xludf.DUMMYFUNCTION("""COMPUTED_VALUE"""),"MIRAFLORES 64346")</f>
        <v>MIRAFLORES 64346</v>
      </c>
      <c r="B124" s="17" t="str">
        <f>IFERROR(__xludf.DUMMYFUNCTION("""COMPUTED_VALUE"""),"64346")</f>
        <v>64346</v>
      </c>
      <c r="C124" s="37"/>
      <c r="D124" s="37"/>
      <c r="G124" s="17"/>
    </row>
    <row r="125">
      <c r="A125" s="17" t="str">
        <f>IFERROR(__xludf.DUMMYFUNCTION("""COMPUTED_VALUE"""),"3 DE MAYO 65199")</f>
        <v>3 DE MAYO 65199</v>
      </c>
      <c r="B125" s="17" t="str">
        <f>IFERROR(__xludf.DUMMYFUNCTION("""COMPUTED_VALUE"""),"65199")</f>
        <v>65199</v>
      </c>
      <c r="C125" s="37"/>
      <c r="D125" s="37"/>
      <c r="G125" s="17"/>
    </row>
    <row r="126">
      <c r="A126" s="17" t="str">
        <f>IFERROR(__xludf.DUMMYFUNCTION("""COMPUTED_VALUE"""),"64048 Barranca")</f>
        <v>64048 Barranca</v>
      </c>
      <c r="B126" s="17" t="str">
        <f>IFERROR(__xludf.DUMMYFUNCTION("""COMPUTED_VALUE"""),"64048")</f>
        <v>64048</v>
      </c>
      <c r="C126" s="37"/>
      <c r="D126" s="37"/>
      <c r="G126" s="17"/>
    </row>
    <row r="127">
      <c r="A127" s="17" t="str">
        <f>IFERROR(__xludf.DUMMYFUNCTION("""COMPUTED_VALUE"""),"Nuestra Señora de la Candelaria")</f>
        <v>Nuestra Señora de la Candelaria</v>
      </c>
      <c r="B127" s="17" t="str">
        <f>IFERROR(__xludf.DUMMYFUNCTION("""COMPUTED_VALUE"""),"NUESTRA SEÑORA DE LA CANDELARIA")</f>
        <v>NUESTRA SEÑORA DE LA CANDELARIA</v>
      </c>
      <c r="C127" s="37"/>
      <c r="D127" s="37"/>
      <c r="G127" s="17"/>
    </row>
    <row r="128">
      <c r="A128" s="17" t="str">
        <f>IFERROR(__xludf.DUMMYFUNCTION("""COMPUTED_VALUE"""),"Huanccallaco")</f>
        <v>Huanccallaco</v>
      </c>
      <c r="B128" s="17" t="str">
        <f>IFERROR(__xludf.DUMMYFUNCTION("""COMPUTED_VALUE"""),"36163 JAVIER HERAUD PEREZ")</f>
        <v>36163 JAVIER HERAUD PEREZ</v>
      </c>
      <c r="C128" s="37"/>
      <c r="D128" s="37"/>
      <c r="G128" s="17"/>
    </row>
    <row r="129">
      <c r="A129" s="17" t="str">
        <f>IFERROR(__xludf.DUMMYFUNCTION("""COMPUTED_VALUE"""),"Santiago Antunez de Mayolo")</f>
        <v>Santiago Antunez de Mayolo</v>
      </c>
      <c r="B129" s="17" t="str">
        <f>IFERROR(__xludf.DUMMYFUNCTION("""COMPUTED_VALUE"""),"SANTIAGO ANTUNEZ DE MAYOLO")</f>
        <v>SANTIAGO ANTUNEZ DE MAYOLO</v>
      </c>
      <c r="C129" s="37"/>
      <c r="D129" s="37"/>
      <c r="G129" s="17"/>
    </row>
    <row r="130">
      <c r="A130" s="17" t="str">
        <f>IFERROR(__xludf.DUMMYFUNCTION("""COMPUTED_VALUE"""),"Sayri Tupac")</f>
        <v>Sayri Tupac</v>
      </c>
      <c r="B130" s="17" t="str">
        <f>IFERROR(__xludf.DUMMYFUNCTION("""COMPUTED_VALUE"""),"SAYRI TUPAC")</f>
        <v>SAYRI TUPAC</v>
      </c>
      <c r="C130" s="37"/>
      <c r="D130" s="37"/>
      <c r="G130" s="17"/>
    </row>
    <row r="131">
      <c r="A131" s="17" t="str">
        <f>IFERROR(__xludf.DUMMYFUNCTION("""COMPUTED_VALUE"""),"Nuestra Sra Candelaria")</f>
        <v>Nuestra Sra Candelaria</v>
      </c>
      <c r="B131" s="17" t="str">
        <f>IFERROR(__xludf.DUMMYFUNCTION("""COMPUTED_VALUE"""),"NUESTRA SEÑORA DE LA CANDELARIA")</f>
        <v>NUESTRA SEÑORA DE LA CANDELARIA</v>
      </c>
      <c r="C131" s="37"/>
      <c r="D131" s="37"/>
      <c r="G131" s="17"/>
    </row>
    <row r="132">
      <c r="A132" s="17" t="str">
        <f>IFERROR(__xludf.DUMMYFUNCTION("""COMPUTED_VALUE"""),"36789")</f>
        <v>36789</v>
      </c>
      <c r="B132" s="17" t="str">
        <f>IFERROR(__xludf.DUMMYFUNCTION("""COMPUTED_VALUE"""),"36789 NUESTRA SEÑORA DEL CARMEN")</f>
        <v>36789 NUESTRA SEÑORA DEL CARMEN</v>
      </c>
      <c r="C132" s="37"/>
      <c r="D132" s="37"/>
      <c r="G132" s="17"/>
    </row>
    <row r="133">
      <c r="A133" s="17" t="str">
        <f>IFERROR(__xludf.DUMMYFUNCTION("""COMPUTED_VALUE"""),"36207")</f>
        <v>36207</v>
      </c>
      <c r="B133" s="17" t="str">
        <f>IFERROR(__xludf.DUMMYFUNCTION("""COMPUTED_VALUE"""),"36207")</f>
        <v>36207</v>
      </c>
      <c r="C133" s="37"/>
      <c r="D133" s="37"/>
      <c r="G133" s="17"/>
    </row>
    <row r="134">
      <c r="A134" s="17" t="str">
        <f>IFERROR(__xludf.DUMMYFUNCTION("""COMPUTED_VALUE"""),"CORAS")</f>
        <v>CORAS</v>
      </c>
      <c r="B134" s="17" t="str">
        <f>IFERROR(__xludf.DUMMYFUNCTION("""COMPUTED_VALUE"""),"CORAS")</f>
        <v>CORAS</v>
      </c>
      <c r="C134" s="37"/>
      <c r="D134" s="37"/>
      <c r="G134" s="17"/>
    </row>
    <row r="135">
      <c r="A135" s="17" t="str">
        <f>IFERROR(__xludf.DUMMYFUNCTION("""COMPUTED_VALUE"""),"36173")</f>
        <v>36173</v>
      </c>
      <c r="B135" s="17" t="str">
        <f>IFERROR(__xludf.DUMMYFUNCTION("""COMPUTED_VALUE"""),"36173")</f>
        <v>36173</v>
      </c>
      <c r="C135" s="37"/>
      <c r="D135" s="37"/>
      <c r="G135" s="17"/>
    </row>
    <row r="136">
      <c r="A136" s="17" t="str">
        <f>IFERROR(__xludf.DUMMYFUNCTION("""COMPUTED_VALUE"""),"36161")</f>
        <v>36161</v>
      </c>
      <c r="B136" s="17" t="str">
        <f>IFERROR(__xludf.DUMMYFUNCTION("""COMPUTED_VALUE"""),"36161 SAN VICENTE DE PAUL")</f>
        <v>36161 SAN VICENTE DE PAUL</v>
      </c>
      <c r="C136" s="37"/>
      <c r="D136" s="37"/>
      <c r="G136" s="17"/>
    </row>
    <row r="137">
      <c r="A137" s="17" t="str">
        <f>IFERROR(__xludf.DUMMYFUNCTION("""COMPUTED_VALUE"""),"36166")</f>
        <v>36166</v>
      </c>
      <c r="B137" s="17" t="str">
        <f>IFERROR(__xludf.DUMMYFUNCTION("""COMPUTED_VALUE"""),"36166 HEROES 29 DE AGOSTO")</f>
        <v>36166 HEROES 29 DE AGOSTO</v>
      </c>
      <c r="C137" s="37"/>
      <c r="D137" s="37"/>
      <c r="G137" s="17"/>
    </row>
    <row r="138">
      <c r="A138" s="17" t="str">
        <f>IFERROR(__xludf.DUMMYFUNCTION("""COMPUTED_VALUE"""),"JORGE CHAVEZ")</f>
        <v>JORGE CHAVEZ</v>
      </c>
      <c r="B138" s="17" t="str">
        <f>IFERROR(__xludf.DUMMYFUNCTION("""COMPUTED_VALUE"""),"JORGE CHAVEZ")</f>
        <v>JORGE CHAVEZ</v>
      </c>
      <c r="C138" s="37"/>
      <c r="D138" s="37"/>
      <c r="G138" s="17"/>
    </row>
    <row r="139">
      <c r="A139" s="17" t="str">
        <f>IFERROR(__xludf.DUMMYFUNCTION("""COMPUTED_VALUE"""),"JOSE CARLOS MARIATEGUI")</f>
        <v>JOSE CARLOS MARIATEGUI</v>
      </c>
      <c r="B139" s="17" t="str">
        <f>IFERROR(__xludf.DUMMYFUNCTION("""COMPUTED_VALUE"""),"JOSE CARLOS MARIATEGUI")</f>
        <v>JOSE CARLOS MARIATEGUI</v>
      </c>
      <c r="C139" s="37"/>
      <c r="D139" s="37"/>
      <c r="G139" s="17"/>
    </row>
    <row r="140">
      <c r="A140" s="17" t="str">
        <f>IFERROR(__xludf.DUMMYFUNCTION("""COMPUTED_VALUE"""),"RAMON CASTILLA MARQUEZADO")</f>
        <v>RAMON CASTILLA MARQUEZADO</v>
      </c>
      <c r="B140" s="17" t="str">
        <f>IFERROR(__xludf.DUMMYFUNCTION("""COMPUTED_VALUE"""),"RAMON CASTILLA MARQUEZADO")</f>
        <v>RAMON CASTILLA MARQUEZADO</v>
      </c>
      <c r="C140" s="37"/>
      <c r="D140" s="37"/>
      <c r="G140" s="17"/>
    </row>
    <row r="141">
      <c r="A141" s="17" t="str">
        <f>IFERROR(__xludf.DUMMYFUNCTION("""COMPUTED_VALUE"""),"Jorge Chávez")</f>
        <v>Jorge Chávez</v>
      </c>
      <c r="B141" s="17" t="str">
        <f>IFERROR(__xludf.DUMMYFUNCTION("""COMPUTED_VALUE"""),"JORGE CHAVEZ")</f>
        <v>JORGE CHAVEZ</v>
      </c>
      <c r="C141" s="37"/>
      <c r="D141" s="37"/>
      <c r="G141" s="17"/>
    </row>
    <row r="142">
      <c r="A142" s="17" t="str">
        <f>IFERROR(__xludf.DUMMYFUNCTION("""COMPUTED_VALUE"""),"José Carlos Mariategui")</f>
        <v>José Carlos Mariategui</v>
      </c>
      <c r="B142" s="17" t="str">
        <f>IFERROR(__xludf.DUMMYFUNCTION("""COMPUTED_VALUE"""),"JOSE CARLOS MARIATEGUI")</f>
        <v>JOSE CARLOS MARIATEGUI</v>
      </c>
      <c r="C142" s="37"/>
      <c r="D142" s="37"/>
      <c r="G142" s="17"/>
    </row>
    <row r="143">
      <c r="A143" s="17" t="str">
        <f>IFERROR(__xludf.DUMMYFUNCTION("""COMPUTED_VALUE"""),"Ramón Castilla M.")</f>
        <v>Ramón Castilla M.</v>
      </c>
      <c r="B143" s="17" t="str">
        <f>IFERROR(__xludf.DUMMYFUNCTION("""COMPUTED_VALUE"""),"RAMON CASTILLA MARQUEZADO")</f>
        <v>RAMON CASTILLA MARQUEZADO</v>
      </c>
      <c r="C143" s="37"/>
      <c r="D143" s="37"/>
      <c r="G143" s="17"/>
    </row>
    <row r="144">
      <c r="A144" s="17" t="str">
        <f>IFERROR(__xludf.DUMMYFUNCTION("""COMPUTED_VALUE"""),"60146 MORALILLO")</f>
        <v>60146 MORALILLO</v>
      </c>
      <c r="B144" s="17" t="str">
        <f>IFERROR(__xludf.DUMMYFUNCTION("""COMPUTED_VALUE"""),"60136")</f>
        <v>60136</v>
      </c>
      <c r="C144" s="37"/>
      <c r="D144" s="37"/>
      <c r="G144" s="17"/>
    </row>
    <row r="145">
      <c r="A145" s="17" t="str">
        <f>IFERROR(__xludf.DUMMYFUNCTION("""COMPUTED_VALUE"""),"601514 EL DORADO")</f>
        <v>601514 EL DORADO</v>
      </c>
      <c r="B145" s="17" t="str">
        <f>IFERROR(__xludf.DUMMYFUNCTION("""COMPUTED_VALUE"""),"601514")</f>
        <v>601514</v>
      </c>
      <c r="C145" s="37"/>
      <c r="D145" s="37"/>
      <c r="G145" s="17"/>
    </row>
    <row r="146">
      <c r="A146" s="17" t="str">
        <f>IFERROR(__xludf.DUMMYFUNCTION("""COMPUTED_VALUE"""),"50492 CORAZON DE JESUS")</f>
        <v>50492 CORAZON DE JESUS</v>
      </c>
      <c r="B146" s="17" t="str">
        <f>IFERROR(__xludf.DUMMYFUNCTION("""COMPUTED_VALUE"""),"50492 CORAZON DE JESUS")</f>
        <v>50492 CORAZON DE JESUS</v>
      </c>
      <c r="C146" s="37"/>
      <c r="D146" s="37"/>
      <c r="G146" s="17"/>
    </row>
    <row r="147">
      <c r="A147" s="17" t="str">
        <f>IFERROR(__xludf.DUMMYFUNCTION("""COMPUTED_VALUE"""),"50495")</f>
        <v>50495</v>
      </c>
      <c r="B147" s="17" t="str">
        <f>IFERROR(__xludf.DUMMYFUNCTION("""COMPUTED_VALUE"""),"50495")</f>
        <v>50495</v>
      </c>
      <c r="C147" s="37"/>
      <c r="D147" s="37"/>
      <c r="G147" s="17"/>
    </row>
    <row r="148">
      <c r="A148" s="17" t="str">
        <f>IFERROR(__xludf.DUMMYFUNCTION("""COMPUTED_VALUE"""),"50547")</f>
        <v>50547</v>
      </c>
      <c r="B148" s="17" t="str">
        <f>IFERROR(__xludf.DUMMYFUNCTION("""COMPUTED_VALUE"""),"50547")</f>
        <v>50547</v>
      </c>
      <c r="C148" s="37"/>
      <c r="D148" s="37"/>
      <c r="G148" s="17"/>
    </row>
    <row r="149">
      <c r="A149" s="17" t="str">
        <f>IFERROR(__xludf.DUMMYFUNCTION("""COMPUTED_VALUE"""),"50550")</f>
        <v>50550</v>
      </c>
      <c r="B149" s="17" t="str">
        <f>IFERROR(__xludf.DUMMYFUNCTION("""COMPUTED_VALUE"""),"50550")</f>
        <v>50550</v>
      </c>
      <c r="C149" s="37"/>
      <c r="D149" s="37"/>
      <c r="G149" s="17"/>
    </row>
    <row r="150">
      <c r="A150" s="17" t="str">
        <f>IFERROR(__xludf.DUMMYFUNCTION("""COMPUTED_VALUE"""),"50552 TUPAC AMARU II")</f>
        <v>50552 TUPAC AMARU II</v>
      </c>
      <c r="B150" s="17" t="str">
        <f>IFERROR(__xludf.DUMMYFUNCTION("""COMPUTED_VALUE"""),"50552 TUPAC AMARU II")</f>
        <v>50552 TUPAC AMARU II</v>
      </c>
      <c r="C150" s="37"/>
      <c r="D150" s="37"/>
    </row>
    <row r="151">
      <c r="A151" s="17" t="str">
        <f>IFERROR(__xludf.DUMMYFUNCTION("""COMPUTED_VALUE"""),"50553")</f>
        <v>50553</v>
      </c>
      <c r="B151" s="17" t="str">
        <f>IFERROR(__xludf.DUMMYFUNCTION("""COMPUTED_VALUE"""),"50553")</f>
        <v>50553</v>
      </c>
      <c r="C151" s="37"/>
      <c r="D151" s="37"/>
    </row>
    <row r="152">
      <c r="A152" s="17" t="str">
        <f>IFERROR(__xludf.DUMMYFUNCTION("""COMPUTED_VALUE"""),"50558")</f>
        <v>50558</v>
      </c>
      <c r="B152" s="17" t="str">
        <f>IFERROR(__xludf.DUMMYFUNCTION("""COMPUTED_VALUE"""),"50558")</f>
        <v>50558</v>
      </c>
      <c r="C152" s="37"/>
      <c r="D152" s="37"/>
    </row>
    <row r="153">
      <c r="A153" s="17" t="str">
        <f>IFERROR(__xludf.DUMMYFUNCTION("""COMPUTED_VALUE"""),"50715")</f>
        <v>50715</v>
      </c>
      <c r="B153" s="17" t="str">
        <f>IFERROR(__xludf.DUMMYFUNCTION("""COMPUTED_VALUE"""),"50715")</f>
        <v>50715</v>
      </c>
      <c r="C153" s="37"/>
      <c r="D153" s="37"/>
    </row>
    <row r="154">
      <c r="A154" s="17" t="str">
        <f>IFERROR(__xludf.DUMMYFUNCTION("""COMPUTED_VALUE"""),"50719 VIRGEN DEL CARMEN")</f>
        <v>50719 VIRGEN DEL CARMEN</v>
      </c>
      <c r="B154" s="17" t="str">
        <f>IFERROR(__xludf.DUMMYFUNCTION("""COMPUTED_VALUE"""),"50719 VIRGEN DEL CARMEN")</f>
        <v>50719 VIRGEN DEL CARMEN</v>
      </c>
      <c r="C154" s="37"/>
      <c r="D154" s="37"/>
    </row>
    <row r="155">
      <c r="A155" s="17" t="str">
        <f>IFERROR(__xludf.DUMMYFUNCTION("""COMPUTED_VALUE"""),"50765")</f>
        <v>50765</v>
      </c>
      <c r="B155" s="17" t="str">
        <f>IFERROR(__xludf.DUMMYFUNCTION("""COMPUTED_VALUE"""),"50765")</f>
        <v>50765</v>
      </c>
      <c r="C155" s="37"/>
      <c r="D155" s="37"/>
    </row>
    <row r="156">
      <c r="A156" s="17" t="str">
        <f>IFERROR(__xludf.DUMMYFUNCTION("""COMPUTED_VALUE"""),"50854")</f>
        <v>50854</v>
      </c>
      <c r="B156" s="17" t="str">
        <f>IFERROR(__xludf.DUMMYFUNCTION("""COMPUTED_VALUE"""),"50854")</f>
        <v>50854</v>
      </c>
      <c r="C156" s="37"/>
      <c r="D156" s="37"/>
    </row>
    <row r="157">
      <c r="A157" s="17" t="str">
        <f>IFERROR(__xludf.DUMMYFUNCTION("""COMPUTED_VALUE"""),"50977")</f>
        <v>50977</v>
      </c>
      <c r="B157" s="17" t="str">
        <f>IFERROR(__xludf.DUMMYFUNCTION("""COMPUTED_VALUE"""),"50977")</f>
        <v>50977</v>
      </c>
      <c r="C157" s="37"/>
      <c r="D157" s="37"/>
    </row>
    <row r="158">
      <c r="A158" s="17" t="str">
        <f>IFERROR(__xludf.DUMMYFUNCTION("""COMPUTED_VALUE"""),"501344")</f>
        <v>501344</v>
      </c>
      <c r="B158" s="17" t="str">
        <f>IFERROR(__xludf.DUMMYFUNCTION("""COMPUTED_VALUE"""),"501344")</f>
        <v>501344</v>
      </c>
      <c r="C158" s="37"/>
      <c r="D158" s="37"/>
    </row>
    <row r="159">
      <c r="A159" s="17" t="str">
        <f>IFERROR(__xludf.DUMMYFUNCTION("""COMPUTED_VALUE"""),"501432 PAPA FRANCISCO I")</f>
        <v>501432 PAPA FRANCISCO I</v>
      </c>
      <c r="B159" s="17" t="str">
        <f>IFERROR(__xludf.DUMMYFUNCTION("""COMPUTED_VALUE"""),"501432 PAPA FRANCISCO I")</f>
        <v>501432 PAPA FRANCISCO I</v>
      </c>
      <c r="C159" s="37"/>
      <c r="D159" s="37"/>
    </row>
    <row r="160">
      <c r="A160" s="17" t="str">
        <f>IFERROR(__xludf.DUMMYFUNCTION("""COMPUTED_VALUE"""),"501455 CRISTO REY TTIKARIY")</f>
        <v>501455 CRISTO REY TTIKARIY</v>
      </c>
      <c r="B160" s="17" t="str">
        <f>IFERROR(__xludf.DUMMYFUNCTION("""COMPUTED_VALUE"""),"501455 CRISTO REY TTIKARIY")</f>
        <v>501455 CRISTO REY TTIKARIY</v>
      </c>
      <c r="C160" s="37"/>
      <c r="D160" s="37"/>
    </row>
    <row r="161">
      <c r="A161" s="17" t="str">
        <f>IFERROR(__xludf.DUMMYFUNCTION("""COMPUTED_VALUE"""),"501532 Kumuncancha")</f>
        <v>501532 Kumuncancha</v>
      </c>
      <c r="B161" s="17" t="str">
        <f>IFERROR(__xludf.DUMMYFUNCTION("""COMPUTED_VALUE"""),"501432 PAPA FRANCISCO I")</f>
        <v>501432 PAPA FRANCISCO I</v>
      </c>
      <c r="C161" s="37"/>
      <c r="D161" s="37"/>
    </row>
    <row r="162">
      <c r="A162" s="17" t="str">
        <f>IFERROR(__xludf.DUMMYFUNCTION("""COMPUTED_VALUE"""),"VILLA ESTHER 64830")</f>
        <v>VILLA ESTHER 64830</v>
      </c>
      <c r="B162" s="17" t="str">
        <f>IFERROR(__xludf.DUMMYFUNCTION("""COMPUTED_VALUE"""),"64829")</f>
        <v>64829</v>
      </c>
      <c r="C162" s="37"/>
      <c r="D162" s="37"/>
    </row>
    <row r="163">
      <c r="A163" s="17" t="str">
        <f>IFERROR(__xludf.DUMMYFUNCTION("""COMPUTED_VALUE"""),"VILLA ESTHER 64836")</f>
        <v>VILLA ESTHER 64836</v>
      </c>
      <c r="B163" s="17" t="str">
        <f>IFERROR(__xludf.DUMMYFUNCTION("""COMPUTED_VALUE"""),"64829")</f>
        <v>64829</v>
      </c>
      <c r="C163" s="37"/>
      <c r="D163" s="37"/>
    </row>
    <row r="164">
      <c r="A164" s="17" t="str">
        <f>IFERROR(__xludf.DUMMYFUNCTION("""COMPUTED_VALUE"""),"VILLA ESTHER 64837")</f>
        <v>VILLA ESTHER 64837</v>
      </c>
      <c r="B164" s="17" t="str">
        <f>IFERROR(__xludf.DUMMYFUNCTION("""COMPUTED_VALUE"""),"64829")</f>
        <v>64829</v>
      </c>
      <c r="C164" s="37"/>
      <c r="D164" s="37"/>
    </row>
    <row r="165">
      <c r="A165" s="17" t="str">
        <f>IFERROR(__xludf.DUMMYFUNCTION("""COMPUTED_VALUE"""),"VILLA ESTHER 64838")</f>
        <v>VILLA ESTHER 64838</v>
      </c>
      <c r="B165" s="17" t="str">
        <f>IFERROR(__xludf.DUMMYFUNCTION("""COMPUTED_VALUE"""),"64829")</f>
        <v>64829</v>
      </c>
      <c r="C165" s="37"/>
      <c r="D165" s="37"/>
    </row>
    <row r="166">
      <c r="A166" s="17" t="str">
        <f>IFERROR(__xludf.DUMMYFUNCTION("""COMPUTED_VALUE"""),"VILLA ESTHER 64839")</f>
        <v>VILLA ESTHER 64839</v>
      </c>
      <c r="B166" s="17" t="str">
        <f>IFERROR(__xludf.DUMMYFUNCTION("""COMPUTED_VALUE"""),"64829")</f>
        <v>64829</v>
      </c>
      <c r="C166" s="37"/>
      <c r="D166" s="37"/>
    </row>
    <row r="167">
      <c r="A167" s="17" t="str">
        <f>IFERROR(__xludf.DUMMYFUNCTION("""COMPUTED_VALUE"""),"José Carlos Mariátegui")</f>
        <v>José Carlos Mariátegui</v>
      </c>
      <c r="B167" s="17" t="str">
        <f>IFERROR(__xludf.DUMMYFUNCTION("""COMPUTED_VALUE"""),"JOSE CARLOS MARIATEGUI")</f>
        <v>JOSE CARLOS MARIATEGUI</v>
      </c>
      <c r="C167" s="37"/>
      <c r="D167" s="37"/>
    </row>
    <row r="168">
      <c r="A168" s="17" t="str">
        <f>IFERROR(__xludf.DUMMYFUNCTION("""COMPUTED_VALUE"""),"RAMON CASTILLA MARQUESADO")</f>
        <v>RAMON CASTILLA MARQUESADO</v>
      </c>
      <c r="B168" s="17" t="str">
        <f>IFERROR(__xludf.DUMMYFUNCTION("""COMPUTED_VALUE"""),"RAMON CASTILLA MARQUEZADO")</f>
        <v>RAMON CASTILLA MARQUEZADO</v>
      </c>
      <c r="C168" s="37"/>
      <c r="D168" s="37"/>
    </row>
    <row r="169">
      <c r="A169" s="17" t="str">
        <f>IFERROR(__xludf.DUMMYFUNCTION("""COMPUTED_VALUE"""),"Ramón Castilla Marquezado")</f>
        <v>Ramón Castilla Marquezado</v>
      </c>
      <c r="B169" s="17" t="str">
        <f>IFERROR(__xludf.DUMMYFUNCTION("""COMPUTED_VALUE"""),"RAMON CASTILLA MARQUEZADO")</f>
        <v>RAMON CASTILLA MARQUEZADO</v>
      </c>
      <c r="C169" s="37"/>
      <c r="D169" s="37"/>
    </row>
    <row r="170">
      <c r="A170" s="17" t="str">
        <f>IFERROR(__xludf.DUMMYFUNCTION("""COMPUTED_VALUE"""),"SAGRADO CORAZON DE JESÚS")</f>
        <v>SAGRADO CORAZON DE JESÚS</v>
      </c>
      <c r="B170" s="17" t="str">
        <f>IFERROR(__xludf.DUMMYFUNCTION("""COMPUTED_VALUE"""),"15374")</f>
        <v>15374</v>
      </c>
      <c r="C170" s="37"/>
      <c r="D170" s="37"/>
    </row>
    <row r="171">
      <c r="A171" s="17" t="str">
        <f>IFERROR(__xludf.DUMMYFUNCTION("""COMPUTED_VALUE"""),"14144 SantaRosa-Palominos")</f>
        <v>14144 SantaRosa-Palominos</v>
      </c>
      <c r="B171" s="17" t="str">
        <f>IFERROR(__xludf.DUMMYFUNCTION("""COMPUTED_VALUE"""),"14144 SANTA ROSA")</f>
        <v>14144 SANTA ROSA</v>
      </c>
      <c r="C171" s="37"/>
      <c r="D171" s="37"/>
    </row>
    <row r="172">
      <c r="A172" s="17" t="str">
        <f>IFERROR(__xludf.DUMMYFUNCTION("""COMPUTED_VALUE"""),"I.E. N° 50765 SALLICANCHA")</f>
        <v>I.E. N° 50765 SALLICANCHA</v>
      </c>
      <c r="B172" s="17" t="str">
        <f>IFERROR(__xludf.DUMMYFUNCTION("""COMPUTED_VALUE"""),"50765")</f>
        <v>50765</v>
      </c>
      <c r="C172" s="37"/>
      <c r="D172" s="37"/>
    </row>
    <row r="173">
      <c r="A173" s="17" t="str">
        <f>IFERROR(__xludf.DUMMYFUNCTION("""COMPUTED_VALUE"""),"I.E. N° 50796 Yanacancha")</f>
        <v>I.E. N° 50796 Yanacancha</v>
      </c>
      <c r="B173" s="17" t="str">
        <f>IFERROR(__xludf.DUMMYFUNCTION("""COMPUTED_VALUE"""),"50796")</f>
        <v>50796</v>
      </c>
      <c r="C173" s="37"/>
      <c r="D173" s="37"/>
    </row>
    <row r="174">
      <c r="A174" s="17" t="str">
        <f>IFERROR(__xludf.DUMMYFUNCTION("""COMPUTED_VALUE"""),"IE. N° 50547 ACCOCUNCA")</f>
        <v>IE. N° 50547 ACCOCUNCA</v>
      </c>
      <c r="B174" s="17" t="str">
        <f>IFERROR(__xludf.DUMMYFUNCTION("""COMPUTED_VALUE"""),"50547")</f>
        <v>50547</v>
      </c>
      <c r="C174" s="37"/>
      <c r="D174" s="37"/>
    </row>
    <row r="175">
      <c r="A175" s="17" t="str">
        <f>IFERROR(__xludf.DUMMYFUNCTION("""COMPUTED_VALUE"""),"I.E. N° 50495 Ccapana")</f>
        <v>I.E. N° 50495 Ccapana</v>
      </c>
      <c r="B175" s="17" t="str">
        <f>IFERROR(__xludf.DUMMYFUNCTION("""COMPUTED_VALUE"""),"50495")</f>
        <v>50495</v>
      </c>
      <c r="C175" s="37"/>
      <c r="D175" s="37"/>
    </row>
    <row r="176">
      <c r="A176" s="17" t="str">
        <f>IFERROR(__xludf.DUMMYFUNCTION("""COMPUTED_VALUE"""),"501455")</f>
        <v>501455</v>
      </c>
      <c r="B176" s="17" t="str">
        <f>IFERROR(__xludf.DUMMYFUNCTION("""COMPUTED_VALUE"""),"501455 CRISTO REY TTIKARIY")</f>
        <v>501455 CRISTO REY TTIKARIY</v>
      </c>
      <c r="C176" s="37"/>
      <c r="D176" s="37"/>
    </row>
    <row r="177">
      <c r="A177" s="17" t="str">
        <f>IFERROR(__xludf.DUMMYFUNCTION("""COMPUTED_VALUE"""),"IE. N° 501532 Kumuncancha")</f>
        <v>IE. N° 501532 Kumuncancha</v>
      </c>
      <c r="B177" s="17" t="str">
        <f>IFERROR(__xludf.DUMMYFUNCTION("""COMPUTED_VALUE"""),"501432 PAPA FRANCISCO I")</f>
        <v>501432 PAPA FRANCISCO I</v>
      </c>
      <c r="C177" s="37"/>
      <c r="D177" s="37"/>
    </row>
    <row r="178">
      <c r="A178" s="17" t="str">
        <f>IFERROR(__xludf.DUMMYFUNCTION("""COMPUTED_VALUE"""),"LLACHI1")</f>
        <v>LLACHI1</v>
      </c>
      <c r="B178" s="17" t="str">
        <f>IFERROR(__xludf.DUMMYFUNCTION("""COMPUTED_VALUE"""),"50715")</f>
        <v>50715</v>
      </c>
      <c r="C178" s="37"/>
      <c r="D178" s="37"/>
    </row>
    <row r="179">
      <c r="A179" s="17" t="str">
        <f>IFERROR(__xludf.DUMMYFUNCTION("""COMPUTED_VALUE"""),"I.E. N° 50492 CORAZON DE JESUS OCONGATE")</f>
        <v>I.E. N° 50492 CORAZON DE JESUS OCONGATE</v>
      </c>
      <c r="B179" s="17" t="str">
        <f>IFERROR(__xludf.DUMMYFUNCTION("""COMPUTED_VALUE"""),"50492 CORAZON DE JESUS")</f>
        <v>50492 CORAZON DE JESUS</v>
      </c>
      <c r="C179" s="37"/>
      <c r="D179" s="37"/>
    </row>
    <row r="180">
      <c r="A180" s="17" t="str">
        <f>IFERROR(__xludf.DUMMYFUNCTION("""COMPUTED_VALUE"""),"Accocunca Nº 50547")</f>
        <v>Accocunca Nº 50547</v>
      </c>
      <c r="B180" s="17" t="str">
        <f>IFERROR(__xludf.DUMMYFUNCTION("""COMPUTED_VALUE"""),"50547")</f>
        <v>50547</v>
      </c>
      <c r="C180" s="37"/>
      <c r="D180" s="37"/>
    </row>
    <row r="181">
      <c r="A181" s="17" t="str">
        <f>IFERROR(__xludf.DUMMYFUNCTION("""COMPUTED_VALUE"""),"Andamayo Nº 50977")</f>
        <v>Andamayo Nº 50977</v>
      </c>
      <c r="B181" s="17" t="str">
        <f>IFERROR(__xludf.DUMMYFUNCTION("""COMPUTED_VALUE"""),"50977")</f>
        <v>50977</v>
      </c>
      <c r="C181" s="37"/>
      <c r="D181" s="37"/>
    </row>
    <row r="182">
      <c r="A182" s="17" t="str">
        <f>IFERROR(__xludf.DUMMYFUNCTION("""COMPUTED_VALUE"""),"Ccasapata Nº 501344")</f>
        <v>Ccasapata Nº 501344</v>
      </c>
      <c r="B182" s="17" t="str">
        <f>IFERROR(__xludf.DUMMYFUNCTION("""COMPUTED_VALUE"""),"501344")</f>
        <v>501344</v>
      </c>
      <c r="C182" s="37"/>
      <c r="D182" s="37"/>
    </row>
    <row r="183">
      <c r="A183" s="17" t="str">
        <f>IFERROR(__xludf.DUMMYFUNCTION("""COMPUTED_VALUE"""),"Ccapana Nº 50495")</f>
        <v>Ccapana Nº 50495</v>
      </c>
      <c r="B183" s="17" t="str">
        <f>IFERROR(__xludf.DUMMYFUNCTION("""COMPUTED_VALUE"""),"50495")</f>
        <v>50495</v>
      </c>
      <c r="C183" s="37"/>
      <c r="D183" s="37"/>
    </row>
    <row r="184">
      <c r="A184" s="17" t="str">
        <f>IFERROR(__xludf.DUMMYFUNCTION("""COMPUTED_VALUE"""),"Ccoñamuro Nº 50536")</f>
        <v>Ccoñamuro Nº 50536</v>
      </c>
      <c r="B184" s="17" t="str">
        <f>IFERROR(__xludf.DUMMYFUNCTION("""COMPUTED_VALUE"""),"50536")</f>
        <v>50536</v>
      </c>
      <c r="C184" s="37"/>
      <c r="D184" s="37"/>
    </row>
    <row r="185">
      <c r="A185" s="17" t="str">
        <f>IFERROR(__xludf.DUMMYFUNCTION("""COMPUTED_VALUE"""),"Cuyuni Nº 50912")</f>
        <v>Cuyuni Nº 50912</v>
      </c>
      <c r="B185" s="17" t="str">
        <f>IFERROR(__xludf.DUMMYFUNCTION("""COMPUTED_VALUE"""),"50912")</f>
        <v>50912</v>
      </c>
      <c r="C185" s="37"/>
      <c r="D185" s="37"/>
    </row>
    <row r="186">
      <c r="A186" s="17" t="str">
        <f>IFERROR(__xludf.DUMMYFUNCTION("""COMPUTED_VALUE"""),"Huacatinco Nº 50552")</f>
        <v>Huacatinco Nº 50552</v>
      </c>
      <c r="B186" s="17" t="str">
        <f>IFERROR(__xludf.DUMMYFUNCTION("""COMPUTED_VALUE"""),"50552 TUPAC AMARU II")</f>
        <v>50552 TUPAC AMARU II</v>
      </c>
      <c r="C186" s="37"/>
      <c r="D186" s="37"/>
    </row>
    <row r="187">
      <c r="A187" s="17" t="str">
        <f>IFERROR(__xludf.DUMMYFUNCTION("""COMPUTED_VALUE"""),"Huarahuara Nº 50535")</f>
        <v>Huarahuara Nº 50535</v>
      </c>
      <c r="B187" s="17" t="str">
        <f>IFERROR(__xludf.DUMMYFUNCTION("""COMPUTED_VALUE"""),"50535")</f>
        <v>50535</v>
      </c>
      <c r="C187" s="37"/>
      <c r="D187" s="37"/>
    </row>
    <row r="188">
      <c r="A188" s="17" t="str">
        <f>IFERROR(__xludf.DUMMYFUNCTION("""COMPUTED_VALUE"""),"Lloqueta Nº 50976")</f>
        <v>Lloqueta Nº 50976</v>
      </c>
      <c r="B188" s="17" t="str">
        <f>IFERROR(__xludf.DUMMYFUNCTION("""COMPUTED_VALUE"""),"50976")</f>
        <v>50976</v>
      </c>
      <c r="C188" s="37"/>
      <c r="D188" s="37"/>
    </row>
    <row r="189">
      <c r="A189" s="17" t="str">
        <f>IFERROR(__xludf.DUMMYFUNCTION("""COMPUTED_VALUE"""),"Llachi Nº 50715")</f>
        <v>Llachi Nº 50715</v>
      </c>
      <c r="B189" s="17" t="str">
        <f>IFERROR(__xludf.DUMMYFUNCTION("""COMPUTED_VALUE"""),"50715")</f>
        <v>50715</v>
      </c>
      <c r="C189" s="37"/>
      <c r="D189" s="37"/>
    </row>
    <row r="190">
      <c r="A190" s="17" t="str">
        <f>IFERROR(__xludf.DUMMYFUNCTION("""COMPUTED_VALUE"""),"Kumuncancha N° 501432")</f>
        <v>Kumuncancha N° 501432</v>
      </c>
      <c r="B190" s="17" t="str">
        <f>IFERROR(__xludf.DUMMYFUNCTION("""COMPUTED_VALUE"""),"501432 PAPA FRANCISCO I")</f>
        <v>501432 PAPA FRANCISCO I</v>
      </c>
      <c r="C190" s="37"/>
      <c r="D190" s="37"/>
    </row>
    <row r="191">
      <c r="A191" s="17" t="str">
        <f>IFERROR(__xludf.DUMMYFUNCTION("""COMPUTED_VALUE"""),"Marampaqui Nº 50553")</f>
        <v>Marampaqui Nº 50553</v>
      </c>
      <c r="B191" s="17" t="str">
        <f>IFERROR(__xludf.DUMMYFUNCTION("""COMPUTED_VALUE"""),"50553")</f>
        <v>50553</v>
      </c>
      <c r="C191" s="37"/>
      <c r="D191" s="37"/>
    </row>
    <row r="192">
      <c r="A192" s="17" t="str">
        <f>IFERROR(__xludf.DUMMYFUNCTION("""COMPUTED_VALUE"""),"Ocongate – Corazón de Jesús")</f>
        <v>Ocongate – Corazón de Jesús</v>
      </c>
      <c r="B192" s="17" t="str">
        <f>IFERROR(__xludf.DUMMYFUNCTION("""COMPUTED_VALUE"""),"50492 CORAZON DE JESUS")</f>
        <v>50492 CORAZON DE JESUS</v>
      </c>
      <c r="C192" s="37"/>
      <c r="D192" s="37"/>
    </row>
    <row r="193">
      <c r="A193" s="17" t="str">
        <f>IFERROR(__xludf.DUMMYFUNCTION("""COMPUTED_VALUE"""),"Pacchanta Baja N° 501455")</f>
        <v>Pacchanta Baja N° 501455</v>
      </c>
      <c r="B193" s="17" t="str">
        <f>IFERROR(__xludf.DUMMYFUNCTION("""COMPUTED_VALUE"""),"501455 CRISTO REY TTIKARIY")</f>
        <v>501455 CRISTO REY TTIKARIY</v>
      </c>
      <c r="C193" s="37"/>
      <c r="D193" s="37"/>
    </row>
    <row r="194">
      <c r="A194" s="17" t="str">
        <f>IFERROR(__xludf.DUMMYFUNCTION("""COMPUTED_VALUE"""),"Pampacancha Nº 50550")</f>
        <v>Pampacancha Nº 50550</v>
      </c>
      <c r="B194" s="17" t="str">
        <f>IFERROR(__xludf.DUMMYFUNCTION("""COMPUTED_VALUE"""),"50550")</f>
        <v>50550</v>
      </c>
      <c r="C194" s="37"/>
      <c r="D194" s="37"/>
    </row>
    <row r="195">
      <c r="A195" s="17" t="str">
        <f>IFERROR(__xludf.DUMMYFUNCTION("""COMPUTED_VALUE"""),"Parccocalla N° 50558")</f>
        <v>Parccocalla N° 50558</v>
      </c>
      <c r="B195" s="17" t="str">
        <f>IFERROR(__xludf.DUMMYFUNCTION("""COMPUTED_VALUE"""),"50558")</f>
        <v>50558</v>
      </c>
      <c r="C195" s="37"/>
      <c r="D195" s="37"/>
    </row>
    <row r="196">
      <c r="A196" s="17" t="str">
        <f>IFERROR(__xludf.DUMMYFUNCTION("""COMPUTED_VALUE"""),"Patapallpa Alto Nº 50854")</f>
        <v>Patapallpa Alto Nº 50854</v>
      </c>
      <c r="B196" s="17" t="str">
        <f>IFERROR(__xludf.DUMMYFUNCTION("""COMPUTED_VALUE"""),"50854")</f>
        <v>50854</v>
      </c>
      <c r="C196" s="37"/>
      <c r="D196" s="37"/>
    </row>
    <row r="197">
      <c r="A197" s="17" t="str">
        <f>IFERROR(__xludf.DUMMYFUNCTION("""COMPUTED_VALUE"""),"Sallicancha Nº 50765")</f>
        <v>Sallicancha Nº 50765</v>
      </c>
      <c r="B197" s="17" t="str">
        <f>IFERROR(__xludf.DUMMYFUNCTION("""COMPUTED_VALUE"""),"50765")</f>
        <v>50765</v>
      </c>
      <c r="C197" s="37"/>
      <c r="D197" s="37"/>
    </row>
    <row r="198">
      <c r="A198" s="17" t="str">
        <f>IFERROR(__xludf.DUMMYFUNCTION("""COMPUTED_VALUE"""),"TINKE N° 50719")</f>
        <v>TINKE N° 50719</v>
      </c>
      <c r="B198" s="17" t="str">
        <f>IFERROR(__xludf.DUMMYFUNCTION("""COMPUTED_VALUE"""),"50719 VIRGEN DEL CARMEN")</f>
        <v>50719 VIRGEN DEL CARMEN</v>
      </c>
      <c r="C198" s="37"/>
      <c r="D198" s="37"/>
    </row>
    <row r="199">
      <c r="A199" s="17" t="str">
        <f>IFERROR(__xludf.DUMMYFUNCTION("""COMPUTED_VALUE"""),"Umuto N° 50504")</f>
        <v>Umuto N° 50504</v>
      </c>
      <c r="B199" s="17" t="str">
        <f>IFERROR(__xludf.DUMMYFUNCTION("""COMPUTED_VALUE"""),"50504")</f>
        <v>50504</v>
      </c>
      <c r="C199" s="37"/>
      <c r="D199" s="37"/>
    </row>
    <row r="200">
      <c r="A200" s="17" t="str">
        <f>IFERROR(__xludf.DUMMYFUNCTION("""COMPUTED_VALUE"""),"Yanacancha Nº 50796")</f>
        <v>Yanacancha Nº 50796</v>
      </c>
      <c r="B200" s="17" t="str">
        <f>IFERROR(__xludf.DUMMYFUNCTION("""COMPUTED_VALUE"""),"50796")</f>
        <v>50796</v>
      </c>
      <c r="C200" s="37"/>
      <c r="D200" s="37"/>
    </row>
    <row r="201">
      <c r="A201" s="17" t="str">
        <f>IFERROR(__xludf.DUMMYFUNCTION("""COMPUTED_VALUE"""),"Parcocalla Sec. Almirante Miguel Grau")</f>
        <v>Parcocalla Sec. Almirante Miguel Grau</v>
      </c>
      <c r="B201" s="17" t="str">
        <f>IFERROR(__xludf.DUMMYFUNCTION("""COMPUTED_VALUE"""),"ALMIRANTE MIGUEL GRAU SEMINARIO")</f>
        <v>ALMIRANTE MIGUEL GRAU SEMINARIO</v>
      </c>
      <c r="C201" s="37"/>
      <c r="D201" s="37"/>
    </row>
    <row r="202">
      <c r="A202" s="17" t="str">
        <f>IFERROR(__xludf.DUMMYFUNCTION("""COMPUTED_VALUE"""),"Ccoya Sec. Los Rittis del Alto Andino")</f>
        <v>Ccoya Sec. Los Rittis del Alto Andino</v>
      </c>
      <c r="B202" s="17" t="str">
        <f>IFERROR(__xludf.DUMMYFUNCTION("""COMPUTED_VALUE"""),"1457365 LOS RIT'S DEL ALTO ANDINO")</f>
        <v>1457365 LOS RIT'S DEL ALTO ANDINO</v>
      </c>
      <c r="C202" s="37"/>
      <c r="D202" s="37"/>
    </row>
    <row r="203">
      <c r="A203" s="17" t="str">
        <f>IFERROR(__xludf.DUMMYFUNCTION("""COMPUTED_VALUE"""),"Kumuncancha Sec. 501432 Papa Francisco I")</f>
        <v>Kumuncancha Sec. 501432 Papa Francisco I</v>
      </c>
      <c r="B203" s="17" t="str">
        <f>IFERROR(__xludf.DUMMYFUNCTION("""COMPUTED_VALUE"""),"501432 PAPA FRANCISCO I")</f>
        <v>501432 PAPA FRANCISCO I</v>
      </c>
      <c r="C203" s="37"/>
      <c r="D203" s="37"/>
    </row>
    <row r="204">
      <c r="A204" s="17" t="str">
        <f>IFERROR(__xludf.DUMMYFUNCTION("""COMPUTED_VALUE"""),"501344 Ccasapata")</f>
        <v>501344 Ccasapata</v>
      </c>
      <c r="B204" s="17" t="str">
        <f>IFERROR(__xludf.DUMMYFUNCTION("""COMPUTED_VALUE"""),"501344")</f>
        <v>501344</v>
      </c>
      <c r="C204" s="37"/>
      <c r="D204" s="37"/>
    </row>
    <row r="205">
      <c r="A205" s="17" t="str">
        <f>IFERROR(__xludf.DUMMYFUNCTION("""COMPUTED_VALUE"""),"501455 Cristo Rey Ttikariy- Pacchanta Baja")</f>
        <v>501455 Cristo Rey Ttikariy- Pacchanta Baja</v>
      </c>
      <c r="B205" s="17" t="str">
        <f>IFERROR(__xludf.DUMMYFUNCTION("""COMPUTED_VALUE"""),"501455 CRISTO REY TTIKARIY")</f>
        <v>501455 CRISTO REY TTIKARIY</v>
      </c>
      <c r="C205" s="37"/>
      <c r="D205" s="37"/>
    </row>
    <row r="206">
      <c r="A206" s="17" t="str">
        <f>IFERROR(__xludf.DUMMYFUNCTION("""COMPUTED_VALUE"""),"50492 ""Corazón de Jesús"" Ocongate")</f>
        <v>50492 "Corazón de Jesús" Ocongate</v>
      </c>
      <c r="B206" s="17" t="str">
        <f>IFERROR(__xludf.DUMMYFUNCTION("""COMPUTED_VALUE"""),"50492 CORAZON DE JESUS")</f>
        <v>50492 CORAZON DE JESUS</v>
      </c>
      <c r="C206" s="37"/>
      <c r="D206" s="37"/>
    </row>
    <row r="207">
      <c r="A207" s="17" t="str">
        <f>IFERROR(__xludf.DUMMYFUNCTION("""COMPUTED_VALUE"""),"50552 Tupac Amaru II - Huacatinco")</f>
        <v>50552 Tupac Amaru II - Huacatinco</v>
      </c>
      <c r="B207" s="17" t="str">
        <f>IFERROR(__xludf.DUMMYFUNCTION("""COMPUTED_VALUE"""),"50552 TUPAC AMARU II")</f>
        <v>50552 TUPAC AMARU II</v>
      </c>
      <c r="C207" s="37"/>
      <c r="D207" s="37"/>
    </row>
    <row r="208">
      <c r="A208" s="17" t="str">
        <f>IFERROR(__xludf.DUMMYFUNCTION("""COMPUTED_VALUE"""),"50719 Virgen del Carmen de Tinke")</f>
        <v>50719 Virgen del Carmen de Tinke</v>
      </c>
      <c r="B208" s="17" t="str">
        <f>IFERROR(__xludf.DUMMYFUNCTION("""COMPUTED_VALUE"""),"50719 VIRGEN DEL CARMEN")</f>
        <v>50719 VIRGEN DEL CARMEN</v>
      </c>
      <c r="C208" s="37"/>
      <c r="D208" s="37"/>
    </row>
    <row r="209">
      <c r="A209" s="17" t="str">
        <f>IFERROR(__xludf.DUMMYFUNCTION("""COMPUTED_VALUE"""),"50854 Patapallpa Alta")</f>
        <v>50854 Patapallpa Alta</v>
      </c>
      <c r="B209" s="17" t="str">
        <f>IFERROR(__xludf.DUMMYFUNCTION("""COMPUTED_VALUE"""),"50854")</f>
        <v>50854</v>
      </c>
      <c r="C209" s="37"/>
      <c r="D209" s="37"/>
    </row>
    <row r="210">
      <c r="A210" s="17" t="str">
        <f>IFERROR(__xludf.DUMMYFUNCTION("""COMPUTED_VALUE"""),"50715 Llachi")</f>
        <v>50715 Llachi</v>
      </c>
      <c r="B210" s="17" t="str">
        <f>IFERROR(__xludf.DUMMYFUNCTION("""COMPUTED_VALUE"""),"50715")</f>
        <v>50715</v>
      </c>
      <c r="C210" s="37"/>
      <c r="D210" s="37"/>
    </row>
    <row r="211">
      <c r="A211" s="17" t="str">
        <f>IFERROR(__xludf.DUMMYFUNCTION("""COMPUTED_VALUE"""),"50765 Sallicancha")</f>
        <v>50765 Sallicancha</v>
      </c>
      <c r="B211" s="17" t="str">
        <f>IFERROR(__xludf.DUMMYFUNCTION("""COMPUTED_VALUE"""),"50765")</f>
        <v>50765</v>
      </c>
      <c r="C211" s="37"/>
      <c r="D211" s="37"/>
    </row>
    <row r="212">
      <c r="A212" s="17" t="str">
        <f>IFERROR(__xludf.DUMMYFUNCTION("""COMPUTED_VALUE"""),"50796 Yanacancha")</f>
        <v>50796 Yanacancha</v>
      </c>
      <c r="B212" s="17" t="str">
        <f>IFERROR(__xludf.DUMMYFUNCTION("""COMPUTED_VALUE"""),"50796")</f>
        <v>50796</v>
      </c>
      <c r="C212" s="37"/>
      <c r="D212" s="37"/>
    </row>
    <row r="213">
      <c r="A213" s="17" t="str">
        <f>IFERROR(__xludf.DUMMYFUNCTION("""COMPUTED_VALUE"""),"50495 Ccapana ")</f>
        <v>50495 Ccapana </v>
      </c>
      <c r="B213" s="17" t="str">
        <f>IFERROR(__xludf.DUMMYFUNCTION("""COMPUTED_VALUE"""),"50495")</f>
        <v>50495</v>
      </c>
      <c r="C213" s="37"/>
      <c r="D213" s="37"/>
    </row>
    <row r="214">
      <c r="A214" s="17" t="str">
        <f>IFERROR(__xludf.DUMMYFUNCTION("""COMPUTED_VALUE"""),"50504 Umuto")</f>
        <v>50504 Umuto</v>
      </c>
      <c r="B214" s="17" t="str">
        <f>IFERROR(__xludf.DUMMYFUNCTION("""COMPUTED_VALUE"""),"50504")</f>
        <v>50504</v>
      </c>
      <c r="C214" s="37"/>
      <c r="D214" s="37"/>
    </row>
    <row r="215">
      <c r="A215" s="17" t="str">
        <f>IFERROR(__xludf.DUMMYFUNCTION("""COMPUTED_VALUE"""),"50535 Huarahuara")</f>
        <v>50535 Huarahuara</v>
      </c>
      <c r="B215" s="17" t="str">
        <f>IFERROR(__xludf.DUMMYFUNCTION("""COMPUTED_VALUE"""),"50535")</f>
        <v>50535</v>
      </c>
      <c r="C215" s="37"/>
      <c r="D215" s="37"/>
    </row>
    <row r="216">
      <c r="A216" s="17" t="str">
        <f>IFERROR(__xludf.DUMMYFUNCTION("""COMPUTED_VALUE"""),"50536 Ccoñamuro")</f>
        <v>50536 Ccoñamuro</v>
      </c>
      <c r="B216" s="17" t="str">
        <f>IFERROR(__xludf.DUMMYFUNCTION("""COMPUTED_VALUE"""),"50536")</f>
        <v>50536</v>
      </c>
      <c r="C216" s="37"/>
      <c r="D216" s="37"/>
    </row>
    <row r="217">
      <c r="A217" s="17" t="str">
        <f>IFERROR(__xludf.DUMMYFUNCTION("""COMPUTED_VALUE"""),"50553 Marampaqui ")</f>
        <v>50553 Marampaqui </v>
      </c>
      <c r="B217" s="17" t="str">
        <f>IFERROR(__xludf.DUMMYFUNCTION("""COMPUTED_VALUE"""),"50553")</f>
        <v>50553</v>
      </c>
      <c r="C217" s="37"/>
      <c r="D217" s="37"/>
    </row>
    <row r="218">
      <c r="A218" s="17" t="str">
        <f>IFERROR(__xludf.DUMMYFUNCTION("""COMPUTED_VALUE"""),"50912 Cuyuni")</f>
        <v>50912 Cuyuni</v>
      </c>
      <c r="B218" s="17" t="str">
        <f>IFERROR(__xludf.DUMMYFUNCTION("""COMPUTED_VALUE"""),"50912")</f>
        <v>50912</v>
      </c>
      <c r="C218" s="37"/>
      <c r="D218" s="37"/>
    </row>
    <row r="219">
      <c r="A219" s="17" t="str">
        <f>IFERROR(__xludf.DUMMYFUNCTION("""COMPUTED_VALUE"""),"50976 Lloqueta")</f>
        <v>50976 Lloqueta</v>
      </c>
      <c r="B219" s="17" t="str">
        <f>IFERROR(__xludf.DUMMYFUNCTION("""COMPUTED_VALUE"""),"50976")</f>
        <v>50976</v>
      </c>
      <c r="C219" s="37"/>
      <c r="D219" s="37"/>
    </row>
    <row r="220">
      <c r="A220" s="17" t="str">
        <f>IFERROR(__xludf.DUMMYFUNCTION("""COMPUTED_VALUE"""),"501432 PAPA FRANCISCO I - Kumuncancha ")</f>
        <v>501432 PAPA FRANCISCO I - Kumuncancha </v>
      </c>
      <c r="B220" s="17" t="str">
        <f>IFERROR(__xludf.DUMMYFUNCTION("""COMPUTED_VALUE"""),"501432 PAPA FRANCISCO I")</f>
        <v>501432 PAPA FRANCISCO I</v>
      </c>
      <c r="C220" s="37"/>
      <c r="D220" s="37"/>
    </row>
    <row r="221">
      <c r="A221" s="17" t="str">
        <f>IFERROR(__xludf.DUMMYFUNCTION("""COMPUTED_VALUE"""),"ALMIRANTE MIGUEL GRAU SEMINARIO")</f>
        <v>ALMIRANTE MIGUEL GRAU SEMINARIO</v>
      </c>
      <c r="B221" s="17" t="str">
        <f>IFERROR(__xludf.DUMMYFUNCTION("""COMPUTED_VALUE"""),"ALMIRANTE MIGUEL GRAU SEMINARIO")</f>
        <v>ALMIRANTE MIGUEL GRAU SEMINARIO</v>
      </c>
      <c r="C221" s="37"/>
      <c r="D221" s="37"/>
    </row>
    <row r="222">
      <c r="A222" s="17" t="str">
        <f>IFERROR(__xludf.DUMMYFUNCTION("""COMPUTED_VALUE"""),"LOS RIT'S DEL ALTO ANDINO")</f>
        <v>LOS RIT'S DEL ALTO ANDINO</v>
      </c>
      <c r="B222" s="17" t="str">
        <f>IFERROR(__xludf.DUMMYFUNCTION("""COMPUTED_VALUE"""),"1457365 LOS RIT'S DEL ALTO ANDINO")</f>
        <v>1457365 LOS RIT'S DEL ALTO ANDINO</v>
      </c>
      <c r="C222" s="37"/>
      <c r="D222" s="37"/>
    </row>
    <row r="223">
      <c r="A223" s="17" t="str">
        <f>IFERROR(__xludf.DUMMYFUNCTION("""COMPUTED_VALUE"""),"6010230 BARBARA D'ACHILLE")</f>
        <v>6010230 BARBARA D'ACHILLE</v>
      </c>
      <c r="B223" s="17" t="str">
        <f>IFERROR(__xludf.DUMMYFUNCTION("""COMPUTED_VALUE"""),"6010230 BARBARA D'ACHILLE")</f>
        <v>6010230 BARBARA D'ACHILLE</v>
      </c>
      <c r="C223" s="37"/>
      <c r="D223" s="37"/>
    </row>
    <row r="224">
      <c r="A224" s="17" t="str">
        <f>IFERROR(__xludf.DUMMYFUNCTION("""COMPUTED_VALUE"""),"60136")</f>
        <v>60136</v>
      </c>
      <c r="B224" s="17" t="str">
        <f>IFERROR(__xludf.DUMMYFUNCTION("""COMPUTED_VALUE"""),"60136")</f>
        <v>60136</v>
      </c>
      <c r="C224" s="37"/>
      <c r="D224" s="37"/>
    </row>
    <row r="225">
      <c r="A225" s="17" t="str">
        <f>IFERROR(__xludf.DUMMYFUNCTION("""COMPUTED_VALUE"""),"60181")</f>
        <v>60181</v>
      </c>
      <c r="B225" s="17" t="str">
        <f>IFERROR(__xludf.DUMMYFUNCTION("""COMPUTED_VALUE"""),"60181")</f>
        <v>60181</v>
      </c>
      <c r="C225" s="37"/>
      <c r="D225" s="37"/>
    </row>
    <row r="226">
      <c r="A226" s="17" t="str">
        <f>IFERROR(__xludf.DUMMYFUNCTION("""COMPUTED_VALUE"""),"601330")</f>
        <v>601330</v>
      </c>
      <c r="B226" s="17" t="str">
        <f>IFERROR(__xludf.DUMMYFUNCTION("""COMPUTED_VALUE"""),"601330")</f>
        <v>601330</v>
      </c>
      <c r="C226" s="37"/>
      <c r="D226" s="37"/>
    </row>
    <row r="227">
      <c r="A227" s="17" t="str">
        <f>IFERROR(__xludf.DUMMYFUNCTION("""COMPUTED_VALUE"""),"601391")</f>
        <v>601391</v>
      </c>
      <c r="B227" s="17" t="str">
        <f>IFERROR(__xludf.DUMMYFUNCTION("""COMPUTED_VALUE"""),"601391")</f>
        <v>601391</v>
      </c>
      <c r="C227" s="37"/>
      <c r="D227" s="37"/>
    </row>
    <row r="228">
      <c r="A228" s="17" t="str">
        <f>IFERROR(__xludf.DUMMYFUNCTION("""COMPUTED_VALUE"""),"601444")</f>
        <v>601444</v>
      </c>
      <c r="B228" s="17" t="str">
        <f>IFERROR(__xludf.DUMMYFUNCTION("""COMPUTED_VALUE"""),"601444")</f>
        <v>601444</v>
      </c>
      <c r="C228" s="37"/>
      <c r="D228" s="37"/>
    </row>
    <row r="229">
      <c r="A229" s="17" t="str">
        <f>IFERROR(__xludf.DUMMYFUNCTION("""COMPUTED_VALUE"""),"601511")</f>
        <v>601511</v>
      </c>
      <c r="B229" s="17" t="str">
        <f>IFERROR(__xludf.DUMMYFUNCTION("""COMPUTED_VALUE"""),"601511")</f>
        <v>601511</v>
      </c>
      <c r="C229" s="37"/>
      <c r="D229" s="37"/>
    </row>
    <row r="230">
      <c r="A230" s="17" t="str">
        <f>IFERROR(__xludf.DUMMYFUNCTION("""COMPUTED_VALUE"""),"601563")</f>
        <v>601563</v>
      </c>
      <c r="B230" s="17" t="str">
        <f>IFERROR(__xludf.DUMMYFUNCTION("""COMPUTED_VALUE"""),"601563")</f>
        <v>601563</v>
      </c>
      <c r="C230" s="37"/>
      <c r="D230" s="37"/>
    </row>
    <row r="231">
      <c r="A231" s="17" t="str">
        <f>IFERROR(__xludf.DUMMYFUNCTION("""COMPUTED_VALUE"""),"601570")</f>
        <v>601570</v>
      </c>
      <c r="B231" s="17" t="str">
        <f>IFERROR(__xludf.DUMMYFUNCTION("""COMPUTED_VALUE"""),"601570")</f>
        <v>601570</v>
      </c>
      <c r="C231" s="37"/>
      <c r="D231" s="37"/>
    </row>
    <row r="232">
      <c r="A232" s="17" t="str">
        <f>IFERROR(__xludf.DUMMYFUNCTION("""COMPUTED_VALUE"""),"601571")</f>
        <v>601571</v>
      </c>
      <c r="B232" s="17" t="str">
        <f>IFERROR(__xludf.DUMMYFUNCTION("""COMPUTED_VALUE"""),"601571")</f>
        <v>601571</v>
      </c>
      <c r="C232" s="37"/>
      <c r="D232" s="37"/>
    </row>
    <row r="233">
      <c r="A233" s="17" t="str">
        <f>IFERROR(__xludf.DUMMYFUNCTION("""COMPUTED_VALUE"""),"601580")</f>
        <v>601580</v>
      </c>
      <c r="B233" s="17" t="str">
        <f>IFERROR(__xludf.DUMMYFUNCTION("""COMPUTED_VALUE"""),"601580")</f>
        <v>601580</v>
      </c>
      <c r="C233" s="37"/>
      <c r="D233" s="37"/>
    </row>
    <row r="234">
      <c r="A234" s="17" t="str">
        <f>IFERROR(__xludf.DUMMYFUNCTION("""COMPUTED_VALUE"""),"601678")</f>
        <v>601678</v>
      </c>
      <c r="B234" s="17" t="str">
        <f>IFERROR(__xludf.DUMMYFUNCTION("""COMPUTED_VALUE"""),"601678")</f>
        <v>601678</v>
      </c>
      <c r="C234" s="37"/>
      <c r="D234" s="37"/>
    </row>
    <row r="235">
      <c r="A235" s="17" t="str">
        <f>IFERROR(__xludf.DUMMYFUNCTION("""COMPUTED_VALUE"""),"6010102")</f>
        <v>6010102</v>
      </c>
      <c r="B235" s="17" t="str">
        <f>IFERROR(__xludf.DUMMYFUNCTION("""COMPUTED_VALUE"""),"6010102")</f>
        <v>6010102</v>
      </c>
      <c r="C235" s="37"/>
      <c r="D235" s="37"/>
    </row>
    <row r="236">
      <c r="A236" s="17" t="str">
        <f>IFERROR(__xludf.DUMMYFUNCTION("""COMPUTED_VALUE"""),"6010178")</f>
        <v>6010178</v>
      </c>
      <c r="B236" s="17" t="str">
        <f>IFERROR(__xludf.DUMMYFUNCTION("""COMPUTED_VALUE"""),"6010178")</f>
        <v>6010178</v>
      </c>
      <c r="C236" s="37"/>
      <c r="D236" s="37"/>
    </row>
    <row r="237">
      <c r="A237" s="17" t="str">
        <f>IFERROR(__xludf.DUMMYFUNCTION("""COMPUTED_VALUE"""),"6010231")</f>
        <v>6010231</v>
      </c>
      <c r="B237" s="17" t="str">
        <f>IFERROR(__xludf.DUMMYFUNCTION("""COMPUTED_VALUE"""),"6010231")</f>
        <v>6010231</v>
      </c>
      <c r="C237" s="37"/>
      <c r="D237" s="37"/>
    </row>
    <row r="238">
      <c r="A238" s="17" t="str">
        <f>IFERROR(__xludf.DUMMYFUNCTION("""COMPUTED_VALUE"""),"475")</f>
        <v>475</v>
      </c>
      <c r="B238" s="17" t="str">
        <f>IFERROR(__xludf.DUMMYFUNCTION("""COMPUTED_VALUE"""),"475")</f>
        <v>475</v>
      </c>
      <c r="C238" s="37"/>
      <c r="D238" s="37"/>
    </row>
    <row r="239">
      <c r="A239" s="17" t="str">
        <f>IFERROR(__xludf.DUMMYFUNCTION("""COMPUTED_VALUE"""),"404")</f>
        <v>404</v>
      </c>
      <c r="B239" s="17" t="str">
        <f>IFERROR(__xludf.DUMMYFUNCTION("""COMPUTED_VALUE"""),"404")</f>
        <v>404</v>
      </c>
      <c r="C239" s="37"/>
      <c r="D239" s="37"/>
    </row>
    <row r="240">
      <c r="A240" s="17" t="str">
        <f>IFERROR(__xludf.DUMMYFUNCTION("""COMPUTED_VALUE"""),"405")</f>
        <v>405</v>
      </c>
      <c r="B240" s="17" t="str">
        <f>IFERROR(__xludf.DUMMYFUNCTION("""COMPUTED_VALUE"""),"405")</f>
        <v>405</v>
      </c>
      <c r="C240" s="37"/>
      <c r="D240" s="37"/>
    </row>
    <row r="241">
      <c r="A241" s="17" t="str">
        <f>IFERROR(__xludf.DUMMYFUNCTION("""COMPUTED_VALUE"""),"536 MI CASITA DEL SABER")</f>
        <v>536 MI CASITA DEL SABER</v>
      </c>
      <c r="B241" s="17" t="str">
        <f>IFERROR(__xludf.DUMMYFUNCTION("""COMPUTED_VALUE"""),"536")</f>
        <v>536</v>
      </c>
      <c r="C241" s="37"/>
      <c r="D241" s="37"/>
    </row>
    <row r="242">
      <c r="A242" s="17" t="str">
        <f>IFERROR(__xludf.DUMMYFUNCTION("""COMPUTED_VALUE"""),"538")</f>
        <v>538</v>
      </c>
      <c r="B242" s="17" t="str">
        <f>IFERROR(__xludf.DUMMYFUNCTION("""COMPUTED_VALUE"""),"538")</f>
        <v>538</v>
      </c>
      <c r="C242" s="37"/>
      <c r="D242" s="37"/>
    </row>
    <row r="243">
      <c r="A243" s="17" t="str">
        <f>IFERROR(__xludf.DUMMYFUNCTION("""COMPUTED_VALUE"""),"573")</f>
        <v>573</v>
      </c>
      <c r="B243" s="17" t="str">
        <f>IFERROR(__xludf.DUMMYFUNCTION("""COMPUTED_VALUE"""),"573")</f>
        <v>573</v>
      </c>
      <c r="C243" s="37"/>
      <c r="D243" s="37"/>
    </row>
    <row r="244">
      <c r="A244" s="17" t="str">
        <f>IFERROR(__xludf.DUMMYFUNCTION("""COMPUTED_VALUE"""),"604")</f>
        <v>604</v>
      </c>
      <c r="B244" s="17" t="str">
        <f>IFERROR(__xludf.DUMMYFUNCTION("""COMPUTED_VALUE"""),"604")</f>
        <v>604</v>
      </c>
      <c r="C244" s="37"/>
      <c r="D244" s="37"/>
    </row>
    <row r="245">
      <c r="A245" s="17" t="str">
        <f>IFERROR(__xludf.DUMMYFUNCTION("""COMPUTED_VALUE"""),"656")</f>
        <v>656</v>
      </c>
      <c r="B245" s="17" t="str">
        <f>IFERROR(__xludf.DUMMYFUNCTION("""COMPUTED_VALUE"""),"656")</f>
        <v>656</v>
      </c>
      <c r="C245" s="37"/>
      <c r="D245" s="37"/>
    </row>
    <row r="246">
      <c r="A246" s="17" t="str">
        <f>IFERROR(__xludf.DUMMYFUNCTION("""COMPUTED_VALUE"""),"678")</f>
        <v>678</v>
      </c>
      <c r="B246" s="17" t="str">
        <f>IFERROR(__xludf.DUMMYFUNCTION("""COMPUTED_VALUE"""),"678")</f>
        <v>678</v>
      </c>
      <c r="C246" s="37"/>
      <c r="D246" s="37"/>
    </row>
    <row r="247">
      <c r="A247" s="17" t="str">
        <f>IFERROR(__xludf.DUMMYFUNCTION("""COMPUTED_VALUE"""),"852")</f>
        <v>852</v>
      </c>
      <c r="B247" s="17" t="str">
        <f>IFERROR(__xludf.DUMMYFUNCTION("""COMPUTED_VALUE"""),"852")</f>
        <v>852</v>
      </c>
      <c r="C247" s="37"/>
      <c r="D247" s="37"/>
    </row>
    <row r="248">
      <c r="A248" s="17" t="str">
        <f>IFERROR(__xludf.DUMMYFUNCTION("""COMPUTED_VALUE"""),"809")</f>
        <v>809</v>
      </c>
      <c r="B248" s="17" t="str">
        <f>IFERROR(__xludf.DUMMYFUNCTION("""COMPUTED_VALUE"""),"809")</f>
        <v>809</v>
      </c>
      <c r="C248" s="37"/>
      <c r="D248" s="37"/>
    </row>
    <row r="249">
      <c r="A249" s="17" t="str">
        <f>IFERROR(__xludf.DUMMYFUNCTION("""COMPUTED_VALUE"""),"808")</f>
        <v>808</v>
      </c>
      <c r="B249" s="17" t="str">
        <f>IFERROR(__xludf.DUMMYFUNCTION("""COMPUTED_VALUE"""),"808")</f>
        <v>808</v>
      </c>
      <c r="C249" s="37"/>
      <c r="D249" s="37"/>
    </row>
    <row r="250">
      <c r="A250" s="17" t="str">
        <f>IFERROR(__xludf.DUMMYFUNCTION("""COMPUTED_VALUE"""),"812")</f>
        <v>812</v>
      </c>
      <c r="B250" s="17" t="str">
        <f>IFERROR(__xludf.DUMMYFUNCTION("""COMPUTED_VALUE"""),"812")</f>
        <v>812</v>
      </c>
      <c r="C250" s="37"/>
      <c r="D250" s="37"/>
    </row>
    <row r="251">
      <c r="A251" s="17" t="str">
        <f>IFERROR(__xludf.DUMMYFUNCTION("""COMPUTED_VALUE"""),"810")</f>
        <v>810</v>
      </c>
      <c r="B251" s="17" t="str">
        <f>IFERROR(__xludf.DUMMYFUNCTION("""COMPUTED_VALUE"""),"810")</f>
        <v>810</v>
      </c>
      <c r="C251" s="37"/>
      <c r="D251" s="37"/>
    </row>
    <row r="252">
      <c r="A252" s="17" t="str">
        <f>IFERROR(__xludf.DUMMYFUNCTION("""COMPUTED_VALUE"""),"811")</f>
        <v>811</v>
      </c>
      <c r="B252" s="17" t="str">
        <f>IFERROR(__xludf.DUMMYFUNCTION("""COMPUTED_VALUE"""),"811")</f>
        <v>811</v>
      </c>
      <c r="C252" s="37"/>
      <c r="D252" s="37"/>
    </row>
    <row r="253">
      <c r="A253" s="17" t="str">
        <f>IFERROR(__xludf.DUMMYFUNCTION("""COMPUTED_VALUE"""),"601496")</f>
        <v>601496</v>
      </c>
      <c r="B253" s="17" t="str">
        <f>IFERROR(__xludf.DUMMYFUNCTION("""COMPUTED_VALUE"""),"601496")</f>
        <v>601496</v>
      </c>
      <c r="C253" s="37"/>
      <c r="D253" s="37"/>
    </row>
    <row r="254">
      <c r="A254" s="17" t="str">
        <f>IFERROR(__xludf.DUMMYFUNCTION("""COMPUTED_VALUE"""),"601528")</f>
        <v>601528</v>
      </c>
      <c r="B254" s="17" t="str">
        <f>IFERROR(__xludf.DUMMYFUNCTION("""COMPUTED_VALUE"""),"601528")</f>
        <v>601528</v>
      </c>
      <c r="C254" s="37"/>
      <c r="D254" s="37"/>
    </row>
    <row r="255">
      <c r="A255" s="17" t="str">
        <f>IFERROR(__xludf.DUMMYFUNCTION("""COMPUTED_VALUE"""),"IE 15374 Sagrado Corazón de Jesús - Pueblo libre")</f>
        <v>IE 15374 Sagrado Corazón de Jesús - Pueblo libre</v>
      </c>
      <c r="B255" s="17" t="str">
        <f>IFERROR(__xludf.DUMMYFUNCTION("""COMPUTED_VALUE"""),"15374")</f>
        <v>15374</v>
      </c>
      <c r="C255" s="37"/>
      <c r="D255" s="37"/>
    </row>
    <row r="256">
      <c r="A256" s="17" t="str">
        <f>IFERROR(__xludf.DUMMYFUNCTION("""COMPUTED_VALUE"""),"IE 14145 Santa Julia Billiart")</f>
        <v>IE 14145 Santa Julia Billiart</v>
      </c>
      <c r="B256" s="17" t="str">
        <f>IFERROR(__xludf.DUMMYFUNCTION("""COMPUTED_VALUE"""),"14145 SANTA JULIA BILLIART")</f>
        <v>14145 SANTA JULIA BILLIART</v>
      </c>
      <c r="C256" s="37"/>
      <c r="D256" s="37"/>
    </row>
    <row r="257">
      <c r="A257" s="17" t="str">
        <f>IFERROR(__xludf.DUMMYFUNCTION("""COMPUTED_VALUE"""),"IE 14144 Santa Rosa")</f>
        <v>IE 14144 Santa Rosa</v>
      </c>
      <c r="B257" s="17" t="str">
        <f>IFERROR(__xludf.DUMMYFUNCTION("""COMPUTED_VALUE"""),"14144 SANTA ROSA")</f>
        <v>14144 SANTA ROSA</v>
      </c>
      <c r="C257" s="37"/>
      <c r="D257" s="37"/>
    </row>
    <row r="258">
      <c r="A258" s="17" t="str">
        <f>IFERROR(__xludf.DUMMYFUNCTION("""COMPUTED_VALUE"""),"I.E.N° 14894 - TOTORAL ALTO")</f>
        <v>I.E.N° 14894 - TOTORAL ALTO</v>
      </c>
      <c r="B258" s="17" t="str">
        <f>IFERROR(__xludf.DUMMYFUNCTION("""COMPUTED_VALUE"""),"14894")</f>
        <v>14894</v>
      </c>
      <c r="C258" s="37"/>
      <c r="D258" s="37"/>
    </row>
    <row r="259">
      <c r="A259" s="17" t="str">
        <f>IFERROR(__xludf.DUMMYFUNCTION("""COMPUTED_VALUE"""),"14975  - EL CARBÓN")</f>
        <v>14975  - EL CARBÓN</v>
      </c>
      <c r="B259" s="17" t="str">
        <f>IFERROR(__xludf.DUMMYFUNCTION("""COMPUTED_VALUE"""),"14975")</f>
        <v>14975</v>
      </c>
      <c r="C259" s="37"/>
      <c r="D259" s="37"/>
    </row>
    <row r="260">
      <c r="A260" s="17" t="str">
        <f>IFERROR(__xludf.DUMMYFUNCTION("""COMPUTED_VALUE"""),"20104 CP-8 ""Esperanza de Mi Cautivo""")</f>
        <v>20104 CP-8 "Esperanza de Mi Cautivo"</v>
      </c>
      <c r="B260" s="17" t="str">
        <f>IFERROR(__xludf.DUMMYFUNCTION("""COMPUTED_VALUE"""),"20104")</f>
        <v>20104</v>
      </c>
      <c r="C260" s="37"/>
      <c r="D260" s="37"/>
    </row>
    <row r="261">
      <c r="A261" s="17" t="str">
        <f>IFERROR(__xludf.DUMMYFUNCTION("""COMPUTED_VALUE"""),"15304 Guaraguaos B")</f>
        <v>15304 Guaraguaos B</v>
      </c>
      <c r="B261" s="17" t="str">
        <f>IFERROR(__xludf.DUMMYFUNCTION("""COMPUTED_VALUE"""),"15304")</f>
        <v>15304</v>
      </c>
      <c r="C261" s="37"/>
      <c r="D261" s="37"/>
    </row>
    <row r="262">
      <c r="A262" s="17" t="str">
        <f>IFERROR(__xludf.DUMMYFUNCTION("""COMPUTED_VALUE"""),"14924 - DANIEL ALCIDES CARRIÓN")</f>
        <v>14924 - DANIEL ALCIDES CARRIÓN</v>
      </c>
      <c r="B262" s="17" t="str">
        <f>IFERROR(__xludf.DUMMYFUNCTION("""COMPUTED_VALUE"""),"14924 DANIEL ALCIDES CARRION")</f>
        <v>14924 DANIEL ALCIDES CARRION</v>
      </c>
      <c r="C262" s="37"/>
      <c r="D262" s="37"/>
    </row>
    <row r="263">
      <c r="A263" s="17" t="str">
        <f>IFERROR(__xludf.DUMMYFUNCTION("""COMPUTED_VALUE"""),"I.E. 910 LOS ZAPATAS")</f>
        <v>I.E. 910 LOS ZAPATAS</v>
      </c>
      <c r="B263" s="17" t="str">
        <f>IFERROR(__xludf.DUMMYFUNCTION("""COMPUTED_VALUE"""),"910")</f>
        <v>910</v>
      </c>
      <c r="C263" s="37"/>
      <c r="D263" s="37"/>
    </row>
    <row r="264">
      <c r="A264" s="17" t="str">
        <f>IFERROR(__xludf.DUMMYFUNCTION("""COMPUTED_VALUE"""),"I.E. N° 058 - PUEBLO LIBRE")</f>
        <v>I.E. N° 058 - PUEBLO LIBRE</v>
      </c>
      <c r="B264" s="17" t="str">
        <f>IFERROR(__xludf.DUMMYFUNCTION("""COMPUTED_VALUE"""),"058")</f>
        <v>058</v>
      </c>
      <c r="C264" s="37"/>
      <c r="D264" s="37"/>
    </row>
    <row r="265">
      <c r="A265" s="17" t="str">
        <f>IFERROR(__xludf.DUMMYFUNCTION("""COMPUTED_VALUE"""),"I.E. N° 1419 - CRUCE DE VEGA")</f>
        <v>I.E. N° 1419 - CRUCE DE VEGA</v>
      </c>
      <c r="B265" s="17" t="str">
        <f>IFERROR(__xludf.DUMMYFUNCTION("""COMPUTED_VALUE"""),"1419")</f>
        <v>1419</v>
      </c>
      <c r="C265" s="37"/>
      <c r="D265" s="37"/>
    </row>
    <row r="266">
      <c r="A266" s="17" t="str">
        <f>IFERROR(__xludf.DUMMYFUNCTION("""COMPUTED_VALUE"""),"I.E. N° 1559 - MANCO CÁPAC")</f>
        <v>I.E. N° 1559 - MANCO CÁPAC</v>
      </c>
      <c r="B266" s="17" t="str">
        <f>IFERROR(__xludf.DUMMYFUNCTION("""COMPUTED_VALUE"""),"1559")</f>
        <v>1559</v>
      </c>
      <c r="C266" s="37"/>
      <c r="D266" s="37"/>
    </row>
    <row r="267">
      <c r="A267" s="17" t="str">
        <f>IFERROR(__xludf.DUMMYFUNCTION("""COMPUTED_VALUE"""),"I.E. N° 489 - JOSÉ MARÍA VELAZ - GUARAGUAOS BAJO")</f>
        <v>I.E. N° 489 - JOSÉ MARÍA VELAZ - GUARAGUAOS BAJO</v>
      </c>
      <c r="B267" s="17" t="str">
        <f>IFERROR(__xludf.DUMMYFUNCTION("""COMPUTED_VALUE"""),"489")</f>
        <v>489</v>
      </c>
      <c r="C267" s="37"/>
      <c r="D267" s="37"/>
    </row>
    <row r="268">
      <c r="A268" s="17" t="str">
        <f>IFERROR(__xludf.DUMMYFUNCTION("""COMPUTED_VALUE"""),"I.E. N° 732 VIRGEN DE MONSERRAT - PALOMINOS")</f>
        <v>I.E. N° 732 VIRGEN DE MONSERRAT - PALOMINOS</v>
      </c>
      <c r="B268" s="17" t="str">
        <f>IFERROR(__xludf.DUMMYFUNCTION("""COMPUTED_VALUE"""),"732")</f>
        <v>732</v>
      </c>
      <c r="C268" s="37"/>
      <c r="D268" s="37"/>
    </row>
    <row r="269">
      <c r="A269" s="17" t="str">
        <f>IFERROR(__xludf.DUMMYFUNCTION("""COMPUTED_VALUE"""),"I.E. N°1341 - CP-8")</f>
        <v>I.E. N°1341 - CP-8</v>
      </c>
      <c r="B269" s="17" t="str">
        <f>IFERROR(__xludf.DUMMYFUNCTION("""COMPUTED_VALUE"""),"1341")</f>
        <v>1341</v>
      </c>
      <c r="C269" s="37"/>
      <c r="D269" s="37"/>
    </row>
    <row r="270">
      <c r="A270" s="17" t="str">
        <f>IFERROR(__xludf.DUMMYFUNCTION("""COMPUTED_VALUE"""),"I.E.N° 469 - TEJEDORES BAJO")</f>
        <v>I.E.N° 469 - TEJEDORES BAJO</v>
      </c>
      <c r="B270" s="17" t="str">
        <f>IFERROR(__xludf.DUMMYFUNCTION("""COMPUTED_VALUE"""),"469")</f>
        <v>469</v>
      </c>
      <c r="C270" s="37"/>
      <c r="D270" s="37"/>
    </row>
    <row r="271">
      <c r="A271" s="17" t="str">
        <f>IFERROR(__xludf.DUMMYFUNCTION("""COMPUTED_VALUE"""),"I.E.N° 909 - BELLO HORIZONTE")</f>
        <v>I.E.N° 909 - BELLO HORIZONTE</v>
      </c>
      <c r="B271" s="17" t="str">
        <f>IFERROR(__xludf.DUMMYFUNCTION("""COMPUTED_VALUE"""),"909 - BELLO HORIZONTE")</f>
        <v>909 - BELLO HORIZONTE</v>
      </c>
      <c r="C271" s="37"/>
      <c r="D271" s="37"/>
    </row>
    <row r="272">
      <c r="A272" s="17" t="str">
        <f>IFERROR(__xludf.DUMMYFUNCTION("""COMPUTED_VALUE"""),"I.E.N°1558 - MONTEVERDE ALTO")</f>
        <v>I.E.N°1558 - MONTEVERDE ALTO</v>
      </c>
      <c r="B272" s="17" t="str">
        <f>IFERROR(__xludf.DUMMYFUNCTION("""COMPUTED_VALUE"""),"1558 - MONTEVERDE ALTO")</f>
        <v>1558 - MONTEVERDE ALTO</v>
      </c>
      <c r="C272" s="37"/>
      <c r="D272" s="37"/>
    </row>
    <row r="273">
      <c r="A273" s="17" t="str">
        <f>IFERROR(__xludf.DUMMYFUNCTION("""COMPUTED_VALUE"""),"I.E.N°731 - EL CARBÓN")</f>
        <v>I.E.N°731 - EL CARBÓN</v>
      </c>
      <c r="B273" s="17" t="str">
        <f>IFERROR(__xludf.DUMMYFUNCTION("""COMPUTED_VALUE"""),"731 - EL CARBÓN")</f>
        <v>731 - EL CARBÓN</v>
      </c>
      <c r="C273" s="37"/>
      <c r="D273" s="37"/>
    </row>
    <row r="274">
      <c r="A274" s="17" t="str">
        <f>IFERROR(__xludf.DUMMYFUNCTION("""COMPUTED_VALUE"""),"1416")</f>
        <v>1416</v>
      </c>
      <c r="B274" s="17" t="str">
        <f>IFERROR(__xludf.DUMMYFUNCTION("""COMPUTED_VALUE"""),"1416")</f>
        <v>1416</v>
      </c>
      <c r="C274" s="37"/>
      <c r="D274" s="37"/>
    </row>
    <row r="275">
      <c r="A275" s="17" t="str">
        <f>IFERROR(__xludf.DUMMYFUNCTION("""COMPUTED_VALUE"""),"1417")</f>
        <v>1417</v>
      </c>
      <c r="B275" s="17" t="str">
        <f>IFERROR(__xludf.DUMMYFUNCTION("""COMPUTED_VALUE"""),"1417")</f>
        <v>1417</v>
      </c>
      <c r="C275" s="37"/>
      <c r="D275" s="37"/>
    </row>
    <row r="276">
      <c r="A276" s="17" t="str">
        <f>IFERROR(__xludf.DUMMYFUNCTION("""COMPUTED_VALUE"""),"467 PUEBLO NUEVO")</f>
        <v>467 PUEBLO NUEVO</v>
      </c>
      <c r="B276" s="17" t="str">
        <f>IFERROR(__xludf.DUMMYFUNCTION("""COMPUTED_VALUE"""),"467 PUEBLO NUEVO")</f>
        <v>467 PUEBLO NUEVO</v>
      </c>
      <c r="C276" s="37"/>
      <c r="D276" s="37"/>
    </row>
    <row r="277">
      <c r="A277" s="17" t="str">
        <f>IFERROR(__xludf.DUMMYFUNCTION("""COMPUTED_VALUE"""),"NIÑO JESUS DE PRAGA")</f>
        <v>NIÑO JESUS DE PRAGA</v>
      </c>
      <c r="B277" s="17" t="str">
        <f>IFERROR(__xludf.DUMMYFUNCTION("""COMPUTED_VALUE"""),"NIÑO JESUS DE PRAGA")</f>
        <v>NIÑO JESUS DE PRAGA</v>
      </c>
      <c r="C277" s="37"/>
      <c r="D277" s="37"/>
    </row>
    <row r="278">
      <c r="A278" s="17" t="str">
        <f>IFERROR(__xludf.DUMMYFUNCTION("""COMPUTED_VALUE"""),"MARIA AUXILIADORA")</f>
        <v>MARIA AUXILIADORA</v>
      </c>
      <c r="B278" s="17" t="str">
        <f>IFERROR(__xludf.DUMMYFUNCTION("""COMPUTED_VALUE"""),"MARIA AUXILIADORA")</f>
        <v>MARIA AUXILIADORA</v>
      </c>
      <c r="C278" s="37"/>
      <c r="D278" s="37"/>
    </row>
    <row r="279">
      <c r="A279" s="17" t="str">
        <f>IFERROR(__xludf.DUMMYFUNCTION("""COMPUTED_VALUE"""),"VIRGEN DE LAS MERCEDES")</f>
        <v>VIRGEN DE LAS MERCEDES</v>
      </c>
      <c r="B279" s="17" t="str">
        <f>IFERROR(__xludf.DUMMYFUNCTION("""COMPUTED_VALUE"""),"VIRGEN DE LAS MERCEDES")</f>
        <v>VIRGEN DE LAS MERCEDES</v>
      </c>
      <c r="C279" s="37"/>
      <c r="D279" s="37"/>
    </row>
    <row r="280">
      <c r="A280" s="17" t="str">
        <f>IFERROR(__xludf.DUMMYFUNCTION("""COMPUTED_VALUE"""),"15314")</f>
        <v>15314</v>
      </c>
      <c r="B280" s="17" t="str">
        <f>IFERROR(__xludf.DUMMYFUNCTION("""COMPUTED_VALUE"""),"15314")</f>
        <v>15314</v>
      </c>
      <c r="C280" s="37"/>
      <c r="D280" s="37"/>
    </row>
    <row r="281">
      <c r="A281" s="17" t="str">
        <f>IFERROR(__xludf.DUMMYFUNCTION("""COMPUTED_VALUE"""),"15055 Sesteadero")</f>
        <v>15055 Sesteadero</v>
      </c>
      <c r="B281" s="17" t="str">
        <f>IFERROR(__xludf.DUMMYFUNCTION("""COMPUTED_VALUE"""),"15055 Sesteadero")</f>
        <v>15055 Sesteadero</v>
      </c>
      <c r="C281" s="37"/>
      <c r="D281" s="37"/>
    </row>
    <row r="282">
      <c r="A282" s="17" t="str">
        <f>IFERROR(__xludf.DUMMYFUNCTION("""COMPUTED_VALUE"""),"TECNICO MARIA TERESA DE JESUS GERHARDINGER")</f>
        <v>TECNICO MARIA TERESA DE JESUS GERHARDINGER</v>
      </c>
      <c r="B282" s="17" t="str">
        <f>IFERROR(__xludf.DUMMYFUNCTION("""COMPUTED_VALUE"""),"TECNICO MARIA TERESA DE JESUS GERHARDINGER")</f>
        <v>TECNICO MARIA TERESA DE JESUS GERHARDINGER</v>
      </c>
      <c r="C282" s="37"/>
      <c r="D282" s="37"/>
    </row>
    <row r="283">
      <c r="A283" s="17" t="str">
        <f>IFERROR(__xludf.DUMMYFUNCTION("""COMPUTED_VALUE"""),"692 - Cajay")</f>
        <v>692 - Cajay</v>
      </c>
      <c r="B283" s="17" t="str">
        <f>IFERROR(__xludf.DUMMYFUNCTION("""COMPUTED_VALUE"""),"692 - Cajay")</f>
        <v>692 - Cajay</v>
      </c>
      <c r="C283" s="37"/>
      <c r="D283" s="37"/>
    </row>
    <row r="284">
      <c r="A284" s="17" t="str">
        <f>IFERROR(__xludf.DUMMYFUNCTION("""COMPUTED_VALUE"""),"86548 ""José María Velaz"" Pichiu")</f>
        <v>86548 "José María Velaz" Pichiu</v>
      </c>
      <c r="B284" s="17" t="str">
        <f>IFERROR(__xludf.DUMMYFUNCTION("""COMPUTED_VALUE"""),"86548 JOSE MARIA VELAZ")</f>
        <v>86548 JOSE MARIA VELAZ</v>
      </c>
      <c r="C284" s="37"/>
      <c r="D284" s="37"/>
    </row>
    <row r="285">
      <c r="A285" s="17" t="str">
        <f>IFERROR(__xludf.DUMMYFUNCTION("""COMPUTED_VALUE"""),"86769 ""Abraham Valdelomar"" Huáscar")</f>
        <v>86769 "Abraham Valdelomar" Huáscar</v>
      </c>
      <c r="B285" s="17" t="str">
        <f>IFERROR(__xludf.DUMMYFUNCTION("""COMPUTED_VALUE"""),"86769 ABRAHAM VALDELOMAR")</f>
        <v>86769 ABRAHAM VALDELOMAR</v>
      </c>
      <c r="C285" s="37"/>
      <c r="D285" s="37"/>
    </row>
    <row r="286">
      <c r="A286" s="17" t="str">
        <f>IFERROR(__xludf.DUMMYFUNCTION("""COMPUTED_VALUE"""),"87009-01 Huanchuy")</f>
        <v>87009-01 Huanchuy</v>
      </c>
      <c r="B286" s="17" t="str">
        <f>IFERROR(__xludf.DUMMYFUNCTION("""COMPUTED_VALUE"""),"87009-01")</f>
        <v>87009-01</v>
      </c>
      <c r="C286" s="37"/>
      <c r="D286" s="37"/>
    </row>
    <row r="287">
      <c r="A287" s="17" t="str">
        <f>IFERROR(__xludf.DUMMYFUNCTION("""COMPUTED_VALUE"""),"88247 San Enrique de Capan")</f>
        <v>88247 San Enrique de Capan</v>
      </c>
      <c r="B287" s="17" t="str">
        <f>IFERROR(__xludf.DUMMYFUNCTION("""COMPUTED_VALUE"""),"88247 SAN ENRIQUE")</f>
        <v>88247 SAN ENRIQUE</v>
      </c>
      <c r="C287" s="37"/>
      <c r="D287" s="37"/>
    </row>
    <row r="288">
      <c r="A288" s="17" t="str">
        <f>IFERROR(__xludf.DUMMYFUNCTION("""COMPUTED_VALUE"""),"88327 Carap")</f>
        <v>88327 Carap</v>
      </c>
      <c r="B288" s="17" t="str">
        <f>IFERROR(__xludf.DUMMYFUNCTION("""COMPUTED_VALUE"""),"88327")</f>
        <v>88327</v>
      </c>
      <c r="C288" s="37"/>
      <c r="D288" s="37"/>
    </row>
    <row r="289">
      <c r="A289" s="17" t="str">
        <f>IFERROR(__xludf.DUMMYFUNCTION("""COMPUTED_VALUE"""),"86809 Huarac- huarán")</f>
        <v>86809 Huarac- huarán</v>
      </c>
      <c r="B289" s="17" t="str">
        <f>IFERROR(__xludf.DUMMYFUNCTION("""COMPUTED_VALUE"""),"86809")</f>
        <v>86809</v>
      </c>
      <c r="C289" s="37"/>
      <c r="D289" s="37"/>
    </row>
    <row r="290">
      <c r="A290" s="17" t="str">
        <f>IFERROR(__xludf.DUMMYFUNCTION("""COMPUTED_VALUE"""),"693")</f>
        <v>693</v>
      </c>
      <c r="B290" s="17" t="str">
        <f>IFERROR(__xludf.DUMMYFUNCTION("""COMPUTED_VALUE"""),"693")</f>
        <v>693</v>
      </c>
      <c r="C290" s="37"/>
      <c r="D290" s="37"/>
    </row>
    <row r="291">
      <c r="A291" s="17" t="str">
        <f>IFERROR(__xludf.DUMMYFUNCTION("""COMPUTED_VALUE"""),"86731")</f>
        <v>86731</v>
      </c>
      <c r="B291" s="17" t="str">
        <f>IFERROR(__xludf.DUMMYFUNCTION("""COMPUTED_VALUE"""),"86731")</f>
        <v>86731</v>
      </c>
      <c r="C291" s="37"/>
      <c r="D291" s="37"/>
    </row>
    <row r="292">
      <c r="A292" s="17" t="str">
        <f>IFERROR(__xludf.DUMMYFUNCTION("""COMPUTED_VALUE"""),"86783 CARLOS EDUARDO ZAVALETA")</f>
        <v>86783 CARLOS EDUARDO ZAVALETA</v>
      </c>
      <c r="B292" s="17" t="str">
        <f>IFERROR(__xludf.DUMMYFUNCTION("""COMPUTED_VALUE"""),"86783 CARLOS EDUARDO ZAVALETA")</f>
        <v>86783 CARLOS EDUARDO ZAVALETA</v>
      </c>
      <c r="C292" s="37"/>
      <c r="D292" s="37"/>
    </row>
    <row r="293">
      <c r="A293" s="17" t="str">
        <f>IFERROR(__xludf.DUMMYFUNCTION("""COMPUTED_VALUE"""),"64048 Nueva Barranca")</f>
        <v>64048 Nueva Barranca</v>
      </c>
      <c r="B293" s="17" t="str">
        <f>IFERROR(__xludf.DUMMYFUNCTION("""COMPUTED_VALUE"""),"64048")</f>
        <v>64048</v>
      </c>
      <c r="C293" s="37"/>
      <c r="D293" s="37"/>
    </row>
    <row r="294">
      <c r="A294" s="17" t="str">
        <f>IFERROR(__xludf.DUMMYFUNCTION("""COMPUTED_VALUE"""),"64508-B Santa Isabel de Bahuanisho")</f>
        <v>64508-B Santa Isabel de Bahuanisho</v>
      </c>
      <c r="B294" s="17" t="str">
        <f>IFERROR(__xludf.DUMMYFUNCTION("""COMPUTED_VALUE"""),"64508-B")</f>
        <v>64508-B</v>
      </c>
      <c r="C294" s="37"/>
      <c r="D294" s="37"/>
    </row>
    <row r="295">
      <c r="A295" s="17" t="str">
        <f>IFERROR(__xludf.DUMMYFUNCTION("""COMPUTED_VALUE"""),"65199 3 de Mayo")</f>
        <v>65199 3 de Mayo</v>
      </c>
      <c r="B295" s="17" t="str">
        <f>IFERROR(__xludf.DUMMYFUNCTION("""COMPUTED_VALUE"""),"65199")</f>
        <v>65199</v>
      </c>
      <c r="C295" s="37"/>
      <c r="D295" s="37"/>
    </row>
    <row r="296">
      <c r="A296" s="17" t="str">
        <f>IFERROR(__xludf.DUMMYFUNCTION("""COMPUTED_VALUE"""),"525-B Santa Elisa")</f>
        <v>525-B Santa Elisa</v>
      </c>
      <c r="B296" s="17" t="str">
        <f>IFERROR(__xludf.DUMMYFUNCTION("""COMPUTED_VALUE"""),"525-B Santa Elisa")</f>
        <v>525-B Santa Elisa</v>
      </c>
      <c r="C296" s="37"/>
      <c r="D296" s="37"/>
    </row>
    <row r="297">
      <c r="A297" s="17" t="str">
        <f>IFERROR(__xludf.DUMMYFUNCTION("""COMPUTED_VALUE"""),"555-B Santa Martha")</f>
        <v>555-B Santa Martha</v>
      </c>
      <c r="B297" s="17" t="str">
        <f>IFERROR(__xludf.DUMMYFUNCTION("""COMPUTED_VALUE"""),"555-B ")</f>
        <v>555-B </v>
      </c>
      <c r="C297" s="37"/>
      <c r="D297" s="37"/>
    </row>
    <row r="298">
      <c r="A298" s="17" t="str">
        <f>IFERROR(__xludf.DUMMYFUNCTION("""COMPUTED_VALUE"""),"559  3 de Mayo")</f>
        <v>559  3 de Mayo</v>
      </c>
      <c r="B298" s="17" t="str">
        <f>IFERROR(__xludf.DUMMYFUNCTION("""COMPUTED_VALUE"""),"559  3 de Mayo")</f>
        <v>559  3 de Mayo</v>
      </c>
      <c r="C298" s="37"/>
      <c r="D298" s="37"/>
    </row>
    <row r="299">
      <c r="A299" s="17" t="str">
        <f>IFERROR(__xludf.DUMMYFUNCTION("""COMPUTED_VALUE"""),"564 Nueva Barranca")</f>
        <v>564 Nueva Barranca</v>
      </c>
      <c r="B299" s="17" t="str">
        <f>IFERROR(__xludf.DUMMYFUNCTION("""COMPUTED_VALUE"""),"564 Nueva Barranca")</f>
        <v>564 Nueva Barranca</v>
      </c>
      <c r="C299" s="37"/>
      <c r="D299" s="37"/>
    </row>
    <row r="300">
      <c r="A300" s="17" t="str">
        <f>IFERROR(__xludf.DUMMYFUNCTION("""COMPUTED_VALUE"""),"566 Isla Primavera")</f>
        <v>566 Isla Primavera</v>
      </c>
      <c r="B300" s="17" t="str">
        <f>IFERROR(__xludf.DUMMYFUNCTION("""COMPUTED_VALUE"""),"566")</f>
        <v>566</v>
      </c>
      <c r="C300" s="37"/>
      <c r="D300" s="37"/>
    </row>
    <row r="301">
      <c r="A301" s="17" t="str">
        <f>IFERROR(__xludf.DUMMYFUNCTION("""COMPUTED_VALUE"""),"295 Nuevo Bagazan")</f>
        <v>295 Nuevo Bagazan</v>
      </c>
      <c r="B301" s="17" t="str">
        <f>IFERROR(__xludf.DUMMYFUNCTION("""COMPUTED_VALUE"""),"295 Nuevo Bagazan")</f>
        <v>295 Nuevo Bagazan</v>
      </c>
      <c r="C301" s="37"/>
      <c r="D301" s="37"/>
    </row>
    <row r="302">
      <c r="A302" s="17" t="str">
        <f>IFERROR(__xludf.DUMMYFUNCTION("""COMPUTED_VALUE"""),"333-B Santa Isabel de Bahuanisho")</f>
        <v>333-B Santa Isabel de Bahuanisho</v>
      </c>
      <c r="B302" s="17" t="str">
        <f>IFERROR(__xludf.DUMMYFUNCTION("""COMPUTED_VALUE"""),"333-B ")</f>
        <v>333-B </v>
      </c>
      <c r="C302" s="37"/>
      <c r="D302" s="37"/>
    </row>
    <row r="303">
      <c r="A303" s="17" t="str">
        <f>IFERROR(__xludf.DUMMYFUNCTION("""COMPUTED_VALUE"""),"294 Mazaray")</f>
        <v>294 Mazaray</v>
      </c>
      <c r="B303" s="17" t="str">
        <f>IFERROR(__xludf.DUMMYFUNCTION("""COMPUTED_VALUE"""),"294 Mazaray")</f>
        <v>294 Mazaray</v>
      </c>
      <c r="C303" s="37"/>
      <c r="D303" s="37"/>
    </row>
    <row r="304">
      <c r="A304" s="17" t="str">
        <f>IFERROR(__xludf.DUMMYFUNCTION("""COMPUTED_VALUE"""),"64115 Nuevo Bagazan")</f>
        <v>64115 Nuevo Bagazan</v>
      </c>
      <c r="B304" s="17" t="str">
        <f>IFERROR(__xludf.DUMMYFUNCTION("""COMPUTED_VALUE"""),"64115")</f>
        <v>64115</v>
      </c>
      <c r="C304" s="37"/>
      <c r="D304" s="37"/>
    </row>
    <row r="305">
      <c r="A305" s="17" t="str">
        <f>IFERROR(__xludf.DUMMYFUNCTION("""COMPUTED_VALUE"""),"64798 Nuevo Ancash")</f>
        <v>64798 Nuevo Ancash</v>
      </c>
      <c r="B305" s="17" t="str">
        <f>IFERROR(__xludf.DUMMYFUNCTION("""COMPUTED_VALUE"""),"64798 Nuevo Ancash")</f>
        <v>64798 Nuevo Ancash</v>
      </c>
      <c r="C305" s="37"/>
      <c r="D305" s="37"/>
    </row>
    <row r="306">
      <c r="A306" s="17" t="str">
        <f>IFERROR(__xludf.DUMMYFUNCTION("""COMPUTED_VALUE"""),"846 Huanccallaco")</f>
        <v>846 Huanccallaco</v>
      </c>
      <c r="B306" s="17" t="str">
        <f>IFERROR(__xludf.DUMMYFUNCTION("""COMPUTED_VALUE"""),"846 Huanccallaco")</f>
        <v>846 Huanccallaco</v>
      </c>
      <c r="C306" s="37"/>
      <c r="D306" s="37"/>
    </row>
    <row r="307">
      <c r="A307" s="17" t="str">
        <f>IFERROR(__xludf.DUMMYFUNCTION("""COMPUTED_VALUE"""),"130")</f>
        <v>130</v>
      </c>
      <c r="B307" s="17" t="str">
        <f>IFERROR(__xludf.DUMMYFUNCTION("""COMPUTED_VALUE"""),"130")</f>
        <v>130</v>
      </c>
      <c r="C307" s="37"/>
      <c r="D307" s="37"/>
    </row>
    <row r="308">
      <c r="A308" s="17" t="str">
        <f>IFERROR(__xludf.DUMMYFUNCTION("""COMPUTED_VALUE"""),"156")</f>
        <v>156</v>
      </c>
      <c r="B308" s="17" t="str">
        <f>IFERROR(__xludf.DUMMYFUNCTION("""COMPUTED_VALUE"""),"156")</f>
        <v>156</v>
      </c>
      <c r="C308" s="37"/>
      <c r="D308" s="37"/>
    </row>
    <row r="309">
      <c r="A309" s="17" t="str">
        <f>IFERROR(__xludf.DUMMYFUNCTION("""COMPUTED_VALUE"""),"843")</f>
        <v>843</v>
      </c>
      <c r="B309" s="17" t="str">
        <f>IFERROR(__xludf.DUMMYFUNCTION("""COMPUTED_VALUE"""),"843")</f>
        <v>843</v>
      </c>
      <c r="C309" s="37"/>
      <c r="D309" s="37"/>
    </row>
    <row r="310">
      <c r="A310" s="17" t="str">
        <f>IFERROR(__xludf.DUMMYFUNCTION("""COMPUTED_VALUE"""),"36167")</f>
        <v>36167</v>
      </c>
      <c r="B310" s="17" t="str">
        <f>IFERROR(__xludf.DUMMYFUNCTION("""COMPUTED_VALUE"""),"36167")</f>
        <v>36167</v>
      </c>
      <c r="C310" s="37"/>
      <c r="D310" s="37"/>
    </row>
    <row r="311">
      <c r="A311" s="17" t="str">
        <f>IFERROR(__xludf.DUMMYFUNCTION("""COMPUTED_VALUE"""),"36831")</f>
        <v>36831</v>
      </c>
      <c r="B311" s="17" t="str">
        <f>IFERROR(__xludf.DUMMYFUNCTION("""COMPUTED_VALUE"""),"36831")</f>
        <v>36831</v>
      </c>
      <c r="C311" s="37"/>
      <c r="D311" s="37"/>
    </row>
    <row r="312">
      <c r="A312" s="17" t="str">
        <f>IFERROR(__xludf.DUMMYFUNCTION("""COMPUTED_VALUE"""),"Marcas")</f>
        <v>Marcas</v>
      </c>
      <c r="B312" s="17" t="str">
        <f>IFERROR(__xludf.DUMMYFUNCTION("""COMPUTED_VALUE"""),"Marcas")</f>
        <v>Marcas</v>
      </c>
      <c r="C312" s="37"/>
      <c r="D312" s="37"/>
    </row>
    <row r="313">
      <c r="A313" s="17" t="str">
        <f>IFERROR(__xludf.DUMMYFUNCTION("""COMPUTED_VALUE"""),"177")</f>
        <v>177</v>
      </c>
      <c r="B313" s="17" t="str">
        <f>IFERROR(__xludf.DUMMYFUNCTION("""COMPUTED_VALUE"""),"177")</f>
        <v>177</v>
      </c>
      <c r="C313" s="37"/>
      <c r="D313" s="37"/>
    </row>
    <row r="314">
      <c r="A314" s="17" t="str">
        <f>IFERROR(__xludf.DUMMYFUNCTION("""COMPUTED_VALUE"""),"592")</f>
        <v>592</v>
      </c>
      <c r="B314" s="17" t="str">
        <f>IFERROR(__xludf.DUMMYFUNCTION("""COMPUTED_VALUE"""),"592")</f>
        <v>592</v>
      </c>
      <c r="C314" s="37"/>
      <c r="D314" s="37"/>
    </row>
    <row r="315">
      <c r="A315" s="17" t="str">
        <f>IFERROR(__xludf.DUMMYFUNCTION("""COMPUTED_VALUE"""),"36163")</f>
        <v>36163</v>
      </c>
      <c r="B315" s="17" t="str">
        <f>IFERROR(__xludf.DUMMYFUNCTION("""COMPUTED_VALUE"""),"36163 JAVIER HERAUD PEREZ")</f>
        <v>36163 JAVIER HERAUD PEREZ</v>
      </c>
      <c r="C315" s="37"/>
      <c r="D315" s="37"/>
    </row>
    <row r="316">
      <c r="A316" s="17" t="str">
        <f>IFERROR(__xludf.DUMMYFUNCTION("""COMPUTED_VALUE"""),"36153")</f>
        <v>36153</v>
      </c>
      <c r="B316" s="17" t="str">
        <f>IFERROR(__xludf.DUMMYFUNCTION("""COMPUTED_VALUE"""),"36153 SAYRI TUPAC")</f>
        <v>36153 SAYRI TUPAC</v>
      </c>
      <c r="C316" s="37"/>
      <c r="D316" s="37"/>
    </row>
    <row r="317">
      <c r="A317" s="17" t="str">
        <f>IFERROR(__xludf.DUMMYFUNCTION("""COMPUTED_VALUE"""),"36201")</f>
        <v>36201</v>
      </c>
      <c r="B317" s="17" t="str">
        <f>IFERROR(__xludf.DUMMYFUNCTION("""COMPUTED_VALUE"""),"36201")</f>
        <v>36201</v>
      </c>
      <c r="C317" s="37"/>
      <c r="D317" s="37"/>
    </row>
    <row r="318">
      <c r="A318" s="17"/>
      <c r="B318" s="37"/>
      <c r="C318" s="37"/>
      <c r="D318" s="37"/>
    </row>
    <row r="319">
      <c r="A319" s="17"/>
      <c r="B319" s="37"/>
      <c r="C319" s="37"/>
      <c r="D319" s="37"/>
    </row>
    <row r="320">
      <c r="A320" s="17"/>
      <c r="B320" s="37"/>
      <c r="C320" s="37"/>
      <c r="D320" s="37"/>
    </row>
    <row r="321">
      <c r="A321" s="17"/>
      <c r="B321" s="37"/>
      <c r="C321" s="37"/>
      <c r="D321" s="37"/>
    </row>
    <row r="322">
      <c r="A322" s="17"/>
      <c r="B322" s="37"/>
      <c r="C322" s="37"/>
      <c r="D322" s="37"/>
    </row>
    <row r="323">
      <c r="A323" s="17"/>
      <c r="B323" s="37"/>
      <c r="C323" s="37"/>
      <c r="D323" s="37"/>
    </row>
    <row r="324">
      <c r="A324" s="17"/>
      <c r="B324" s="37"/>
      <c r="C324" s="37"/>
      <c r="D324" s="37"/>
    </row>
    <row r="325">
      <c r="A325" s="17"/>
      <c r="B325" s="37"/>
      <c r="C325" s="37"/>
      <c r="D325" s="37"/>
    </row>
    <row r="326">
      <c r="A326" s="17"/>
      <c r="B326" s="37"/>
      <c r="C326" s="37"/>
      <c r="D326" s="37"/>
    </row>
    <row r="327">
      <c r="A327" s="17"/>
      <c r="B327" s="37"/>
      <c r="C327" s="37"/>
      <c r="D327" s="37"/>
    </row>
    <row r="328">
      <c r="A328" s="17"/>
      <c r="B328" s="37"/>
      <c r="C328" s="37"/>
      <c r="D328" s="37"/>
    </row>
    <row r="329">
      <c r="A329" s="17"/>
      <c r="B329" s="37"/>
      <c r="C329" s="37"/>
      <c r="D329" s="37"/>
    </row>
    <row r="330">
      <c r="A330" s="17"/>
      <c r="B330" s="37"/>
      <c r="C330" s="37"/>
      <c r="D330" s="37"/>
    </row>
    <row r="331">
      <c r="A331" s="17"/>
      <c r="B331" s="37"/>
      <c r="C331" s="37"/>
      <c r="D331" s="37"/>
    </row>
    <row r="332">
      <c r="A332" s="17"/>
      <c r="B332" s="37"/>
      <c r="C332" s="37"/>
      <c r="D332" s="37"/>
    </row>
    <row r="333">
      <c r="A333" s="17"/>
      <c r="B333" s="37"/>
      <c r="C333" s="37"/>
      <c r="D333" s="37"/>
    </row>
    <row r="334">
      <c r="A334" s="17"/>
      <c r="B334" s="37"/>
      <c r="C334" s="37"/>
      <c r="D334" s="37"/>
    </row>
    <row r="335">
      <c r="A335" s="17"/>
      <c r="B335" s="37"/>
      <c r="C335" s="37"/>
      <c r="D335" s="37"/>
    </row>
    <row r="336">
      <c r="A336" s="17"/>
      <c r="B336" s="37"/>
      <c r="C336" s="37"/>
      <c r="D336" s="37"/>
    </row>
    <row r="337">
      <c r="A337" s="17"/>
      <c r="B337" s="37"/>
      <c r="C337" s="37"/>
      <c r="D337" s="37"/>
    </row>
    <row r="338">
      <c r="A338" s="17"/>
      <c r="B338" s="37"/>
      <c r="C338" s="37"/>
      <c r="D338" s="37"/>
    </row>
    <row r="339">
      <c r="A339" s="17"/>
      <c r="B339" s="37"/>
      <c r="C339" s="37"/>
      <c r="D339" s="37"/>
    </row>
    <row r="340">
      <c r="A340" s="17"/>
      <c r="B340" s="37"/>
      <c r="C340" s="37"/>
      <c r="D340" s="37"/>
    </row>
    <row r="341">
      <c r="A341" s="17"/>
      <c r="B341" s="37"/>
      <c r="C341" s="37"/>
      <c r="D341" s="37"/>
    </row>
    <row r="342">
      <c r="A342" s="17"/>
      <c r="B342" s="37"/>
      <c r="C342" s="37"/>
      <c r="D342" s="37"/>
    </row>
    <row r="343">
      <c r="A343" s="17"/>
      <c r="B343" s="37"/>
      <c r="C343" s="37"/>
      <c r="D343" s="37"/>
    </row>
    <row r="344">
      <c r="A344" s="17"/>
      <c r="B344" s="37"/>
      <c r="C344" s="37"/>
      <c r="D344" s="37"/>
    </row>
    <row r="345">
      <c r="A345" s="17"/>
      <c r="B345" s="37"/>
      <c r="C345" s="37"/>
      <c r="D345" s="37"/>
    </row>
    <row r="346">
      <c r="A346" s="17"/>
      <c r="B346" s="37"/>
      <c r="C346" s="37"/>
      <c r="D346" s="37"/>
    </row>
    <row r="347">
      <c r="A347" s="17"/>
      <c r="B347" s="37"/>
      <c r="C347" s="37"/>
      <c r="D347" s="37"/>
    </row>
    <row r="348">
      <c r="A348" s="17"/>
      <c r="B348" s="37"/>
      <c r="C348" s="37"/>
      <c r="D348" s="37"/>
    </row>
    <row r="349">
      <c r="A349" s="17"/>
      <c r="B349" s="37"/>
      <c r="C349" s="37"/>
      <c r="D349" s="37"/>
    </row>
    <row r="350">
      <c r="A350" s="17"/>
      <c r="B350" s="37"/>
      <c r="C350" s="37"/>
      <c r="D350" s="37"/>
    </row>
    <row r="351">
      <c r="A351" s="17"/>
      <c r="B351" s="37"/>
      <c r="C351" s="37"/>
      <c r="D351" s="37"/>
    </row>
    <row r="352">
      <c r="A352" s="17"/>
      <c r="B352" s="37"/>
      <c r="C352" s="37"/>
      <c r="D352" s="37"/>
    </row>
    <row r="353">
      <c r="A353" s="17"/>
      <c r="B353" s="37"/>
      <c r="C353" s="37"/>
      <c r="D353" s="37"/>
    </row>
    <row r="354">
      <c r="A354" s="17"/>
      <c r="B354" s="37"/>
      <c r="C354" s="37"/>
      <c r="D354" s="37"/>
    </row>
    <row r="355">
      <c r="A355" s="17"/>
      <c r="B355" s="37"/>
      <c r="C355" s="37"/>
      <c r="D355" s="37"/>
    </row>
    <row r="356">
      <c r="A356" s="17"/>
      <c r="B356" s="37"/>
      <c r="C356" s="37"/>
      <c r="D356" s="37"/>
    </row>
    <row r="357">
      <c r="A357" s="17"/>
      <c r="B357" s="37"/>
      <c r="C357" s="37"/>
      <c r="D357" s="37"/>
    </row>
    <row r="358">
      <c r="A358" s="17"/>
      <c r="B358" s="37"/>
      <c r="C358" s="37"/>
      <c r="D358" s="37"/>
    </row>
    <row r="359">
      <c r="A359" s="17"/>
      <c r="B359" s="37"/>
      <c r="C359" s="37"/>
      <c r="D359" s="37"/>
    </row>
    <row r="360">
      <c r="A360" s="17"/>
      <c r="B360" s="37"/>
      <c r="C360" s="37"/>
      <c r="D360" s="37"/>
    </row>
    <row r="361">
      <c r="A361" s="17"/>
      <c r="B361" s="37"/>
      <c r="C361" s="37"/>
      <c r="D361" s="37"/>
    </row>
    <row r="362">
      <c r="A362" s="17"/>
      <c r="B362" s="37"/>
      <c r="C362" s="37"/>
      <c r="D362" s="37"/>
    </row>
    <row r="363">
      <c r="A363" s="17"/>
      <c r="B363" s="37"/>
      <c r="C363" s="37"/>
      <c r="D363" s="37"/>
    </row>
    <row r="364">
      <c r="A364" s="17"/>
      <c r="B364" s="37"/>
      <c r="C364" s="37"/>
      <c r="D364" s="37"/>
    </row>
    <row r="365">
      <c r="A365" s="17"/>
      <c r="B365" s="37"/>
      <c r="C365" s="37"/>
      <c r="D365" s="37"/>
    </row>
    <row r="366">
      <c r="A366" s="17"/>
      <c r="B366" s="37"/>
      <c r="C366" s="37"/>
      <c r="D366" s="37"/>
    </row>
    <row r="367">
      <c r="A367" s="17"/>
      <c r="B367" s="37"/>
      <c r="C367" s="37"/>
      <c r="D367" s="37"/>
    </row>
    <row r="368">
      <c r="A368" s="17"/>
      <c r="B368" s="37"/>
      <c r="C368" s="37"/>
      <c r="D368" s="37"/>
    </row>
    <row r="369">
      <c r="A369" s="17"/>
      <c r="B369" s="37"/>
      <c r="C369" s="37"/>
      <c r="D369" s="37"/>
    </row>
    <row r="370">
      <c r="A370" s="17"/>
      <c r="B370" s="37"/>
      <c r="C370" s="37"/>
      <c r="D370" s="37"/>
    </row>
    <row r="371">
      <c r="A371" s="17"/>
      <c r="B371" s="37"/>
      <c r="C371" s="37"/>
      <c r="D371" s="37"/>
    </row>
    <row r="372">
      <c r="A372" s="17"/>
      <c r="B372" s="37"/>
      <c r="C372" s="37"/>
      <c r="D372" s="37"/>
    </row>
    <row r="373">
      <c r="A373" s="17"/>
      <c r="B373" s="37"/>
      <c r="C373" s="37"/>
      <c r="D373" s="37"/>
    </row>
    <row r="374">
      <c r="A374" s="17"/>
      <c r="B374" s="37"/>
      <c r="C374" s="37"/>
      <c r="D374" s="37"/>
    </row>
    <row r="375">
      <c r="A375" s="17"/>
      <c r="B375" s="37"/>
      <c r="C375" s="37"/>
      <c r="D375" s="37"/>
    </row>
    <row r="376">
      <c r="A376" s="17"/>
      <c r="B376" s="37"/>
      <c r="C376" s="37"/>
      <c r="D376" s="37"/>
    </row>
    <row r="377">
      <c r="A377" s="17"/>
      <c r="B377" s="37"/>
      <c r="C377" s="37"/>
      <c r="D377" s="37"/>
    </row>
    <row r="378">
      <c r="A378" s="17"/>
      <c r="B378" s="37"/>
      <c r="C378" s="37"/>
      <c r="D378" s="37"/>
    </row>
    <row r="379">
      <c r="A379" s="17"/>
      <c r="B379" s="37"/>
      <c r="C379" s="37"/>
      <c r="D379" s="37"/>
    </row>
    <row r="380">
      <c r="A380" s="17"/>
      <c r="B380" s="37"/>
      <c r="C380" s="37"/>
      <c r="D380" s="37"/>
    </row>
    <row r="381">
      <c r="A381" s="17"/>
      <c r="B381" s="37"/>
      <c r="C381" s="37"/>
      <c r="D381" s="37"/>
    </row>
    <row r="382">
      <c r="A382" s="17"/>
      <c r="B382" s="37"/>
      <c r="C382" s="37"/>
      <c r="D382" s="37"/>
    </row>
    <row r="383">
      <c r="A383" s="17"/>
      <c r="B383" s="37"/>
      <c r="C383" s="37"/>
      <c r="D383" s="37"/>
    </row>
    <row r="384">
      <c r="A384" s="17"/>
      <c r="B384" s="37"/>
      <c r="C384" s="37"/>
      <c r="D384" s="37"/>
    </row>
    <row r="385">
      <c r="A385" s="17"/>
      <c r="B385" s="37"/>
      <c r="C385" s="37"/>
      <c r="D385" s="37"/>
    </row>
    <row r="386">
      <c r="A386" s="17"/>
      <c r="B386" s="37"/>
      <c r="C386" s="37"/>
      <c r="D386" s="37"/>
    </row>
    <row r="387">
      <c r="A387" s="17"/>
      <c r="B387" s="37"/>
      <c r="C387" s="37"/>
      <c r="D387" s="37"/>
    </row>
    <row r="388">
      <c r="A388" s="17"/>
      <c r="B388" s="37"/>
      <c r="C388" s="37"/>
      <c r="D388" s="37"/>
    </row>
    <row r="389">
      <c r="A389" s="17"/>
      <c r="B389" s="37"/>
      <c r="C389" s="37"/>
      <c r="D389" s="37"/>
    </row>
    <row r="390">
      <c r="A390" s="17"/>
      <c r="B390" s="37"/>
      <c r="C390" s="37"/>
      <c r="D390" s="37"/>
    </row>
    <row r="391">
      <c r="A391" s="17"/>
      <c r="B391" s="37"/>
      <c r="C391" s="37"/>
      <c r="D391" s="37"/>
    </row>
    <row r="392">
      <c r="A392" s="17"/>
      <c r="B392" s="37"/>
      <c r="C392" s="37"/>
      <c r="D392" s="37"/>
    </row>
    <row r="393">
      <c r="A393" s="17"/>
      <c r="B393" s="37"/>
      <c r="C393" s="37"/>
      <c r="D393" s="37"/>
    </row>
    <row r="394">
      <c r="A394" s="17"/>
      <c r="B394" s="37"/>
      <c r="C394" s="37"/>
      <c r="D394" s="37"/>
    </row>
    <row r="395">
      <c r="A395" s="17"/>
      <c r="B395" s="37"/>
      <c r="C395" s="37"/>
      <c r="D395" s="37"/>
    </row>
    <row r="396">
      <c r="A396" s="17"/>
      <c r="B396" s="37"/>
      <c r="C396" s="37"/>
      <c r="D396" s="37"/>
    </row>
    <row r="397">
      <c r="A397" s="17"/>
      <c r="B397" s="37"/>
      <c r="C397" s="37"/>
      <c r="D397" s="37"/>
    </row>
    <row r="398">
      <c r="A398" s="17"/>
      <c r="B398" s="37"/>
      <c r="C398" s="37"/>
      <c r="D398" s="37"/>
    </row>
    <row r="399">
      <c r="A399" s="17"/>
      <c r="B399" s="37"/>
      <c r="C399" s="37"/>
      <c r="D399" s="37"/>
    </row>
    <row r="400">
      <c r="A400" s="17"/>
      <c r="B400" s="37"/>
      <c r="C400" s="37"/>
      <c r="D400" s="37"/>
    </row>
    <row r="401">
      <c r="A401" s="17"/>
      <c r="B401" s="37"/>
      <c r="C401" s="37"/>
      <c r="D401" s="37"/>
    </row>
    <row r="402">
      <c r="A402" s="17"/>
      <c r="B402" s="37"/>
      <c r="C402" s="37"/>
      <c r="D402" s="37"/>
    </row>
    <row r="403">
      <c r="A403" s="17"/>
      <c r="B403" s="37"/>
      <c r="C403" s="37"/>
      <c r="D403" s="37"/>
    </row>
    <row r="404">
      <c r="A404" s="17"/>
      <c r="B404" s="37"/>
      <c r="C404" s="37"/>
      <c r="D404" s="37"/>
    </row>
    <row r="405">
      <c r="A405" s="17"/>
      <c r="B405" s="37"/>
      <c r="C405" s="37"/>
      <c r="D405" s="37"/>
    </row>
    <row r="406">
      <c r="A406" s="17"/>
      <c r="B406" s="37"/>
      <c r="C406" s="37"/>
      <c r="D406" s="37"/>
    </row>
    <row r="407">
      <c r="A407" s="17"/>
      <c r="B407" s="37"/>
      <c r="C407" s="37"/>
      <c r="D407" s="37"/>
    </row>
    <row r="408">
      <c r="A408" s="17"/>
      <c r="B408" s="37"/>
      <c r="C408" s="37"/>
      <c r="D408" s="37"/>
    </row>
    <row r="409">
      <c r="A409" s="17"/>
      <c r="B409" s="37"/>
      <c r="C409" s="37"/>
      <c r="D409" s="37"/>
    </row>
    <row r="410">
      <c r="A410" s="17"/>
      <c r="B410" s="37"/>
      <c r="C410" s="37"/>
      <c r="D410" s="37"/>
    </row>
    <row r="411">
      <c r="A411" s="17"/>
      <c r="B411" s="37"/>
      <c r="C411" s="37"/>
      <c r="D411" s="37"/>
    </row>
    <row r="412">
      <c r="A412" s="17"/>
      <c r="B412" s="37"/>
      <c r="C412" s="37"/>
      <c r="D412" s="37"/>
    </row>
    <row r="413">
      <c r="A413" s="17"/>
      <c r="B413" s="37"/>
      <c r="C413" s="37"/>
      <c r="D413" s="37"/>
    </row>
    <row r="414">
      <c r="A414" s="17"/>
      <c r="B414" s="37"/>
      <c r="C414" s="37"/>
      <c r="D414" s="37"/>
    </row>
    <row r="415">
      <c r="A415" s="17"/>
      <c r="B415" s="37"/>
      <c r="C415" s="37"/>
      <c r="D415" s="37"/>
    </row>
    <row r="416">
      <c r="A416" s="17"/>
      <c r="B416" s="37"/>
      <c r="C416" s="37"/>
      <c r="D416" s="37"/>
    </row>
    <row r="417">
      <c r="A417" s="17"/>
      <c r="B417" s="37"/>
      <c r="C417" s="37"/>
      <c r="D417" s="37"/>
    </row>
    <row r="418">
      <c r="A418" s="17"/>
      <c r="B418" s="37"/>
      <c r="C418" s="37"/>
      <c r="D418" s="37"/>
    </row>
    <row r="419">
      <c r="A419" s="17"/>
      <c r="B419" s="37"/>
      <c r="C419" s="37"/>
      <c r="D419" s="37"/>
    </row>
    <row r="420">
      <c r="A420" s="17"/>
      <c r="B420" s="37"/>
      <c r="C420" s="37"/>
      <c r="D420" s="37"/>
    </row>
    <row r="421">
      <c r="A421" s="17"/>
      <c r="B421" s="37"/>
      <c r="C421" s="37"/>
      <c r="D421" s="37"/>
    </row>
    <row r="422">
      <c r="A422" s="17"/>
      <c r="B422" s="37"/>
      <c r="C422" s="37"/>
      <c r="D422" s="37"/>
    </row>
    <row r="423">
      <c r="A423" s="17"/>
      <c r="B423" s="37"/>
      <c r="C423" s="37"/>
      <c r="D423" s="37"/>
    </row>
    <row r="424">
      <c r="A424" s="17"/>
      <c r="B424" s="37"/>
      <c r="C424" s="37"/>
      <c r="D424" s="37"/>
    </row>
    <row r="425">
      <c r="A425" s="17"/>
      <c r="B425" s="37"/>
      <c r="C425" s="37"/>
      <c r="D425" s="37"/>
    </row>
    <row r="426">
      <c r="A426" s="17"/>
      <c r="B426" s="37"/>
      <c r="C426" s="37"/>
      <c r="D426" s="37"/>
    </row>
    <row r="427">
      <c r="A427" s="17"/>
      <c r="B427" s="37"/>
      <c r="C427" s="37"/>
      <c r="D427" s="37"/>
    </row>
    <row r="428">
      <c r="A428" s="17"/>
      <c r="B428" s="37"/>
      <c r="C428" s="37"/>
      <c r="D428" s="37"/>
    </row>
    <row r="429">
      <c r="A429" s="17"/>
      <c r="B429" s="37"/>
      <c r="C429" s="37"/>
      <c r="D429" s="37"/>
    </row>
    <row r="430">
      <c r="A430" s="17"/>
      <c r="B430" s="37"/>
      <c r="C430" s="37"/>
      <c r="D430" s="37"/>
    </row>
    <row r="431">
      <c r="A431" s="17"/>
      <c r="B431" s="37"/>
      <c r="C431" s="37"/>
      <c r="D431" s="37"/>
    </row>
    <row r="432">
      <c r="A432" s="17"/>
      <c r="B432" s="37"/>
      <c r="C432" s="37"/>
      <c r="D432" s="37"/>
    </row>
    <row r="433">
      <c r="A433" s="17"/>
      <c r="B433" s="37"/>
      <c r="C433" s="37"/>
      <c r="D433" s="37"/>
    </row>
    <row r="434">
      <c r="A434" s="17"/>
      <c r="B434" s="37"/>
      <c r="C434" s="37"/>
      <c r="D434" s="37"/>
    </row>
    <row r="435">
      <c r="A435" s="17"/>
      <c r="B435" s="37"/>
      <c r="C435" s="37"/>
      <c r="D435" s="37"/>
    </row>
    <row r="436">
      <c r="A436" s="17"/>
      <c r="B436" s="37"/>
      <c r="C436" s="37"/>
      <c r="D436" s="37"/>
    </row>
    <row r="437">
      <c r="A437" s="17"/>
      <c r="B437" s="37"/>
      <c r="C437" s="37"/>
      <c r="D437" s="37"/>
    </row>
    <row r="438">
      <c r="A438" s="17"/>
      <c r="B438" s="37"/>
      <c r="C438" s="37"/>
      <c r="D438" s="37"/>
    </row>
    <row r="439">
      <c r="A439" s="17"/>
      <c r="B439" s="37"/>
      <c r="C439" s="37"/>
      <c r="D439" s="37"/>
    </row>
    <row r="440">
      <c r="A440" s="17"/>
      <c r="B440" s="37"/>
      <c r="C440" s="37"/>
      <c r="D440" s="37"/>
    </row>
    <row r="441">
      <c r="A441" s="17"/>
      <c r="B441" s="37"/>
      <c r="C441" s="37"/>
      <c r="D441" s="37"/>
    </row>
    <row r="442">
      <c r="A442" s="17"/>
      <c r="B442" s="37"/>
      <c r="C442" s="37"/>
      <c r="D442" s="37"/>
    </row>
    <row r="443">
      <c r="A443" s="17"/>
      <c r="B443" s="37"/>
      <c r="C443" s="37"/>
      <c r="D443" s="37"/>
    </row>
    <row r="444">
      <c r="A444" s="17"/>
      <c r="B444" s="37"/>
      <c r="C444" s="37"/>
      <c r="D444" s="37"/>
    </row>
    <row r="445">
      <c r="A445" s="17"/>
      <c r="B445" s="37"/>
      <c r="C445" s="37"/>
      <c r="D445" s="37"/>
    </row>
    <row r="446">
      <c r="A446" s="17"/>
      <c r="B446" s="37"/>
      <c r="C446" s="37"/>
      <c r="D446" s="37"/>
    </row>
    <row r="447">
      <c r="A447" s="17"/>
      <c r="B447" s="37"/>
      <c r="C447" s="37"/>
      <c r="D447" s="37"/>
    </row>
    <row r="448">
      <c r="A448" s="17"/>
      <c r="B448" s="37"/>
      <c r="C448" s="37"/>
      <c r="D448" s="37"/>
    </row>
    <row r="449">
      <c r="A449" s="17"/>
      <c r="B449" s="37"/>
      <c r="C449" s="37"/>
      <c r="D449" s="37"/>
    </row>
    <row r="450">
      <c r="A450" s="17"/>
      <c r="B450" s="37"/>
      <c r="C450" s="37"/>
      <c r="D450" s="37"/>
    </row>
    <row r="451">
      <c r="A451" s="17"/>
      <c r="B451" s="37"/>
      <c r="C451" s="37"/>
      <c r="D451" s="37"/>
    </row>
    <row r="452">
      <c r="A452" s="17"/>
      <c r="B452" s="37"/>
      <c r="C452" s="37"/>
      <c r="D452" s="37"/>
    </row>
    <row r="453">
      <c r="A453" s="17"/>
      <c r="B453" s="37"/>
      <c r="C453" s="37"/>
      <c r="D453" s="37"/>
    </row>
    <row r="454">
      <c r="A454" s="17"/>
      <c r="B454" s="37"/>
      <c r="C454" s="37"/>
      <c r="D454" s="37"/>
    </row>
    <row r="455">
      <c r="A455" s="17"/>
      <c r="B455" s="37"/>
      <c r="C455" s="37"/>
      <c r="D455" s="37"/>
    </row>
    <row r="456">
      <c r="A456" s="17"/>
      <c r="B456" s="37"/>
      <c r="C456" s="37"/>
      <c r="D456" s="37"/>
    </row>
    <row r="457">
      <c r="A457" s="17"/>
      <c r="B457" s="37"/>
      <c r="C457" s="37"/>
      <c r="D457" s="37"/>
    </row>
    <row r="458">
      <c r="A458" s="17"/>
      <c r="B458" s="37"/>
      <c r="C458" s="37"/>
      <c r="D458" s="37"/>
    </row>
    <row r="459">
      <c r="A459" s="17"/>
      <c r="B459" s="37"/>
      <c r="C459" s="37"/>
      <c r="D459" s="37"/>
    </row>
    <row r="460">
      <c r="A460" s="17"/>
      <c r="B460" s="37"/>
      <c r="C460" s="37"/>
      <c r="D460" s="37"/>
    </row>
    <row r="461">
      <c r="A461" s="17"/>
      <c r="B461" s="37"/>
      <c r="C461" s="37"/>
      <c r="D461" s="37"/>
    </row>
    <row r="462">
      <c r="A462" s="17"/>
      <c r="B462" s="37"/>
      <c r="C462" s="37"/>
      <c r="D462" s="37"/>
    </row>
    <row r="463">
      <c r="A463" s="17"/>
      <c r="B463" s="37"/>
      <c r="C463" s="37"/>
      <c r="D463" s="37"/>
    </row>
    <row r="464">
      <c r="A464" s="17"/>
      <c r="B464" s="37"/>
      <c r="C464" s="37"/>
      <c r="D464" s="37"/>
    </row>
    <row r="465">
      <c r="A465" s="17"/>
      <c r="B465" s="37"/>
      <c r="C465" s="37"/>
      <c r="D465" s="37"/>
    </row>
    <row r="466">
      <c r="A466" s="17"/>
      <c r="B466" s="37"/>
      <c r="C466" s="37"/>
      <c r="D466" s="37"/>
    </row>
    <row r="467">
      <c r="A467" s="17"/>
      <c r="B467" s="37"/>
      <c r="C467" s="37"/>
      <c r="D467" s="37"/>
    </row>
    <row r="468">
      <c r="A468" s="17"/>
      <c r="B468" s="37"/>
      <c r="C468" s="37"/>
      <c r="D468" s="37"/>
    </row>
    <row r="469">
      <c r="A469" s="17"/>
      <c r="B469" s="37"/>
      <c r="C469" s="37"/>
      <c r="D469" s="37"/>
    </row>
    <row r="470">
      <c r="A470" s="17"/>
      <c r="B470" s="37"/>
      <c r="C470" s="37"/>
      <c r="D470" s="37"/>
    </row>
    <row r="471">
      <c r="A471" s="17"/>
      <c r="B471" s="37"/>
      <c r="C471" s="37"/>
      <c r="D471" s="37"/>
    </row>
    <row r="472">
      <c r="A472" s="17"/>
      <c r="B472" s="37"/>
      <c r="C472" s="37"/>
      <c r="D472" s="37"/>
    </row>
    <row r="473">
      <c r="A473" s="17"/>
      <c r="B473" s="37"/>
      <c r="C473" s="37"/>
      <c r="D473" s="37"/>
    </row>
    <row r="474">
      <c r="A474" s="17"/>
      <c r="B474" s="37"/>
      <c r="C474" s="37"/>
      <c r="D474" s="37"/>
    </row>
    <row r="475">
      <c r="A475" s="17"/>
      <c r="B475" s="37"/>
      <c r="C475" s="37"/>
      <c r="D475" s="37"/>
    </row>
    <row r="476">
      <c r="A476" s="17"/>
      <c r="B476" s="37"/>
      <c r="C476" s="37"/>
      <c r="D476" s="37"/>
    </row>
    <row r="477">
      <c r="A477" s="17"/>
      <c r="B477" s="37"/>
      <c r="C477" s="37"/>
      <c r="D477" s="37"/>
    </row>
    <row r="478">
      <c r="A478" s="17"/>
      <c r="B478" s="37"/>
      <c r="C478" s="37"/>
      <c r="D478" s="37"/>
    </row>
    <row r="479">
      <c r="A479" s="17"/>
      <c r="B479" s="37"/>
      <c r="C479" s="37"/>
      <c r="D479" s="37"/>
    </row>
    <row r="480">
      <c r="A480" s="17"/>
      <c r="B480" s="37"/>
      <c r="C480" s="37"/>
      <c r="D480" s="37"/>
    </row>
    <row r="481">
      <c r="A481" s="17"/>
      <c r="B481" s="37"/>
      <c r="C481" s="37"/>
      <c r="D481" s="37"/>
    </row>
    <row r="482">
      <c r="A482" s="17"/>
      <c r="B482" s="37"/>
      <c r="C482" s="37"/>
      <c r="D482" s="37"/>
    </row>
    <row r="483">
      <c r="A483" s="17"/>
      <c r="B483" s="37"/>
      <c r="C483" s="37"/>
      <c r="D483" s="37"/>
    </row>
    <row r="484">
      <c r="A484" s="17"/>
      <c r="B484" s="37"/>
      <c r="C484" s="37"/>
      <c r="D484" s="37"/>
    </row>
    <row r="485">
      <c r="A485" s="17"/>
      <c r="B485" s="37"/>
      <c r="C485" s="37"/>
      <c r="D485" s="37"/>
    </row>
    <row r="486">
      <c r="A486" s="17"/>
      <c r="B486" s="37"/>
      <c r="C486" s="37"/>
      <c r="D486" s="37"/>
    </row>
    <row r="487">
      <c r="A487" s="17"/>
      <c r="B487" s="37"/>
      <c r="C487" s="37"/>
      <c r="D487" s="37"/>
    </row>
    <row r="488">
      <c r="A488" s="17"/>
      <c r="B488" s="37"/>
      <c r="C488" s="37"/>
      <c r="D488" s="37"/>
    </row>
    <row r="489">
      <c r="A489" s="17"/>
      <c r="B489" s="37"/>
      <c r="C489" s="37"/>
      <c r="D489" s="37"/>
    </row>
    <row r="490">
      <c r="A490" s="17"/>
      <c r="B490" s="37"/>
      <c r="C490" s="37"/>
      <c r="D490" s="37"/>
    </row>
    <row r="491">
      <c r="A491" s="17"/>
      <c r="B491" s="37"/>
      <c r="C491" s="37"/>
      <c r="D491" s="37"/>
    </row>
    <row r="492">
      <c r="A492" s="17"/>
      <c r="B492" s="37"/>
      <c r="C492" s="37"/>
      <c r="D492" s="37"/>
    </row>
    <row r="493">
      <c r="A493" s="17"/>
      <c r="B493" s="37"/>
      <c r="C493" s="37"/>
      <c r="D493" s="37"/>
    </row>
    <row r="494">
      <c r="A494" s="17"/>
      <c r="B494" s="37"/>
      <c r="C494" s="37"/>
      <c r="D494" s="37"/>
    </row>
    <row r="495">
      <c r="A495" s="17"/>
      <c r="B495" s="37"/>
      <c r="C495" s="37"/>
      <c r="D495" s="37"/>
    </row>
    <row r="496">
      <c r="A496" s="17"/>
      <c r="B496" s="37"/>
      <c r="C496" s="37"/>
      <c r="D496" s="37"/>
    </row>
    <row r="497">
      <c r="A497" s="17"/>
      <c r="B497" s="37"/>
      <c r="C497" s="37"/>
      <c r="D497" s="37"/>
    </row>
    <row r="498">
      <c r="A498" s="17"/>
      <c r="B498" s="37"/>
      <c r="C498" s="37"/>
      <c r="D498" s="37"/>
    </row>
    <row r="499">
      <c r="A499" s="17"/>
      <c r="B499" s="37"/>
      <c r="C499" s="37"/>
      <c r="D499" s="37"/>
    </row>
    <row r="500">
      <c r="A500" s="17"/>
      <c r="B500" s="37"/>
      <c r="C500" s="37"/>
      <c r="D500" s="37"/>
    </row>
    <row r="501">
      <c r="A501" s="17"/>
      <c r="B501" s="37"/>
      <c r="C501" s="37"/>
      <c r="D501" s="37"/>
    </row>
    <row r="502">
      <c r="A502" s="17"/>
      <c r="B502" s="37"/>
      <c r="C502" s="37"/>
      <c r="D502" s="37"/>
    </row>
    <row r="503">
      <c r="A503" s="17"/>
      <c r="B503" s="37"/>
      <c r="C503" s="37"/>
      <c r="D503" s="37"/>
    </row>
    <row r="504">
      <c r="A504" s="17"/>
      <c r="B504" s="37"/>
      <c r="C504" s="37"/>
      <c r="D504" s="37"/>
    </row>
    <row r="505">
      <c r="A505" s="17"/>
      <c r="B505" s="37"/>
      <c r="C505" s="37"/>
      <c r="D505" s="37"/>
    </row>
    <row r="506">
      <c r="A506" s="17"/>
      <c r="B506" s="37"/>
      <c r="C506" s="37"/>
      <c r="D506" s="37"/>
    </row>
    <row r="507">
      <c r="A507" s="17"/>
      <c r="B507" s="37"/>
      <c r="C507" s="37"/>
      <c r="D507" s="37"/>
    </row>
    <row r="508">
      <c r="A508" s="17"/>
      <c r="B508" s="37"/>
      <c r="C508" s="37"/>
      <c r="D508" s="37"/>
    </row>
    <row r="509">
      <c r="A509" s="17"/>
      <c r="B509" s="37"/>
      <c r="C509" s="37"/>
      <c r="D509" s="37"/>
    </row>
    <row r="510">
      <c r="A510" s="17"/>
      <c r="B510" s="37"/>
      <c r="C510" s="37"/>
      <c r="D510" s="37"/>
    </row>
    <row r="511">
      <c r="A511" s="17"/>
      <c r="B511" s="37"/>
      <c r="C511" s="37"/>
      <c r="D511" s="37"/>
    </row>
    <row r="512">
      <c r="A512" s="17"/>
      <c r="B512" s="37"/>
      <c r="C512" s="37"/>
      <c r="D512" s="37"/>
    </row>
    <row r="513">
      <c r="A513" s="17"/>
      <c r="B513" s="37"/>
      <c r="C513" s="37"/>
      <c r="D513" s="37"/>
    </row>
    <row r="514">
      <c r="A514" s="17"/>
      <c r="B514" s="37"/>
      <c r="C514" s="37"/>
      <c r="D514" s="37"/>
    </row>
    <row r="515">
      <c r="A515" s="17"/>
      <c r="B515" s="37"/>
      <c r="C515" s="37"/>
      <c r="D515" s="37"/>
    </row>
    <row r="516">
      <c r="A516" s="17"/>
      <c r="B516" s="37"/>
      <c r="C516" s="37"/>
      <c r="D516" s="37"/>
    </row>
    <row r="517">
      <c r="A517" s="17"/>
      <c r="B517" s="37"/>
      <c r="C517" s="37"/>
      <c r="D517" s="37"/>
    </row>
    <row r="518">
      <c r="A518" s="17"/>
      <c r="B518" s="37"/>
      <c r="C518" s="37"/>
      <c r="D518" s="37"/>
    </row>
    <row r="519">
      <c r="A519" s="17"/>
      <c r="B519" s="37"/>
      <c r="C519" s="37"/>
      <c r="D519" s="37"/>
    </row>
    <row r="520">
      <c r="A520" s="17"/>
      <c r="B520" s="37"/>
      <c r="C520" s="37"/>
      <c r="D520" s="37"/>
    </row>
    <row r="521">
      <c r="A521" s="17"/>
      <c r="B521" s="37"/>
      <c r="C521" s="37"/>
      <c r="D521" s="37"/>
    </row>
    <row r="522">
      <c r="A522" s="17"/>
      <c r="B522" s="37"/>
      <c r="C522" s="37"/>
      <c r="D522" s="37"/>
    </row>
    <row r="523">
      <c r="A523" s="17"/>
      <c r="B523" s="37"/>
      <c r="C523" s="37"/>
      <c r="D523" s="37"/>
    </row>
    <row r="524">
      <c r="A524" s="17"/>
      <c r="B524" s="37"/>
      <c r="C524" s="37"/>
      <c r="D524" s="37"/>
    </row>
    <row r="525">
      <c r="A525" s="17"/>
      <c r="B525" s="37"/>
      <c r="C525" s="37"/>
      <c r="D525" s="37"/>
    </row>
    <row r="526">
      <c r="A526" s="17"/>
      <c r="B526" s="37"/>
      <c r="C526" s="37"/>
      <c r="D526" s="37"/>
    </row>
    <row r="527">
      <c r="A527" s="17"/>
      <c r="B527" s="37"/>
      <c r="C527" s="37"/>
      <c r="D527" s="37"/>
    </row>
    <row r="528">
      <c r="A528" s="17"/>
      <c r="B528" s="37"/>
      <c r="C528" s="37"/>
      <c r="D528" s="37"/>
    </row>
    <row r="529">
      <c r="A529" s="17"/>
      <c r="B529" s="37"/>
      <c r="C529" s="37"/>
      <c r="D529" s="37"/>
    </row>
    <row r="530">
      <c r="A530" s="17"/>
      <c r="B530" s="37"/>
      <c r="C530" s="37"/>
      <c r="D530" s="37"/>
    </row>
    <row r="531">
      <c r="A531" s="17"/>
      <c r="B531" s="37"/>
      <c r="C531" s="37"/>
      <c r="D531" s="37"/>
    </row>
    <row r="532">
      <c r="A532" s="17"/>
      <c r="B532" s="37"/>
      <c r="C532" s="37"/>
      <c r="D532" s="37"/>
    </row>
    <row r="533">
      <c r="A533" s="17"/>
      <c r="B533" s="37"/>
      <c r="C533" s="37"/>
      <c r="D533" s="37"/>
    </row>
    <row r="534">
      <c r="A534" s="17"/>
      <c r="B534" s="37"/>
      <c r="C534" s="37"/>
      <c r="D534" s="37"/>
    </row>
    <row r="535">
      <c r="A535" s="17"/>
      <c r="B535" s="37"/>
      <c r="C535" s="37"/>
      <c r="D535" s="37"/>
    </row>
    <row r="536">
      <c r="A536" s="17"/>
      <c r="B536" s="37"/>
      <c r="C536" s="37"/>
      <c r="D536" s="37"/>
    </row>
    <row r="537">
      <c r="A537" s="17"/>
      <c r="B537" s="37"/>
      <c r="C537" s="37"/>
      <c r="D537" s="37"/>
    </row>
    <row r="538">
      <c r="A538" s="17"/>
      <c r="B538" s="37"/>
      <c r="C538" s="37"/>
      <c r="D538" s="37"/>
    </row>
    <row r="539">
      <c r="A539" s="17"/>
      <c r="B539" s="37"/>
      <c r="C539" s="37"/>
      <c r="D539" s="37"/>
    </row>
    <row r="540">
      <c r="A540" s="17"/>
      <c r="B540" s="37"/>
      <c r="C540" s="37"/>
      <c r="D540" s="37"/>
    </row>
    <row r="541">
      <c r="A541" s="17"/>
      <c r="B541" s="37"/>
      <c r="C541" s="37"/>
      <c r="D541" s="37"/>
    </row>
    <row r="542">
      <c r="A542" s="17"/>
      <c r="B542" s="37"/>
      <c r="C542" s="37"/>
      <c r="D542" s="37"/>
    </row>
    <row r="543">
      <c r="A543" s="17"/>
      <c r="B543" s="37"/>
      <c r="C543" s="37"/>
      <c r="D543" s="37"/>
    </row>
    <row r="544">
      <c r="A544" s="17"/>
      <c r="B544" s="37"/>
      <c r="C544" s="37"/>
      <c r="D544" s="37"/>
    </row>
    <row r="545">
      <c r="A545" s="17"/>
      <c r="B545" s="37"/>
      <c r="C545" s="37"/>
      <c r="D545" s="37"/>
    </row>
    <row r="546">
      <c r="A546" s="17"/>
      <c r="B546" s="37"/>
      <c r="C546" s="37"/>
      <c r="D546" s="37"/>
    </row>
    <row r="547">
      <c r="A547" s="17"/>
      <c r="B547" s="37"/>
      <c r="C547" s="37"/>
      <c r="D547" s="37"/>
    </row>
    <row r="548">
      <c r="A548" s="17"/>
      <c r="B548" s="37"/>
      <c r="C548" s="37"/>
      <c r="D548" s="37"/>
    </row>
    <row r="549">
      <c r="A549" s="17"/>
      <c r="B549" s="37"/>
      <c r="C549" s="37"/>
      <c r="D549" s="37"/>
    </row>
    <row r="550">
      <c r="A550" s="17"/>
      <c r="B550" s="37"/>
      <c r="C550" s="37"/>
      <c r="D550" s="37"/>
    </row>
    <row r="551">
      <c r="A551" s="17"/>
      <c r="B551" s="37"/>
      <c r="C551" s="37"/>
      <c r="D551" s="37"/>
    </row>
    <row r="552">
      <c r="A552" s="17"/>
      <c r="B552" s="37"/>
      <c r="C552" s="37"/>
      <c r="D552" s="37"/>
    </row>
    <row r="553">
      <c r="A553" s="17"/>
      <c r="B553" s="37"/>
      <c r="C553" s="37"/>
      <c r="D553" s="37"/>
    </row>
    <row r="554">
      <c r="A554" s="17"/>
      <c r="B554" s="37"/>
      <c r="C554" s="37"/>
      <c r="D554" s="37"/>
    </row>
    <row r="555">
      <c r="A555" s="17"/>
      <c r="B555" s="37"/>
      <c r="C555" s="37"/>
      <c r="D555" s="37"/>
    </row>
    <row r="556">
      <c r="A556" s="17"/>
      <c r="B556" s="37"/>
      <c r="C556" s="37"/>
      <c r="D556" s="37"/>
    </row>
    <row r="557">
      <c r="A557" s="17"/>
      <c r="B557" s="37"/>
      <c r="C557" s="37"/>
      <c r="D557" s="37"/>
    </row>
    <row r="558">
      <c r="A558" s="17"/>
      <c r="B558" s="37"/>
      <c r="C558" s="37"/>
      <c r="D558" s="37"/>
    </row>
    <row r="559">
      <c r="A559" s="17"/>
      <c r="B559" s="37"/>
      <c r="C559" s="37"/>
      <c r="D559" s="37"/>
    </row>
    <row r="560">
      <c r="A560" s="17"/>
      <c r="B560" s="37"/>
      <c r="C560" s="37"/>
      <c r="D560" s="37"/>
    </row>
    <row r="561">
      <c r="A561" s="17"/>
      <c r="B561" s="37"/>
      <c r="C561" s="37"/>
      <c r="D561" s="37"/>
    </row>
    <row r="562">
      <c r="A562" s="17"/>
      <c r="B562" s="37"/>
      <c r="C562" s="37"/>
      <c r="D562" s="37"/>
    </row>
    <row r="563">
      <c r="A563" s="17"/>
      <c r="B563" s="37"/>
      <c r="C563" s="37"/>
      <c r="D563" s="37"/>
    </row>
    <row r="564">
      <c r="A564" s="17"/>
      <c r="B564" s="37"/>
      <c r="C564" s="37"/>
      <c r="D564" s="37"/>
    </row>
    <row r="565">
      <c r="A565" s="17"/>
      <c r="B565" s="37"/>
      <c r="C565" s="37"/>
      <c r="D565" s="37"/>
    </row>
    <row r="566">
      <c r="A566" s="17"/>
      <c r="B566" s="37"/>
      <c r="C566" s="37"/>
      <c r="D566" s="37"/>
    </row>
    <row r="567">
      <c r="A567" s="17"/>
      <c r="B567" s="37"/>
      <c r="C567" s="37"/>
      <c r="D567" s="37"/>
    </row>
    <row r="568">
      <c r="A568" s="17"/>
      <c r="B568" s="37"/>
      <c r="C568" s="37"/>
      <c r="D568" s="37"/>
    </row>
    <row r="569">
      <c r="A569" s="17"/>
      <c r="B569" s="37"/>
      <c r="C569" s="37"/>
      <c r="D569" s="37"/>
    </row>
    <row r="570">
      <c r="A570" s="17"/>
      <c r="B570" s="37"/>
      <c r="C570" s="37"/>
      <c r="D570" s="37"/>
    </row>
    <row r="571">
      <c r="A571" s="17"/>
      <c r="B571" s="37"/>
      <c r="C571" s="37"/>
      <c r="D571" s="37"/>
    </row>
    <row r="572">
      <c r="A572" s="17"/>
      <c r="B572" s="37"/>
      <c r="C572" s="37"/>
      <c r="D572" s="37"/>
    </row>
    <row r="573">
      <c r="A573" s="17"/>
      <c r="B573" s="37"/>
      <c r="C573" s="37"/>
      <c r="D573" s="37"/>
    </row>
    <row r="574">
      <c r="A574" s="17"/>
      <c r="B574" s="37"/>
      <c r="C574" s="37"/>
      <c r="D574" s="37"/>
    </row>
    <row r="575">
      <c r="A575" s="17"/>
      <c r="B575" s="37"/>
      <c r="C575" s="37"/>
      <c r="D575" s="37"/>
    </row>
    <row r="576">
      <c r="A576" s="17"/>
      <c r="B576" s="37"/>
      <c r="C576" s="37"/>
      <c r="D576" s="37"/>
    </row>
    <row r="577">
      <c r="A577" s="17"/>
      <c r="B577" s="37"/>
      <c r="C577" s="37"/>
      <c r="D577" s="37"/>
    </row>
    <row r="578">
      <c r="A578" s="17"/>
      <c r="B578" s="37"/>
      <c r="C578" s="37"/>
      <c r="D578" s="37"/>
    </row>
    <row r="579">
      <c r="A579" s="17"/>
      <c r="B579" s="37"/>
      <c r="C579" s="37"/>
      <c r="D579" s="37"/>
    </row>
    <row r="580">
      <c r="A580" s="17"/>
      <c r="B580" s="37"/>
      <c r="C580" s="37"/>
      <c r="D580" s="37"/>
    </row>
    <row r="581">
      <c r="A581" s="17"/>
      <c r="B581" s="37"/>
      <c r="C581" s="37"/>
      <c r="D581" s="37"/>
    </row>
    <row r="582">
      <c r="A582" s="17"/>
      <c r="B582" s="37"/>
      <c r="C582" s="37"/>
      <c r="D582" s="37"/>
    </row>
    <row r="583">
      <c r="A583" s="17"/>
      <c r="B583" s="37"/>
      <c r="C583" s="37"/>
      <c r="D583" s="37"/>
    </row>
    <row r="584">
      <c r="A584" s="17"/>
      <c r="B584" s="37"/>
      <c r="C584" s="37"/>
      <c r="D584" s="37"/>
    </row>
    <row r="585">
      <c r="A585" s="17"/>
      <c r="B585" s="37"/>
      <c r="C585" s="37"/>
      <c r="D585" s="37"/>
    </row>
    <row r="586">
      <c r="A586" s="17"/>
      <c r="B586" s="37"/>
      <c r="C586" s="37"/>
      <c r="D586" s="37"/>
    </row>
    <row r="587">
      <c r="A587" s="17"/>
      <c r="B587" s="37"/>
      <c r="C587" s="37"/>
      <c r="D587" s="37"/>
    </row>
    <row r="588">
      <c r="A588" s="17"/>
      <c r="B588" s="37"/>
      <c r="C588" s="37"/>
      <c r="D588" s="37"/>
    </row>
    <row r="589">
      <c r="A589" s="17"/>
      <c r="B589" s="37"/>
      <c r="C589" s="37"/>
      <c r="D589" s="37"/>
    </row>
    <row r="590">
      <c r="A590" s="17"/>
      <c r="B590" s="37"/>
      <c r="C590" s="37"/>
      <c r="D590" s="37"/>
    </row>
    <row r="591">
      <c r="A591" s="17"/>
      <c r="B591" s="37"/>
      <c r="C591" s="37"/>
      <c r="D591" s="37"/>
    </row>
    <row r="592">
      <c r="A592" s="17"/>
      <c r="B592" s="37"/>
      <c r="C592" s="37"/>
      <c r="D592" s="37"/>
    </row>
    <row r="593">
      <c r="A593" s="17"/>
      <c r="B593" s="37"/>
      <c r="C593" s="37"/>
      <c r="D593" s="37"/>
    </row>
    <row r="594">
      <c r="A594" s="17"/>
      <c r="B594" s="37"/>
      <c r="C594" s="37"/>
      <c r="D594" s="37"/>
    </row>
    <row r="595">
      <c r="A595" s="17"/>
      <c r="B595" s="37"/>
      <c r="C595" s="37"/>
      <c r="D595" s="37"/>
    </row>
    <row r="596">
      <c r="A596" s="17"/>
      <c r="B596" s="37"/>
      <c r="C596" s="37"/>
      <c r="D596" s="37"/>
    </row>
    <row r="597">
      <c r="A597" s="17"/>
      <c r="B597" s="37"/>
      <c r="C597" s="37"/>
      <c r="D597" s="37"/>
    </row>
    <row r="598">
      <c r="A598" s="17"/>
      <c r="B598" s="37"/>
      <c r="C598" s="37"/>
      <c r="D598" s="37"/>
    </row>
    <row r="599">
      <c r="A599" s="17"/>
      <c r="B599" s="37"/>
      <c r="C599" s="37"/>
      <c r="D599" s="37"/>
    </row>
    <row r="600">
      <c r="A600" s="17"/>
      <c r="B600" s="37"/>
      <c r="C600" s="37"/>
      <c r="D600" s="37"/>
    </row>
    <row r="601">
      <c r="A601" s="17"/>
      <c r="B601" s="37"/>
      <c r="C601" s="37"/>
      <c r="D601" s="37"/>
    </row>
    <row r="602">
      <c r="A602" s="17"/>
      <c r="B602" s="37"/>
      <c r="C602" s="37"/>
      <c r="D602" s="37"/>
    </row>
    <row r="603">
      <c r="A603" s="17"/>
      <c r="B603" s="37"/>
      <c r="C603" s="37"/>
      <c r="D603" s="37"/>
    </row>
    <row r="604">
      <c r="A604" s="17"/>
      <c r="B604" s="37"/>
      <c r="C604" s="37"/>
      <c r="D604" s="37"/>
    </row>
    <row r="605">
      <c r="A605" s="17"/>
      <c r="B605" s="37"/>
      <c r="C605" s="37"/>
      <c r="D605" s="37"/>
    </row>
    <row r="606">
      <c r="A606" s="17"/>
      <c r="B606" s="37"/>
      <c r="C606" s="37"/>
      <c r="D606" s="37"/>
    </row>
    <row r="607">
      <c r="A607" s="17"/>
      <c r="B607" s="37"/>
      <c r="C607" s="37"/>
      <c r="D607" s="37"/>
    </row>
    <row r="608">
      <c r="A608" s="17"/>
      <c r="B608" s="37"/>
      <c r="C608" s="37"/>
      <c r="D608" s="37"/>
    </row>
    <row r="609">
      <c r="A609" s="17"/>
      <c r="B609" s="37"/>
      <c r="C609" s="37"/>
      <c r="D609" s="37"/>
    </row>
    <row r="610">
      <c r="A610" s="17"/>
      <c r="B610" s="37"/>
      <c r="C610" s="37"/>
      <c r="D610" s="37"/>
    </row>
    <row r="611">
      <c r="A611" s="17"/>
      <c r="B611" s="37"/>
      <c r="C611" s="37"/>
      <c r="D611" s="37"/>
    </row>
    <row r="612">
      <c r="A612" s="17"/>
      <c r="B612" s="37"/>
      <c r="C612" s="37"/>
      <c r="D612" s="37"/>
    </row>
    <row r="613">
      <c r="A613" s="17"/>
      <c r="B613" s="37"/>
      <c r="C613" s="37"/>
      <c r="D613" s="37"/>
    </row>
    <row r="614">
      <c r="A614" s="17"/>
      <c r="B614" s="37"/>
      <c r="C614" s="37"/>
      <c r="D614" s="37"/>
    </row>
    <row r="615">
      <c r="A615" s="17"/>
      <c r="B615" s="37"/>
      <c r="C615" s="37"/>
      <c r="D615" s="37"/>
    </row>
    <row r="616">
      <c r="A616" s="17"/>
      <c r="B616" s="37"/>
      <c r="C616" s="37"/>
      <c r="D616" s="37"/>
    </row>
    <row r="617">
      <c r="A617" s="17"/>
      <c r="B617" s="37"/>
      <c r="C617" s="37"/>
      <c r="D617" s="37"/>
    </row>
    <row r="618">
      <c r="A618" s="17"/>
      <c r="B618" s="37"/>
      <c r="C618" s="37"/>
      <c r="D618" s="37"/>
    </row>
    <row r="619">
      <c r="A619" s="17"/>
      <c r="B619" s="37"/>
      <c r="C619" s="37"/>
      <c r="D619" s="37"/>
    </row>
    <row r="620">
      <c r="A620" s="17"/>
      <c r="B620" s="37"/>
      <c r="C620" s="37"/>
      <c r="D620" s="37"/>
    </row>
    <row r="621">
      <c r="A621" s="17"/>
      <c r="B621" s="37"/>
      <c r="C621" s="37"/>
      <c r="D621" s="37"/>
    </row>
    <row r="622">
      <c r="A622" s="17"/>
      <c r="B622" s="37"/>
      <c r="C622" s="37"/>
      <c r="D622" s="37"/>
    </row>
    <row r="623">
      <c r="A623" s="17"/>
      <c r="B623" s="37"/>
      <c r="C623" s="37"/>
      <c r="D623" s="37"/>
    </row>
    <row r="624">
      <c r="A624" s="17"/>
      <c r="B624" s="37"/>
      <c r="C624" s="37"/>
      <c r="D624" s="37"/>
    </row>
    <row r="625">
      <c r="A625" s="17"/>
      <c r="B625" s="37"/>
      <c r="C625" s="37"/>
      <c r="D625" s="37"/>
    </row>
    <row r="626">
      <c r="A626" s="17"/>
      <c r="B626" s="37"/>
      <c r="C626" s="37"/>
      <c r="D626" s="37"/>
    </row>
    <row r="627">
      <c r="A627" s="17"/>
      <c r="B627" s="37"/>
      <c r="C627" s="37"/>
      <c r="D627" s="37"/>
    </row>
    <row r="628">
      <c r="A628" s="17"/>
      <c r="B628" s="37"/>
      <c r="C628" s="37"/>
      <c r="D628" s="37"/>
    </row>
    <row r="629">
      <c r="A629" s="17"/>
      <c r="B629" s="37"/>
      <c r="C629" s="37"/>
      <c r="D629" s="37"/>
    </row>
    <row r="630">
      <c r="A630" s="17"/>
      <c r="B630" s="37"/>
      <c r="C630" s="37"/>
      <c r="D630" s="37"/>
    </row>
    <row r="631">
      <c r="A631" s="17"/>
      <c r="B631" s="37"/>
      <c r="C631" s="37"/>
      <c r="D631" s="37"/>
    </row>
    <row r="632">
      <c r="A632" s="17"/>
      <c r="B632" s="37"/>
      <c r="C632" s="37"/>
      <c r="D632" s="37"/>
    </row>
    <row r="633">
      <c r="A633" s="17"/>
      <c r="B633" s="37"/>
      <c r="C633" s="37"/>
      <c r="D633" s="37"/>
    </row>
    <row r="634">
      <c r="A634" s="17"/>
      <c r="B634" s="37"/>
      <c r="C634" s="37"/>
      <c r="D634" s="37"/>
    </row>
    <row r="635">
      <c r="A635" s="17"/>
      <c r="B635" s="37"/>
      <c r="C635" s="37"/>
      <c r="D635" s="37"/>
    </row>
    <row r="636">
      <c r="A636" s="17"/>
      <c r="B636" s="37"/>
      <c r="C636" s="37"/>
      <c r="D636" s="37"/>
    </row>
    <row r="637">
      <c r="A637" s="17"/>
      <c r="B637" s="37"/>
      <c r="C637" s="37"/>
      <c r="D637" s="37"/>
    </row>
    <row r="638">
      <c r="A638" s="17"/>
      <c r="B638" s="37"/>
      <c r="C638" s="37"/>
      <c r="D638" s="37"/>
    </row>
    <row r="639">
      <c r="A639" s="17"/>
      <c r="B639" s="37"/>
      <c r="C639" s="37"/>
      <c r="D639" s="37"/>
    </row>
    <row r="640">
      <c r="A640" s="17"/>
      <c r="B640" s="37"/>
      <c r="C640" s="37"/>
      <c r="D640" s="37"/>
    </row>
    <row r="641">
      <c r="A641" s="17"/>
      <c r="B641" s="37"/>
      <c r="C641" s="37"/>
      <c r="D641" s="37"/>
    </row>
    <row r="642">
      <c r="A642" s="17"/>
      <c r="B642" s="37"/>
      <c r="C642" s="37"/>
      <c r="D642" s="37"/>
    </row>
    <row r="643">
      <c r="A643" s="17"/>
      <c r="B643" s="37"/>
      <c r="C643" s="37"/>
      <c r="D643" s="37"/>
    </row>
    <row r="644">
      <c r="A644" s="17"/>
      <c r="B644" s="37"/>
      <c r="C644" s="37"/>
      <c r="D644" s="37"/>
    </row>
    <row r="645">
      <c r="A645" s="17"/>
      <c r="B645" s="37"/>
      <c r="C645" s="37"/>
      <c r="D645" s="37"/>
    </row>
    <row r="646">
      <c r="A646" s="17"/>
      <c r="B646" s="37"/>
      <c r="C646" s="37"/>
      <c r="D646" s="37"/>
    </row>
    <row r="647">
      <c r="A647" s="17"/>
      <c r="B647" s="37"/>
      <c r="C647" s="37"/>
      <c r="D647" s="37"/>
    </row>
    <row r="648">
      <c r="A648" s="17"/>
      <c r="B648" s="37"/>
      <c r="C648" s="37"/>
      <c r="D648" s="37"/>
    </row>
    <row r="649">
      <c r="A649" s="17"/>
      <c r="B649" s="37"/>
      <c r="C649" s="37"/>
      <c r="D649" s="37"/>
    </row>
    <row r="650">
      <c r="A650" s="17"/>
      <c r="B650" s="37"/>
      <c r="C650" s="37"/>
      <c r="D650" s="37"/>
    </row>
    <row r="651">
      <c r="A651" s="17"/>
      <c r="B651" s="37"/>
      <c r="C651" s="37"/>
      <c r="D651" s="37"/>
    </row>
    <row r="652">
      <c r="A652" s="17"/>
      <c r="B652" s="37"/>
      <c r="C652" s="37"/>
      <c r="D652" s="37"/>
    </row>
    <row r="653">
      <c r="A653" s="17"/>
      <c r="B653" s="37"/>
      <c r="C653" s="37"/>
      <c r="D653" s="37"/>
    </row>
    <row r="654">
      <c r="A654" s="17"/>
      <c r="B654" s="37"/>
      <c r="C654" s="37"/>
      <c r="D654" s="37"/>
    </row>
    <row r="655">
      <c r="A655" s="17"/>
      <c r="B655" s="37"/>
      <c r="C655" s="37"/>
      <c r="D655" s="37"/>
    </row>
    <row r="656">
      <c r="A656" s="17"/>
      <c r="B656" s="37"/>
      <c r="C656" s="37"/>
      <c r="D656" s="37"/>
    </row>
    <row r="657">
      <c r="A657" s="17"/>
      <c r="B657" s="37"/>
      <c r="C657" s="37"/>
      <c r="D657" s="37"/>
    </row>
    <row r="658">
      <c r="A658" s="17"/>
      <c r="B658" s="37"/>
      <c r="C658" s="37"/>
      <c r="D658" s="37"/>
    </row>
    <row r="659">
      <c r="A659" s="17"/>
      <c r="B659" s="37"/>
      <c r="C659" s="37"/>
      <c r="D659" s="37"/>
    </row>
    <row r="660">
      <c r="A660" s="17"/>
      <c r="B660" s="37"/>
      <c r="C660" s="37"/>
      <c r="D660" s="37"/>
    </row>
    <row r="661">
      <c r="A661" s="17"/>
      <c r="B661" s="37"/>
      <c r="C661" s="37"/>
      <c r="D661" s="37"/>
    </row>
    <row r="662">
      <c r="A662" s="17"/>
      <c r="B662" s="37"/>
      <c r="C662" s="37"/>
      <c r="D662" s="37"/>
    </row>
    <row r="663">
      <c r="A663" s="17"/>
      <c r="B663" s="37"/>
      <c r="C663" s="37"/>
      <c r="D663" s="37"/>
    </row>
    <row r="664">
      <c r="A664" s="17"/>
      <c r="B664" s="37"/>
      <c r="C664" s="37"/>
      <c r="D664" s="37"/>
    </row>
    <row r="665">
      <c r="A665" s="17"/>
      <c r="B665" s="37"/>
      <c r="C665" s="37"/>
      <c r="D665" s="37"/>
    </row>
    <row r="666">
      <c r="A666" s="17"/>
      <c r="B666" s="37"/>
      <c r="C666" s="37"/>
      <c r="D666" s="37"/>
    </row>
    <row r="667">
      <c r="A667" s="17"/>
      <c r="B667" s="37"/>
      <c r="C667" s="37"/>
      <c r="D667" s="37"/>
    </row>
    <row r="668">
      <c r="A668" s="17"/>
      <c r="B668" s="37"/>
      <c r="C668" s="37"/>
      <c r="D668" s="37"/>
    </row>
    <row r="669">
      <c r="A669" s="17"/>
      <c r="B669" s="37"/>
      <c r="C669" s="37"/>
      <c r="D669" s="37"/>
    </row>
    <row r="670">
      <c r="A670" s="17"/>
      <c r="B670" s="37"/>
      <c r="C670" s="37"/>
      <c r="D670" s="37"/>
    </row>
    <row r="671">
      <c r="A671" s="17"/>
      <c r="B671" s="37"/>
      <c r="C671" s="37"/>
      <c r="D671" s="37"/>
    </row>
    <row r="672">
      <c r="A672" s="17"/>
      <c r="B672" s="37"/>
      <c r="C672" s="37"/>
      <c r="D672" s="37"/>
    </row>
    <row r="673">
      <c r="A673" s="17"/>
      <c r="B673" s="37"/>
      <c r="C673" s="37"/>
      <c r="D673" s="37"/>
    </row>
    <row r="674">
      <c r="A674" s="17"/>
      <c r="B674" s="37"/>
      <c r="C674" s="37"/>
      <c r="D674" s="37"/>
    </row>
    <row r="675">
      <c r="A675" s="17"/>
      <c r="B675" s="37"/>
      <c r="C675" s="37"/>
      <c r="D675" s="37"/>
    </row>
    <row r="676">
      <c r="A676" s="17"/>
      <c r="B676" s="37"/>
      <c r="C676" s="37"/>
      <c r="D676" s="37"/>
    </row>
    <row r="677">
      <c r="A677" s="17"/>
      <c r="B677" s="37"/>
      <c r="C677" s="37"/>
      <c r="D677" s="37"/>
    </row>
    <row r="678">
      <c r="A678" s="17"/>
      <c r="B678" s="37"/>
      <c r="C678" s="37"/>
      <c r="D678" s="37"/>
    </row>
    <row r="679">
      <c r="A679" s="17"/>
      <c r="B679" s="37"/>
      <c r="C679" s="37"/>
      <c r="D679" s="37"/>
    </row>
    <row r="680">
      <c r="A680" s="17"/>
      <c r="B680" s="37"/>
      <c r="C680" s="37"/>
      <c r="D680" s="37"/>
    </row>
    <row r="681">
      <c r="A681" s="17"/>
      <c r="B681" s="37"/>
      <c r="C681" s="37"/>
      <c r="D681" s="37"/>
    </row>
    <row r="682">
      <c r="A682" s="17"/>
      <c r="B682" s="37"/>
      <c r="C682" s="37"/>
      <c r="D682" s="37"/>
    </row>
    <row r="683">
      <c r="A683" s="17"/>
      <c r="B683" s="37"/>
      <c r="C683" s="37"/>
      <c r="D683" s="37"/>
    </row>
    <row r="684">
      <c r="A684" s="17"/>
      <c r="B684" s="37"/>
      <c r="C684" s="37"/>
      <c r="D684" s="37"/>
    </row>
    <row r="685">
      <c r="A685" s="17"/>
      <c r="B685" s="37"/>
      <c r="C685" s="37"/>
      <c r="D685" s="37"/>
    </row>
    <row r="686">
      <c r="A686" s="17"/>
      <c r="B686" s="37"/>
      <c r="C686" s="37"/>
      <c r="D686" s="37"/>
    </row>
    <row r="687">
      <c r="A687" s="17"/>
      <c r="B687" s="37"/>
      <c r="C687" s="37"/>
      <c r="D687" s="37"/>
    </row>
    <row r="688">
      <c r="A688" s="17"/>
      <c r="B688" s="37"/>
      <c r="C688" s="37"/>
      <c r="D688" s="37"/>
    </row>
    <row r="689">
      <c r="A689" s="17"/>
      <c r="B689" s="37"/>
      <c r="C689" s="37"/>
      <c r="D689" s="37"/>
    </row>
    <row r="690">
      <c r="A690" s="17"/>
      <c r="B690" s="37"/>
      <c r="C690" s="37"/>
      <c r="D690" s="37"/>
    </row>
    <row r="691">
      <c r="A691" s="17"/>
      <c r="B691" s="37"/>
      <c r="C691" s="37"/>
      <c r="D691" s="37"/>
    </row>
    <row r="692">
      <c r="A692" s="17"/>
      <c r="B692" s="37"/>
      <c r="C692" s="37"/>
      <c r="D692" s="37"/>
    </row>
    <row r="693">
      <c r="A693" s="17"/>
      <c r="B693" s="37"/>
      <c r="C693" s="37"/>
      <c r="D693" s="37"/>
    </row>
    <row r="694">
      <c r="A694" s="17"/>
      <c r="B694" s="37"/>
      <c r="C694" s="37"/>
      <c r="D694" s="37"/>
    </row>
    <row r="695">
      <c r="A695" s="17"/>
      <c r="B695" s="37"/>
      <c r="C695" s="37"/>
      <c r="D695" s="37"/>
    </row>
    <row r="696">
      <c r="A696" s="17"/>
      <c r="B696" s="37"/>
      <c r="C696" s="37"/>
      <c r="D696" s="37"/>
    </row>
    <row r="697">
      <c r="A697" s="17"/>
      <c r="B697" s="37"/>
      <c r="C697" s="37"/>
      <c r="D697" s="37"/>
    </row>
    <row r="698">
      <c r="A698" s="17"/>
      <c r="B698" s="37"/>
      <c r="C698" s="37"/>
      <c r="D698" s="37"/>
    </row>
    <row r="699">
      <c r="A699" s="17"/>
      <c r="B699" s="37"/>
      <c r="C699" s="37"/>
      <c r="D699" s="37"/>
    </row>
    <row r="700">
      <c r="A700" s="17"/>
      <c r="B700" s="37"/>
      <c r="C700" s="37"/>
      <c r="D700" s="37"/>
    </row>
    <row r="701">
      <c r="A701" s="17"/>
      <c r="B701" s="37"/>
      <c r="C701" s="37"/>
      <c r="D701" s="37"/>
    </row>
    <row r="702">
      <c r="A702" s="17"/>
      <c r="B702" s="37"/>
      <c r="C702" s="37"/>
      <c r="D702" s="37"/>
    </row>
    <row r="703">
      <c r="A703" s="17"/>
      <c r="B703" s="37"/>
      <c r="C703" s="37"/>
      <c r="D703"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hidden="1" min="5" max="6" width="12.63"/>
    <col customWidth="1" min="11" max="11" width="15.5"/>
    <col customWidth="1" min="12" max="12" width="44.63"/>
  </cols>
  <sheetData>
    <row r="1">
      <c r="A1" s="39" t="s">
        <v>202</v>
      </c>
      <c r="B1" s="40" t="s">
        <v>203</v>
      </c>
      <c r="C1" s="41" t="s">
        <v>204</v>
      </c>
      <c r="D1" s="41" t="s">
        <v>205</v>
      </c>
      <c r="E1" s="41" t="s">
        <v>204</v>
      </c>
      <c r="F1" s="41" t="s">
        <v>205</v>
      </c>
      <c r="G1" s="41" t="s">
        <v>204</v>
      </c>
      <c r="H1" s="41" t="s">
        <v>205</v>
      </c>
      <c r="I1" s="41" t="s">
        <v>206</v>
      </c>
      <c r="J1" s="41" t="s">
        <v>207</v>
      </c>
      <c r="K1" s="40" t="s">
        <v>208</v>
      </c>
      <c r="L1" s="42" t="s">
        <v>209</v>
      </c>
    </row>
    <row r="2">
      <c r="A2" s="43" t="s">
        <v>210</v>
      </c>
      <c r="B2" s="44" t="str">
        <f t="array" ref="B2">DGET(colegios!$A$1:$B965,colegios!$B$1,{colegios!$A$1;L2})</f>
        <v>501344</v>
      </c>
      <c r="C2" s="45"/>
      <c r="D2" s="45"/>
      <c r="E2" s="45"/>
      <c r="F2" s="45"/>
      <c r="G2" s="45"/>
      <c r="H2" s="45"/>
      <c r="I2" s="45"/>
      <c r="J2" s="46">
        <v>1.0</v>
      </c>
      <c r="K2" s="46" t="str">
        <f t="shared" ref="K2:K121" si="1">IF(AND(I2&lt;&gt;"",J2&lt;&gt;""),"PADD 2023 Y 2024",IF(I2&lt;&gt;"","SOLO 2023",IF(J2&lt;&gt;"","SOLO 2024","NO PARTICIPÓ")))</f>
        <v>SOLO 2024</v>
      </c>
      <c r="L2" s="47" t="s">
        <v>211</v>
      </c>
    </row>
    <row r="3">
      <c r="A3" s="43" t="s">
        <v>210</v>
      </c>
      <c r="B3" s="44" t="str">
        <f t="array" ref="B3">DGET(colegios!$A$1:$B965,colegios!$B$1,{colegios!$A$1;L3})</f>
        <v>501455 CRISTO REY TTIKARIY</v>
      </c>
      <c r="C3" s="45"/>
      <c r="D3" s="46">
        <v>1.0</v>
      </c>
      <c r="E3" s="45"/>
      <c r="F3" s="46">
        <v>1.0</v>
      </c>
      <c r="G3" s="45"/>
      <c r="H3" s="45"/>
      <c r="I3" s="46">
        <v>1.0</v>
      </c>
      <c r="J3" s="46">
        <v>1.0</v>
      </c>
      <c r="K3" s="46" t="str">
        <f t="shared" si="1"/>
        <v>PADD 2023 Y 2024</v>
      </c>
      <c r="L3" s="47" t="s">
        <v>212</v>
      </c>
    </row>
    <row r="4">
      <c r="A4" s="43" t="s">
        <v>210</v>
      </c>
      <c r="B4" s="44" t="str">
        <f t="array" ref="B4">DGET(colegios!$A$1:$B965,colegios!$B$1,{colegios!$A$1;L4})</f>
        <v>50492 CORAZON DE JESUS</v>
      </c>
      <c r="C4" s="46">
        <v>1.0</v>
      </c>
      <c r="D4" s="46">
        <v>1.0</v>
      </c>
      <c r="E4" s="46">
        <v>1.0</v>
      </c>
      <c r="F4" s="46">
        <v>1.0</v>
      </c>
      <c r="G4" s="45"/>
      <c r="H4" s="45"/>
      <c r="I4" s="46">
        <v>1.0</v>
      </c>
      <c r="J4" s="46">
        <v>1.0</v>
      </c>
      <c r="K4" s="46" t="str">
        <f t="shared" si="1"/>
        <v>PADD 2023 Y 2024</v>
      </c>
      <c r="L4" s="47" t="s">
        <v>213</v>
      </c>
    </row>
    <row r="5">
      <c r="A5" s="43" t="s">
        <v>210</v>
      </c>
      <c r="B5" s="44" t="str">
        <f t="array" ref="B5">DGET(colegios!$A$1:$B965,colegios!$B$1,{colegios!$A$1;L5})</f>
        <v>50550</v>
      </c>
      <c r="C5" s="46">
        <v>1.0</v>
      </c>
      <c r="D5" s="46">
        <v>1.0</v>
      </c>
      <c r="E5" s="46">
        <v>1.0</v>
      </c>
      <c r="F5" s="46">
        <v>1.0</v>
      </c>
      <c r="G5" s="45"/>
      <c r="H5" s="45"/>
      <c r="I5" s="46">
        <v>1.0</v>
      </c>
      <c r="J5" s="46">
        <v>1.0</v>
      </c>
      <c r="K5" s="46" t="str">
        <f t="shared" si="1"/>
        <v>PADD 2023 Y 2024</v>
      </c>
      <c r="L5" s="47" t="s">
        <v>214</v>
      </c>
    </row>
    <row r="6">
      <c r="A6" s="43" t="s">
        <v>210</v>
      </c>
      <c r="B6" s="44" t="str">
        <f t="array" ref="B6">DGET(colegios!$A$1:$B965,colegios!$B$1,{colegios!$A$1;L6})</f>
        <v>50552 TUPAC AMARU II</v>
      </c>
      <c r="C6" s="48"/>
      <c r="D6" s="45"/>
      <c r="E6" s="45"/>
      <c r="F6" s="45"/>
      <c r="G6" s="45"/>
      <c r="H6" s="45"/>
      <c r="I6" s="45"/>
      <c r="J6" s="46">
        <v>1.0</v>
      </c>
      <c r="K6" s="46" t="str">
        <f t="shared" si="1"/>
        <v>SOLO 2024</v>
      </c>
      <c r="L6" s="47" t="s">
        <v>215</v>
      </c>
    </row>
    <row r="7">
      <c r="A7" s="43" t="s">
        <v>210</v>
      </c>
      <c r="B7" s="44" t="str">
        <f t="array" ref="B7">DGET(colegios!$A$1:$B965,colegios!$B$1,{colegios!$A$1;L7})</f>
        <v>50558</v>
      </c>
      <c r="C7" s="49">
        <v>1.0</v>
      </c>
      <c r="D7" s="45"/>
      <c r="E7" s="46">
        <v>1.0</v>
      </c>
      <c r="F7" s="45"/>
      <c r="G7" s="45"/>
      <c r="H7" s="45"/>
      <c r="I7" s="45"/>
      <c r="J7" s="46">
        <v>1.0</v>
      </c>
      <c r="K7" s="46" t="str">
        <f t="shared" si="1"/>
        <v>SOLO 2024</v>
      </c>
      <c r="L7" s="47" t="s">
        <v>216</v>
      </c>
    </row>
    <row r="8">
      <c r="A8" s="43" t="s">
        <v>210</v>
      </c>
      <c r="B8" s="44" t="str">
        <f t="array" ref="B8">DGET(colegios!$A$1:$B965,colegios!$B$1,{colegios!$A$1;L8})</f>
        <v>50719 VIRGEN DEL CARMEN</v>
      </c>
      <c r="C8" s="49">
        <v>1.0</v>
      </c>
      <c r="D8" s="45"/>
      <c r="E8" s="46">
        <v>1.0</v>
      </c>
      <c r="F8" s="45"/>
      <c r="G8" s="45"/>
      <c r="H8" s="45"/>
      <c r="I8" s="45"/>
      <c r="J8" s="46">
        <v>1.0</v>
      </c>
      <c r="K8" s="46" t="str">
        <f t="shared" si="1"/>
        <v>SOLO 2024</v>
      </c>
      <c r="L8" s="47" t="s">
        <v>217</v>
      </c>
    </row>
    <row r="9">
      <c r="A9" s="43" t="s">
        <v>210</v>
      </c>
      <c r="B9" s="44" t="str">
        <f t="array" ref="B9">DGET(colegios!$A$1:$B965,colegios!$B$1,{colegios!$A$1;L9})</f>
        <v>50854</v>
      </c>
      <c r="C9" s="49">
        <v>1.0</v>
      </c>
      <c r="D9" s="45"/>
      <c r="E9" s="46">
        <v>1.0</v>
      </c>
      <c r="F9" s="45"/>
      <c r="G9" s="45"/>
      <c r="H9" s="45"/>
      <c r="I9" s="45"/>
      <c r="J9" s="46">
        <v>1.0</v>
      </c>
      <c r="K9" s="46" t="str">
        <f t="shared" si="1"/>
        <v>SOLO 2024</v>
      </c>
      <c r="L9" s="47" t="s">
        <v>218</v>
      </c>
    </row>
    <row r="10">
      <c r="A10" s="43" t="s">
        <v>210</v>
      </c>
      <c r="B10" s="44" t="str">
        <f t="array" ref="B10">DGET(colegios!$A$1:$B965,colegios!$B$1,{colegios!$A$1;L10})</f>
        <v>50715</v>
      </c>
      <c r="C10" s="48"/>
      <c r="D10" s="46">
        <v>1.0</v>
      </c>
      <c r="E10" s="45"/>
      <c r="F10" s="46">
        <v>1.0</v>
      </c>
      <c r="G10" s="45"/>
      <c r="H10" s="45"/>
      <c r="I10" s="46">
        <v>1.0</v>
      </c>
      <c r="J10" s="45"/>
      <c r="K10" s="46" t="str">
        <f t="shared" si="1"/>
        <v>SOLO 2023</v>
      </c>
      <c r="L10" s="47" t="s">
        <v>219</v>
      </c>
    </row>
    <row r="11">
      <c r="A11" s="43" t="s">
        <v>210</v>
      </c>
      <c r="B11" s="44" t="str">
        <f t="array" ref="B11">DGET(colegios!$A$1:$B965,colegios!$B$1,{colegios!$A$1;L11})</f>
        <v>50765</v>
      </c>
      <c r="C11" s="48"/>
      <c r="D11" s="46">
        <v>1.0</v>
      </c>
      <c r="E11" s="45"/>
      <c r="F11" s="46">
        <v>1.0</v>
      </c>
      <c r="G11" s="45"/>
      <c r="H11" s="45"/>
      <c r="I11" s="46">
        <v>1.0</v>
      </c>
      <c r="J11" s="45"/>
      <c r="K11" s="46" t="str">
        <f t="shared" si="1"/>
        <v>SOLO 2023</v>
      </c>
      <c r="L11" s="47" t="s">
        <v>220</v>
      </c>
    </row>
    <row r="12">
      <c r="A12" s="43" t="s">
        <v>210</v>
      </c>
      <c r="B12" s="44" t="str">
        <f t="array" ref="B12">DGET(colegios!$A$1:$B965,colegios!$B$1,{colegios!$A$1;L12})</f>
        <v>50796</v>
      </c>
      <c r="C12" s="48"/>
      <c r="D12" s="46">
        <v>1.0</v>
      </c>
      <c r="E12" s="45"/>
      <c r="F12" s="46">
        <v>1.0</v>
      </c>
      <c r="G12" s="45"/>
      <c r="H12" s="45"/>
      <c r="I12" s="46">
        <v>1.0</v>
      </c>
      <c r="J12" s="45"/>
      <c r="K12" s="46" t="str">
        <f t="shared" si="1"/>
        <v>SOLO 2023</v>
      </c>
      <c r="L12" s="47" t="s">
        <v>221</v>
      </c>
    </row>
    <row r="13">
      <c r="A13" s="43" t="s">
        <v>210</v>
      </c>
      <c r="B13" s="44" t="str">
        <f t="array" ref="B13">DGET(colegios!$A$1:$B965,colegios!$B$1,{colegios!$A$1;L13})</f>
        <v>50495</v>
      </c>
      <c r="C13" s="48"/>
      <c r="D13" s="46">
        <v>1.0</v>
      </c>
      <c r="E13" s="45"/>
      <c r="F13" s="46">
        <v>1.0</v>
      </c>
      <c r="G13" s="45"/>
      <c r="H13" s="45"/>
      <c r="I13" s="46">
        <v>1.0</v>
      </c>
      <c r="J13" s="45"/>
      <c r="K13" s="46" t="str">
        <f t="shared" si="1"/>
        <v>SOLO 2023</v>
      </c>
      <c r="L13" s="47" t="s">
        <v>222</v>
      </c>
    </row>
    <row r="14">
      <c r="A14" s="43" t="s">
        <v>210</v>
      </c>
      <c r="B14" s="44" t="str">
        <f t="array" ref="B14">DGET(colegios!$A$1:$B965,colegios!$B$1,{colegios!$A$1;L14})</f>
        <v>50536</v>
      </c>
      <c r="C14" s="50">
        <v>1.0</v>
      </c>
      <c r="D14" s="45"/>
      <c r="E14" s="50">
        <v>1.0</v>
      </c>
      <c r="F14" s="45"/>
      <c r="G14" s="45"/>
      <c r="H14" s="45"/>
      <c r="I14" s="45"/>
      <c r="J14" s="45"/>
      <c r="K14" s="46" t="str">
        <f t="shared" si="1"/>
        <v>NO PARTICIPÓ</v>
      </c>
      <c r="L14" s="51" t="s">
        <v>223</v>
      </c>
    </row>
    <row r="15">
      <c r="A15" s="43" t="s">
        <v>210</v>
      </c>
      <c r="B15" s="44" t="str">
        <f t="array" ref="B15">DGET(colegios!$A$1:$B965,colegios!$B$1,{colegios!$A$1;L15})</f>
        <v>50547</v>
      </c>
      <c r="C15" s="48"/>
      <c r="D15" s="46">
        <v>1.0</v>
      </c>
      <c r="E15" s="45"/>
      <c r="F15" s="46">
        <v>1.0</v>
      </c>
      <c r="G15" s="45"/>
      <c r="H15" s="45"/>
      <c r="I15" s="46">
        <v>1.0</v>
      </c>
      <c r="J15" s="45"/>
      <c r="K15" s="46" t="str">
        <f t="shared" si="1"/>
        <v>SOLO 2023</v>
      </c>
      <c r="L15" s="47" t="s">
        <v>224</v>
      </c>
    </row>
    <row r="16">
      <c r="A16" s="43" t="s">
        <v>210</v>
      </c>
      <c r="B16" s="44" t="str">
        <f t="array" ref="B16">DGET(colegios!$A$1:$B965,colegios!$B$1,{colegios!$A$1;L16})</f>
        <v>50553</v>
      </c>
      <c r="C16" s="48"/>
      <c r="D16" s="46">
        <v>1.0</v>
      </c>
      <c r="E16" s="45"/>
      <c r="F16" s="46">
        <v>1.0</v>
      </c>
      <c r="G16" s="45"/>
      <c r="H16" s="45"/>
      <c r="I16" s="46">
        <v>1.0</v>
      </c>
      <c r="J16" s="45"/>
      <c r="K16" s="46" t="str">
        <f t="shared" si="1"/>
        <v>SOLO 2023</v>
      </c>
      <c r="L16" s="47" t="s">
        <v>225</v>
      </c>
    </row>
    <row r="17">
      <c r="A17" s="43" t="s">
        <v>210</v>
      </c>
      <c r="B17" s="44" t="str">
        <f t="array" ref="B17">DGET(colegios!$A$1:$B965,colegios!$B$1,{colegios!$A$1;L17})</f>
        <v>50912</v>
      </c>
      <c r="C17" s="52">
        <v>1.0</v>
      </c>
      <c r="D17" s="45"/>
      <c r="E17" s="50">
        <v>1.0</v>
      </c>
      <c r="F17" s="45"/>
      <c r="G17" s="45"/>
      <c r="H17" s="45"/>
      <c r="I17" s="45"/>
      <c r="J17" s="45"/>
      <c r="K17" s="46" t="str">
        <f t="shared" si="1"/>
        <v>NO PARTICIPÓ</v>
      </c>
      <c r="L17" s="51" t="s">
        <v>226</v>
      </c>
    </row>
    <row r="18">
      <c r="A18" s="43" t="s">
        <v>210</v>
      </c>
      <c r="B18" s="44" t="str">
        <f t="array" ref="B18">DGET(colegios!$A$1:$B965,colegios!$B$1,{colegios!$A$1;L18})</f>
        <v>50977</v>
      </c>
      <c r="C18" s="48"/>
      <c r="D18" s="46">
        <v>1.0</v>
      </c>
      <c r="E18" s="45"/>
      <c r="F18" s="46">
        <v>1.0</v>
      </c>
      <c r="G18" s="45"/>
      <c r="H18" s="45"/>
      <c r="I18" s="46">
        <v>1.0</v>
      </c>
      <c r="J18" s="45"/>
      <c r="K18" s="46" t="str">
        <f t="shared" si="1"/>
        <v>SOLO 2023</v>
      </c>
      <c r="L18" s="47" t="s">
        <v>227</v>
      </c>
    </row>
    <row r="19">
      <c r="A19" s="43" t="s">
        <v>210</v>
      </c>
      <c r="B19" s="44" t="str">
        <f t="array" ref="B19">DGET(colegios!$A$1:$B965,colegios!$B$1,{colegios!$A$1;L19})</f>
        <v>501432 PAPA FRANCISCO I</v>
      </c>
      <c r="C19" s="49">
        <v>1.0</v>
      </c>
      <c r="D19" s="46">
        <v>1.0</v>
      </c>
      <c r="E19" s="46">
        <v>1.0</v>
      </c>
      <c r="F19" s="46">
        <v>1.0</v>
      </c>
      <c r="G19" s="45"/>
      <c r="H19" s="45"/>
      <c r="I19" s="46">
        <v>1.0</v>
      </c>
      <c r="J19" s="46">
        <v>1.0</v>
      </c>
      <c r="K19" s="46" t="str">
        <f t="shared" si="1"/>
        <v>PADD 2023 Y 2024</v>
      </c>
      <c r="L19" s="47" t="s">
        <v>228</v>
      </c>
    </row>
    <row r="20">
      <c r="A20" s="43" t="s">
        <v>210</v>
      </c>
      <c r="B20" s="44" t="str">
        <f t="array" ref="B20">DGET(colegios!$A$1:$B965,colegios!$B$1,{colegios!$A$1;L20})</f>
        <v>ALMIRANTE MIGUEL GRAU SEMINARIO</v>
      </c>
      <c r="C20" s="52">
        <v>1.0</v>
      </c>
      <c r="D20" s="45"/>
      <c r="E20" s="50">
        <v>1.0</v>
      </c>
      <c r="F20" s="45"/>
      <c r="G20" s="45"/>
      <c r="H20" s="45"/>
      <c r="I20" s="45"/>
      <c r="J20" s="45"/>
      <c r="K20" s="46" t="str">
        <f t="shared" si="1"/>
        <v>NO PARTICIPÓ</v>
      </c>
      <c r="L20" s="51" t="s">
        <v>229</v>
      </c>
    </row>
    <row r="21">
      <c r="A21" s="43" t="s">
        <v>230</v>
      </c>
      <c r="B21" s="44" t="str">
        <f t="array" ref="B21">DGET(colegios!$A$1:$B965,colegios!$B$1,{colegios!$A$1;L21})</f>
        <v>#NUM!</v>
      </c>
      <c r="C21" s="46">
        <v>1.0</v>
      </c>
      <c r="D21" s="46">
        <v>1.0</v>
      </c>
      <c r="E21" s="46">
        <v>1.0</v>
      </c>
      <c r="F21" s="46">
        <v>1.0</v>
      </c>
      <c r="G21" s="46">
        <v>1.0</v>
      </c>
      <c r="H21" s="46">
        <v>1.0</v>
      </c>
      <c r="I21" s="46">
        <v>1.0</v>
      </c>
      <c r="J21" s="46">
        <v>1.0</v>
      </c>
      <c r="K21" s="46" t="str">
        <f t="shared" si="1"/>
        <v>PADD 2023 Y 2024</v>
      </c>
      <c r="L21" s="47" t="s">
        <v>134</v>
      </c>
    </row>
    <row r="22">
      <c r="A22" s="43" t="s">
        <v>230</v>
      </c>
      <c r="B22" s="44" t="str">
        <f t="array" ref="B22">DGET(colegios!$A$1:$B965,colegios!$B$1,{colegios!$A$1;L22})</f>
        <v>601448</v>
      </c>
      <c r="C22" s="46">
        <v>1.0</v>
      </c>
      <c r="D22" s="46">
        <v>1.0</v>
      </c>
      <c r="E22" s="46">
        <v>1.0</v>
      </c>
      <c r="F22" s="46">
        <v>1.0</v>
      </c>
      <c r="G22" s="46">
        <v>1.0</v>
      </c>
      <c r="H22" s="46">
        <v>1.0</v>
      </c>
      <c r="I22" s="46">
        <v>1.0</v>
      </c>
      <c r="J22" s="46">
        <v>1.0</v>
      </c>
      <c r="K22" s="46" t="str">
        <f t="shared" si="1"/>
        <v>PADD 2023 Y 2024</v>
      </c>
      <c r="L22" s="47" t="s">
        <v>131</v>
      </c>
    </row>
    <row r="23">
      <c r="A23" s="43" t="s">
        <v>230</v>
      </c>
      <c r="B23" s="44" t="str">
        <f t="array" ref="B23">DGET(colegios!$A$1:$B965,colegios!$B$1,{colegios!$A$1;L23})</f>
        <v>601614</v>
      </c>
      <c r="C23" s="45"/>
      <c r="D23" s="46">
        <v>1.0</v>
      </c>
      <c r="E23" s="45"/>
      <c r="F23" s="46">
        <v>1.0</v>
      </c>
      <c r="G23" s="45"/>
      <c r="H23" s="46">
        <v>1.0</v>
      </c>
      <c r="I23" s="46">
        <v>1.0</v>
      </c>
      <c r="J23" s="46">
        <v>1.0</v>
      </c>
      <c r="K23" s="46" t="str">
        <f t="shared" si="1"/>
        <v>PADD 2023 Y 2024</v>
      </c>
      <c r="L23" s="47" t="s">
        <v>133</v>
      </c>
    </row>
    <row r="24">
      <c r="A24" s="43" t="s">
        <v>230</v>
      </c>
      <c r="B24" s="44" t="str">
        <f t="array" ref="B24">DGET(colegios!$A$1:$B965,colegios!$B$1,{colegios!$A$1;L24})</f>
        <v>601514</v>
      </c>
      <c r="C24" s="45"/>
      <c r="D24" s="46">
        <v>1.0</v>
      </c>
      <c r="E24" s="45"/>
      <c r="F24" s="46">
        <v>1.0</v>
      </c>
      <c r="G24" s="45"/>
      <c r="H24" s="46">
        <v>1.0</v>
      </c>
      <c r="I24" s="46">
        <v>1.0</v>
      </c>
      <c r="J24" s="45"/>
      <c r="K24" s="46" t="str">
        <f t="shared" si="1"/>
        <v>SOLO 2023</v>
      </c>
      <c r="L24" s="47" t="s">
        <v>135</v>
      </c>
    </row>
    <row r="25">
      <c r="A25" s="43" t="s">
        <v>230</v>
      </c>
      <c r="B25" s="44" t="str">
        <f t="array" ref="B25">DGET(colegios!$A$1:$B965,colegios!$B$1,{colegios!$A$1;L25})</f>
        <v>601331</v>
      </c>
      <c r="C25" s="46">
        <v>1.0</v>
      </c>
      <c r="D25" s="46">
        <v>1.0</v>
      </c>
      <c r="E25" s="46">
        <v>1.0</v>
      </c>
      <c r="F25" s="46">
        <v>1.0</v>
      </c>
      <c r="G25" s="46">
        <v>1.0</v>
      </c>
      <c r="H25" s="46">
        <v>1.0</v>
      </c>
      <c r="I25" s="46">
        <v>1.0</v>
      </c>
      <c r="J25" s="45"/>
      <c r="K25" s="46" t="str">
        <f t="shared" si="1"/>
        <v>SOLO 2023</v>
      </c>
      <c r="L25" s="47" t="s">
        <v>136</v>
      </c>
    </row>
    <row r="26">
      <c r="A26" s="43" t="s">
        <v>230</v>
      </c>
      <c r="B26" s="44" t="str">
        <f t="array" ref="B26">DGET(colegios!$A$1:$B965,colegios!$B$1,{colegios!$A$1;L26})</f>
        <v>6010230 BARBARA D'ACHILLE</v>
      </c>
      <c r="C26" s="46">
        <v>1.0</v>
      </c>
      <c r="D26" s="46">
        <v>1.0</v>
      </c>
      <c r="E26" s="46">
        <v>1.0</v>
      </c>
      <c r="F26" s="46">
        <v>1.0</v>
      </c>
      <c r="G26" s="46">
        <v>1.0</v>
      </c>
      <c r="H26" s="46">
        <v>1.0</v>
      </c>
      <c r="I26" s="46">
        <v>1.0</v>
      </c>
      <c r="J26" s="46">
        <v>1.0</v>
      </c>
      <c r="K26" s="46" t="str">
        <f t="shared" si="1"/>
        <v>PADD 2023 Y 2024</v>
      </c>
      <c r="L26" s="47" t="s">
        <v>231</v>
      </c>
    </row>
    <row r="27">
      <c r="A27" s="43" t="s">
        <v>230</v>
      </c>
      <c r="B27" s="44" t="str">
        <f t="array" ref="B27">DGET(colegios!$A$1:$B965,colegios!$B$1,{colegios!$A$1;L27})</f>
        <v>60133</v>
      </c>
      <c r="C27" s="46">
        <v>1.0</v>
      </c>
      <c r="D27" s="46">
        <v>1.0</v>
      </c>
      <c r="E27" s="46">
        <v>1.0</v>
      </c>
      <c r="F27" s="46">
        <v>1.0</v>
      </c>
      <c r="G27" s="46">
        <v>1.0</v>
      </c>
      <c r="H27" s="46">
        <v>1.0</v>
      </c>
      <c r="I27" s="46">
        <v>1.0</v>
      </c>
      <c r="J27" s="46">
        <v>1.0</v>
      </c>
      <c r="K27" s="46" t="str">
        <f t="shared" si="1"/>
        <v>PADD 2023 Y 2024</v>
      </c>
      <c r="L27" s="47" t="s">
        <v>138</v>
      </c>
    </row>
    <row r="28">
      <c r="A28" s="43" t="s">
        <v>230</v>
      </c>
      <c r="B28" s="44" t="str">
        <f t="array" ref="B28">DGET(colegios!$A$1:$B965,colegios!$B$1,{colegios!$A$1;L28})</f>
        <v>60136</v>
      </c>
      <c r="C28" s="45"/>
      <c r="D28" s="45"/>
      <c r="E28" s="45"/>
      <c r="F28" s="45"/>
      <c r="G28" s="45"/>
      <c r="H28" s="45"/>
      <c r="I28" s="45"/>
      <c r="J28" s="46">
        <v>1.0</v>
      </c>
      <c r="K28" s="46" t="str">
        <f t="shared" si="1"/>
        <v>SOLO 2024</v>
      </c>
      <c r="L28" s="47" t="s">
        <v>232</v>
      </c>
    </row>
    <row r="29">
      <c r="A29" s="43" t="s">
        <v>230</v>
      </c>
      <c r="B29" s="44" t="str">
        <f t="array" ref="B29">DGET(colegios!$A$1:$B965,colegios!$B$1,{colegios!$A$1;L29})</f>
        <v>60181</v>
      </c>
      <c r="C29" s="45"/>
      <c r="D29" s="45"/>
      <c r="E29" s="45"/>
      <c r="F29" s="45"/>
      <c r="G29" s="45"/>
      <c r="H29" s="45"/>
      <c r="I29" s="45"/>
      <c r="J29" s="46">
        <v>1.0</v>
      </c>
      <c r="K29" s="46" t="str">
        <f t="shared" si="1"/>
        <v>SOLO 2024</v>
      </c>
      <c r="L29" s="47" t="s">
        <v>233</v>
      </c>
    </row>
    <row r="30">
      <c r="A30" s="43" t="s">
        <v>230</v>
      </c>
      <c r="B30" s="44" t="str">
        <f t="array" ref="B30">DGET(colegios!$A$1:$B965,colegios!$B$1,{colegios!$A$1;L30})</f>
        <v>601330</v>
      </c>
      <c r="C30" s="45"/>
      <c r="D30" s="45"/>
      <c r="E30" s="45"/>
      <c r="F30" s="45"/>
      <c r="G30" s="45"/>
      <c r="H30" s="45"/>
      <c r="I30" s="45"/>
      <c r="J30" s="46">
        <v>1.0</v>
      </c>
      <c r="K30" s="46" t="str">
        <f t="shared" si="1"/>
        <v>SOLO 2024</v>
      </c>
      <c r="L30" s="47" t="s">
        <v>234</v>
      </c>
    </row>
    <row r="31">
      <c r="A31" s="43" t="s">
        <v>230</v>
      </c>
      <c r="B31" s="44" t="str">
        <f t="array" ref="B31">DGET(colegios!$A$1:$B965,colegios!$B$1,{colegios!$A$1;L31})</f>
        <v>601391</v>
      </c>
      <c r="C31" s="45"/>
      <c r="D31" s="45"/>
      <c r="E31" s="45"/>
      <c r="F31" s="45"/>
      <c r="G31" s="45"/>
      <c r="H31" s="45"/>
      <c r="I31" s="45"/>
      <c r="J31" s="46">
        <v>1.0</v>
      </c>
      <c r="K31" s="46" t="str">
        <f t="shared" si="1"/>
        <v>SOLO 2024</v>
      </c>
      <c r="L31" s="47" t="s">
        <v>235</v>
      </c>
    </row>
    <row r="32">
      <c r="A32" s="43" t="s">
        <v>230</v>
      </c>
      <c r="B32" s="44" t="str">
        <f t="array" ref="B32">DGET(colegios!$A$1:$B965,colegios!$B$1,{colegios!$A$1;L32})</f>
        <v>601444</v>
      </c>
      <c r="C32" s="45"/>
      <c r="D32" s="45"/>
      <c r="E32" s="45"/>
      <c r="F32" s="45"/>
      <c r="G32" s="45"/>
      <c r="H32" s="45"/>
      <c r="I32" s="45"/>
      <c r="J32" s="46">
        <v>1.0</v>
      </c>
      <c r="K32" s="46" t="str">
        <f t="shared" si="1"/>
        <v>SOLO 2024</v>
      </c>
      <c r="L32" s="47" t="s">
        <v>236</v>
      </c>
    </row>
    <row r="33">
      <c r="A33" s="43" t="s">
        <v>230</v>
      </c>
      <c r="B33" s="44" t="str">
        <f t="array" ref="B33">DGET(colegios!$A$1:$B965,colegios!$B$1,{colegios!$A$1;L33})</f>
        <v>601511</v>
      </c>
      <c r="C33" s="45"/>
      <c r="D33" s="45"/>
      <c r="E33" s="45"/>
      <c r="F33" s="45"/>
      <c r="G33" s="45"/>
      <c r="H33" s="45"/>
      <c r="I33" s="45"/>
      <c r="J33" s="46">
        <v>1.0</v>
      </c>
      <c r="K33" s="46" t="str">
        <f t="shared" si="1"/>
        <v>SOLO 2024</v>
      </c>
      <c r="L33" s="47" t="s">
        <v>237</v>
      </c>
    </row>
    <row r="34">
      <c r="A34" s="43" t="s">
        <v>230</v>
      </c>
      <c r="B34" s="44" t="str">
        <f t="array" ref="B34">DGET(colegios!$A$1:$B965,colegios!$B$1,{colegios!$A$1;L34})</f>
        <v>601563</v>
      </c>
      <c r="C34" s="45"/>
      <c r="D34" s="45"/>
      <c r="E34" s="45"/>
      <c r="F34" s="45"/>
      <c r="G34" s="45"/>
      <c r="H34" s="45"/>
      <c r="I34" s="45"/>
      <c r="J34" s="46">
        <v>1.0</v>
      </c>
      <c r="K34" s="46" t="str">
        <f t="shared" si="1"/>
        <v>SOLO 2024</v>
      </c>
      <c r="L34" s="47" t="s">
        <v>238</v>
      </c>
    </row>
    <row r="35">
      <c r="A35" s="43" t="s">
        <v>230</v>
      </c>
      <c r="B35" s="44" t="str">
        <f t="array" ref="B35">DGET(colegios!$A$1:$B965,colegios!$B$1,{colegios!$A$1;L35})</f>
        <v>601570</v>
      </c>
      <c r="C35" s="45"/>
      <c r="D35" s="45"/>
      <c r="E35" s="45"/>
      <c r="F35" s="45"/>
      <c r="G35" s="45"/>
      <c r="H35" s="45"/>
      <c r="I35" s="45"/>
      <c r="J35" s="46">
        <v>1.0</v>
      </c>
      <c r="K35" s="46" t="str">
        <f t="shared" si="1"/>
        <v>SOLO 2024</v>
      </c>
      <c r="L35" s="47" t="s">
        <v>239</v>
      </c>
    </row>
    <row r="36">
      <c r="A36" s="43" t="s">
        <v>230</v>
      </c>
      <c r="B36" s="44" t="str">
        <f t="array" ref="B36">DGET(colegios!$A$1:$B965,colegios!$B$1,{colegios!$A$1;L36})</f>
        <v>601571</v>
      </c>
      <c r="C36" s="45"/>
      <c r="D36" s="45"/>
      <c r="E36" s="45"/>
      <c r="F36" s="45"/>
      <c r="G36" s="45"/>
      <c r="H36" s="45"/>
      <c r="I36" s="45"/>
      <c r="J36" s="46">
        <v>1.0</v>
      </c>
      <c r="K36" s="46" t="str">
        <f t="shared" si="1"/>
        <v>SOLO 2024</v>
      </c>
      <c r="L36" s="47" t="s">
        <v>240</v>
      </c>
    </row>
    <row r="37">
      <c r="A37" s="43" t="s">
        <v>230</v>
      </c>
      <c r="B37" s="44" t="str">
        <f t="array" ref="B37">DGET(colegios!$A$1:$B965,colegios!$B$1,{colegios!$A$1;L37})</f>
        <v>601580</v>
      </c>
      <c r="C37" s="45"/>
      <c r="D37" s="45"/>
      <c r="E37" s="45"/>
      <c r="F37" s="45"/>
      <c r="G37" s="45"/>
      <c r="H37" s="45"/>
      <c r="I37" s="45"/>
      <c r="J37" s="46">
        <v>1.0</v>
      </c>
      <c r="K37" s="46" t="str">
        <f t="shared" si="1"/>
        <v>SOLO 2024</v>
      </c>
      <c r="L37" s="47" t="s">
        <v>241</v>
      </c>
    </row>
    <row r="38">
      <c r="A38" s="43" t="s">
        <v>230</v>
      </c>
      <c r="B38" s="44" t="str">
        <f t="array" ref="B38">DGET(colegios!$A$1:$B965,colegios!$B$1,{colegios!$A$1;L38})</f>
        <v>601678</v>
      </c>
      <c r="C38" s="45"/>
      <c r="D38" s="45"/>
      <c r="E38" s="45"/>
      <c r="F38" s="45"/>
      <c r="G38" s="45"/>
      <c r="H38" s="45"/>
      <c r="I38" s="45"/>
      <c r="J38" s="46">
        <v>1.0</v>
      </c>
      <c r="K38" s="46" t="str">
        <f t="shared" si="1"/>
        <v>SOLO 2024</v>
      </c>
      <c r="L38" s="47" t="s">
        <v>242</v>
      </c>
    </row>
    <row r="39">
      <c r="A39" s="43" t="s">
        <v>230</v>
      </c>
      <c r="B39" s="44" t="str">
        <f t="array" ref="B39">DGET(colegios!$A$1:$B965,colegios!$B$1,{colegios!$A$1;L39})</f>
        <v>6010102</v>
      </c>
      <c r="C39" s="45"/>
      <c r="D39" s="45"/>
      <c r="E39" s="45"/>
      <c r="F39" s="45"/>
      <c r="G39" s="45"/>
      <c r="H39" s="45"/>
      <c r="I39" s="45"/>
      <c r="J39" s="46">
        <v>1.0</v>
      </c>
      <c r="K39" s="46" t="str">
        <f t="shared" si="1"/>
        <v>SOLO 2024</v>
      </c>
      <c r="L39" s="47" t="s">
        <v>243</v>
      </c>
    </row>
    <row r="40">
      <c r="A40" s="43" t="s">
        <v>230</v>
      </c>
      <c r="B40" s="44" t="str">
        <f t="array" ref="B40">DGET(colegios!$A$1:$B965,colegios!$B$1,{colegios!$A$1;L40})</f>
        <v>6010178</v>
      </c>
      <c r="C40" s="45"/>
      <c r="D40" s="45"/>
      <c r="E40" s="45"/>
      <c r="F40" s="45"/>
      <c r="G40" s="45"/>
      <c r="H40" s="45"/>
      <c r="I40" s="45"/>
      <c r="J40" s="46">
        <v>1.0</v>
      </c>
      <c r="K40" s="46" t="str">
        <f t="shared" si="1"/>
        <v>SOLO 2024</v>
      </c>
      <c r="L40" s="47" t="s">
        <v>244</v>
      </c>
    </row>
    <row r="41">
      <c r="A41" s="43" t="s">
        <v>230</v>
      </c>
      <c r="B41" s="44" t="str">
        <f t="array" ref="B41">DGET(colegios!$A$1:$B965,colegios!$B$1,{colegios!$A$1;L41})</f>
        <v>6010231</v>
      </c>
      <c r="C41" s="45"/>
      <c r="D41" s="45"/>
      <c r="E41" s="45"/>
      <c r="F41" s="45"/>
      <c r="G41" s="45"/>
      <c r="H41" s="45"/>
      <c r="I41" s="45"/>
      <c r="J41" s="46">
        <v>1.0</v>
      </c>
      <c r="K41" s="46" t="str">
        <f t="shared" si="1"/>
        <v>SOLO 2024</v>
      </c>
      <c r="L41" s="47" t="s">
        <v>245</v>
      </c>
    </row>
    <row r="42">
      <c r="A42" s="43" t="s">
        <v>230</v>
      </c>
      <c r="B42" s="44" t="str">
        <f t="array" ref="B42">DGET(colegios!$A$1:$B965,colegios!$B$1,{colegios!$A$1;L42})</f>
        <v>405</v>
      </c>
      <c r="C42" s="45"/>
      <c r="D42" s="45"/>
      <c r="E42" s="45"/>
      <c r="F42" s="45"/>
      <c r="G42" s="45"/>
      <c r="H42" s="45"/>
      <c r="I42" s="46">
        <v>1.0</v>
      </c>
      <c r="J42" s="45"/>
      <c r="K42" s="46" t="str">
        <f t="shared" si="1"/>
        <v>SOLO 2023</v>
      </c>
      <c r="L42" s="47" t="s">
        <v>246</v>
      </c>
    </row>
    <row r="43">
      <c r="A43" s="43" t="s">
        <v>230</v>
      </c>
      <c r="B43" s="44" t="str">
        <f t="array" ref="B43">DGET(colegios!$A$1:$B965,colegios!$B$1,{colegios!$A$1;L43})</f>
        <v>536</v>
      </c>
      <c r="C43" s="45"/>
      <c r="D43" s="45"/>
      <c r="E43" s="45"/>
      <c r="F43" s="45"/>
      <c r="G43" s="45"/>
      <c r="H43" s="45"/>
      <c r="I43" s="46">
        <v>1.0</v>
      </c>
      <c r="J43" s="45"/>
      <c r="K43" s="46" t="str">
        <f t="shared" si="1"/>
        <v>SOLO 2023</v>
      </c>
      <c r="L43" s="47" t="s">
        <v>247</v>
      </c>
    </row>
    <row r="44">
      <c r="A44" s="43" t="s">
        <v>230</v>
      </c>
      <c r="B44" s="44" t="str">
        <f t="array" ref="B44">DGET(colegios!$A$1:$B965,colegios!$B$1,{colegios!$A$1;L44})</f>
        <v>604</v>
      </c>
      <c r="C44" s="45"/>
      <c r="D44" s="45"/>
      <c r="E44" s="45"/>
      <c r="F44" s="45"/>
      <c r="G44" s="45"/>
      <c r="H44" s="45"/>
      <c r="I44" s="46">
        <v>1.0</v>
      </c>
      <c r="J44" s="45"/>
      <c r="K44" s="46" t="str">
        <f t="shared" si="1"/>
        <v>SOLO 2023</v>
      </c>
      <c r="L44" s="47" t="s">
        <v>248</v>
      </c>
    </row>
    <row r="45">
      <c r="A45" s="43" t="s">
        <v>230</v>
      </c>
      <c r="B45" s="44" t="str">
        <f t="array" ref="B45">DGET(colegios!$A$1:$B965,colegios!$B$1,{colegios!$A$1;L45})</f>
        <v>678</v>
      </c>
      <c r="C45" s="45"/>
      <c r="D45" s="45"/>
      <c r="E45" s="45"/>
      <c r="F45" s="45"/>
      <c r="G45" s="45"/>
      <c r="H45" s="45"/>
      <c r="I45" s="46">
        <v>1.0</v>
      </c>
      <c r="J45" s="45"/>
      <c r="K45" s="46" t="str">
        <f t="shared" si="1"/>
        <v>SOLO 2023</v>
      </c>
      <c r="L45" s="47" t="s">
        <v>249</v>
      </c>
    </row>
    <row r="46">
      <c r="A46" s="43" t="s">
        <v>230</v>
      </c>
      <c r="B46" s="44" t="str">
        <f t="array" ref="B46">DGET(colegios!$A$1:$B965,colegios!$B$1,{colegios!$A$1;L46})</f>
        <v>811</v>
      </c>
      <c r="C46" s="45"/>
      <c r="D46" s="45"/>
      <c r="E46" s="45"/>
      <c r="F46" s="45"/>
      <c r="G46" s="45"/>
      <c r="H46" s="45"/>
      <c r="I46" s="46">
        <v>1.0</v>
      </c>
      <c r="J46" s="45"/>
      <c r="K46" s="46" t="str">
        <f t="shared" si="1"/>
        <v>SOLO 2023</v>
      </c>
      <c r="L46" s="47" t="s">
        <v>250</v>
      </c>
    </row>
    <row r="47">
      <c r="A47" s="53" t="s">
        <v>251</v>
      </c>
      <c r="B47" s="44" t="str">
        <f t="array" ref="B47">DGET(colegios!$A$1:$B965,colegios!$B$1,{colegios!$A$1;L47})</f>
        <v>15374</v>
      </c>
      <c r="C47" s="54">
        <v>1.0</v>
      </c>
      <c r="D47" s="54">
        <v>1.0</v>
      </c>
      <c r="E47" s="54">
        <v>1.0</v>
      </c>
      <c r="F47" s="54">
        <v>1.0</v>
      </c>
      <c r="G47" s="55"/>
      <c r="H47" s="55"/>
      <c r="I47" s="54">
        <v>1.0</v>
      </c>
      <c r="J47" s="55"/>
      <c r="K47" s="46" t="str">
        <f t="shared" si="1"/>
        <v>SOLO 2023</v>
      </c>
      <c r="L47" s="56" t="s">
        <v>252</v>
      </c>
    </row>
    <row r="48">
      <c r="A48" s="53" t="s">
        <v>251</v>
      </c>
      <c r="B48" s="44" t="str">
        <f t="array" ref="B48">DGET(colegios!$A$1:$B965,colegios!$B$1,{colegios!$A$1;L48})</f>
        <v>14145 SANTA JULIA BILLIART</v>
      </c>
      <c r="C48" s="54">
        <v>1.0</v>
      </c>
      <c r="D48" s="54">
        <v>1.0</v>
      </c>
      <c r="E48" s="54">
        <v>1.0</v>
      </c>
      <c r="F48" s="54">
        <v>1.0</v>
      </c>
      <c r="G48" s="55"/>
      <c r="H48" s="54">
        <v>1.0</v>
      </c>
      <c r="I48" s="54">
        <v>1.0</v>
      </c>
      <c r="J48" s="55"/>
      <c r="K48" s="46" t="str">
        <f t="shared" si="1"/>
        <v>SOLO 2023</v>
      </c>
      <c r="L48" s="56" t="s">
        <v>253</v>
      </c>
    </row>
    <row r="49">
      <c r="A49" s="53" t="s">
        <v>251</v>
      </c>
      <c r="B49" s="44" t="str">
        <f t="array" ref="B49">DGET(colegios!$A$1:$B965,colegios!$B$1,{colegios!$A$1;L49})</f>
        <v>14144 SANTA ROSA</v>
      </c>
      <c r="C49" s="54">
        <v>1.0</v>
      </c>
      <c r="D49" s="54">
        <v>1.0</v>
      </c>
      <c r="E49" s="54">
        <v>1.0</v>
      </c>
      <c r="F49" s="54">
        <v>1.0</v>
      </c>
      <c r="G49" s="55"/>
      <c r="H49" s="54">
        <v>1.0</v>
      </c>
      <c r="I49" s="54">
        <v>1.0</v>
      </c>
      <c r="J49" s="55"/>
      <c r="K49" s="46" t="str">
        <f t="shared" si="1"/>
        <v>SOLO 2023</v>
      </c>
      <c r="L49" s="56" t="s">
        <v>254</v>
      </c>
    </row>
    <row r="50">
      <c r="A50" s="53" t="s">
        <v>251</v>
      </c>
      <c r="B50" s="44" t="str">
        <f t="array" ref="B50">DGET(colegios!$A$1:$B965,colegios!$B$1,{colegios!$A$1;L50})</f>
        <v>14894</v>
      </c>
      <c r="C50" s="54">
        <v>1.0</v>
      </c>
      <c r="D50" s="55"/>
      <c r="E50" s="54">
        <v>1.0</v>
      </c>
      <c r="F50" s="55"/>
      <c r="G50" s="55"/>
      <c r="H50" s="55"/>
      <c r="I50" s="55"/>
      <c r="J50" s="54">
        <v>1.0</v>
      </c>
      <c r="K50" s="46" t="str">
        <f t="shared" si="1"/>
        <v>SOLO 2024</v>
      </c>
      <c r="L50" s="56" t="s">
        <v>255</v>
      </c>
    </row>
    <row r="51">
      <c r="A51" s="53" t="s">
        <v>251</v>
      </c>
      <c r="B51" s="44" t="str">
        <f t="array" ref="B51">DGET(colegios!$A$1:$B965,colegios!$B$1,{colegios!$A$1;L51})</f>
        <v>14975</v>
      </c>
      <c r="C51" s="55"/>
      <c r="D51" s="54">
        <v>1.0</v>
      </c>
      <c r="E51" s="55"/>
      <c r="F51" s="54">
        <v>1.0</v>
      </c>
      <c r="G51" s="55"/>
      <c r="H51" s="54">
        <v>1.0</v>
      </c>
      <c r="I51" s="54">
        <v>1.0</v>
      </c>
      <c r="J51" s="54">
        <v>1.0</v>
      </c>
      <c r="K51" s="46" t="str">
        <f t="shared" si="1"/>
        <v>PADD 2023 Y 2024</v>
      </c>
      <c r="L51" s="56" t="s">
        <v>256</v>
      </c>
    </row>
    <row r="52">
      <c r="A52" s="53" t="s">
        <v>251</v>
      </c>
      <c r="B52" s="44" t="str">
        <f t="array" ref="B52">DGET(colegios!$A$1:$B965,colegios!$B$1,{colegios!$A$1;L52})</f>
        <v>15219</v>
      </c>
      <c r="C52" s="55"/>
      <c r="D52" s="54">
        <v>1.0</v>
      </c>
      <c r="E52" s="55"/>
      <c r="F52" s="54">
        <v>1.0</v>
      </c>
      <c r="G52" s="55"/>
      <c r="H52" s="54">
        <v>1.0</v>
      </c>
      <c r="I52" s="54">
        <v>1.0</v>
      </c>
      <c r="J52" s="55"/>
      <c r="K52" s="46" t="str">
        <f t="shared" si="1"/>
        <v>SOLO 2023</v>
      </c>
      <c r="L52" s="56" t="s">
        <v>118</v>
      </c>
    </row>
    <row r="53">
      <c r="A53" s="53" t="s">
        <v>251</v>
      </c>
      <c r="B53" s="44" t="str">
        <f t="array" ref="B53">DGET(colegios!$A$1:$B965,colegios!$B$1,{colegios!$A$1;L53})</f>
        <v>15478</v>
      </c>
      <c r="C53" s="55"/>
      <c r="D53" s="54">
        <v>1.0</v>
      </c>
      <c r="E53" s="55"/>
      <c r="F53" s="54">
        <v>1.0</v>
      </c>
      <c r="G53" s="55"/>
      <c r="H53" s="54">
        <v>1.0</v>
      </c>
      <c r="I53" s="54">
        <v>1.0</v>
      </c>
      <c r="J53" s="54">
        <v>1.0</v>
      </c>
      <c r="K53" s="46" t="str">
        <f t="shared" si="1"/>
        <v>PADD 2023 Y 2024</v>
      </c>
      <c r="L53" s="56" t="s">
        <v>257</v>
      </c>
    </row>
    <row r="54">
      <c r="A54" s="53" t="s">
        <v>251</v>
      </c>
      <c r="B54" s="44" t="str">
        <f t="array" ref="B54">DGET(colegios!$A$1:$B965,colegios!$B$1,{colegios!$A$1;L54})</f>
        <v>15383</v>
      </c>
      <c r="C54" s="55"/>
      <c r="D54" s="54">
        <v>1.0</v>
      </c>
      <c r="E54" s="55"/>
      <c r="F54" s="54">
        <v>1.0</v>
      </c>
      <c r="G54" s="55"/>
      <c r="H54" s="54">
        <v>1.0</v>
      </c>
      <c r="I54" s="54">
        <v>1.0</v>
      </c>
      <c r="J54" s="54">
        <v>1.0</v>
      </c>
      <c r="K54" s="46" t="str">
        <f t="shared" si="1"/>
        <v>PADD 2023 Y 2024</v>
      </c>
      <c r="L54" s="56" t="s">
        <v>258</v>
      </c>
    </row>
    <row r="55">
      <c r="A55" s="53" t="s">
        <v>251</v>
      </c>
      <c r="B55" s="44" t="str">
        <f t="array" ref="B55">DGET(colegios!$A$1:$B965,colegios!$B$1,{colegios!$A$1;L55})</f>
        <v>14045</v>
      </c>
      <c r="C55" s="55"/>
      <c r="D55" s="54">
        <v>1.0</v>
      </c>
      <c r="E55" s="55"/>
      <c r="F55" s="54">
        <v>1.0</v>
      </c>
      <c r="G55" s="55"/>
      <c r="H55" s="54">
        <v>1.0</v>
      </c>
      <c r="I55" s="54">
        <v>1.0</v>
      </c>
      <c r="J55" s="55"/>
      <c r="K55" s="46" t="str">
        <f t="shared" si="1"/>
        <v>SOLO 2023</v>
      </c>
      <c r="L55" s="56" t="s">
        <v>121</v>
      </c>
    </row>
    <row r="56">
      <c r="A56" s="53" t="s">
        <v>251</v>
      </c>
      <c r="B56" s="44" t="str">
        <f t="array" ref="B56">DGET(colegios!$A$1:$B965,colegios!$B$1,{colegios!$A$1;L56})</f>
        <v>20104</v>
      </c>
      <c r="C56" s="55"/>
      <c r="D56" s="54">
        <v>1.0</v>
      </c>
      <c r="E56" s="55"/>
      <c r="F56" s="54">
        <v>1.0</v>
      </c>
      <c r="G56" s="55"/>
      <c r="H56" s="54">
        <v>1.0</v>
      </c>
      <c r="I56" s="54">
        <v>1.0</v>
      </c>
      <c r="J56" s="54">
        <v>1.0</v>
      </c>
      <c r="K56" s="46" t="str">
        <f t="shared" si="1"/>
        <v>PADD 2023 Y 2024</v>
      </c>
      <c r="L56" s="56" t="s">
        <v>259</v>
      </c>
    </row>
    <row r="57">
      <c r="A57" s="53" t="s">
        <v>251</v>
      </c>
      <c r="B57" s="44" t="str">
        <f t="array" ref="B57">DGET(colegios!$A$1:$B965,colegios!$B$1,{colegios!$A$1;L57})</f>
        <v>15304</v>
      </c>
      <c r="C57" s="55"/>
      <c r="D57" s="54">
        <v>1.0</v>
      </c>
      <c r="E57" s="55"/>
      <c r="F57" s="54">
        <v>1.0</v>
      </c>
      <c r="G57" s="55"/>
      <c r="H57" s="54">
        <v>1.0</v>
      </c>
      <c r="I57" s="54">
        <v>1.0</v>
      </c>
      <c r="J57" s="55"/>
      <c r="K57" s="46" t="str">
        <f t="shared" si="1"/>
        <v>SOLO 2023</v>
      </c>
      <c r="L57" s="56" t="s">
        <v>260</v>
      </c>
    </row>
    <row r="58">
      <c r="A58" s="53" t="s">
        <v>251</v>
      </c>
      <c r="B58" s="44" t="str">
        <f t="array" ref="B58">DGET(colegios!$A$1:$B965,colegios!$B$1,{colegios!$A$1;L58})</f>
        <v>20123</v>
      </c>
      <c r="C58" s="55"/>
      <c r="D58" s="54">
        <v>1.0</v>
      </c>
      <c r="E58" s="55"/>
      <c r="F58" s="54">
        <v>1.0</v>
      </c>
      <c r="G58" s="55"/>
      <c r="H58" s="54">
        <v>1.0</v>
      </c>
      <c r="I58" s="54">
        <v>1.0</v>
      </c>
      <c r="J58" s="55"/>
      <c r="K58" s="46" t="str">
        <f t="shared" si="1"/>
        <v>SOLO 2023</v>
      </c>
      <c r="L58" s="56" t="s">
        <v>124</v>
      </c>
    </row>
    <row r="59">
      <c r="A59" s="53" t="s">
        <v>251</v>
      </c>
      <c r="B59" s="44" t="str">
        <f t="array" ref="B59">DGET(colegios!$A$1:$B965,colegios!$B$1,{colegios!$A$1;L59})</f>
        <v>14141</v>
      </c>
      <c r="C59" s="55"/>
      <c r="D59" s="54">
        <v>1.0</v>
      </c>
      <c r="E59" s="55"/>
      <c r="F59" s="54">
        <v>1.0</v>
      </c>
      <c r="G59" s="55"/>
      <c r="H59" s="54">
        <v>1.0</v>
      </c>
      <c r="I59" s="54">
        <v>1.0</v>
      </c>
      <c r="J59" s="54">
        <v>1.0</v>
      </c>
      <c r="K59" s="46" t="str">
        <f t="shared" si="1"/>
        <v>PADD 2023 Y 2024</v>
      </c>
      <c r="L59" s="56" t="s">
        <v>261</v>
      </c>
    </row>
    <row r="60">
      <c r="A60" s="53" t="s">
        <v>251</v>
      </c>
      <c r="B60" s="44" t="str">
        <f t="array" ref="B60">DGET(colegios!$A$1:$B965,colegios!$B$1,{colegios!$A$1;L60})</f>
        <v>15220</v>
      </c>
      <c r="C60" s="55"/>
      <c r="D60" s="54">
        <v>1.0</v>
      </c>
      <c r="E60" s="55"/>
      <c r="F60" s="54">
        <v>1.0</v>
      </c>
      <c r="G60" s="55"/>
      <c r="H60" s="54">
        <v>1.0</v>
      </c>
      <c r="I60" s="54">
        <v>1.0</v>
      </c>
      <c r="J60" s="55"/>
      <c r="K60" s="46" t="str">
        <f t="shared" si="1"/>
        <v>SOLO 2023</v>
      </c>
      <c r="L60" s="56" t="s">
        <v>126</v>
      </c>
    </row>
    <row r="61">
      <c r="A61" s="53" t="s">
        <v>251</v>
      </c>
      <c r="B61" s="44" t="str">
        <f t="array" ref="B61">DGET(colegios!$A$1:$B965,colegios!$B$1,{colegios!$A$1;L61})</f>
        <v>14924 DANIEL ALCIDES CARRION</v>
      </c>
      <c r="C61" s="55"/>
      <c r="D61" s="54">
        <v>1.0</v>
      </c>
      <c r="E61" s="55"/>
      <c r="F61" s="54">
        <v>1.0</v>
      </c>
      <c r="G61" s="55"/>
      <c r="H61" s="54">
        <v>1.0</v>
      </c>
      <c r="I61" s="54">
        <v>1.0</v>
      </c>
      <c r="J61" s="54">
        <v>1.0</v>
      </c>
      <c r="K61" s="46" t="str">
        <f t="shared" si="1"/>
        <v>PADD 2023 Y 2024</v>
      </c>
      <c r="L61" s="56" t="s">
        <v>262</v>
      </c>
    </row>
    <row r="62">
      <c r="A62" s="53" t="s">
        <v>251</v>
      </c>
      <c r="B62" s="44" t="str">
        <f t="array" ref="B62">DGET(colegios!$A$1:$B965,colegios!$B$1,{colegios!$A$1;L62})</f>
        <v>910</v>
      </c>
      <c r="C62" s="55"/>
      <c r="D62" s="55"/>
      <c r="E62" s="55"/>
      <c r="F62" s="55"/>
      <c r="G62" s="55"/>
      <c r="H62" s="55"/>
      <c r="I62" s="55"/>
      <c r="J62" s="54">
        <v>1.0</v>
      </c>
      <c r="K62" s="46" t="str">
        <f t="shared" si="1"/>
        <v>SOLO 2024</v>
      </c>
      <c r="L62" s="57" t="s">
        <v>263</v>
      </c>
    </row>
    <row r="63">
      <c r="A63" s="53" t="s">
        <v>251</v>
      </c>
      <c r="B63" s="44" t="str">
        <f t="array" ref="B63">DGET(colegios!$A$1:$B965,colegios!$B$1,{colegios!$A$1;L63})</f>
        <v>058</v>
      </c>
      <c r="C63" s="55"/>
      <c r="D63" s="55"/>
      <c r="E63" s="55"/>
      <c r="F63" s="55"/>
      <c r="G63" s="55"/>
      <c r="H63" s="55"/>
      <c r="I63" s="55"/>
      <c r="J63" s="54">
        <v>1.0</v>
      </c>
      <c r="K63" s="46" t="str">
        <f t="shared" si="1"/>
        <v>SOLO 2024</v>
      </c>
      <c r="L63" s="57" t="s">
        <v>264</v>
      </c>
    </row>
    <row r="64">
      <c r="A64" s="53" t="s">
        <v>251</v>
      </c>
      <c r="B64" s="44" t="str">
        <f t="array" ref="B64">DGET(colegios!$A$1:$B965,colegios!$B$1,{colegios!$A$1;L64})</f>
        <v>1419</v>
      </c>
      <c r="C64" s="55"/>
      <c r="D64" s="55"/>
      <c r="E64" s="55"/>
      <c r="F64" s="55"/>
      <c r="G64" s="55"/>
      <c r="H64" s="55"/>
      <c r="I64" s="55"/>
      <c r="J64" s="54">
        <v>1.0</v>
      </c>
      <c r="K64" s="46" t="str">
        <f t="shared" si="1"/>
        <v>SOLO 2024</v>
      </c>
      <c r="L64" s="57" t="s">
        <v>265</v>
      </c>
    </row>
    <row r="65">
      <c r="A65" s="53" t="s">
        <v>251</v>
      </c>
      <c r="B65" s="44" t="str">
        <f t="array" ref="B65">DGET(colegios!$A$1:$B965,colegios!$B$1,{colegios!$A$1;L65})</f>
        <v>1559</v>
      </c>
      <c r="C65" s="55"/>
      <c r="D65" s="55"/>
      <c r="E65" s="55"/>
      <c r="F65" s="55"/>
      <c r="G65" s="55"/>
      <c r="H65" s="55"/>
      <c r="I65" s="55"/>
      <c r="J65" s="54">
        <v>1.0</v>
      </c>
      <c r="K65" s="46" t="str">
        <f t="shared" si="1"/>
        <v>SOLO 2024</v>
      </c>
      <c r="L65" s="57" t="s">
        <v>266</v>
      </c>
    </row>
    <row r="66">
      <c r="A66" s="53" t="s">
        <v>251</v>
      </c>
      <c r="B66" s="44" t="str">
        <f t="array" ref="B66">DGET(colegios!$A$1:$B965,colegios!$B$1,{colegios!$A$1;L66})</f>
        <v>489</v>
      </c>
      <c r="C66" s="55"/>
      <c r="D66" s="55"/>
      <c r="E66" s="55"/>
      <c r="F66" s="55"/>
      <c r="G66" s="55"/>
      <c r="H66" s="55"/>
      <c r="I66" s="55"/>
      <c r="J66" s="54">
        <v>1.0</v>
      </c>
      <c r="K66" s="46" t="str">
        <f t="shared" si="1"/>
        <v>SOLO 2024</v>
      </c>
      <c r="L66" s="57" t="s">
        <v>267</v>
      </c>
    </row>
    <row r="67">
      <c r="A67" s="53" t="s">
        <v>251</v>
      </c>
      <c r="B67" s="44" t="str">
        <f t="array" ref="B67">DGET(colegios!$A$1:$B965,colegios!$B$1,{colegios!$A$1;L67})</f>
        <v>732</v>
      </c>
      <c r="C67" s="55"/>
      <c r="D67" s="55"/>
      <c r="E67" s="55"/>
      <c r="F67" s="55"/>
      <c r="G67" s="55"/>
      <c r="H67" s="55"/>
      <c r="I67" s="55"/>
      <c r="J67" s="54">
        <v>1.0</v>
      </c>
      <c r="K67" s="46" t="str">
        <f t="shared" si="1"/>
        <v>SOLO 2024</v>
      </c>
      <c r="L67" s="57" t="s">
        <v>268</v>
      </c>
    </row>
    <row r="68">
      <c r="A68" s="53" t="s">
        <v>251</v>
      </c>
      <c r="B68" s="44" t="str">
        <f t="array" ref="B68">DGET(colegios!$A$1:$B965,colegios!$B$1,{colegios!$A$1;L68})</f>
        <v>1341</v>
      </c>
      <c r="C68" s="55"/>
      <c r="D68" s="55"/>
      <c r="E68" s="55"/>
      <c r="F68" s="55"/>
      <c r="G68" s="55"/>
      <c r="H68" s="55"/>
      <c r="I68" s="55"/>
      <c r="J68" s="54">
        <v>1.0</v>
      </c>
      <c r="K68" s="46" t="str">
        <f t="shared" si="1"/>
        <v>SOLO 2024</v>
      </c>
      <c r="L68" s="57" t="s">
        <v>269</v>
      </c>
    </row>
    <row r="69">
      <c r="A69" s="53" t="s">
        <v>251</v>
      </c>
      <c r="B69" s="44" t="str">
        <f t="array" ref="B69">DGET(colegios!$A$1:$B965,colegios!$B$1,{colegios!$A$1;L69})</f>
        <v>469</v>
      </c>
      <c r="C69" s="55"/>
      <c r="D69" s="55"/>
      <c r="E69" s="55"/>
      <c r="F69" s="55"/>
      <c r="G69" s="55"/>
      <c r="H69" s="55"/>
      <c r="I69" s="55"/>
      <c r="J69" s="54">
        <v>1.0</v>
      </c>
      <c r="K69" s="46" t="str">
        <f t="shared" si="1"/>
        <v>SOLO 2024</v>
      </c>
      <c r="L69" s="57" t="s">
        <v>270</v>
      </c>
    </row>
    <row r="70">
      <c r="A70" s="53" t="s">
        <v>251</v>
      </c>
      <c r="B70" s="44" t="str">
        <f t="array" ref="B70">DGET(colegios!$A$1:$B965,colegios!$B$1,{colegios!$A$1;L70})</f>
        <v>909 - BELLO HORIZONTE</v>
      </c>
      <c r="C70" s="55"/>
      <c r="D70" s="55"/>
      <c r="E70" s="55"/>
      <c r="F70" s="55"/>
      <c r="G70" s="55"/>
      <c r="H70" s="55"/>
      <c r="I70" s="55"/>
      <c r="J70" s="54">
        <v>1.0</v>
      </c>
      <c r="K70" s="46" t="str">
        <f t="shared" si="1"/>
        <v>SOLO 2024</v>
      </c>
      <c r="L70" s="57" t="s">
        <v>271</v>
      </c>
    </row>
    <row r="71">
      <c r="A71" s="53" t="s">
        <v>251</v>
      </c>
      <c r="B71" s="44" t="str">
        <f t="array" ref="B71">DGET(colegios!$A$1:$B965,colegios!$B$1,{colegios!$A$1;L71})</f>
        <v>1558 - MONTEVERDE ALTO</v>
      </c>
      <c r="C71" s="55"/>
      <c r="D71" s="55"/>
      <c r="E71" s="55"/>
      <c r="F71" s="55"/>
      <c r="G71" s="55"/>
      <c r="H71" s="55"/>
      <c r="I71" s="55"/>
      <c r="J71" s="54">
        <v>1.0</v>
      </c>
      <c r="K71" s="46" t="str">
        <f t="shared" si="1"/>
        <v>SOLO 2024</v>
      </c>
      <c r="L71" s="57" t="s">
        <v>272</v>
      </c>
    </row>
    <row r="72">
      <c r="A72" s="43" t="s">
        <v>273</v>
      </c>
      <c r="B72" s="44" t="str">
        <f t="array" ref="B72">DGET(colegios!$A$1:$B965,colegios!$B$1,{colegios!$A$1;L72})</f>
        <v>692 - Cajay</v>
      </c>
      <c r="C72" s="45"/>
      <c r="D72" s="45"/>
      <c r="E72" s="45"/>
      <c r="F72" s="45"/>
      <c r="G72" s="45"/>
      <c r="H72" s="45"/>
      <c r="I72" s="45"/>
      <c r="J72" s="46">
        <v>1.0</v>
      </c>
      <c r="K72" s="46" t="str">
        <f t="shared" si="1"/>
        <v>SOLO 2024</v>
      </c>
      <c r="L72" s="47" t="s">
        <v>274</v>
      </c>
    </row>
    <row r="73">
      <c r="A73" s="43" t="s">
        <v>273</v>
      </c>
      <c r="B73" s="44" t="str">
        <f t="array" ref="B73">DGET(colegios!$A$1:$B965,colegios!$B$1,{colegios!$A$1;L73})</f>
        <v>86548 JOSE MARIA VELAZ</v>
      </c>
      <c r="C73" s="49">
        <v>1.0</v>
      </c>
      <c r="D73" s="49">
        <v>1.0</v>
      </c>
      <c r="E73" s="49">
        <v>1.0</v>
      </c>
      <c r="F73" s="49">
        <v>1.0</v>
      </c>
      <c r="G73" s="49">
        <v>1.0</v>
      </c>
      <c r="H73" s="49">
        <v>1.0</v>
      </c>
      <c r="I73" s="49">
        <v>1.0</v>
      </c>
      <c r="J73" s="49">
        <v>1.0</v>
      </c>
      <c r="K73" s="46" t="str">
        <f t="shared" si="1"/>
        <v>PADD 2023 Y 2024</v>
      </c>
      <c r="L73" s="47" t="s">
        <v>275</v>
      </c>
    </row>
    <row r="74">
      <c r="A74" s="43" t="s">
        <v>273</v>
      </c>
      <c r="B74" s="44" t="str">
        <f t="array" ref="B74">DGET(colegios!$A$1:$B965,colegios!$B$1,{colegios!$A$1;L74})</f>
        <v>86769 ABRAHAM VALDELOMAR</v>
      </c>
      <c r="C74" s="46">
        <v>1.0</v>
      </c>
      <c r="D74" s="45"/>
      <c r="E74" s="46">
        <v>1.0</v>
      </c>
      <c r="F74" s="45"/>
      <c r="G74" s="46">
        <v>1.0</v>
      </c>
      <c r="H74" s="45"/>
      <c r="I74" s="45"/>
      <c r="J74" s="46">
        <v>1.0</v>
      </c>
      <c r="K74" s="46" t="str">
        <f t="shared" si="1"/>
        <v>SOLO 2024</v>
      </c>
      <c r="L74" s="47" t="s">
        <v>276</v>
      </c>
    </row>
    <row r="75">
      <c r="A75" s="43" t="s">
        <v>273</v>
      </c>
      <c r="B75" s="44" t="str">
        <f t="array" ref="B75">DGET(colegios!$A$1:$B965,colegios!$B$1,{colegios!$A$1;L75})</f>
        <v>87009-01</v>
      </c>
      <c r="C75" s="45"/>
      <c r="D75" s="45"/>
      <c r="E75" s="45"/>
      <c r="F75" s="45"/>
      <c r="G75" s="45"/>
      <c r="H75" s="45"/>
      <c r="I75" s="45"/>
      <c r="J75" s="46">
        <v>1.0</v>
      </c>
      <c r="K75" s="46" t="str">
        <f t="shared" si="1"/>
        <v>SOLO 2024</v>
      </c>
      <c r="L75" s="47" t="s">
        <v>277</v>
      </c>
    </row>
    <row r="76">
      <c r="A76" s="43" t="s">
        <v>273</v>
      </c>
      <c r="B76" s="44" t="str">
        <f t="array" ref="B76">DGET(colegios!$A$1:$B965,colegios!$B$1,{colegios!$A$1;L76})</f>
        <v>88247 SAN ENRIQUE</v>
      </c>
      <c r="C76" s="45"/>
      <c r="D76" s="46">
        <v>1.0</v>
      </c>
      <c r="E76" s="45"/>
      <c r="F76" s="46">
        <v>1.0</v>
      </c>
      <c r="G76" s="45"/>
      <c r="H76" s="46">
        <v>1.0</v>
      </c>
      <c r="I76" s="46">
        <v>1.0</v>
      </c>
      <c r="J76" s="46">
        <v>1.0</v>
      </c>
      <c r="K76" s="46" t="str">
        <f t="shared" si="1"/>
        <v>PADD 2023 Y 2024</v>
      </c>
      <c r="L76" s="47" t="s">
        <v>278</v>
      </c>
    </row>
    <row r="77">
      <c r="A77" s="43" t="s">
        <v>273</v>
      </c>
      <c r="B77" s="44" t="str">
        <f t="array" ref="B77">DGET(colegios!$A$1:$B965,colegios!$B$1,{colegios!$A$1;L77})</f>
        <v>88327</v>
      </c>
      <c r="C77" s="46">
        <v>1.0</v>
      </c>
      <c r="D77" s="45"/>
      <c r="E77" s="46">
        <v>1.0</v>
      </c>
      <c r="F77" s="45"/>
      <c r="G77" s="46">
        <v>1.0</v>
      </c>
      <c r="H77" s="45"/>
      <c r="I77" s="46">
        <v>1.0</v>
      </c>
      <c r="J77" s="46">
        <v>1.0</v>
      </c>
      <c r="K77" s="46" t="str">
        <f t="shared" si="1"/>
        <v>PADD 2023 Y 2024</v>
      </c>
      <c r="L77" s="47" t="s">
        <v>279</v>
      </c>
    </row>
    <row r="78">
      <c r="A78" s="43" t="s">
        <v>273</v>
      </c>
      <c r="B78" s="44" t="str">
        <f t="array" ref="B78">DGET(colegios!$A$1:$B965,colegios!$B$1,{colegios!$A$1;L78})</f>
        <v>86809</v>
      </c>
      <c r="C78" s="46">
        <v>1.0</v>
      </c>
      <c r="D78" s="46">
        <v>1.0</v>
      </c>
      <c r="E78" s="46">
        <v>1.0</v>
      </c>
      <c r="F78" s="46">
        <v>1.0</v>
      </c>
      <c r="G78" s="46">
        <v>1.0</v>
      </c>
      <c r="H78" s="46">
        <v>1.0</v>
      </c>
      <c r="I78" s="46">
        <v>1.0</v>
      </c>
      <c r="J78" s="45"/>
      <c r="K78" s="46" t="str">
        <f t="shared" si="1"/>
        <v>SOLO 2023</v>
      </c>
      <c r="L78" s="47" t="s">
        <v>280</v>
      </c>
    </row>
    <row r="79">
      <c r="A79" s="43" t="s">
        <v>273</v>
      </c>
      <c r="B79" s="44" t="str">
        <f t="array" ref="B79">DGET(colegios!$A$1:$B965,colegios!$B$1,{colegios!$A$1;L79})</f>
        <v>88225 CAPTUY</v>
      </c>
      <c r="C79" s="58">
        <v>1.0</v>
      </c>
      <c r="D79" s="59"/>
      <c r="E79" s="58">
        <v>1.0</v>
      </c>
      <c r="F79" s="59"/>
      <c r="G79" s="58">
        <v>1.0</v>
      </c>
      <c r="H79" s="59"/>
      <c r="I79" s="59"/>
      <c r="J79" s="59"/>
      <c r="K79" s="46" t="str">
        <f t="shared" si="1"/>
        <v>NO PARTICIPÓ</v>
      </c>
      <c r="L79" s="60" t="s">
        <v>154</v>
      </c>
    </row>
    <row r="80">
      <c r="A80" s="43" t="s">
        <v>281</v>
      </c>
      <c r="B80" s="44" t="str">
        <f t="array" ref="B80">DGET(colegios!$A$1:$B965,colegios!$B$1,{colegios!$A$1;L80})</f>
        <v>64028</v>
      </c>
      <c r="C80" s="49">
        <v>1.0</v>
      </c>
      <c r="D80" s="49">
        <v>1.0</v>
      </c>
      <c r="E80" s="49">
        <v>1.0</v>
      </c>
      <c r="F80" s="49">
        <v>1.0</v>
      </c>
      <c r="G80" s="49">
        <v>1.0</v>
      </c>
      <c r="H80" s="49">
        <v>1.0</v>
      </c>
      <c r="I80" s="49">
        <v>1.0</v>
      </c>
      <c r="J80" s="49">
        <v>1.0</v>
      </c>
      <c r="K80" s="46" t="str">
        <f t="shared" si="1"/>
        <v>PADD 2023 Y 2024</v>
      </c>
      <c r="L80" s="47" t="s">
        <v>78</v>
      </c>
    </row>
    <row r="81">
      <c r="A81" s="43" t="s">
        <v>281</v>
      </c>
      <c r="B81" s="44" t="str">
        <f t="array" ref="B81">DGET(colegios!$A$1:$B965,colegios!$B$1,{colegios!$A$1;L81})</f>
        <v>64048</v>
      </c>
      <c r="C81" s="46">
        <v>1.0</v>
      </c>
      <c r="D81" s="45"/>
      <c r="E81" s="46">
        <v>1.0</v>
      </c>
      <c r="F81" s="45"/>
      <c r="G81" s="46">
        <v>1.0</v>
      </c>
      <c r="H81" s="45"/>
      <c r="I81" s="45"/>
      <c r="J81" s="46">
        <v>1.0</v>
      </c>
      <c r="K81" s="46" t="str">
        <f t="shared" si="1"/>
        <v>SOLO 2024</v>
      </c>
      <c r="L81" s="47" t="s">
        <v>282</v>
      </c>
    </row>
    <row r="82">
      <c r="A82" s="43" t="s">
        <v>281</v>
      </c>
      <c r="B82" s="44" t="str">
        <f t="array" ref="B82">DGET(colegios!$A$1:$B965,colegios!$B$1,{colegios!$A$1;L82})</f>
        <v>64508-B</v>
      </c>
      <c r="C82" s="45"/>
      <c r="D82" s="45"/>
      <c r="E82" s="45"/>
      <c r="F82" s="45"/>
      <c r="G82" s="45"/>
      <c r="H82" s="45"/>
      <c r="I82" s="46">
        <v>1.0</v>
      </c>
      <c r="J82" s="46">
        <v>1.0</v>
      </c>
      <c r="K82" s="46" t="str">
        <f t="shared" si="1"/>
        <v>PADD 2023 Y 2024</v>
      </c>
      <c r="L82" s="47" t="s">
        <v>283</v>
      </c>
    </row>
    <row r="83">
      <c r="A83" s="43" t="s">
        <v>281</v>
      </c>
      <c r="B83" s="44" t="str">
        <f t="array" ref="B83">DGET(colegios!$A$1:$B965,colegios!$B$1,{colegios!$A$1;L83})</f>
        <v>64545-B</v>
      </c>
      <c r="C83" s="45"/>
      <c r="D83" s="45"/>
      <c r="E83" s="45"/>
      <c r="F83" s="45"/>
      <c r="G83" s="45"/>
      <c r="H83" s="45"/>
      <c r="I83" s="45"/>
      <c r="J83" s="46">
        <v>1.0</v>
      </c>
      <c r="K83" s="46" t="str">
        <f t="shared" si="1"/>
        <v>SOLO 2024</v>
      </c>
      <c r="L83" s="47" t="s">
        <v>75</v>
      </c>
    </row>
    <row r="84">
      <c r="A84" s="43" t="s">
        <v>281</v>
      </c>
      <c r="B84" s="44" t="str">
        <f t="array" ref="B84">DGET(colegios!$A$1:$B965,colegios!$B$1,{colegios!$A$1;L84})</f>
        <v>64829</v>
      </c>
      <c r="C84" s="46">
        <v>1.0</v>
      </c>
      <c r="D84" s="45"/>
      <c r="E84" s="46">
        <v>1.0</v>
      </c>
      <c r="F84" s="45"/>
      <c r="G84" s="46">
        <v>1.0</v>
      </c>
      <c r="H84" s="45"/>
      <c r="I84" s="46">
        <v>1.0</v>
      </c>
      <c r="J84" s="46">
        <v>1.0</v>
      </c>
      <c r="K84" s="46" t="str">
        <f t="shared" si="1"/>
        <v>PADD 2023 Y 2024</v>
      </c>
      <c r="L84" s="47" t="s">
        <v>79</v>
      </c>
    </row>
    <row r="85">
      <c r="A85" s="43" t="s">
        <v>281</v>
      </c>
      <c r="B85" s="44" t="str">
        <f t="array" ref="B85">DGET(colegios!$A$1:$B965,colegios!$B$1,{colegios!$A$1;L85})</f>
        <v>64871-B</v>
      </c>
      <c r="C85" s="45"/>
      <c r="D85" s="46">
        <v>1.0</v>
      </c>
      <c r="E85" s="45"/>
      <c r="F85" s="46">
        <v>1.0</v>
      </c>
      <c r="G85" s="45"/>
      <c r="H85" s="46">
        <v>1.0</v>
      </c>
      <c r="I85" s="46">
        <v>1.0</v>
      </c>
      <c r="J85" s="46">
        <v>1.0</v>
      </c>
      <c r="K85" s="46" t="str">
        <f t="shared" si="1"/>
        <v>PADD 2023 Y 2024</v>
      </c>
      <c r="L85" s="47" t="s">
        <v>77</v>
      </c>
    </row>
    <row r="86">
      <c r="A86" s="43" t="s">
        <v>281</v>
      </c>
      <c r="B86" s="44" t="str">
        <f t="array" ref="B86">DGET(colegios!$A$1:$B965,colegios!$B$1,{colegios!$A$1;L86})</f>
        <v>64873-B</v>
      </c>
      <c r="C86" s="45"/>
      <c r="D86" s="45"/>
      <c r="E86" s="45"/>
      <c r="F86" s="45"/>
      <c r="G86" s="45"/>
      <c r="H86" s="45"/>
      <c r="I86" s="46">
        <v>1.0</v>
      </c>
      <c r="J86" s="46">
        <v>1.0</v>
      </c>
      <c r="K86" s="46" t="str">
        <f t="shared" si="1"/>
        <v>PADD 2023 Y 2024</v>
      </c>
      <c r="L86" s="47" t="s">
        <v>74</v>
      </c>
    </row>
    <row r="87">
      <c r="A87" s="43" t="s">
        <v>281</v>
      </c>
      <c r="B87" s="44" t="str">
        <f t="array" ref="B87">DGET(colegios!$A$1:$B965,colegios!$B$1,{colegios!$A$1;L87})</f>
        <v>64949</v>
      </c>
      <c r="C87" s="45"/>
      <c r="D87" s="45"/>
      <c r="E87" s="45"/>
      <c r="F87" s="45"/>
      <c r="G87" s="45"/>
      <c r="H87" s="45"/>
      <c r="I87" s="45"/>
      <c r="J87" s="46">
        <v>1.0</v>
      </c>
      <c r="K87" s="46" t="str">
        <f t="shared" si="1"/>
        <v>SOLO 2024</v>
      </c>
      <c r="L87" s="47" t="s">
        <v>76</v>
      </c>
    </row>
    <row r="88">
      <c r="A88" s="43" t="s">
        <v>281</v>
      </c>
      <c r="B88" s="44" t="str">
        <f t="array" ref="B88">DGET(colegios!$A$1:$B965,colegios!$B$1,{colegios!$A$1;L88})</f>
        <v>65199</v>
      </c>
      <c r="C88" s="46">
        <v>1.0</v>
      </c>
      <c r="D88" s="45"/>
      <c r="E88" s="46">
        <v>1.0</v>
      </c>
      <c r="F88" s="45"/>
      <c r="G88" s="46">
        <v>1.0</v>
      </c>
      <c r="H88" s="45"/>
      <c r="I88" s="45"/>
      <c r="J88" s="46">
        <v>1.0</v>
      </c>
      <c r="K88" s="46" t="str">
        <f t="shared" si="1"/>
        <v>SOLO 2024</v>
      </c>
      <c r="L88" s="47" t="s">
        <v>284</v>
      </c>
    </row>
    <row r="89">
      <c r="A89" s="43" t="s">
        <v>281</v>
      </c>
      <c r="B89" s="44" t="str">
        <f t="array" ref="B89">DGET(colegios!$A$1:$B965,colegios!$B$1,{colegios!$A$1;L89})</f>
        <v>64996</v>
      </c>
      <c r="C89" s="45"/>
      <c r="D89" s="46">
        <v>1.0</v>
      </c>
      <c r="E89" s="45"/>
      <c r="F89" s="46">
        <v>1.0</v>
      </c>
      <c r="G89" s="45"/>
      <c r="H89" s="46">
        <v>1.0</v>
      </c>
      <c r="I89" s="46">
        <v>1.0</v>
      </c>
      <c r="J89" s="45"/>
      <c r="K89" s="46" t="str">
        <f t="shared" si="1"/>
        <v>SOLO 2023</v>
      </c>
      <c r="L89" s="47" t="s">
        <v>81</v>
      </c>
    </row>
    <row r="90">
      <c r="A90" s="43" t="s">
        <v>281</v>
      </c>
      <c r="B90" s="44" t="str">
        <f t="array" ref="B90">DGET(colegios!$A$1:$B965,colegios!$B$1,{colegios!$A$1;L90})</f>
        <v>64641</v>
      </c>
      <c r="C90" s="45"/>
      <c r="D90" s="46">
        <v>1.0</v>
      </c>
      <c r="E90" s="45"/>
      <c r="F90" s="46">
        <v>1.0</v>
      </c>
      <c r="G90" s="45"/>
      <c r="H90" s="46">
        <v>1.0</v>
      </c>
      <c r="I90" s="46">
        <v>1.0</v>
      </c>
      <c r="J90" s="45"/>
      <c r="K90" s="46" t="str">
        <f t="shared" si="1"/>
        <v>SOLO 2023</v>
      </c>
      <c r="L90" s="47" t="s">
        <v>82</v>
      </c>
    </row>
    <row r="91">
      <c r="A91" s="43" t="s">
        <v>281</v>
      </c>
      <c r="B91" s="44" t="str">
        <f t="array" ref="B91">DGET(colegios!$A$1:$B965,colegios!$B$1,{colegios!$A$1;L91})</f>
        <v>64346</v>
      </c>
      <c r="C91" s="46">
        <v>1.0</v>
      </c>
      <c r="D91" s="46">
        <v>1.0</v>
      </c>
      <c r="E91" s="46">
        <v>1.0</v>
      </c>
      <c r="F91" s="46">
        <v>1.0</v>
      </c>
      <c r="G91" s="46">
        <v>1.0</v>
      </c>
      <c r="H91" s="46">
        <v>1.0</v>
      </c>
      <c r="I91" s="46">
        <v>1.0</v>
      </c>
      <c r="J91" s="45"/>
      <c r="K91" s="46" t="str">
        <f t="shared" si="1"/>
        <v>SOLO 2023</v>
      </c>
      <c r="L91" s="47" t="s">
        <v>83</v>
      </c>
    </row>
    <row r="92">
      <c r="A92" s="43" t="s">
        <v>281</v>
      </c>
      <c r="B92" s="44" t="str">
        <f t="array" ref="B92">DGET(colegios!$A$1:$B965,colegios!$B$1,{colegios!$A$1;L92})</f>
        <v>64155</v>
      </c>
      <c r="C92" s="58">
        <v>1.0</v>
      </c>
      <c r="D92" s="58">
        <v>1.0</v>
      </c>
      <c r="E92" s="58">
        <v>1.0</v>
      </c>
      <c r="F92" s="58">
        <v>1.0</v>
      </c>
      <c r="G92" s="58">
        <v>1.0</v>
      </c>
      <c r="H92" s="58">
        <v>1.0</v>
      </c>
      <c r="I92" s="59"/>
      <c r="J92" s="59"/>
      <c r="K92" s="46" t="str">
        <f t="shared" si="1"/>
        <v>NO PARTICIPÓ</v>
      </c>
      <c r="L92" s="60" t="s">
        <v>112</v>
      </c>
    </row>
    <row r="93">
      <c r="A93" s="43" t="s">
        <v>281</v>
      </c>
      <c r="B93" s="44" t="str">
        <f t="array" ref="B93">DGET(colegios!$A$1:$B965,colegios!$B$1,{colegios!$A$1;L93})</f>
        <v>525-B Santa Elisa</v>
      </c>
      <c r="C93" s="45"/>
      <c r="D93" s="45"/>
      <c r="E93" s="45"/>
      <c r="F93" s="45"/>
      <c r="G93" s="45"/>
      <c r="H93" s="45"/>
      <c r="I93" s="46">
        <v>1.0</v>
      </c>
      <c r="J93" s="45"/>
      <c r="K93" s="46" t="str">
        <f t="shared" si="1"/>
        <v>SOLO 2023</v>
      </c>
      <c r="L93" s="47" t="s">
        <v>285</v>
      </c>
    </row>
    <row r="94">
      <c r="A94" s="43" t="s">
        <v>281</v>
      </c>
      <c r="B94" s="44" t="str">
        <f t="array" ref="B94">DGET(colegios!$A$1:$B965,colegios!$B$1,{colegios!$A$1;L94})</f>
        <v>555-B </v>
      </c>
      <c r="C94" s="45"/>
      <c r="D94" s="45"/>
      <c r="E94" s="45"/>
      <c r="F94" s="45"/>
      <c r="G94" s="45"/>
      <c r="H94" s="45"/>
      <c r="I94" s="46">
        <v>1.0</v>
      </c>
      <c r="J94" s="45"/>
      <c r="K94" s="46" t="str">
        <f t="shared" si="1"/>
        <v>SOLO 2023</v>
      </c>
      <c r="L94" s="47" t="s">
        <v>286</v>
      </c>
    </row>
    <row r="95">
      <c r="A95" s="43" t="s">
        <v>281</v>
      </c>
      <c r="B95" s="44" t="str">
        <f t="array" ref="B95">DGET(colegios!$A$1:$B965,colegios!$B$1,{colegios!$A$1;L95})</f>
        <v>564 Nueva Barranca</v>
      </c>
      <c r="C95" s="45"/>
      <c r="D95" s="45"/>
      <c r="E95" s="45"/>
      <c r="F95" s="45"/>
      <c r="G95" s="45"/>
      <c r="H95" s="45"/>
      <c r="I95" s="46">
        <v>1.0</v>
      </c>
      <c r="J95" s="45"/>
      <c r="K95" s="46" t="str">
        <f t="shared" si="1"/>
        <v>SOLO 2023</v>
      </c>
      <c r="L95" s="47" t="s">
        <v>287</v>
      </c>
    </row>
    <row r="96">
      <c r="A96" s="43" t="s">
        <v>281</v>
      </c>
      <c r="B96" s="44" t="str">
        <f t="array" ref="B96">DGET(colegios!$A$1:$B965,colegios!$B$1,{colegios!$A$1;L96})</f>
        <v>566</v>
      </c>
      <c r="C96" s="45"/>
      <c r="D96" s="45"/>
      <c r="E96" s="45"/>
      <c r="F96" s="45"/>
      <c r="G96" s="45"/>
      <c r="H96" s="45"/>
      <c r="I96" s="46">
        <v>1.0</v>
      </c>
      <c r="J96" s="45"/>
      <c r="K96" s="46" t="str">
        <f t="shared" si="1"/>
        <v>SOLO 2023</v>
      </c>
      <c r="L96" s="47" t="s">
        <v>288</v>
      </c>
    </row>
    <row r="97">
      <c r="A97" s="43" t="s">
        <v>281</v>
      </c>
      <c r="B97" s="44" t="str">
        <f t="array" ref="B97">DGET(colegios!$A$1:$B965,colegios!$B$1,{colegios!$A$1;L97})</f>
        <v>333-B </v>
      </c>
      <c r="C97" s="45"/>
      <c r="D97" s="45"/>
      <c r="E97" s="45"/>
      <c r="F97" s="45"/>
      <c r="G97" s="45"/>
      <c r="H97" s="45"/>
      <c r="I97" s="46">
        <v>1.0</v>
      </c>
      <c r="J97" s="45"/>
      <c r="K97" s="46" t="str">
        <f t="shared" si="1"/>
        <v>SOLO 2023</v>
      </c>
      <c r="L97" s="47" t="s">
        <v>289</v>
      </c>
    </row>
    <row r="98">
      <c r="A98" s="43" t="s">
        <v>281</v>
      </c>
      <c r="B98" s="44" t="str">
        <f t="array" ref="B98">DGET(colegios!$A$1:$B965,colegios!$B$1,{colegios!$A$1;L98})</f>
        <v>294 Mazaray</v>
      </c>
      <c r="C98" s="45"/>
      <c r="D98" s="45"/>
      <c r="E98" s="45"/>
      <c r="F98" s="45"/>
      <c r="G98" s="45"/>
      <c r="H98" s="45"/>
      <c r="I98" s="46">
        <v>1.0</v>
      </c>
      <c r="J98" s="45"/>
      <c r="K98" s="46" t="str">
        <f t="shared" si="1"/>
        <v>SOLO 2023</v>
      </c>
      <c r="L98" s="47" t="s">
        <v>290</v>
      </c>
    </row>
    <row r="99">
      <c r="A99" s="43" t="s">
        <v>281</v>
      </c>
      <c r="B99" s="44" t="str">
        <f t="array" ref="B99">DGET(colegios!$A$1:$B965,colegios!$B$1,{colegios!$A$1;L99})</f>
        <v>64115</v>
      </c>
      <c r="C99" s="46">
        <v>1.0</v>
      </c>
      <c r="D99" s="45"/>
      <c r="E99" s="46">
        <v>1.0</v>
      </c>
      <c r="F99" s="45"/>
      <c r="G99" s="46">
        <v>1.0</v>
      </c>
      <c r="H99" s="45"/>
      <c r="I99" s="46">
        <v>1.0</v>
      </c>
      <c r="J99" s="45"/>
      <c r="K99" s="46" t="str">
        <f t="shared" si="1"/>
        <v>SOLO 2023</v>
      </c>
      <c r="L99" s="47" t="s">
        <v>291</v>
      </c>
    </row>
    <row r="100">
      <c r="A100" s="43" t="s">
        <v>292</v>
      </c>
      <c r="B100" s="44" t="str">
        <f t="array" ref="B100">DGET(colegios!$A$1:$B965,colegios!$B$1,{colegios!$A$1;L100})</f>
        <v>NUESTRA SEÑORA DE LA CANDELARIA</v>
      </c>
      <c r="C100" s="45"/>
      <c r="D100" s="46">
        <v>1.0</v>
      </c>
      <c r="E100" s="45"/>
      <c r="F100" s="46">
        <v>1.0</v>
      </c>
      <c r="G100" s="45"/>
      <c r="H100" s="46">
        <v>1.0</v>
      </c>
      <c r="I100" s="46">
        <v>1.0</v>
      </c>
      <c r="J100" s="46">
        <v>1.0</v>
      </c>
      <c r="K100" s="46" t="str">
        <f t="shared" si="1"/>
        <v>PADD 2023 Y 2024</v>
      </c>
      <c r="L100" s="47" t="s">
        <v>108</v>
      </c>
    </row>
    <row r="101">
      <c r="A101" s="43" t="s">
        <v>292</v>
      </c>
      <c r="B101" s="44" t="str">
        <f t="array" ref="B101">DGET(colegios!$A$1:$B965,colegios!$B$1,{colegios!$A$1;L101})</f>
        <v>846 Huanccallaco</v>
      </c>
      <c r="C101" s="45"/>
      <c r="D101" s="46">
        <v>1.0</v>
      </c>
      <c r="E101" s="45"/>
      <c r="F101" s="46">
        <v>1.0</v>
      </c>
      <c r="G101" s="45"/>
      <c r="H101" s="45"/>
      <c r="I101" s="46">
        <v>1.0</v>
      </c>
      <c r="J101" s="45"/>
      <c r="K101" s="46" t="str">
        <f t="shared" si="1"/>
        <v>SOLO 2023</v>
      </c>
      <c r="L101" s="47" t="s">
        <v>293</v>
      </c>
    </row>
    <row r="102">
      <c r="A102" s="43" t="s">
        <v>292</v>
      </c>
      <c r="B102" s="44" t="str">
        <f t="array" ref="B102">DGET(colegios!$A$1:$B965,colegios!$B$1,{colegios!$A$1;L102})</f>
        <v>SANTIAGO ANTUNEZ DE MAYOLO</v>
      </c>
      <c r="C102" s="61"/>
      <c r="D102" s="62">
        <v>1.0</v>
      </c>
      <c r="E102" s="61"/>
      <c r="F102" s="62">
        <v>1.0</v>
      </c>
      <c r="G102" s="61"/>
      <c r="H102" s="61"/>
      <c r="I102" s="62">
        <v>1.0</v>
      </c>
      <c r="J102" s="61"/>
      <c r="K102" s="46" t="str">
        <f t="shared" si="1"/>
        <v>SOLO 2023</v>
      </c>
      <c r="L102" s="63" t="s">
        <v>110</v>
      </c>
    </row>
    <row r="103">
      <c r="A103" s="43" t="s">
        <v>292</v>
      </c>
      <c r="B103" s="44" t="str">
        <f t="array" ref="B103">DGET(colegios!$A$1:$B965,colegios!$B$1,{colegios!$A$1;L103})</f>
        <v>SAYRI TUPAC</v>
      </c>
      <c r="C103" s="64"/>
      <c r="D103" s="65">
        <v>1.0</v>
      </c>
      <c r="E103" s="64"/>
      <c r="F103" s="65">
        <v>1.0</v>
      </c>
      <c r="G103" s="64"/>
      <c r="H103" s="64"/>
      <c r="I103" s="64"/>
      <c r="J103" s="64"/>
      <c r="K103" s="46" t="str">
        <f t="shared" si="1"/>
        <v>NO PARTICIPÓ</v>
      </c>
      <c r="L103" s="66" t="s">
        <v>111</v>
      </c>
    </row>
    <row r="104">
      <c r="A104" s="43" t="s">
        <v>292</v>
      </c>
      <c r="B104" s="44" t="str">
        <f t="array" ref="B104">DGET(colegios!$A$1:$B965,colegios!$B$1,{colegios!$A$1;L104})</f>
        <v>36161 SAN VICENTE DE PAUL</v>
      </c>
      <c r="C104" s="50">
        <v>1.0</v>
      </c>
      <c r="D104" s="45"/>
      <c r="E104" s="50">
        <v>1.0</v>
      </c>
      <c r="F104" s="45"/>
      <c r="G104" s="50">
        <v>1.0</v>
      </c>
      <c r="H104" s="45"/>
      <c r="I104" s="45"/>
      <c r="J104" s="45"/>
      <c r="K104" s="46" t="str">
        <f t="shared" si="1"/>
        <v>NO PARTICIPÓ</v>
      </c>
      <c r="L104" s="51" t="s">
        <v>166</v>
      </c>
    </row>
    <row r="105">
      <c r="A105" s="43" t="s">
        <v>292</v>
      </c>
      <c r="B105" s="44" t="str">
        <f t="array" ref="B105">DGET(colegios!$A$1:$B965,colegios!$B$1,{colegios!$A$1;L105})</f>
        <v>36166 HEROES 29 DE AGOSTO</v>
      </c>
      <c r="C105" s="50">
        <v>1.0</v>
      </c>
      <c r="D105" s="45"/>
      <c r="E105" s="50">
        <v>1.0</v>
      </c>
      <c r="F105" s="45"/>
      <c r="G105" s="50">
        <v>1.0</v>
      </c>
      <c r="H105" s="45"/>
      <c r="I105" s="45"/>
      <c r="J105" s="45"/>
      <c r="K105" s="46" t="str">
        <f t="shared" si="1"/>
        <v>NO PARTICIPÓ</v>
      </c>
      <c r="L105" s="51" t="s">
        <v>167</v>
      </c>
    </row>
    <row r="106">
      <c r="A106" s="43" t="s">
        <v>292</v>
      </c>
      <c r="B106" s="44" t="str">
        <f t="array" ref="B106">DGET(colegios!$A$1:$B965,colegios!$B$1,{colegios!$A$1;L106})</f>
        <v>36207</v>
      </c>
      <c r="C106" s="46">
        <v>1.0</v>
      </c>
      <c r="D106" s="45"/>
      <c r="E106" s="46">
        <v>1.0</v>
      </c>
      <c r="F106" s="45"/>
      <c r="G106" s="46">
        <v>1.0</v>
      </c>
      <c r="H106" s="45"/>
      <c r="I106" s="46">
        <v>1.0</v>
      </c>
      <c r="J106" s="46">
        <v>1.0</v>
      </c>
      <c r="K106" s="46" t="str">
        <f t="shared" si="1"/>
        <v>PADD 2023 Y 2024</v>
      </c>
      <c r="L106" s="47" t="s">
        <v>88</v>
      </c>
    </row>
    <row r="107">
      <c r="A107" s="43" t="s">
        <v>292</v>
      </c>
      <c r="B107" s="44" t="str">
        <f t="array" ref="B107">DGET(colegios!$A$1:$B965,colegios!$B$1,{colegios!$A$1;L107})</f>
        <v>130</v>
      </c>
      <c r="C107" s="45"/>
      <c r="D107" s="45"/>
      <c r="E107" s="45"/>
      <c r="F107" s="45"/>
      <c r="G107" s="45"/>
      <c r="H107" s="45"/>
      <c r="I107" s="46">
        <v>1.0</v>
      </c>
      <c r="J107" s="46">
        <v>1.0</v>
      </c>
      <c r="K107" s="46" t="str">
        <f t="shared" si="1"/>
        <v>PADD 2023 Y 2024</v>
      </c>
      <c r="L107" s="47" t="s">
        <v>294</v>
      </c>
    </row>
    <row r="108">
      <c r="A108" s="43" t="s">
        <v>292</v>
      </c>
      <c r="B108" s="44" t="str">
        <f t="array" ref="B108">DGET(colegios!$A$1:$B965,colegios!$B$1,{colegios!$A$1;L108})</f>
        <v>156</v>
      </c>
      <c r="C108" s="45"/>
      <c r="D108" s="45"/>
      <c r="E108" s="45"/>
      <c r="F108" s="45"/>
      <c r="G108" s="45"/>
      <c r="H108" s="45"/>
      <c r="I108" s="45"/>
      <c r="J108" s="46">
        <v>1.0</v>
      </c>
      <c r="K108" s="46" t="str">
        <f t="shared" si="1"/>
        <v>SOLO 2024</v>
      </c>
      <c r="L108" s="47" t="s">
        <v>295</v>
      </c>
    </row>
    <row r="109">
      <c r="A109" s="43" t="s">
        <v>292</v>
      </c>
      <c r="B109" s="44" t="str">
        <f t="array" ref="B109">DGET(colegios!$A$1:$B965,colegios!$B$1,{colegios!$A$1;L109})</f>
        <v>843</v>
      </c>
      <c r="C109" s="45"/>
      <c r="D109" s="45"/>
      <c r="E109" s="45"/>
      <c r="F109" s="45"/>
      <c r="G109" s="45"/>
      <c r="H109" s="45"/>
      <c r="I109" s="45"/>
      <c r="J109" s="46">
        <v>1.0</v>
      </c>
      <c r="K109" s="46" t="str">
        <f t="shared" si="1"/>
        <v>SOLO 2024</v>
      </c>
      <c r="L109" s="47" t="s">
        <v>296</v>
      </c>
    </row>
    <row r="110">
      <c r="A110" s="43" t="s">
        <v>292</v>
      </c>
      <c r="B110" s="44" t="str">
        <f t="array" ref="B110">DGET(colegios!$A$1:$B965,colegios!$B$1,{colegios!$A$1;L110})</f>
        <v>36167</v>
      </c>
      <c r="C110" s="45"/>
      <c r="D110" s="45"/>
      <c r="E110" s="45"/>
      <c r="F110" s="45"/>
      <c r="G110" s="45"/>
      <c r="H110" s="45"/>
      <c r="I110" s="45"/>
      <c r="J110" s="46">
        <v>1.0</v>
      </c>
      <c r="K110" s="46" t="str">
        <f t="shared" si="1"/>
        <v>SOLO 2024</v>
      </c>
      <c r="L110" s="47" t="s">
        <v>297</v>
      </c>
    </row>
    <row r="111">
      <c r="A111" s="43" t="s">
        <v>292</v>
      </c>
      <c r="B111" s="44" t="str">
        <f t="array" ref="B111">DGET(colegios!$A$1:$B965,colegios!$B$1,{colegios!$A$1;L111})</f>
        <v>36173</v>
      </c>
      <c r="C111" s="61"/>
      <c r="D111" s="61"/>
      <c r="E111" s="61"/>
      <c r="F111" s="61"/>
      <c r="G111" s="61"/>
      <c r="H111" s="61"/>
      <c r="I111" s="62">
        <v>1.0</v>
      </c>
      <c r="J111" s="62">
        <v>1.0</v>
      </c>
      <c r="K111" s="46" t="str">
        <f t="shared" si="1"/>
        <v>PADD 2023 Y 2024</v>
      </c>
      <c r="L111" s="63" t="s">
        <v>86</v>
      </c>
    </row>
    <row r="112">
      <c r="A112" s="43" t="s">
        <v>292</v>
      </c>
      <c r="B112" s="44" t="str">
        <f t="array" ref="B112">DGET(colegios!$A$1:$B965,colegios!$B$1,{colegios!$A$1;L112})</f>
        <v>36789 NUESTRA SEÑORA DEL CARMEN</v>
      </c>
      <c r="C112" s="67"/>
      <c r="D112" s="67"/>
      <c r="E112" s="67"/>
      <c r="F112" s="67"/>
      <c r="G112" s="67"/>
      <c r="H112" s="67"/>
      <c r="I112" s="67"/>
      <c r="J112" s="68">
        <v>1.0</v>
      </c>
      <c r="K112" s="46" t="str">
        <f t="shared" si="1"/>
        <v>SOLO 2024</v>
      </c>
      <c r="L112" s="69" t="s">
        <v>89</v>
      </c>
    </row>
    <row r="113">
      <c r="A113" s="43" t="s">
        <v>292</v>
      </c>
      <c r="B113" s="44" t="str">
        <f t="array" ref="B113">DGET(colegios!$A$1:$B965,colegios!$B$1,{colegios!$A$1;L113})</f>
        <v>36831</v>
      </c>
      <c r="C113" s="45"/>
      <c r="D113" s="45"/>
      <c r="E113" s="45"/>
      <c r="F113" s="45"/>
      <c r="G113" s="45"/>
      <c r="H113" s="45"/>
      <c r="I113" s="45"/>
      <c r="J113" s="46">
        <v>1.0</v>
      </c>
      <c r="K113" s="46" t="str">
        <f t="shared" si="1"/>
        <v>SOLO 2024</v>
      </c>
      <c r="L113" s="47" t="s">
        <v>298</v>
      </c>
    </row>
    <row r="114">
      <c r="A114" s="43" t="s">
        <v>292</v>
      </c>
      <c r="B114" s="44" t="str">
        <f t="array" ref="B114">DGET(colegios!$A$1:$B965,colegios!$B$1,{colegios!$A$1;L114})</f>
        <v>CORAS</v>
      </c>
      <c r="C114" s="45"/>
      <c r="D114" s="45"/>
      <c r="E114" s="45"/>
      <c r="F114" s="45"/>
      <c r="G114" s="45"/>
      <c r="H114" s="45"/>
      <c r="I114" s="46">
        <v>1.0</v>
      </c>
      <c r="J114" s="46">
        <v>1.0</v>
      </c>
      <c r="K114" s="46" t="str">
        <f t="shared" si="1"/>
        <v>PADD 2023 Y 2024</v>
      </c>
      <c r="L114" s="47" t="s">
        <v>299</v>
      </c>
    </row>
    <row r="115">
      <c r="A115" s="43" t="s">
        <v>292</v>
      </c>
      <c r="B115" s="44" t="str">
        <f t="array" ref="B115">DGET(colegios!$A$1:$B965,colegios!$B$1,{colegios!$A$1;L115})</f>
        <v>Marcas</v>
      </c>
      <c r="C115" s="67"/>
      <c r="D115" s="67"/>
      <c r="E115" s="67"/>
      <c r="F115" s="67"/>
      <c r="G115" s="67"/>
      <c r="H115" s="67"/>
      <c r="I115" s="67"/>
      <c r="J115" s="68">
        <v>1.0</v>
      </c>
      <c r="K115" s="46" t="str">
        <f t="shared" si="1"/>
        <v>SOLO 2024</v>
      </c>
      <c r="L115" s="69" t="s">
        <v>300</v>
      </c>
    </row>
    <row r="116">
      <c r="A116" s="43" t="s">
        <v>292</v>
      </c>
      <c r="B116" s="44" t="str">
        <f t="array" ref="B116">DGET(colegios!$A$1:$B965,colegios!$B$1,{colegios!$A$1;L116})</f>
        <v>592</v>
      </c>
      <c r="C116" s="45"/>
      <c r="D116" s="45"/>
      <c r="E116" s="45"/>
      <c r="F116" s="45"/>
      <c r="G116" s="45"/>
      <c r="H116" s="45"/>
      <c r="I116" s="46">
        <v>1.0</v>
      </c>
      <c r="J116" s="45"/>
      <c r="K116" s="46" t="str">
        <f t="shared" si="1"/>
        <v>SOLO 2023</v>
      </c>
      <c r="L116" s="47" t="s">
        <v>301</v>
      </c>
    </row>
    <row r="117">
      <c r="A117" s="43" t="s">
        <v>292</v>
      </c>
      <c r="B117" s="44" t="str">
        <f t="array" ref="B117">DGET(colegios!$A$1:$B965,colegios!$B$1,{colegios!$A$1;L117})</f>
        <v>36163 JAVIER HERAUD PEREZ</v>
      </c>
      <c r="C117" s="45"/>
      <c r="D117" s="45"/>
      <c r="E117" s="45"/>
      <c r="F117" s="45"/>
      <c r="G117" s="45"/>
      <c r="H117" s="45"/>
      <c r="I117" s="46">
        <v>1.0</v>
      </c>
      <c r="J117" s="45"/>
      <c r="K117" s="46" t="str">
        <f t="shared" si="1"/>
        <v>SOLO 2023</v>
      </c>
      <c r="L117" s="47" t="s">
        <v>302</v>
      </c>
    </row>
    <row r="118">
      <c r="A118" s="43" t="s">
        <v>292</v>
      </c>
      <c r="B118" s="44" t="str">
        <f t="array" ref="B118">DGET(colegios!$A$1:$B965,colegios!$B$1,{colegios!$A$1;L118})</f>
        <v>36153 SAYRI TUPAC</v>
      </c>
      <c r="C118" s="64"/>
      <c r="D118" s="64"/>
      <c r="E118" s="64"/>
      <c r="F118" s="64"/>
      <c r="G118" s="64"/>
      <c r="H118" s="64"/>
      <c r="I118" s="65">
        <v>1.0</v>
      </c>
      <c r="J118" s="64"/>
      <c r="K118" s="46" t="str">
        <f t="shared" si="1"/>
        <v>SOLO 2023</v>
      </c>
      <c r="L118" s="66" t="s">
        <v>303</v>
      </c>
    </row>
    <row r="119">
      <c r="A119" s="43" t="s">
        <v>292</v>
      </c>
      <c r="B119" s="44" t="str">
        <f t="array" ref="B119">DGET(colegios!$A$1:$B965,colegios!$B$1,{colegios!$A$1;L119})</f>
        <v>JORGE CHAVEZ</v>
      </c>
      <c r="C119" s="46">
        <v>1.0</v>
      </c>
      <c r="D119" s="45"/>
      <c r="E119" s="46">
        <v>1.0</v>
      </c>
      <c r="F119" s="45"/>
      <c r="G119" s="46">
        <v>1.0</v>
      </c>
      <c r="H119" s="45"/>
      <c r="I119" s="46">
        <v>1.0</v>
      </c>
      <c r="J119" s="45"/>
      <c r="K119" s="46" t="str">
        <f t="shared" si="1"/>
        <v>SOLO 2023</v>
      </c>
      <c r="L119" s="47" t="s">
        <v>168</v>
      </c>
    </row>
    <row r="120">
      <c r="A120" s="43" t="s">
        <v>292</v>
      </c>
      <c r="B120" s="44" t="str">
        <f t="array" ref="B120">DGET(colegios!$A$1:$B965,colegios!$B$1,{colegios!$A$1;L120})</f>
        <v>JOSE CARLOS MARIATEGUI</v>
      </c>
      <c r="C120" s="50">
        <v>1.0</v>
      </c>
      <c r="D120" s="45"/>
      <c r="E120" s="50">
        <v>1.0</v>
      </c>
      <c r="F120" s="45"/>
      <c r="G120" s="50">
        <v>1.0</v>
      </c>
      <c r="H120" s="45"/>
      <c r="I120" s="45"/>
      <c r="J120" s="45"/>
      <c r="K120" s="46" t="str">
        <f t="shared" si="1"/>
        <v>NO PARTICIPÓ</v>
      </c>
      <c r="L120" s="51" t="s">
        <v>171</v>
      </c>
    </row>
    <row r="121">
      <c r="A121" s="43" t="s">
        <v>292</v>
      </c>
      <c r="B121" s="44" t="str">
        <f t="array" ref="B121">DGET(colegios!$A$1:$B965,colegios!$B$1,{colegios!$A$1;L121})</f>
        <v>RAMON CASTILLA MARQUEZADO</v>
      </c>
      <c r="C121" s="50">
        <v>1.0</v>
      </c>
      <c r="D121" s="45"/>
      <c r="E121" s="50">
        <v>1.0</v>
      </c>
      <c r="F121" s="45"/>
      <c r="G121" s="50">
        <v>1.0</v>
      </c>
      <c r="H121" s="45"/>
      <c r="I121" s="45"/>
      <c r="J121" s="45"/>
      <c r="K121" s="46" t="str">
        <f t="shared" si="1"/>
        <v>NO PARTICIPÓ</v>
      </c>
      <c r="L121" s="51" t="s">
        <v>304</v>
      </c>
    </row>
    <row r="122">
      <c r="A122" s="70" t="s">
        <v>305</v>
      </c>
      <c r="B122" s="71"/>
      <c r="C122" s="72">
        <f t="shared" ref="C122:J122" si="2">+SUM(C2:C121)</f>
        <v>36</v>
      </c>
      <c r="D122" s="73">
        <f t="shared" si="2"/>
        <v>45</v>
      </c>
      <c r="E122" s="73">
        <f t="shared" si="2"/>
        <v>36</v>
      </c>
      <c r="F122" s="73">
        <f t="shared" si="2"/>
        <v>45</v>
      </c>
      <c r="G122" s="73">
        <f t="shared" si="2"/>
        <v>23</v>
      </c>
      <c r="H122" s="73">
        <f t="shared" si="2"/>
        <v>30</v>
      </c>
      <c r="I122" s="73">
        <f t="shared" si="2"/>
        <v>67</v>
      </c>
      <c r="J122" s="73">
        <f t="shared" si="2"/>
        <v>71</v>
      </c>
      <c r="K122" s="73"/>
      <c r="L122" s="74" t="s">
        <v>306</v>
      </c>
    </row>
    <row r="123">
      <c r="L123" s="75"/>
    </row>
    <row r="124">
      <c r="L124" s="75"/>
    </row>
    <row r="125">
      <c r="L125" s="75"/>
    </row>
    <row r="126">
      <c r="L126" s="75"/>
    </row>
    <row r="127">
      <c r="L127" s="75"/>
    </row>
    <row r="128">
      <c r="L128" s="75"/>
    </row>
    <row r="129">
      <c r="L129" s="75"/>
    </row>
    <row r="130">
      <c r="L130" s="75"/>
    </row>
    <row r="131">
      <c r="L131" s="75"/>
    </row>
    <row r="132">
      <c r="L132" s="75"/>
    </row>
    <row r="133">
      <c r="L133" s="75"/>
    </row>
    <row r="134">
      <c r="L134" s="75"/>
    </row>
    <row r="135">
      <c r="L135" s="75"/>
    </row>
    <row r="136">
      <c r="L136" s="75"/>
    </row>
    <row r="137">
      <c r="L137" s="75"/>
    </row>
    <row r="138">
      <c r="L138" s="75"/>
    </row>
    <row r="139">
      <c r="L139" s="75"/>
    </row>
    <row r="140">
      <c r="L140" s="75"/>
    </row>
    <row r="141">
      <c r="L141" s="75"/>
    </row>
    <row r="142">
      <c r="L142" s="75"/>
    </row>
    <row r="143">
      <c r="L143" s="75"/>
    </row>
    <row r="144">
      <c r="L144" s="75"/>
    </row>
    <row r="145">
      <c r="L145" s="75"/>
    </row>
    <row r="146">
      <c r="L146" s="75"/>
    </row>
    <row r="147">
      <c r="L147" s="75"/>
    </row>
    <row r="148">
      <c r="L148" s="75"/>
    </row>
    <row r="149">
      <c r="L149" s="75"/>
    </row>
    <row r="150">
      <c r="L150" s="75"/>
    </row>
    <row r="151">
      <c r="L151" s="75"/>
    </row>
    <row r="152">
      <c r="L152" s="75"/>
    </row>
    <row r="153">
      <c r="L153" s="75"/>
    </row>
    <row r="154">
      <c r="L154" s="75"/>
    </row>
    <row r="155">
      <c r="L155" s="75"/>
    </row>
    <row r="156">
      <c r="L156" s="75"/>
    </row>
    <row r="157">
      <c r="L157" s="75"/>
    </row>
    <row r="158">
      <c r="L158" s="75"/>
    </row>
    <row r="159">
      <c r="L159" s="75"/>
    </row>
    <row r="160">
      <c r="L160" s="75"/>
    </row>
    <row r="161">
      <c r="L161" s="75"/>
    </row>
    <row r="162">
      <c r="L162" s="75"/>
    </row>
    <row r="163">
      <c r="L163" s="75"/>
    </row>
    <row r="164">
      <c r="L164" s="75"/>
    </row>
    <row r="165">
      <c r="L165" s="75"/>
    </row>
    <row r="166">
      <c r="L166" s="75"/>
    </row>
    <row r="167">
      <c r="L167" s="75"/>
    </row>
    <row r="168">
      <c r="L168" s="75"/>
    </row>
    <row r="169">
      <c r="L169" s="75"/>
    </row>
    <row r="170">
      <c r="L170" s="75"/>
    </row>
    <row r="171">
      <c r="L171" s="75"/>
    </row>
    <row r="172">
      <c r="L172" s="75"/>
    </row>
    <row r="173">
      <c r="L173" s="75"/>
    </row>
    <row r="174">
      <c r="L174" s="75"/>
    </row>
    <row r="175">
      <c r="L175" s="75"/>
    </row>
    <row r="176">
      <c r="L176" s="75"/>
    </row>
    <row r="177">
      <c r="L177" s="75"/>
    </row>
    <row r="178">
      <c r="L178" s="75"/>
    </row>
    <row r="179">
      <c r="L179" s="75"/>
    </row>
    <row r="180">
      <c r="L180" s="75"/>
    </row>
    <row r="181">
      <c r="L181" s="75"/>
    </row>
    <row r="182">
      <c r="L182" s="75"/>
    </row>
    <row r="183">
      <c r="L183" s="75"/>
    </row>
    <row r="184">
      <c r="L184" s="75"/>
    </row>
    <row r="185">
      <c r="L185" s="75"/>
    </row>
    <row r="186">
      <c r="L186" s="75"/>
    </row>
    <row r="187">
      <c r="L187" s="75"/>
    </row>
    <row r="188">
      <c r="L188" s="75"/>
    </row>
    <row r="189">
      <c r="L189" s="75"/>
    </row>
    <row r="190">
      <c r="L190" s="75"/>
    </row>
    <row r="191">
      <c r="L191" s="75"/>
    </row>
    <row r="192">
      <c r="L192" s="75"/>
    </row>
    <row r="193">
      <c r="L193" s="75"/>
    </row>
    <row r="194">
      <c r="L194" s="75"/>
    </row>
    <row r="195">
      <c r="L195" s="75"/>
    </row>
    <row r="196">
      <c r="L196" s="75"/>
    </row>
    <row r="197">
      <c r="L197" s="75"/>
    </row>
    <row r="198">
      <c r="L198" s="75"/>
    </row>
    <row r="199">
      <c r="L199" s="75"/>
    </row>
    <row r="200">
      <c r="L200" s="75"/>
    </row>
    <row r="201">
      <c r="L201" s="75"/>
    </row>
    <row r="202">
      <c r="L202" s="75"/>
    </row>
    <row r="203">
      <c r="L203" s="75"/>
    </row>
    <row r="204">
      <c r="L204" s="75"/>
    </row>
    <row r="205">
      <c r="L205" s="75"/>
    </row>
    <row r="206">
      <c r="L206" s="75"/>
    </row>
    <row r="207">
      <c r="L207" s="75"/>
    </row>
    <row r="208">
      <c r="L208" s="75"/>
    </row>
    <row r="209">
      <c r="L209" s="75"/>
    </row>
    <row r="210">
      <c r="L210" s="75"/>
    </row>
    <row r="211">
      <c r="L211" s="75"/>
    </row>
    <row r="212">
      <c r="L212" s="75"/>
    </row>
    <row r="213">
      <c r="L213" s="75"/>
    </row>
    <row r="214">
      <c r="L214" s="75"/>
    </row>
    <row r="215">
      <c r="L215" s="75"/>
    </row>
    <row r="216">
      <c r="L216" s="75"/>
    </row>
    <row r="217">
      <c r="L217" s="75"/>
    </row>
    <row r="218">
      <c r="L218" s="75"/>
    </row>
    <row r="219">
      <c r="L219" s="75"/>
    </row>
    <row r="220">
      <c r="L220" s="75"/>
    </row>
    <row r="221">
      <c r="L221" s="75"/>
    </row>
    <row r="222">
      <c r="L222" s="75"/>
    </row>
    <row r="223">
      <c r="L223" s="75"/>
    </row>
    <row r="224">
      <c r="L224" s="75"/>
    </row>
    <row r="225">
      <c r="L225" s="75"/>
    </row>
    <row r="226">
      <c r="L226" s="75"/>
    </row>
    <row r="227">
      <c r="L227" s="75"/>
    </row>
    <row r="228">
      <c r="L228" s="75"/>
    </row>
    <row r="229">
      <c r="L229" s="75"/>
    </row>
    <row r="230">
      <c r="L230" s="75"/>
    </row>
    <row r="231">
      <c r="L231" s="75"/>
    </row>
    <row r="232">
      <c r="L232" s="75"/>
    </row>
    <row r="233">
      <c r="L233" s="75"/>
    </row>
    <row r="234">
      <c r="L234" s="75"/>
    </row>
    <row r="235">
      <c r="L235" s="75"/>
    </row>
    <row r="236">
      <c r="L236" s="75"/>
    </row>
    <row r="237">
      <c r="L237" s="75"/>
    </row>
    <row r="238">
      <c r="L238" s="75"/>
    </row>
    <row r="239">
      <c r="L239" s="75"/>
    </row>
    <row r="240">
      <c r="L240" s="75"/>
    </row>
    <row r="241">
      <c r="L241" s="75"/>
    </row>
    <row r="242">
      <c r="L242" s="75"/>
    </row>
    <row r="243">
      <c r="L243" s="75"/>
    </row>
    <row r="244">
      <c r="L244" s="75"/>
    </row>
    <row r="245">
      <c r="L245" s="75"/>
    </row>
    <row r="246">
      <c r="L246" s="75"/>
    </row>
    <row r="247">
      <c r="L247" s="75"/>
    </row>
    <row r="248">
      <c r="L248" s="75"/>
    </row>
    <row r="249">
      <c r="L249" s="75"/>
    </row>
    <row r="250">
      <c r="L250" s="75"/>
    </row>
    <row r="251">
      <c r="L251" s="75"/>
    </row>
    <row r="252">
      <c r="L252" s="75"/>
    </row>
    <row r="253">
      <c r="L253" s="75"/>
    </row>
    <row r="254">
      <c r="L254" s="75"/>
    </row>
    <row r="255">
      <c r="L255" s="75"/>
    </row>
    <row r="256">
      <c r="L256" s="75"/>
    </row>
    <row r="257">
      <c r="L257" s="75"/>
    </row>
    <row r="258">
      <c r="L258" s="75"/>
    </row>
    <row r="259">
      <c r="L259" s="75"/>
    </row>
    <row r="260">
      <c r="L260" s="75"/>
    </row>
    <row r="261">
      <c r="L261" s="75"/>
    </row>
    <row r="262">
      <c r="L262" s="75"/>
    </row>
    <row r="263">
      <c r="L263" s="75"/>
    </row>
    <row r="264">
      <c r="L264" s="75"/>
    </row>
    <row r="265">
      <c r="L265" s="75"/>
    </row>
    <row r="266">
      <c r="L266" s="75"/>
    </row>
    <row r="267">
      <c r="L267" s="75"/>
    </row>
    <row r="268">
      <c r="L268" s="75"/>
    </row>
    <row r="269">
      <c r="L269" s="75"/>
    </row>
    <row r="270">
      <c r="L270" s="75"/>
    </row>
    <row r="271">
      <c r="L271" s="75"/>
    </row>
    <row r="272">
      <c r="L272" s="75"/>
    </row>
    <row r="273">
      <c r="L273" s="75"/>
    </row>
    <row r="274">
      <c r="L274" s="75"/>
    </row>
    <row r="275">
      <c r="L275" s="75"/>
    </row>
    <row r="276">
      <c r="L276" s="75"/>
    </row>
    <row r="277">
      <c r="L277" s="75"/>
    </row>
    <row r="278">
      <c r="L278" s="75"/>
    </row>
    <row r="279">
      <c r="L279" s="75"/>
    </row>
    <row r="280">
      <c r="L280" s="75"/>
    </row>
    <row r="281">
      <c r="L281" s="75"/>
    </row>
    <row r="282">
      <c r="L282" s="75"/>
    </row>
    <row r="283">
      <c r="L283" s="75"/>
    </row>
    <row r="284">
      <c r="L284" s="75"/>
    </row>
    <row r="285">
      <c r="L285" s="75"/>
    </row>
    <row r="286">
      <c r="L286" s="75"/>
    </row>
    <row r="287">
      <c r="L287" s="75"/>
    </row>
    <row r="288">
      <c r="L288" s="75"/>
    </row>
    <row r="289">
      <c r="L289" s="75"/>
    </row>
    <row r="290">
      <c r="L290" s="75"/>
    </row>
    <row r="291">
      <c r="L291" s="75"/>
    </row>
    <row r="292">
      <c r="L292" s="75"/>
    </row>
    <row r="293">
      <c r="L293" s="75"/>
    </row>
    <row r="294">
      <c r="L294" s="75"/>
    </row>
    <row r="295">
      <c r="L295" s="75"/>
    </row>
    <row r="296">
      <c r="L296" s="75"/>
    </row>
    <row r="297">
      <c r="L297" s="75"/>
    </row>
    <row r="298">
      <c r="L298" s="75"/>
    </row>
    <row r="299">
      <c r="L299" s="75"/>
    </row>
    <row r="300">
      <c r="L300" s="75"/>
    </row>
    <row r="301">
      <c r="L301" s="75"/>
    </row>
    <row r="302">
      <c r="L302" s="75"/>
    </row>
    <row r="303">
      <c r="L303" s="75"/>
    </row>
    <row r="304">
      <c r="L304" s="75"/>
    </row>
    <row r="305">
      <c r="L305" s="75"/>
    </row>
    <row r="306">
      <c r="L306" s="75"/>
    </row>
    <row r="307">
      <c r="L307" s="75"/>
    </row>
    <row r="308">
      <c r="L308" s="75"/>
    </row>
    <row r="309">
      <c r="L309" s="75"/>
    </row>
    <row r="310">
      <c r="L310" s="75"/>
    </row>
    <row r="311">
      <c r="L311" s="75"/>
    </row>
    <row r="312">
      <c r="L312" s="75"/>
    </row>
    <row r="313">
      <c r="L313" s="75"/>
    </row>
    <row r="314">
      <c r="L314" s="75"/>
    </row>
    <row r="315">
      <c r="L315" s="75"/>
    </row>
    <row r="316">
      <c r="L316" s="75"/>
    </row>
    <row r="317">
      <c r="L317" s="75"/>
    </row>
    <row r="318">
      <c r="L318" s="75"/>
    </row>
    <row r="319">
      <c r="L319" s="75"/>
    </row>
    <row r="320">
      <c r="L320" s="75"/>
    </row>
    <row r="321">
      <c r="L321" s="75"/>
    </row>
    <row r="322">
      <c r="L322" s="75"/>
    </row>
    <row r="323">
      <c r="L323" s="75"/>
    </row>
    <row r="324">
      <c r="L324" s="75"/>
    </row>
    <row r="325">
      <c r="L325" s="75"/>
    </row>
    <row r="326">
      <c r="L326" s="75"/>
    </row>
    <row r="327">
      <c r="L327" s="75"/>
    </row>
    <row r="328">
      <c r="L328" s="75"/>
    </row>
    <row r="329">
      <c r="L329" s="75"/>
    </row>
    <row r="330">
      <c r="L330" s="75"/>
    </row>
    <row r="331">
      <c r="L331" s="75"/>
    </row>
    <row r="332">
      <c r="L332" s="75"/>
    </row>
    <row r="333">
      <c r="L333" s="75"/>
    </row>
    <row r="334">
      <c r="L334" s="75"/>
    </row>
    <row r="335">
      <c r="L335" s="75"/>
    </row>
    <row r="336">
      <c r="L336" s="75"/>
    </row>
    <row r="337">
      <c r="L337" s="75"/>
    </row>
    <row r="338">
      <c r="L338" s="75"/>
    </row>
    <row r="339">
      <c r="L339" s="75"/>
    </row>
    <row r="340">
      <c r="L340" s="75"/>
    </row>
    <row r="341">
      <c r="L341" s="75"/>
    </row>
    <row r="342">
      <c r="L342" s="75"/>
    </row>
    <row r="343">
      <c r="L343" s="75"/>
    </row>
    <row r="344">
      <c r="L344" s="75"/>
    </row>
    <row r="345">
      <c r="L345" s="75"/>
    </row>
    <row r="346">
      <c r="L346" s="75"/>
    </row>
    <row r="347">
      <c r="L347" s="75"/>
    </row>
    <row r="348">
      <c r="L348" s="75"/>
    </row>
    <row r="349">
      <c r="L349" s="75"/>
    </row>
    <row r="350">
      <c r="L350" s="75"/>
    </row>
    <row r="351">
      <c r="L351" s="75"/>
    </row>
    <row r="352">
      <c r="L352" s="75"/>
    </row>
    <row r="353">
      <c r="L353" s="75"/>
    </row>
    <row r="354">
      <c r="L354" s="75"/>
    </row>
    <row r="355">
      <c r="L355" s="75"/>
    </row>
    <row r="356">
      <c r="L356" s="75"/>
    </row>
    <row r="357">
      <c r="L357" s="75"/>
    </row>
    <row r="358">
      <c r="L358" s="75"/>
    </row>
    <row r="359">
      <c r="L359" s="75"/>
    </row>
    <row r="360">
      <c r="L360" s="75"/>
    </row>
    <row r="361">
      <c r="L361" s="75"/>
    </row>
    <row r="362">
      <c r="L362" s="75"/>
    </row>
    <row r="363">
      <c r="L363" s="75"/>
    </row>
    <row r="364">
      <c r="L364" s="75"/>
    </row>
    <row r="365">
      <c r="L365" s="75"/>
    </row>
    <row r="366">
      <c r="L366" s="75"/>
    </row>
    <row r="367">
      <c r="L367" s="75"/>
    </row>
    <row r="368">
      <c r="L368" s="75"/>
    </row>
    <row r="369">
      <c r="L369" s="75"/>
    </row>
    <row r="370">
      <c r="L370" s="75"/>
    </row>
    <row r="371">
      <c r="L371" s="75"/>
    </row>
    <row r="372">
      <c r="L372" s="75"/>
    </row>
    <row r="373">
      <c r="L373" s="75"/>
    </row>
    <row r="374">
      <c r="L374" s="75"/>
    </row>
    <row r="375">
      <c r="L375" s="75"/>
    </row>
    <row r="376">
      <c r="L376" s="75"/>
    </row>
    <row r="377">
      <c r="L377" s="75"/>
    </row>
    <row r="378">
      <c r="L378" s="75"/>
    </row>
    <row r="379">
      <c r="L379" s="75"/>
    </row>
    <row r="380">
      <c r="L380" s="75"/>
    </row>
    <row r="381">
      <c r="L381" s="75"/>
    </row>
    <row r="382">
      <c r="L382" s="75"/>
    </row>
    <row r="383">
      <c r="L383" s="75"/>
    </row>
    <row r="384">
      <c r="L384" s="75"/>
    </row>
    <row r="385">
      <c r="L385" s="75"/>
    </row>
    <row r="386">
      <c r="L386" s="75"/>
    </row>
    <row r="387">
      <c r="L387" s="75"/>
    </row>
    <row r="388">
      <c r="L388" s="75"/>
    </row>
    <row r="389">
      <c r="L389" s="75"/>
    </row>
    <row r="390">
      <c r="L390" s="75"/>
    </row>
    <row r="391">
      <c r="L391" s="75"/>
    </row>
    <row r="392">
      <c r="L392" s="75"/>
    </row>
    <row r="393">
      <c r="L393" s="75"/>
    </row>
    <row r="394">
      <c r="L394" s="75"/>
    </row>
    <row r="395">
      <c r="L395" s="75"/>
    </row>
    <row r="396">
      <c r="L396" s="75"/>
    </row>
    <row r="397">
      <c r="L397" s="75"/>
    </row>
    <row r="398">
      <c r="L398" s="75"/>
    </row>
    <row r="399">
      <c r="L399" s="75"/>
    </row>
    <row r="400">
      <c r="L400" s="75"/>
    </row>
    <row r="401">
      <c r="L401" s="75"/>
    </row>
    <row r="402">
      <c r="L402" s="75"/>
    </row>
    <row r="403">
      <c r="L403" s="75"/>
    </row>
    <row r="404">
      <c r="L404" s="75"/>
    </row>
    <row r="405">
      <c r="L405" s="75"/>
    </row>
    <row r="406">
      <c r="L406" s="75"/>
    </row>
    <row r="407">
      <c r="L407" s="75"/>
    </row>
    <row r="408">
      <c r="L408" s="75"/>
    </row>
    <row r="409">
      <c r="L409" s="75"/>
    </row>
    <row r="410">
      <c r="L410" s="75"/>
    </row>
    <row r="411">
      <c r="L411" s="75"/>
    </row>
    <row r="412">
      <c r="L412" s="75"/>
    </row>
    <row r="413">
      <c r="L413" s="75"/>
    </row>
    <row r="414">
      <c r="L414" s="75"/>
    </row>
    <row r="415">
      <c r="L415" s="75"/>
    </row>
    <row r="416">
      <c r="L416" s="75"/>
    </row>
    <row r="417">
      <c r="L417" s="75"/>
    </row>
    <row r="418">
      <c r="L418" s="75"/>
    </row>
    <row r="419">
      <c r="L419" s="75"/>
    </row>
    <row r="420">
      <c r="L420" s="75"/>
    </row>
    <row r="421">
      <c r="L421" s="75"/>
    </row>
    <row r="422">
      <c r="L422" s="75"/>
    </row>
    <row r="423">
      <c r="L423" s="75"/>
    </row>
    <row r="424">
      <c r="L424" s="75"/>
    </row>
    <row r="425">
      <c r="L425" s="75"/>
    </row>
    <row r="426">
      <c r="L426" s="75"/>
    </row>
    <row r="427">
      <c r="L427" s="75"/>
    </row>
    <row r="428">
      <c r="L428" s="75"/>
    </row>
    <row r="429">
      <c r="L429" s="75"/>
    </row>
    <row r="430">
      <c r="L430" s="75"/>
    </row>
    <row r="431">
      <c r="L431" s="75"/>
    </row>
    <row r="432">
      <c r="L432" s="75"/>
    </row>
    <row r="433">
      <c r="L433" s="75"/>
    </row>
    <row r="434">
      <c r="L434" s="75"/>
    </row>
    <row r="435">
      <c r="L435" s="75"/>
    </row>
    <row r="436">
      <c r="L436" s="75"/>
    </row>
    <row r="437">
      <c r="L437" s="75"/>
    </row>
    <row r="438">
      <c r="L438" s="75"/>
    </row>
    <row r="439">
      <c r="L439" s="75"/>
    </row>
    <row r="440">
      <c r="L440" s="75"/>
    </row>
    <row r="441">
      <c r="L441" s="75"/>
    </row>
    <row r="442">
      <c r="L442" s="75"/>
    </row>
    <row r="443">
      <c r="L443" s="75"/>
    </row>
    <row r="444">
      <c r="L444" s="75"/>
    </row>
    <row r="445">
      <c r="L445" s="75"/>
    </row>
    <row r="446">
      <c r="L446" s="75"/>
    </row>
    <row r="447">
      <c r="L447" s="75"/>
    </row>
    <row r="448">
      <c r="L448" s="75"/>
    </row>
    <row r="449">
      <c r="L449" s="75"/>
    </row>
    <row r="450">
      <c r="L450" s="75"/>
    </row>
    <row r="451">
      <c r="L451" s="75"/>
    </row>
    <row r="452">
      <c r="L452" s="75"/>
    </row>
    <row r="453">
      <c r="L453" s="75"/>
    </row>
    <row r="454">
      <c r="L454" s="75"/>
    </row>
    <row r="455">
      <c r="L455" s="75"/>
    </row>
    <row r="456">
      <c r="L456" s="75"/>
    </row>
    <row r="457">
      <c r="L457" s="75"/>
    </row>
    <row r="458">
      <c r="L458" s="75"/>
    </row>
    <row r="459">
      <c r="L459" s="75"/>
    </row>
    <row r="460">
      <c r="L460" s="75"/>
    </row>
    <row r="461">
      <c r="L461" s="75"/>
    </row>
    <row r="462">
      <c r="L462" s="75"/>
    </row>
    <row r="463">
      <c r="L463" s="75"/>
    </row>
    <row r="464">
      <c r="L464" s="75"/>
    </row>
    <row r="465">
      <c r="L465" s="75"/>
    </row>
    <row r="466">
      <c r="L466" s="75"/>
    </row>
    <row r="467">
      <c r="L467" s="75"/>
    </row>
    <row r="468">
      <c r="L468" s="75"/>
    </row>
    <row r="469">
      <c r="L469" s="75"/>
    </row>
    <row r="470">
      <c r="L470" s="75"/>
    </row>
    <row r="471">
      <c r="L471" s="75"/>
    </row>
    <row r="472">
      <c r="L472" s="75"/>
    </row>
    <row r="473">
      <c r="L473" s="75"/>
    </row>
    <row r="474">
      <c r="L474" s="75"/>
    </row>
    <row r="475">
      <c r="L475" s="75"/>
    </row>
    <row r="476">
      <c r="L476" s="75"/>
    </row>
    <row r="477">
      <c r="L477" s="75"/>
    </row>
    <row r="478">
      <c r="L478" s="75"/>
    </row>
    <row r="479">
      <c r="L479" s="75"/>
    </row>
    <row r="480">
      <c r="L480" s="75"/>
    </row>
    <row r="481">
      <c r="L481" s="75"/>
    </row>
    <row r="482">
      <c r="L482" s="75"/>
    </row>
    <row r="483">
      <c r="L483" s="75"/>
    </row>
    <row r="484">
      <c r="L484" s="75"/>
    </row>
    <row r="485">
      <c r="L485" s="75"/>
    </row>
    <row r="486">
      <c r="L486" s="75"/>
    </row>
    <row r="487">
      <c r="L487" s="75"/>
    </row>
    <row r="488">
      <c r="L488" s="75"/>
    </row>
    <row r="489">
      <c r="L489" s="75"/>
    </row>
    <row r="490">
      <c r="L490" s="75"/>
    </row>
    <row r="491">
      <c r="L491" s="75"/>
    </row>
    <row r="492">
      <c r="L492" s="75"/>
    </row>
    <row r="493">
      <c r="L493" s="75"/>
    </row>
    <row r="494">
      <c r="L494" s="75"/>
    </row>
    <row r="495">
      <c r="L495" s="75"/>
    </row>
    <row r="496">
      <c r="L496" s="75"/>
    </row>
    <row r="497">
      <c r="L497" s="75"/>
    </row>
    <row r="498">
      <c r="L498" s="75"/>
    </row>
    <row r="499">
      <c r="L499" s="75"/>
    </row>
    <row r="500">
      <c r="L500" s="75"/>
    </row>
    <row r="501">
      <c r="L501" s="75"/>
    </row>
    <row r="502">
      <c r="L502" s="75"/>
    </row>
    <row r="503">
      <c r="L503" s="75"/>
    </row>
    <row r="504">
      <c r="L504" s="75"/>
    </row>
    <row r="505">
      <c r="L505" s="75"/>
    </row>
    <row r="506">
      <c r="L506" s="75"/>
    </row>
    <row r="507">
      <c r="L507" s="75"/>
    </row>
    <row r="508">
      <c r="L508" s="75"/>
    </row>
    <row r="509">
      <c r="L509" s="75"/>
    </row>
    <row r="510">
      <c r="L510" s="75"/>
    </row>
    <row r="511">
      <c r="L511" s="75"/>
    </row>
    <row r="512">
      <c r="L512" s="75"/>
    </row>
    <row r="513">
      <c r="L513" s="75"/>
    </row>
    <row r="514">
      <c r="L514" s="75"/>
    </row>
    <row r="515">
      <c r="L515" s="75"/>
    </row>
    <row r="516">
      <c r="L516" s="75"/>
    </row>
    <row r="517">
      <c r="L517" s="75"/>
    </row>
    <row r="518">
      <c r="L518" s="75"/>
    </row>
    <row r="519">
      <c r="L519" s="75"/>
    </row>
    <row r="520">
      <c r="L520" s="75"/>
    </row>
    <row r="521">
      <c r="L521" s="75"/>
    </row>
    <row r="522">
      <c r="L522" s="75"/>
    </row>
    <row r="523">
      <c r="L523" s="75"/>
    </row>
    <row r="524">
      <c r="L524" s="75"/>
    </row>
    <row r="525">
      <c r="L525" s="75"/>
    </row>
    <row r="526">
      <c r="L526" s="75"/>
    </row>
    <row r="527">
      <c r="L527" s="75"/>
    </row>
    <row r="528">
      <c r="L528" s="75"/>
    </row>
    <row r="529">
      <c r="L529" s="75"/>
    </row>
    <row r="530">
      <c r="L530" s="75"/>
    </row>
    <row r="531">
      <c r="L531" s="75"/>
    </row>
    <row r="532">
      <c r="L532" s="75"/>
    </row>
    <row r="533">
      <c r="L533" s="75"/>
    </row>
    <row r="534">
      <c r="L534" s="75"/>
    </row>
    <row r="535">
      <c r="L535" s="75"/>
    </row>
    <row r="536">
      <c r="L536" s="75"/>
    </row>
    <row r="537">
      <c r="L537" s="75"/>
    </row>
    <row r="538">
      <c r="L538" s="75"/>
    </row>
    <row r="539">
      <c r="L539" s="75"/>
    </row>
    <row r="540">
      <c r="L540" s="75"/>
    </row>
    <row r="541">
      <c r="L541" s="75"/>
    </row>
    <row r="542">
      <c r="L542" s="75"/>
    </row>
    <row r="543">
      <c r="L543" s="75"/>
    </row>
    <row r="544">
      <c r="L544" s="75"/>
    </row>
    <row r="545">
      <c r="L545" s="75"/>
    </row>
    <row r="546">
      <c r="L546" s="75"/>
    </row>
    <row r="547">
      <c r="L547" s="75"/>
    </row>
    <row r="548">
      <c r="L548" s="75"/>
    </row>
    <row r="549">
      <c r="L549" s="75"/>
    </row>
    <row r="550">
      <c r="L550" s="75"/>
    </row>
    <row r="551">
      <c r="L551" s="75"/>
    </row>
    <row r="552">
      <c r="L552" s="75"/>
    </row>
    <row r="553">
      <c r="L553" s="75"/>
    </row>
    <row r="554">
      <c r="L554" s="75"/>
    </row>
    <row r="555">
      <c r="L555" s="75"/>
    </row>
    <row r="556">
      <c r="L556" s="75"/>
    </row>
    <row r="557">
      <c r="L557" s="75"/>
    </row>
    <row r="558">
      <c r="L558" s="75"/>
    </row>
    <row r="559">
      <c r="L559" s="75"/>
    </row>
    <row r="560">
      <c r="L560" s="75"/>
    </row>
    <row r="561">
      <c r="L561" s="75"/>
    </row>
    <row r="562">
      <c r="L562" s="75"/>
    </row>
    <row r="563">
      <c r="L563" s="75"/>
    </row>
    <row r="564">
      <c r="L564" s="75"/>
    </row>
    <row r="565">
      <c r="L565" s="75"/>
    </row>
    <row r="566">
      <c r="L566" s="75"/>
    </row>
    <row r="567">
      <c r="L567" s="75"/>
    </row>
    <row r="568">
      <c r="L568" s="75"/>
    </row>
    <row r="569">
      <c r="L569" s="75"/>
    </row>
    <row r="570">
      <c r="L570" s="75"/>
    </row>
    <row r="571">
      <c r="L571" s="75"/>
    </row>
    <row r="572">
      <c r="L572" s="75"/>
    </row>
    <row r="573">
      <c r="L573" s="75"/>
    </row>
    <row r="574">
      <c r="L574" s="75"/>
    </row>
    <row r="575">
      <c r="L575" s="75"/>
    </row>
    <row r="576">
      <c r="L576" s="75"/>
    </row>
    <row r="577">
      <c r="L577" s="75"/>
    </row>
    <row r="578">
      <c r="L578" s="75"/>
    </row>
    <row r="579">
      <c r="L579" s="75"/>
    </row>
    <row r="580">
      <c r="L580" s="75"/>
    </row>
    <row r="581">
      <c r="L581" s="75"/>
    </row>
    <row r="582">
      <c r="L582" s="75"/>
    </row>
    <row r="583">
      <c r="L583" s="75"/>
    </row>
    <row r="584">
      <c r="L584" s="75"/>
    </row>
    <row r="585">
      <c r="L585" s="75"/>
    </row>
    <row r="586">
      <c r="L586" s="75"/>
    </row>
    <row r="587">
      <c r="L587" s="75"/>
    </row>
    <row r="588">
      <c r="L588" s="75"/>
    </row>
    <row r="589">
      <c r="L589" s="75"/>
    </row>
    <row r="590">
      <c r="L590" s="75"/>
    </row>
    <row r="591">
      <c r="L591" s="75"/>
    </row>
    <row r="592">
      <c r="L592" s="75"/>
    </row>
    <row r="593">
      <c r="L593" s="75"/>
    </row>
    <row r="594">
      <c r="L594" s="75"/>
    </row>
    <row r="595">
      <c r="L595" s="75"/>
    </row>
    <row r="596">
      <c r="L596" s="75"/>
    </row>
    <row r="597">
      <c r="L597" s="75"/>
    </row>
    <row r="598">
      <c r="L598" s="75"/>
    </row>
    <row r="599">
      <c r="L599" s="75"/>
    </row>
    <row r="600">
      <c r="L600" s="75"/>
    </row>
    <row r="601">
      <c r="L601" s="75"/>
    </row>
    <row r="602">
      <c r="L602" s="75"/>
    </row>
    <row r="603">
      <c r="L603" s="75"/>
    </row>
    <row r="604">
      <c r="L604" s="75"/>
    </row>
    <row r="605">
      <c r="L605" s="75"/>
    </row>
    <row r="606">
      <c r="L606" s="75"/>
    </row>
    <row r="607">
      <c r="L607" s="75"/>
    </row>
    <row r="608">
      <c r="L608" s="75"/>
    </row>
    <row r="609">
      <c r="L609" s="75"/>
    </row>
    <row r="610">
      <c r="L610" s="75"/>
    </row>
    <row r="611">
      <c r="L611" s="75"/>
    </row>
    <row r="612">
      <c r="L612" s="75"/>
    </row>
    <row r="613">
      <c r="L613" s="75"/>
    </row>
    <row r="614">
      <c r="L614" s="75"/>
    </row>
    <row r="615">
      <c r="L615" s="75"/>
    </row>
    <row r="616">
      <c r="L616" s="75"/>
    </row>
    <row r="617">
      <c r="L617" s="75"/>
    </row>
    <row r="618">
      <c r="L618" s="75"/>
    </row>
    <row r="619">
      <c r="L619" s="75"/>
    </row>
    <row r="620">
      <c r="L620" s="75"/>
    </row>
    <row r="621">
      <c r="L621" s="75"/>
    </row>
    <row r="622">
      <c r="L622" s="75"/>
    </row>
    <row r="623">
      <c r="L623" s="75"/>
    </row>
    <row r="624">
      <c r="L624" s="75"/>
    </row>
    <row r="625">
      <c r="L625" s="75"/>
    </row>
    <row r="626">
      <c r="L626" s="75"/>
    </row>
    <row r="627">
      <c r="L627" s="75"/>
    </row>
    <row r="628">
      <c r="L628" s="75"/>
    </row>
    <row r="629">
      <c r="L629" s="75"/>
    </row>
    <row r="630">
      <c r="L630" s="75"/>
    </row>
    <row r="631">
      <c r="L631" s="75"/>
    </row>
    <row r="632">
      <c r="L632" s="75"/>
    </row>
    <row r="633">
      <c r="L633" s="75"/>
    </row>
    <row r="634">
      <c r="L634" s="75"/>
    </row>
    <row r="635">
      <c r="L635" s="75"/>
    </row>
    <row r="636">
      <c r="L636" s="75"/>
    </row>
    <row r="637">
      <c r="L637" s="75"/>
    </row>
    <row r="638">
      <c r="L638" s="75"/>
    </row>
    <row r="639">
      <c r="L639" s="75"/>
    </row>
    <row r="640">
      <c r="L640" s="75"/>
    </row>
    <row r="641">
      <c r="L641" s="75"/>
    </row>
    <row r="642">
      <c r="L642" s="75"/>
    </row>
    <row r="643">
      <c r="L643" s="75"/>
    </row>
    <row r="644">
      <c r="L644" s="75"/>
    </row>
    <row r="645">
      <c r="L645" s="75"/>
    </row>
    <row r="646">
      <c r="L646" s="75"/>
    </row>
    <row r="647">
      <c r="L647" s="75"/>
    </row>
    <row r="648">
      <c r="L648" s="75"/>
    </row>
    <row r="649">
      <c r="L649" s="75"/>
    </row>
    <row r="650">
      <c r="L650" s="75"/>
    </row>
    <row r="651">
      <c r="L651" s="75"/>
    </row>
    <row r="652">
      <c r="L652" s="75"/>
    </row>
    <row r="653">
      <c r="L653" s="75"/>
    </row>
    <row r="654">
      <c r="L654" s="75"/>
    </row>
    <row r="655">
      <c r="L655" s="75"/>
    </row>
    <row r="656">
      <c r="L656" s="75"/>
    </row>
    <row r="657">
      <c r="L657" s="75"/>
    </row>
    <row r="658">
      <c r="L658" s="75"/>
    </row>
    <row r="659">
      <c r="L659" s="75"/>
    </row>
    <row r="660">
      <c r="L660" s="75"/>
    </row>
    <row r="661">
      <c r="L661" s="75"/>
    </row>
    <row r="662">
      <c r="L662" s="75"/>
    </row>
    <row r="663">
      <c r="L663" s="75"/>
    </row>
    <row r="664">
      <c r="L664" s="75"/>
    </row>
    <row r="665">
      <c r="L665" s="75"/>
    </row>
    <row r="666">
      <c r="L666" s="75"/>
    </row>
    <row r="667">
      <c r="L667" s="75"/>
    </row>
    <row r="668">
      <c r="L668" s="75"/>
    </row>
    <row r="669">
      <c r="L669" s="75"/>
    </row>
    <row r="670">
      <c r="L670" s="75"/>
    </row>
    <row r="671">
      <c r="L671" s="75"/>
    </row>
    <row r="672">
      <c r="L672" s="75"/>
    </row>
    <row r="673">
      <c r="L673" s="75"/>
    </row>
    <row r="674">
      <c r="L674" s="75"/>
    </row>
    <row r="675">
      <c r="L675" s="75"/>
    </row>
    <row r="676">
      <c r="L676" s="75"/>
    </row>
    <row r="677">
      <c r="L677" s="75"/>
    </row>
    <row r="678">
      <c r="L678" s="75"/>
    </row>
    <row r="679">
      <c r="L679" s="75"/>
    </row>
    <row r="680">
      <c r="L680" s="75"/>
    </row>
    <row r="681">
      <c r="L681" s="75"/>
    </row>
    <row r="682">
      <c r="L682" s="75"/>
    </row>
    <row r="683">
      <c r="L683" s="75"/>
    </row>
    <row r="684">
      <c r="L684" s="75"/>
    </row>
    <row r="685">
      <c r="L685" s="75"/>
    </row>
    <row r="686">
      <c r="L686" s="75"/>
    </row>
    <row r="687">
      <c r="L687" s="75"/>
    </row>
    <row r="688">
      <c r="L688" s="75"/>
    </row>
    <row r="689">
      <c r="L689" s="75"/>
    </row>
    <row r="690">
      <c r="L690" s="75"/>
    </row>
    <row r="691">
      <c r="L691" s="75"/>
    </row>
    <row r="692">
      <c r="L692" s="75"/>
    </row>
    <row r="693">
      <c r="L693" s="75"/>
    </row>
    <row r="694">
      <c r="L694" s="75"/>
    </row>
    <row r="695">
      <c r="L695" s="75"/>
    </row>
    <row r="696">
      <c r="L696" s="75"/>
    </row>
    <row r="697">
      <c r="L697" s="75"/>
    </row>
    <row r="698">
      <c r="L698" s="75"/>
    </row>
    <row r="699">
      <c r="L699" s="75"/>
    </row>
    <row r="700">
      <c r="L700" s="75"/>
    </row>
    <row r="701">
      <c r="L701" s="75"/>
    </row>
    <row r="702">
      <c r="L702" s="75"/>
    </row>
    <row r="703">
      <c r="L703" s="75"/>
    </row>
    <row r="704">
      <c r="L704" s="75"/>
    </row>
    <row r="705">
      <c r="L705" s="75"/>
    </row>
    <row r="706">
      <c r="L706" s="75"/>
    </row>
    <row r="707">
      <c r="L707" s="75"/>
    </row>
    <row r="708">
      <c r="L708" s="75"/>
    </row>
    <row r="709">
      <c r="L709" s="75"/>
    </row>
    <row r="710">
      <c r="L710" s="75"/>
    </row>
    <row r="711">
      <c r="L711" s="75"/>
    </row>
    <row r="712">
      <c r="L712" s="75"/>
    </row>
    <row r="713">
      <c r="L713" s="75"/>
    </row>
    <row r="714">
      <c r="L714" s="75"/>
    </row>
    <row r="715">
      <c r="L715" s="75"/>
    </row>
    <row r="716">
      <c r="L716" s="75"/>
    </row>
    <row r="717">
      <c r="L717" s="75"/>
    </row>
    <row r="718">
      <c r="L718" s="75"/>
    </row>
    <row r="719">
      <c r="L719" s="75"/>
    </row>
    <row r="720">
      <c r="L720" s="75"/>
    </row>
    <row r="721">
      <c r="L721" s="75"/>
    </row>
    <row r="722">
      <c r="L722" s="75"/>
    </row>
    <row r="723">
      <c r="L723" s="75"/>
    </row>
    <row r="724">
      <c r="L724" s="75"/>
    </row>
    <row r="725">
      <c r="L725" s="75"/>
    </row>
    <row r="726">
      <c r="L726" s="75"/>
    </row>
    <row r="727">
      <c r="L727" s="75"/>
    </row>
    <row r="728">
      <c r="L728" s="75"/>
    </row>
    <row r="729">
      <c r="L729" s="75"/>
    </row>
    <row r="730">
      <c r="L730" s="75"/>
    </row>
    <row r="731">
      <c r="L731" s="75"/>
    </row>
    <row r="732">
      <c r="L732" s="75"/>
    </row>
    <row r="733">
      <c r="L733" s="75"/>
    </row>
    <row r="734">
      <c r="L734" s="75"/>
    </row>
    <row r="735">
      <c r="L735" s="75"/>
    </row>
    <row r="736">
      <c r="L736" s="75"/>
    </row>
    <row r="737">
      <c r="L737" s="75"/>
    </row>
    <row r="738">
      <c r="L738" s="75"/>
    </row>
    <row r="739">
      <c r="L739" s="75"/>
    </row>
    <row r="740">
      <c r="L740" s="75"/>
    </row>
    <row r="741">
      <c r="L741" s="75"/>
    </row>
    <row r="742">
      <c r="L742" s="75"/>
    </row>
    <row r="743">
      <c r="L743" s="75"/>
    </row>
    <row r="744">
      <c r="L744" s="75"/>
    </row>
    <row r="745">
      <c r="L745" s="75"/>
    </row>
    <row r="746">
      <c r="L746" s="75"/>
    </row>
    <row r="747">
      <c r="L747" s="75"/>
    </row>
    <row r="748">
      <c r="L748" s="75"/>
    </row>
    <row r="749">
      <c r="L749" s="75"/>
    </row>
    <row r="750">
      <c r="L750" s="75"/>
    </row>
    <row r="751">
      <c r="L751" s="75"/>
    </row>
    <row r="752">
      <c r="L752" s="75"/>
    </row>
    <row r="753">
      <c r="L753" s="75"/>
    </row>
    <row r="754">
      <c r="L754" s="75"/>
    </row>
    <row r="755">
      <c r="L755" s="75"/>
    </row>
    <row r="756">
      <c r="L756" s="75"/>
    </row>
    <row r="757">
      <c r="L757" s="75"/>
    </row>
    <row r="758">
      <c r="L758" s="75"/>
    </row>
    <row r="759">
      <c r="L759" s="75"/>
    </row>
    <row r="760">
      <c r="L760" s="75"/>
    </row>
    <row r="761">
      <c r="L761" s="75"/>
    </row>
    <row r="762">
      <c r="L762" s="75"/>
    </row>
    <row r="763">
      <c r="L763" s="75"/>
    </row>
    <row r="764">
      <c r="L764" s="75"/>
    </row>
    <row r="765">
      <c r="L765" s="75"/>
    </row>
    <row r="766">
      <c r="L766" s="75"/>
    </row>
    <row r="767">
      <c r="L767" s="75"/>
    </row>
    <row r="768">
      <c r="L768" s="75"/>
    </row>
    <row r="769">
      <c r="L769" s="75"/>
    </row>
    <row r="770">
      <c r="L770" s="75"/>
    </row>
    <row r="771">
      <c r="L771" s="75"/>
    </row>
    <row r="772">
      <c r="L772" s="75"/>
    </row>
    <row r="773">
      <c r="L773" s="75"/>
    </row>
    <row r="774">
      <c r="L774" s="75"/>
    </row>
    <row r="775">
      <c r="L775" s="75"/>
    </row>
    <row r="776">
      <c r="L776" s="75"/>
    </row>
    <row r="777">
      <c r="L777" s="75"/>
    </row>
    <row r="778">
      <c r="L778" s="75"/>
    </row>
    <row r="779">
      <c r="L779" s="75"/>
    </row>
    <row r="780">
      <c r="L780" s="75"/>
    </row>
    <row r="781">
      <c r="L781" s="75"/>
    </row>
    <row r="782">
      <c r="L782" s="75"/>
    </row>
    <row r="783">
      <c r="L783" s="75"/>
    </row>
    <row r="784">
      <c r="L784" s="75"/>
    </row>
    <row r="785">
      <c r="L785" s="75"/>
    </row>
    <row r="786">
      <c r="L786" s="75"/>
    </row>
    <row r="787">
      <c r="L787" s="75"/>
    </row>
    <row r="788">
      <c r="L788" s="75"/>
    </row>
    <row r="789">
      <c r="L789" s="75"/>
    </row>
    <row r="790">
      <c r="L790" s="75"/>
    </row>
    <row r="791">
      <c r="L791" s="75"/>
    </row>
    <row r="792">
      <c r="L792" s="75"/>
    </row>
    <row r="793">
      <c r="L793" s="75"/>
    </row>
    <row r="794">
      <c r="L794" s="75"/>
    </row>
    <row r="795">
      <c r="L795" s="75"/>
    </row>
    <row r="796">
      <c r="L796" s="75"/>
    </row>
    <row r="797">
      <c r="L797" s="75"/>
    </row>
    <row r="798">
      <c r="L798" s="75"/>
    </row>
    <row r="799">
      <c r="L799" s="75"/>
    </row>
    <row r="800">
      <c r="L800" s="75"/>
    </row>
    <row r="801">
      <c r="L801" s="75"/>
    </row>
    <row r="802">
      <c r="L802" s="75"/>
    </row>
    <row r="803">
      <c r="L803" s="75"/>
    </row>
    <row r="804">
      <c r="L804" s="75"/>
    </row>
    <row r="805">
      <c r="L805" s="75"/>
    </row>
    <row r="806">
      <c r="L806" s="75"/>
    </row>
    <row r="807">
      <c r="L807" s="75"/>
    </row>
    <row r="808">
      <c r="L808" s="75"/>
    </row>
    <row r="809">
      <c r="L809" s="75"/>
    </row>
    <row r="810">
      <c r="L810" s="75"/>
    </row>
    <row r="811">
      <c r="L811" s="75"/>
    </row>
    <row r="812">
      <c r="L812" s="75"/>
    </row>
    <row r="813">
      <c r="L813" s="75"/>
    </row>
    <row r="814">
      <c r="L814" s="75"/>
    </row>
    <row r="815">
      <c r="L815" s="75"/>
    </row>
    <row r="816">
      <c r="L816" s="75"/>
    </row>
    <row r="817">
      <c r="L817" s="75"/>
    </row>
    <row r="818">
      <c r="L818" s="75"/>
    </row>
    <row r="819">
      <c r="L819" s="75"/>
    </row>
    <row r="820">
      <c r="L820" s="75"/>
    </row>
    <row r="821">
      <c r="L821" s="75"/>
    </row>
    <row r="822">
      <c r="L822" s="75"/>
    </row>
    <row r="823">
      <c r="L823" s="75"/>
    </row>
    <row r="824">
      <c r="L824" s="75"/>
    </row>
    <row r="825">
      <c r="L825" s="75"/>
    </row>
    <row r="826">
      <c r="L826" s="75"/>
    </row>
    <row r="827">
      <c r="L827" s="75"/>
    </row>
    <row r="828">
      <c r="L828" s="75"/>
    </row>
    <row r="829">
      <c r="L829" s="75"/>
    </row>
    <row r="830">
      <c r="L830" s="75"/>
    </row>
    <row r="831">
      <c r="L831" s="75"/>
    </row>
    <row r="832">
      <c r="L832" s="75"/>
    </row>
    <row r="833">
      <c r="L833" s="75"/>
    </row>
    <row r="834">
      <c r="L834" s="75"/>
    </row>
    <row r="835">
      <c r="L835" s="75"/>
    </row>
    <row r="836">
      <c r="L836" s="75"/>
    </row>
    <row r="837">
      <c r="L837" s="75"/>
    </row>
    <row r="838">
      <c r="L838" s="75"/>
    </row>
    <row r="839">
      <c r="L839" s="75"/>
    </row>
    <row r="840">
      <c r="L840" s="75"/>
    </row>
    <row r="841">
      <c r="L841" s="75"/>
    </row>
    <row r="842">
      <c r="L842" s="75"/>
    </row>
    <row r="843">
      <c r="L843" s="75"/>
    </row>
    <row r="844">
      <c r="L844" s="75"/>
    </row>
    <row r="845">
      <c r="L845" s="75"/>
    </row>
    <row r="846">
      <c r="L846" s="75"/>
    </row>
    <row r="847">
      <c r="L847" s="75"/>
    </row>
    <row r="848">
      <c r="L848" s="75"/>
    </row>
    <row r="849">
      <c r="L849" s="75"/>
    </row>
    <row r="850">
      <c r="L850" s="75"/>
    </row>
    <row r="851">
      <c r="L851" s="75"/>
    </row>
    <row r="852">
      <c r="L852" s="75"/>
    </row>
    <row r="853">
      <c r="L853" s="75"/>
    </row>
    <row r="854">
      <c r="L854" s="75"/>
    </row>
    <row r="855">
      <c r="L855" s="75"/>
    </row>
    <row r="856">
      <c r="L856" s="75"/>
    </row>
    <row r="857">
      <c r="L857" s="75"/>
    </row>
    <row r="858">
      <c r="L858" s="75"/>
    </row>
    <row r="859">
      <c r="L859" s="75"/>
    </row>
    <row r="860">
      <c r="L860" s="75"/>
    </row>
    <row r="861">
      <c r="L861" s="75"/>
    </row>
    <row r="862">
      <c r="L862" s="75"/>
    </row>
    <row r="863">
      <c r="L863" s="75"/>
    </row>
    <row r="864">
      <c r="L864" s="75"/>
    </row>
    <row r="865">
      <c r="L865" s="75"/>
    </row>
    <row r="866">
      <c r="L866" s="75"/>
    </row>
    <row r="867">
      <c r="L867" s="75"/>
    </row>
    <row r="868">
      <c r="L868" s="75"/>
    </row>
    <row r="869">
      <c r="L869" s="75"/>
    </row>
    <row r="870">
      <c r="L870" s="75"/>
    </row>
    <row r="871">
      <c r="L871" s="75"/>
    </row>
    <row r="872">
      <c r="L872" s="75"/>
    </row>
    <row r="873">
      <c r="L873" s="75"/>
    </row>
    <row r="874">
      <c r="L874" s="75"/>
    </row>
    <row r="875">
      <c r="L875" s="75"/>
    </row>
    <row r="876">
      <c r="L876" s="75"/>
    </row>
    <row r="877">
      <c r="L877" s="75"/>
    </row>
    <row r="878">
      <c r="L878" s="75"/>
    </row>
    <row r="879">
      <c r="L879" s="75"/>
    </row>
    <row r="880">
      <c r="L880" s="75"/>
    </row>
    <row r="881">
      <c r="L881" s="75"/>
    </row>
    <row r="882">
      <c r="L882" s="75"/>
    </row>
    <row r="883">
      <c r="L883" s="75"/>
    </row>
    <row r="884">
      <c r="L884" s="75"/>
    </row>
    <row r="885">
      <c r="L885" s="75"/>
    </row>
    <row r="886">
      <c r="L886" s="75"/>
    </row>
    <row r="887">
      <c r="L887" s="75"/>
    </row>
    <row r="888">
      <c r="L888" s="75"/>
    </row>
    <row r="889">
      <c r="L889" s="75"/>
    </row>
    <row r="890">
      <c r="L890" s="75"/>
    </row>
    <row r="891">
      <c r="L891" s="75"/>
    </row>
    <row r="892">
      <c r="L892" s="75"/>
    </row>
    <row r="893">
      <c r="L893" s="75"/>
    </row>
    <row r="894">
      <c r="L894" s="75"/>
    </row>
    <row r="895">
      <c r="L895" s="75"/>
    </row>
    <row r="896">
      <c r="L896" s="75"/>
    </row>
    <row r="897">
      <c r="L897" s="75"/>
    </row>
    <row r="898">
      <c r="L898" s="75"/>
    </row>
    <row r="899">
      <c r="L899" s="75"/>
    </row>
    <row r="900">
      <c r="L900" s="75"/>
    </row>
    <row r="901">
      <c r="L901" s="75"/>
    </row>
    <row r="902">
      <c r="L902" s="75"/>
    </row>
    <row r="903">
      <c r="L903" s="75"/>
    </row>
    <row r="904">
      <c r="L904" s="75"/>
    </row>
    <row r="905">
      <c r="L905" s="75"/>
    </row>
    <row r="906">
      <c r="L906" s="75"/>
    </row>
    <row r="907">
      <c r="L907" s="75"/>
    </row>
    <row r="908">
      <c r="L908" s="75"/>
    </row>
    <row r="909">
      <c r="L909" s="75"/>
    </row>
    <row r="910">
      <c r="L910" s="75"/>
    </row>
    <row r="911">
      <c r="L911" s="75"/>
    </row>
    <row r="912">
      <c r="L912" s="75"/>
    </row>
    <row r="913">
      <c r="L913" s="75"/>
    </row>
    <row r="914">
      <c r="L914" s="75"/>
    </row>
    <row r="915">
      <c r="L915" s="75"/>
    </row>
    <row r="916">
      <c r="L916" s="75"/>
    </row>
    <row r="917">
      <c r="L917" s="75"/>
    </row>
    <row r="918">
      <c r="L918" s="75"/>
    </row>
    <row r="919">
      <c r="L919" s="75"/>
    </row>
    <row r="920">
      <c r="L920" s="75"/>
    </row>
    <row r="921">
      <c r="L921" s="75"/>
    </row>
    <row r="922">
      <c r="L922" s="75"/>
    </row>
    <row r="923">
      <c r="L923" s="75"/>
    </row>
    <row r="924">
      <c r="L924" s="75"/>
    </row>
    <row r="925">
      <c r="L925" s="75"/>
    </row>
    <row r="926">
      <c r="L926" s="75"/>
    </row>
    <row r="927">
      <c r="L927" s="75"/>
    </row>
    <row r="928">
      <c r="L928" s="75"/>
    </row>
    <row r="929">
      <c r="L929" s="75"/>
    </row>
    <row r="930">
      <c r="L930" s="75"/>
    </row>
    <row r="931">
      <c r="L931" s="75"/>
    </row>
    <row r="932">
      <c r="L932" s="75"/>
    </row>
    <row r="933">
      <c r="L933" s="75"/>
    </row>
    <row r="934">
      <c r="L934" s="75"/>
    </row>
    <row r="935">
      <c r="L935" s="75"/>
    </row>
    <row r="936">
      <c r="L936" s="75"/>
    </row>
    <row r="937">
      <c r="L937" s="75"/>
    </row>
    <row r="938">
      <c r="L938" s="75"/>
    </row>
    <row r="939">
      <c r="L939" s="75"/>
    </row>
    <row r="940">
      <c r="L940" s="75"/>
    </row>
    <row r="941">
      <c r="L941" s="75"/>
    </row>
    <row r="942">
      <c r="L942" s="75"/>
    </row>
    <row r="943">
      <c r="L943" s="75"/>
    </row>
    <row r="944">
      <c r="L944" s="75"/>
    </row>
    <row r="945">
      <c r="L945" s="75"/>
    </row>
    <row r="946">
      <c r="L946" s="75"/>
    </row>
    <row r="947">
      <c r="L947" s="75"/>
    </row>
    <row r="948">
      <c r="L948" s="75"/>
    </row>
    <row r="949">
      <c r="L949" s="75"/>
    </row>
    <row r="950">
      <c r="L950" s="75"/>
    </row>
    <row r="951">
      <c r="L951" s="75"/>
    </row>
    <row r="952">
      <c r="L952" s="75"/>
    </row>
    <row r="953">
      <c r="L953" s="75"/>
    </row>
    <row r="954">
      <c r="L954" s="75"/>
    </row>
    <row r="955">
      <c r="L955" s="75"/>
    </row>
    <row r="956">
      <c r="L956" s="75"/>
    </row>
    <row r="957">
      <c r="L957" s="75"/>
    </row>
    <row r="958">
      <c r="L958" s="75"/>
    </row>
    <row r="959">
      <c r="L959" s="75"/>
    </row>
    <row r="960">
      <c r="L960" s="75"/>
    </row>
    <row r="961">
      <c r="L961" s="75"/>
    </row>
    <row r="962">
      <c r="L962" s="75"/>
    </row>
    <row r="963">
      <c r="L963" s="75"/>
    </row>
    <row r="964">
      <c r="L964" s="75"/>
    </row>
    <row r="965">
      <c r="L965" s="75"/>
    </row>
  </sheetData>
  <mergeCells count="1">
    <mergeCell ref="A122:B12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6" max="6" width="18.38"/>
  </cols>
  <sheetData>
    <row r="1">
      <c r="F1" s="76" t="s">
        <v>308</v>
      </c>
      <c r="G1" s="77" t="s">
        <v>309</v>
      </c>
      <c r="H1" s="78" t="s">
        <v>310</v>
      </c>
    </row>
    <row r="2">
      <c r="F2" s="80" t="s">
        <v>311</v>
      </c>
      <c r="G2" s="81" t="s">
        <v>312</v>
      </c>
      <c r="H2" s="82" t="s">
        <v>208</v>
      </c>
      <c r="I2" s="79"/>
      <c r="J2" s="79"/>
      <c r="K2" s="79"/>
    </row>
    <row r="3">
      <c r="F3" s="83" t="str">
        <f t="shared" ref="F3:F291" si="1">IF(AND(C3&lt;&gt;"",D3&lt;&gt;"",E3&lt;&gt;""),"LOS 3 AÑOS", IF(AND(C3&lt;&gt;"",IF(AND(C3&lt;&gt;"",D3&lt;&gt;"",E3&lt;&gt;""),"SI","NO")&lt;&gt;"SI",E3&lt;&gt;""),"SOLO 2022 Y 2024",IF(AND(AND(C3="",D3=""),E3&lt;&gt;""),"SOLO 2024",IF(AND(AND(D3&lt;&gt;"",E3&lt;&gt;""),C3=""),"2023 Y 2024",
IF(AND(AND(D3="",E3=""),C3&lt;&gt;""),"SOLO LINEA BASE",
IF(AND(AND(C3="",E3=""),D3&lt;&gt;""),"SOLO 2023","OTROS ESCENARIOS"))))))</f>
        <v>2023 Y 2024</v>
      </c>
      <c r="G3" s="79" t="str">
        <f t="shared" ref="G3:G291" si="2">A3&amp;B3</f>
        <v>140452 Primaria</v>
      </c>
      <c r="H3" s="82" t="str">
        <f t="array" ref="H3">IFERROR(DGET('PADD-R'!$B$1:$K953,'PADD-R'!$K$1,{'PADD-R'!$B$1;A3}),"NO PARTICIPÓ")</f>
        <v>SOLO 2023</v>
      </c>
      <c r="I3" s="79"/>
      <c r="J3" s="79"/>
      <c r="K3" s="79"/>
    </row>
    <row r="4">
      <c r="F4" s="83" t="str">
        <f t="shared" si="1"/>
        <v>2023 Y 2024</v>
      </c>
      <c r="G4" s="79" t="str">
        <f t="shared" si="2"/>
        <v>140454 Primaria</v>
      </c>
      <c r="H4" s="82" t="str">
        <f t="array" ref="H4">IFERROR(DGET('PADD-R'!$B$1:$K953,'PADD-R'!$K$1,{'PADD-R'!$B$1;A4}),"NO PARTICIPÓ")</f>
        <v>SOLO 2023</v>
      </c>
      <c r="I4" s="84"/>
      <c r="J4" s="84"/>
      <c r="K4" s="84"/>
    </row>
    <row r="5">
      <c r="F5" s="83" t="str">
        <f t="shared" si="1"/>
        <v>2023 Y 2024</v>
      </c>
      <c r="G5" s="79" t="str">
        <f t="shared" si="2"/>
        <v>140456 Primaria</v>
      </c>
      <c r="H5" s="82" t="str">
        <f t="array" ref="H5">IFERROR(DGET('PADD-R'!$B$1:$K953,'PADD-R'!$K$1,{'PADD-R'!$B$1;A5}),"NO PARTICIPÓ")</f>
        <v>SOLO 2023</v>
      </c>
      <c r="I5" s="84"/>
      <c r="J5" s="84"/>
      <c r="K5" s="84"/>
    </row>
    <row r="6">
      <c r="F6" s="83" t="str">
        <f t="shared" si="1"/>
        <v>SOLO 2024</v>
      </c>
      <c r="G6" s="79" t="str">
        <f t="shared" si="2"/>
        <v>141412 Primaria</v>
      </c>
      <c r="H6" s="82" t="str">
        <f t="array" ref="H6">IFERROR(DGET('PADD-R'!$B$1:$K953,'PADD-R'!$K$1,{'PADD-R'!$B$1;A6}),"NO PARTICIPÓ")</f>
        <v>PADD 2023 Y 2024</v>
      </c>
      <c r="I6" s="84"/>
      <c r="J6" s="84"/>
      <c r="K6" s="84"/>
    </row>
    <row r="7">
      <c r="F7" s="83" t="str">
        <f t="shared" si="1"/>
        <v>2023 Y 2024</v>
      </c>
      <c r="G7" s="79" t="str">
        <f t="shared" si="2"/>
        <v>141414 Primaria</v>
      </c>
      <c r="H7" s="82" t="str">
        <f t="array" ref="H7">IFERROR(DGET('PADD-R'!$B$1:$K953,'PADD-R'!$K$1,{'PADD-R'!$B$1;A7}),"NO PARTICIPÓ")</f>
        <v>PADD 2023 Y 2024</v>
      </c>
      <c r="I7" s="84"/>
      <c r="J7" s="84"/>
      <c r="K7" s="84"/>
    </row>
    <row r="8">
      <c r="F8" s="83" t="str">
        <f t="shared" si="1"/>
        <v>2023 Y 2024</v>
      </c>
      <c r="G8" s="79" t="str">
        <f t="shared" si="2"/>
        <v>141416 Primaria</v>
      </c>
      <c r="H8" s="82" t="str">
        <f t="array" ref="H8">IFERROR(DGET('PADD-R'!$B$1:$K953,'PADD-R'!$K$1,{'PADD-R'!$B$1;A8}),"NO PARTICIPÓ")</f>
        <v>PADD 2023 Y 2024</v>
      </c>
      <c r="I8" s="84"/>
      <c r="J8" s="84"/>
      <c r="K8" s="84"/>
    </row>
    <row r="9">
      <c r="F9" s="83" t="str">
        <f t="shared" si="1"/>
        <v>SOLO LINEA BASE</v>
      </c>
      <c r="G9" s="79" t="str">
        <f t="shared" si="2"/>
        <v>14144 SANTA ROSA1 Primaria</v>
      </c>
      <c r="H9" s="82" t="str">
        <f t="array" ref="H9">IFERROR(DGET('PADD-R'!$B$1:$K953,'PADD-R'!$K$1,{'PADD-R'!$B$1;A9}),"NO PARTICIPÓ")</f>
        <v>SOLO 2023</v>
      </c>
    </row>
    <row r="10">
      <c r="F10" s="83" t="str">
        <f t="shared" si="1"/>
        <v>LOS 3 AÑOS</v>
      </c>
      <c r="G10" s="79" t="str">
        <f t="shared" si="2"/>
        <v>14144 SANTA ROSA2 Primaria</v>
      </c>
      <c r="H10" s="82" t="str">
        <f t="array" ref="H10">IFERROR(DGET('PADD-R'!$B$1:$K953,'PADD-R'!$K$1,{'PADD-R'!$B$1;A10}),"NO PARTICIPÓ")</f>
        <v>SOLO 2023</v>
      </c>
    </row>
    <row r="11">
      <c r="F11" s="83" t="str">
        <f t="shared" si="1"/>
        <v>SOLO LINEA BASE</v>
      </c>
      <c r="G11" s="79" t="str">
        <f t="shared" si="2"/>
        <v>14144 SANTA ROSA2 Secundaria</v>
      </c>
      <c r="H11" s="82" t="str">
        <f t="array" ref="H11">IFERROR(DGET('PADD-R'!$B$1:$K953,'PADD-R'!$K$1,{'PADD-R'!$B$1;A11}),"NO PARTICIPÓ")</f>
        <v>SOLO 2023</v>
      </c>
    </row>
    <row r="12">
      <c r="F12" s="83" t="str">
        <f t="shared" si="1"/>
        <v>LOS 3 AÑOS</v>
      </c>
      <c r="G12" s="79" t="str">
        <f t="shared" si="2"/>
        <v>14144 SANTA ROSA4 Primaria</v>
      </c>
      <c r="H12" s="82" t="str">
        <f t="array" ref="H12">IFERROR(DGET('PADD-R'!$B$1:$K953,'PADD-R'!$K$1,{'PADD-R'!$B$1;A12}),"NO PARTICIPÓ")</f>
        <v>SOLO 2023</v>
      </c>
    </row>
    <row r="13">
      <c r="F13" s="83" t="str">
        <f t="shared" si="1"/>
        <v>SOLO LINEA BASE</v>
      </c>
      <c r="G13" s="79" t="str">
        <f t="shared" si="2"/>
        <v>14144 SANTA ROSA4 Secundaria</v>
      </c>
      <c r="H13" s="82" t="str">
        <f t="array" ref="H13">IFERROR(DGET('PADD-R'!$B$1:$K953,'PADD-R'!$K$1,{'PADD-R'!$B$1;A13}),"NO PARTICIPÓ")</f>
        <v>SOLO 2023</v>
      </c>
    </row>
    <row r="14">
      <c r="F14" s="83" t="str">
        <f t="shared" si="1"/>
        <v>LOS 3 AÑOS</v>
      </c>
      <c r="G14" s="79" t="str">
        <f t="shared" si="2"/>
        <v>14144 SANTA ROSA6 Primaria</v>
      </c>
      <c r="H14" s="82" t="str">
        <f t="array" ref="H14">IFERROR(DGET('PADD-R'!$B$1:$K953,'PADD-R'!$K$1,{'PADD-R'!$B$1;A14}),"NO PARTICIPÓ")</f>
        <v>SOLO 2023</v>
      </c>
    </row>
    <row r="15">
      <c r="F15" s="83" t="str">
        <f t="shared" si="1"/>
        <v>SOLO LINEA BASE</v>
      </c>
      <c r="G15" s="79" t="str">
        <f t="shared" si="2"/>
        <v>14145 SANTA JULIA BILLIART1 Primaria</v>
      </c>
      <c r="H15" s="82" t="str">
        <f t="array" ref="H15">IFERROR(DGET('PADD-R'!$B$1:$K953,'PADD-R'!$K$1,{'PADD-R'!$B$1;A15}),"NO PARTICIPÓ")</f>
        <v>SOLO 2023</v>
      </c>
    </row>
    <row r="16">
      <c r="F16" s="83" t="str">
        <f t="shared" si="1"/>
        <v>LOS 3 AÑOS</v>
      </c>
      <c r="G16" s="79" t="str">
        <f t="shared" si="2"/>
        <v>14145 SANTA JULIA BILLIART2 Primaria</v>
      </c>
      <c r="H16" s="82" t="str">
        <f t="array" ref="H16">IFERROR(DGET('PADD-R'!$B$1:$K953,'PADD-R'!$K$1,{'PADD-R'!$B$1;A16}),"NO PARTICIPÓ")</f>
        <v>SOLO 2023</v>
      </c>
    </row>
    <row r="17">
      <c r="F17" s="83" t="str">
        <f t="shared" si="1"/>
        <v>LOS 3 AÑOS</v>
      </c>
      <c r="G17" s="79" t="str">
        <f t="shared" si="2"/>
        <v>14145 SANTA JULIA BILLIART4 Primaria</v>
      </c>
      <c r="H17" s="82" t="str">
        <f t="array" ref="H17">IFERROR(DGET('PADD-R'!$B$1:$K953,'PADD-R'!$K$1,{'PADD-R'!$B$1;A17}),"NO PARTICIPÓ")</f>
        <v>SOLO 2023</v>
      </c>
    </row>
    <row r="18">
      <c r="F18" s="83" t="str">
        <f t="shared" si="1"/>
        <v>LOS 3 AÑOS</v>
      </c>
      <c r="G18" s="79" t="str">
        <f t="shared" si="2"/>
        <v>14145 SANTA JULIA BILLIART6 Primaria</v>
      </c>
      <c r="H18" s="82" t="str">
        <f t="array" ref="H18">IFERROR(DGET('PADD-R'!$B$1:$K953,'PADD-R'!$K$1,{'PADD-R'!$B$1;A18}),"NO PARTICIPÓ")</f>
        <v>SOLO 2023</v>
      </c>
    </row>
    <row r="19">
      <c r="F19" s="83" t="str">
        <f t="shared" si="1"/>
        <v>SOLO LINEA BASE</v>
      </c>
      <c r="G19" s="79" t="str">
        <f t="shared" si="2"/>
        <v>1457365 LOS RIT'S DEL ALTO ANDINO2 Secundaria</v>
      </c>
      <c r="H19" s="82" t="str">
        <f t="array" ref="H19">IFERROR(DGET('PADD-R'!$B$1:$K953,'PADD-R'!$K$1,{'PADD-R'!$B$1;A19}),"NO PARTICIPÓ")</f>
        <v>NO PARTICIPÓ</v>
      </c>
    </row>
    <row r="20">
      <c r="F20" s="83" t="str">
        <f t="shared" si="1"/>
        <v>SOLO LINEA BASE</v>
      </c>
      <c r="G20" s="79" t="str">
        <f t="shared" si="2"/>
        <v>1457365 LOS RIT'S DEL ALTO ANDINO5 Secundaria</v>
      </c>
      <c r="H20" s="82" t="str">
        <f t="array" ref="H20">IFERROR(DGET('PADD-R'!$B$1:$K953,'PADD-R'!$K$1,{'PADD-R'!$B$1;A20}),"NO PARTICIPÓ")</f>
        <v>NO PARTICIPÓ</v>
      </c>
    </row>
    <row r="21">
      <c r="F21" s="83" t="str">
        <f t="shared" si="1"/>
        <v>SOLO LINEA BASE</v>
      </c>
      <c r="G21" s="79" t="str">
        <f t="shared" si="2"/>
        <v>148941 Primaria</v>
      </c>
      <c r="H21" s="82" t="str">
        <f t="array" ref="H21">IFERROR(DGET('PADD-R'!$B$1:$K953,'PADD-R'!$K$1,{'PADD-R'!$B$1;A21}),"NO PARTICIPÓ")</f>
        <v>SOLO 2024</v>
      </c>
    </row>
    <row r="22">
      <c r="F22" s="83" t="str">
        <f t="shared" si="1"/>
        <v>SOLO 2022 Y 2024</v>
      </c>
      <c r="G22" s="79" t="str">
        <f t="shared" si="2"/>
        <v>148942 Primaria</v>
      </c>
      <c r="H22" s="82" t="str">
        <f t="array" ref="H22">IFERROR(DGET('PADD-R'!$B$1:$K953,'PADD-R'!$K$1,{'PADD-R'!$B$1;A22}),"NO PARTICIPÓ")</f>
        <v>SOLO 2024</v>
      </c>
    </row>
    <row r="23">
      <c r="F23" s="83" t="str">
        <f t="shared" si="1"/>
        <v>SOLO 2022 Y 2024</v>
      </c>
      <c r="G23" s="79" t="str">
        <f t="shared" si="2"/>
        <v>148944 Primaria</v>
      </c>
      <c r="H23" s="82" t="str">
        <f t="array" ref="H23">IFERROR(DGET('PADD-R'!$B$1:$K953,'PADD-R'!$K$1,{'PADD-R'!$B$1;A23}),"NO PARTICIPÓ")</f>
        <v>SOLO 2024</v>
      </c>
    </row>
    <row r="24">
      <c r="F24" s="83" t="str">
        <f t="shared" si="1"/>
        <v>SOLO LINEA BASE</v>
      </c>
      <c r="G24" s="79" t="str">
        <f t="shared" si="2"/>
        <v>148946 Primaria</v>
      </c>
      <c r="H24" s="82" t="str">
        <f t="array" ref="H24">IFERROR(DGET('PADD-R'!$B$1:$K953,'PADD-R'!$K$1,{'PADD-R'!$B$1;A24}),"NO PARTICIPÓ")</f>
        <v>SOLO 2024</v>
      </c>
    </row>
    <row r="25">
      <c r="F25" s="83" t="str">
        <f t="shared" si="1"/>
        <v>2023 Y 2024</v>
      </c>
      <c r="G25" s="79" t="str">
        <f t="shared" si="2"/>
        <v>14924 DANIEL ALCIDES CARRION2 Primaria</v>
      </c>
      <c r="H25" s="82" t="str">
        <f t="array" ref="H25">IFERROR(DGET('PADD-R'!$B$1:$K953,'PADD-R'!$K$1,{'PADD-R'!$B$1;A25}),"NO PARTICIPÓ")</f>
        <v>PADD 2023 Y 2024</v>
      </c>
    </row>
    <row r="26">
      <c r="F26" s="83" t="str">
        <f t="shared" si="1"/>
        <v>SOLO 2024</v>
      </c>
      <c r="G26" s="79" t="str">
        <f t="shared" si="2"/>
        <v>14924 DANIEL ALCIDES CARRION4 Primaria</v>
      </c>
      <c r="H26" s="82" t="str">
        <f t="array" ref="H26">IFERROR(DGET('PADD-R'!$B$1:$K953,'PADD-R'!$K$1,{'PADD-R'!$B$1;A26}),"NO PARTICIPÓ")</f>
        <v>PADD 2023 Y 2024</v>
      </c>
    </row>
    <row r="27">
      <c r="F27" s="83" t="str">
        <f t="shared" si="1"/>
        <v>SOLO 2024</v>
      </c>
      <c r="G27" s="79" t="str">
        <f t="shared" si="2"/>
        <v>14924 DANIEL ALCIDES CARRION6 Primaria</v>
      </c>
      <c r="H27" s="82" t="str">
        <f t="array" ref="H27">IFERROR(DGET('PADD-R'!$B$1:$K953,'PADD-R'!$K$1,{'PADD-R'!$B$1;A27}),"NO PARTICIPÓ")</f>
        <v>PADD 2023 Y 2024</v>
      </c>
    </row>
    <row r="28">
      <c r="F28" s="83" t="str">
        <f t="shared" si="1"/>
        <v>2023 Y 2024</v>
      </c>
      <c r="G28" s="79" t="str">
        <f t="shared" si="2"/>
        <v>149752 Primaria</v>
      </c>
      <c r="H28" s="82" t="str">
        <f t="array" ref="H28">IFERROR(DGET('PADD-R'!$B$1:$K953,'PADD-R'!$K$1,{'PADD-R'!$B$1;A28}),"NO PARTICIPÓ")</f>
        <v>PADD 2023 Y 2024</v>
      </c>
    </row>
    <row r="29">
      <c r="F29" s="83" t="str">
        <f t="shared" si="1"/>
        <v>SOLO 2024</v>
      </c>
      <c r="G29" s="79" t="str">
        <f t="shared" si="2"/>
        <v>149754 Primaria</v>
      </c>
      <c r="H29" s="82" t="str">
        <f t="array" ref="H29">IFERROR(DGET('PADD-R'!$B$1:$K953,'PADD-R'!$K$1,{'PADD-R'!$B$1;A29}),"NO PARTICIPÓ")</f>
        <v>PADD 2023 Y 2024</v>
      </c>
    </row>
    <row r="30">
      <c r="F30" s="83" t="str">
        <f t="shared" si="1"/>
        <v>2023 Y 2024</v>
      </c>
      <c r="G30" s="79" t="str">
        <f t="shared" si="2"/>
        <v>149756 Primaria</v>
      </c>
      <c r="H30" s="82" t="str">
        <f t="array" ref="H30">IFERROR(DGET('PADD-R'!$B$1:$K953,'PADD-R'!$K$1,{'PADD-R'!$B$1;A30}),"NO PARTICIPÓ")</f>
        <v>PADD 2023 Y 2024</v>
      </c>
    </row>
    <row r="31">
      <c r="F31" s="83" t="str">
        <f t="shared" si="1"/>
        <v>2023 Y 2024</v>
      </c>
      <c r="G31" s="79" t="str">
        <f t="shared" si="2"/>
        <v>152192 Primaria</v>
      </c>
      <c r="H31" s="82" t="str">
        <f t="array" ref="H31">IFERROR(DGET('PADD-R'!$B$1:$K953,'PADD-R'!$K$1,{'PADD-R'!$B$1;A31}),"NO PARTICIPÓ")</f>
        <v>SOLO 2023</v>
      </c>
    </row>
    <row r="32">
      <c r="F32" s="83" t="str">
        <f t="shared" si="1"/>
        <v>SOLO 2023</v>
      </c>
      <c r="G32" s="79" t="str">
        <f t="shared" si="2"/>
        <v>152194 Primaria</v>
      </c>
      <c r="H32" s="82" t="str">
        <f t="array" ref="H32">IFERROR(DGET('PADD-R'!$B$1:$K953,'PADD-R'!$K$1,{'PADD-R'!$B$1;A32}),"NO PARTICIPÓ")</f>
        <v>SOLO 2023</v>
      </c>
    </row>
    <row r="33">
      <c r="F33" s="83" t="str">
        <f t="shared" si="1"/>
        <v>2023 Y 2024</v>
      </c>
      <c r="G33" s="79" t="str">
        <f t="shared" si="2"/>
        <v>152196 Primaria</v>
      </c>
      <c r="H33" s="82" t="str">
        <f t="array" ref="H33">IFERROR(DGET('PADD-R'!$B$1:$K953,'PADD-R'!$K$1,{'PADD-R'!$B$1;A33}),"NO PARTICIPÓ")</f>
        <v>SOLO 2023</v>
      </c>
    </row>
    <row r="34">
      <c r="F34" s="83" t="str">
        <f t="shared" si="1"/>
        <v>SOLO 2023</v>
      </c>
      <c r="G34" s="79" t="str">
        <f t="shared" si="2"/>
        <v>152202 Primaria</v>
      </c>
      <c r="H34" s="82" t="str">
        <f t="array" ref="H34">IFERROR(DGET('PADD-R'!$B$1:$K953,'PADD-R'!$K$1,{'PADD-R'!$B$1;A34}),"NO PARTICIPÓ")</f>
        <v>SOLO 2023</v>
      </c>
    </row>
    <row r="35">
      <c r="F35" s="83" t="str">
        <f t="shared" si="1"/>
        <v>SOLO 2023</v>
      </c>
      <c r="G35" s="79" t="str">
        <f t="shared" si="2"/>
        <v>152204 Primaria</v>
      </c>
      <c r="H35" s="82" t="str">
        <f t="array" ref="H35">IFERROR(DGET('PADD-R'!$B$1:$K953,'PADD-R'!$K$1,{'PADD-R'!$B$1;A35}),"NO PARTICIPÓ")</f>
        <v>SOLO 2023</v>
      </c>
    </row>
    <row r="36">
      <c r="F36" s="83" t="str">
        <f t="shared" si="1"/>
        <v>2023 Y 2024</v>
      </c>
      <c r="G36" s="79" t="str">
        <f t="shared" si="2"/>
        <v>152206 Primaria</v>
      </c>
      <c r="H36" s="82" t="str">
        <f t="array" ref="H36">IFERROR(DGET('PADD-R'!$B$1:$K953,'PADD-R'!$K$1,{'PADD-R'!$B$1;A36}),"NO PARTICIPÓ")</f>
        <v>SOLO 2023</v>
      </c>
    </row>
    <row r="37">
      <c r="F37" s="83" t="str">
        <f t="shared" si="1"/>
        <v>2023 Y 2024</v>
      </c>
      <c r="G37" s="79" t="str">
        <f t="shared" si="2"/>
        <v>153042 Primaria</v>
      </c>
      <c r="H37" s="82" t="str">
        <f t="array" ref="H37">IFERROR(DGET('PADD-R'!$B$1:$K953,'PADD-R'!$K$1,{'PADD-R'!$B$1;A37}),"NO PARTICIPÓ")</f>
        <v>SOLO 2023</v>
      </c>
    </row>
    <row r="38">
      <c r="F38" s="83" t="str">
        <f t="shared" si="1"/>
        <v>2023 Y 2024</v>
      </c>
      <c r="G38" s="79" t="str">
        <f t="shared" si="2"/>
        <v>153044 Primaria</v>
      </c>
      <c r="H38" s="82" t="str">
        <f t="array" ref="H38">IFERROR(DGET('PADD-R'!$B$1:$K953,'PADD-R'!$K$1,{'PADD-R'!$B$1;A38}),"NO PARTICIPÓ")</f>
        <v>SOLO 2023</v>
      </c>
    </row>
    <row r="39">
      <c r="F39" s="83" t="str">
        <f t="shared" si="1"/>
        <v>2023 Y 2024</v>
      </c>
      <c r="G39" s="79" t="str">
        <f t="shared" si="2"/>
        <v>153046 Primaria</v>
      </c>
      <c r="H39" s="82" t="str">
        <f t="array" ref="H39">IFERROR(DGET('PADD-R'!$B$1:$K953,'PADD-R'!$K$1,{'PADD-R'!$B$1;A39}),"NO PARTICIPÓ")</f>
        <v>SOLO 2023</v>
      </c>
    </row>
    <row r="40">
      <c r="F40" s="83" t="str">
        <f t="shared" si="1"/>
        <v>SOLO 2023</v>
      </c>
      <c r="G40" s="79" t="str">
        <f t="shared" si="2"/>
        <v>153832 Primaria</v>
      </c>
      <c r="H40" s="82" t="str">
        <f t="array" ref="H40">IFERROR(DGET('PADD-R'!$B$1:$K953,'PADD-R'!$K$1,{'PADD-R'!$B$1;A40}),"NO PARTICIPÓ")</f>
        <v>PADD 2023 Y 2024</v>
      </c>
    </row>
    <row r="41">
      <c r="F41" s="83" t="str">
        <f t="shared" si="1"/>
        <v>2023 Y 2024</v>
      </c>
      <c r="G41" s="79" t="str">
        <f t="shared" si="2"/>
        <v>153834 Primaria</v>
      </c>
      <c r="H41" s="82" t="str">
        <f t="array" ref="H41">IFERROR(DGET('PADD-R'!$B$1:$K953,'PADD-R'!$K$1,{'PADD-R'!$B$1;A41}),"NO PARTICIPÓ")</f>
        <v>PADD 2023 Y 2024</v>
      </c>
    </row>
    <row r="42">
      <c r="F42" s="83" t="str">
        <f t="shared" si="1"/>
        <v>SOLO 2023</v>
      </c>
      <c r="G42" s="79" t="str">
        <f t="shared" si="2"/>
        <v>153836 Primaria</v>
      </c>
      <c r="H42" s="82" t="str">
        <f t="array" ref="H42">IFERROR(DGET('PADD-R'!$B$1:$K953,'PADD-R'!$K$1,{'PADD-R'!$B$1;A42}),"NO PARTICIPÓ")</f>
        <v>PADD 2023 Y 2024</v>
      </c>
    </row>
    <row r="43">
      <c r="F43" s="83" t="str">
        <f t="shared" si="1"/>
        <v>2023 Y 2024</v>
      </c>
      <c r="G43" s="79" t="str">
        <f t="shared" si="2"/>
        <v>154782 Primaria</v>
      </c>
      <c r="H43" s="82" t="str">
        <f t="array" ref="H43">IFERROR(DGET('PADD-R'!$B$1:$K953,'PADD-R'!$K$1,{'PADD-R'!$B$1;A43}),"NO PARTICIPÓ")</f>
        <v>PADD 2023 Y 2024</v>
      </c>
    </row>
    <row r="44">
      <c r="F44" s="83" t="str">
        <f t="shared" si="1"/>
        <v>2023 Y 2024</v>
      </c>
      <c r="G44" s="79" t="str">
        <f t="shared" si="2"/>
        <v>154784 Primaria</v>
      </c>
      <c r="H44" s="82" t="str">
        <f t="array" ref="H44">IFERROR(DGET('PADD-R'!$B$1:$K953,'PADD-R'!$K$1,{'PADD-R'!$B$1;A44}),"NO PARTICIPÓ")</f>
        <v>PADD 2023 Y 2024</v>
      </c>
    </row>
    <row r="45">
      <c r="F45" s="83" t="str">
        <f t="shared" si="1"/>
        <v>2023 Y 2024</v>
      </c>
      <c r="G45" s="79" t="str">
        <f t="shared" si="2"/>
        <v>154786 Primaria</v>
      </c>
      <c r="H45" s="82" t="str">
        <f t="array" ref="H45">IFERROR(DGET('PADD-R'!$B$1:$K953,'PADD-R'!$K$1,{'PADD-R'!$B$1;A45}),"NO PARTICIPÓ")</f>
        <v>PADD 2023 Y 2024</v>
      </c>
    </row>
    <row r="46">
      <c r="F46" s="83" t="str">
        <f t="shared" si="1"/>
        <v>2023 Y 2024</v>
      </c>
      <c r="G46" s="79" t="str">
        <f t="shared" si="2"/>
        <v>201042 Primaria</v>
      </c>
      <c r="H46" s="82" t="str">
        <f t="array" ref="H46">IFERROR(DGET('PADD-R'!$B$1:$K953,'PADD-R'!$K$1,{'PADD-R'!$B$1;A46}),"NO PARTICIPÓ")</f>
        <v>PADD 2023 Y 2024</v>
      </c>
    </row>
    <row r="47">
      <c r="F47" s="83" t="str">
        <f t="shared" si="1"/>
        <v>2023 Y 2024</v>
      </c>
      <c r="G47" s="79" t="str">
        <f t="shared" si="2"/>
        <v>201044 Primaria</v>
      </c>
      <c r="H47" s="82" t="str">
        <f t="array" ref="H47">IFERROR(DGET('PADD-R'!$B$1:$K953,'PADD-R'!$K$1,{'PADD-R'!$B$1;A47}),"NO PARTICIPÓ")</f>
        <v>PADD 2023 Y 2024</v>
      </c>
    </row>
    <row r="48">
      <c r="F48" s="83" t="str">
        <f t="shared" si="1"/>
        <v>2023 Y 2024</v>
      </c>
      <c r="G48" s="79" t="str">
        <f t="shared" si="2"/>
        <v>201046 Primaria</v>
      </c>
      <c r="H48" s="82" t="str">
        <f t="array" ref="H48">IFERROR(DGET('PADD-R'!$B$1:$K953,'PADD-R'!$K$1,{'PADD-R'!$B$1;A48}),"NO PARTICIPÓ")</f>
        <v>PADD 2023 Y 2024</v>
      </c>
    </row>
    <row r="49">
      <c r="F49" s="83" t="str">
        <f t="shared" si="1"/>
        <v>2023 Y 2024</v>
      </c>
      <c r="G49" s="79" t="str">
        <f t="shared" si="2"/>
        <v>201232 Primaria</v>
      </c>
      <c r="H49" s="82" t="str">
        <f t="array" ref="H49">IFERROR(DGET('PADD-R'!$B$1:$K953,'PADD-R'!$K$1,{'PADD-R'!$B$1;A49}),"NO PARTICIPÓ")</f>
        <v>SOLO 2023</v>
      </c>
    </row>
    <row r="50">
      <c r="F50" s="83" t="str">
        <f t="shared" si="1"/>
        <v>SOLO 2024</v>
      </c>
      <c r="G50" s="79" t="str">
        <f t="shared" si="2"/>
        <v>201236 Primaria</v>
      </c>
      <c r="H50" s="82" t="str">
        <f t="array" ref="H50">IFERROR(DGET('PADD-R'!$B$1:$K953,'PADD-R'!$K$1,{'PADD-R'!$B$1;A50}),"NO PARTICIPÓ")</f>
        <v>SOLO 2023</v>
      </c>
    </row>
    <row r="51">
      <c r="F51" s="83" t="str">
        <f t="shared" si="1"/>
        <v>SOLO LINEA BASE</v>
      </c>
      <c r="G51" s="79" t="str">
        <f t="shared" si="2"/>
        <v>36161 SAN VICENTE DE PAUL1 Primaria</v>
      </c>
      <c r="H51" s="82" t="str">
        <f t="array" ref="H51">IFERROR(DGET('PADD-R'!$B$1:$K953,'PADD-R'!$K$1,{'PADD-R'!$B$1;A51}),"NO PARTICIPÓ")</f>
        <v>NO PARTICIPÓ</v>
      </c>
    </row>
    <row r="52">
      <c r="F52" s="83" t="str">
        <f t="shared" si="1"/>
        <v>SOLO LINEA BASE</v>
      </c>
      <c r="G52" s="79" t="str">
        <f t="shared" si="2"/>
        <v>36161 SAN VICENTE DE PAUL2 Primaria</v>
      </c>
      <c r="H52" s="82" t="str">
        <f t="array" ref="H52">IFERROR(DGET('PADD-R'!$B$1:$K953,'PADD-R'!$K$1,{'PADD-R'!$B$1;A52}),"NO PARTICIPÓ")</f>
        <v>NO PARTICIPÓ</v>
      </c>
    </row>
    <row r="53">
      <c r="F53" s="83" t="str">
        <f t="shared" si="1"/>
        <v>SOLO LINEA BASE</v>
      </c>
      <c r="G53" s="79" t="str">
        <f t="shared" si="2"/>
        <v>36161 SAN VICENTE DE PAUL4 Primaria</v>
      </c>
      <c r="H53" s="82" t="str">
        <f t="array" ref="H53">IFERROR(DGET('PADD-R'!$B$1:$K953,'PADD-R'!$K$1,{'PADD-R'!$B$1;A53}),"NO PARTICIPÓ")</f>
        <v>NO PARTICIPÓ</v>
      </c>
    </row>
    <row r="54">
      <c r="F54" s="83" t="str">
        <f t="shared" si="1"/>
        <v>SOLO LINEA BASE</v>
      </c>
      <c r="G54" s="79" t="str">
        <f t="shared" si="2"/>
        <v>36161 SAN VICENTE DE PAUL6 Primaria</v>
      </c>
      <c r="H54" s="82" t="str">
        <f t="array" ref="H54">IFERROR(DGET('PADD-R'!$B$1:$K953,'PADD-R'!$K$1,{'PADD-R'!$B$1;A54}),"NO PARTICIPÓ")</f>
        <v>NO PARTICIPÓ</v>
      </c>
    </row>
    <row r="55">
      <c r="F55" s="83" t="str">
        <f t="shared" si="1"/>
        <v>SOLO 2023</v>
      </c>
      <c r="G55" s="79" t="str">
        <f t="shared" si="2"/>
        <v>36163 JAVIER HERAUD PEREZ2 Primaria</v>
      </c>
      <c r="H55" s="82" t="str">
        <f t="array" ref="H55">IFERROR(DGET('PADD-R'!$B$1:$K953,'PADD-R'!$K$1,{'PADD-R'!$B$1;A55}),"NO PARTICIPÓ")</f>
        <v>SOLO 2023</v>
      </c>
    </row>
    <row r="56">
      <c r="F56" s="83" t="str">
        <f t="shared" si="1"/>
        <v>SOLO 2023</v>
      </c>
      <c r="G56" s="79" t="str">
        <f t="shared" si="2"/>
        <v>36163 JAVIER HERAUD PEREZ4 Primaria</v>
      </c>
      <c r="H56" s="82" t="str">
        <f t="array" ref="H56">IFERROR(DGET('PADD-R'!$B$1:$K953,'PADD-R'!$K$1,{'PADD-R'!$B$1;A56}),"NO PARTICIPÓ")</f>
        <v>SOLO 2023</v>
      </c>
    </row>
    <row r="57">
      <c r="F57" s="83" t="str">
        <f t="shared" si="1"/>
        <v>SOLO 2023</v>
      </c>
      <c r="G57" s="79" t="str">
        <f t="shared" si="2"/>
        <v>36163 JAVIER HERAUD PEREZ6 Primaria</v>
      </c>
      <c r="H57" s="82" t="str">
        <f t="array" ref="H57">IFERROR(DGET('PADD-R'!$B$1:$K953,'PADD-R'!$K$1,{'PADD-R'!$B$1;A57}),"NO PARTICIPÓ")</f>
        <v>SOLO 2023</v>
      </c>
    </row>
    <row r="58">
      <c r="F58" s="83" t="str">
        <f t="shared" si="1"/>
        <v>SOLO LINEA BASE</v>
      </c>
      <c r="G58" s="79" t="str">
        <f t="shared" si="2"/>
        <v>36166 HEROES 29 DE AGOSTO1 Primaria</v>
      </c>
      <c r="H58" s="82" t="str">
        <f t="array" ref="H58">IFERROR(DGET('PADD-R'!$B$1:$K953,'PADD-R'!$K$1,{'PADD-R'!$B$1;A58}),"NO PARTICIPÓ")</f>
        <v>NO PARTICIPÓ</v>
      </c>
    </row>
    <row r="59">
      <c r="F59" s="83" t="str">
        <f t="shared" si="1"/>
        <v>SOLO LINEA BASE</v>
      </c>
      <c r="G59" s="79" t="str">
        <f t="shared" si="2"/>
        <v>36166 HEROES 29 DE AGOSTO2 Primaria</v>
      </c>
      <c r="H59" s="82" t="str">
        <f t="array" ref="H59">IFERROR(DGET('PADD-R'!$B$1:$K953,'PADD-R'!$K$1,{'PADD-R'!$B$1;A59}),"NO PARTICIPÓ")</f>
        <v>NO PARTICIPÓ</v>
      </c>
    </row>
    <row r="60">
      <c r="F60" s="83" t="str">
        <f t="shared" si="1"/>
        <v>SOLO LINEA BASE</v>
      </c>
      <c r="G60" s="79" t="str">
        <f t="shared" si="2"/>
        <v>36166 HEROES 29 DE AGOSTO4 Primaria</v>
      </c>
      <c r="H60" s="82" t="str">
        <f t="array" ref="H60">IFERROR(DGET('PADD-R'!$B$1:$K953,'PADD-R'!$K$1,{'PADD-R'!$B$1;A60}),"NO PARTICIPÓ")</f>
        <v>NO PARTICIPÓ</v>
      </c>
    </row>
    <row r="61">
      <c r="F61" s="83" t="str">
        <f t="shared" si="1"/>
        <v>SOLO LINEA BASE</v>
      </c>
      <c r="G61" s="79" t="str">
        <f t="shared" si="2"/>
        <v>36166 HEROES 29 DE AGOSTO6 Primaria</v>
      </c>
      <c r="H61" s="82" t="str">
        <f t="array" ref="H61">IFERROR(DGET('PADD-R'!$B$1:$K953,'PADD-R'!$K$1,{'PADD-R'!$B$1;A61}),"NO PARTICIPÓ")</f>
        <v>NO PARTICIPÓ</v>
      </c>
    </row>
    <row r="62">
      <c r="F62" s="83" t="str">
        <f t="shared" si="1"/>
        <v>SOLO 2024</v>
      </c>
      <c r="G62" s="79" t="str">
        <f t="shared" si="2"/>
        <v>361731 Primaria</v>
      </c>
      <c r="H62" s="82" t="str">
        <f t="array" ref="H62">IFERROR(DGET('PADD-R'!$B$1:$K953,'PADD-R'!$K$1,{'PADD-R'!$B$1;A62}),"NO PARTICIPÓ")</f>
        <v>PADD 2023 Y 2024</v>
      </c>
    </row>
    <row r="63">
      <c r="F63" s="83" t="str">
        <f t="shared" si="1"/>
        <v>SOLO 2024</v>
      </c>
      <c r="G63" s="79" t="str">
        <f t="shared" si="2"/>
        <v>361732 Primaria</v>
      </c>
      <c r="H63" s="82" t="str">
        <f t="array" ref="H63">IFERROR(DGET('PADD-R'!$B$1:$K953,'PADD-R'!$K$1,{'PADD-R'!$B$1;A63}),"NO PARTICIPÓ")</f>
        <v>PADD 2023 Y 2024</v>
      </c>
    </row>
    <row r="64">
      <c r="F64" s="83" t="str">
        <f t="shared" si="1"/>
        <v>SOLO 2024</v>
      </c>
      <c r="G64" s="79" t="str">
        <f t="shared" si="2"/>
        <v>361734 Primaria</v>
      </c>
      <c r="H64" s="82" t="str">
        <f t="array" ref="H64">IFERROR(DGET('PADD-R'!$B$1:$K953,'PADD-R'!$K$1,{'PADD-R'!$B$1;A64}),"NO PARTICIPÓ")</f>
        <v>PADD 2023 Y 2024</v>
      </c>
    </row>
    <row r="65">
      <c r="F65" s="83" t="str">
        <f t="shared" si="1"/>
        <v>SOLO 2024</v>
      </c>
      <c r="G65" s="79" t="str">
        <f t="shared" si="2"/>
        <v>361736 Primaria</v>
      </c>
      <c r="H65" s="82" t="str">
        <f t="array" ref="H65">IFERROR(DGET('PADD-R'!$B$1:$K953,'PADD-R'!$K$1,{'PADD-R'!$B$1;A65}),"NO PARTICIPÓ")</f>
        <v>PADD 2023 Y 2024</v>
      </c>
    </row>
    <row r="66">
      <c r="F66" s="83" t="str">
        <f t="shared" si="1"/>
        <v>SOLO 2022 Y 2024</v>
      </c>
      <c r="G66" s="79" t="str">
        <f t="shared" si="2"/>
        <v>362071 Primaria</v>
      </c>
      <c r="H66" s="82" t="str">
        <f t="array" ref="H66">IFERROR(DGET('PADD-R'!$B$1:$K953,'PADD-R'!$K$1,{'PADD-R'!$B$1;A66}),"NO PARTICIPÓ")</f>
        <v>PADD 2023 Y 2024</v>
      </c>
    </row>
    <row r="67">
      <c r="F67" s="83" t="str">
        <f t="shared" si="1"/>
        <v>SOLO 2022 Y 2024</v>
      </c>
      <c r="G67" s="79" t="str">
        <f t="shared" si="2"/>
        <v>362072 Primaria</v>
      </c>
      <c r="H67" s="82" t="str">
        <f t="array" ref="H67">IFERROR(DGET('PADD-R'!$B$1:$K953,'PADD-R'!$K$1,{'PADD-R'!$B$1;A67}),"NO PARTICIPÓ")</f>
        <v>PADD 2023 Y 2024</v>
      </c>
    </row>
    <row r="68">
      <c r="F68" s="83" t="str">
        <f t="shared" si="1"/>
        <v>SOLO 2022 Y 2024</v>
      </c>
      <c r="G68" s="79" t="str">
        <f t="shared" si="2"/>
        <v>362074 Primaria</v>
      </c>
      <c r="H68" s="82" t="str">
        <f t="array" ref="H68">IFERROR(DGET('PADD-R'!$B$1:$K953,'PADD-R'!$K$1,{'PADD-R'!$B$1;A68}),"NO PARTICIPÓ")</f>
        <v>PADD 2023 Y 2024</v>
      </c>
    </row>
    <row r="69">
      <c r="F69" s="83" t="str">
        <f t="shared" si="1"/>
        <v>SOLO 2022 Y 2024</v>
      </c>
      <c r="G69" s="79" t="str">
        <f t="shared" si="2"/>
        <v>362076 Primaria</v>
      </c>
      <c r="H69" s="82" t="str">
        <f t="array" ref="H69">IFERROR(DGET('PADD-R'!$B$1:$K953,'PADD-R'!$K$1,{'PADD-R'!$B$1;A69}),"NO PARTICIPÓ")</f>
        <v>PADD 2023 Y 2024</v>
      </c>
    </row>
    <row r="70">
      <c r="F70" s="83" t="str">
        <f t="shared" si="1"/>
        <v>SOLO 2024</v>
      </c>
      <c r="G70" s="79" t="str">
        <f t="shared" si="2"/>
        <v>36789 NUESTRA SEÑORA DEL CARMEN2 Primaria</v>
      </c>
      <c r="H70" s="82" t="str">
        <f t="array" ref="H70">IFERROR(DGET('PADD-R'!$B$1:$K953,'PADD-R'!$K$1,{'PADD-R'!$B$1;A70}),"NO PARTICIPÓ")</f>
        <v>SOLO 2024</v>
      </c>
    </row>
    <row r="71">
      <c r="F71" s="83" t="str">
        <f t="shared" si="1"/>
        <v>SOLO 2024</v>
      </c>
      <c r="G71" s="79" t="str">
        <f t="shared" si="2"/>
        <v>36789 NUESTRA SEÑORA DEL CARMEN4 Primaria</v>
      </c>
      <c r="H71" s="82" t="str">
        <f t="array" ref="H71">IFERROR(DGET('PADD-R'!$B$1:$K953,'PADD-R'!$K$1,{'PADD-R'!$B$1;A71}),"NO PARTICIPÓ")</f>
        <v>SOLO 2024</v>
      </c>
    </row>
    <row r="72">
      <c r="F72" s="83" t="str">
        <f t="shared" si="1"/>
        <v>SOLO 2024</v>
      </c>
      <c r="G72" s="79" t="str">
        <f t="shared" si="2"/>
        <v>36789 NUESTRA SEÑORA DEL CARMEN6 Primaria</v>
      </c>
      <c r="H72" s="82" t="str">
        <f t="array" ref="H72">IFERROR(DGET('PADD-R'!$B$1:$K953,'PADD-R'!$K$1,{'PADD-R'!$B$1;A72}),"NO PARTICIPÓ")</f>
        <v>SOLO 2024</v>
      </c>
    </row>
    <row r="73">
      <c r="F73" s="83" t="str">
        <f t="shared" si="1"/>
        <v>SOLO LINEA BASE</v>
      </c>
      <c r="G73" s="79" t="str">
        <f t="shared" si="2"/>
        <v>5013442 Primaria</v>
      </c>
      <c r="H73" s="82" t="str">
        <f t="array" ref="H73">IFERROR(DGET('PADD-R'!$B$1:$K953,'PADD-R'!$K$1,{'PADD-R'!$B$1;A73}),"NO PARTICIPÓ")</f>
        <v>SOLO 2024</v>
      </c>
    </row>
    <row r="74">
      <c r="F74" s="83" t="str">
        <f t="shared" si="1"/>
        <v>SOLO 2022 Y 2024</v>
      </c>
      <c r="G74" s="79" t="str">
        <f t="shared" si="2"/>
        <v>5013444 Primaria</v>
      </c>
      <c r="H74" s="82" t="str">
        <f t="array" ref="H74">IFERROR(DGET('PADD-R'!$B$1:$K953,'PADD-R'!$K$1,{'PADD-R'!$B$1;A74}),"NO PARTICIPÓ")</f>
        <v>SOLO 2024</v>
      </c>
    </row>
    <row r="75">
      <c r="F75" s="83" t="str">
        <f t="shared" si="1"/>
        <v>SOLO 2022 Y 2024</v>
      </c>
      <c r="G75" s="79" t="str">
        <f t="shared" si="2"/>
        <v>5013446 Primaria</v>
      </c>
      <c r="H75" s="82" t="str">
        <f t="array" ref="H75">IFERROR(DGET('PADD-R'!$B$1:$K953,'PADD-R'!$K$1,{'PADD-R'!$B$1;A75}),"NO PARTICIPÓ")</f>
        <v>SOLO 2024</v>
      </c>
    </row>
    <row r="76">
      <c r="F76" s="83" t="str">
        <f t="shared" si="1"/>
        <v>LOS 3 AÑOS</v>
      </c>
      <c r="G76" s="79" t="str">
        <f t="shared" si="2"/>
        <v>501432 PAPA FRANCISCO I2 Primaria</v>
      </c>
      <c r="H76" s="82" t="str">
        <f t="array" ref="H76">IFERROR(DGET('PADD-R'!$B$1:$K953,'PADD-R'!$K$1,{'PADD-R'!$B$1;A76}),"NO PARTICIPÓ")</f>
        <v>PADD 2023 Y 2024</v>
      </c>
    </row>
    <row r="77">
      <c r="F77" s="83" t="str">
        <f t="shared" si="1"/>
        <v>SOLO 2022 Y 2024</v>
      </c>
      <c r="G77" s="79" t="str">
        <f t="shared" si="2"/>
        <v>501432 PAPA FRANCISCO I2 Secundaria</v>
      </c>
      <c r="H77" s="82" t="str">
        <f t="array" ref="H77">IFERROR(DGET('PADD-R'!$B$1:$K953,'PADD-R'!$K$1,{'PADD-R'!$B$1;A77}),"NO PARTICIPÓ")</f>
        <v>PADD 2023 Y 2024</v>
      </c>
    </row>
    <row r="78">
      <c r="F78" s="83" t="str">
        <f t="shared" si="1"/>
        <v>LOS 3 AÑOS</v>
      </c>
      <c r="G78" s="79" t="str">
        <f t="shared" si="2"/>
        <v>501432 PAPA FRANCISCO I4 Primaria</v>
      </c>
      <c r="H78" s="82" t="str">
        <f t="array" ref="H78">IFERROR(DGET('PADD-R'!$B$1:$K953,'PADD-R'!$K$1,{'PADD-R'!$B$1;A78}),"NO PARTICIPÓ")</f>
        <v>PADD 2023 Y 2024</v>
      </c>
    </row>
    <row r="79">
      <c r="F79" s="83" t="str">
        <f t="shared" si="1"/>
        <v>SOLO 2024</v>
      </c>
      <c r="G79" s="79" t="str">
        <f t="shared" si="2"/>
        <v>501432 PAPA FRANCISCO I4 Secundaria</v>
      </c>
      <c r="H79" s="82" t="str">
        <f t="array" ref="H79">IFERROR(DGET('PADD-R'!$B$1:$K953,'PADD-R'!$K$1,{'PADD-R'!$B$1;A79}),"NO PARTICIPÓ")</f>
        <v>PADD 2023 Y 2024</v>
      </c>
    </row>
    <row r="80">
      <c r="F80" s="83" t="str">
        <f t="shared" si="1"/>
        <v>LOS 3 AÑOS</v>
      </c>
      <c r="G80" s="79" t="str">
        <f t="shared" si="2"/>
        <v>501432 PAPA FRANCISCO I6 Primaria</v>
      </c>
      <c r="H80" s="82" t="str">
        <f t="array" ref="H80">IFERROR(DGET('PADD-R'!$B$1:$K953,'PADD-R'!$K$1,{'PADD-R'!$B$1;A80}),"NO PARTICIPÓ")</f>
        <v>PADD 2023 Y 2024</v>
      </c>
    </row>
    <row r="81">
      <c r="F81" s="83" t="str">
        <f t="shared" si="1"/>
        <v>LOS 3 AÑOS</v>
      </c>
      <c r="G81" s="79" t="str">
        <f t="shared" si="2"/>
        <v>501455 CRISTO REY TTIKARIY2 Primaria</v>
      </c>
      <c r="H81" s="82" t="str">
        <f t="array" ref="H81">IFERROR(DGET('PADD-R'!$B$1:$K953,'PADD-R'!$K$1,{'PADD-R'!$B$1;A81}),"NO PARTICIPÓ")</f>
        <v>PADD 2023 Y 2024</v>
      </c>
    </row>
    <row r="82">
      <c r="F82" s="83" t="str">
        <f t="shared" si="1"/>
        <v>LOS 3 AÑOS</v>
      </c>
      <c r="G82" s="79" t="str">
        <f t="shared" si="2"/>
        <v>501455 CRISTO REY TTIKARIY4 Primaria</v>
      </c>
      <c r="H82" s="82" t="str">
        <f t="array" ref="H82">IFERROR(DGET('PADD-R'!$B$1:$K953,'PADD-R'!$K$1,{'PADD-R'!$B$1;A82}),"NO PARTICIPÓ")</f>
        <v>PADD 2023 Y 2024</v>
      </c>
    </row>
    <row r="83">
      <c r="F83" s="83" t="str">
        <f t="shared" si="1"/>
        <v>LOS 3 AÑOS</v>
      </c>
      <c r="G83" s="79" t="str">
        <f t="shared" si="2"/>
        <v>501455 CRISTO REY TTIKARIY6 Primaria</v>
      </c>
      <c r="H83" s="82" t="str">
        <f t="array" ref="H83">IFERROR(DGET('PADD-R'!$B$1:$K953,'PADD-R'!$K$1,{'PADD-R'!$B$1;A83}),"NO PARTICIPÓ")</f>
        <v>PADD 2023 Y 2024</v>
      </c>
    </row>
    <row r="84">
      <c r="F84" s="83" t="str">
        <f t="shared" si="1"/>
        <v>LOS 3 AÑOS</v>
      </c>
      <c r="G84" s="79" t="str">
        <f t="shared" si="2"/>
        <v>50492 CORAZON DE JESUS2 Primaria</v>
      </c>
      <c r="H84" s="82" t="str">
        <f t="array" ref="H84">IFERROR(DGET('PADD-R'!$B$1:$K953,'PADD-R'!$K$1,{'PADD-R'!$B$1;A84}),"NO PARTICIPÓ")</f>
        <v>PADD 2023 Y 2024</v>
      </c>
    </row>
    <row r="85">
      <c r="F85" s="83" t="str">
        <f t="shared" si="1"/>
        <v>LOS 3 AÑOS</v>
      </c>
      <c r="G85" s="79" t="str">
        <f t="shared" si="2"/>
        <v>50492 CORAZON DE JESUS4 Primaria</v>
      </c>
      <c r="H85" s="82" t="str">
        <f t="array" ref="H85">IFERROR(DGET('PADD-R'!$B$1:$K953,'PADD-R'!$K$1,{'PADD-R'!$B$1;A85}),"NO PARTICIPÓ")</f>
        <v>PADD 2023 Y 2024</v>
      </c>
    </row>
    <row r="86">
      <c r="F86" s="83" t="str">
        <f t="shared" si="1"/>
        <v>LOS 3 AÑOS</v>
      </c>
      <c r="G86" s="79" t="str">
        <f t="shared" si="2"/>
        <v>50492 CORAZON DE JESUS6 Primaria</v>
      </c>
      <c r="H86" s="82" t="str">
        <f t="array" ref="H86">IFERROR(DGET('PADD-R'!$B$1:$K953,'PADD-R'!$K$1,{'PADD-R'!$B$1;A86}),"NO PARTICIPÓ")</f>
        <v>PADD 2023 Y 2024</v>
      </c>
    </row>
    <row r="87">
      <c r="F87" s="83" t="str">
        <f t="shared" si="1"/>
        <v>LOS 3 AÑOS</v>
      </c>
      <c r="G87" s="79" t="str">
        <f t="shared" si="2"/>
        <v>504952 Primaria</v>
      </c>
      <c r="H87" s="82" t="str">
        <f t="array" ref="H87">IFERROR(DGET('PADD-R'!$B$1:$K953,'PADD-R'!$K$1,{'PADD-R'!$B$1;A87}),"NO PARTICIPÓ")</f>
        <v>SOLO 2023</v>
      </c>
    </row>
    <row r="88">
      <c r="F88" s="83" t="str">
        <f t="shared" si="1"/>
        <v>LOS 3 AÑOS</v>
      </c>
      <c r="G88" s="79" t="str">
        <f t="shared" si="2"/>
        <v>504954 Primaria</v>
      </c>
      <c r="H88" s="82" t="str">
        <f t="array" ref="H88">IFERROR(DGET('PADD-R'!$B$1:$K953,'PADD-R'!$K$1,{'PADD-R'!$B$1;A88}),"NO PARTICIPÓ")</f>
        <v>SOLO 2023</v>
      </c>
    </row>
    <row r="89">
      <c r="F89" s="83" t="str">
        <f t="shared" si="1"/>
        <v>LOS 3 AÑOS</v>
      </c>
      <c r="G89" s="79" t="str">
        <f t="shared" si="2"/>
        <v>504956 Primaria</v>
      </c>
      <c r="H89" s="82" t="str">
        <f t="array" ref="H89">IFERROR(DGET('PADD-R'!$B$1:$K953,'PADD-R'!$K$1,{'PADD-R'!$B$1;A89}),"NO PARTICIPÓ")</f>
        <v>SOLO 2023</v>
      </c>
    </row>
    <row r="90">
      <c r="F90" s="83" t="str">
        <f t="shared" si="1"/>
        <v>SOLO LINEA BASE</v>
      </c>
      <c r="G90" s="79" t="str">
        <f t="shared" si="2"/>
        <v>505042 Primaria</v>
      </c>
      <c r="H90" s="82" t="str">
        <f t="array" ref="H90">IFERROR(DGET('PADD-R'!$B$1:$K953,'PADD-R'!$K$1,{'PADD-R'!$B$1;A90}),"NO PARTICIPÓ")</f>
        <v>NO PARTICIPÓ</v>
      </c>
    </row>
    <row r="91">
      <c r="F91" s="83" t="str">
        <f t="shared" si="1"/>
        <v>SOLO LINEA BASE</v>
      </c>
      <c r="G91" s="79" t="str">
        <f t="shared" si="2"/>
        <v>505044 Primaria</v>
      </c>
      <c r="H91" s="82" t="str">
        <f t="array" ref="H91">IFERROR(DGET('PADD-R'!$B$1:$K953,'PADD-R'!$K$1,{'PADD-R'!$B$1;A91}),"NO PARTICIPÓ")</f>
        <v>NO PARTICIPÓ</v>
      </c>
    </row>
    <row r="92">
      <c r="F92" s="83" t="str">
        <f t="shared" si="1"/>
        <v>SOLO LINEA BASE</v>
      </c>
      <c r="G92" s="79" t="str">
        <f t="shared" si="2"/>
        <v>505352 Primaria</v>
      </c>
      <c r="H92" s="82" t="str">
        <f t="array" ref="H92">IFERROR(DGET('PADD-R'!$B$1:$K953,'PADD-R'!$K$1,{'PADD-R'!$B$1;A92}),"NO PARTICIPÓ")</f>
        <v>NO PARTICIPÓ</v>
      </c>
    </row>
    <row r="93">
      <c r="F93" s="83" t="str">
        <f t="shared" si="1"/>
        <v>SOLO LINEA BASE</v>
      </c>
      <c r="G93" s="79" t="str">
        <f t="shared" si="2"/>
        <v>505354 Primaria</v>
      </c>
      <c r="H93" s="82" t="str">
        <f t="array" ref="H93">IFERROR(DGET('PADD-R'!$B$1:$K953,'PADD-R'!$K$1,{'PADD-R'!$B$1;A93}),"NO PARTICIPÓ")</f>
        <v>NO PARTICIPÓ</v>
      </c>
    </row>
    <row r="94">
      <c r="F94" s="83" t="str">
        <f t="shared" si="1"/>
        <v>SOLO LINEA BASE</v>
      </c>
      <c r="G94" s="79" t="str">
        <f t="shared" si="2"/>
        <v>505356 Primaria</v>
      </c>
      <c r="H94" s="82" t="str">
        <f t="array" ref="H94">IFERROR(DGET('PADD-R'!$B$1:$K953,'PADD-R'!$K$1,{'PADD-R'!$B$1;A94}),"NO PARTICIPÓ")</f>
        <v>NO PARTICIPÓ</v>
      </c>
    </row>
    <row r="95">
      <c r="F95" s="83" t="str">
        <f t="shared" si="1"/>
        <v>SOLO LINEA BASE</v>
      </c>
      <c r="G95" s="79" t="str">
        <f t="shared" si="2"/>
        <v>505362 Primaria</v>
      </c>
      <c r="H95" s="82" t="str">
        <f t="array" ref="H95">IFERROR(DGET('PADD-R'!$B$1:$K953,'PADD-R'!$K$1,{'PADD-R'!$B$1;A95}),"NO PARTICIPÓ")</f>
        <v>NO PARTICIPÓ</v>
      </c>
    </row>
    <row r="96">
      <c r="F96" s="83" t="str">
        <f t="shared" si="1"/>
        <v>SOLO LINEA BASE</v>
      </c>
      <c r="G96" s="79" t="str">
        <f t="shared" si="2"/>
        <v>505364 Primaria</v>
      </c>
      <c r="H96" s="82" t="str">
        <f t="array" ref="H96">IFERROR(DGET('PADD-R'!$B$1:$K953,'PADD-R'!$K$1,{'PADD-R'!$B$1;A96}),"NO PARTICIPÓ")</f>
        <v>NO PARTICIPÓ</v>
      </c>
    </row>
    <row r="97">
      <c r="F97" s="83" t="str">
        <f t="shared" si="1"/>
        <v>SOLO LINEA BASE</v>
      </c>
      <c r="G97" s="79" t="str">
        <f t="shared" si="2"/>
        <v>505366 Primaria</v>
      </c>
      <c r="H97" s="82" t="str">
        <f t="array" ref="H97">IFERROR(DGET('PADD-R'!$B$1:$K953,'PADD-R'!$K$1,{'PADD-R'!$B$1;A97}),"NO PARTICIPÓ")</f>
        <v>NO PARTICIPÓ</v>
      </c>
    </row>
    <row r="98">
      <c r="F98" s="83" t="str">
        <f t="shared" si="1"/>
        <v>LOS 3 AÑOS</v>
      </c>
      <c r="G98" s="79" t="str">
        <f t="shared" si="2"/>
        <v>505472 Primaria</v>
      </c>
      <c r="H98" s="82" t="str">
        <f t="array" ref="H98">IFERROR(DGET('PADD-R'!$B$1:$K953,'PADD-R'!$K$1,{'PADD-R'!$B$1;A98}),"NO PARTICIPÓ")</f>
        <v>SOLO 2023</v>
      </c>
    </row>
    <row r="99">
      <c r="F99" s="83" t="str">
        <f t="shared" si="1"/>
        <v>LOS 3 AÑOS</v>
      </c>
      <c r="G99" s="79" t="str">
        <f t="shared" si="2"/>
        <v>505474 Primaria</v>
      </c>
      <c r="H99" s="82" t="str">
        <f t="array" ref="H99">IFERROR(DGET('PADD-R'!$B$1:$K953,'PADD-R'!$K$1,{'PADD-R'!$B$1;A99}),"NO PARTICIPÓ")</f>
        <v>SOLO 2023</v>
      </c>
    </row>
    <row r="100">
      <c r="F100" s="83" t="str">
        <f t="shared" si="1"/>
        <v>LOS 3 AÑOS</v>
      </c>
      <c r="G100" s="79" t="str">
        <f t="shared" si="2"/>
        <v>505476 Primaria</v>
      </c>
      <c r="H100" s="82" t="str">
        <f t="array" ref="H100">IFERROR(DGET('PADD-R'!$B$1:$K953,'PADD-R'!$K$1,{'PADD-R'!$B$1;A100}),"NO PARTICIPÓ")</f>
        <v>SOLO 2023</v>
      </c>
    </row>
    <row r="101">
      <c r="F101" s="83" t="str">
        <f t="shared" si="1"/>
        <v>LOS 3 AÑOS</v>
      </c>
      <c r="G101" s="79" t="str">
        <f t="shared" si="2"/>
        <v>505502 Primaria</v>
      </c>
      <c r="H101" s="82" t="str">
        <f t="array" ref="H101">IFERROR(DGET('PADD-R'!$B$1:$K953,'PADD-R'!$K$1,{'PADD-R'!$B$1;A101}),"NO PARTICIPÓ")</f>
        <v>PADD 2023 Y 2024</v>
      </c>
    </row>
    <row r="102">
      <c r="F102" s="83" t="str">
        <f t="shared" si="1"/>
        <v>LOS 3 AÑOS</v>
      </c>
      <c r="G102" s="79" t="str">
        <f t="shared" si="2"/>
        <v>505504 Primaria</v>
      </c>
      <c r="H102" s="82" t="str">
        <f t="array" ref="H102">IFERROR(DGET('PADD-R'!$B$1:$K953,'PADD-R'!$K$1,{'PADD-R'!$B$1;A102}),"NO PARTICIPÓ")</f>
        <v>PADD 2023 Y 2024</v>
      </c>
    </row>
    <row r="103">
      <c r="F103" s="83" t="str">
        <f t="shared" si="1"/>
        <v>LOS 3 AÑOS</v>
      </c>
      <c r="G103" s="79" t="str">
        <f t="shared" si="2"/>
        <v>505506 Primaria</v>
      </c>
      <c r="H103" s="82" t="str">
        <f t="array" ref="H103">IFERROR(DGET('PADD-R'!$B$1:$K953,'PADD-R'!$K$1,{'PADD-R'!$B$1;A103}),"NO PARTICIPÓ")</f>
        <v>PADD 2023 Y 2024</v>
      </c>
    </row>
    <row r="104">
      <c r="F104" s="83" t="str">
        <f t="shared" si="1"/>
        <v>SOLO 2022 Y 2024</v>
      </c>
      <c r="G104" s="79" t="str">
        <f t="shared" si="2"/>
        <v>50552 TUPAC AMARU II2 Primaria</v>
      </c>
      <c r="H104" s="82" t="str">
        <f t="array" ref="H104">IFERROR(DGET('PADD-R'!$B$1:$K953,'PADD-R'!$K$1,{'PADD-R'!$B$1;A104}),"NO PARTICIPÓ")</f>
        <v>SOLO 2024</v>
      </c>
    </row>
    <row r="105">
      <c r="F105" s="83" t="str">
        <f t="shared" si="1"/>
        <v>SOLO 2022 Y 2024</v>
      </c>
      <c r="G105" s="79" t="str">
        <f t="shared" si="2"/>
        <v>50552 TUPAC AMARU II4 Primaria</v>
      </c>
      <c r="H105" s="82" t="str">
        <f t="array" ref="H105">IFERROR(DGET('PADD-R'!$B$1:$K953,'PADD-R'!$K$1,{'PADD-R'!$B$1;A105}),"NO PARTICIPÓ")</f>
        <v>SOLO 2024</v>
      </c>
    </row>
    <row r="106">
      <c r="F106" s="83" t="str">
        <f t="shared" si="1"/>
        <v>SOLO 2022 Y 2024</v>
      </c>
      <c r="G106" s="79" t="str">
        <f t="shared" si="2"/>
        <v>50552 TUPAC AMARU II6 Primaria</v>
      </c>
      <c r="H106" s="82" t="str">
        <f t="array" ref="H106">IFERROR(DGET('PADD-R'!$B$1:$K953,'PADD-R'!$K$1,{'PADD-R'!$B$1;A106}),"NO PARTICIPÓ")</f>
        <v>SOLO 2024</v>
      </c>
    </row>
    <row r="107">
      <c r="F107" s="83" t="str">
        <f t="shared" si="1"/>
        <v>LOS 3 AÑOS</v>
      </c>
      <c r="G107" s="79" t="str">
        <f t="shared" si="2"/>
        <v>505532 Primaria</v>
      </c>
      <c r="H107" s="82" t="str">
        <f t="array" ref="H107">IFERROR(DGET('PADD-R'!$B$1:$K953,'PADD-R'!$K$1,{'PADD-R'!$B$1;A107}),"NO PARTICIPÓ")</f>
        <v>SOLO 2023</v>
      </c>
    </row>
    <row r="108">
      <c r="F108" s="83" t="str">
        <f t="shared" si="1"/>
        <v>LOS 3 AÑOS</v>
      </c>
      <c r="G108" s="79" t="str">
        <f t="shared" si="2"/>
        <v>505534 Primaria</v>
      </c>
      <c r="H108" s="82" t="str">
        <f t="array" ref="H108">IFERROR(DGET('PADD-R'!$B$1:$K953,'PADD-R'!$K$1,{'PADD-R'!$B$1;A108}),"NO PARTICIPÓ")</f>
        <v>SOLO 2023</v>
      </c>
    </row>
    <row r="109">
      <c r="F109" s="83" t="str">
        <f t="shared" si="1"/>
        <v>LOS 3 AÑOS</v>
      </c>
      <c r="G109" s="79" t="str">
        <f t="shared" si="2"/>
        <v>505536 Primaria</v>
      </c>
      <c r="H109" s="82" t="str">
        <f t="array" ref="H109">IFERROR(DGET('PADD-R'!$B$1:$K953,'PADD-R'!$K$1,{'PADD-R'!$B$1;A109}),"NO PARTICIPÓ")</f>
        <v>SOLO 2023</v>
      </c>
    </row>
    <row r="110">
      <c r="F110" s="83" t="str">
        <f t="shared" si="1"/>
        <v>SOLO LINEA BASE</v>
      </c>
      <c r="G110" s="79" t="str">
        <f t="shared" si="2"/>
        <v>505582 Primaria</v>
      </c>
      <c r="H110" s="82" t="str">
        <f t="array" ref="H110">IFERROR(DGET('PADD-R'!$B$1:$K953,'PADD-R'!$K$1,{'PADD-R'!$B$1;A110}),"NO PARTICIPÓ")</f>
        <v>SOLO 2024</v>
      </c>
    </row>
    <row r="111">
      <c r="F111" s="83" t="str">
        <f t="shared" si="1"/>
        <v>SOLO 2022 Y 2024</v>
      </c>
      <c r="G111" s="79" t="str">
        <f t="shared" si="2"/>
        <v>505584 Primaria</v>
      </c>
      <c r="H111" s="82" t="str">
        <f t="array" ref="H111">IFERROR(DGET('PADD-R'!$B$1:$K953,'PADD-R'!$K$1,{'PADD-R'!$B$1;A111}),"NO PARTICIPÓ")</f>
        <v>SOLO 2024</v>
      </c>
    </row>
    <row r="112">
      <c r="F112" s="83" t="str">
        <f t="shared" si="1"/>
        <v>SOLO 2022 Y 2024</v>
      </c>
      <c r="G112" s="79" t="str">
        <f t="shared" si="2"/>
        <v>505586 Primaria</v>
      </c>
      <c r="H112" s="82" t="str">
        <f t="array" ref="H112">IFERROR(DGET('PADD-R'!$B$1:$K953,'PADD-R'!$K$1,{'PADD-R'!$B$1;A112}),"NO PARTICIPÓ")</f>
        <v>SOLO 2024</v>
      </c>
    </row>
    <row r="113">
      <c r="F113" s="83" t="str">
        <f t="shared" si="1"/>
        <v>2023 Y 2024</v>
      </c>
      <c r="G113" s="79" t="str">
        <f t="shared" si="2"/>
        <v>50696 YANACANCHA2 Primaria</v>
      </c>
      <c r="H113" s="82" t="str">
        <f t="array" ref="H113">IFERROR(DGET('PADD-R'!$B$1:$K953,'PADD-R'!$K$1,{'PADD-R'!$B$1;A113}),"NO PARTICIPÓ")</f>
        <v>NO PARTICIPÓ</v>
      </c>
    </row>
    <row r="114">
      <c r="F114" s="83" t="str">
        <f t="shared" si="1"/>
        <v>2023 Y 2024</v>
      </c>
      <c r="G114" s="79" t="str">
        <f t="shared" si="2"/>
        <v>50696 YANACANCHA4 Primaria</v>
      </c>
      <c r="H114" s="82" t="str">
        <f t="array" ref="H114">IFERROR(DGET('PADD-R'!$B$1:$K953,'PADD-R'!$K$1,{'PADD-R'!$B$1;A114}),"NO PARTICIPÓ")</f>
        <v>NO PARTICIPÓ</v>
      </c>
    </row>
    <row r="115">
      <c r="F115" s="83" t="str">
        <f t="shared" si="1"/>
        <v>2023 Y 2024</v>
      </c>
      <c r="G115" s="79" t="str">
        <f t="shared" si="2"/>
        <v>50696 YANACANCHA6 Primaria</v>
      </c>
      <c r="H115" s="82" t="str">
        <f t="array" ref="H115">IFERROR(DGET('PADD-R'!$B$1:$K953,'PADD-R'!$K$1,{'PADD-R'!$B$1;A115}),"NO PARTICIPÓ")</f>
        <v>NO PARTICIPÓ</v>
      </c>
    </row>
    <row r="116">
      <c r="F116" s="83" t="str">
        <f t="shared" si="1"/>
        <v>LOS 3 AÑOS</v>
      </c>
      <c r="G116" s="79" t="str">
        <f t="shared" si="2"/>
        <v>507152 Primaria</v>
      </c>
      <c r="H116" s="82" t="str">
        <f t="array" ref="H116">IFERROR(DGET('PADD-R'!$B$1:$K953,'PADD-R'!$K$1,{'PADD-R'!$B$1;A116}),"NO PARTICIPÓ")</f>
        <v>SOLO 2023</v>
      </c>
    </row>
    <row r="117">
      <c r="F117" s="83" t="str">
        <f t="shared" si="1"/>
        <v>LOS 3 AÑOS</v>
      </c>
      <c r="G117" s="79" t="str">
        <f t="shared" si="2"/>
        <v>507154 Primaria</v>
      </c>
      <c r="H117" s="82" t="str">
        <f t="array" ref="H117">IFERROR(DGET('PADD-R'!$B$1:$K953,'PADD-R'!$K$1,{'PADD-R'!$B$1;A117}),"NO PARTICIPÓ")</f>
        <v>SOLO 2023</v>
      </c>
    </row>
    <row r="118">
      <c r="F118" s="83" t="str">
        <f t="shared" si="1"/>
        <v>LOS 3 AÑOS</v>
      </c>
      <c r="G118" s="79" t="str">
        <f t="shared" si="2"/>
        <v>507156 Primaria</v>
      </c>
      <c r="H118" s="82" t="str">
        <f t="array" ref="H118">IFERROR(DGET('PADD-R'!$B$1:$K953,'PADD-R'!$K$1,{'PADD-R'!$B$1;A118}),"NO PARTICIPÓ")</f>
        <v>SOLO 2023</v>
      </c>
    </row>
    <row r="119">
      <c r="F119" s="83" t="str">
        <f t="shared" si="1"/>
        <v>SOLO 2022 Y 2024</v>
      </c>
      <c r="G119" s="79" t="str">
        <f t="shared" si="2"/>
        <v>50719 VIRGEN DEL CARMEN2 Primaria</v>
      </c>
      <c r="H119" s="82" t="str">
        <f t="array" ref="H119">IFERROR(DGET('PADD-R'!$B$1:$K953,'PADD-R'!$K$1,{'PADD-R'!$B$1;A119}),"NO PARTICIPÓ")</f>
        <v>SOLO 2024</v>
      </c>
    </row>
    <row r="120">
      <c r="F120" s="83" t="str">
        <f t="shared" si="1"/>
        <v>SOLO 2022 Y 2024</v>
      </c>
      <c r="G120" s="79" t="str">
        <f t="shared" si="2"/>
        <v>50719 VIRGEN DEL CARMEN4 Primaria</v>
      </c>
      <c r="H120" s="82" t="str">
        <f t="array" ref="H120">IFERROR(DGET('PADD-R'!$B$1:$K953,'PADD-R'!$K$1,{'PADD-R'!$B$1;A120}),"NO PARTICIPÓ")</f>
        <v>SOLO 2024</v>
      </c>
    </row>
    <row r="121">
      <c r="F121" s="83" t="str">
        <f t="shared" si="1"/>
        <v>SOLO 2022 Y 2024</v>
      </c>
      <c r="G121" s="79" t="str">
        <f t="shared" si="2"/>
        <v>50719 VIRGEN DEL CARMEN6 Primaria</v>
      </c>
      <c r="H121" s="82" t="str">
        <f t="array" ref="H121">IFERROR(DGET('PADD-R'!$B$1:$K953,'PADD-R'!$K$1,{'PADD-R'!$B$1;A121}),"NO PARTICIPÓ")</f>
        <v>SOLO 2024</v>
      </c>
    </row>
    <row r="122">
      <c r="F122" s="83" t="str">
        <f t="shared" si="1"/>
        <v>LOS 3 AÑOS</v>
      </c>
      <c r="G122" s="79" t="str">
        <f t="shared" si="2"/>
        <v>507652 Primaria</v>
      </c>
      <c r="H122" s="82" t="str">
        <f t="array" ref="H122">IFERROR(DGET('PADD-R'!$B$1:$K953,'PADD-R'!$K$1,{'PADD-R'!$B$1;A122}),"NO PARTICIPÓ")</f>
        <v>SOLO 2023</v>
      </c>
    </row>
    <row r="123">
      <c r="F123" s="83" t="str">
        <f t="shared" si="1"/>
        <v>LOS 3 AÑOS</v>
      </c>
      <c r="G123" s="79" t="str">
        <f t="shared" si="2"/>
        <v>507654 Primaria</v>
      </c>
      <c r="H123" s="82" t="str">
        <f t="array" ref="H123">IFERROR(DGET('PADD-R'!$B$1:$K953,'PADD-R'!$K$1,{'PADD-R'!$B$1;A123}),"NO PARTICIPÓ")</f>
        <v>SOLO 2023</v>
      </c>
    </row>
    <row r="124">
      <c r="F124" s="83" t="str">
        <f t="shared" si="1"/>
        <v>LOS 3 AÑOS</v>
      </c>
      <c r="G124" s="79" t="str">
        <f t="shared" si="2"/>
        <v>507656 Primaria</v>
      </c>
      <c r="H124" s="82" t="str">
        <f t="array" ref="H124">IFERROR(DGET('PADD-R'!$B$1:$K953,'PADD-R'!$K$1,{'PADD-R'!$B$1;A124}),"NO PARTICIPÓ")</f>
        <v>SOLO 2023</v>
      </c>
    </row>
    <row r="125">
      <c r="F125" s="83" t="str">
        <f t="shared" si="1"/>
        <v>SOLO LINEA BASE</v>
      </c>
      <c r="G125" s="79" t="str">
        <f t="shared" si="2"/>
        <v>507962 Primaria</v>
      </c>
      <c r="H125" s="82" t="str">
        <f t="array" ref="H125">IFERROR(DGET('PADD-R'!$B$1:$K953,'PADD-R'!$K$1,{'PADD-R'!$B$1;A125}),"NO PARTICIPÓ")</f>
        <v>SOLO 2023</v>
      </c>
    </row>
    <row r="126">
      <c r="F126" s="83" t="str">
        <f t="shared" si="1"/>
        <v>SOLO LINEA BASE</v>
      </c>
      <c r="G126" s="79" t="str">
        <f t="shared" si="2"/>
        <v>507964 Primaria</v>
      </c>
      <c r="H126" s="82" t="str">
        <f t="array" ref="H126">IFERROR(DGET('PADD-R'!$B$1:$K953,'PADD-R'!$K$1,{'PADD-R'!$B$1;A126}),"NO PARTICIPÓ")</f>
        <v>SOLO 2023</v>
      </c>
    </row>
    <row r="127">
      <c r="F127" s="83" t="str">
        <f t="shared" si="1"/>
        <v>SOLO LINEA BASE</v>
      </c>
      <c r="G127" s="79" t="str">
        <f t="shared" si="2"/>
        <v>507966 Primaria</v>
      </c>
      <c r="H127" s="82" t="str">
        <f t="array" ref="H127">IFERROR(DGET('PADD-R'!$B$1:$K953,'PADD-R'!$K$1,{'PADD-R'!$B$1;A127}),"NO PARTICIPÓ")</f>
        <v>SOLO 2023</v>
      </c>
    </row>
    <row r="128">
      <c r="F128" s="83" t="str">
        <f t="shared" si="1"/>
        <v>SOLO 2024</v>
      </c>
      <c r="G128" s="79" t="str">
        <f t="shared" si="2"/>
        <v>508542 Primaria</v>
      </c>
      <c r="H128" s="82" t="str">
        <f t="array" ref="H128">IFERROR(DGET('PADD-R'!$B$1:$K953,'PADD-R'!$K$1,{'PADD-R'!$B$1;A128}),"NO PARTICIPÓ")</f>
        <v>SOLO 2024</v>
      </c>
    </row>
    <row r="129">
      <c r="F129" s="83" t="str">
        <f t="shared" si="1"/>
        <v>SOLO 2022 Y 2024</v>
      </c>
      <c r="G129" s="79" t="str">
        <f t="shared" si="2"/>
        <v>508544 Primaria</v>
      </c>
      <c r="H129" s="82" t="str">
        <f t="array" ref="H129">IFERROR(DGET('PADD-R'!$B$1:$K953,'PADD-R'!$K$1,{'PADD-R'!$B$1;A129}),"NO PARTICIPÓ")</f>
        <v>SOLO 2024</v>
      </c>
    </row>
    <row r="130">
      <c r="F130" s="83" t="str">
        <f t="shared" si="1"/>
        <v>SOLO 2022 Y 2024</v>
      </c>
      <c r="G130" s="79" t="str">
        <f t="shared" si="2"/>
        <v>508546 Primaria</v>
      </c>
      <c r="H130" s="82" t="str">
        <f t="array" ref="H130">IFERROR(DGET('PADD-R'!$B$1:$K953,'PADD-R'!$K$1,{'PADD-R'!$B$1;A130}),"NO PARTICIPÓ")</f>
        <v>SOLO 2024</v>
      </c>
    </row>
    <row r="131">
      <c r="F131" s="83" t="str">
        <f t="shared" si="1"/>
        <v>SOLO LINEA BASE</v>
      </c>
      <c r="G131" s="79" t="str">
        <f t="shared" si="2"/>
        <v>509122 Primaria</v>
      </c>
      <c r="H131" s="82" t="str">
        <f t="array" ref="H131">IFERROR(DGET('PADD-R'!$B$1:$K953,'PADD-R'!$K$1,{'PADD-R'!$B$1;A131}),"NO PARTICIPÓ")</f>
        <v>NO PARTICIPÓ</v>
      </c>
    </row>
    <row r="132">
      <c r="F132" s="83" t="str">
        <f t="shared" si="1"/>
        <v>SOLO LINEA BASE</v>
      </c>
      <c r="G132" s="79" t="str">
        <f t="shared" si="2"/>
        <v>509124 Primaria</v>
      </c>
      <c r="H132" s="82" t="str">
        <f t="array" ref="H132">IFERROR(DGET('PADD-R'!$B$1:$K953,'PADD-R'!$K$1,{'PADD-R'!$B$1;A132}),"NO PARTICIPÓ")</f>
        <v>NO PARTICIPÓ</v>
      </c>
    </row>
    <row r="133">
      <c r="F133" s="83" t="str">
        <f t="shared" si="1"/>
        <v>SOLO LINEA BASE</v>
      </c>
      <c r="G133" s="79" t="str">
        <f t="shared" si="2"/>
        <v>509126 Primaria</v>
      </c>
      <c r="H133" s="82" t="str">
        <f t="array" ref="H133">IFERROR(DGET('PADD-R'!$B$1:$K953,'PADD-R'!$K$1,{'PADD-R'!$B$1;A133}),"NO PARTICIPÓ")</f>
        <v>NO PARTICIPÓ</v>
      </c>
    </row>
    <row r="134">
      <c r="F134" s="83" t="str">
        <f t="shared" si="1"/>
        <v>SOLO LINEA BASE</v>
      </c>
      <c r="G134" s="79" t="str">
        <f t="shared" si="2"/>
        <v>509762 Primaria</v>
      </c>
      <c r="H134" s="82" t="str">
        <f t="array" ref="H134">IFERROR(DGET('PADD-R'!$B$1:$K953,'PADD-R'!$K$1,{'PADD-R'!$B$1;A134}),"NO PARTICIPÓ")</f>
        <v>NO PARTICIPÓ</v>
      </c>
    </row>
    <row r="135">
      <c r="F135" s="83" t="str">
        <f t="shared" si="1"/>
        <v>SOLO LINEA BASE</v>
      </c>
      <c r="G135" s="79" t="str">
        <f t="shared" si="2"/>
        <v>509764 Primaria</v>
      </c>
      <c r="H135" s="82" t="str">
        <f t="array" ref="H135">IFERROR(DGET('PADD-R'!$B$1:$K953,'PADD-R'!$K$1,{'PADD-R'!$B$1;A135}),"NO PARTICIPÓ")</f>
        <v>NO PARTICIPÓ</v>
      </c>
    </row>
    <row r="136">
      <c r="F136" s="83" t="str">
        <f t="shared" si="1"/>
        <v>SOLO LINEA BASE</v>
      </c>
      <c r="G136" s="79" t="str">
        <f t="shared" si="2"/>
        <v>509766 Primaria</v>
      </c>
      <c r="H136" s="82" t="str">
        <f t="array" ref="H136">IFERROR(DGET('PADD-R'!$B$1:$K953,'PADD-R'!$K$1,{'PADD-R'!$B$1;A136}),"NO PARTICIPÓ")</f>
        <v>NO PARTICIPÓ</v>
      </c>
    </row>
    <row r="137">
      <c r="F137" s="83" t="str">
        <f t="shared" si="1"/>
        <v>LOS 3 AÑOS</v>
      </c>
      <c r="G137" s="79" t="str">
        <f t="shared" si="2"/>
        <v>509772 Primaria</v>
      </c>
      <c r="H137" s="82" t="str">
        <f t="array" ref="H137">IFERROR(DGET('PADD-R'!$B$1:$K953,'PADD-R'!$K$1,{'PADD-R'!$B$1;A137}),"NO PARTICIPÓ")</f>
        <v>SOLO 2023</v>
      </c>
    </row>
    <row r="138">
      <c r="F138" s="83" t="str">
        <f t="shared" si="1"/>
        <v>LOS 3 AÑOS</v>
      </c>
      <c r="G138" s="79" t="str">
        <f t="shared" si="2"/>
        <v>509774 Primaria</v>
      </c>
      <c r="H138" s="82" t="str">
        <f t="array" ref="H138">IFERROR(DGET('PADD-R'!$B$1:$K953,'PADD-R'!$K$1,{'PADD-R'!$B$1;A138}),"NO PARTICIPÓ")</f>
        <v>SOLO 2023</v>
      </c>
    </row>
    <row r="139">
      <c r="F139" s="83" t="str">
        <f t="shared" si="1"/>
        <v>LOS 3 AÑOS</v>
      </c>
      <c r="G139" s="79" t="str">
        <f t="shared" si="2"/>
        <v>509776 Primaria</v>
      </c>
      <c r="H139" s="82" t="str">
        <f t="array" ref="H139">IFERROR(DGET('PADD-R'!$B$1:$K953,'PADD-R'!$K$1,{'PADD-R'!$B$1;A139}),"NO PARTICIPÓ")</f>
        <v>SOLO 2023</v>
      </c>
    </row>
    <row r="140">
      <c r="F140" s="83" t="str">
        <f t="shared" si="1"/>
        <v>SOLO 2024</v>
      </c>
      <c r="G140" s="79" t="str">
        <f t="shared" si="2"/>
        <v>60101022 Primaria</v>
      </c>
      <c r="H140" s="82" t="str">
        <f t="array" ref="H140">IFERROR(DGET('PADD-R'!$B$1:$K953,'PADD-R'!$K$1,{'PADD-R'!$B$1;A140}),"NO PARTICIPÓ")</f>
        <v>SOLO 2024</v>
      </c>
    </row>
    <row r="141">
      <c r="F141" s="83" t="str">
        <f t="shared" si="1"/>
        <v>SOLO 2024</v>
      </c>
      <c r="G141" s="79" t="str">
        <f t="shared" si="2"/>
        <v>60101024 Primaria</v>
      </c>
      <c r="H141" s="82" t="str">
        <f t="array" ref="H141">IFERROR(DGET('PADD-R'!$B$1:$K953,'PADD-R'!$K$1,{'PADD-R'!$B$1;A141}),"NO PARTICIPÓ")</f>
        <v>SOLO 2024</v>
      </c>
    </row>
    <row r="142">
      <c r="F142" s="83" t="str">
        <f t="shared" si="1"/>
        <v>SOLO 2024</v>
      </c>
      <c r="G142" s="79" t="str">
        <f t="shared" si="2"/>
        <v>60101026 Primaria</v>
      </c>
      <c r="H142" s="82" t="str">
        <f t="array" ref="H142">IFERROR(DGET('PADD-R'!$B$1:$K953,'PADD-R'!$K$1,{'PADD-R'!$B$1;A142}),"NO PARTICIPÓ")</f>
        <v>SOLO 2024</v>
      </c>
    </row>
    <row r="143">
      <c r="F143" s="83" t="str">
        <f t="shared" si="1"/>
        <v>SOLO 2024</v>
      </c>
      <c r="G143" s="79" t="str">
        <f t="shared" si="2"/>
        <v>60101782 Primaria</v>
      </c>
      <c r="H143" s="82" t="str">
        <f t="array" ref="H143">IFERROR(DGET('PADD-R'!$B$1:$K953,'PADD-R'!$K$1,{'PADD-R'!$B$1;A143}),"NO PARTICIPÓ")</f>
        <v>SOLO 2024</v>
      </c>
    </row>
    <row r="144">
      <c r="F144" s="83" t="str">
        <f t="shared" si="1"/>
        <v>SOLO 2024</v>
      </c>
      <c r="G144" s="79" t="str">
        <f t="shared" si="2"/>
        <v>60101786 Primaria</v>
      </c>
      <c r="H144" s="82" t="str">
        <f t="array" ref="H144">IFERROR(DGET('PADD-R'!$B$1:$K953,'PADD-R'!$K$1,{'PADD-R'!$B$1;A144}),"NO PARTICIPÓ")</f>
        <v>SOLO 2024</v>
      </c>
    </row>
    <row r="145">
      <c r="F145" s="83" t="str">
        <f t="shared" si="1"/>
        <v>SOLO LINEA BASE</v>
      </c>
      <c r="G145" s="79" t="str">
        <f t="shared" si="2"/>
        <v>6010230 BARBARA D'ACHILLE1 Primaria</v>
      </c>
      <c r="H145" s="82" t="str">
        <f t="array" ref="H145">IFERROR(DGET('PADD-R'!$B$1:$K953,'PADD-R'!$K$1,{'PADD-R'!$B$1;A145}),"NO PARTICIPÓ")</f>
        <v>PADD 2023 Y 2024</v>
      </c>
    </row>
    <row r="146">
      <c r="F146" s="83" t="str">
        <f t="shared" si="1"/>
        <v>LOS 3 AÑOS</v>
      </c>
      <c r="G146" s="79" t="str">
        <f t="shared" si="2"/>
        <v>6010230 BARBARA D'ACHILLE2 Primaria</v>
      </c>
      <c r="H146" s="82" t="str">
        <f t="array" ref="H146">IFERROR(DGET('PADD-R'!$B$1:$K953,'PADD-R'!$K$1,{'PADD-R'!$B$1;A146}),"NO PARTICIPÓ")</f>
        <v>PADD 2023 Y 2024</v>
      </c>
    </row>
    <row r="147">
      <c r="F147" s="83" t="str">
        <f t="shared" si="1"/>
        <v>LOS 3 AÑOS</v>
      </c>
      <c r="G147" s="79" t="str">
        <f t="shared" si="2"/>
        <v>6010230 BARBARA D'ACHILLE2 Secundaria</v>
      </c>
      <c r="H147" s="82" t="str">
        <f t="array" ref="H147">IFERROR(DGET('PADD-R'!$B$1:$K953,'PADD-R'!$K$1,{'PADD-R'!$B$1;A147}),"NO PARTICIPÓ")</f>
        <v>PADD 2023 Y 2024</v>
      </c>
    </row>
    <row r="148">
      <c r="F148" s="83" t="str">
        <f t="shared" si="1"/>
        <v>LOS 3 AÑOS</v>
      </c>
      <c r="G148" s="79" t="str">
        <f t="shared" si="2"/>
        <v>6010230 BARBARA D'ACHILLE4 Primaria</v>
      </c>
      <c r="H148" s="82" t="str">
        <f t="array" ref="H148">IFERROR(DGET('PADD-R'!$B$1:$K953,'PADD-R'!$K$1,{'PADD-R'!$B$1;A148}),"NO PARTICIPÓ")</f>
        <v>PADD 2023 Y 2024</v>
      </c>
    </row>
    <row r="149">
      <c r="F149" s="83" t="str">
        <f t="shared" si="1"/>
        <v>LOS 3 AÑOS</v>
      </c>
      <c r="G149" s="79" t="str">
        <f t="shared" si="2"/>
        <v>6010230 BARBARA D'ACHILLE4 Secundaria</v>
      </c>
      <c r="H149" s="82" t="str">
        <f t="array" ref="H149">IFERROR(DGET('PADD-R'!$B$1:$K953,'PADD-R'!$K$1,{'PADD-R'!$B$1;A149}),"NO PARTICIPÓ")</f>
        <v>PADD 2023 Y 2024</v>
      </c>
    </row>
    <row r="150">
      <c r="F150" s="83" t="str">
        <f t="shared" si="1"/>
        <v>LOS 3 AÑOS</v>
      </c>
      <c r="G150" s="79" t="str">
        <f t="shared" si="2"/>
        <v>6010230 BARBARA D'ACHILLE6 Primaria</v>
      </c>
      <c r="H150" s="82" t="str">
        <f t="array" ref="H150">IFERROR(DGET('PADD-R'!$B$1:$K953,'PADD-R'!$K$1,{'PADD-R'!$B$1;A150}),"NO PARTICIPÓ")</f>
        <v>PADD 2023 Y 2024</v>
      </c>
    </row>
    <row r="151">
      <c r="F151" s="83" t="str">
        <f t="shared" si="1"/>
        <v>SOLO 2024</v>
      </c>
      <c r="G151" s="79" t="str">
        <f t="shared" si="2"/>
        <v>60102312 Primaria</v>
      </c>
      <c r="H151" s="82" t="str">
        <f t="array" ref="H151">IFERROR(DGET('PADD-R'!$B$1:$K953,'PADD-R'!$K$1,{'PADD-R'!$B$1;A151}),"NO PARTICIPÓ")</f>
        <v>SOLO 2024</v>
      </c>
    </row>
    <row r="152">
      <c r="F152" s="83" t="str">
        <f t="shared" si="1"/>
        <v>SOLO 2024</v>
      </c>
      <c r="G152" s="79" t="str">
        <f t="shared" si="2"/>
        <v>60102312 Secundaria</v>
      </c>
      <c r="H152" s="82" t="str">
        <f t="array" ref="H152">IFERROR(DGET('PADD-R'!$B$1:$K953,'PADD-R'!$K$1,{'PADD-R'!$B$1;A152}),"NO PARTICIPÓ")</f>
        <v>SOLO 2024</v>
      </c>
    </row>
    <row r="153">
      <c r="F153" s="83" t="str">
        <f t="shared" si="1"/>
        <v>SOLO 2024</v>
      </c>
      <c r="G153" s="79" t="str">
        <f t="shared" si="2"/>
        <v>60102314 Primaria</v>
      </c>
      <c r="H153" s="82" t="str">
        <f t="array" ref="H153">IFERROR(DGET('PADD-R'!$B$1:$K953,'PADD-R'!$K$1,{'PADD-R'!$B$1;A153}),"NO PARTICIPÓ")</f>
        <v>SOLO 2024</v>
      </c>
    </row>
    <row r="154">
      <c r="F154" s="83" t="str">
        <f t="shared" si="1"/>
        <v>SOLO 2024</v>
      </c>
      <c r="G154" s="79" t="str">
        <f t="shared" si="2"/>
        <v>60102314 Secundaria</v>
      </c>
      <c r="H154" s="82" t="str">
        <f t="array" ref="H154">IFERROR(DGET('PADD-R'!$B$1:$K953,'PADD-R'!$K$1,{'PADD-R'!$B$1;A154}),"NO PARTICIPÓ")</f>
        <v>SOLO 2024</v>
      </c>
    </row>
    <row r="155">
      <c r="F155" s="83" t="str">
        <f t="shared" si="1"/>
        <v>SOLO 2024</v>
      </c>
      <c r="G155" s="79" t="str">
        <f t="shared" si="2"/>
        <v>60102316 Primaria</v>
      </c>
      <c r="H155" s="82" t="str">
        <f t="array" ref="H155">IFERROR(DGET('PADD-R'!$B$1:$K953,'PADD-R'!$K$1,{'PADD-R'!$B$1;A155}),"NO PARTICIPÓ")</f>
        <v>SOLO 2024</v>
      </c>
    </row>
    <row r="156">
      <c r="F156" s="83" t="str">
        <f t="shared" si="1"/>
        <v>SOLO LINEA BASE</v>
      </c>
      <c r="G156" s="79" t="str">
        <f t="shared" si="2"/>
        <v>601331 Primaria</v>
      </c>
      <c r="H156" s="82" t="str">
        <f t="array" ref="H156">IFERROR(DGET('PADD-R'!$B$1:$K953,'PADD-R'!$K$1,{'PADD-R'!$B$1;A156}),"NO PARTICIPÓ")</f>
        <v>PADD 2023 Y 2024</v>
      </c>
    </row>
    <row r="157">
      <c r="F157" s="83" t="str">
        <f t="shared" si="1"/>
        <v>LOS 3 AÑOS</v>
      </c>
      <c r="G157" s="79" t="str">
        <f t="shared" si="2"/>
        <v>601332 Primaria</v>
      </c>
      <c r="H157" s="82" t="str">
        <f t="array" ref="H157">IFERROR(DGET('PADD-R'!$B$1:$K953,'PADD-R'!$K$1,{'PADD-R'!$B$1;A157}),"NO PARTICIPÓ")</f>
        <v>PADD 2023 Y 2024</v>
      </c>
    </row>
    <row r="158">
      <c r="F158" s="83" t="str">
        <f t="shared" si="1"/>
        <v>LOS 3 AÑOS</v>
      </c>
      <c r="G158" s="79" t="str">
        <f t="shared" si="2"/>
        <v>601332 Secundaria</v>
      </c>
      <c r="H158" s="82" t="str">
        <f t="array" ref="H158">IFERROR(DGET('PADD-R'!$B$1:$K953,'PADD-R'!$K$1,{'PADD-R'!$B$1;A158}),"NO PARTICIPÓ")</f>
        <v>PADD 2023 Y 2024</v>
      </c>
    </row>
    <row r="159">
      <c r="F159" s="83" t="str">
        <f t="shared" si="1"/>
        <v>LOS 3 AÑOS</v>
      </c>
      <c r="G159" s="79" t="str">
        <f t="shared" si="2"/>
        <v>601334 Primaria</v>
      </c>
      <c r="H159" s="82" t="str">
        <f t="array" ref="H159">IFERROR(DGET('PADD-R'!$B$1:$K953,'PADD-R'!$K$1,{'PADD-R'!$B$1;A159}),"NO PARTICIPÓ")</f>
        <v>PADD 2023 Y 2024</v>
      </c>
    </row>
    <row r="160">
      <c r="F160" s="83" t="str">
        <f t="shared" si="1"/>
        <v>LOS 3 AÑOS</v>
      </c>
      <c r="G160" s="79" t="str">
        <f t="shared" si="2"/>
        <v>601334 Secundaria</v>
      </c>
      <c r="H160" s="82" t="str">
        <f t="array" ref="H160">IFERROR(DGET('PADD-R'!$B$1:$K953,'PADD-R'!$K$1,{'PADD-R'!$B$1;A160}),"NO PARTICIPÓ")</f>
        <v>PADD 2023 Y 2024</v>
      </c>
    </row>
    <row r="161">
      <c r="F161" s="83" t="str">
        <f t="shared" si="1"/>
        <v>LOS 3 AÑOS</v>
      </c>
      <c r="G161" s="79" t="str">
        <f t="shared" si="2"/>
        <v>601336 Primaria</v>
      </c>
      <c r="H161" s="82" t="str">
        <f t="array" ref="H161">IFERROR(DGET('PADD-R'!$B$1:$K953,'PADD-R'!$K$1,{'PADD-R'!$B$1;A161}),"NO PARTICIPÓ")</f>
        <v>PADD 2023 Y 2024</v>
      </c>
    </row>
    <row r="162">
      <c r="F162" s="83" t="str">
        <f t="shared" si="1"/>
        <v>SOLO LINEA BASE</v>
      </c>
      <c r="G162" s="79" t="str">
        <f t="shared" si="2"/>
        <v>6013311 Primaria</v>
      </c>
      <c r="H162" s="82" t="str">
        <f t="array" ref="H162">IFERROR(DGET('PADD-R'!$B$1:$K953,'PADD-R'!$K$1,{'PADD-R'!$B$1;A162}),"NO PARTICIPÓ")</f>
        <v>SOLO 2023</v>
      </c>
    </row>
    <row r="163">
      <c r="F163" s="83" t="str">
        <f t="shared" si="1"/>
        <v>LOS 3 AÑOS</v>
      </c>
      <c r="G163" s="79" t="str">
        <f t="shared" si="2"/>
        <v>6013312 Primaria</v>
      </c>
      <c r="H163" s="82" t="str">
        <f t="array" ref="H163">IFERROR(DGET('PADD-R'!$B$1:$K953,'PADD-R'!$K$1,{'PADD-R'!$B$1;A163}),"NO PARTICIPÓ")</f>
        <v>SOLO 2023</v>
      </c>
    </row>
    <row r="164">
      <c r="F164" s="83" t="str">
        <f t="shared" si="1"/>
        <v>LOS 3 AÑOS</v>
      </c>
      <c r="G164" s="79" t="str">
        <f t="shared" si="2"/>
        <v>6013312 Secundaria</v>
      </c>
      <c r="H164" s="82" t="str">
        <f t="array" ref="H164">IFERROR(DGET('PADD-R'!$B$1:$K953,'PADD-R'!$K$1,{'PADD-R'!$B$1;A164}),"NO PARTICIPÓ")</f>
        <v>SOLO 2023</v>
      </c>
    </row>
    <row r="165">
      <c r="F165" s="83" t="str">
        <f t="shared" si="1"/>
        <v>LOS 3 AÑOS</v>
      </c>
      <c r="G165" s="79" t="str">
        <f t="shared" si="2"/>
        <v>6013314 Primaria</v>
      </c>
      <c r="H165" s="82" t="str">
        <f t="array" ref="H165">IFERROR(DGET('PADD-R'!$B$1:$K953,'PADD-R'!$K$1,{'PADD-R'!$B$1;A165}),"NO PARTICIPÓ")</f>
        <v>SOLO 2023</v>
      </c>
    </row>
    <row r="166">
      <c r="F166" s="83" t="str">
        <f t="shared" si="1"/>
        <v>LOS 3 AÑOS</v>
      </c>
      <c r="G166" s="79" t="str">
        <f t="shared" si="2"/>
        <v>6013314 Secundaria</v>
      </c>
      <c r="H166" s="82" t="str">
        <f t="array" ref="H166">IFERROR(DGET('PADD-R'!$B$1:$K953,'PADD-R'!$K$1,{'PADD-R'!$B$1;A166}),"NO PARTICIPÓ")</f>
        <v>SOLO 2023</v>
      </c>
    </row>
    <row r="167">
      <c r="F167" s="83" t="str">
        <f t="shared" si="1"/>
        <v>LOS 3 AÑOS</v>
      </c>
      <c r="G167" s="79" t="str">
        <f t="shared" si="2"/>
        <v>6013316 Primaria</v>
      </c>
      <c r="H167" s="82" t="str">
        <f t="array" ref="H167">IFERROR(DGET('PADD-R'!$B$1:$K953,'PADD-R'!$K$1,{'PADD-R'!$B$1;A167}),"NO PARTICIPÓ")</f>
        <v>SOLO 2023</v>
      </c>
    </row>
    <row r="168">
      <c r="F168" s="83" t="str">
        <f t="shared" si="1"/>
        <v>SOLO 2024</v>
      </c>
      <c r="G168" s="79" t="str">
        <f t="shared" si="2"/>
        <v>601362 Primaria</v>
      </c>
      <c r="H168" s="82" t="str">
        <f t="array" ref="H168">IFERROR(DGET('PADD-R'!$B$1:$K953,'PADD-R'!$K$1,{'PADD-R'!$B$1;A168}),"NO PARTICIPÓ")</f>
        <v>SOLO 2024</v>
      </c>
    </row>
    <row r="169">
      <c r="F169" s="83" t="str">
        <f t="shared" si="1"/>
        <v>SOLO 2024</v>
      </c>
      <c r="G169" s="79" t="str">
        <f t="shared" si="2"/>
        <v>601364 Primaria</v>
      </c>
      <c r="H169" s="82" t="str">
        <f t="array" ref="H169">IFERROR(DGET('PADD-R'!$B$1:$K953,'PADD-R'!$K$1,{'PADD-R'!$B$1;A169}),"NO PARTICIPÓ")</f>
        <v>SOLO 2024</v>
      </c>
    </row>
    <row r="170">
      <c r="F170" s="83" t="str">
        <f t="shared" si="1"/>
        <v>SOLO 2024</v>
      </c>
      <c r="G170" s="79" t="str">
        <f t="shared" si="2"/>
        <v>601366 Primaria</v>
      </c>
      <c r="H170" s="82" t="str">
        <f t="array" ref="H170">IFERROR(DGET('PADD-R'!$B$1:$K953,'PADD-R'!$K$1,{'PADD-R'!$B$1;A170}),"NO PARTICIPÓ")</f>
        <v>SOLO 2024</v>
      </c>
    </row>
    <row r="171">
      <c r="F171" s="83" t="str">
        <f t="shared" si="1"/>
        <v>SOLO 2024</v>
      </c>
      <c r="G171" s="79" t="str">
        <f t="shared" si="2"/>
        <v>6013912 Primaria</v>
      </c>
      <c r="H171" s="82" t="str">
        <f t="array" ref="H171">IFERROR(DGET('PADD-R'!$B$1:$K953,'PADD-R'!$K$1,{'PADD-R'!$B$1;A171}),"NO PARTICIPÓ")</f>
        <v>SOLO 2024</v>
      </c>
    </row>
    <row r="172">
      <c r="F172" s="83" t="str">
        <f t="shared" si="1"/>
        <v>SOLO 2024</v>
      </c>
      <c r="G172" s="79" t="str">
        <f t="shared" si="2"/>
        <v>6013916 Primaria</v>
      </c>
      <c r="H172" s="82" t="str">
        <f t="array" ref="H172">IFERROR(DGET('PADD-R'!$B$1:$K953,'PADD-R'!$K$1,{'PADD-R'!$B$1;A172}),"NO PARTICIPÓ")</f>
        <v>SOLO 2024</v>
      </c>
    </row>
    <row r="173">
      <c r="F173" s="83" t="str">
        <f t="shared" si="1"/>
        <v>SOLO 2024</v>
      </c>
      <c r="G173" s="79" t="str">
        <f t="shared" si="2"/>
        <v>6014442 Primaria</v>
      </c>
      <c r="H173" s="82" t="str">
        <f t="array" ref="H173">IFERROR(DGET('PADD-R'!$B$1:$K953,'PADD-R'!$K$1,{'PADD-R'!$B$1;A173}),"NO PARTICIPÓ")</f>
        <v>SOLO 2024</v>
      </c>
    </row>
    <row r="174">
      <c r="F174" s="83" t="str">
        <f t="shared" si="1"/>
        <v>SOLO 2024</v>
      </c>
      <c r="G174" s="79" t="str">
        <f t="shared" si="2"/>
        <v>6014444 Primaria</v>
      </c>
      <c r="H174" s="82" t="str">
        <f t="array" ref="H174">IFERROR(DGET('PADD-R'!$B$1:$K953,'PADD-R'!$K$1,{'PADD-R'!$B$1;A174}),"NO PARTICIPÓ")</f>
        <v>SOLO 2024</v>
      </c>
    </row>
    <row r="175">
      <c r="F175" s="83" t="str">
        <f t="shared" si="1"/>
        <v>SOLO 2024</v>
      </c>
      <c r="G175" s="79" t="str">
        <f t="shared" si="2"/>
        <v>6014446 Primaria</v>
      </c>
      <c r="H175" s="82" t="str">
        <f t="array" ref="H175">IFERROR(DGET('PADD-R'!$B$1:$K953,'PADD-R'!$K$1,{'PADD-R'!$B$1;A175}),"NO PARTICIPÓ")</f>
        <v>SOLO 2024</v>
      </c>
    </row>
    <row r="176">
      <c r="F176" s="83" t="str">
        <f t="shared" si="1"/>
        <v>SOLO LINEA BASE</v>
      </c>
      <c r="G176" s="79" t="str">
        <f t="shared" si="2"/>
        <v>6014481 Primaria</v>
      </c>
      <c r="H176" s="82" t="str">
        <f t="array" ref="H176">IFERROR(DGET('PADD-R'!$B$1:$K953,'PADD-R'!$K$1,{'PADD-R'!$B$1;A176}),"NO PARTICIPÓ")</f>
        <v>PADD 2023 Y 2024</v>
      </c>
    </row>
    <row r="177">
      <c r="F177" s="83" t="str">
        <f t="shared" si="1"/>
        <v>LOS 3 AÑOS</v>
      </c>
      <c r="G177" s="79" t="str">
        <f t="shared" si="2"/>
        <v>6014482 Primaria</v>
      </c>
      <c r="H177" s="82" t="str">
        <f t="array" ref="H177">IFERROR(DGET('PADD-R'!$B$1:$K953,'PADD-R'!$K$1,{'PADD-R'!$B$1;A177}),"NO PARTICIPÓ")</f>
        <v>PADD 2023 Y 2024</v>
      </c>
    </row>
    <row r="178">
      <c r="F178" s="83" t="str">
        <f t="shared" si="1"/>
        <v>LOS 3 AÑOS</v>
      </c>
      <c r="G178" s="79" t="str">
        <f t="shared" si="2"/>
        <v>6014484 Primaria</v>
      </c>
      <c r="H178" s="82" t="str">
        <f t="array" ref="H178">IFERROR(DGET('PADD-R'!$B$1:$K953,'PADD-R'!$K$1,{'PADD-R'!$B$1;A178}),"NO PARTICIPÓ")</f>
        <v>PADD 2023 Y 2024</v>
      </c>
    </row>
    <row r="179">
      <c r="F179" s="83" t="str">
        <f t="shared" si="1"/>
        <v>LOS 3 AÑOS</v>
      </c>
      <c r="G179" s="79" t="str">
        <f t="shared" si="2"/>
        <v>6014486 Primaria</v>
      </c>
      <c r="H179" s="82" t="str">
        <f t="array" ref="H179">IFERROR(DGET('PADD-R'!$B$1:$K953,'PADD-R'!$K$1,{'PADD-R'!$B$1;A179}),"NO PARTICIPÓ")</f>
        <v>PADD 2023 Y 2024</v>
      </c>
    </row>
    <row r="180">
      <c r="F180" s="83" t="str">
        <f t="shared" si="1"/>
        <v>SOLO 2024</v>
      </c>
      <c r="G180" s="79" t="str">
        <f t="shared" si="2"/>
        <v>6015114 Primaria</v>
      </c>
      <c r="H180" s="82" t="str">
        <f t="array" ref="H180">IFERROR(DGET('PADD-R'!$B$1:$K953,'PADD-R'!$K$1,{'PADD-R'!$B$1;A180}),"NO PARTICIPÓ")</f>
        <v>SOLO 2024</v>
      </c>
    </row>
    <row r="181">
      <c r="F181" s="83" t="str">
        <f t="shared" si="1"/>
        <v>SOLO 2024</v>
      </c>
      <c r="G181" s="79" t="str">
        <f t="shared" si="2"/>
        <v>6015116 Primaria</v>
      </c>
      <c r="H181" s="82" t="str">
        <f t="array" ref="H181">IFERROR(DGET('PADD-R'!$B$1:$K953,'PADD-R'!$K$1,{'PADD-R'!$B$1;A181}),"NO PARTICIPÓ")</f>
        <v>SOLO 2024</v>
      </c>
    </row>
    <row r="182">
      <c r="F182" s="83" t="str">
        <f t="shared" si="1"/>
        <v>2023 Y 2024</v>
      </c>
      <c r="G182" s="79" t="str">
        <f t="shared" si="2"/>
        <v>6015142 Primaria</v>
      </c>
      <c r="H182" s="82" t="str">
        <f t="array" ref="H182">IFERROR(DGET('PADD-R'!$B$1:$K953,'PADD-R'!$K$1,{'PADD-R'!$B$1;A182}),"NO PARTICIPÓ")</f>
        <v>SOLO 2023</v>
      </c>
    </row>
    <row r="183">
      <c r="F183" s="83" t="str">
        <f t="shared" si="1"/>
        <v>2023 Y 2024</v>
      </c>
      <c r="G183" s="79" t="str">
        <f t="shared" si="2"/>
        <v>6015144 Primaria</v>
      </c>
      <c r="H183" s="82" t="str">
        <f t="array" ref="H183">IFERROR(DGET('PADD-R'!$B$1:$K953,'PADD-R'!$K$1,{'PADD-R'!$B$1;A183}),"NO PARTICIPÓ")</f>
        <v>SOLO 2023</v>
      </c>
    </row>
    <row r="184">
      <c r="F184" s="83" t="str">
        <f t="shared" si="1"/>
        <v>2023 Y 2024</v>
      </c>
      <c r="G184" s="79" t="str">
        <f t="shared" si="2"/>
        <v>6015146 Primaria</v>
      </c>
      <c r="H184" s="82" t="str">
        <f t="array" ref="H184">IFERROR(DGET('PADD-R'!$B$1:$K953,'PADD-R'!$K$1,{'PADD-R'!$B$1;A184}),"NO PARTICIPÓ")</f>
        <v>SOLO 2023</v>
      </c>
    </row>
    <row r="185">
      <c r="F185" s="83" t="str">
        <f t="shared" si="1"/>
        <v>SOLO 2024</v>
      </c>
      <c r="G185" s="79" t="str">
        <f t="shared" si="2"/>
        <v>6015632 Primaria</v>
      </c>
      <c r="H185" s="82" t="str">
        <f t="array" ref="H185">IFERROR(DGET('PADD-R'!$B$1:$K953,'PADD-R'!$K$1,{'PADD-R'!$B$1;A185}),"NO PARTICIPÓ")</f>
        <v>SOLO 2024</v>
      </c>
    </row>
    <row r="186">
      <c r="F186" s="83" t="str">
        <f t="shared" si="1"/>
        <v>SOLO 2024</v>
      </c>
      <c r="G186" s="79" t="str">
        <f t="shared" si="2"/>
        <v>6015634 Primaria</v>
      </c>
      <c r="H186" s="82" t="str">
        <f t="array" ref="H186">IFERROR(DGET('PADD-R'!$B$1:$K953,'PADD-R'!$K$1,{'PADD-R'!$B$1;A186}),"NO PARTICIPÓ")</f>
        <v>SOLO 2024</v>
      </c>
    </row>
    <row r="187">
      <c r="F187" s="83" t="str">
        <f t="shared" si="1"/>
        <v>SOLO 2024</v>
      </c>
      <c r="G187" s="79" t="str">
        <f t="shared" si="2"/>
        <v>6015636 Primaria</v>
      </c>
      <c r="H187" s="82" t="str">
        <f t="array" ref="H187">IFERROR(DGET('PADD-R'!$B$1:$K953,'PADD-R'!$K$1,{'PADD-R'!$B$1;A187}),"NO PARTICIPÓ")</f>
        <v>SOLO 2024</v>
      </c>
    </row>
    <row r="188">
      <c r="F188" s="83" t="str">
        <f t="shared" si="1"/>
        <v>SOLO 2024</v>
      </c>
      <c r="G188" s="79" t="str">
        <f t="shared" si="2"/>
        <v>6015702 Primaria</v>
      </c>
      <c r="H188" s="82" t="str">
        <f t="array" ref="H188">IFERROR(DGET('PADD-R'!$B$1:$K953,'PADD-R'!$K$1,{'PADD-R'!$B$1;A188}),"NO PARTICIPÓ")</f>
        <v>SOLO 2024</v>
      </c>
    </row>
    <row r="189">
      <c r="F189" s="83" t="str">
        <f t="shared" si="1"/>
        <v>SOLO 2024</v>
      </c>
      <c r="G189" s="79" t="str">
        <f t="shared" si="2"/>
        <v>6015706 Primaria</v>
      </c>
      <c r="H189" s="82" t="str">
        <f t="array" ref="H189">IFERROR(DGET('PADD-R'!$B$1:$K953,'PADD-R'!$K$1,{'PADD-R'!$B$1;A189}),"NO PARTICIPÓ")</f>
        <v>SOLO 2024</v>
      </c>
    </row>
    <row r="190">
      <c r="F190" s="83" t="str">
        <f t="shared" si="1"/>
        <v>SOLO 2024</v>
      </c>
      <c r="G190" s="79" t="str">
        <f t="shared" si="2"/>
        <v>6015712 Primaria</v>
      </c>
      <c r="H190" s="82" t="str">
        <f t="array" ref="H190">IFERROR(DGET('PADD-R'!$B$1:$K953,'PADD-R'!$K$1,{'PADD-R'!$B$1;A190}),"NO PARTICIPÓ")</f>
        <v>SOLO 2024</v>
      </c>
    </row>
    <row r="191">
      <c r="F191" s="83" t="str">
        <f t="shared" si="1"/>
        <v>SOLO 2024</v>
      </c>
      <c r="G191" s="79" t="str">
        <f t="shared" si="2"/>
        <v>6015714 Primaria</v>
      </c>
      <c r="H191" s="82" t="str">
        <f t="array" ref="H191">IFERROR(DGET('PADD-R'!$B$1:$K953,'PADD-R'!$K$1,{'PADD-R'!$B$1;A191}),"NO PARTICIPÓ")</f>
        <v>SOLO 2024</v>
      </c>
    </row>
    <row r="192">
      <c r="F192" s="83" t="str">
        <f t="shared" si="1"/>
        <v>SOLO 2024</v>
      </c>
      <c r="G192" s="79" t="str">
        <f t="shared" si="2"/>
        <v>6015716 Primaria</v>
      </c>
      <c r="H192" s="82" t="str">
        <f t="array" ref="H192">IFERROR(DGET('PADD-R'!$B$1:$K953,'PADD-R'!$K$1,{'PADD-R'!$B$1;A192}),"NO PARTICIPÓ")</f>
        <v>SOLO 2024</v>
      </c>
    </row>
    <row r="193">
      <c r="F193" s="83" t="str">
        <f t="shared" si="1"/>
        <v>SOLO 2024</v>
      </c>
      <c r="G193" s="79" t="str">
        <f t="shared" si="2"/>
        <v>6015806 Primaria</v>
      </c>
      <c r="H193" s="82" t="str">
        <f t="array" ref="H193">IFERROR(DGET('PADD-R'!$B$1:$K953,'PADD-R'!$K$1,{'PADD-R'!$B$1;A193}),"NO PARTICIPÓ")</f>
        <v>SOLO 2024</v>
      </c>
    </row>
    <row r="194">
      <c r="F194" s="83" t="str">
        <f t="shared" si="1"/>
        <v>SOLO 2024</v>
      </c>
      <c r="G194" s="79" t="str">
        <f t="shared" si="2"/>
        <v>6016142 Primaria</v>
      </c>
      <c r="H194" s="82" t="str">
        <f t="array" ref="H194">IFERROR(DGET('PADD-R'!$B$1:$K953,'PADD-R'!$K$1,{'PADD-R'!$B$1;A194}),"NO PARTICIPÓ")</f>
        <v>PADD 2023 Y 2024</v>
      </c>
    </row>
    <row r="195">
      <c r="F195" s="83" t="str">
        <f t="shared" si="1"/>
        <v>2023 Y 2024</v>
      </c>
      <c r="G195" s="79" t="str">
        <f t="shared" si="2"/>
        <v>6016144 Primaria</v>
      </c>
      <c r="H195" s="82" t="str">
        <f t="array" ref="H195">IFERROR(DGET('PADD-R'!$B$1:$K953,'PADD-R'!$K$1,{'PADD-R'!$B$1;A195}),"NO PARTICIPÓ")</f>
        <v>PADD 2023 Y 2024</v>
      </c>
    </row>
    <row r="196">
      <c r="F196" s="83" t="str">
        <f t="shared" si="1"/>
        <v>SOLO 2023</v>
      </c>
      <c r="G196" s="79" t="str">
        <f t="shared" si="2"/>
        <v>6016146 Primaria</v>
      </c>
      <c r="H196" s="82" t="str">
        <f t="array" ref="H196">IFERROR(DGET('PADD-R'!$B$1:$K953,'PADD-R'!$K$1,{'PADD-R'!$B$1;A196}),"NO PARTICIPÓ")</f>
        <v>PADD 2023 Y 2024</v>
      </c>
    </row>
    <row r="197">
      <c r="F197" s="83" t="str">
        <f t="shared" si="1"/>
        <v>SOLO 2024</v>
      </c>
      <c r="G197" s="79" t="str">
        <f t="shared" si="2"/>
        <v>6016784 Primaria</v>
      </c>
      <c r="H197" s="82" t="str">
        <f t="array" ref="H197">IFERROR(DGET('PADD-R'!$B$1:$K953,'PADD-R'!$K$1,{'PADD-R'!$B$1;A197}),"NO PARTICIPÓ")</f>
        <v>SOLO 2024</v>
      </c>
    </row>
    <row r="198">
      <c r="F198" s="83" t="str">
        <f t="shared" si="1"/>
        <v>SOLO 2024</v>
      </c>
      <c r="G198" s="79" t="str">
        <f t="shared" si="2"/>
        <v>6016786 Primaria</v>
      </c>
      <c r="H198" s="82" t="str">
        <f t="array" ref="H198">IFERROR(DGET('PADD-R'!$B$1:$K953,'PADD-R'!$K$1,{'PADD-R'!$B$1;A198}),"NO PARTICIPÓ")</f>
        <v>SOLO 2024</v>
      </c>
    </row>
    <row r="199">
      <c r="F199" s="83" t="str">
        <f t="shared" si="1"/>
        <v>SOLO 2024</v>
      </c>
      <c r="G199" s="79" t="str">
        <f t="shared" si="2"/>
        <v>601812 Primaria</v>
      </c>
      <c r="H199" s="82" t="str">
        <f t="array" ref="H199">IFERROR(DGET('PADD-R'!$B$1:$K953,'PADD-R'!$K$1,{'PADD-R'!$B$1;A199}),"NO PARTICIPÓ")</f>
        <v>SOLO 2024</v>
      </c>
    </row>
    <row r="200">
      <c r="F200" s="83" t="str">
        <f t="shared" si="1"/>
        <v>SOLO LINEA BASE</v>
      </c>
      <c r="G200" s="79" t="str">
        <f t="shared" si="2"/>
        <v>640281 Primaria</v>
      </c>
      <c r="H200" s="82" t="str">
        <f t="array" ref="H200">IFERROR(DGET('PADD-R'!$B$1:$K953,'PADD-R'!$K$1,{'PADD-R'!$B$1;A200}),"NO PARTICIPÓ")</f>
        <v>PADD 2023 Y 2024</v>
      </c>
    </row>
    <row r="201">
      <c r="F201" s="83" t="str">
        <f t="shared" si="1"/>
        <v>LOS 3 AÑOS</v>
      </c>
      <c r="G201" s="79" t="str">
        <f t="shared" si="2"/>
        <v>640282 Primaria</v>
      </c>
      <c r="H201" s="82" t="str">
        <f t="array" ref="H201">IFERROR(DGET('PADD-R'!$B$1:$K953,'PADD-R'!$K$1,{'PADD-R'!$B$1;A201}),"NO PARTICIPÓ")</f>
        <v>PADD 2023 Y 2024</v>
      </c>
    </row>
    <row r="202">
      <c r="F202" s="83" t="str">
        <f t="shared" si="1"/>
        <v>LOS 3 AÑOS</v>
      </c>
      <c r="G202" s="79" t="str">
        <f t="shared" si="2"/>
        <v>640284 Primaria</v>
      </c>
      <c r="H202" s="82" t="str">
        <f t="array" ref="H202">IFERROR(DGET('PADD-R'!$B$1:$K953,'PADD-R'!$K$1,{'PADD-R'!$B$1;A202}),"NO PARTICIPÓ")</f>
        <v>PADD 2023 Y 2024</v>
      </c>
    </row>
    <row r="203">
      <c r="F203" s="83" t="str">
        <f t="shared" si="1"/>
        <v>SOLO 2022 Y 2024</v>
      </c>
      <c r="G203" s="79" t="str">
        <f t="shared" si="2"/>
        <v>640286 Primaria</v>
      </c>
      <c r="H203" s="82" t="str">
        <f t="array" ref="H203">IFERROR(DGET('PADD-R'!$B$1:$K953,'PADD-R'!$K$1,{'PADD-R'!$B$1;A203}),"NO PARTICIPÓ")</f>
        <v>PADD 2023 Y 2024</v>
      </c>
    </row>
    <row r="204">
      <c r="F204" s="83" t="str">
        <f t="shared" si="1"/>
        <v>SOLO 2024</v>
      </c>
      <c r="G204" s="79" t="str">
        <f t="shared" si="2"/>
        <v>640482 Primaria</v>
      </c>
      <c r="H204" s="82" t="str">
        <f t="array" ref="H204">IFERROR(DGET('PADD-R'!$B$1:$K953,'PADD-R'!$K$1,{'PADD-R'!$B$1;A204}),"NO PARTICIPÓ")</f>
        <v>SOLO 2024</v>
      </c>
    </row>
    <row r="205">
      <c r="F205" s="83" t="str">
        <f t="shared" si="1"/>
        <v>SOLO 2022 Y 2024</v>
      </c>
      <c r="G205" s="79" t="str">
        <f t="shared" si="2"/>
        <v>640484 Primaria</v>
      </c>
      <c r="H205" s="82" t="str">
        <f t="array" ref="H205">IFERROR(DGET('PADD-R'!$B$1:$K953,'PADD-R'!$K$1,{'PADD-R'!$B$1;A205}),"NO PARTICIPÓ")</f>
        <v>SOLO 2024</v>
      </c>
    </row>
    <row r="206">
      <c r="F206" s="83" t="str">
        <f t="shared" si="1"/>
        <v>SOLO 2022 Y 2024</v>
      </c>
      <c r="G206" s="79" t="str">
        <f t="shared" si="2"/>
        <v>640486 Primaria</v>
      </c>
      <c r="H206" s="82" t="str">
        <f t="array" ref="H206">IFERROR(DGET('PADD-R'!$B$1:$K953,'PADD-R'!$K$1,{'PADD-R'!$B$1;A206}),"NO PARTICIPÓ")</f>
        <v>SOLO 2024</v>
      </c>
    </row>
    <row r="207">
      <c r="F207" s="83" t="str">
        <f t="shared" si="1"/>
        <v>SOLO LINEA BASE</v>
      </c>
      <c r="G207" s="79" t="str">
        <f t="shared" si="2"/>
        <v>641151 Primaria</v>
      </c>
      <c r="H207" s="82" t="str">
        <f t="array" ref="H207">IFERROR(DGET('PADD-R'!$B$1:$K953,'PADD-R'!$K$1,{'PADD-R'!$B$1;A207}),"NO PARTICIPÓ")</f>
        <v>SOLO 2023</v>
      </c>
    </row>
    <row r="208">
      <c r="F208" s="83" t="str">
        <f t="shared" si="1"/>
        <v>SOLO 2022 Y 2024</v>
      </c>
      <c r="G208" s="79" t="str">
        <f t="shared" si="2"/>
        <v>641152 Primaria</v>
      </c>
      <c r="H208" s="82" t="str">
        <f t="array" ref="H208">IFERROR(DGET('PADD-R'!$B$1:$K953,'PADD-R'!$K$1,{'PADD-R'!$B$1;A208}),"NO PARTICIPÓ")</f>
        <v>SOLO 2023</v>
      </c>
    </row>
    <row r="209">
      <c r="F209" s="83" t="str">
        <f t="shared" si="1"/>
        <v>SOLO 2022 Y 2024</v>
      </c>
      <c r="G209" s="79" t="str">
        <f t="shared" si="2"/>
        <v>641154 Primaria</v>
      </c>
      <c r="H209" s="82" t="str">
        <f t="array" ref="H209">IFERROR(DGET('PADD-R'!$B$1:$K953,'PADD-R'!$K$1,{'PADD-R'!$B$1;A209}),"NO PARTICIPÓ")</f>
        <v>SOLO 2023</v>
      </c>
    </row>
    <row r="210">
      <c r="F210" s="83" t="str">
        <f t="shared" si="1"/>
        <v>SOLO 2022 Y 2024</v>
      </c>
      <c r="G210" s="79" t="str">
        <f t="shared" si="2"/>
        <v>641156 Primaria</v>
      </c>
      <c r="H210" s="82" t="str">
        <f t="array" ref="H210">IFERROR(DGET('PADD-R'!$B$1:$K953,'PADD-R'!$K$1,{'PADD-R'!$B$1;A210}),"NO PARTICIPÓ")</f>
        <v>SOLO 2023</v>
      </c>
    </row>
    <row r="211">
      <c r="F211" s="83" t="str">
        <f t="shared" si="1"/>
        <v>SOLO 2023</v>
      </c>
      <c r="G211" s="79" t="str">
        <f t="shared" si="2"/>
        <v>641552 Primaria</v>
      </c>
      <c r="H211" s="82" t="str">
        <f t="array" ref="H211">IFERROR(DGET('PADD-R'!$B$1:$K953,'PADD-R'!$K$1,{'PADD-R'!$B$1;A211}),"NO PARTICIPÓ")</f>
        <v>NO PARTICIPÓ</v>
      </c>
    </row>
    <row r="212">
      <c r="F212" s="83" t="str">
        <f t="shared" si="1"/>
        <v>LOS 3 AÑOS</v>
      </c>
      <c r="G212" s="79" t="str">
        <f t="shared" si="2"/>
        <v>643462 Primaria</v>
      </c>
      <c r="H212" s="82" t="str">
        <f t="array" ref="H212">IFERROR(DGET('PADD-R'!$B$1:$K953,'PADD-R'!$K$1,{'PADD-R'!$B$1;A212}),"NO PARTICIPÓ")</f>
        <v>SOLO 2023</v>
      </c>
    </row>
    <row r="213">
      <c r="F213" s="83" t="str">
        <f t="shared" si="1"/>
        <v>SOLO 2022 Y 2024</v>
      </c>
      <c r="G213" s="79" t="str">
        <f t="shared" si="2"/>
        <v>643464 Primaria</v>
      </c>
      <c r="H213" s="82" t="str">
        <f t="array" ref="H213">IFERROR(DGET('PADD-R'!$B$1:$K953,'PADD-R'!$K$1,{'PADD-R'!$B$1;A213}),"NO PARTICIPÓ")</f>
        <v>SOLO 2023</v>
      </c>
    </row>
    <row r="214">
      <c r="F214" s="83" t="str">
        <f t="shared" si="1"/>
        <v>LOS 3 AÑOS</v>
      </c>
      <c r="G214" s="79" t="str">
        <f t="shared" si="2"/>
        <v>643466 Primaria</v>
      </c>
      <c r="H214" s="82" t="str">
        <f t="array" ref="H214">IFERROR(DGET('PADD-R'!$B$1:$K953,'PADD-R'!$K$1,{'PADD-R'!$B$1;A214}),"NO PARTICIPÓ")</f>
        <v>SOLO 2023</v>
      </c>
    </row>
    <row r="215">
      <c r="F215" s="83" t="str">
        <f t="shared" si="1"/>
        <v>SOLO 2024</v>
      </c>
      <c r="G215" s="79" t="str">
        <f t="shared" si="2"/>
        <v>64508-B2 Primaria</v>
      </c>
      <c r="H215" s="82" t="str">
        <f t="array" ref="H215">IFERROR(DGET('PADD-R'!$B$1:$K953,'PADD-R'!$K$1,{'PADD-R'!$B$1;A215}),"NO PARTICIPÓ")</f>
        <v>PADD 2023 Y 2024</v>
      </c>
    </row>
    <row r="216">
      <c r="F216" s="83" t="str">
        <f t="shared" si="1"/>
        <v>SOLO 2024</v>
      </c>
      <c r="G216" s="79" t="str">
        <f t="shared" si="2"/>
        <v>64508-B4 Primaria</v>
      </c>
      <c r="H216" s="82" t="str">
        <f t="array" ref="H216">IFERROR(DGET('PADD-R'!$B$1:$K953,'PADD-R'!$K$1,{'PADD-R'!$B$1;A216}),"NO PARTICIPÓ")</f>
        <v>PADD 2023 Y 2024</v>
      </c>
    </row>
    <row r="217">
      <c r="F217" s="83" t="str">
        <f t="shared" si="1"/>
        <v>SOLO 2024</v>
      </c>
      <c r="G217" s="79" t="str">
        <f t="shared" si="2"/>
        <v>64508-B6 Primaria</v>
      </c>
      <c r="H217" s="82" t="str">
        <f t="array" ref="H217">IFERROR(DGET('PADD-R'!$B$1:$K953,'PADD-R'!$K$1,{'PADD-R'!$B$1;A217}),"NO PARTICIPÓ")</f>
        <v>PADD 2023 Y 2024</v>
      </c>
    </row>
    <row r="218">
      <c r="F218" s="83" t="str">
        <f t="shared" si="1"/>
        <v>SOLO 2024</v>
      </c>
      <c r="G218" s="79" t="str">
        <f t="shared" si="2"/>
        <v>64545-B2 Primaria</v>
      </c>
      <c r="H218" s="82" t="str">
        <f t="array" ref="H218">IFERROR(DGET('PADD-R'!$B$1:$K953,'PADD-R'!$K$1,{'PADD-R'!$B$1;A218}),"NO PARTICIPÓ")</f>
        <v>SOLO 2024</v>
      </c>
    </row>
    <row r="219">
      <c r="F219" s="83" t="str">
        <f t="shared" si="1"/>
        <v>SOLO 2024</v>
      </c>
      <c r="G219" s="79" t="str">
        <f t="shared" si="2"/>
        <v>64545-B4 Primaria</v>
      </c>
      <c r="H219" s="82" t="str">
        <f t="array" ref="H219">IFERROR(DGET('PADD-R'!$B$1:$K953,'PADD-R'!$K$1,{'PADD-R'!$B$1;A219}),"NO PARTICIPÓ")</f>
        <v>SOLO 2024</v>
      </c>
    </row>
    <row r="220">
      <c r="F220" s="83" t="str">
        <f t="shared" si="1"/>
        <v>SOLO 2024</v>
      </c>
      <c r="G220" s="79" t="str">
        <f t="shared" si="2"/>
        <v>64545-B6 Primaria</v>
      </c>
      <c r="H220" s="82" t="str">
        <f t="array" ref="H220">IFERROR(DGET('PADD-R'!$B$1:$K953,'PADD-R'!$K$1,{'PADD-R'!$B$1;A220}),"NO PARTICIPÓ")</f>
        <v>SOLO 2024</v>
      </c>
    </row>
    <row r="221">
      <c r="F221" s="83" t="str">
        <f t="shared" si="1"/>
        <v>SOLO 2024</v>
      </c>
      <c r="G221" s="79" t="str">
        <f t="shared" si="2"/>
        <v>646412 Primaria</v>
      </c>
      <c r="H221" s="82" t="str">
        <f t="array" ref="H221">IFERROR(DGET('PADD-R'!$B$1:$K953,'PADD-R'!$K$1,{'PADD-R'!$B$1;A221}),"NO PARTICIPÓ")</f>
        <v>SOLO 2023</v>
      </c>
    </row>
    <row r="222">
      <c r="F222" s="83" t="str">
        <f t="shared" si="1"/>
        <v>2023 Y 2024</v>
      </c>
      <c r="G222" s="79" t="str">
        <f t="shared" si="2"/>
        <v>646414 Primaria</v>
      </c>
      <c r="H222" s="82" t="str">
        <f t="array" ref="H222">IFERROR(DGET('PADD-R'!$B$1:$K953,'PADD-R'!$K$1,{'PADD-R'!$B$1;A222}),"NO PARTICIPÓ")</f>
        <v>SOLO 2023</v>
      </c>
    </row>
    <row r="223">
      <c r="F223" s="83" t="str">
        <f t="shared" si="1"/>
        <v>SOLO 2023</v>
      </c>
      <c r="G223" s="79" t="str">
        <f t="shared" si="2"/>
        <v>646416 Primaria</v>
      </c>
      <c r="H223" s="82" t="str">
        <f t="array" ref="H223">IFERROR(DGET('PADD-R'!$B$1:$K953,'PADD-R'!$K$1,{'PADD-R'!$B$1;A223}),"NO PARTICIPÓ")</f>
        <v>SOLO 2023</v>
      </c>
    </row>
    <row r="224">
      <c r="F224" s="83" t="str">
        <f t="shared" si="1"/>
        <v>SOLO LINEA BASE</v>
      </c>
      <c r="G224" s="79" t="str">
        <f t="shared" si="2"/>
        <v>648291 Primaria</v>
      </c>
      <c r="H224" s="82" t="str">
        <f t="array" ref="H224">IFERROR(DGET('PADD-R'!$B$1:$K953,'PADD-R'!$K$1,{'PADD-R'!$B$1;A224}),"NO PARTICIPÓ")</f>
        <v>PADD 2023 Y 2024</v>
      </c>
    </row>
    <row r="225">
      <c r="F225" s="83" t="str">
        <f t="shared" si="1"/>
        <v>SOLO 2024</v>
      </c>
      <c r="G225" s="79" t="str">
        <f t="shared" si="2"/>
        <v>648292 Primaria</v>
      </c>
      <c r="H225" s="82" t="str">
        <f t="array" ref="H225">IFERROR(DGET('PADD-R'!$B$1:$K953,'PADD-R'!$K$1,{'PADD-R'!$B$1;A225}),"NO PARTICIPÓ")</f>
        <v>PADD 2023 Y 2024</v>
      </c>
    </row>
    <row r="226">
      <c r="F226" s="83" t="str">
        <f t="shared" si="1"/>
        <v>SOLO 2022 Y 2024</v>
      </c>
      <c r="G226" s="79" t="str">
        <f t="shared" si="2"/>
        <v>648294 Primaria</v>
      </c>
      <c r="H226" s="82" t="str">
        <f t="array" ref="H226">IFERROR(DGET('PADD-R'!$B$1:$K953,'PADD-R'!$K$1,{'PADD-R'!$B$1;A226}),"NO PARTICIPÓ")</f>
        <v>PADD 2023 Y 2024</v>
      </c>
    </row>
    <row r="227">
      <c r="F227" s="83" t="str">
        <f t="shared" si="1"/>
        <v>SOLO 2022 Y 2024</v>
      </c>
      <c r="G227" s="79" t="str">
        <f t="shared" si="2"/>
        <v>648296 Primaria</v>
      </c>
      <c r="H227" s="82" t="str">
        <f t="array" ref="H227">IFERROR(DGET('PADD-R'!$B$1:$K953,'PADD-R'!$K$1,{'PADD-R'!$B$1;A227}),"NO PARTICIPÓ")</f>
        <v>PADD 2023 Y 2024</v>
      </c>
    </row>
    <row r="228">
      <c r="F228" s="83" t="str">
        <f t="shared" si="1"/>
        <v>SOLO 2024</v>
      </c>
      <c r="G228" s="79" t="str">
        <f t="shared" si="2"/>
        <v>64871-B2 Primaria</v>
      </c>
      <c r="H228" s="82" t="str">
        <f t="array" ref="H228">IFERROR(DGET('PADD-R'!$B$1:$K953,'PADD-R'!$K$1,{'PADD-R'!$B$1;A228}),"NO PARTICIPÓ")</f>
        <v>PADD 2023 Y 2024</v>
      </c>
    </row>
    <row r="229">
      <c r="F229" s="83" t="str">
        <f t="shared" si="1"/>
        <v>2023 Y 2024</v>
      </c>
      <c r="G229" s="79" t="str">
        <f t="shared" si="2"/>
        <v>64871-B4 Primaria</v>
      </c>
      <c r="H229" s="82" t="str">
        <f t="array" ref="H229">IFERROR(DGET('PADD-R'!$B$1:$K953,'PADD-R'!$K$1,{'PADD-R'!$B$1;A229}),"NO PARTICIPÓ")</f>
        <v>PADD 2023 Y 2024</v>
      </c>
    </row>
    <row r="230">
      <c r="F230" s="83" t="str">
        <f t="shared" si="1"/>
        <v>SOLO 2024</v>
      </c>
      <c r="G230" s="79" t="str">
        <f t="shared" si="2"/>
        <v>64871-B6 Primaria</v>
      </c>
      <c r="H230" s="82" t="str">
        <f t="array" ref="H230">IFERROR(DGET('PADD-R'!$B$1:$K953,'PADD-R'!$K$1,{'PADD-R'!$B$1;A230}),"NO PARTICIPÓ")</f>
        <v>PADD 2023 Y 2024</v>
      </c>
    </row>
    <row r="231">
      <c r="F231" s="83" t="str">
        <f t="shared" si="1"/>
        <v>SOLO 2024</v>
      </c>
      <c r="G231" s="79" t="str">
        <f t="shared" si="2"/>
        <v>64873-B2 Primaria</v>
      </c>
      <c r="H231" s="82" t="str">
        <f t="array" ref="H231">IFERROR(DGET('PADD-R'!$B$1:$K953,'PADD-R'!$K$1,{'PADD-R'!$B$1;A231}),"NO PARTICIPÓ")</f>
        <v>PADD 2023 Y 2024</v>
      </c>
    </row>
    <row r="232">
      <c r="F232" s="83" t="str">
        <f t="shared" si="1"/>
        <v>SOLO 2024</v>
      </c>
      <c r="G232" s="79" t="str">
        <f t="shared" si="2"/>
        <v>64873-B4 Primaria</v>
      </c>
      <c r="H232" s="82" t="str">
        <f t="array" ref="H232">IFERROR(DGET('PADD-R'!$B$1:$K953,'PADD-R'!$K$1,{'PADD-R'!$B$1;A232}),"NO PARTICIPÓ")</f>
        <v>PADD 2023 Y 2024</v>
      </c>
    </row>
    <row r="233">
      <c r="F233" s="83" t="str">
        <f t="shared" si="1"/>
        <v>SOLO 2024</v>
      </c>
      <c r="G233" s="79" t="str">
        <f t="shared" si="2"/>
        <v>64873-B6 Primaria</v>
      </c>
      <c r="H233" s="82" t="str">
        <f t="array" ref="H233">IFERROR(DGET('PADD-R'!$B$1:$K953,'PADD-R'!$K$1,{'PADD-R'!$B$1;A233}),"NO PARTICIPÓ")</f>
        <v>PADD 2023 Y 2024</v>
      </c>
    </row>
    <row r="234">
      <c r="F234" s="83" t="str">
        <f t="shared" si="1"/>
        <v>SOLO 2024</v>
      </c>
      <c r="G234" s="79" t="str">
        <f t="shared" si="2"/>
        <v>649492 Primaria</v>
      </c>
      <c r="H234" s="82" t="str">
        <f t="array" ref="H234">IFERROR(DGET('PADD-R'!$B$1:$K953,'PADD-R'!$K$1,{'PADD-R'!$B$1;A234}),"NO PARTICIPÓ")</f>
        <v>SOLO 2024</v>
      </c>
    </row>
    <row r="235">
      <c r="F235" s="83" t="str">
        <f t="shared" si="1"/>
        <v>SOLO 2024</v>
      </c>
      <c r="G235" s="79" t="str">
        <f t="shared" si="2"/>
        <v>649496 Primaria</v>
      </c>
      <c r="H235" s="82" t="str">
        <f t="array" ref="H235">IFERROR(DGET('PADD-R'!$B$1:$K953,'PADD-R'!$K$1,{'PADD-R'!$B$1;A235}),"NO PARTICIPÓ")</f>
        <v>SOLO 2024</v>
      </c>
    </row>
    <row r="236">
      <c r="F236" s="83" t="str">
        <f t="shared" si="1"/>
        <v>2023 Y 2024</v>
      </c>
      <c r="G236" s="79" t="str">
        <f t="shared" si="2"/>
        <v>649962 Primaria</v>
      </c>
      <c r="H236" s="82" t="str">
        <f t="array" ref="H236">IFERROR(DGET('PADD-R'!$B$1:$K953,'PADD-R'!$K$1,{'PADD-R'!$B$1;A236}),"NO PARTICIPÓ")</f>
        <v>SOLO 2023</v>
      </c>
    </row>
    <row r="237">
      <c r="F237" s="83" t="str">
        <f t="shared" si="1"/>
        <v>2023 Y 2024</v>
      </c>
      <c r="G237" s="79" t="str">
        <f t="shared" si="2"/>
        <v>649964 Primaria</v>
      </c>
      <c r="H237" s="82" t="str">
        <f t="array" ref="H237">IFERROR(DGET('PADD-R'!$B$1:$K953,'PADD-R'!$K$1,{'PADD-R'!$B$1;A237}),"NO PARTICIPÓ")</f>
        <v>SOLO 2023</v>
      </c>
    </row>
    <row r="238">
      <c r="F238" s="83" t="str">
        <f t="shared" si="1"/>
        <v>2023 Y 2024</v>
      </c>
      <c r="G238" s="79" t="str">
        <f t="shared" si="2"/>
        <v>649966 Primaria</v>
      </c>
      <c r="H238" s="82" t="str">
        <f t="array" ref="H238">IFERROR(DGET('PADD-R'!$B$1:$K953,'PADD-R'!$K$1,{'PADD-R'!$B$1;A238}),"NO PARTICIPÓ")</f>
        <v>SOLO 2023</v>
      </c>
    </row>
    <row r="239">
      <c r="F239" s="83" t="str">
        <f t="shared" si="1"/>
        <v>SOLO 2024</v>
      </c>
      <c r="G239" s="79" t="str">
        <f t="shared" si="2"/>
        <v>651992 Primaria</v>
      </c>
      <c r="H239" s="82" t="str">
        <f t="array" ref="H239">IFERROR(DGET('PADD-R'!$B$1:$K953,'PADD-R'!$K$1,{'PADD-R'!$B$1;A239}),"NO PARTICIPÓ")</f>
        <v>SOLO 2024</v>
      </c>
    </row>
    <row r="240">
      <c r="F240" s="83" t="str">
        <f t="shared" si="1"/>
        <v>SOLO 2022 Y 2024</v>
      </c>
      <c r="G240" s="79" t="str">
        <f t="shared" si="2"/>
        <v>651994 Primaria</v>
      </c>
      <c r="H240" s="82" t="str">
        <f t="array" ref="H240">IFERROR(DGET('PADD-R'!$B$1:$K953,'PADD-R'!$K$1,{'PADD-R'!$B$1;A240}),"NO PARTICIPÓ")</f>
        <v>SOLO 2024</v>
      </c>
    </row>
    <row r="241">
      <c r="F241" s="83" t="str">
        <f t="shared" si="1"/>
        <v>SOLO 2022 Y 2024</v>
      </c>
      <c r="G241" s="79" t="str">
        <f t="shared" si="2"/>
        <v>651996 Primaria</v>
      </c>
      <c r="H241" s="82" t="str">
        <f t="array" ref="H241">IFERROR(DGET('PADD-R'!$B$1:$K953,'PADD-R'!$K$1,{'PADD-R'!$B$1;A241}),"NO PARTICIPÓ")</f>
        <v>SOLO 2024</v>
      </c>
    </row>
    <row r="242">
      <c r="F242" s="83" t="str">
        <f t="shared" si="1"/>
        <v>SOLO LINEA BASE</v>
      </c>
      <c r="G242" s="79" t="str">
        <f t="shared" si="2"/>
        <v>86548 JOSE MARIA VELAZ1 Primaria</v>
      </c>
      <c r="H242" s="82" t="str">
        <f t="array" ref="H242">IFERROR(DGET('PADD-R'!$B$1:$K953,'PADD-R'!$K$1,{'PADD-R'!$B$1;A242}),"NO PARTICIPÓ")</f>
        <v>PADD 2023 Y 2024</v>
      </c>
    </row>
    <row r="243">
      <c r="F243" s="83" t="str">
        <f t="shared" si="1"/>
        <v>SOLO 2022 Y 2024</v>
      </c>
      <c r="G243" s="79" t="str">
        <f t="shared" si="2"/>
        <v>86548 JOSE MARIA VELAZ2 Primaria</v>
      </c>
      <c r="H243" s="82" t="str">
        <f t="array" ref="H243">IFERROR(DGET('PADD-R'!$B$1:$K953,'PADD-R'!$K$1,{'PADD-R'!$B$1;A243}),"NO PARTICIPÓ")</f>
        <v>PADD 2023 Y 2024</v>
      </c>
    </row>
    <row r="244">
      <c r="F244" s="83" t="str">
        <f t="shared" si="1"/>
        <v>SOLO 2022 Y 2024</v>
      </c>
      <c r="G244" s="79" t="str">
        <f t="shared" si="2"/>
        <v>86548 JOSE MARIA VELAZ2 Secundaria</v>
      </c>
      <c r="H244" s="82" t="str">
        <f t="array" ref="H244">IFERROR(DGET('PADD-R'!$B$1:$K953,'PADD-R'!$K$1,{'PADD-R'!$B$1;A244}),"NO PARTICIPÓ")</f>
        <v>PADD 2023 Y 2024</v>
      </c>
    </row>
    <row r="245">
      <c r="F245" s="83" t="str">
        <f t="shared" si="1"/>
        <v>2023 Y 2024</v>
      </c>
      <c r="G245" s="79" t="str">
        <f t="shared" si="2"/>
        <v>86548 JOSE MARIA VELAZ4 Primaria</v>
      </c>
      <c r="H245" s="82" t="str">
        <f t="array" ref="H245">IFERROR(DGET('PADD-R'!$B$1:$K953,'PADD-R'!$K$1,{'PADD-R'!$B$1;A245}),"NO PARTICIPÓ")</f>
        <v>PADD 2023 Y 2024</v>
      </c>
    </row>
    <row r="246">
      <c r="F246" s="83" t="str">
        <f t="shared" si="1"/>
        <v>SOLO 2022 Y 2024</v>
      </c>
      <c r="G246" s="79" t="str">
        <f t="shared" si="2"/>
        <v>86548 JOSE MARIA VELAZ4 Secundaria</v>
      </c>
      <c r="H246" s="82" t="str">
        <f t="array" ref="H246">IFERROR(DGET('PADD-R'!$B$1:$K953,'PADD-R'!$K$1,{'PADD-R'!$B$1;A246}),"NO PARTICIPÓ")</f>
        <v>PADD 2023 Y 2024</v>
      </c>
    </row>
    <row r="247">
      <c r="F247" s="83" t="str">
        <f t="shared" si="1"/>
        <v>LOS 3 AÑOS</v>
      </c>
      <c r="G247" s="79" t="str">
        <f t="shared" si="2"/>
        <v>86548 JOSE MARIA VELAZ6 Primaria</v>
      </c>
      <c r="H247" s="82" t="str">
        <f t="array" ref="H247">IFERROR(DGET('PADD-R'!$B$1:$K953,'PADD-R'!$K$1,{'PADD-R'!$B$1;A247}),"NO PARTICIPÓ")</f>
        <v>PADD 2023 Y 2024</v>
      </c>
    </row>
    <row r="248">
      <c r="F248" s="83" t="str">
        <f t="shared" si="1"/>
        <v>SOLO LINEA BASE</v>
      </c>
      <c r="G248" s="79" t="str">
        <f t="shared" si="2"/>
        <v>86769 ABRAHAM VALDELOMAR1 Primaria</v>
      </c>
      <c r="H248" s="82" t="str">
        <f t="array" ref="H248">IFERROR(DGET('PADD-R'!$B$1:$K953,'PADD-R'!$K$1,{'PADD-R'!$B$1;A248}),"NO PARTICIPÓ")</f>
        <v>SOLO 2024</v>
      </c>
    </row>
    <row r="249">
      <c r="F249" s="83" t="str">
        <f t="shared" si="1"/>
        <v>SOLO 2022 Y 2024</v>
      </c>
      <c r="G249" s="79" t="str">
        <f t="shared" si="2"/>
        <v>86769 ABRAHAM VALDELOMAR2 Primaria</v>
      </c>
      <c r="H249" s="82" t="str">
        <f t="array" ref="H249">IFERROR(DGET('PADD-R'!$B$1:$K953,'PADD-R'!$K$1,{'PADD-R'!$B$1;A249}),"NO PARTICIPÓ")</f>
        <v>SOLO 2024</v>
      </c>
    </row>
    <row r="250">
      <c r="F250" s="83" t="str">
        <f t="shared" si="1"/>
        <v>SOLO 2022 Y 2024</v>
      </c>
      <c r="G250" s="79" t="str">
        <f t="shared" si="2"/>
        <v>86769 ABRAHAM VALDELOMAR2 Secundaria</v>
      </c>
      <c r="H250" s="82" t="str">
        <f t="array" ref="H250">IFERROR(DGET('PADD-R'!$B$1:$K953,'PADD-R'!$K$1,{'PADD-R'!$B$1;A250}),"NO PARTICIPÓ")</f>
        <v>SOLO 2024</v>
      </c>
    </row>
    <row r="251">
      <c r="F251" s="83" t="str">
        <f t="shared" si="1"/>
        <v>SOLO 2022 Y 2024</v>
      </c>
      <c r="G251" s="79" t="str">
        <f t="shared" si="2"/>
        <v>86769 ABRAHAM VALDELOMAR4 Primaria</v>
      </c>
      <c r="H251" s="82" t="str">
        <f t="array" ref="H251">IFERROR(DGET('PADD-R'!$B$1:$K953,'PADD-R'!$K$1,{'PADD-R'!$B$1;A251}),"NO PARTICIPÓ")</f>
        <v>SOLO 2024</v>
      </c>
    </row>
    <row r="252">
      <c r="F252" s="83" t="str">
        <f t="shared" si="1"/>
        <v>SOLO 2022 Y 2024</v>
      </c>
      <c r="G252" s="79" t="str">
        <f t="shared" si="2"/>
        <v>86769 ABRAHAM VALDELOMAR4 Secundaria</v>
      </c>
      <c r="H252" s="82" t="str">
        <f t="array" ref="H252">IFERROR(DGET('PADD-R'!$B$1:$K953,'PADD-R'!$K$1,{'PADD-R'!$B$1;A252}),"NO PARTICIPÓ")</f>
        <v>SOLO 2024</v>
      </c>
    </row>
    <row r="253">
      <c r="F253" s="83" t="str">
        <f t="shared" si="1"/>
        <v>SOLO 2022 Y 2024</v>
      </c>
      <c r="G253" s="79" t="str">
        <f t="shared" si="2"/>
        <v>86769 ABRAHAM VALDELOMAR6 Primaria</v>
      </c>
      <c r="H253" s="82" t="str">
        <f t="array" ref="H253">IFERROR(DGET('PADD-R'!$B$1:$K953,'PADD-R'!$K$1,{'PADD-R'!$B$1;A253}),"NO PARTICIPÓ")</f>
        <v>SOLO 2024</v>
      </c>
    </row>
    <row r="254">
      <c r="F254" s="83" t="str">
        <f t="shared" si="1"/>
        <v>SOLO LINEA BASE</v>
      </c>
      <c r="G254" s="79" t="str">
        <f t="shared" si="2"/>
        <v>868091 Primaria</v>
      </c>
      <c r="H254" s="82" t="str">
        <f t="array" ref="H254">IFERROR(DGET('PADD-R'!$B$1:$K953,'PADD-R'!$K$1,{'PADD-R'!$B$1;A254}),"NO PARTICIPÓ")</f>
        <v>SOLO 2023</v>
      </c>
    </row>
    <row r="255">
      <c r="F255" s="83" t="str">
        <f t="shared" si="1"/>
        <v>LOS 3 AÑOS</v>
      </c>
      <c r="G255" s="79" t="str">
        <f t="shared" si="2"/>
        <v>868092 Primaria</v>
      </c>
      <c r="H255" s="82" t="str">
        <f t="array" ref="H255">IFERROR(DGET('PADD-R'!$B$1:$K953,'PADD-R'!$K$1,{'PADD-R'!$B$1;A255}),"NO PARTICIPÓ")</f>
        <v>SOLO 2023</v>
      </c>
    </row>
    <row r="256">
      <c r="F256" s="83" t="str">
        <f t="shared" si="1"/>
        <v>LOS 3 AÑOS</v>
      </c>
      <c r="G256" s="79" t="str">
        <f t="shared" si="2"/>
        <v>868094 Primaria</v>
      </c>
      <c r="H256" s="82" t="str">
        <f t="array" ref="H256">IFERROR(DGET('PADD-R'!$B$1:$K953,'PADD-R'!$K$1,{'PADD-R'!$B$1;A256}),"NO PARTICIPÓ")</f>
        <v>SOLO 2023</v>
      </c>
    </row>
    <row r="257">
      <c r="F257" s="83" t="str">
        <f t="shared" si="1"/>
        <v>LOS 3 AÑOS</v>
      </c>
      <c r="G257" s="79" t="str">
        <f t="shared" si="2"/>
        <v>868096 Primaria</v>
      </c>
      <c r="H257" s="82" t="str">
        <f t="array" ref="H257">IFERROR(DGET('PADD-R'!$B$1:$K953,'PADD-R'!$K$1,{'PADD-R'!$B$1;A257}),"NO PARTICIPÓ")</f>
        <v>SOLO 2023</v>
      </c>
    </row>
    <row r="258">
      <c r="F258" s="83" t="str">
        <f t="shared" si="1"/>
        <v>SOLO LINEA BASE</v>
      </c>
      <c r="G258" s="79" t="str">
        <f t="shared" si="2"/>
        <v>88225 CAPTUY1 Primaria</v>
      </c>
      <c r="H258" s="82" t="str">
        <f t="array" ref="H258">IFERROR(DGET('PADD-R'!$B$1:$K953,'PADD-R'!$K$1,{'PADD-R'!$B$1;A258}),"NO PARTICIPÓ")</f>
        <v>NO PARTICIPÓ</v>
      </c>
    </row>
    <row r="259">
      <c r="F259" s="83" t="str">
        <f t="shared" si="1"/>
        <v>SOLO LINEA BASE</v>
      </c>
      <c r="G259" s="79" t="str">
        <f t="shared" si="2"/>
        <v>88225 CAPTUY2 Primaria</v>
      </c>
      <c r="H259" s="82" t="str">
        <f t="array" ref="H259">IFERROR(DGET('PADD-R'!$B$1:$K953,'PADD-R'!$K$1,{'PADD-R'!$B$1;A259}),"NO PARTICIPÓ")</f>
        <v>NO PARTICIPÓ</v>
      </c>
    </row>
    <row r="260">
      <c r="F260" s="83" t="str">
        <f t="shared" si="1"/>
        <v>SOLO LINEA BASE</v>
      </c>
      <c r="G260" s="79" t="str">
        <f t="shared" si="2"/>
        <v>88225 CAPTUY4 Primaria</v>
      </c>
      <c r="H260" s="82" t="str">
        <f t="array" ref="H260">IFERROR(DGET('PADD-R'!$B$1:$K953,'PADD-R'!$K$1,{'PADD-R'!$B$1;A260}),"NO PARTICIPÓ")</f>
        <v>NO PARTICIPÓ</v>
      </c>
    </row>
    <row r="261">
      <c r="F261" s="83" t="str">
        <f t="shared" si="1"/>
        <v>SOLO LINEA BASE</v>
      </c>
      <c r="G261" s="79" t="str">
        <f t="shared" si="2"/>
        <v>88225 CAPTUY6 Primaria</v>
      </c>
      <c r="H261" s="82" t="str">
        <f t="array" ref="H261">IFERROR(DGET('PADD-R'!$B$1:$K953,'PADD-R'!$K$1,{'PADD-R'!$B$1;A261}),"NO PARTICIPÓ")</f>
        <v>NO PARTICIPÓ</v>
      </c>
    </row>
    <row r="262">
      <c r="F262" s="83" t="str">
        <f t="shared" si="1"/>
        <v>2023 Y 2024</v>
      </c>
      <c r="G262" s="79" t="str">
        <f t="shared" si="2"/>
        <v>88247 SAN ENRIQUE2 Primaria</v>
      </c>
      <c r="H262" s="82" t="str">
        <f t="array" ref="H262">IFERROR(DGET('PADD-R'!$B$1:$K953,'PADD-R'!$K$1,{'PADD-R'!$B$1;A262}),"NO PARTICIPÓ")</f>
        <v>PADD 2023 Y 2024</v>
      </c>
    </row>
    <row r="263">
      <c r="F263" s="83" t="str">
        <f t="shared" si="1"/>
        <v>2023 Y 2024</v>
      </c>
      <c r="G263" s="79" t="str">
        <f t="shared" si="2"/>
        <v>88247 SAN ENRIQUE4 Primaria</v>
      </c>
      <c r="H263" s="82" t="str">
        <f t="array" ref="H263">IFERROR(DGET('PADD-R'!$B$1:$K953,'PADD-R'!$K$1,{'PADD-R'!$B$1;A263}),"NO PARTICIPÓ")</f>
        <v>PADD 2023 Y 2024</v>
      </c>
    </row>
    <row r="264">
      <c r="F264" s="83" t="str">
        <f t="shared" si="1"/>
        <v>2023 Y 2024</v>
      </c>
      <c r="G264" s="79" t="str">
        <f t="shared" si="2"/>
        <v>88247 SAN ENRIQUE6 Primaria</v>
      </c>
      <c r="H264" s="82" t="str">
        <f t="array" ref="H264">IFERROR(DGET('PADD-R'!$B$1:$K953,'PADD-R'!$K$1,{'PADD-R'!$B$1;A264}),"NO PARTICIPÓ")</f>
        <v>PADD 2023 Y 2024</v>
      </c>
    </row>
    <row r="265">
      <c r="F265" s="83" t="str">
        <f t="shared" si="1"/>
        <v>SOLO LINEA BASE</v>
      </c>
      <c r="G265" s="79" t="str">
        <f t="shared" si="2"/>
        <v>883271 Primaria</v>
      </c>
      <c r="H265" s="82" t="str">
        <f t="array" ref="H265">IFERROR(DGET('PADD-R'!$B$1:$K953,'PADD-R'!$K$1,{'PADD-R'!$B$1;A265}),"NO PARTICIPÓ")</f>
        <v>PADD 2023 Y 2024</v>
      </c>
    </row>
    <row r="266">
      <c r="F266" s="83" t="str">
        <f t="shared" si="1"/>
        <v>SOLO 2022 Y 2024</v>
      </c>
      <c r="G266" s="79" t="str">
        <f t="shared" si="2"/>
        <v>883272 Primaria</v>
      </c>
      <c r="H266" s="82" t="str">
        <f t="array" ref="H266">IFERROR(DGET('PADD-R'!$B$1:$K953,'PADD-R'!$K$1,{'PADD-R'!$B$1;A266}),"NO PARTICIPÓ")</f>
        <v>PADD 2023 Y 2024</v>
      </c>
    </row>
    <row r="267">
      <c r="F267" s="83" t="str">
        <f t="shared" si="1"/>
        <v>SOLO 2022 Y 2024</v>
      </c>
      <c r="G267" s="79" t="str">
        <f t="shared" si="2"/>
        <v>883274 Primaria</v>
      </c>
      <c r="H267" s="82" t="str">
        <f t="array" ref="H267">IFERROR(DGET('PADD-R'!$B$1:$K953,'PADD-R'!$K$1,{'PADD-R'!$B$1;A267}),"NO PARTICIPÓ")</f>
        <v>PADD 2023 Y 2024</v>
      </c>
    </row>
    <row r="268">
      <c r="F268" s="83" t="str">
        <f t="shared" si="1"/>
        <v>SOLO 2022 Y 2024</v>
      </c>
      <c r="G268" s="79" t="str">
        <f t="shared" si="2"/>
        <v>883276 Primaria</v>
      </c>
      <c r="H268" s="82" t="str">
        <f t="array" ref="H268">IFERROR(DGET('PADD-R'!$B$1:$K953,'PADD-R'!$K$1,{'PADD-R'!$B$1;A268}),"NO PARTICIPÓ")</f>
        <v>PADD 2023 Y 2024</v>
      </c>
    </row>
    <row r="269">
      <c r="F269" s="83" t="str">
        <f t="shared" si="1"/>
        <v>SOLO LINEA BASE</v>
      </c>
      <c r="G269" s="79" t="str">
        <f t="shared" si="2"/>
        <v>ALMIRANTE MIGUEL GRAU SEMINARIO2 Secundaria</v>
      </c>
      <c r="H269" s="82" t="str">
        <f t="array" ref="H269">IFERROR(DGET('PADD-R'!$B$1:$K953,'PADD-R'!$K$1,{'PADD-R'!$B$1;A269}),"NO PARTICIPÓ")</f>
        <v>NO PARTICIPÓ</v>
      </c>
    </row>
    <row r="270">
      <c r="F270" s="83" t="str">
        <f t="shared" si="1"/>
        <v>SOLO LINEA BASE</v>
      </c>
      <c r="G270" s="79" t="str">
        <f t="shared" si="2"/>
        <v>ALMIRANTE MIGUEL GRAU SEMINARIO5 Secundaria</v>
      </c>
      <c r="H270" s="82" t="str">
        <f t="array" ref="H270">IFERROR(DGET('PADD-R'!$B$1:$K953,'PADD-R'!$K$1,{'PADD-R'!$B$1;A270}),"NO PARTICIPÓ")</f>
        <v>NO PARTICIPÓ</v>
      </c>
    </row>
    <row r="271">
      <c r="F271" s="83" t="str">
        <f t="shared" si="1"/>
        <v>SOLO 2024</v>
      </c>
      <c r="G271" s="79" t="str">
        <f t="shared" si="2"/>
        <v>CORAS2 Secundaria</v>
      </c>
      <c r="H271" s="82" t="str">
        <f t="array" ref="H271">IFERROR(DGET('PADD-R'!$B$1:$K953,'PADD-R'!$K$1,{'PADD-R'!$B$1;A271}),"NO PARTICIPÓ")</f>
        <v>PADD 2023 Y 2024</v>
      </c>
    </row>
    <row r="272">
      <c r="F272" s="83" t="str">
        <f t="shared" si="1"/>
        <v>SOLO 2024</v>
      </c>
      <c r="G272" s="79" t="str">
        <f t="shared" si="2"/>
        <v>CORAS4 Secundaria</v>
      </c>
      <c r="H272" s="82" t="str">
        <f t="array" ref="H272">IFERROR(DGET('PADD-R'!$B$1:$K953,'PADD-R'!$K$1,{'PADD-R'!$B$1;A272}),"NO PARTICIPÓ")</f>
        <v>PADD 2023 Y 2024</v>
      </c>
    </row>
    <row r="273">
      <c r="F273" s="83" t="str">
        <f t="shared" si="1"/>
        <v>LOS 3 AÑOS</v>
      </c>
      <c r="G273" s="79" t="str">
        <f t="shared" si="2"/>
        <v>EL MILAGRO2 Secundaria</v>
      </c>
      <c r="H273" s="82" t="str">
        <f t="array" ref="H273">IFERROR(DGET('PADD-R'!$B$1:$K953,'PADD-R'!$K$1,{'PADD-R'!$B$1;A273}),"NO PARTICIPÓ")</f>
        <v>NO PARTICIPÓ</v>
      </c>
    </row>
    <row r="274">
      <c r="F274" s="83" t="str">
        <f t="shared" si="1"/>
        <v>LOS 3 AÑOS</v>
      </c>
      <c r="G274" s="79" t="str">
        <f t="shared" si="2"/>
        <v>EL MILAGRO4 Secundaria</v>
      </c>
      <c r="H274" s="82" t="str">
        <f t="array" ref="H274">IFERROR(DGET('PADD-R'!$B$1:$K953,'PADD-R'!$K$1,{'PADD-R'!$B$1;A274}),"NO PARTICIPÓ")</f>
        <v>NO PARTICIPÓ</v>
      </c>
    </row>
    <row r="275">
      <c r="F275" s="83" t="str">
        <f t="shared" si="1"/>
        <v>SOLO LINEA BASE</v>
      </c>
      <c r="G275" s="79" t="str">
        <f t="shared" si="2"/>
        <v>JORGE CHAVEZ2 Secundaria</v>
      </c>
      <c r="H275" s="82" t="str">
        <f t="array" ref="H275">IFERROR(DGET('PADD-R'!$B$1:$K953,'PADD-R'!$K$1,{'PADD-R'!$B$1;A275}),"NO PARTICIPÓ")</f>
        <v>SOLO 2023</v>
      </c>
    </row>
    <row r="276">
      <c r="F276" s="83" t="str">
        <f t="shared" si="1"/>
        <v>SOLO LINEA BASE</v>
      </c>
      <c r="G276" s="79" t="str">
        <f t="shared" si="2"/>
        <v>JORGE CHAVEZ4 Secundaria</v>
      </c>
      <c r="H276" s="82" t="str">
        <f t="array" ref="H276">IFERROR(DGET('PADD-R'!$B$1:$K953,'PADD-R'!$K$1,{'PADD-R'!$B$1;A276}),"NO PARTICIPÓ")</f>
        <v>SOLO 2023</v>
      </c>
    </row>
    <row r="277">
      <c r="F277" s="83" t="str">
        <f t="shared" si="1"/>
        <v>SOLO LINEA BASE</v>
      </c>
      <c r="G277" s="79" t="str">
        <f t="shared" si="2"/>
        <v>JOSE CARLOS MARIATEGUI2 Secundaria</v>
      </c>
      <c r="H277" s="82" t="str">
        <f t="array" ref="H277">IFERROR(DGET('PADD-R'!$B$1:$K953,'PADD-R'!$K$1,{'PADD-R'!$B$1;A277}),"NO PARTICIPÓ")</f>
        <v>NO PARTICIPÓ</v>
      </c>
    </row>
    <row r="278">
      <c r="F278" s="83" t="str">
        <f t="shared" si="1"/>
        <v>SOLO LINEA BASE</v>
      </c>
      <c r="G278" s="79" t="str">
        <f t="shared" si="2"/>
        <v>JOSE CARLOS MARIATEGUI4 Secundaria</v>
      </c>
      <c r="H278" s="82" t="str">
        <f t="array" ref="H278">IFERROR(DGET('PADD-R'!$B$1:$K953,'PADD-R'!$K$1,{'PADD-R'!$B$1;A278}),"NO PARTICIPÓ")</f>
        <v>NO PARTICIPÓ</v>
      </c>
    </row>
    <row r="279">
      <c r="F279" s="83" t="str">
        <f t="shared" si="1"/>
        <v>2023 Y 2024</v>
      </c>
      <c r="G279" s="79" t="str">
        <f t="shared" si="2"/>
        <v>NUESTRA SEÑORA DE LA CANDELARIA2 Secundaria</v>
      </c>
      <c r="H279" s="82" t="str">
        <f t="array" ref="H279">IFERROR(DGET('PADD-R'!$B$1:$K953,'PADD-R'!$K$1,{'PADD-R'!$B$1;A279}),"NO PARTICIPÓ")</f>
        <v>PADD 2023 Y 2024</v>
      </c>
    </row>
    <row r="280">
      <c r="F280" s="83" t="str">
        <f t="shared" si="1"/>
        <v>2023 Y 2024</v>
      </c>
      <c r="G280" s="79" t="str">
        <f t="shared" si="2"/>
        <v>NUESTRA SEÑORA DE LA CANDELARIA4 Secundaria</v>
      </c>
      <c r="H280" s="82" t="str">
        <f t="array" ref="H280">IFERROR(DGET('PADD-R'!$B$1:$K953,'PADD-R'!$K$1,{'PADD-R'!$B$1;A280}),"NO PARTICIPÓ")</f>
        <v>PADD 2023 Y 2024</v>
      </c>
    </row>
    <row r="281">
      <c r="F281" s="83" t="str">
        <f t="shared" si="1"/>
        <v>SOLO LINEA BASE</v>
      </c>
      <c r="G281" s="79" t="str">
        <f t="shared" si="2"/>
        <v>RAMON CASTILLA MARQUEZADO2 Secundaria</v>
      </c>
      <c r="H281" s="82" t="str">
        <f t="array" ref="H281">IFERROR(DGET('PADD-R'!$B$1:$K953,'PADD-R'!$K$1,{'PADD-R'!$B$1;A281}),"NO PARTICIPÓ")</f>
        <v>NO PARTICIPÓ</v>
      </c>
    </row>
    <row r="282">
      <c r="F282" s="83" t="str">
        <f t="shared" si="1"/>
        <v>SOLO LINEA BASE</v>
      </c>
      <c r="G282" s="79" t="str">
        <f t="shared" si="2"/>
        <v>RAMON CASTILLA MARQUEZADO4 Secundaria</v>
      </c>
      <c r="H282" s="82" t="str">
        <f t="array" ref="H282">IFERROR(DGET('PADD-R'!$B$1:$K953,'PADD-R'!$K$1,{'PADD-R'!$B$1;A282}),"NO PARTICIPÓ")</f>
        <v>NO PARTICIPÓ</v>
      </c>
    </row>
    <row r="283">
      <c r="F283" s="83" t="str">
        <f t="shared" si="1"/>
        <v>SOLO LINEA BASE</v>
      </c>
      <c r="G283" s="79" t="str">
        <f t="shared" si="2"/>
        <v>SAGRADO CORAZON DE JESUS1 Primaria</v>
      </c>
      <c r="H283" s="82" t="str">
        <f t="array" ref="H283">IFERROR(DGET('PADD-R'!$B$1:$K953,'PADD-R'!$K$1,{'PADD-R'!$B$1;A283}),"NO PARTICIPÓ")</f>
        <v>NO PARTICIPÓ</v>
      </c>
    </row>
    <row r="284">
      <c r="F284" s="83" t="str">
        <f t="shared" si="1"/>
        <v>LOS 3 AÑOS</v>
      </c>
      <c r="G284" s="79" t="str">
        <f t="shared" si="2"/>
        <v>SAGRADO CORAZON DE JESUS2 Primaria</v>
      </c>
      <c r="H284" s="82" t="str">
        <f t="array" ref="H284">IFERROR(DGET('PADD-R'!$B$1:$K953,'PADD-R'!$K$1,{'PADD-R'!$B$1;A284}),"NO PARTICIPÓ")</f>
        <v>NO PARTICIPÓ</v>
      </c>
    </row>
    <row r="285">
      <c r="F285" s="83" t="str">
        <f t="shared" si="1"/>
        <v>LOS 3 AÑOS</v>
      </c>
      <c r="G285" s="79" t="str">
        <f t="shared" si="2"/>
        <v>SAGRADO CORAZON DE JESUS4 Primaria</v>
      </c>
      <c r="H285" s="82" t="str">
        <f t="array" ref="H285">IFERROR(DGET('PADD-R'!$B$1:$K953,'PADD-R'!$K$1,{'PADD-R'!$B$1;A285}),"NO PARTICIPÓ")</f>
        <v>NO PARTICIPÓ</v>
      </c>
    </row>
    <row r="286">
      <c r="F286" s="83" t="str">
        <f t="shared" si="1"/>
        <v>LOS 3 AÑOS</v>
      </c>
      <c r="G286" s="79" t="str">
        <f t="shared" si="2"/>
        <v>SAGRADO CORAZON DE JESUS6 Primaria</v>
      </c>
      <c r="H286" s="82" t="str">
        <f t="array" ref="H286">IFERROR(DGET('PADD-R'!$B$1:$K953,'PADD-R'!$K$1,{'PADD-R'!$B$1;A286}),"NO PARTICIPÓ")</f>
        <v>NO PARTICIPÓ</v>
      </c>
    </row>
    <row r="287">
      <c r="F287" s="83" t="str">
        <f t="shared" si="1"/>
        <v>SOLO 2023</v>
      </c>
      <c r="G287" s="79" t="str">
        <f t="shared" si="2"/>
        <v>SANTIAGO ANTUNEZ DE MAYOLO2 Primaria</v>
      </c>
      <c r="H287" s="82" t="str">
        <f t="array" ref="H287">IFERROR(DGET('PADD-R'!$B$1:$K953,'PADD-R'!$K$1,{'PADD-R'!$B$1;A287}),"NO PARTICIPÓ")</f>
        <v>SOLO 2023</v>
      </c>
    </row>
    <row r="288">
      <c r="F288" s="83" t="str">
        <f t="shared" si="1"/>
        <v>SOLO 2023</v>
      </c>
      <c r="G288" s="79" t="str">
        <f t="shared" si="2"/>
        <v>SANTIAGO ANTUNEZ DE MAYOLO4 Primaria</v>
      </c>
      <c r="H288" s="82" t="str">
        <f t="array" ref="H288">IFERROR(DGET('PADD-R'!$B$1:$K953,'PADD-R'!$K$1,{'PADD-R'!$B$1;A288}),"NO PARTICIPÓ")</f>
        <v>SOLO 2023</v>
      </c>
    </row>
    <row r="289">
      <c r="F289" s="83" t="str">
        <f t="shared" si="1"/>
        <v>SOLO 2023</v>
      </c>
      <c r="G289" s="79" t="str">
        <f t="shared" si="2"/>
        <v>SANTIAGO ANTUNEZ DE MAYOLO6 Primaria</v>
      </c>
      <c r="H289" s="82" t="str">
        <f t="array" ref="H289">IFERROR(DGET('PADD-R'!$B$1:$K953,'PADD-R'!$K$1,{'PADD-R'!$B$1;A289}),"NO PARTICIPÓ")</f>
        <v>SOLO 2023</v>
      </c>
    </row>
    <row r="290">
      <c r="F290" s="83" t="str">
        <f t="shared" si="1"/>
        <v>SOLO 2023</v>
      </c>
      <c r="G290" s="79" t="str">
        <f t="shared" si="2"/>
        <v>SAYRI TUPAC2 Primaria</v>
      </c>
      <c r="H290" s="82" t="str">
        <f t="array" ref="H290">IFERROR(DGET('PADD-R'!$B$1:$K953,'PADD-R'!$K$1,{'PADD-R'!$B$1;A290}),"NO PARTICIPÓ")</f>
        <v>NO PARTICIPÓ</v>
      </c>
    </row>
    <row r="291">
      <c r="F291" s="83" t="str">
        <f t="shared" si="1"/>
        <v>SOLO 2023</v>
      </c>
      <c r="G291" s="79" t="str">
        <f t="shared" si="2"/>
        <v>SAYRI TUPAC6 Primaria</v>
      </c>
      <c r="H291" s="82" t="str">
        <f t="array" ref="H291">IFERROR(DGET('PADD-R'!$B$1:$K953,'PADD-R'!$K$1,{'PADD-R'!$B$1;A291}),"NO PARTICIPÓ")</f>
        <v>NO PARTICIPÓ</v>
      </c>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3" max="11" width="9.75"/>
  </cols>
  <sheetData>
    <row r="1">
      <c r="A1" s="17"/>
      <c r="C1" s="79"/>
      <c r="D1" s="79"/>
      <c r="E1" s="79"/>
      <c r="F1" s="79"/>
      <c r="G1" s="79"/>
      <c r="H1" s="79"/>
      <c r="I1" s="79"/>
      <c r="J1" s="79"/>
      <c r="K1" s="79"/>
      <c r="L1" s="79"/>
    </row>
    <row r="2">
      <c r="A2" s="85" t="s">
        <v>347</v>
      </c>
      <c r="C2" s="79"/>
      <c r="D2" s="79"/>
      <c r="E2" s="79"/>
      <c r="F2" s="79"/>
      <c r="G2" s="79"/>
      <c r="H2" s="79"/>
      <c r="I2" s="79"/>
      <c r="J2" s="79"/>
      <c r="K2" s="79"/>
      <c r="L2" s="79"/>
    </row>
    <row r="3">
      <c r="K3" s="79"/>
      <c r="L3" s="79"/>
    </row>
    <row r="4">
      <c r="K4" s="79"/>
      <c r="L4" s="79"/>
      <c r="N4" s="86">
        <v>55.0</v>
      </c>
      <c r="O4" s="86">
        <v>45.0</v>
      </c>
      <c r="P4" s="86">
        <v>1.0</v>
      </c>
      <c r="Q4" s="87">
        <v>39.0</v>
      </c>
      <c r="R4" s="88">
        <v>59.0</v>
      </c>
      <c r="S4" s="86">
        <v>2.0</v>
      </c>
    </row>
    <row r="5">
      <c r="K5" s="79"/>
      <c r="L5" s="79"/>
      <c r="N5" s="90">
        <v>59.0</v>
      </c>
      <c r="O5" s="91">
        <v>38.0</v>
      </c>
      <c r="P5" s="91">
        <v>3.0</v>
      </c>
      <c r="Q5" s="92">
        <v>44.0</v>
      </c>
      <c r="R5" s="93">
        <v>55.0</v>
      </c>
      <c r="S5" s="91">
        <v>1.0</v>
      </c>
    </row>
    <row r="6">
      <c r="K6" s="84"/>
      <c r="L6" s="79"/>
      <c r="N6" s="94">
        <v>76.0</v>
      </c>
      <c r="O6" s="95">
        <v>23.0</v>
      </c>
      <c r="P6" s="95">
        <v>1.0</v>
      </c>
      <c r="Q6" s="96">
        <v>70.0</v>
      </c>
      <c r="R6" s="97">
        <v>30.0</v>
      </c>
      <c r="S6" s="95">
        <v>0.0</v>
      </c>
    </row>
    <row r="7">
      <c r="K7" s="84"/>
      <c r="L7" s="79"/>
      <c r="N7" s="94">
        <v>44.0</v>
      </c>
      <c r="O7" s="98">
        <v>55.0</v>
      </c>
      <c r="P7" s="98">
        <v>1.0</v>
      </c>
      <c r="Q7" s="99">
        <v>59.0</v>
      </c>
      <c r="R7" s="100">
        <v>40.0</v>
      </c>
      <c r="S7" s="98">
        <v>1.0</v>
      </c>
    </row>
    <row r="8">
      <c r="K8" s="84"/>
      <c r="L8" s="79"/>
      <c r="N8" s="94">
        <v>52.0</v>
      </c>
      <c r="O8" s="95">
        <v>47.0</v>
      </c>
      <c r="P8" s="95">
        <v>2.0</v>
      </c>
      <c r="Q8" s="99">
        <v>97.0</v>
      </c>
      <c r="R8" s="101">
        <v>3.0</v>
      </c>
      <c r="S8" s="95">
        <v>0.0</v>
      </c>
    </row>
    <row r="9">
      <c r="K9" s="84"/>
      <c r="L9" s="79"/>
    </row>
    <row r="10">
      <c r="K10" s="84"/>
      <c r="L10" s="79"/>
    </row>
    <row r="11">
      <c r="A11" s="17"/>
      <c r="C11" s="84"/>
      <c r="D11" s="84"/>
      <c r="E11" s="84"/>
      <c r="F11" s="84"/>
      <c r="G11" s="84"/>
      <c r="H11" s="84"/>
      <c r="I11" s="84"/>
      <c r="J11" s="84"/>
      <c r="K11" s="84"/>
      <c r="L11" s="79"/>
    </row>
    <row r="12">
      <c r="A12" s="17"/>
      <c r="C12" s="79"/>
      <c r="D12" s="79"/>
      <c r="E12" s="79"/>
      <c r="F12" s="79"/>
      <c r="G12" s="79"/>
      <c r="H12" s="79"/>
      <c r="I12" s="79"/>
      <c r="J12" s="79"/>
      <c r="K12" s="79"/>
      <c r="L12" s="79"/>
    </row>
    <row r="13">
      <c r="A13" s="17"/>
      <c r="C13" s="79"/>
      <c r="D13" s="79"/>
      <c r="E13" s="79"/>
      <c r="F13" s="79"/>
      <c r="G13" s="79"/>
      <c r="H13" s="79"/>
      <c r="I13" s="79"/>
      <c r="J13" s="79"/>
      <c r="K13" s="79"/>
      <c r="L13" s="79"/>
    </row>
    <row r="14">
      <c r="A14" s="17"/>
      <c r="C14" s="79"/>
      <c r="D14" s="79"/>
      <c r="E14" s="79"/>
      <c r="F14" s="79"/>
      <c r="G14" s="79"/>
      <c r="H14" s="79"/>
      <c r="I14" s="79"/>
      <c r="J14" s="79"/>
      <c r="K14" s="79"/>
      <c r="L14" s="79"/>
    </row>
    <row r="15">
      <c r="A15" s="17"/>
      <c r="B15" s="102" t="s">
        <v>3</v>
      </c>
      <c r="C15" s="79">
        <f>C4</f>
        <v>2022</v>
      </c>
      <c r="F15" s="79">
        <f>E4</f>
        <v>2023</v>
      </c>
      <c r="I15" s="79">
        <f>H4</f>
        <v>2024</v>
      </c>
      <c r="L15" s="79"/>
    </row>
    <row r="16">
      <c r="A16" s="17"/>
      <c r="C16" s="89" t="s">
        <v>18</v>
      </c>
      <c r="D16" s="89" t="s">
        <v>24</v>
      </c>
      <c r="E16" s="89" t="s">
        <v>32</v>
      </c>
      <c r="F16" s="89" t="s">
        <v>18</v>
      </c>
      <c r="G16" s="89" t="s">
        <v>24</v>
      </c>
      <c r="H16" s="89" t="s">
        <v>32</v>
      </c>
      <c r="I16" s="89" t="s">
        <v>18</v>
      </c>
      <c r="J16" s="89" t="s">
        <v>24</v>
      </c>
      <c r="K16" s="89" t="s">
        <v>32</v>
      </c>
      <c r="L16" s="79"/>
    </row>
    <row r="17">
      <c r="A17" s="17"/>
      <c r="B17" s="37" t="s">
        <v>15</v>
      </c>
      <c r="C17" s="103">
        <f t="shared" ref="C17:H17" si="1">N4/100</f>
        <v>0.55</v>
      </c>
      <c r="D17" s="103">
        <f t="shared" si="1"/>
        <v>0.45</v>
      </c>
      <c r="E17" s="103">
        <f t="shared" si="1"/>
        <v>0.01</v>
      </c>
      <c r="F17" s="103">
        <f t="shared" si="1"/>
        <v>0.39</v>
      </c>
      <c r="G17" s="103">
        <f t="shared" si="1"/>
        <v>0.59</v>
      </c>
      <c r="H17" s="103">
        <f t="shared" si="1"/>
        <v>0.02</v>
      </c>
      <c r="I17" s="103">
        <f t="shared" ref="I17:K17" si="2">ROUND(H6/SUM($H6:$J6),3)</f>
        <v>0.318</v>
      </c>
      <c r="J17" s="103">
        <f t="shared" si="2"/>
        <v>0.657</v>
      </c>
      <c r="K17" s="103">
        <f t="shared" si="2"/>
        <v>0.026</v>
      </c>
      <c r="L17" s="79"/>
    </row>
    <row r="18">
      <c r="A18" s="17"/>
      <c r="B18" s="37" t="s">
        <v>20</v>
      </c>
      <c r="C18" s="103">
        <f t="shared" ref="C18:H18" si="3">N5/100</f>
        <v>0.59</v>
      </c>
      <c r="D18" s="103">
        <f t="shared" si="3"/>
        <v>0.38</v>
      </c>
      <c r="E18" s="103">
        <f t="shared" si="3"/>
        <v>0.03</v>
      </c>
      <c r="F18" s="103">
        <f t="shared" si="3"/>
        <v>0.44</v>
      </c>
      <c r="G18" s="103">
        <f t="shared" si="3"/>
        <v>0.55</v>
      </c>
      <c r="H18" s="103">
        <f t="shared" si="3"/>
        <v>0.01</v>
      </c>
      <c r="I18" s="103">
        <f t="shared" ref="I18:K18" si="4">ROUND(H7/SUM($H7:$J7),3)</f>
        <v>0.315</v>
      </c>
      <c r="J18" s="103">
        <f t="shared" si="4"/>
        <v>0.667</v>
      </c>
      <c r="K18" s="103">
        <f t="shared" si="4"/>
        <v>0.019</v>
      </c>
      <c r="L18" s="79"/>
    </row>
    <row r="19">
      <c r="A19" s="17"/>
      <c r="B19" s="37" t="s">
        <v>22</v>
      </c>
      <c r="C19" s="103">
        <f t="shared" ref="C19:H19" si="5">N6/100</f>
        <v>0.76</v>
      </c>
      <c r="D19" s="103">
        <f t="shared" si="5"/>
        <v>0.23</v>
      </c>
      <c r="E19" s="103">
        <f t="shared" si="5"/>
        <v>0.01</v>
      </c>
      <c r="F19" s="103">
        <f t="shared" si="5"/>
        <v>0.7</v>
      </c>
      <c r="G19" s="103">
        <f t="shared" si="5"/>
        <v>0.3</v>
      </c>
      <c r="H19" s="103">
        <f t="shared" si="5"/>
        <v>0</v>
      </c>
      <c r="I19" s="103">
        <f t="shared" ref="I19:K19" si="6">ROUND(H8/SUM($H8:$J8),3)</f>
        <v>0.531</v>
      </c>
      <c r="J19" s="103">
        <f t="shared" si="6"/>
        <v>0.456</v>
      </c>
      <c r="K19" s="103">
        <f t="shared" si="6"/>
        <v>0.013</v>
      </c>
      <c r="L19" s="79"/>
    </row>
    <row r="20">
      <c r="A20" s="17"/>
      <c r="B20" s="37" t="s">
        <v>28</v>
      </c>
      <c r="C20" s="103">
        <f t="shared" ref="C20:H20" si="7">N7/100</f>
        <v>0.44</v>
      </c>
      <c r="D20" s="103">
        <f t="shared" si="7"/>
        <v>0.55</v>
      </c>
      <c r="E20" s="103">
        <f t="shared" si="7"/>
        <v>0.01</v>
      </c>
      <c r="F20" s="103">
        <f t="shared" si="7"/>
        <v>0.59</v>
      </c>
      <c r="G20" s="103">
        <f t="shared" si="7"/>
        <v>0.4</v>
      </c>
      <c r="H20" s="103">
        <f t="shared" si="7"/>
        <v>0.01</v>
      </c>
      <c r="I20" s="103">
        <f t="shared" ref="I20:K20" si="8">ROUND(H9/SUM($H9:$J9),3)</f>
        <v>0.793</v>
      </c>
      <c r="J20" s="103">
        <f t="shared" si="8"/>
        <v>0.207</v>
      </c>
      <c r="K20" s="103">
        <f t="shared" si="8"/>
        <v>0</v>
      </c>
      <c r="L20" s="79"/>
    </row>
    <row r="21">
      <c r="A21" s="17"/>
      <c r="B21" s="37" t="s">
        <v>30</v>
      </c>
      <c r="C21" s="103">
        <f t="shared" ref="C21:H21" si="9">N8/100</f>
        <v>0.52</v>
      </c>
      <c r="D21" s="103">
        <f t="shared" si="9"/>
        <v>0.47</v>
      </c>
      <c r="E21" s="103">
        <f t="shared" si="9"/>
        <v>0.02</v>
      </c>
      <c r="F21" s="103">
        <f t="shared" si="9"/>
        <v>0.97</v>
      </c>
      <c r="G21" s="103">
        <f t="shared" si="9"/>
        <v>0.03</v>
      </c>
      <c r="H21" s="103">
        <f t="shared" si="9"/>
        <v>0</v>
      </c>
      <c r="I21" s="103">
        <f t="shared" ref="I21:K21" si="10">ROUND(H10/SUM($H10:$J10),3)</f>
        <v>0.83</v>
      </c>
      <c r="J21" s="103">
        <f t="shared" si="10"/>
        <v>0.17</v>
      </c>
      <c r="K21" s="103">
        <f t="shared" si="10"/>
        <v>0</v>
      </c>
      <c r="L21" s="79"/>
    </row>
    <row r="22">
      <c r="A22" s="17"/>
      <c r="C22" s="103"/>
      <c r="D22" s="103"/>
      <c r="E22" s="103"/>
      <c r="F22" s="79"/>
      <c r="G22" s="79"/>
      <c r="H22" s="79"/>
      <c r="I22" s="79"/>
      <c r="J22" s="79"/>
      <c r="K22" s="79"/>
      <c r="L22" s="79"/>
    </row>
    <row r="23">
      <c r="A23" s="17"/>
      <c r="C23" s="79"/>
      <c r="D23" s="79"/>
      <c r="E23" s="79"/>
      <c r="F23" s="79"/>
      <c r="G23" s="79"/>
      <c r="H23" s="79"/>
      <c r="I23" s="79"/>
      <c r="J23" s="79"/>
      <c r="K23" s="79"/>
      <c r="L23" s="79"/>
    </row>
    <row r="24">
      <c r="A24" s="17"/>
      <c r="C24" s="79"/>
      <c r="D24" s="79"/>
      <c r="E24" s="79"/>
      <c r="F24" s="79"/>
      <c r="G24" s="79"/>
      <c r="H24" s="79"/>
      <c r="I24" s="79"/>
      <c r="J24" s="79"/>
      <c r="K24" s="79"/>
      <c r="L24" s="79"/>
    </row>
    <row r="25">
      <c r="A25" s="38" t="s">
        <v>348</v>
      </c>
      <c r="C25" s="79"/>
      <c r="D25" s="79"/>
      <c r="E25" s="79"/>
      <c r="F25" s="79"/>
      <c r="G25" s="79"/>
      <c r="H25" s="79"/>
      <c r="I25" s="79"/>
      <c r="J25" s="79"/>
      <c r="K25" s="79"/>
      <c r="L25" s="79"/>
    </row>
    <row r="26">
      <c r="L26" s="79"/>
    </row>
    <row r="27">
      <c r="L27" s="79"/>
      <c r="N27" s="104">
        <v>0.81</v>
      </c>
      <c r="O27" s="104">
        <v>0.19</v>
      </c>
      <c r="P27" s="104">
        <v>0.0</v>
      </c>
      <c r="Q27" s="105">
        <v>0.56</v>
      </c>
      <c r="R27" s="106">
        <v>0.42</v>
      </c>
      <c r="S27" s="104">
        <v>0.02</v>
      </c>
      <c r="T27" s="107">
        <v>0.288135593220339</v>
      </c>
      <c r="U27" s="107">
        <v>0.5084745762711864</v>
      </c>
      <c r="V27" s="107">
        <v>0.2033898305084746</v>
      </c>
    </row>
    <row r="28">
      <c r="L28" s="79"/>
      <c r="N28" s="108">
        <v>0.91</v>
      </c>
      <c r="O28" s="109">
        <v>0.09</v>
      </c>
      <c r="P28" s="109">
        <v>0.0</v>
      </c>
      <c r="Q28" s="110">
        <v>0.67</v>
      </c>
      <c r="R28" s="111">
        <v>0.26</v>
      </c>
      <c r="S28" s="109">
        <v>0.07</v>
      </c>
      <c r="T28" s="107">
        <v>0.5135135135135135</v>
      </c>
      <c r="U28" s="107">
        <v>0.36486486486486486</v>
      </c>
      <c r="V28" s="107">
        <v>0.12162162162162163</v>
      </c>
    </row>
    <row r="29">
      <c r="L29" s="79"/>
      <c r="N29" s="112">
        <v>0.83</v>
      </c>
      <c r="O29" s="113">
        <v>0.17</v>
      </c>
      <c r="P29" s="113">
        <v>0.0</v>
      </c>
      <c r="Q29" s="114">
        <v>0.5</v>
      </c>
      <c r="R29" s="115">
        <v>0.46</v>
      </c>
      <c r="S29" s="113">
        <v>0.04</v>
      </c>
      <c r="T29" s="107">
        <v>0.24285714285714285</v>
      </c>
      <c r="U29" s="107">
        <v>0.5</v>
      </c>
      <c r="V29" s="107">
        <v>0.2571428571428571</v>
      </c>
    </row>
    <row r="30">
      <c r="L30" s="79"/>
    </row>
    <row r="31">
      <c r="L31" s="79"/>
    </row>
    <row r="32">
      <c r="L32" s="79"/>
    </row>
    <row r="33">
      <c r="L33" s="79"/>
    </row>
    <row r="34">
      <c r="A34" s="17"/>
      <c r="C34" s="84"/>
      <c r="D34" s="84"/>
      <c r="E34" s="84"/>
      <c r="F34" s="84"/>
      <c r="G34" s="84"/>
      <c r="H34" s="84"/>
      <c r="I34" s="84"/>
      <c r="J34" s="84"/>
      <c r="K34" s="84"/>
      <c r="L34" s="79"/>
    </row>
    <row r="35">
      <c r="A35" s="17"/>
      <c r="C35" s="79"/>
      <c r="D35" s="79"/>
      <c r="E35" s="79"/>
      <c r="F35" s="79"/>
      <c r="G35" s="79"/>
      <c r="H35" s="79"/>
      <c r="I35" s="79"/>
      <c r="J35" s="79"/>
      <c r="K35" s="79"/>
      <c r="L35" s="79"/>
    </row>
    <row r="36">
      <c r="A36" s="17"/>
      <c r="C36" s="79"/>
      <c r="D36" s="79"/>
      <c r="E36" s="79"/>
      <c r="F36" s="79"/>
      <c r="G36" s="79"/>
      <c r="H36" s="79"/>
      <c r="I36" s="79"/>
      <c r="J36" s="79"/>
      <c r="K36" s="79"/>
      <c r="L36" s="79"/>
    </row>
    <row r="37">
      <c r="A37" s="17"/>
      <c r="C37" s="79"/>
      <c r="D37" s="79"/>
      <c r="E37" s="79"/>
      <c r="F37" s="79"/>
      <c r="G37" s="79"/>
      <c r="H37" s="79"/>
      <c r="I37" s="79"/>
      <c r="J37" s="79"/>
      <c r="K37" s="79"/>
      <c r="L37" s="79"/>
    </row>
    <row r="38">
      <c r="A38" s="17"/>
      <c r="B38" s="102" t="s">
        <v>3</v>
      </c>
      <c r="C38" s="79">
        <f>C27</f>
        <v>2022</v>
      </c>
      <c r="F38" s="79">
        <f>F27</f>
        <v>2023</v>
      </c>
      <c r="I38" s="79">
        <f>I27</f>
        <v>2024</v>
      </c>
      <c r="L38" s="79"/>
    </row>
    <row r="39">
      <c r="A39" s="17"/>
      <c r="C39" s="89" t="s">
        <v>18</v>
      </c>
      <c r="D39" s="89" t="s">
        <v>24</v>
      </c>
      <c r="E39" s="89" t="s">
        <v>32</v>
      </c>
      <c r="F39" s="89" t="s">
        <v>18</v>
      </c>
      <c r="G39" s="89" t="s">
        <v>24</v>
      </c>
      <c r="H39" s="89" t="s">
        <v>32</v>
      </c>
      <c r="I39" s="89" t="s">
        <v>18</v>
      </c>
      <c r="J39" s="89" t="s">
        <v>24</v>
      </c>
      <c r="K39" s="89" t="s">
        <v>32</v>
      </c>
      <c r="L39" s="79"/>
    </row>
    <row r="40">
      <c r="A40" s="17"/>
      <c r="B40" s="37" t="s">
        <v>15</v>
      </c>
      <c r="C40" s="116">
        <v>0.81</v>
      </c>
      <c r="D40" s="116">
        <v>0.19</v>
      </c>
      <c r="E40" s="116">
        <v>0.0</v>
      </c>
      <c r="F40" s="116">
        <v>0.56</v>
      </c>
      <c r="G40" s="116">
        <v>0.42</v>
      </c>
      <c r="H40" s="116">
        <v>0.02</v>
      </c>
      <c r="I40" s="103">
        <f t="shared" ref="I40:K40" si="11">I29/SUM($I29:$K29)</f>
        <v>0.2881355932</v>
      </c>
      <c r="J40" s="103">
        <f t="shared" si="11"/>
        <v>0.5084745763</v>
      </c>
      <c r="K40" s="103">
        <f t="shared" si="11"/>
        <v>0.2033898305</v>
      </c>
      <c r="L40" s="79"/>
    </row>
    <row r="41">
      <c r="A41" s="17"/>
      <c r="B41" s="37" t="s">
        <v>20</v>
      </c>
      <c r="C41" s="116">
        <v>0.91</v>
      </c>
      <c r="D41" s="116">
        <v>0.09</v>
      </c>
      <c r="E41" s="116">
        <v>0.0</v>
      </c>
      <c r="F41" s="116">
        <v>0.67</v>
      </c>
      <c r="G41" s="116">
        <v>0.26</v>
      </c>
      <c r="H41" s="116">
        <v>0.07</v>
      </c>
      <c r="I41" s="103">
        <f t="shared" ref="I41:K41" si="12">I30/SUM($I30:$K30)</f>
        <v>0.5135135135</v>
      </c>
      <c r="J41" s="103">
        <f t="shared" si="12"/>
        <v>0.3648648649</v>
      </c>
      <c r="K41" s="103">
        <f t="shared" si="12"/>
        <v>0.1216216216</v>
      </c>
      <c r="L41" s="79"/>
    </row>
    <row r="42">
      <c r="A42" s="17"/>
      <c r="B42" s="37" t="s">
        <v>22</v>
      </c>
      <c r="C42" s="116">
        <v>0.83</v>
      </c>
      <c r="D42" s="116">
        <v>0.17</v>
      </c>
      <c r="E42" s="116">
        <v>0.0</v>
      </c>
      <c r="F42" s="116">
        <v>0.5</v>
      </c>
      <c r="G42" s="116">
        <v>0.46</v>
      </c>
      <c r="H42" s="116">
        <v>0.04</v>
      </c>
      <c r="I42" s="103">
        <f t="shared" ref="I42:K42" si="13">I31/SUM($I31:$K31)</f>
        <v>0.2428571429</v>
      </c>
      <c r="J42" s="103">
        <f t="shared" si="13"/>
        <v>0.5</v>
      </c>
      <c r="K42" s="103">
        <f t="shared" si="13"/>
        <v>0.2571428571</v>
      </c>
      <c r="L42" s="79"/>
    </row>
    <row r="43">
      <c r="A43" s="17"/>
      <c r="B43" s="37" t="s">
        <v>28</v>
      </c>
      <c r="C43" s="103"/>
      <c r="D43" s="103"/>
      <c r="E43" s="103"/>
      <c r="F43" s="103"/>
      <c r="G43" s="103"/>
      <c r="H43" s="103"/>
      <c r="I43" s="103">
        <f t="shared" ref="I43:K43" si="14">I32/SUM($I32:$K32)</f>
        <v>1</v>
      </c>
      <c r="J43" s="103">
        <f t="shared" si="14"/>
        <v>0</v>
      </c>
      <c r="K43" s="103">
        <f t="shared" si="14"/>
        <v>0</v>
      </c>
      <c r="L43" s="79"/>
    </row>
    <row r="44">
      <c r="A44" s="17"/>
      <c r="B44" s="37" t="s">
        <v>30</v>
      </c>
      <c r="C44" s="103"/>
      <c r="D44" s="103"/>
      <c r="E44" s="103"/>
      <c r="F44" s="103"/>
      <c r="G44" s="103"/>
      <c r="H44" s="103"/>
      <c r="I44" s="103">
        <f t="shared" ref="I44:K44" si="15">I33/SUM($I33:$K33)</f>
        <v>1</v>
      </c>
      <c r="J44" s="103">
        <f t="shared" si="15"/>
        <v>0</v>
      </c>
      <c r="K44" s="103">
        <f t="shared" si="15"/>
        <v>0</v>
      </c>
      <c r="L44" s="79"/>
    </row>
    <row r="45">
      <c r="A45" s="17"/>
      <c r="C45" s="79"/>
      <c r="D45" s="79"/>
      <c r="E45" s="79"/>
      <c r="F45" s="79"/>
      <c r="G45" s="79"/>
      <c r="H45" s="79"/>
      <c r="I45" s="79"/>
      <c r="J45" s="79"/>
      <c r="K45" s="79"/>
      <c r="L45" s="79"/>
    </row>
    <row r="46">
      <c r="A46" s="17"/>
      <c r="C46" s="79"/>
      <c r="D46" s="79"/>
      <c r="E46" s="79"/>
      <c r="F46" s="79"/>
      <c r="G46" s="79"/>
      <c r="H46" s="79"/>
      <c r="I46" s="79"/>
      <c r="J46" s="79"/>
      <c r="K46" s="79"/>
      <c r="L46" s="79"/>
    </row>
    <row r="47">
      <c r="A47" s="17"/>
      <c r="C47" s="79"/>
      <c r="D47" s="79"/>
      <c r="E47" s="79"/>
      <c r="F47" s="79"/>
      <c r="G47" s="79"/>
      <c r="H47" s="79"/>
      <c r="I47" s="79"/>
      <c r="J47" s="79"/>
      <c r="K47" s="79"/>
      <c r="L47" s="79"/>
    </row>
    <row r="48">
      <c r="F48" s="117"/>
      <c r="G48" s="79"/>
      <c r="H48" s="79"/>
      <c r="I48" s="79"/>
      <c r="J48" s="79"/>
      <c r="K48" s="79"/>
      <c r="L48" s="79"/>
    </row>
    <row r="49">
      <c r="F49" s="117"/>
      <c r="G49" s="118"/>
      <c r="H49" s="79"/>
      <c r="I49" s="79"/>
      <c r="J49" s="79"/>
      <c r="K49" s="79"/>
      <c r="L49" s="79"/>
    </row>
    <row r="50">
      <c r="F50" s="79"/>
      <c r="G50" s="79"/>
      <c r="H50" s="79"/>
      <c r="I50" s="79"/>
      <c r="J50" s="79"/>
      <c r="K50" s="79"/>
      <c r="L50" s="79"/>
    </row>
    <row r="51">
      <c r="F51" s="79"/>
      <c r="G51" s="79"/>
      <c r="H51" s="84"/>
      <c r="I51" s="84"/>
      <c r="J51" s="84"/>
      <c r="K51" s="84"/>
      <c r="L51" s="79"/>
    </row>
    <row r="52">
      <c r="F52" s="79"/>
      <c r="G52" s="79"/>
      <c r="H52" s="84"/>
      <c r="I52" s="84"/>
      <c r="J52" s="84"/>
      <c r="K52" s="84"/>
      <c r="L52" s="79"/>
    </row>
    <row r="53">
      <c r="F53" s="79"/>
      <c r="G53" s="79"/>
      <c r="H53" s="84"/>
      <c r="I53" s="84"/>
      <c r="J53" s="84"/>
      <c r="K53" s="84"/>
      <c r="L53" s="79"/>
    </row>
    <row r="54">
      <c r="F54" s="79"/>
      <c r="G54" s="79"/>
      <c r="H54" s="84"/>
      <c r="I54" s="84"/>
      <c r="J54" s="84"/>
      <c r="K54" s="84"/>
      <c r="L54" s="79"/>
    </row>
    <row r="55">
      <c r="F55" s="79"/>
      <c r="G55" s="79"/>
      <c r="H55" s="84"/>
      <c r="I55" s="84"/>
      <c r="J55" s="84"/>
      <c r="K55" s="84"/>
      <c r="L55" s="79"/>
    </row>
    <row r="56">
      <c r="F56" s="79"/>
      <c r="G56" s="79"/>
      <c r="H56" s="79"/>
      <c r="I56" s="79"/>
      <c r="J56" s="79"/>
      <c r="K56" s="79"/>
      <c r="L56" s="79"/>
    </row>
    <row r="57">
      <c r="F57" s="79"/>
      <c r="G57" s="79"/>
      <c r="H57" s="79"/>
      <c r="I57" s="79"/>
      <c r="J57" s="79"/>
      <c r="K57" s="79"/>
      <c r="L57" s="79"/>
    </row>
    <row r="58">
      <c r="A58" s="17"/>
      <c r="C58" s="79"/>
      <c r="D58" s="79"/>
      <c r="E58" s="79"/>
      <c r="F58" s="79"/>
      <c r="G58" s="79"/>
      <c r="H58" s="79"/>
      <c r="I58" s="79"/>
      <c r="J58" s="79"/>
      <c r="K58" s="79"/>
      <c r="L58" s="79"/>
    </row>
    <row r="59">
      <c r="A59" s="17"/>
      <c r="C59" s="79"/>
      <c r="D59" s="79"/>
      <c r="E59" s="79"/>
      <c r="F59" s="79"/>
      <c r="G59" s="79"/>
      <c r="H59" s="79"/>
      <c r="I59" s="79"/>
      <c r="J59" s="79"/>
      <c r="K59" s="79"/>
      <c r="L59" s="79"/>
    </row>
    <row r="60">
      <c r="A60" s="17"/>
      <c r="C60" s="79"/>
      <c r="D60" s="79"/>
      <c r="E60" s="79"/>
      <c r="F60" s="79"/>
      <c r="G60" s="79"/>
      <c r="H60" s="79"/>
      <c r="I60" s="79"/>
      <c r="J60" s="79"/>
      <c r="K60" s="79"/>
      <c r="L60" s="79"/>
    </row>
    <row r="61">
      <c r="A61" s="17"/>
      <c r="C61" s="79"/>
      <c r="D61" s="79"/>
      <c r="E61" s="79"/>
      <c r="F61" s="79"/>
      <c r="G61" s="79"/>
      <c r="H61" s="79"/>
      <c r="I61" s="79"/>
      <c r="J61" s="79"/>
      <c r="K61" s="79"/>
      <c r="L61" s="79"/>
    </row>
    <row r="62">
      <c r="A62" s="17"/>
      <c r="C62" s="79"/>
      <c r="D62" s="79"/>
      <c r="E62" s="79"/>
      <c r="F62" s="79"/>
      <c r="G62" s="79"/>
      <c r="H62" s="79"/>
      <c r="I62" s="79"/>
      <c r="J62" s="79"/>
      <c r="K62" s="79"/>
      <c r="L62" s="79"/>
    </row>
    <row r="63">
      <c r="A63" s="17"/>
      <c r="C63" s="79"/>
      <c r="D63" s="79"/>
      <c r="E63" s="79"/>
      <c r="F63" s="79"/>
      <c r="G63" s="79"/>
      <c r="H63" s="79"/>
      <c r="I63" s="79"/>
      <c r="J63" s="79"/>
      <c r="K63" s="79"/>
      <c r="L63" s="79"/>
    </row>
    <row r="64">
      <c r="A64" s="17"/>
      <c r="C64" s="79"/>
      <c r="D64" s="79"/>
      <c r="E64" s="79"/>
      <c r="F64" s="79"/>
      <c r="G64" s="79"/>
      <c r="H64" s="79"/>
      <c r="I64" s="79"/>
      <c r="J64" s="79"/>
      <c r="K64" s="79"/>
      <c r="L64" s="79"/>
    </row>
    <row r="65">
      <c r="A65" s="17"/>
      <c r="C65" s="79"/>
      <c r="D65" s="79"/>
      <c r="E65" s="79"/>
      <c r="F65" s="79"/>
      <c r="G65" s="79"/>
      <c r="H65" s="79"/>
      <c r="I65" s="79"/>
      <c r="J65" s="79"/>
      <c r="K65" s="79"/>
      <c r="L65" s="79"/>
    </row>
    <row r="66">
      <c r="A66" s="17"/>
      <c r="C66" s="79"/>
      <c r="D66" s="79"/>
      <c r="E66" s="79"/>
      <c r="F66" s="79"/>
      <c r="G66" s="79"/>
      <c r="H66" s="79"/>
      <c r="I66" s="79"/>
      <c r="J66" s="79"/>
      <c r="K66" s="79"/>
      <c r="L66" s="79"/>
    </row>
    <row r="67">
      <c r="A67" s="17"/>
      <c r="C67" s="79"/>
      <c r="D67" s="79"/>
      <c r="E67" s="79"/>
      <c r="F67" s="79"/>
      <c r="G67" s="79"/>
      <c r="H67" s="79"/>
      <c r="I67" s="79"/>
      <c r="J67" s="79"/>
      <c r="K67" s="79"/>
      <c r="L67" s="79"/>
    </row>
    <row r="68">
      <c r="A68" s="17"/>
      <c r="C68" s="79"/>
      <c r="D68" s="79"/>
      <c r="E68" s="79"/>
      <c r="F68" s="79"/>
      <c r="G68" s="79"/>
      <c r="H68" s="79"/>
      <c r="I68" s="79"/>
      <c r="J68" s="79"/>
      <c r="K68" s="79"/>
      <c r="L68" s="79"/>
    </row>
    <row r="69">
      <c r="A69" s="17"/>
      <c r="C69" s="79"/>
      <c r="D69" s="79"/>
      <c r="E69" s="79"/>
      <c r="F69" s="79"/>
      <c r="G69" s="79"/>
      <c r="H69" s="79"/>
      <c r="I69" s="79"/>
      <c r="J69" s="79"/>
      <c r="K69" s="79"/>
      <c r="L69" s="79"/>
    </row>
    <row r="70">
      <c r="A70" s="17"/>
      <c r="C70" s="79"/>
      <c r="D70" s="79"/>
      <c r="E70" s="79"/>
      <c r="F70" s="79"/>
      <c r="G70" s="79"/>
      <c r="H70" s="79"/>
      <c r="I70" s="79"/>
      <c r="J70" s="79"/>
      <c r="K70" s="79"/>
      <c r="L70" s="79"/>
    </row>
    <row r="71">
      <c r="A71" s="17"/>
      <c r="C71" s="79"/>
      <c r="D71" s="79"/>
      <c r="E71" s="79"/>
      <c r="F71" s="79"/>
      <c r="G71" s="79"/>
      <c r="H71" s="79"/>
      <c r="I71" s="79"/>
      <c r="J71" s="79"/>
      <c r="K71" s="79"/>
      <c r="L71" s="79"/>
    </row>
    <row r="72">
      <c r="A72" s="17"/>
      <c r="C72" s="79"/>
      <c r="D72" s="79"/>
      <c r="E72" s="79"/>
      <c r="F72" s="79"/>
      <c r="G72" s="79"/>
      <c r="H72" s="79"/>
      <c r="I72" s="79"/>
      <c r="J72" s="79"/>
      <c r="K72" s="79"/>
      <c r="L72" s="79"/>
    </row>
    <row r="73">
      <c r="A73" s="17"/>
      <c r="C73" s="79"/>
      <c r="D73" s="79"/>
      <c r="E73" s="79"/>
      <c r="F73" s="79"/>
      <c r="G73" s="79"/>
      <c r="H73" s="79"/>
      <c r="I73" s="79"/>
      <c r="J73" s="79"/>
      <c r="K73" s="79"/>
      <c r="L73" s="79"/>
    </row>
    <row r="74">
      <c r="A74" s="17"/>
      <c r="C74" s="79"/>
      <c r="D74" s="79"/>
      <c r="E74" s="79"/>
      <c r="F74" s="79"/>
      <c r="G74" s="79"/>
      <c r="H74" s="79"/>
      <c r="I74" s="79"/>
      <c r="J74" s="79"/>
      <c r="K74" s="79"/>
      <c r="L74" s="79"/>
    </row>
    <row r="75">
      <c r="A75" s="17"/>
      <c r="C75" s="79"/>
      <c r="D75" s="79"/>
      <c r="E75" s="79"/>
      <c r="F75" s="79"/>
      <c r="G75" s="79"/>
      <c r="H75" s="79"/>
      <c r="I75" s="79"/>
      <c r="J75" s="79"/>
      <c r="K75" s="79"/>
      <c r="L75" s="79"/>
    </row>
    <row r="76">
      <c r="A76" s="17"/>
      <c r="C76" s="79"/>
      <c r="D76" s="79"/>
      <c r="E76" s="79"/>
      <c r="F76" s="79"/>
      <c r="G76" s="79"/>
      <c r="H76" s="79"/>
      <c r="I76" s="79"/>
      <c r="J76" s="79"/>
      <c r="K76" s="79"/>
      <c r="L76" s="79"/>
    </row>
    <row r="77">
      <c r="A77" s="17"/>
      <c r="C77" s="79"/>
      <c r="D77" s="79"/>
      <c r="E77" s="79"/>
      <c r="F77" s="79"/>
      <c r="G77" s="79"/>
      <c r="H77" s="79"/>
      <c r="I77" s="79"/>
      <c r="J77" s="79"/>
      <c r="K77" s="79"/>
      <c r="L77" s="79"/>
    </row>
    <row r="78">
      <c r="A78" s="17"/>
      <c r="C78" s="79"/>
      <c r="D78" s="79"/>
      <c r="E78" s="79"/>
      <c r="F78" s="79"/>
      <c r="G78" s="79"/>
      <c r="H78" s="79"/>
      <c r="I78" s="79"/>
      <c r="J78" s="79"/>
      <c r="K78" s="79"/>
      <c r="L78" s="79"/>
    </row>
    <row r="79">
      <c r="A79" s="17"/>
      <c r="C79" s="79"/>
      <c r="D79" s="79"/>
      <c r="E79" s="79"/>
      <c r="F79" s="79"/>
      <c r="G79" s="79"/>
      <c r="H79" s="79"/>
      <c r="I79" s="79"/>
      <c r="J79" s="79"/>
      <c r="K79" s="79"/>
      <c r="L79" s="79"/>
    </row>
    <row r="80">
      <c r="A80" s="17"/>
      <c r="C80" s="79"/>
      <c r="D80" s="79"/>
      <c r="E80" s="79"/>
      <c r="F80" s="79"/>
      <c r="G80" s="79"/>
      <c r="H80" s="79"/>
      <c r="I80" s="79"/>
      <c r="J80" s="79"/>
      <c r="K80" s="79"/>
      <c r="L80" s="79"/>
    </row>
    <row r="81">
      <c r="A81" s="17"/>
      <c r="C81" s="79"/>
      <c r="D81" s="79"/>
      <c r="E81" s="79"/>
      <c r="F81" s="79"/>
      <c r="G81" s="79"/>
      <c r="H81" s="79"/>
      <c r="I81" s="79"/>
      <c r="J81" s="79"/>
      <c r="K81" s="79"/>
      <c r="L81" s="79"/>
    </row>
    <row r="82">
      <c r="A82" s="17"/>
      <c r="C82" s="79"/>
      <c r="D82" s="79"/>
      <c r="E82" s="79"/>
      <c r="F82" s="79"/>
      <c r="G82" s="79"/>
      <c r="H82" s="79"/>
      <c r="I82" s="79"/>
      <c r="J82" s="79"/>
      <c r="K82" s="79"/>
      <c r="L82" s="79"/>
    </row>
    <row r="83">
      <c r="A83" s="17"/>
      <c r="C83" s="79"/>
      <c r="D83" s="79"/>
      <c r="E83" s="79"/>
      <c r="F83" s="79"/>
      <c r="G83" s="79"/>
      <c r="H83" s="79"/>
      <c r="I83" s="79"/>
      <c r="J83" s="79"/>
      <c r="K83" s="79"/>
      <c r="L83" s="79"/>
    </row>
    <row r="84">
      <c r="A84" s="17"/>
      <c r="C84" s="79"/>
      <c r="D84" s="79"/>
      <c r="E84" s="79"/>
      <c r="F84" s="79"/>
      <c r="G84" s="79"/>
      <c r="H84" s="79"/>
      <c r="I84" s="79"/>
      <c r="J84" s="79"/>
      <c r="K84" s="79"/>
      <c r="L84" s="79"/>
    </row>
    <row r="85">
      <c r="A85" s="17"/>
      <c r="C85" s="79"/>
      <c r="D85" s="79"/>
      <c r="E85" s="79"/>
      <c r="F85" s="79"/>
      <c r="G85" s="79"/>
      <c r="H85" s="79"/>
      <c r="I85" s="79"/>
      <c r="J85" s="79"/>
      <c r="K85" s="79"/>
      <c r="L85" s="79"/>
    </row>
    <row r="86">
      <c r="A86" s="17"/>
      <c r="C86" s="79"/>
      <c r="D86" s="79"/>
      <c r="E86" s="79"/>
      <c r="F86" s="79"/>
      <c r="G86" s="79"/>
      <c r="H86" s="79"/>
      <c r="I86" s="79"/>
      <c r="J86" s="79"/>
      <c r="K86" s="79"/>
      <c r="L86" s="79"/>
    </row>
    <row r="87">
      <c r="A87" s="17"/>
      <c r="C87" s="79"/>
      <c r="D87" s="79"/>
      <c r="E87" s="79"/>
      <c r="F87" s="79"/>
      <c r="G87" s="79"/>
      <c r="H87" s="79"/>
      <c r="I87" s="79"/>
      <c r="J87" s="79"/>
      <c r="K87" s="79"/>
      <c r="L87" s="79"/>
    </row>
    <row r="88">
      <c r="A88" s="17"/>
      <c r="C88" s="79"/>
      <c r="D88" s="79"/>
      <c r="E88" s="79"/>
      <c r="F88" s="79"/>
      <c r="G88" s="79"/>
      <c r="H88" s="79"/>
      <c r="I88" s="79"/>
      <c r="J88" s="79"/>
      <c r="K88" s="79"/>
      <c r="L88" s="79"/>
    </row>
    <row r="89">
      <c r="A89" s="17"/>
      <c r="C89" s="79"/>
      <c r="D89" s="79"/>
      <c r="E89" s="79"/>
      <c r="F89" s="79"/>
      <c r="G89" s="79"/>
      <c r="H89" s="79"/>
      <c r="I89" s="79"/>
      <c r="J89" s="79"/>
      <c r="K89" s="79"/>
      <c r="L89" s="79"/>
    </row>
    <row r="90">
      <c r="A90" s="17"/>
      <c r="C90" s="79"/>
      <c r="D90" s="79"/>
      <c r="E90" s="79"/>
      <c r="F90" s="79"/>
      <c r="G90" s="79"/>
      <c r="H90" s="79"/>
      <c r="I90" s="79"/>
      <c r="J90" s="79"/>
      <c r="K90" s="79"/>
      <c r="L90" s="79"/>
    </row>
    <row r="91">
      <c r="A91" s="17"/>
      <c r="C91" s="79"/>
      <c r="D91" s="79"/>
      <c r="E91" s="79"/>
      <c r="F91" s="79"/>
      <c r="G91" s="79"/>
      <c r="H91" s="79"/>
      <c r="I91" s="79"/>
      <c r="J91" s="79"/>
      <c r="K91" s="79"/>
      <c r="L91" s="79"/>
    </row>
    <row r="92">
      <c r="A92" s="17"/>
      <c r="C92" s="79"/>
      <c r="D92" s="79"/>
      <c r="E92" s="79"/>
      <c r="F92" s="79"/>
      <c r="G92" s="79"/>
      <c r="H92" s="79"/>
      <c r="I92" s="79"/>
      <c r="J92" s="79"/>
      <c r="K92" s="79"/>
      <c r="L92" s="79"/>
    </row>
    <row r="93">
      <c r="A93" s="17"/>
      <c r="C93" s="79"/>
      <c r="D93" s="79"/>
      <c r="E93" s="79"/>
      <c r="F93" s="79"/>
      <c r="G93" s="79"/>
      <c r="H93" s="79"/>
      <c r="I93" s="79"/>
      <c r="J93" s="79"/>
      <c r="K93" s="79"/>
      <c r="L93" s="79"/>
    </row>
    <row r="94">
      <c r="A94" s="17"/>
      <c r="C94" s="79"/>
      <c r="D94" s="79"/>
      <c r="E94" s="79"/>
      <c r="F94" s="79"/>
      <c r="G94" s="79"/>
      <c r="H94" s="79"/>
      <c r="I94" s="79"/>
      <c r="J94" s="79"/>
      <c r="K94" s="79"/>
      <c r="L94" s="79"/>
    </row>
    <row r="95">
      <c r="A95" s="17"/>
      <c r="C95" s="79"/>
      <c r="D95" s="79"/>
      <c r="E95" s="79"/>
      <c r="F95" s="79"/>
      <c r="G95" s="79"/>
      <c r="H95" s="79"/>
      <c r="I95" s="79"/>
      <c r="J95" s="79"/>
      <c r="K95" s="79"/>
      <c r="L95" s="79"/>
    </row>
    <row r="96">
      <c r="A96" s="17"/>
      <c r="C96" s="79"/>
      <c r="D96" s="79"/>
      <c r="E96" s="79"/>
      <c r="F96" s="79"/>
      <c r="G96" s="79"/>
      <c r="H96" s="79"/>
      <c r="I96" s="79"/>
      <c r="J96" s="79"/>
      <c r="K96" s="79"/>
      <c r="L96" s="79"/>
    </row>
    <row r="97">
      <c r="A97" s="17"/>
      <c r="C97" s="79"/>
      <c r="D97" s="79"/>
      <c r="E97" s="79"/>
      <c r="F97" s="79"/>
      <c r="G97" s="79"/>
      <c r="H97" s="79"/>
      <c r="I97" s="79"/>
      <c r="J97" s="79"/>
      <c r="K97" s="79"/>
      <c r="L97" s="79"/>
    </row>
    <row r="98">
      <c r="A98" s="17"/>
      <c r="C98" s="79"/>
      <c r="D98" s="79"/>
      <c r="E98" s="79"/>
      <c r="F98" s="79"/>
      <c r="G98" s="79"/>
      <c r="H98" s="79"/>
      <c r="I98" s="79"/>
      <c r="J98" s="79"/>
      <c r="K98" s="79"/>
      <c r="L98" s="79"/>
    </row>
    <row r="99">
      <c r="A99" s="17"/>
      <c r="C99" s="79"/>
      <c r="D99" s="79"/>
      <c r="E99" s="79"/>
      <c r="F99" s="79"/>
      <c r="G99" s="79"/>
      <c r="H99" s="79"/>
      <c r="I99" s="79"/>
      <c r="J99" s="79"/>
      <c r="K99" s="79"/>
      <c r="L99" s="79"/>
    </row>
    <row r="100">
      <c r="A100" s="17"/>
      <c r="C100" s="79"/>
      <c r="D100" s="79"/>
      <c r="E100" s="79"/>
      <c r="F100" s="79"/>
      <c r="G100" s="79"/>
      <c r="H100" s="79"/>
      <c r="I100" s="79"/>
      <c r="J100" s="79"/>
      <c r="K100" s="79"/>
      <c r="L100" s="79"/>
    </row>
    <row r="101">
      <c r="A101" s="17"/>
      <c r="C101" s="79"/>
      <c r="D101" s="79"/>
      <c r="E101" s="79"/>
      <c r="F101" s="79"/>
      <c r="G101" s="79"/>
      <c r="H101" s="79"/>
      <c r="I101" s="79"/>
      <c r="J101" s="79"/>
      <c r="K101" s="79"/>
      <c r="L101" s="79"/>
    </row>
    <row r="102">
      <c r="A102" s="17"/>
      <c r="C102" s="79"/>
      <c r="D102" s="79"/>
      <c r="E102" s="79"/>
      <c r="F102" s="79"/>
      <c r="G102" s="79"/>
      <c r="H102" s="79"/>
      <c r="I102" s="79"/>
      <c r="J102" s="79"/>
      <c r="K102" s="79"/>
      <c r="L102" s="79"/>
    </row>
    <row r="103">
      <c r="A103" s="17"/>
      <c r="C103" s="79"/>
      <c r="D103" s="79"/>
      <c r="E103" s="79"/>
      <c r="F103" s="79"/>
      <c r="G103" s="79"/>
      <c r="H103" s="79"/>
      <c r="I103" s="79"/>
      <c r="J103" s="79"/>
      <c r="K103" s="79"/>
      <c r="L103" s="79"/>
    </row>
    <row r="104">
      <c r="A104" s="17"/>
      <c r="C104" s="79"/>
      <c r="D104" s="79"/>
      <c r="E104" s="79"/>
      <c r="F104" s="79"/>
      <c r="G104" s="79"/>
      <c r="H104" s="79"/>
      <c r="I104" s="79"/>
      <c r="J104" s="79"/>
      <c r="K104" s="79"/>
      <c r="L104" s="79"/>
    </row>
    <row r="105">
      <c r="A105" s="17"/>
      <c r="C105" s="79"/>
      <c r="D105" s="79"/>
      <c r="E105" s="79"/>
      <c r="F105" s="79"/>
      <c r="G105" s="79"/>
      <c r="H105" s="79"/>
      <c r="I105" s="79"/>
      <c r="J105" s="79"/>
      <c r="K105" s="79"/>
      <c r="L105" s="79"/>
    </row>
    <row r="106">
      <c r="A106" s="17"/>
      <c r="C106" s="79"/>
      <c r="D106" s="79"/>
      <c r="E106" s="79"/>
      <c r="F106" s="79"/>
      <c r="G106" s="79"/>
      <c r="H106" s="79"/>
      <c r="I106" s="79"/>
      <c r="J106" s="79"/>
      <c r="K106" s="79"/>
      <c r="L106" s="79"/>
    </row>
    <row r="107">
      <c r="A107" s="17"/>
      <c r="C107" s="79"/>
      <c r="D107" s="79"/>
      <c r="E107" s="79"/>
      <c r="F107" s="79"/>
      <c r="G107" s="79"/>
      <c r="H107" s="79"/>
      <c r="I107" s="79"/>
      <c r="J107" s="79"/>
      <c r="K107" s="79"/>
      <c r="L107" s="79"/>
    </row>
    <row r="108">
      <c r="A108" s="17"/>
      <c r="C108" s="79"/>
      <c r="D108" s="79"/>
      <c r="E108" s="79"/>
      <c r="F108" s="79"/>
      <c r="G108" s="79"/>
      <c r="H108" s="79"/>
      <c r="I108" s="79"/>
      <c r="J108" s="79"/>
      <c r="K108" s="79"/>
      <c r="L108" s="79"/>
    </row>
    <row r="109">
      <c r="A109" s="17"/>
      <c r="C109" s="79"/>
      <c r="D109" s="79"/>
      <c r="E109" s="79"/>
      <c r="F109" s="79"/>
      <c r="G109" s="79"/>
      <c r="H109" s="79"/>
      <c r="I109" s="79"/>
      <c r="J109" s="79"/>
      <c r="K109" s="79"/>
      <c r="L109" s="79"/>
    </row>
    <row r="110">
      <c r="A110" s="17"/>
      <c r="C110" s="79"/>
      <c r="D110" s="79"/>
      <c r="E110" s="79"/>
      <c r="F110" s="79"/>
      <c r="G110" s="79"/>
      <c r="H110" s="79"/>
      <c r="I110" s="79"/>
      <c r="J110" s="79"/>
      <c r="K110" s="79"/>
      <c r="L110" s="79"/>
    </row>
    <row r="111">
      <c r="A111" s="17"/>
      <c r="C111" s="79"/>
      <c r="D111" s="79"/>
      <c r="E111" s="79"/>
      <c r="F111" s="79"/>
      <c r="G111" s="79"/>
      <c r="H111" s="79"/>
      <c r="I111" s="79"/>
      <c r="J111" s="79"/>
      <c r="K111" s="79"/>
      <c r="L111" s="79"/>
    </row>
    <row r="112">
      <c r="A112" s="17"/>
      <c r="C112" s="79"/>
      <c r="D112" s="79"/>
      <c r="E112" s="79"/>
      <c r="F112" s="79"/>
      <c r="G112" s="79"/>
      <c r="H112" s="79"/>
      <c r="I112" s="79"/>
      <c r="J112" s="79"/>
      <c r="K112" s="79"/>
      <c r="L112" s="79"/>
    </row>
    <row r="113">
      <c r="A113" s="17"/>
      <c r="C113" s="79"/>
      <c r="D113" s="79"/>
      <c r="E113" s="79"/>
      <c r="F113" s="79"/>
      <c r="G113" s="79"/>
      <c r="H113" s="79"/>
      <c r="I113" s="79"/>
      <c r="J113" s="79"/>
      <c r="K113" s="79"/>
      <c r="L113" s="79"/>
    </row>
    <row r="114">
      <c r="A114" s="17"/>
      <c r="C114" s="79"/>
      <c r="D114" s="79"/>
      <c r="E114" s="79"/>
      <c r="F114" s="79"/>
      <c r="G114" s="79"/>
      <c r="H114" s="79"/>
      <c r="I114" s="79"/>
      <c r="J114" s="79"/>
      <c r="K114" s="79"/>
      <c r="L114" s="79"/>
    </row>
    <row r="115">
      <c r="A115" s="17"/>
      <c r="C115" s="79"/>
      <c r="D115" s="79"/>
      <c r="E115" s="79"/>
      <c r="F115" s="79"/>
      <c r="G115" s="79"/>
      <c r="H115" s="79"/>
      <c r="I115" s="79"/>
      <c r="J115" s="79"/>
      <c r="K115" s="79"/>
      <c r="L115" s="79"/>
    </row>
    <row r="116">
      <c r="A116" s="17"/>
      <c r="C116" s="79"/>
      <c r="D116" s="79"/>
      <c r="E116" s="79"/>
      <c r="F116" s="79"/>
      <c r="G116" s="79"/>
      <c r="H116" s="79"/>
      <c r="I116" s="79"/>
      <c r="J116" s="79"/>
      <c r="K116" s="79"/>
      <c r="L116" s="79"/>
    </row>
    <row r="117">
      <c r="A117" s="17"/>
      <c r="C117" s="79"/>
      <c r="D117" s="79"/>
      <c r="E117" s="79"/>
      <c r="F117" s="79"/>
      <c r="G117" s="79"/>
      <c r="H117" s="79"/>
      <c r="I117" s="79"/>
      <c r="J117" s="79"/>
      <c r="K117" s="79"/>
      <c r="L117" s="79"/>
    </row>
    <row r="118">
      <c r="A118" s="17"/>
      <c r="C118" s="79"/>
      <c r="D118" s="79"/>
      <c r="E118" s="79"/>
      <c r="F118" s="79"/>
      <c r="G118" s="79"/>
      <c r="H118" s="79"/>
      <c r="I118" s="79"/>
      <c r="J118" s="79"/>
      <c r="K118" s="79"/>
      <c r="L118" s="79"/>
    </row>
    <row r="119">
      <c r="A119" s="17"/>
      <c r="C119" s="79"/>
      <c r="D119" s="79"/>
      <c r="E119" s="79"/>
      <c r="F119" s="79"/>
      <c r="G119" s="79"/>
      <c r="H119" s="79"/>
      <c r="I119" s="79"/>
      <c r="J119" s="79"/>
      <c r="K119" s="79"/>
      <c r="L119" s="79"/>
    </row>
    <row r="120">
      <c r="A120" s="17"/>
      <c r="C120" s="79"/>
      <c r="D120" s="79"/>
      <c r="E120" s="79"/>
      <c r="F120" s="79"/>
      <c r="G120" s="79"/>
      <c r="H120" s="79"/>
      <c r="I120" s="79"/>
      <c r="J120" s="79"/>
      <c r="K120" s="79"/>
      <c r="L120" s="79"/>
    </row>
    <row r="121">
      <c r="A121" s="17"/>
      <c r="C121" s="79"/>
      <c r="D121" s="79"/>
      <c r="E121" s="79"/>
      <c r="F121" s="79"/>
      <c r="G121" s="79"/>
      <c r="H121" s="79"/>
      <c r="I121" s="79"/>
      <c r="J121" s="79"/>
      <c r="K121" s="79"/>
      <c r="L121" s="79"/>
    </row>
    <row r="122">
      <c r="A122" s="17"/>
      <c r="C122" s="79"/>
      <c r="D122" s="79"/>
      <c r="E122" s="79"/>
      <c r="F122" s="79"/>
      <c r="G122" s="79"/>
      <c r="H122" s="79"/>
      <c r="I122" s="79"/>
      <c r="J122" s="79"/>
      <c r="K122" s="79"/>
      <c r="L122" s="79"/>
    </row>
    <row r="123">
      <c r="A123" s="17"/>
      <c r="C123" s="79"/>
      <c r="D123" s="79"/>
      <c r="E123" s="79"/>
      <c r="F123" s="79"/>
      <c r="G123" s="79"/>
      <c r="H123" s="79"/>
      <c r="I123" s="79"/>
      <c r="J123" s="79"/>
      <c r="K123" s="79"/>
      <c r="L123" s="79"/>
    </row>
    <row r="124">
      <c r="A124" s="17"/>
      <c r="C124" s="79"/>
      <c r="D124" s="79"/>
      <c r="E124" s="79"/>
      <c r="F124" s="79"/>
      <c r="G124" s="79"/>
      <c r="H124" s="79"/>
      <c r="I124" s="79"/>
      <c r="J124" s="79"/>
      <c r="K124" s="79"/>
      <c r="L124" s="79"/>
    </row>
    <row r="125">
      <c r="A125" s="17"/>
      <c r="C125" s="79"/>
      <c r="D125" s="79"/>
      <c r="E125" s="79"/>
      <c r="F125" s="79"/>
      <c r="G125" s="79"/>
      <c r="H125" s="79"/>
      <c r="I125" s="79"/>
      <c r="J125" s="79"/>
      <c r="K125" s="79"/>
      <c r="L125" s="79"/>
    </row>
    <row r="126">
      <c r="A126" s="17"/>
      <c r="C126" s="79"/>
      <c r="D126" s="79"/>
      <c r="E126" s="79"/>
      <c r="F126" s="79"/>
      <c r="G126" s="79"/>
      <c r="H126" s="79"/>
      <c r="I126" s="79"/>
      <c r="J126" s="79"/>
      <c r="K126" s="79"/>
      <c r="L126" s="79"/>
    </row>
    <row r="127">
      <c r="A127" s="17"/>
      <c r="C127" s="79"/>
      <c r="D127" s="79"/>
      <c r="E127" s="79"/>
      <c r="F127" s="79"/>
      <c r="G127" s="79"/>
      <c r="H127" s="79"/>
      <c r="I127" s="79"/>
      <c r="J127" s="79"/>
      <c r="K127" s="79"/>
      <c r="L127" s="79"/>
    </row>
    <row r="128">
      <c r="A128" s="17"/>
      <c r="C128" s="79"/>
      <c r="D128" s="79"/>
      <c r="E128" s="79"/>
      <c r="F128" s="79"/>
      <c r="G128" s="79"/>
      <c r="H128" s="79"/>
      <c r="I128" s="79"/>
      <c r="J128" s="79"/>
      <c r="K128" s="79"/>
      <c r="L128" s="79"/>
    </row>
    <row r="129">
      <c r="A129" s="17"/>
      <c r="C129" s="79"/>
      <c r="D129" s="79"/>
      <c r="E129" s="79"/>
      <c r="F129" s="79"/>
      <c r="G129" s="79"/>
      <c r="H129" s="79"/>
      <c r="I129" s="79"/>
      <c r="J129" s="79"/>
      <c r="K129" s="79"/>
      <c r="L129" s="79"/>
    </row>
    <row r="130">
      <c r="A130" s="17"/>
      <c r="C130" s="79"/>
      <c r="D130" s="79"/>
      <c r="E130" s="79"/>
      <c r="F130" s="79"/>
      <c r="G130" s="79"/>
      <c r="H130" s="79"/>
      <c r="I130" s="79"/>
      <c r="J130" s="79"/>
      <c r="K130" s="79"/>
      <c r="L130" s="79"/>
    </row>
    <row r="131">
      <c r="A131" s="17"/>
      <c r="C131" s="79"/>
      <c r="D131" s="79"/>
      <c r="E131" s="79"/>
      <c r="F131" s="79"/>
      <c r="G131" s="79"/>
      <c r="H131" s="79"/>
      <c r="I131" s="79"/>
      <c r="J131" s="79"/>
      <c r="K131" s="79"/>
      <c r="L131" s="79"/>
    </row>
    <row r="132">
      <c r="A132" s="17"/>
      <c r="C132" s="79"/>
      <c r="D132" s="79"/>
      <c r="E132" s="79"/>
      <c r="F132" s="79"/>
      <c r="G132" s="79"/>
      <c r="H132" s="79"/>
      <c r="I132" s="79"/>
      <c r="J132" s="79"/>
      <c r="K132" s="79"/>
      <c r="L132" s="79"/>
    </row>
    <row r="133">
      <c r="A133" s="17"/>
      <c r="C133" s="79"/>
      <c r="D133" s="79"/>
      <c r="E133" s="79"/>
      <c r="F133" s="79"/>
      <c r="G133" s="79"/>
      <c r="H133" s="79"/>
      <c r="I133" s="79"/>
      <c r="J133" s="79"/>
      <c r="K133" s="79"/>
      <c r="L133" s="79"/>
    </row>
    <row r="134">
      <c r="A134" s="17"/>
      <c r="C134" s="79"/>
      <c r="D134" s="79"/>
      <c r="E134" s="79"/>
      <c r="F134" s="79"/>
      <c r="G134" s="79"/>
      <c r="H134" s="79"/>
      <c r="I134" s="79"/>
      <c r="J134" s="79"/>
      <c r="K134" s="79"/>
      <c r="L134" s="79"/>
    </row>
    <row r="135">
      <c r="A135" s="17"/>
      <c r="C135" s="79"/>
      <c r="D135" s="79"/>
      <c r="E135" s="79"/>
      <c r="F135" s="79"/>
      <c r="G135" s="79"/>
      <c r="H135" s="79"/>
      <c r="I135" s="79"/>
      <c r="J135" s="79"/>
      <c r="K135" s="79"/>
      <c r="L135" s="79"/>
    </row>
    <row r="136">
      <c r="A136" s="17"/>
      <c r="C136" s="79"/>
      <c r="D136" s="79"/>
      <c r="E136" s="79"/>
      <c r="F136" s="79"/>
      <c r="G136" s="79"/>
      <c r="H136" s="79"/>
      <c r="I136" s="79"/>
      <c r="J136" s="79"/>
      <c r="K136" s="79"/>
      <c r="L136" s="79"/>
    </row>
    <row r="137">
      <c r="A137" s="17"/>
      <c r="C137" s="79"/>
      <c r="D137" s="79"/>
      <c r="E137" s="79"/>
      <c r="F137" s="79"/>
      <c r="G137" s="79"/>
      <c r="H137" s="79"/>
      <c r="I137" s="79"/>
      <c r="J137" s="79"/>
      <c r="K137" s="79"/>
      <c r="L137" s="79"/>
    </row>
    <row r="138">
      <c r="A138" s="17"/>
      <c r="C138" s="79"/>
      <c r="D138" s="79"/>
      <c r="E138" s="79"/>
      <c r="F138" s="79"/>
      <c r="G138" s="79"/>
      <c r="H138" s="79"/>
      <c r="I138" s="79"/>
      <c r="J138" s="79"/>
      <c r="K138" s="79"/>
      <c r="L138" s="79"/>
    </row>
    <row r="139">
      <c r="A139" s="17"/>
      <c r="C139" s="79"/>
      <c r="D139" s="79"/>
      <c r="E139" s="79"/>
      <c r="F139" s="79"/>
      <c r="G139" s="79"/>
      <c r="H139" s="79"/>
      <c r="I139" s="79"/>
      <c r="J139" s="79"/>
      <c r="K139" s="79"/>
      <c r="L139" s="79"/>
    </row>
    <row r="140">
      <c r="A140" s="17"/>
      <c r="C140" s="79"/>
      <c r="D140" s="79"/>
      <c r="E140" s="79"/>
      <c r="F140" s="79"/>
      <c r="G140" s="79"/>
      <c r="H140" s="79"/>
      <c r="I140" s="79"/>
      <c r="J140" s="79"/>
      <c r="K140" s="79"/>
      <c r="L140" s="79"/>
    </row>
    <row r="141">
      <c r="A141" s="17"/>
      <c r="C141" s="79"/>
      <c r="D141" s="79"/>
      <c r="E141" s="79"/>
      <c r="F141" s="79"/>
      <c r="G141" s="79"/>
      <c r="H141" s="79"/>
      <c r="I141" s="79"/>
      <c r="J141" s="79"/>
      <c r="K141" s="79"/>
      <c r="L141" s="79"/>
    </row>
    <row r="142">
      <c r="A142" s="17"/>
      <c r="C142" s="79"/>
      <c r="D142" s="79"/>
      <c r="E142" s="79"/>
      <c r="F142" s="79"/>
      <c r="G142" s="79"/>
      <c r="H142" s="79"/>
      <c r="I142" s="79"/>
      <c r="J142" s="79"/>
      <c r="K142" s="79"/>
      <c r="L142" s="79"/>
    </row>
    <row r="143">
      <c r="A143" s="17"/>
      <c r="C143" s="79"/>
      <c r="D143" s="79"/>
      <c r="E143" s="79"/>
      <c r="F143" s="79"/>
      <c r="G143" s="79"/>
      <c r="H143" s="79"/>
      <c r="I143" s="79"/>
      <c r="J143" s="79"/>
      <c r="K143" s="79"/>
      <c r="L143" s="79"/>
    </row>
    <row r="144">
      <c r="A144" s="17"/>
      <c r="C144" s="79"/>
      <c r="D144" s="79"/>
      <c r="E144" s="79"/>
      <c r="F144" s="79"/>
      <c r="G144" s="79"/>
      <c r="H144" s="79"/>
      <c r="I144" s="79"/>
      <c r="J144" s="79"/>
      <c r="K144" s="79"/>
      <c r="L144" s="79"/>
    </row>
    <row r="145">
      <c r="A145" s="17"/>
      <c r="C145" s="79"/>
      <c r="D145" s="79"/>
      <c r="E145" s="79"/>
      <c r="F145" s="79"/>
      <c r="G145" s="79"/>
      <c r="H145" s="79"/>
      <c r="I145" s="79"/>
      <c r="J145" s="79"/>
      <c r="K145" s="79"/>
      <c r="L145" s="79"/>
    </row>
    <row r="146">
      <c r="A146" s="17"/>
      <c r="C146" s="79"/>
      <c r="D146" s="79"/>
      <c r="E146" s="79"/>
      <c r="F146" s="79"/>
      <c r="G146" s="79"/>
      <c r="H146" s="79"/>
      <c r="I146" s="79"/>
      <c r="J146" s="79"/>
      <c r="K146" s="79"/>
      <c r="L146" s="79"/>
    </row>
    <row r="147">
      <c r="A147" s="17"/>
      <c r="C147" s="79"/>
      <c r="D147" s="79"/>
      <c r="E147" s="79"/>
      <c r="F147" s="79"/>
      <c r="G147" s="79"/>
      <c r="H147" s="79"/>
      <c r="I147" s="79"/>
      <c r="J147" s="79"/>
      <c r="K147" s="79"/>
      <c r="L147" s="79"/>
    </row>
    <row r="148">
      <c r="A148" s="17"/>
      <c r="C148" s="79"/>
      <c r="D148" s="79"/>
      <c r="E148" s="79"/>
      <c r="F148" s="79"/>
      <c r="G148" s="79"/>
      <c r="H148" s="79"/>
      <c r="I148" s="79"/>
      <c r="J148" s="79"/>
      <c r="K148" s="79"/>
      <c r="L148" s="79"/>
    </row>
    <row r="149">
      <c r="A149" s="17"/>
      <c r="C149" s="79"/>
      <c r="D149" s="79"/>
      <c r="E149" s="79"/>
      <c r="F149" s="79"/>
      <c r="G149" s="79"/>
      <c r="H149" s="79"/>
      <c r="I149" s="79"/>
      <c r="J149" s="79"/>
      <c r="K149" s="79"/>
      <c r="L149" s="79"/>
    </row>
    <row r="150">
      <c r="A150" s="17"/>
      <c r="C150" s="79"/>
      <c r="D150" s="79"/>
      <c r="E150" s="79"/>
      <c r="F150" s="79"/>
      <c r="G150" s="79"/>
      <c r="H150" s="79"/>
      <c r="I150" s="79"/>
      <c r="J150" s="79"/>
      <c r="K150" s="79"/>
      <c r="L150" s="79"/>
    </row>
    <row r="151">
      <c r="A151" s="17"/>
      <c r="C151" s="79"/>
      <c r="D151" s="79"/>
      <c r="E151" s="79"/>
      <c r="F151" s="79"/>
      <c r="G151" s="79"/>
      <c r="H151" s="79"/>
      <c r="I151" s="79"/>
      <c r="J151" s="79"/>
      <c r="K151" s="79"/>
      <c r="L151" s="79"/>
    </row>
    <row r="152">
      <c r="A152" s="17"/>
      <c r="C152" s="79"/>
      <c r="D152" s="79"/>
      <c r="E152" s="79"/>
      <c r="F152" s="79"/>
      <c r="G152" s="79"/>
      <c r="H152" s="79"/>
      <c r="I152" s="79"/>
      <c r="J152" s="79"/>
      <c r="K152" s="79"/>
      <c r="L152" s="79"/>
    </row>
    <row r="153">
      <c r="A153" s="17"/>
      <c r="C153" s="79"/>
      <c r="D153" s="79"/>
      <c r="E153" s="79"/>
      <c r="F153" s="79"/>
      <c r="G153" s="79"/>
      <c r="H153" s="79"/>
      <c r="I153" s="79"/>
      <c r="J153" s="79"/>
      <c r="K153" s="79"/>
      <c r="L153" s="79"/>
    </row>
    <row r="154">
      <c r="A154" s="17"/>
      <c r="C154" s="79"/>
      <c r="D154" s="79"/>
      <c r="E154" s="79"/>
      <c r="F154" s="79"/>
      <c r="G154" s="79"/>
      <c r="H154" s="79"/>
      <c r="I154" s="79"/>
      <c r="J154" s="79"/>
      <c r="K154" s="79"/>
      <c r="L154" s="79"/>
    </row>
    <row r="155">
      <c r="A155" s="17"/>
      <c r="C155" s="79"/>
      <c r="D155" s="79"/>
      <c r="E155" s="79"/>
      <c r="F155" s="79"/>
      <c r="G155" s="79"/>
      <c r="H155" s="79"/>
      <c r="I155" s="79"/>
      <c r="J155" s="79"/>
      <c r="K155" s="79"/>
      <c r="L155" s="79"/>
    </row>
    <row r="156">
      <c r="A156" s="17"/>
      <c r="C156" s="79"/>
      <c r="D156" s="79"/>
      <c r="E156" s="79"/>
      <c r="F156" s="79"/>
      <c r="G156" s="79"/>
      <c r="H156" s="79"/>
      <c r="I156" s="79"/>
      <c r="J156" s="79"/>
      <c r="K156" s="79"/>
      <c r="L156" s="79"/>
    </row>
    <row r="157">
      <c r="A157" s="17"/>
      <c r="C157" s="79"/>
      <c r="D157" s="79"/>
      <c r="E157" s="79"/>
      <c r="F157" s="79"/>
      <c r="G157" s="79"/>
      <c r="H157" s="79"/>
      <c r="I157" s="79"/>
      <c r="J157" s="79"/>
      <c r="K157" s="79"/>
      <c r="L157" s="79"/>
    </row>
    <row r="158">
      <c r="A158" s="17"/>
      <c r="C158" s="79"/>
      <c r="D158" s="79"/>
      <c r="E158" s="79"/>
      <c r="F158" s="79"/>
      <c r="G158" s="79"/>
      <c r="H158" s="79"/>
      <c r="I158" s="79"/>
      <c r="J158" s="79"/>
      <c r="K158" s="79"/>
      <c r="L158" s="79"/>
    </row>
    <row r="159">
      <c r="A159" s="17"/>
      <c r="C159" s="79"/>
      <c r="D159" s="79"/>
      <c r="E159" s="79"/>
      <c r="F159" s="79"/>
      <c r="G159" s="79"/>
      <c r="H159" s="79"/>
      <c r="I159" s="79"/>
      <c r="J159" s="79"/>
      <c r="K159" s="79"/>
      <c r="L159" s="79"/>
    </row>
    <row r="160">
      <c r="A160" s="17"/>
      <c r="C160" s="79"/>
      <c r="D160" s="79"/>
      <c r="E160" s="79"/>
      <c r="F160" s="79"/>
      <c r="G160" s="79"/>
      <c r="H160" s="79"/>
      <c r="I160" s="79"/>
      <c r="J160" s="79"/>
      <c r="K160" s="79"/>
      <c r="L160" s="79"/>
    </row>
    <row r="161">
      <c r="A161" s="17"/>
      <c r="C161" s="79"/>
      <c r="D161" s="79"/>
      <c r="E161" s="79"/>
      <c r="F161" s="79"/>
      <c r="G161" s="79"/>
      <c r="H161" s="79"/>
      <c r="I161" s="79"/>
      <c r="J161" s="79"/>
      <c r="K161" s="79"/>
      <c r="L161" s="79"/>
    </row>
    <row r="162">
      <c r="A162" s="17"/>
      <c r="C162" s="79"/>
      <c r="D162" s="79"/>
      <c r="E162" s="79"/>
      <c r="F162" s="79"/>
      <c r="G162" s="79"/>
      <c r="H162" s="79"/>
      <c r="I162" s="79"/>
      <c r="J162" s="79"/>
      <c r="K162" s="79"/>
      <c r="L162" s="79"/>
    </row>
    <row r="163">
      <c r="A163" s="17"/>
      <c r="C163" s="79"/>
      <c r="D163" s="79"/>
      <c r="E163" s="79"/>
      <c r="F163" s="79"/>
      <c r="G163" s="79"/>
      <c r="H163" s="79"/>
      <c r="I163" s="79"/>
      <c r="J163" s="79"/>
      <c r="K163" s="79"/>
      <c r="L163" s="79"/>
    </row>
    <row r="164">
      <c r="A164" s="17"/>
      <c r="C164" s="79"/>
      <c r="D164" s="79"/>
      <c r="E164" s="79"/>
      <c r="F164" s="79"/>
      <c r="G164" s="79"/>
      <c r="H164" s="79"/>
      <c r="I164" s="79"/>
      <c r="J164" s="79"/>
      <c r="K164" s="79"/>
      <c r="L164" s="79"/>
    </row>
    <row r="165">
      <c r="A165" s="17"/>
      <c r="C165" s="79"/>
      <c r="D165" s="79"/>
      <c r="E165" s="79"/>
      <c r="F165" s="79"/>
      <c r="G165" s="79"/>
      <c r="H165" s="79"/>
      <c r="I165" s="79"/>
      <c r="J165" s="79"/>
      <c r="K165" s="79"/>
      <c r="L165" s="79"/>
    </row>
    <row r="166">
      <c r="A166" s="17"/>
      <c r="C166" s="79"/>
      <c r="D166" s="79"/>
      <c r="E166" s="79"/>
      <c r="F166" s="79"/>
      <c r="G166" s="79"/>
      <c r="H166" s="79"/>
      <c r="I166" s="79"/>
      <c r="J166" s="79"/>
      <c r="K166" s="79"/>
      <c r="L166" s="79"/>
    </row>
    <row r="167">
      <c r="A167" s="17"/>
      <c r="C167" s="79"/>
      <c r="D167" s="79"/>
      <c r="E167" s="79"/>
      <c r="F167" s="79"/>
      <c r="G167" s="79"/>
      <c r="H167" s="79"/>
      <c r="I167" s="79"/>
      <c r="J167" s="79"/>
      <c r="K167" s="79"/>
      <c r="L167" s="79"/>
    </row>
    <row r="168">
      <c r="A168" s="17"/>
      <c r="C168" s="79"/>
      <c r="D168" s="79"/>
      <c r="E168" s="79"/>
      <c r="F168" s="79"/>
      <c r="G168" s="79"/>
      <c r="H168" s="79"/>
      <c r="I168" s="79"/>
      <c r="J168" s="79"/>
      <c r="K168" s="79"/>
      <c r="L168" s="79"/>
    </row>
    <row r="169">
      <c r="A169" s="17"/>
      <c r="C169" s="79"/>
      <c r="D169" s="79"/>
      <c r="E169" s="79"/>
      <c r="F169" s="79"/>
      <c r="G169" s="79"/>
      <c r="H169" s="79"/>
      <c r="I169" s="79"/>
      <c r="J169" s="79"/>
      <c r="K169" s="79"/>
      <c r="L169" s="79"/>
    </row>
    <row r="170">
      <c r="A170" s="17"/>
      <c r="C170" s="79"/>
      <c r="D170" s="79"/>
      <c r="E170" s="79"/>
      <c r="F170" s="79"/>
      <c r="G170" s="79"/>
      <c r="H170" s="79"/>
      <c r="I170" s="79"/>
      <c r="J170" s="79"/>
      <c r="K170" s="79"/>
      <c r="L170" s="79"/>
    </row>
    <row r="171">
      <c r="A171" s="17"/>
      <c r="C171" s="79"/>
      <c r="D171" s="79"/>
      <c r="E171" s="79"/>
      <c r="F171" s="79"/>
      <c r="G171" s="79"/>
      <c r="H171" s="79"/>
      <c r="I171" s="79"/>
      <c r="J171" s="79"/>
      <c r="K171" s="79"/>
      <c r="L171" s="79"/>
    </row>
    <row r="172">
      <c r="A172" s="17"/>
      <c r="C172" s="79"/>
      <c r="D172" s="79"/>
      <c r="E172" s="79"/>
      <c r="F172" s="79"/>
      <c r="G172" s="79"/>
      <c r="H172" s="79"/>
      <c r="I172" s="79"/>
      <c r="J172" s="79"/>
      <c r="K172" s="79"/>
      <c r="L172" s="79"/>
    </row>
    <row r="173">
      <c r="A173" s="17"/>
      <c r="C173" s="79"/>
      <c r="D173" s="79"/>
      <c r="E173" s="79"/>
      <c r="F173" s="79"/>
      <c r="G173" s="79"/>
      <c r="H173" s="79"/>
      <c r="I173" s="79"/>
      <c r="J173" s="79"/>
      <c r="K173" s="79"/>
      <c r="L173" s="79"/>
    </row>
    <row r="174">
      <c r="A174" s="17"/>
      <c r="C174" s="79"/>
      <c r="D174" s="79"/>
      <c r="E174" s="79"/>
      <c r="F174" s="79"/>
      <c r="G174" s="79"/>
      <c r="H174" s="79"/>
      <c r="I174" s="79"/>
      <c r="J174" s="79"/>
      <c r="K174" s="79"/>
      <c r="L174" s="79"/>
    </row>
    <row r="175">
      <c r="A175" s="17"/>
      <c r="C175" s="79"/>
      <c r="D175" s="79"/>
      <c r="E175" s="79"/>
      <c r="F175" s="79"/>
      <c r="G175" s="79"/>
      <c r="H175" s="79"/>
      <c r="I175" s="79"/>
      <c r="J175" s="79"/>
      <c r="K175" s="79"/>
      <c r="L175" s="79"/>
    </row>
    <row r="176">
      <c r="A176" s="17"/>
      <c r="C176" s="79"/>
      <c r="D176" s="79"/>
      <c r="E176" s="79"/>
      <c r="F176" s="79"/>
      <c r="G176" s="79"/>
      <c r="H176" s="79"/>
      <c r="I176" s="79"/>
      <c r="J176" s="79"/>
      <c r="K176" s="79"/>
      <c r="L176" s="79"/>
    </row>
    <row r="177">
      <c r="A177" s="17"/>
      <c r="C177" s="79"/>
      <c r="D177" s="79"/>
      <c r="E177" s="79"/>
      <c r="F177" s="79"/>
      <c r="G177" s="79"/>
      <c r="H177" s="79"/>
      <c r="I177" s="79"/>
      <c r="J177" s="79"/>
      <c r="K177" s="79"/>
      <c r="L177" s="79"/>
    </row>
    <row r="178">
      <c r="A178" s="17"/>
      <c r="C178" s="79"/>
      <c r="D178" s="79"/>
      <c r="E178" s="79"/>
      <c r="F178" s="79"/>
      <c r="G178" s="79"/>
      <c r="H178" s="79"/>
      <c r="I178" s="79"/>
      <c r="J178" s="79"/>
      <c r="K178" s="79"/>
      <c r="L178" s="79"/>
    </row>
    <row r="179">
      <c r="A179" s="17"/>
      <c r="C179" s="79"/>
      <c r="D179" s="79"/>
      <c r="E179" s="79"/>
      <c r="F179" s="79"/>
      <c r="G179" s="79"/>
      <c r="H179" s="79"/>
      <c r="I179" s="79"/>
      <c r="J179" s="79"/>
      <c r="K179" s="79"/>
      <c r="L179" s="79"/>
    </row>
    <row r="180">
      <c r="A180" s="17"/>
      <c r="C180" s="79"/>
      <c r="D180" s="79"/>
      <c r="E180" s="79"/>
      <c r="F180" s="79"/>
      <c r="G180" s="79"/>
      <c r="H180" s="79"/>
      <c r="I180" s="79"/>
      <c r="J180" s="79"/>
      <c r="K180" s="79"/>
      <c r="L180" s="79"/>
    </row>
    <row r="181">
      <c r="A181" s="17"/>
      <c r="C181" s="79"/>
      <c r="D181" s="79"/>
      <c r="E181" s="79"/>
      <c r="F181" s="79"/>
      <c r="G181" s="79"/>
      <c r="H181" s="79"/>
      <c r="I181" s="79"/>
      <c r="J181" s="79"/>
      <c r="K181" s="79"/>
      <c r="L181" s="79"/>
    </row>
    <row r="182">
      <c r="A182" s="17"/>
      <c r="C182" s="79"/>
      <c r="D182" s="79"/>
      <c r="E182" s="79"/>
      <c r="F182" s="79"/>
      <c r="G182" s="79"/>
      <c r="H182" s="79"/>
      <c r="I182" s="79"/>
      <c r="J182" s="79"/>
      <c r="K182" s="79"/>
      <c r="L182" s="79"/>
    </row>
    <row r="183">
      <c r="A183" s="17"/>
      <c r="C183" s="79"/>
      <c r="D183" s="79"/>
      <c r="E183" s="79"/>
      <c r="F183" s="79"/>
      <c r="G183" s="79"/>
      <c r="H183" s="79"/>
      <c r="I183" s="79"/>
      <c r="J183" s="79"/>
      <c r="K183" s="79"/>
      <c r="L183" s="79"/>
    </row>
    <row r="184">
      <c r="A184" s="17"/>
      <c r="C184" s="79"/>
      <c r="D184" s="79"/>
      <c r="E184" s="79"/>
      <c r="F184" s="79"/>
      <c r="G184" s="79"/>
      <c r="H184" s="79"/>
      <c r="I184" s="79"/>
      <c r="J184" s="79"/>
      <c r="K184" s="79"/>
      <c r="L184" s="79"/>
    </row>
    <row r="185">
      <c r="A185" s="17"/>
      <c r="C185" s="79"/>
      <c r="D185" s="79"/>
      <c r="E185" s="79"/>
      <c r="F185" s="79"/>
      <c r="G185" s="79"/>
      <c r="H185" s="79"/>
      <c r="I185" s="79"/>
      <c r="J185" s="79"/>
      <c r="K185" s="79"/>
      <c r="L185" s="79"/>
    </row>
    <row r="186">
      <c r="A186" s="17"/>
      <c r="C186" s="79"/>
      <c r="D186" s="79"/>
      <c r="E186" s="79"/>
      <c r="F186" s="79"/>
      <c r="G186" s="79"/>
      <c r="H186" s="79"/>
      <c r="I186" s="79"/>
      <c r="J186" s="79"/>
      <c r="K186" s="79"/>
      <c r="L186" s="79"/>
    </row>
    <row r="187">
      <c r="A187" s="17"/>
      <c r="C187" s="79"/>
      <c r="D187" s="79"/>
      <c r="E187" s="79"/>
      <c r="F187" s="79"/>
      <c r="G187" s="79"/>
      <c r="H187" s="79"/>
      <c r="I187" s="79"/>
      <c r="J187" s="79"/>
      <c r="K187" s="79"/>
      <c r="L187" s="79"/>
    </row>
    <row r="188">
      <c r="A188" s="17"/>
      <c r="C188" s="79"/>
      <c r="D188" s="79"/>
      <c r="E188" s="79"/>
      <c r="F188" s="79"/>
      <c r="G188" s="79"/>
      <c r="H188" s="79"/>
      <c r="I188" s="79"/>
      <c r="J188" s="79"/>
      <c r="K188" s="79"/>
      <c r="L188" s="79"/>
    </row>
    <row r="189">
      <c r="A189" s="17"/>
      <c r="C189" s="79"/>
      <c r="D189" s="79"/>
      <c r="E189" s="79"/>
      <c r="F189" s="79"/>
      <c r="G189" s="79"/>
      <c r="H189" s="79"/>
      <c r="I189" s="79"/>
      <c r="J189" s="79"/>
      <c r="K189" s="79"/>
      <c r="L189" s="79"/>
    </row>
    <row r="190">
      <c r="A190" s="17"/>
      <c r="C190" s="79"/>
      <c r="D190" s="79"/>
      <c r="E190" s="79"/>
      <c r="F190" s="79"/>
      <c r="G190" s="79"/>
      <c r="H190" s="79"/>
      <c r="I190" s="79"/>
      <c r="J190" s="79"/>
      <c r="K190" s="79"/>
      <c r="L190" s="79"/>
    </row>
    <row r="191">
      <c r="A191" s="17"/>
      <c r="C191" s="79"/>
      <c r="D191" s="79"/>
      <c r="E191" s="79"/>
      <c r="F191" s="79"/>
      <c r="G191" s="79"/>
      <c r="H191" s="79"/>
      <c r="I191" s="79"/>
      <c r="J191" s="79"/>
      <c r="K191" s="79"/>
      <c r="L191" s="79"/>
    </row>
    <row r="192">
      <c r="A192" s="17"/>
      <c r="C192" s="79"/>
      <c r="D192" s="79"/>
      <c r="E192" s="79"/>
      <c r="F192" s="79"/>
      <c r="G192" s="79"/>
      <c r="H192" s="79"/>
      <c r="I192" s="79"/>
      <c r="J192" s="79"/>
      <c r="K192" s="79"/>
      <c r="L192" s="79"/>
    </row>
    <row r="193">
      <c r="A193" s="17"/>
      <c r="C193" s="79"/>
      <c r="D193" s="79"/>
      <c r="E193" s="79"/>
      <c r="F193" s="79"/>
      <c r="G193" s="79"/>
      <c r="H193" s="79"/>
      <c r="I193" s="79"/>
      <c r="J193" s="79"/>
      <c r="K193" s="79"/>
      <c r="L193" s="79"/>
    </row>
    <row r="194">
      <c r="A194" s="17"/>
      <c r="C194" s="79"/>
      <c r="D194" s="79"/>
      <c r="E194" s="79"/>
      <c r="F194" s="79"/>
      <c r="G194" s="79"/>
      <c r="H194" s="79"/>
      <c r="I194" s="79"/>
      <c r="J194" s="79"/>
      <c r="K194" s="79"/>
      <c r="L194" s="79"/>
    </row>
    <row r="195">
      <c r="A195" s="17"/>
      <c r="C195" s="79"/>
      <c r="D195" s="79"/>
      <c r="E195" s="79"/>
      <c r="F195" s="79"/>
      <c r="G195" s="79"/>
      <c r="H195" s="79"/>
      <c r="I195" s="79"/>
      <c r="J195" s="79"/>
      <c r="K195" s="79"/>
      <c r="L195" s="79"/>
    </row>
    <row r="196">
      <c r="A196" s="17"/>
      <c r="C196" s="79"/>
      <c r="D196" s="79"/>
      <c r="E196" s="79"/>
      <c r="F196" s="79"/>
      <c r="G196" s="79"/>
      <c r="H196" s="79"/>
      <c r="I196" s="79"/>
      <c r="J196" s="79"/>
      <c r="K196" s="79"/>
      <c r="L196" s="79"/>
    </row>
    <row r="197">
      <c r="A197" s="17"/>
      <c r="C197" s="79"/>
      <c r="D197" s="79"/>
      <c r="E197" s="79"/>
      <c r="F197" s="79"/>
      <c r="G197" s="79"/>
      <c r="H197" s="79"/>
      <c r="I197" s="79"/>
      <c r="J197" s="79"/>
      <c r="K197" s="79"/>
      <c r="L197" s="79"/>
    </row>
    <row r="198">
      <c r="A198" s="17"/>
      <c r="C198" s="79"/>
      <c r="D198" s="79"/>
      <c r="E198" s="79"/>
      <c r="F198" s="79"/>
      <c r="G198" s="79"/>
      <c r="H198" s="79"/>
      <c r="I198" s="79"/>
      <c r="J198" s="79"/>
      <c r="K198" s="79"/>
      <c r="L198" s="79"/>
    </row>
    <row r="199">
      <c r="A199" s="17"/>
      <c r="C199" s="79"/>
      <c r="D199" s="79"/>
      <c r="E199" s="79"/>
      <c r="F199" s="79"/>
      <c r="G199" s="79"/>
      <c r="H199" s="79"/>
      <c r="I199" s="79"/>
      <c r="J199" s="79"/>
      <c r="K199" s="79"/>
      <c r="L199" s="79"/>
    </row>
    <row r="200">
      <c r="A200" s="17"/>
      <c r="C200" s="79"/>
      <c r="D200" s="79"/>
      <c r="E200" s="79"/>
      <c r="F200" s="79"/>
      <c r="G200" s="79"/>
      <c r="H200" s="79"/>
      <c r="I200" s="79"/>
      <c r="J200" s="79"/>
      <c r="K200" s="79"/>
      <c r="L200" s="79"/>
    </row>
    <row r="201">
      <c r="A201" s="17"/>
      <c r="C201" s="79"/>
      <c r="D201" s="79"/>
      <c r="E201" s="79"/>
      <c r="F201" s="79"/>
      <c r="G201" s="79"/>
      <c r="H201" s="79"/>
      <c r="I201" s="79"/>
      <c r="J201" s="79"/>
      <c r="K201" s="79"/>
      <c r="L201" s="79"/>
    </row>
    <row r="202">
      <c r="A202" s="17"/>
      <c r="C202" s="79"/>
      <c r="D202" s="79"/>
      <c r="E202" s="79"/>
      <c r="F202" s="79"/>
      <c r="G202" s="79"/>
      <c r="H202" s="79"/>
      <c r="I202" s="79"/>
      <c r="J202" s="79"/>
      <c r="K202" s="79"/>
      <c r="L202" s="79"/>
    </row>
    <row r="203">
      <c r="A203" s="17"/>
      <c r="C203" s="79"/>
      <c r="D203" s="79"/>
      <c r="E203" s="79"/>
      <c r="F203" s="79"/>
      <c r="G203" s="79"/>
      <c r="H203" s="79"/>
      <c r="I203" s="79"/>
      <c r="J203" s="79"/>
      <c r="K203" s="79"/>
      <c r="L203" s="79"/>
    </row>
    <row r="204">
      <c r="A204" s="17"/>
      <c r="C204" s="79"/>
      <c r="D204" s="79"/>
      <c r="E204" s="79"/>
      <c r="F204" s="79"/>
      <c r="G204" s="79"/>
      <c r="H204" s="79"/>
      <c r="I204" s="79"/>
      <c r="J204" s="79"/>
      <c r="K204" s="79"/>
      <c r="L204" s="79"/>
    </row>
    <row r="205">
      <c r="A205" s="17"/>
      <c r="C205" s="79"/>
      <c r="D205" s="79"/>
      <c r="E205" s="79"/>
      <c r="F205" s="79"/>
      <c r="G205" s="79"/>
      <c r="H205" s="79"/>
      <c r="I205" s="79"/>
      <c r="J205" s="79"/>
      <c r="K205" s="79"/>
      <c r="L205" s="79"/>
    </row>
    <row r="206">
      <c r="A206" s="17"/>
      <c r="C206" s="79"/>
      <c r="D206" s="79"/>
      <c r="E206" s="79"/>
      <c r="F206" s="79"/>
      <c r="G206" s="79"/>
      <c r="H206" s="79"/>
      <c r="I206" s="79"/>
      <c r="J206" s="79"/>
      <c r="K206" s="79"/>
      <c r="L206" s="79"/>
    </row>
    <row r="207">
      <c r="A207" s="17"/>
      <c r="C207" s="79"/>
      <c r="D207" s="79"/>
      <c r="E207" s="79"/>
      <c r="F207" s="79"/>
      <c r="G207" s="79"/>
      <c r="H207" s="79"/>
      <c r="I207" s="79"/>
      <c r="J207" s="79"/>
      <c r="K207" s="79"/>
      <c r="L207" s="79"/>
    </row>
    <row r="208">
      <c r="A208" s="17"/>
      <c r="C208" s="79"/>
      <c r="D208" s="79"/>
      <c r="E208" s="79"/>
      <c r="F208" s="79"/>
      <c r="G208" s="79"/>
      <c r="H208" s="79"/>
      <c r="I208" s="79"/>
      <c r="J208" s="79"/>
      <c r="K208" s="79"/>
      <c r="L208" s="79"/>
    </row>
    <row r="209">
      <c r="A209" s="17"/>
      <c r="C209" s="79"/>
      <c r="D209" s="79"/>
      <c r="E209" s="79"/>
      <c r="F209" s="79"/>
      <c r="G209" s="79"/>
      <c r="H209" s="79"/>
      <c r="I209" s="79"/>
      <c r="J209" s="79"/>
      <c r="K209" s="79"/>
      <c r="L209" s="79"/>
    </row>
    <row r="210">
      <c r="A210" s="17"/>
      <c r="C210" s="79"/>
      <c r="D210" s="79"/>
      <c r="E210" s="79"/>
      <c r="F210" s="79"/>
      <c r="G210" s="79"/>
      <c r="H210" s="79"/>
      <c r="I210" s="79"/>
      <c r="J210" s="79"/>
      <c r="K210" s="79"/>
      <c r="L210" s="79"/>
    </row>
    <row r="211">
      <c r="A211" s="17"/>
      <c r="C211" s="79"/>
      <c r="D211" s="79"/>
      <c r="E211" s="79"/>
      <c r="F211" s="79"/>
      <c r="G211" s="79"/>
      <c r="H211" s="79"/>
      <c r="I211" s="79"/>
      <c r="J211" s="79"/>
      <c r="K211" s="79"/>
      <c r="L211" s="79"/>
    </row>
    <row r="212">
      <c r="A212" s="17"/>
      <c r="C212" s="79"/>
      <c r="D212" s="79"/>
      <c r="E212" s="79"/>
      <c r="F212" s="79"/>
      <c r="G212" s="79"/>
      <c r="H212" s="79"/>
      <c r="I212" s="79"/>
      <c r="J212" s="79"/>
      <c r="K212" s="79"/>
      <c r="L212" s="79"/>
    </row>
    <row r="213">
      <c r="A213" s="17"/>
      <c r="C213" s="79"/>
      <c r="D213" s="79"/>
      <c r="E213" s="79"/>
      <c r="F213" s="79"/>
      <c r="G213" s="79"/>
      <c r="H213" s="79"/>
      <c r="I213" s="79"/>
      <c r="J213" s="79"/>
      <c r="K213" s="79"/>
      <c r="L213" s="79"/>
    </row>
    <row r="214">
      <c r="A214" s="17"/>
      <c r="C214" s="79"/>
      <c r="D214" s="79"/>
      <c r="E214" s="79"/>
      <c r="F214" s="79"/>
      <c r="G214" s="79"/>
      <c r="H214" s="79"/>
      <c r="I214" s="79"/>
      <c r="J214" s="79"/>
      <c r="K214" s="79"/>
      <c r="L214" s="79"/>
    </row>
    <row r="215">
      <c r="A215" s="17"/>
      <c r="C215" s="79"/>
      <c r="D215" s="79"/>
      <c r="E215" s="79"/>
      <c r="F215" s="79"/>
      <c r="G215" s="79"/>
      <c r="H215" s="79"/>
      <c r="I215" s="79"/>
      <c r="J215" s="79"/>
      <c r="K215" s="79"/>
      <c r="L215" s="79"/>
    </row>
    <row r="216">
      <c r="A216" s="17"/>
      <c r="C216" s="79"/>
      <c r="D216" s="79"/>
      <c r="E216" s="79"/>
      <c r="F216" s="79"/>
      <c r="G216" s="79"/>
      <c r="H216" s="79"/>
      <c r="I216" s="79"/>
      <c r="J216" s="79"/>
      <c r="K216" s="79"/>
      <c r="L216" s="79"/>
    </row>
    <row r="217">
      <c r="A217" s="17"/>
      <c r="C217" s="79"/>
      <c r="D217" s="79"/>
      <c r="E217" s="79"/>
      <c r="F217" s="79"/>
      <c r="G217" s="79"/>
      <c r="H217" s="79"/>
      <c r="I217" s="79"/>
      <c r="J217" s="79"/>
      <c r="K217" s="79"/>
      <c r="L217" s="79"/>
    </row>
    <row r="218">
      <c r="A218" s="17"/>
      <c r="C218" s="79"/>
      <c r="D218" s="79"/>
      <c r="E218" s="79"/>
      <c r="F218" s="79"/>
      <c r="G218" s="79"/>
      <c r="H218" s="79"/>
      <c r="I218" s="79"/>
      <c r="J218" s="79"/>
      <c r="K218" s="79"/>
      <c r="L218" s="79"/>
    </row>
    <row r="219">
      <c r="A219" s="17"/>
      <c r="C219" s="79"/>
      <c r="D219" s="79"/>
      <c r="E219" s="79"/>
      <c r="F219" s="79"/>
      <c r="G219" s="79"/>
      <c r="H219" s="79"/>
      <c r="I219" s="79"/>
      <c r="J219" s="79"/>
      <c r="K219" s="79"/>
      <c r="L219" s="79"/>
    </row>
    <row r="220">
      <c r="A220" s="17"/>
      <c r="C220" s="79"/>
      <c r="D220" s="79"/>
      <c r="E220" s="79"/>
      <c r="F220" s="79"/>
      <c r="G220" s="79"/>
      <c r="H220" s="79"/>
      <c r="I220" s="79"/>
      <c r="J220" s="79"/>
      <c r="K220" s="79"/>
      <c r="L220" s="79"/>
    </row>
    <row r="221">
      <c r="A221" s="17"/>
      <c r="C221" s="79"/>
      <c r="D221" s="79"/>
      <c r="E221" s="79"/>
      <c r="F221" s="79"/>
      <c r="G221" s="79"/>
      <c r="H221" s="79"/>
      <c r="I221" s="79"/>
      <c r="J221" s="79"/>
      <c r="K221" s="79"/>
      <c r="L221" s="79"/>
    </row>
    <row r="222">
      <c r="A222" s="17"/>
      <c r="C222" s="79"/>
      <c r="D222" s="79"/>
      <c r="E222" s="79"/>
      <c r="F222" s="79"/>
      <c r="G222" s="79"/>
      <c r="H222" s="79"/>
      <c r="I222" s="79"/>
      <c r="J222" s="79"/>
      <c r="K222" s="79"/>
      <c r="L222" s="79"/>
    </row>
    <row r="223">
      <c r="A223" s="17"/>
      <c r="C223" s="79"/>
      <c r="D223" s="79"/>
      <c r="E223" s="79"/>
      <c r="F223" s="79"/>
      <c r="G223" s="79"/>
      <c r="H223" s="79"/>
      <c r="I223" s="79"/>
      <c r="J223" s="79"/>
      <c r="K223" s="79"/>
      <c r="L223" s="79"/>
    </row>
    <row r="224">
      <c r="A224" s="17"/>
      <c r="C224" s="79"/>
      <c r="D224" s="79"/>
      <c r="E224" s="79"/>
      <c r="F224" s="79"/>
      <c r="G224" s="79"/>
      <c r="H224" s="79"/>
      <c r="I224" s="79"/>
      <c r="J224" s="79"/>
      <c r="K224" s="79"/>
      <c r="L224" s="79"/>
    </row>
    <row r="225">
      <c r="A225" s="17"/>
      <c r="C225" s="79"/>
      <c r="D225" s="79"/>
      <c r="E225" s="79"/>
      <c r="F225" s="79"/>
      <c r="G225" s="79"/>
      <c r="H225" s="79"/>
      <c r="I225" s="79"/>
      <c r="J225" s="79"/>
      <c r="K225" s="79"/>
      <c r="L225" s="79"/>
    </row>
    <row r="226">
      <c r="A226" s="17"/>
      <c r="C226" s="79"/>
      <c r="D226" s="79"/>
      <c r="E226" s="79"/>
      <c r="F226" s="79"/>
      <c r="G226" s="79"/>
      <c r="H226" s="79"/>
      <c r="I226" s="79"/>
      <c r="J226" s="79"/>
      <c r="K226" s="79"/>
      <c r="L226" s="79"/>
    </row>
    <row r="227">
      <c r="A227" s="17"/>
      <c r="C227" s="79"/>
      <c r="D227" s="79"/>
      <c r="E227" s="79"/>
      <c r="F227" s="79"/>
      <c r="G227" s="79"/>
      <c r="H227" s="79"/>
      <c r="I227" s="79"/>
      <c r="J227" s="79"/>
      <c r="K227" s="79"/>
      <c r="L227" s="79"/>
    </row>
    <row r="228">
      <c r="A228" s="17"/>
      <c r="C228" s="79"/>
      <c r="D228" s="79"/>
      <c r="E228" s="79"/>
      <c r="F228" s="79"/>
      <c r="G228" s="79"/>
      <c r="H228" s="79"/>
      <c r="I228" s="79"/>
      <c r="J228" s="79"/>
      <c r="K228" s="79"/>
      <c r="L228" s="79"/>
    </row>
    <row r="229">
      <c r="A229" s="17"/>
      <c r="C229" s="79"/>
      <c r="D229" s="79"/>
      <c r="E229" s="79"/>
      <c r="F229" s="79"/>
      <c r="G229" s="79"/>
      <c r="H229" s="79"/>
      <c r="I229" s="79"/>
      <c r="J229" s="79"/>
      <c r="K229" s="79"/>
      <c r="L229" s="79"/>
    </row>
    <row r="230">
      <c r="A230" s="17"/>
      <c r="C230" s="79"/>
      <c r="D230" s="79"/>
      <c r="E230" s="79"/>
      <c r="F230" s="79"/>
      <c r="G230" s="79"/>
      <c r="H230" s="79"/>
      <c r="I230" s="79"/>
      <c r="J230" s="79"/>
      <c r="K230" s="79"/>
      <c r="L230" s="79"/>
    </row>
    <row r="231">
      <c r="A231" s="17"/>
      <c r="C231" s="79"/>
      <c r="D231" s="79"/>
      <c r="E231" s="79"/>
      <c r="F231" s="79"/>
      <c r="G231" s="79"/>
      <c r="H231" s="79"/>
      <c r="I231" s="79"/>
      <c r="J231" s="79"/>
      <c r="K231" s="79"/>
      <c r="L231" s="79"/>
    </row>
    <row r="232">
      <c r="A232" s="17"/>
      <c r="C232" s="79"/>
      <c r="D232" s="79"/>
      <c r="E232" s="79"/>
      <c r="F232" s="79"/>
      <c r="G232" s="79"/>
      <c r="H232" s="79"/>
      <c r="I232" s="79"/>
      <c r="J232" s="79"/>
      <c r="K232" s="79"/>
      <c r="L232" s="79"/>
    </row>
    <row r="233">
      <c r="A233" s="17"/>
      <c r="C233" s="79"/>
      <c r="D233" s="79"/>
      <c r="E233" s="79"/>
      <c r="F233" s="79"/>
      <c r="G233" s="79"/>
      <c r="H233" s="79"/>
      <c r="I233" s="79"/>
      <c r="J233" s="79"/>
      <c r="K233" s="79"/>
      <c r="L233" s="79"/>
    </row>
    <row r="234">
      <c r="A234" s="17"/>
      <c r="C234" s="79"/>
      <c r="D234" s="79"/>
      <c r="E234" s="79"/>
      <c r="F234" s="79"/>
      <c r="G234" s="79"/>
      <c r="H234" s="79"/>
      <c r="I234" s="79"/>
      <c r="J234" s="79"/>
      <c r="K234" s="79"/>
      <c r="L234" s="79"/>
    </row>
    <row r="235">
      <c r="A235" s="17"/>
      <c r="C235" s="79"/>
      <c r="D235" s="79"/>
      <c r="E235" s="79"/>
      <c r="F235" s="79"/>
      <c r="G235" s="79"/>
      <c r="H235" s="79"/>
      <c r="I235" s="79"/>
      <c r="J235" s="79"/>
      <c r="K235" s="79"/>
      <c r="L235" s="79"/>
    </row>
    <row r="236">
      <c r="A236" s="17"/>
      <c r="C236" s="79"/>
      <c r="D236" s="79"/>
      <c r="E236" s="79"/>
      <c r="F236" s="79"/>
      <c r="G236" s="79"/>
      <c r="H236" s="79"/>
      <c r="I236" s="79"/>
      <c r="J236" s="79"/>
      <c r="K236" s="79"/>
      <c r="L236" s="79"/>
    </row>
    <row r="237">
      <c r="A237" s="17"/>
      <c r="C237" s="79"/>
      <c r="D237" s="79"/>
      <c r="E237" s="79"/>
      <c r="F237" s="79"/>
      <c r="G237" s="79"/>
      <c r="H237" s="79"/>
      <c r="I237" s="79"/>
      <c r="J237" s="79"/>
      <c r="K237" s="79"/>
      <c r="L237" s="79"/>
    </row>
    <row r="238">
      <c r="A238" s="17"/>
      <c r="C238" s="79"/>
      <c r="D238" s="79"/>
      <c r="E238" s="79"/>
      <c r="F238" s="79"/>
      <c r="G238" s="79"/>
      <c r="H238" s="79"/>
      <c r="I238" s="79"/>
      <c r="J238" s="79"/>
      <c r="K238" s="79"/>
      <c r="L238" s="79"/>
    </row>
    <row r="239">
      <c r="A239" s="17"/>
      <c r="C239" s="79"/>
      <c r="D239" s="79"/>
      <c r="E239" s="79"/>
      <c r="F239" s="79"/>
      <c r="G239" s="79"/>
      <c r="H239" s="79"/>
      <c r="I239" s="79"/>
      <c r="J239" s="79"/>
      <c r="K239" s="79"/>
      <c r="L239" s="79"/>
    </row>
    <row r="240">
      <c r="A240" s="17"/>
      <c r="C240" s="79"/>
      <c r="D240" s="79"/>
      <c r="E240" s="79"/>
      <c r="F240" s="79"/>
      <c r="G240" s="79"/>
      <c r="H240" s="79"/>
      <c r="I240" s="79"/>
      <c r="J240" s="79"/>
      <c r="K240" s="79"/>
      <c r="L240" s="79"/>
    </row>
    <row r="241">
      <c r="A241" s="17"/>
      <c r="C241" s="79"/>
      <c r="D241" s="79"/>
      <c r="E241" s="79"/>
      <c r="F241" s="79"/>
      <c r="G241" s="79"/>
      <c r="H241" s="79"/>
      <c r="I241" s="79"/>
      <c r="J241" s="79"/>
      <c r="K241" s="79"/>
      <c r="L241" s="79"/>
    </row>
    <row r="242">
      <c r="A242" s="17"/>
      <c r="C242" s="79"/>
      <c r="D242" s="79"/>
      <c r="E242" s="79"/>
      <c r="F242" s="79"/>
      <c r="G242" s="79"/>
      <c r="H242" s="79"/>
      <c r="I242" s="79"/>
      <c r="J242" s="79"/>
      <c r="K242" s="79"/>
      <c r="L242" s="79"/>
    </row>
    <row r="243">
      <c r="A243" s="17"/>
      <c r="C243" s="79"/>
      <c r="D243" s="79"/>
      <c r="E243" s="79"/>
      <c r="F243" s="79"/>
      <c r="G243" s="79"/>
      <c r="H243" s="79"/>
      <c r="I243" s="79"/>
      <c r="J243" s="79"/>
      <c r="K243" s="79"/>
      <c r="L243" s="79"/>
    </row>
    <row r="244">
      <c r="A244" s="17"/>
      <c r="C244" s="79"/>
      <c r="D244" s="79"/>
      <c r="E244" s="79"/>
      <c r="F244" s="79"/>
      <c r="G244" s="79"/>
      <c r="H244" s="79"/>
      <c r="I244" s="79"/>
      <c r="J244" s="79"/>
      <c r="K244" s="79"/>
      <c r="L244" s="79"/>
    </row>
    <row r="245">
      <c r="A245" s="17"/>
      <c r="C245" s="79"/>
      <c r="D245" s="79"/>
      <c r="E245" s="79"/>
      <c r="F245" s="79"/>
      <c r="G245" s="79"/>
      <c r="H245" s="79"/>
      <c r="I245" s="79"/>
      <c r="J245" s="79"/>
      <c r="K245" s="79"/>
      <c r="L245" s="79"/>
    </row>
    <row r="246">
      <c r="A246" s="17"/>
      <c r="C246" s="79"/>
      <c r="D246" s="79"/>
      <c r="E246" s="79"/>
      <c r="F246" s="79"/>
      <c r="G246" s="79"/>
      <c r="H246" s="79"/>
      <c r="I246" s="79"/>
      <c r="J246" s="79"/>
      <c r="K246" s="79"/>
      <c r="L246" s="79"/>
    </row>
    <row r="247">
      <c r="A247" s="17"/>
      <c r="C247" s="79"/>
      <c r="D247" s="79"/>
      <c r="E247" s="79"/>
      <c r="F247" s="79"/>
      <c r="G247" s="79"/>
      <c r="H247" s="79"/>
      <c r="I247" s="79"/>
      <c r="J247" s="79"/>
      <c r="K247" s="79"/>
      <c r="L247" s="79"/>
    </row>
    <row r="248">
      <c r="A248" s="17"/>
      <c r="C248" s="79"/>
      <c r="D248" s="79"/>
      <c r="E248" s="79"/>
      <c r="F248" s="79"/>
      <c r="G248" s="79"/>
      <c r="H248" s="79"/>
      <c r="I248" s="79"/>
      <c r="J248" s="79"/>
      <c r="K248" s="79"/>
      <c r="L248" s="79"/>
    </row>
    <row r="249">
      <c r="A249" s="17"/>
      <c r="C249" s="79"/>
      <c r="D249" s="79"/>
      <c r="E249" s="79"/>
      <c r="F249" s="79"/>
      <c r="G249" s="79"/>
      <c r="H249" s="79"/>
      <c r="I249" s="79"/>
      <c r="J249" s="79"/>
      <c r="K249" s="79"/>
      <c r="L249" s="79"/>
    </row>
    <row r="250">
      <c r="A250" s="17"/>
      <c r="C250" s="79"/>
      <c r="D250" s="79"/>
      <c r="E250" s="79"/>
      <c r="F250" s="79"/>
      <c r="G250" s="79"/>
      <c r="H250" s="79"/>
      <c r="I250" s="79"/>
      <c r="J250" s="79"/>
      <c r="K250" s="79"/>
      <c r="L250" s="79"/>
    </row>
    <row r="251">
      <c r="A251" s="17"/>
      <c r="C251" s="79"/>
      <c r="D251" s="79"/>
      <c r="E251" s="79"/>
      <c r="F251" s="79"/>
      <c r="G251" s="79"/>
      <c r="H251" s="79"/>
      <c r="I251" s="79"/>
      <c r="J251" s="79"/>
      <c r="K251" s="79"/>
      <c r="L251" s="79"/>
    </row>
    <row r="252">
      <c r="A252" s="17"/>
      <c r="C252" s="79"/>
      <c r="D252" s="79"/>
      <c r="E252" s="79"/>
      <c r="F252" s="79"/>
      <c r="G252" s="79"/>
      <c r="H252" s="79"/>
      <c r="I252" s="79"/>
      <c r="J252" s="79"/>
      <c r="K252" s="79"/>
      <c r="L252" s="79"/>
    </row>
    <row r="253">
      <c r="A253" s="17"/>
      <c r="C253" s="79"/>
      <c r="D253" s="79"/>
      <c r="E253" s="79"/>
      <c r="F253" s="79"/>
      <c r="G253" s="79"/>
      <c r="H253" s="79"/>
      <c r="I253" s="79"/>
      <c r="J253" s="79"/>
      <c r="K253" s="79"/>
      <c r="L253" s="79"/>
    </row>
    <row r="254">
      <c r="A254" s="17"/>
      <c r="C254" s="79"/>
      <c r="D254" s="79"/>
      <c r="E254" s="79"/>
      <c r="F254" s="79"/>
      <c r="G254" s="79"/>
      <c r="H254" s="79"/>
      <c r="I254" s="79"/>
      <c r="J254" s="79"/>
      <c r="K254" s="79"/>
      <c r="L254" s="79"/>
    </row>
    <row r="255">
      <c r="A255" s="17"/>
      <c r="C255" s="79"/>
      <c r="D255" s="79"/>
      <c r="E255" s="79"/>
      <c r="F255" s="79"/>
      <c r="G255" s="79"/>
      <c r="H255" s="79"/>
      <c r="I255" s="79"/>
      <c r="J255" s="79"/>
      <c r="K255" s="79"/>
      <c r="L255" s="79"/>
    </row>
    <row r="256">
      <c r="A256" s="17"/>
      <c r="C256" s="79"/>
      <c r="D256" s="79"/>
      <c r="E256" s="79"/>
      <c r="F256" s="79"/>
      <c r="G256" s="79"/>
      <c r="H256" s="79"/>
      <c r="I256" s="79"/>
      <c r="J256" s="79"/>
      <c r="K256" s="79"/>
      <c r="L256" s="79"/>
    </row>
    <row r="257">
      <c r="A257" s="17"/>
      <c r="C257" s="79"/>
      <c r="D257" s="79"/>
      <c r="E257" s="79"/>
      <c r="F257" s="79"/>
      <c r="G257" s="79"/>
      <c r="H257" s="79"/>
      <c r="I257" s="79"/>
      <c r="J257" s="79"/>
      <c r="K257" s="79"/>
      <c r="L257" s="79"/>
    </row>
    <row r="258">
      <c r="A258" s="17"/>
      <c r="C258" s="79"/>
      <c r="D258" s="79"/>
      <c r="E258" s="79"/>
      <c r="F258" s="79"/>
      <c r="G258" s="79"/>
      <c r="H258" s="79"/>
      <c r="I258" s="79"/>
      <c r="J258" s="79"/>
      <c r="K258" s="79"/>
      <c r="L258" s="79"/>
    </row>
    <row r="259">
      <c r="A259" s="17"/>
      <c r="C259" s="79"/>
      <c r="D259" s="79"/>
      <c r="E259" s="79"/>
      <c r="F259" s="79"/>
      <c r="G259" s="79"/>
      <c r="H259" s="79"/>
      <c r="I259" s="79"/>
      <c r="J259" s="79"/>
      <c r="K259" s="79"/>
      <c r="L259" s="79"/>
    </row>
    <row r="260">
      <c r="A260" s="17"/>
      <c r="C260" s="79"/>
      <c r="D260" s="79"/>
      <c r="E260" s="79"/>
      <c r="F260" s="79"/>
      <c r="G260" s="79"/>
      <c r="H260" s="79"/>
      <c r="I260" s="79"/>
      <c r="J260" s="79"/>
      <c r="K260" s="79"/>
      <c r="L260" s="79"/>
    </row>
    <row r="261">
      <c r="A261" s="17"/>
      <c r="C261" s="79"/>
      <c r="D261" s="79"/>
      <c r="E261" s="79"/>
      <c r="F261" s="79"/>
      <c r="G261" s="79"/>
      <c r="H261" s="79"/>
      <c r="I261" s="79"/>
      <c r="J261" s="79"/>
      <c r="K261" s="79"/>
      <c r="L261" s="79"/>
    </row>
    <row r="262">
      <c r="A262" s="17"/>
      <c r="C262" s="79"/>
      <c r="D262" s="79"/>
      <c r="E262" s="79"/>
      <c r="F262" s="79"/>
      <c r="G262" s="79"/>
      <c r="H262" s="79"/>
      <c r="I262" s="79"/>
      <c r="J262" s="79"/>
      <c r="K262" s="79"/>
      <c r="L262" s="79"/>
    </row>
    <row r="263">
      <c r="A263" s="17"/>
      <c r="C263" s="79"/>
      <c r="D263" s="79"/>
      <c r="E263" s="79"/>
      <c r="F263" s="79"/>
      <c r="G263" s="79"/>
      <c r="H263" s="79"/>
      <c r="I263" s="79"/>
      <c r="J263" s="79"/>
      <c r="K263" s="79"/>
      <c r="L263" s="79"/>
    </row>
    <row r="264">
      <c r="A264" s="17"/>
      <c r="C264" s="79"/>
      <c r="D264" s="79"/>
      <c r="E264" s="79"/>
      <c r="F264" s="79"/>
      <c r="G264" s="79"/>
      <c r="H264" s="79"/>
      <c r="I264" s="79"/>
      <c r="J264" s="79"/>
      <c r="K264" s="79"/>
      <c r="L264" s="79"/>
    </row>
    <row r="265">
      <c r="A265" s="17"/>
      <c r="C265" s="79"/>
      <c r="D265" s="79"/>
      <c r="E265" s="79"/>
      <c r="F265" s="79"/>
      <c r="G265" s="79"/>
      <c r="H265" s="79"/>
      <c r="I265" s="79"/>
      <c r="J265" s="79"/>
      <c r="K265" s="79"/>
      <c r="L265" s="79"/>
    </row>
    <row r="266">
      <c r="A266" s="17"/>
      <c r="C266" s="79"/>
      <c r="D266" s="79"/>
      <c r="E266" s="79"/>
      <c r="F266" s="79"/>
      <c r="G266" s="79"/>
      <c r="H266" s="79"/>
      <c r="I266" s="79"/>
      <c r="J266" s="79"/>
      <c r="K266" s="79"/>
      <c r="L266" s="79"/>
    </row>
    <row r="267">
      <c r="A267" s="17"/>
      <c r="C267" s="79"/>
      <c r="D267" s="79"/>
      <c r="E267" s="79"/>
      <c r="F267" s="79"/>
      <c r="G267" s="79"/>
      <c r="H267" s="79"/>
      <c r="I267" s="79"/>
      <c r="J267" s="79"/>
      <c r="K267" s="79"/>
      <c r="L267" s="79"/>
    </row>
    <row r="268">
      <c r="A268" s="17"/>
      <c r="C268" s="79"/>
      <c r="D268" s="79"/>
      <c r="E268" s="79"/>
      <c r="F268" s="79"/>
      <c r="G268" s="79"/>
      <c r="H268" s="79"/>
      <c r="I268" s="79"/>
      <c r="J268" s="79"/>
      <c r="K268" s="79"/>
      <c r="L268" s="79"/>
    </row>
    <row r="269">
      <c r="A269" s="17"/>
      <c r="C269" s="79"/>
      <c r="D269" s="79"/>
      <c r="E269" s="79"/>
      <c r="F269" s="79"/>
      <c r="G269" s="79"/>
      <c r="H269" s="79"/>
      <c r="I269" s="79"/>
      <c r="J269" s="79"/>
      <c r="K269" s="79"/>
      <c r="L269" s="79"/>
    </row>
    <row r="270">
      <c r="A270" s="17"/>
      <c r="C270" s="79"/>
      <c r="D270" s="79"/>
      <c r="E270" s="79"/>
      <c r="F270" s="79"/>
      <c r="G270" s="79"/>
      <c r="H270" s="79"/>
      <c r="I270" s="79"/>
      <c r="J270" s="79"/>
      <c r="K270" s="79"/>
      <c r="L270" s="79"/>
    </row>
    <row r="271">
      <c r="A271" s="17"/>
      <c r="C271" s="79"/>
      <c r="D271" s="79"/>
      <c r="E271" s="79"/>
      <c r="F271" s="79"/>
      <c r="G271" s="79"/>
      <c r="H271" s="79"/>
      <c r="I271" s="79"/>
      <c r="J271" s="79"/>
      <c r="K271" s="79"/>
      <c r="L271" s="79"/>
    </row>
    <row r="272">
      <c r="A272" s="17"/>
      <c r="C272" s="79"/>
      <c r="D272" s="79"/>
      <c r="E272" s="79"/>
      <c r="F272" s="79"/>
      <c r="G272" s="79"/>
      <c r="H272" s="79"/>
      <c r="I272" s="79"/>
      <c r="J272" s="79"/>
      <c r="K272" s="79"/>
      <c r="L272" s="79"/>
    </row>
    <row r="273">
      <c r="A273" s="17"/>
      <c r="C273" s="79"/>
      <c r="D273" s="79"/>
      <c r="E273" s="79"/>
      <c r="F273" s="79"/>
      <c r="G273" s="79"/>
      <c r="H273" s="79"/>
      <c r="I273" s="79"/>
      <c r="J273" s="79"/>
      <c r="K273" s="79"/>
      <c r="L273" s="79"/>
    </row>
    <row r="274">
      <c r="A274" s="17"/>
      <c r="C274" s="79"/>
      <c r="D274" s="79"/>
      <c r="E274" s="79"/>
      <c r="F274" s="79"/>
      <c r="G274" s="79"/>
      <c r="H274" s="79"/>
      <c r="I274" s="79"/>
      <c r="J274" s="79"/>
      <c r="K274" s="79"/>
      <c r="L274" s="79"/>
    </row>
    <row r="275">
      <c r="A275" s="17"/>
      <c r="C275" s="79"/>
      <c r="D275" s="79"/>
      <c r="E275" s="79"/>
      <c r="F275" s="79"/>
      <c r="G275" s="79"/>
      <c r="H275" s="79"/>
      <c r="I275" s="79"/>
      <c r="J275" s="79"/>
      <c r="K275" s="79"/>
      <c r="L275" s="79"/>
    </row>
    <row r="276">
      <c r="A276" s="17"/>
      <c r="C276" s="79"/>
      <c r="D276" s="79"/>
      <c r="E276" s="79"/>
      <c r="F276" s="79"/>
      <c r="G276" s="79"/>
      <c r="H276" s="79"/>
      <c r="I276" s="79"/>
      <c r="J276" s="79"/>
      <c r="K276" s="79"/>
      <c r="L276" s="79"/>
    </row>
    <row r="277">
      <c r="A277" s="17"/>
      <c r="C277" s="79"/>
      <c r="D277" s="79"/>
      <c r="E277" s="79"/>
      <c r="F277" s="79"/>
      <c r="G277" s="79"/>
      <c r="H277" s="79"/>
      <c r="I277" s="79"/>
      <c r="J277" s="79"/>
      <c r="K277" s="79"/>
      <c r="L277" s="79"/>
    </row>
    <row r="278">
      <c r="A278" s="17"/>
      <c r="C278" s="79"/>
      <c r="D278" s="79"/>
      <c r="E278" s="79"/>
      <c r="F278" s="79"/>
      <c r="G278" s="79"/>
      <c r="H278" s="79"/>
      <c r="I278" s="79"/>
      <c r="J278" s="79"/>
      <c r="K278" s="79"/>
      <c r="L278" s="79"/>
    </row>
    <row r="279">
      <c r="A279" s="17"/>
      <c r="C279" s="79"/>
      <c r="D279" s="79"/>
      <c r="E279" s="79"/>
      <c r="F279" s="79"/>
      <c r="G279" s="79"/>
      <c r="H279" s="79"/>
      <c r="I279" s="79"/>
      <c r="J279" s="79"/>
      <c r="K279" s="79"/>
      <c r="L279" s="79"/>
    </row>
    <row r="280">
      <c r="A280" s="17"/>
      <c r="C280" s="79"/>
      <c r="D280" s="79"/>
      <c r="E280" s="79"/>
      <c r="F280" s="79"/>
      <c r="G280" s="79"/>
      <c r="H280" s="79"/>
      <c r="I280" s="79"/>
      <c r="J280" s="79"/>
      <c r="K280" s="79"/>
      <c r="L280" s="79"/>
    </row>
    <row r="281">
      <c r="A281" s="17"/>
      <c r="C281" s="79"/>
      <c r="D281" s="79"/>
      <c r="E281" s="79"/>
      <c r="F281" s="79"/>
      <c r="G281" s="79"/>
      <c r="H281" s="79"/>
      <c r="I281" s="79"/>
      <c r="J281" s="79"/>
      <c r="K281" s="79"/>
      <c r="L281" s="79"/>
    </row>
    <row r="282">
      <c r="A282" s="17"/>
      <c r="C282" s="79"/>
      <c r="D282" s="79"/>
      <c r="E282" s="79"/>
      <c r="F282" s="79"/>
      <c r="G282" s="79"/>
      <c r="H282" s="79"/>
      <c r="I282" s="79"/>
      <c r="J282" s="79"/>
      <c r="K282" s="79"/>
      <c r="L282" s="79"/>
    </row>
    <row r="283">
      <c r="A283" s="17"/>
      <c r="C283" s="79"/>
      <c r="D283" s="79"/>
      <c r="E283" s="79"/>
      <c r="F283" s="79"/>
      <c r="G283" s="79"/>
      <c r="H283" s="79"/>
      <c r="I283" s="79"/>
      <c r="J283" s="79"/>
      <c r="K283" s="79"/>
      <c r="L283" s="79"/>
    </row>
    <row r="284">
      <c r="A284" s="17"/>
      <c r="C284" s="79"/>
      <c r="D284" s="79"/>
      <c r="E284" s="79"/>
      <c r="F284" s="79"/>
      <c r="G284" s="79"/>
      <c r="H284" s="79"/>
      <c r="I284" s="79"/>
      <c r="J284" s="79"/>
      <c r="K284" s="79"/>
      <c r="L284" s="79"/>
    </row>
    <row r="285">
      <c r="A285" s="17"/>
      <c r="C285" s="79"/>
      <c r="D285" s="79"/>
      <c r="E285" s="79"/>
      <c r="F285" s="79"/>
      <c r="G285" s="79"/>
      <c r="H285" s="79"/>
      <c r="I285" s="79"/>
      <c r="J285" s="79"/>
      <c r="K285" s="79"/>
      <c r="L285" s="79"/>
    </row>
    <row r="286">
      <c r="A286" s="17"/>
      <c r="C286" s="79"/>
      <c r="D286" s="79"/>
      <c r="E286" s="79"/>
      <c r="F286" s="79"/>
      <c r="G286" s="79"/>
      <c r="H286" s="79"/>
      <c r="I286" s="79"/>
      <c r="J286" s="79"/>
      <c r="K286" s="79"/>
      <c r="L286" s="79"/>
    </row>
    <row r="287">
      <c r="A287" s="17"/>
      <c r="C287" s="79"/>
      <c r="D287" s="79"/>
      <c r="E287" s="79"/>
      <c r="F287" s="79"/>
      <c r="G287" s="79"/>
      <c r="H287" s="79"/>
      <c r="I287" s="79"/>
      <c r="J287" s="79"/>
      <c r="K287" s="79"/>
      <c r="L287" s="79"/>
    </row>
    <row r="288">
      <c r="A288" s="17"/>
      <c r="C288" s="79"/>
      <c r="D288" s="79"/>
      <c r="E288" s="79"/>
      <c r="F288" s="79"/>
      <c r="G288" s="79"/>
      <c r="H288" s="79"/>
      <c r="I288" s="79"/>
      <c r="J288" s="79"/>
      <c r="K288" s="79"/>
      <c r="L288" s="79"/>
    </row>
    <row r="289">
      <c r="A289" s="17"/>
      <c r="C289" s="79"/>
      <c r="D289" s="79"/>
      <c r="E289" s="79"/>
      <c r="F289" s="79"/>
      <c r="G289" s="79"/>
      <c r="H289" s="79"/>
      <c r="I289" s="79"/>
      <c r="J289" s="79"/>
      <c r="K289" s="79"/>
      <c r="L289" s="79"/>
    </row>
    <row r="290">
      <c r="A290" s="17"/>
      <c r="C290" s="79"/>
      <c r="D290" s="79"/>
      <c r="E290" s="79"/>
      <c r="F290" s="79"/>
      <c r="G290" s="79"/>
      <c r="H290" s="79"/>
      <c r="I290" s="79"/>
      <c r="J290" s="79"/>
      <c r="K290" s="79"/>
      <c r="L290" s="79"/>
    </row>
    <row r="291">
      <c r="A291" s="17"/>
      <c r="C291" s="79"/>
      <c r="D291" s="79"/>
      <c r="E291" s="79"/>
      <c r="F291" s="79"/>
      <c r="G291" s="79"/>
      <c r="H291" s="79"/>
      <c r="I291" s="79"/>
      <c r="J291" s="79"/>
      <c r="K291" s="79"/>
      <c r="L291" s="79"/>
    </row>
    <row r="292">
      <c r="A292" s="17"/>
      <c r="C292" s="79"/>
      <c r="D292" s="79"/>
      <c r="E292" s="79"/>
      <c r="F292" s="79"/>
      <c r="G292" s="79"/>
      <c r="H292" s="79"/>
      <c r="I292" s="79"/>
      <c r="J292" s="79"/>
      <c r="K292" s="79"/>
      <c r="L292" s="79"/>
    </row>
    <row r="293">
      <c r="A293" s="17"/>
      <c r="C293" s="79"/>
      <c r="D293" s="79"/>
      <c r="E293" s="79"/>
      <c r="F293" s="79"/>
      <c r="G293" s="79"/>
      <c r="H293" s="79"/>
      <c r="I293" s="79"/>
      <c r="J293" s="79"/>
      <c r="K293" s="79"/>
      <c r="L293" s="79"/>
    </row>
    <row r="294">
      <c r="A294" s="17"/>
      <c r="C294" s="79"/>
      <c r="D294" s="79"/>
      <c r="E294" s="79"/>
      <c r="F294" s="79"/>
      <c r="G294" s="79"/>
      <c r="H294" s="79"/>
      <c r="I294" s="79"/>
      <c r="J294" s="79"/>
      <c r="K294" s="79"/>
      <c r="L294" s="79"/>
    </row>
    <row r="295">
      <c r="A295" s="17"/>
      <c r="C295" s="79"/>
      <c r="D295" s="79"/>
      <c r="E295" s="79"/>
      <c r="F295" s="79"/>
      <c r="G295" s="79"/>
      <c r="H295" s="79"/>
      <c r="I295" s="79"/>
      <c r="J295" s="79"/>
      <c r="K295" s="79"/>
      <c r="L295" s="79"/>
    </row>
    <row r="296">
      <c r="A296" s="17"/>
      <c r="C296" s="79"/>
      <c r="D296" s="79"/>
      <c r="E296" s="79"/>
      <c r="F296" s="79"/>
      <c r="G296" s="79"/>
      <c r="H296" s="79"/>
      <c r="I296" s="79"/>
      <c r="J296" s="79"/>
      <c r="K296" s="79"/>
      <c r="L296" s="79"/>
    </row>
    <row r="297">
      <c r="A297" s="17"/>
      <c r="C297" s="79"/>
      <c r="D297" s="79"/>
      <c r="E297" s="79"/>
      <c r="F297" s="79"/>
      <c r="G297" s="79"/>
      <c r="H297" s="79"/>
      <c r="I297" s="79"/>
      <c r="J297" s="79"/>
      <c r="K297" s="79"/>
      <c r="L297" s="79"/>
    </row>
    <row r="298">
      <c r="A298" s="17"/>
      <c r="C298" s="79"/>
      <c r="D298" s="79"/>
      <c r="E298" s="79"/>
      <c r="F298" s="79"/>
      <c r="G298" s="79"/>
      <c r="H298" s="79"/>
      <c r="I298" s="79"/>
      <c r="J298" s="79"/>
      <c r="K298" s="79"/>
      <c r="L298" s="79"/>
    </row>
    <row r="299">
      <c r="A299" s="17"/>
      <c r="C299" s="79"/>
      <c r="D299" s="79"/>
      <c r="E299" s="79"/>
      <c r="F299" s="79"/>
      <c r="G299" s="79"/>
      <c r="H299" s="79"/>
      <c r="I299" s="79"/>
      <c r="J299" s="79"/>
      <c r="K299" s="79"/>
      <c r="L299" s="79"/>
    </row>
    <row r="300">
      <c r="A300" s="17"/>
      <c r="C300" s="79"/>
      <c r="D300" s="79"/>
      <c r="E300" s="79"/>
      <c r="F300" s="79"/>
      <c r="G300" s="79"/>
      <c r="H300" s="79"/>
      <c r="I300" s="79"/>
      <c r="J300" s="79"/>
      <c r="K300" s="79"/>
      <c r="L300" s="79"/>
    </row>
    <row r="301">
      <c r="A301" s="17"/>
      <c r="C301" s="79"/>
      <c r="D301" s="79"/>
      <c r="E301" s="79"/>
      <c r="F301" s="79"/>
      <c r="G301" s="79"/>
      <c r="H301" s="79"/>
      <c r="I301" s="79"/>
      <c r="J301" s="79"/>
      <c r="K301" s="79"/>
      <c r="L301" s="79"/>
    </row>
    <row r="302">
      <c r="A302" s="17"/>
      <c r="C302" s="79"/>
      <c r="D302" s="79"/>
      <c r="E302" s="79"/>
      <c r="F302" s="79"/>
      <c r="G302" s="79"/>
      <c r="H302" s="79"/>
      <c r="I302" s="79"/>
      <c r="J302" s="79"/>
      <c r="K302" s="79"/>
      <c r="L302" s="79"/>
    </row>
    <row r="303">
      <c r="A303" s="17"/>
      <c r="C303" s="79"/>
      <c r="D303" s="79"/>
      <c r="E303" s="79"/>
      <c r="F303" s="79"/>
      <c r="G303" s="79"/>
      <c r="H303" s="79"/>
      <c r="I303" s="79"/>
      <c r="J303" s="79"/>
      <c r="K303" s="79"/>
      <c r="L303" s="79"/>
    </row>
    <row r="304">
      <c r="A304" s="17"/>
      <c r="C304" s="79"/>
      <c r="D304" s="79"/>
      <c r="E304" s="79"/>
      <c r="F304" s="79"/>
      <c r="G304" s="79"/>
      <c r="H304" s="79"/>
      <c r="I304" s="79"/>
      <c r="J304" s="79"/>
      <c r="K304" s="79"/>
      <c r="L304" s="79"/>
    </row>
    <row r="305">
      <c r="A305" s="17"/>
      <c r="C305" s="79"/>
      <c r="D305" s="79"/>
      <c r="E305" s="79"/>
      <c r="F305" s="79"/>
      <c r="G305" s="79"/>
      <c r="H305" s="79"/>
      <c r="I305" s="79"/>
      <c r="J305" s="79"/>
      <c r="K305" s="79"/>
      <c r="L305" s="79"/>
    </row>
    <row r="306">
      <c r="A306" s="17"/>
      <c r="C306" s="79"/>
      <c r="D306" s="79"/>
      <c r="E306" s="79"/>
      <c r="F306" s="79"/>
      <c r="G306" s="79"/>
      <c r="H306" s="79"/>
      <c r="I306" s="79"/>
      <c r="J306" s="79"/>
      <c r="K306" s="79"/>
      <c r="L306" s="79"/>
    </row>
    <row r="307">
      <c r="A307" s="17"/>
      <c r="C307" s="79"/>
      <c r="D307" s="79"/>
      <c r="E307" s="79"/>
      <c r="F307" s="79"/>
      <c r="G307" s="79"/>
      <c r="H307" s="79"/>
      <c r="I307" s="79"/>
      <c r="J307" s="79"/>
      <c r="K307" s="79"/>
      <c r="L307" s="79"/>
    </row>
    <row r="308">
      <c r="A308" s="17"/>
      <c r="C308" s="79"/>
      <c r="D308" s="79"/>
      <c r="E308" s="79"/>
      <c r="F308" s="79"/>
      <c r="G308" s="79"/>
      <c r="H308" s="79"/>
      <c r="I308" s="79"/>
      <c r="J308" s="79"/>
      <c r="K308" s="79"/>
      <c r="L308" s="79"/>
    </row>
    <row r="309">
      <c r="A309" s="17"/>
      <c r="C309" s="79"/>
      <c r="D309" s="79"/>
      <c r="E309" s="79"/>
      <c r="F309" s="79"/>
      <c r="G309" s="79"/>
      <c r="H309" s="79"/>
      <c r="I309" s="79"/>
      <c r="J309" s="79"/>
      <c r="K309" s="79"/>
      <c r="L309" s="79"/>
    </row>
    <row r="310">
      <c r="A310" s="17"/>
      <c r="C310" s="79"/>
      <c r="D310" s="79"/>
      <c r="E310" s="79"/>
      <c r="F310" s="79"/>
      <c r="G310" s="79"/>
      <c r="H310" s="79"/>
      <c r="I310" s="79"/>
      <c r="J310" s="79"/>
      <c r="K310" s="79"/>
      <c r="L310" s="79"/>
    </row>
    <row r="311">
      <c r="A311" s="17"/>
      <c r="C311" s="79"/>
      <c r="D311" s="79"/>
      <c r="E311" s="79"/>
      <c r="F311" s="79"/>
      <c r="G311" s="79"/>
      <c r="H311" s="79"/>
      <c r="I311" s="79"/>
      <c r="J311" s="79"/>
      <c r="K311" s="79"/>
      <c r="L311" s="79"/>
    </row>
    <row r="312">
      <c r="A312" s="17"/>
      <c r="C312" s="79"/>
      <c r="D312" s="79"/>
      <c r="E312" s="79"/>
      <c r="F312" s="79"/>
      <c r="G312" s="79"/>
      <c r="H312" s="79"/>
      <c r="I312" s="79"/>
      <c r="J312" s="79"/>
      <c r="K312" s="79"/>
      <c r="L312" s="79"/>
    </row>
    <row r="313">
      <c r="A313" s="17"/>
      <c r="C313" s="79"/>
      <c r="D313" s="79"/>
      <c r="E313" s="79"/>
      <c r="F313" s="79"/>
      <c r="G313" s="79"/>
      <c r="H313" s="79"/>
      <c r="I313" s="79"/>
      <c r="J313" s="79"/>
      <c r="K313" s="79"/>
      <c r="L313" s="79"/>
    </row>
    <row r="314">
      <c r="A314" s="17"/>
      <c r="C314" s="79"/>
      <c r="D314" s="79"/>
      <c r="E314" s="79"/>
      <c r="F314" s="79"/>
      <c r="G314" s="79"/>
      <c r="H314" s="79"/>
      <c r="I314" s="79"/>
      <c r="J314" s="79"/>
      <c r="K314" s="79"/>
      <c r="L314" s="79"/>
    </row>
    <row r="315">
      <c r="A315" s="17"/>
      <c r="C315" s="79"/>
      <c r="D315" s="79"/>
      <c r="E315" s="79"/>
      <c r="F315" s="79"/>
      <c r="G315" s="79"/>
      <c r="H315" s="79"/>
      <c r="I315" s="79"/>
      <c r="J315" s="79"/>
      <c r="K315" s="79"/>
      <c r="L315" s="79"/>
    </row>
    <row r="316">
      <c r="A316" s="17"/>
      <c r="C316" s="79"/>
      <c r="D316" s="79"/>
      <c r="E316" s="79"/>
      <c r="F316" s="79"/>
      <c r="G316" s="79"/>
      <c r="H316" s="79"/>
      <c r="I316" s="79"/>
      <c r="J316" s="79"/>
      <c r="K316" s="79"/>
      <c r="L316" s="79"/>
    </row>
    <row r="317">
      <c r="A317" s="17"/>
      <c r="C317" s="79"/>
      <c r="D317" s="79"/>
      <c r="E317" s="79"/>
      <c r="F317" s="79"/>
      <c r="G317" s="79"/>
      <c r="H317" s="79"/>
      <c r="I317" s="79"/>
      <c r="J317" s="79"/>
      <c r="K317" s="79"/>
      <c r="L317" s="79"/>
    </row>
    <row r="318">
      <c r="A318" s="17"/>
      <c r="C318" s="79"/>
      <c r="D318" s="79"/>
      <c r="E318" s="79"/>
      <c r="F318" s="79"/>
      <c r="G318" s="79"/>
      <c r="H318" s="79"/>
      <c r="I318" s="79"/>
      <c r="J318" s="79"/>
      <c r="K318" s="79"/>
      <c r="L318" s="79"/>
    </row>
    <row r="319">
      <c r="A319" s="17"/>
      <c r="C319" s="79"/>
      <c r="D319" s="79"/>
      <c r="E319" s="79"/>
      <c r="F319" s="79"/>
      <c r="G319" s="79"/>
      <c r="H319" s="79"/>
      <c r="I319" s="79"/>
      <c r="J319" s="79"/>
      <c r="K319" s="79"/>
      <c r="L319" s="79"/>
    </row>
    <row r="320">
      <c r="A320" s="17"/>
      <c r="C320" s="79"/>
      <c r="D320" s="79"/>
      <c r="E320" s="79"/>
      <c r="F320" s="79"/>
      <c r="G320" s="79"/>
      <c r="H320" s="79"/>
      <c r="I320" s="79"/>
      <c r="J320" s="79"/>
      <c r="K320" s="79"/>
      <c r="L320" s="79"/>
    </row>
    <row r="321">
      <c r="A321" s="17"/>
      <c r="C321" s="79"/>
      <c r="D321" s="79"/>
      <c r="E321" s="79"/>
      <c r="F321" s="79"/>
      <c r="G321" s="79"/>
      <c r="H321" s="79"/>
      <c r="I321" s="79"/>
      <c r="J321" s="79"/>
      <c r="K321" s="79"/>
      <c r="L321" s="79"/>
    </row>
    <row r="322">
      <c r="A322" s="17"/>
      <c r="C322" s="79"/>
      <c r="D322" s="79"/>
      <c r="E322" s="79"/>
      <c r="F322" s="79"/>
      <c r="G322" s="79"/>
      <c r="H322" s="79"/>
      <c r="I322" s="79"/>
      <c r="J322" s="79"/>
      <c r="K322" s="79"/>
      <c r="L322" s="79"/>
    </row>
    <row r="323">
      <c r="A323" s="17"/>
      <c r="C323" s="79"/>
      <c r="D323" s="79"/>
      <c r="E323" s="79"/>
      <c r="F323" s="79"/>
      <c r="G323" s="79"/>
      <c r="H323" s="79"/>
      <c r="I323" s="79"/>
      <c r="J323" s="79"/>
      <c r="K323" s="79"/>
      <c r="L323" s="79"/>
    </row>
    <row r="324">
      <c r="A324" s="17"/>
      <c r="C324" s="79"/>
      <c r="D324" s="79"/>
      <c r="E324" s="79"/>
      <c r="F324" s="79"/>
      <c r="G324" s="79"/>
      <c r="H324" s="79"/>
      <c r="I324" s="79"/>
      <c r="J324" s="79"/>
      <c r="K324" s="79"/>
      <c r="L324" s="79"/>
    </row>
    <row r="325">
      <c r="A325" s="17"/>
      <c r="C325" s="79"/>
      <c r="D325" s="79"/>
      <c r="E325" s="79"/>
      <c r="F325" s="79"/>
      <c r="G325" s="79"/>
      <c r="H325" s="79"/>
      <c r="I325" s="79"/>
      <c r="J325" s="79"/>
      <c r="K325" s="79"/>
      <c r="L325" s="79"/>
    </row>
    <row r="326">
      <c r="A326" s="17"/>
      <c r="C326" s="79"/>
      <c r="D326" s="79"/>
      <c r="E326" s="79"/>
      <c r="F326" s="79"/>
      <c r="G326" s="79"/>
      <c r="H326" s="79"/>
      <c r="I326" s="79"/>
      <c r="J326" s="79"/>
      <c r="K326" s="79"/>
      <c r="L326" s="79"/>
    </row>
    <row r="327">
      <c r="A327" s="17"/>
      <c r="C327" s="79"/>
      <c r="D327" s="79"/>
      <c r="E327" s="79"/>
      <c r="F327" s="79"/>
      <c r="G327" s="79"/>
      <c r="H327" s="79"/>
      <c r="I327" s="79"/>
      <c r="J327" s="79"/>
      <c r="K327" s="79"/>
      <c r="L327" s="79"/>
    </row>
    <row r="328">
      <c r="A328" s="17"/>
      <c r="C328" s="79"/>
      <c r="D328" s="79"/>
      <c r="E328" s="79"/>
      <c r="F328" s="79"/>
      <c r="G328" s="79"/>
      <c r="H328" s="79"/>
      <c r="I328" s="79"/>
      <c r="J328" s="79"/>
      <c r="K328" s="79"/>
      <c r="L328" s="79"/>
    </row>
    <row r="329">
      <c r="A329" s="17"/>
      <c r="C329" s="79"/>
      <c r="D329" s="79"/>
      <c r="E329" s="79"/>
      <c r="F329" s="79"/>
      <c r="G329" s="79"/>
      <c r="H329" s="79"/>
      <c r="I329" s="79"/>
      <c r="J329" s="79"/>
      <c r="K329" s="79"/>
      <c r="L329" s="79"/>
    </row>
    <row r="330">
      <c r="A330" s="17"/>
      <c r="C330" s="79"/>
      <c r="D330" s="79"/>
      <c r="E330" s="79"/>
      <c r="F330" s="79"/>
      <c r="G330" s="79"/>
      <c r="H330" s="79"/>
      <c r="I330" s="79"/>
      <c r="J330" s="79"/>
      <c r="K330" s="79"/>
      <c r="L330" s="79"/>
    </row>
    <row r="331">
      <c r="A331" s="17"/>
      <c r="C331" s="79"/>
      <c r="D331" s="79"/>
      <c r="E331" s="79"/>
      <c r="F331" s="79"/>
      <c r="G331" s="79"/>
      <c r="H331" s="79"/>
      <c r="I331" s="79"/>
      <c r="J331" s="79"/>
      <c r="K331" s="79"/>
      <c r="L331" s="79"/>
    </row>
    <row r="332">
      <c r="A332" s="17"/>
      <c r="C332" s="79"/>
      <c r="D332" s="79"/>
      <c r="E332" s="79"/>
      <c r="F332" s="79"/>
      <c r="G332" s="79"/>
      <c r="H332" s="79"/>
      <c r="I332" s="79"/>
      <c r="J332" s="79"/>
      <c r="K332" s="79"/>
      <c r="L332" s="79"/>
    </row>
    <row r="333">
      <c r="A333" s="17"/>
      <c r="C333" s="79"/>
      <c r="D333" s="79"/>
      <c r="E333" s="79"/>
      <c r="F333" s="79"/>
      <c r="G333" s="79"/>
      <c r="H333" s="79"/>
      <c r="I333" s="79"/>
      <c r="J333" s="79"/>
      <c r="K333" s="79"/>
      <c r="L333" s="79"/>
    </row>
    <row r="334">
      <c r="A334" s="17"/>
      <c r="C334" s="79"/>
      <c r="D334" s="79"/>
      <c r="E334" s="79"/>
      <c r="F334" s="79"/>
      <c r="G334" s="79"/>
      <c r="H334" s="79"/>
      <c r="I334" s="79"/>
      <c r="J334" s="79"/>
      <c r="K334" s="79"/>
      <c r="L334" s="79"/>
    </row>
    <row r="335">
      <c r="A335" s="17"/>
      <c r="C335" s="79"/>
      <c r="D335" s="79"/>
      <c r="E335" s="79"/>
      <c r="F335" s="79"/>
      <c r="G335" s="79"/>
      <c r="H335" s="79"/>
      <c r="I335" s="79"/>
      <c r="J335" s="79"/>
      <c r="K335" s="79"/>
      <c r="L335" s="79"/>
    </row>
    <row r="336">
      <c r="A336" s="17"/>
      <c r="C336" s="79"/>
      <c r="D336" s="79"/>
      <c r="E336" s="79"/>
      <c r="F336" s="79"/>
      <c r="G336" s="79"/>
      <c r="H336" s="79"/>
      <c r="I336" s="79"/>
      <c r="J336" s="79"/>
      <c r="K336" s="79"/>
      <c r="L336" s="79"/>
    </row>
    <row r="337">
      <c r="A337" s="17"/>
      <c r="C337" s="79"/>
      <c r="D337" s="79"/>
      <c r="E337" s="79"/>
      <c r="F337" s="79"/>
      <c r="G337" s="79"/>
      <c r="H337" s="79"/>
      <c r="I337" s="79"/>
      <c r="J337" s="79"/>
      <c r="K337" s="79"/>
      <c r="L337" s="79"/>
    </row>
    <row r="338">
      <c r="A338" s="17"/>
      <c r="C338" s="79"/>
      <c r="D338" s="79"/>
      <c r="E338" s="79"/>
      <c r="F338" s="79"/>
      <c r="G338" s="79"/>
      <c r="H338" s="79"/>
      <c r="I338" s="79"/>
      <c r="J338" s="79"/>
      <c r="K338" s="79"/>
      <c r="L338" s="79"/>
    </row>
    <row r="339">
      <c r="A339" s="17"/>
      <c r="C339" s="79"/>
      <c r="D339" s="79"/>
      <c r="E339" s="79"/>
      <c r="F339" s="79"/>
      <c r="G339" s="79"/>
      <c r="H339" s="79"/>
      <c r="I339" s="79"/>
      <c r="J339" s="79"/>
      <c r="K339" s="79"/>
      <c r="L339" s="79"/>
    </row>
    <row r="340">
      <c r="A340" s="17"/>
      <c r="C340" s="79"/>
      <c r="D340" s="79"/>
      <c r="E340" s="79"/>
      <c r="F340" s="79"/>
      <c r="G340" s="79"/>
      <c r="H340" s="79"/>
      <c r="I340" s="79"/>
      <c r="J340" s="79"/>
      <c r="K340" s="79"/>
      <c r="L340" s="79"/>
    </row>
    <row r="341">
      <c r="A341" s="17"/>
      <c r="C341" s="79"/>
      <c r="D341" s="79"/>
      <c r="E341" s="79"/>
      <c r="F341" s="79"/>
      <c r="G341" s="79"/>
      <c r="H341" s="79"/>
      <c r="I341" s="79"/>
      <c r="J341" s="79"/>
      <c r="K341" s="79"/>
      <c r="L341" s="79"/>
    </row>
    <row r="342">
      <c r="A342" s="17"/>
      <c r="C342" s="79"/>
      <c r="D342" s="79"/>
      <c r="E342" s="79"/>
      <c r="F342" s="79"/>
      <c r="G342" s="79"/>
      <c r="H342" s="79"/>
      <c r="I342" s="79"/>
      <c r="J342" s="79"/>
      <c r="K342" s="79"/>
      <c r="L342" s="79"/>
    </row>
    <row r="343">
      <c r="A343" s="17"/>
      <c r="C343" s="79"/>
      <c r="D343" s="79"/>
      <c r="E343" s="79"/>
      <c r="F343" s="79"/>
      <c r="G343" s="79"/>
      <c r="H343" s="79"/>
      <c r="I343" s="79"/>
      <c r="J343" s="79"/>
      <c r="K343" s="79"/>
      <c r="L343" s="79"/>
    </row>
    <row r="344">
      <c r="A344" s="17"/>
      <c r="C344" s="79"/>
      <c r="D344" s="79"/>
      <c r="E344" s="79"/>
      <c r="F344" s="79"/>
      <c r="G344" s="79"/>
      <c r="H344" s="79"/>
      <c r="I344" s="79"/>
      <c r="J344" s="79"/>
      <c r="K344" s="79"/>
      <c r="L344" s="79"/>
    </row>
    <row r="345">
      <c r="A345" s="17"/>
      <c r="C345" s="79"/>
      <c r="D345" s="79"/>
      <c r="E345" s="79"/>
      <c r="F345" s="79"/>
      <c r="G345" s="79"/>
      <c r="H345" s="79"/>
      <c r="I345" s="79"/>
      <c r="J345" s="79"/>
      <c r="K345" s="79"/>
      <c r="L345" s="79"/>
    </row>
    <row r="346">
      <c r="A346" s="17"/>
      <c r="C346" s="79"/>
      <c r="D346" s="79"/>
      <c r="E346" s="79"/>
      <c r="F346" s="79"/>
      <c r="G346" s="79"/>
      <c r="H346" s="79"/>
      <c r="I346" s="79"/>
      <c r="J346" s="79"/>
      <c r="K346" s="79"/>
      <c r="L346" s="79"/>
    </row>
    <row r="347">
      <c r="A347" s="17"/>
      <c r="C347" s="79"/>
      <c r="D347" s="79"/>
      <c r="E347" s="79"/>
      <c r="F347" s="79"/>
      <c r="G347" s="79"/>
      <c r="H347" s="79"/>
      <c r="I347" s="79"/>
      <c r="J347" s="79"/>
      <c r="K347" s="79"/>
      <c r="L347" s="79"/>
    </row>
    <row r="348">
      <c r="A348" s="17"/>
      <c r="C348" s="79"/>
      <c r="D348" s="79"/>
      <c r="E348" s="79"/>
      <c r="F348" s="79"/>
      <c r="G348" s="79"/>
      <c r="H348" s="79"/>
      <c r="I348" s="79"/>
      <c r="J348" s="79"/>
      <c r="K348" s="79"/>
      <c r="L348" s="79"/>
    </row>
    <row r="349">
      <c r="A349" s="17"/>
      <c r="C349" s="79"/>
      <c r="D349" s="79"/>
      <c r="E349" s="79"/>
      <c r="F349" s="79"/>
      <c r="G349" s="79"/>
      <c r="H349" s="79"/>
      <c r="I349" s="79"/>
      <c r="J349" s="79"/>
      <c r="K349" s="79"/>
      <c r="L349" s="79"/>
    </row>
    <row r="350">
      <c r="A350" s="17"/>
      <c r="C350" s="79"/>
      <c r="D350" s="79"/>
      <c r="E350" s="79"/>
      <c r="F350" s="79"/>
      <c r="G350" s="79"/>
      <c r="H350" s="79"/>
      <c r="I350" s="79"/>
      <c r="J350" s="79"/>
      <c r="K350" s="79"/>
      <c r="L350" s="79"/>
    </row>
    <row r="351">
      <c r="A351" s="17"/>
      <c r="C351" s="79"/>
      <c r="D351" s="79"/>
      <c r="E351" s="79"/>
      <c r="F351" s="79"/>
      <c r="G351" s="79"/>
      <c r="H351" s="79"/>
      <c r="I351" s="79"/>
      <c r="J351" s="79"/>
      <c r="K351" s="79"/>
      <c r="L351" s="79"/>
    </row>
    <row r="352">
      <c r="A352" s="17"/>
      <c r="C352" s="79"/>
      <c r="D352" s="79"/>
      <c r="E352" s="79"/>
      <c r="F352" s="79"/>
      <c r="G352" s="79"/>
      <c r="H352" s="79"/>
      <c r="I352" s="79"/>
      <c r="J352" s="79"/>
      <c r="K352" s="79"/>
      <c r="L352" s="79"/>
    </row>
    <row r="353">
      <c r="A353" s="17"/>
      <c r="C353" s="79"/>
      <c r="D353" s="79"/>
      <c r="E353" s="79"/>
      <c r="F353" s="79"/>
      <c r="G353" s="79"/>
      <c r="H353" s="79"/>
      <c r="I353" s="79"/>
      <c r="J353" s="79"/>
      <c r="K353" s="79"/>
      <c r="L353" s="79"/>
    </row>
    <row r="354">
      <c r="A354" s="17"/>
      <c r="C354" s="79"/>
      <c r="D354" s="79"/>
      <c r="E354" s="79"/>
      <c r="F354" s="79"/>
      <c r="G354" s="79"/>
      <c r="H354" s="79"/>
      <c r="I354" s="79"/>
      <c r="J354" s="79"/>
      <c r="K354" s="79"/>
      <c r="L354" s="79"/>
    </row>
    <row r="355">
      <c r="A355" s="17"/>
      <c r="C355" s="79"/>
      <c r="D355" s="79"/>
      <c r="E355" s="79"/>
      <c r="F355" s="79"/>
      <c r="G355" s="79"/>
      <c r="H355" s="79"/>
      <c r="I355" s="79"/>
      <c r="J355" s="79"/>
      <c r="K355" s="79"/>
      <c r="L355" s="79"/>
    </row>
    <row r="356">
      <c r="A356" s="17"/>
      <c r="C356" s="79"/>
      <c r="D356" s="79"/>
      <c r="E356" s="79"/>
      <c r="F356" s="79"/>
      <c r="G356" s="79"/>
      <c r="H356" s="79"/>
      <c r="I356" s="79"/>
      <c r="J356" s="79"/>
      <c r="K356" s="79"/>
      <c r="L356" s="79"/>
    </row>
    <row r="357">
      <c r="A357" s="17"/>
      <c r="C357" s="79"/>
      <c r="D357" s="79"/>
      <c r="E357" s="79"/>
      <c r="F357" s="79"/>
      <c r="G357" s="79"/>
      <c r="H357" s="79"/>
      <c r="I357" s="79"/>
      <c r="J357" s="79"/>
      <c r="K357" s="79"/>
      <c r="L357" s="79"/>
    </row>
    <row r="358">
      <c r="A358" s="17"/>
      <c r="C358" s="79"/>
      <c r="D358" s="79"/>
      <c r="E358" s="79"/>
      <c r="F358" s="79"/>
      <c r="G358" s="79"/>
      <c r="H358" s="79"/>
      <c r="I358" s="79"/>
      <c r="J358" s="79"/>
      <c r="K358" s="79"/>
      <c r="L358" s="79"/>
    </row>
    <row r="359">
      <c r="A359" s="17"/>
      <c r="C359" s="79"/>
      <c r="D359" s="79"/>
      <c r="E359" s="79"/>
      <c r="F359" s="79"/>
      <c r="G359" s="79"/>
      <c r="H359" s="79"/>
      <c r="I359" s="79"/>
      <c r="J359" s="79"/>
      <c r="K359" s="79"/>
      <c r="L359" s="79"/>
    </row>
    <row r="360">
      <c r="A360" s="17"/>
      <c r="C360" s="79"/>
      <c r="D360" s="79"/>
      <c r="E360" s="79"/>
      <c r="F360" s="79"/>
      <c r="G360" s="79"/>
      <c r="H360" s="79"/>
      <c r="I360" s="79"/>
      <c r="J360" s="79"/>
      <c r="K360" s="79"/>
      <c r="L360" s="79"/>
    </row>
    <row r="361">
      <c r="A361" s="17"/>
      <c r="C361" s="79"/>
      <c r="D361" s="79"/>
      <c r="E361" s="79"/>
      <c r="F361" s="79"/>
      <c r="G361" s="79"/>
      <c r="H361" s="79"/>
      <c r="I361" s="79"/>
      <c r="J361" s="79"/>
      <c r="K361" s="79"/>
      <c r="L361" s="79"/>
    </row>
    <row r="362">
      <c r="A362" s="17"/>
      <c r="C362" s="79"/>
      <c r="D362" s="79"/>
      <c r="E362" s="79"/>
      <c r="F362" s="79"/>
      <c r="G362" s="79"/>
      <c r="H362" s="79"/>
      <c r="I362" s="79"/>
      <c r="J362" s="79"/>
      <c r="K362" s="79"/>
      <c r="L362" s="79"/>
    </row>
    <row r="363">
      <c r="A363" s="17"/>
      <c r="C363" s="79"/>
      <c r="D363" s="79"/>
      <c r="E363" s="79"/>
      <c r="F363" s="79"/>
      <c r="G363" s="79"/>
      <c r="H363" s="79"/>
      <c r="I363" s="79"/>
      <c r="J363" s="79"/>
      <c r="K363" s="79"/>
      <c r="L363" s="79"/>
    </row>
    <row r="364">
      <c r="A364" s="17"/>
      <c r="C364" s="79"/>
      <c r="D364" s="79"/>
      <c r="E364" s="79"/>
      <c r="F364" s="79"/>
      <c r="G364" s="79"/>
      <c r="H364" s="79"/>
      <c r="I364" s="79"/>
      <c r="J364" s="79"/>
      <c r="K364" s="79"/>
      <c r="L364" s="79"/>
    </row>
    <row r="365">
      <c r="A365" s="17"/>
      <c r="C365" s="79"/>
      <c r="D365" s="79"/>
      <c r="E365" s="79"/>
      <c r="F365" s="79"/>
      <c r="G365" s="79"/>
      <c r="H365" s="79"/>
      <c r="I365" s="79"/>
      <c r="J365" s="79"/>
      <c r="K365" s="79"/>
      <c r="L365" s="79"/>
    </row>
    <row r="366">
      <c r="A366" s="17"/>
      <c r="C366" s="79"/>
      <c r="D366" s="79"/>
      <c r="E366" s="79"/>
      <c r="F366" s="79"/>
      <c r="G366" s="79"/>
      <c r="H366" s="79"/>
      <c r="I366" s="79"/>
      <c r="J366" s="79"/>
      <c r="K366" s="79"/>
      <c r="L366" s="79"/>
    </row>
    <row r="367">
      <c r="A367" s="17"/>
      <c r="C367" s="79"/>
      <c r="D367" s="79"/>
      <c r="E367" s="79"/>
      <c r="F367" s="79"/>
      <c r="G367" s="79"/>
      <c r="H367" s="79"/>
      <c r="I367" s="79"/>
      <c r="J367" s="79"/>
      <c r="K367" s="79"/>
      <c r="L367" s="79"/>
    </row>
    <row r="368">
      <c r="A368" s="17"/>
      <c r="C368" s="79"/>
      <c r="D368" s="79"/>
      <c r="E368" s="79"/>
      <c r="F368" s="79"/>
      <c r="G368" s="79"/>
      <c r="H368" s="79"/>
      <c r="I368" s="79"/>
      <c r="J368" s="79"/>
      <c r="K368" s="79"/>
      <c r="L368" s="79"/>
    </row>
    <row r="369">
      <c r="A369" s="17"/>
      <c r="C369" s="79"/>
      <c r="D369" s="79"/>
      <c r="E369" s="79"/>
      <c r="F369" s="79"/>
      <c r="G369" s="79"/>
      <c r="H369" s="79"/>
      <c r="I369" s="79"/>
      <c r="J369" s="79"/>
      <c r="K369" s="79"/>
      <c r="L369" s="79"/>
    </row>
    <row r="370">
      <c r="A370" s="17"/>
      <c r="C370" s="79"/>
      <c r="D370" s="79"/>
      <c r="E370" s="79"/>
      <c r="F370" s="79"/>
      <c r="G370" s="79"/>
      <c r="H370" s="79"/>
      <c r="I370" s="79"/>
      <c r="J370" s="79"/>
      <c r="K370" s="79"/>
      <c r="L370" s="79"/>
    </row>
    <row r="371">
      <c r="A371" s="17"/>
      <c r="C371" s="79"/>
      <c r="D371" s="79"/>
      <c r="E371" s="79"/>
      <c r="F371" s="79"/>
      <c r="G371" s="79"/>
      <c r="H371" s="79"/>
      <c r="I371" s="79"/>
      <c r="J371" s="79"/>
      <c r="K371" s="79"/>
      <c r="L371" s="79"/>
    </row>
    <row r="372">
      <c r="A372" s="17"/>
      <c r="C372" s="79"/>
      <c r="D372" s="79"/>
      <c r="E372" s="79"/>
      <c r="F372" s="79"/>
      <c r="G372" s="79"/>
      <c r="H372" s="79"/>
      <c r="I372" s="79"/>
      <c r="J372" s="79"/>
      <c r="K372" s="79"/>
      <c r="L372" s="79"/>
    </row>
    <row r="373">
      <c r="A373" s="17"/>
      <c r="C373" s="79"/>
      <c r="D373" s="79"/>
      <c r="E373" s="79"/>
      <c r="F373" s="79"/>
      <c r="G373" s="79"/>
      <c r="H373" s="79"/>
      <c r="I373" s="79"/>
      <c r="J373" s="79"/>
      <c r="K373" s="79"/>
      <c r="L373" s="79"/>
    </row>
    <row r="374">
      <c r="A374" s="17"/>
      <c r="C374" s="79"/>
      <c r="D374" s="79"/>
      <c r="E374" s="79"/>
      <c r="F374" s="79"/>
      <c r="G374" s="79"/>
      <c r="H374" s="79"/>
      <c r="I374" s="79"/>
      <c r="J374" s="79"/>
      <c r="K374" s="79"/>
      <c r="L374" s="79"/>
    </row>
    <row r="375">
      <c r="A375" s="17"/>
      <c r="C375" s="79"/>
      <c r="D375" s="79"/>
      <c r="E375" s="79"/>
      <c r="F375" s="79"/>
      <c r="G375" s="79"/>
      <c r="H375" s="79"/>
      <c r="I375" s="79"/>
      <c r="J375" s="79"/>
      <c r="K375" s="79"/>
      <c r="L375" s="79"/>
    </row>
    <row r="376">
      <c r="A376" s="17"/>
      <c r="C376" s="79"/>
      <c r="D376" s="79"/>
      <c r="E376" s="79"/>
      <c r="F376" s="79"/>
      <c r="G376" s="79"/>
      <c r="H376" s="79"/>
      <c r="I376" s="79"/>
      <c r="J376" s="79"/>
      <c r="K376" s="79"/>
      <c r="L376" s="79"/>
    </row>
    <row r="377">
      <c r="A377" s="17"/>
      <c r="C377" s="79"/>
      <c r="D377" s="79"/>
      <c r="E377" s="79"/>
      <c r="F377" s="79"/>
      <c r="G377" s="79"/>
      <c r="H377" s="79"/>
      <c r="I377" s="79"/>
      <c r="J377" s="79"/>
      <c r="K377" s="79"/>
      <c r="L377" s="79"/>
    </row>
    <row r="378">
      <c r="A378" s="17"/>
      <c r="C378" s="79"/>
      <c r="D378" s="79"/>
      <c r="E378" s="79"/>
      <c r="F378" s="79"/>
      <c r="G378" s="79"/>
      <c r="H378" s="79"/>
      <c r="I378" s="79"/>
      <c r="J378" s="79"/>
      <c r="K378" s="79"/>
      <c r="L378" s="79"/>
    </row>
    <row r="379">
      <c r="A379" s="17"/>
      <c r="C379" s="79"/>
      <c r="D379" s="79"/>
      <c r="E379" s="79"/>
      <c r="F379" s="79"/>
      <c r="G379" s="79"/>
      <c r="H379" s="79"/>
      <c r="I379" s="79"/>
      <c r="J379" s="79"/>
      <c r="K379" s="79"/>
      <c r="L379" s="79"/>
    </row>
    <row r="380">
      <c r="A380" s="17"/>
      <c r="C380" s="79"/>
      <c r="D380" s="79"/>
      <c r="E380" s="79"/>
      <c r="F380" s="79"/>
      <c r="G380" s="79"/>
      <c r="H380" s="79"/>
      <c r="I380" s="79"/>
      <c r="J380" s="79"/>
      <c r="K380" s="79"/>
      <c r="L380" s="79"/>
    </row>
    <row r="381">
      <c r="A381" s="17"/>
      <c r="C381" s="79"/>
      <c r="D381" s="79"/>
      <c r="E381" s="79"/>
      <c r="F381" s="79"/>
      <c r="G381" s="79"/>
      <c r="H381" s="79"/>
      <c r="I381" s="79"/>
      <c r="J381" s="79"/>
      <c r="K381" s="79"/>
      <c r="L381" s="79"/>
    </row>
    <row r="382">
      <c r="A382" s="17"/>
      <c r="C382" s="79"/>
      <c r="D382" s="79"/>
      <c r="E382" s="79"/>
      <c r="F382" s="79"/>
      <c r="G382" s="79"/>
      <c r="H382" s="79"/>
      <c r="I382" s="79"/>
      <c r="J382" s="79"/>
      <c r="K382" s="79"/>
      <c r="L382" s="79"/>
    </row>
    <row r="383">
      <c r="A383" s="17"/>
      <c r="C383" s="79"/>
      <c r="D383" s="79"/>
      <c r="E383" s="79"/>
      <c r="F383" s="79"/>
      <c r="G383" s="79"/>
      <c r="H383" s="79"/>
      <c r="I383" s="79"/>
      <c r="J383" s="79"/>
      <c r="K383" s="79"/>
      <c r="L383" s="79"/>
    </row>
    <row r="384">
      <c r="A384" s="17"/>
      <c r="C384" s="79"/>
      <c r="D384" s="79"/>
      <c r="E384" s="79"/>
      <c r="F384" s="79"/>
      <c r="G384" s="79"/>
      <c r="H384" s="79"/>
      <c r="I384" s="79"/>
      <c r="J384" s="79"/>
      <c r="K384" s="79"/>
      <c r="L384" s="79"/>
    </row>
    <row r="385">
      <c r="A385" s="17"/>
      <c r="C385" s="79"/>
      <c r="D385" s="79"/>
      <c r="E385" s="79"/>
      <c r="F385" s="79"/>
      <c r="G385" s="79"/>
      <c r="H385" s="79"/>
      <c r="I385" s="79"/>
      <c r="J385" s="79"/>
      <c r="K385" s="79"/>
      <c r="L385" s="79"/>
    </row>
    <row r="386">
      <c r="A386" s="17"/>
      <c r="C386" s="79"/>
      <c r="D386" s="79"/>
      <c r="E386" s="79"/>
      <c r="F386" s="79"/>
      <c r="G386" s="79"/>
      <c r="H386" s="79"/>
      <c r="I386" s="79"/>
      <c r="J386" s="79"/>
      <c r="K386" s="79"/>
      <c r="L386" s="79"/>
    </row>
    <row r="387">
      <c r="A387" s="17"/>
      <c r="C387" s="79"/>
      <c r="D387" s="79"/>
      <c r="E387" s="79"/>
      <c r="F387" s="79"/>
      <c r="G387" s="79"/>
      <c r="H387" s="79"/>
      <c r="I387" s="79"/>
      <c r="J387" s="79"/>
      <c r="K387" s="79"/>
      <c r="L387" s="79"/>
    </row>
    <row r="388">
      <c r="A388" s="17"/>
      <c r="C388" s="79"/>
      <c r="D388" s="79"/>
      <c r="E388" s="79"/>
      <c r="F388" s="79"/>
      <c r="G388" s="79"/>
      <c r="H388" s="79"/>
      <c r="I388" s="79"/>
      <c r="J388" s="79"/>
      <c r="K388" s="79"/>
      <c r="L388" s="79"/>
    </row>
    <row r="389">
      <c r="A389" s="17"/>
      <c r="C389" s="79"/>
      <c r="D389" s="79"/>
      <c r="E389" s="79"/>
      <c r="F389" s="79"/>
      <c r="G389" s="79"/>
      <c r="H389" s="79"/>
      <c r="I389" s="79"/>
      <c r="J389" s="79"/>
      <c r="K389" s="79"/>
      <c r="L389" s="79"/>
    </row>
    <row r="390">
      <c r="A390" s="17"/>
      <c r="C390" s="79"/>
      <c r="D390" s="79"/>
      <c r="E390" s="79"/>
      <c r="F390" s="79"/>
      <c r="G390" s="79"/>
      <c r="H390" s="79"/>
      <c r="I390" s="79"/>
      <c r="J390" s="79"/>
      <c r="K390" s="79"/>
      <c r="L390" s="79"/>
    </row>
    <row r="391">
      <c r="A391" s="17"/>
      <c r="C391" s="79"/>
      <c r="D391" s="79"/>
      <c r="E391" s="79"/>
      <c r="F391" s="79"/>
      <c r="G391" s="79"/>
      <c r="H391" s="79"/>
      <c r="I391" s="79"/>
      <c r="J391" s="79"/>
      <c r="K391" s="79"/>
      <c r="L391" s="79"/>
    </row>
    <row r="392">
      <c r="A392" s="17"/>
      <c r="C392" s="79"/>
      <c r="D392" s="79"/>
      <c r="E392" s="79"/>
      <c r="F392" s="79"/>
      <c r="G392" s="79"/>
      <c r="H392" s="79"/>
      <c r="I392" s="79"/>
      <c r="J392" s="79"/>
      <c r="K392" s="79"/>
      <c r="L392" s="79"/>
    </row>
    <row r="393">
      <c r="A393" s="17"/>
      <c r="C393" s="79"/>
      <c r="D393" s="79"/>
      <c r="E393" s="79"/>
      <c r="F393" s="79"/>
      <c r="G393" s="79"/>
      <c r="H393" s="79"/>
      <c r="I393" s="79"/>
      <c r="J393" s="79"/>
      <c r="K393" s="79"/>
      <c r="L393" s="79"/>
    </row>
    <row r="394">
      <c r="A394" s="17"/>
      <c r="C394" s="79"/>
      <c r="D394" s="79"/>
      <c r="E394" s="79"/>
      <c r="F394" s="79"/>
      <c r="G394" s="79"/>
      <c r="H394" s="79"/>
      <c r="I394" s="79"/>
      <c r="J394" s="79"/>
      <c r="K394" s="79"/>
      <c r="L394" s="79"/>
    </row>
    <row r="395">
      <c r="A395" s="17"/>
      <c r="C395" s="79"/>
      <c r="D395" s="79"/>
      <c r="E395" s="79"/>
      <c r="F395" s="79"/>
      <c r="G395" s="79"/>
      <c r="H395" s="79"/>
      <c r="I395" s="79"/>
      <c r="J395" s="79"/>
      <c r="K395" s="79"/>
      <c r="L395" s="79"/>
    </row>
    <row r="396">
      <c r="A396" s="17"/>
      <c r="C396" s="79"/>
      <c r="D396" s="79"/>
      <c r="E396" s="79"/>
      <c r="F396" s="79"/>
      <c r="G396" s="79"/>
      <c r="H396" s="79"/>
      <c r="I396" s="79"/>
      <c r="J396" s="79"/>
      <c r="K396" s="79"/>
      <c r="L396" s="79"/>
    </row>
    <row r="397">
      <c r="A397" s="17"/>
      <c r="C397" s="79"/>
      <c r="D397" s="79"/>
      <c r="E397" s="79"/>
      <c r="F397" s="79"/>
      <c r="G397" s="79"/>
      <c r="H397" s="79"/>
      <c r="I397" s="79"/>
      <c r="J397" s="79"/>
      <c r="K397" s="79"/>
      <c r="L397" s="79"/>
    </row>
    <row r="398">
      <c r="A398" s="17"/>
      <c r="C398" s="79"/>
      <c r="D398" s="79"/>
      <c r="E398" s="79"/>
      <c r="F398" s="79"/>
      <c r="G398" s="79"/>
      <c r="H398" s="79"/>
      <c r="I398" s="79"/>
      <c r="J398" s="79"/>
      <c r="K398" s="79"/>
      <c r="L398" s="79"/>
    </row>
    <row r="399">
      <c r="A399" s="17"/>
      <c r="C399" s="79"/>
      <c r="D399" s="79"/>
      <c r="E399" s="79"/>
      <c r="F399" s="79"/>
      <c r="G399" s="79"/>
      <c r="H399" s="79"/>
      <c r="I399" s="79"/>
      <c r="J399" s="79"/>
      <c r="K399" s="79"/>
      <c r="L399" s="79"/>
    </row>
    <row r="400">
      <c r="A400" s="17"/>
      <c r="C400" s="79"/>
      <c r="D400" s="79"/>
      <c r="E400" s="79"/>
      <c r="F400" s="79"/>
      <c r="G400" s="79"/>
      <c r="H400" s="79"/>
      <c r="I400" s="79"/>
      <c r="J400" s="79"/>
      <c r="K400" s="79"/>
      <c r="L400" s="79"/>
    </row>
    <row r="401">
      <c r="A401" s="17"/>
      <c r="C401" s="79"/>
      <c r="D401" s="79"/>
      <c r="E401" s="79"/>
      <c r="F401" s="79"/>
      <c r="G401" s="79"/>
      <c r="H401" s="79"/>
      <c r="I401" s="79"/>
      <c r="J401" s="79"/>
      <c r="K401" s="79"/>
      <c r="L401" s="79"/>
    </row>
    <row r="402">
      <c r="A402" s="17"/>
      <c r="C402" s="79"/>
      <c r="D402" s="79"/>
      <c r="E402" s="79"/>
      <c r="F402" s="79"/>
      <c r="G402" s="79"/>
      <c r="H402" s="79"/>
      <c r="I402" s="79"/>
      <c r="J402" s="79"/>
      <c r="K402" s="79"/>
      <c r="L402" s="79"/>
    </row>
    <row r="403">
      <c r="A403" s="17"/>
      <c r="C403" s="79"/>
      <c r="D403" s="79"/>
      <c r="E403" s="79"/>
      <c r="F403" s="79"/>
      <c r="G403" s="79"/>
      <c r="H403" s="79"/>
      <c r="I403" s="79"/>
      <c r="J403" s="79"/>
      <c r="K403" s="79"/>
      <c r="L403" s="79"/>
    </row>
    <row r="404">
      <c r="A404" s="17"/>
      <c r="C404" s="79"/>
      <c r="D404" s="79"/>
      <c r="E404" s="79"/>
      <c r="F404" s="79"/>
      <c r="G404" s="79"/>
      <c r="H404" s="79"/>
      <c r="I404" s="79"/>
      <c r="J404" s="79"/>
      <c r="K404" s="79"/>
      <c r="L404" s="79"/>
    </row>
    <row r="405">
      <c r="A405" s="17"/>
      <c r="C405" s="79"/>
      <c r="D405" s="79"/>
      <c r="E405" s="79"/>
      <c r="F405" s="79"/>
      <c r="G405" s="79"/>
      <c r="H405" s="79"/>
      <c r="I405" s="79"/>
      <c r="J405" s="79"/>
      <c r="K405" s="79"/>
      <c r="L405" s="79"/>
    </row>
    <row r="406">
      <c r="A406" s="17"/>
      <c r="C406" s="79"/>
      <c r="D406" s="79"/>
      <c r="E406" s="79"/>
      <c r="F406" s="79"/>
      <c r="G406" s="79"/>
      <c r="H406" s="79"/>
      <c r="I406" s="79"/>
      <c r="J406" s="79"/>
      <c r="K406" s="79"/>
      <c r="L406" s="79"/>
    </row>
    <row r="407">
      <c r="A407" s="17"/>
      <c r="C407" s="79"/>
      <c r="D407" s="79"/>
      <c r="E407" s="79"/>
      <c r="F407" s="79"/>
      <c r="G407" s="79"/>
      <c r="H407" s="79"/>
      <c r="I407" s="79"/>
      <c r="J407" s="79"/>
      <c r="K407" s="79"/>
      <c r="L407" s="79"/>
    </row>
    <row r="408">
      <c r="A408" s="17"/>
      <c r="C408" s="79"/>
      <c r="D408" s="79"/>
      <c r="E408" s="79"/>
      <c r="F408" s="79"/>
      <c r="G408" s="79"/>
      <c r="H408" s="79"/>
      <c r="I408" s="79"/>
      <c r="J408" s="79"/>
      <c r="K408" s="79"/>
      <c r="L408" s="79"/>
    </row>
    <row r="409">
      <c r="A409" s="17"/>
      <c r="C409" s="79"/>
      <c r="D409" s="79"/>
      <c r="E409" s="79"/>
      <c r="F409" s="79"/>
      <c r="G409" s="79"/>
      <c r="H409" s="79"/>
      <c r="I409" s="79"/>
      <c r="J409" s="79"/>
      <c r="K409" s="79"/>
      <c r="L409" s="79"/>
    </row>
    <row r="410">
      <c r="A410" s="17"/>
      <c r="C410" s="79"/>
      <c r="D410" s="79"/>
      <c r="E410" s="79"/>
      <c r="F410" s="79"/>
      <c r="G410" s="79"/>
      <c r="H410" s="79"/>
      <c r="I410" s="79"/>
      <c r="J410" s="79"/>
      <c r="K410" s="79"/>
      <c r="L410" s="79"/>
    </row>
    <row r="411">
      <c r="A411" s="17"/>
      <c r="C411" s="79"/>
      <c r="D411" s="79"/>
      <c r="E411" s="79"/>
      <c r="F411" s="79"/>
      <c r="G411" s="79"/>
      <c r="H411" s="79"/>
      <c r="I411" s="79"/>
      <c r="J411" s="79"/>
      <c r="K411" s="79"/>
      <c r="L411" s="79"/>
    </row>
    <row r="412">
      <c r="A412" s="17"/>
      <c r="C412" s="79"/>
      <c r="D412" s="79"/>
      <c r="E412" s="79"/>
      <c r="F412" s="79"/>
      <c r="G412" s="79"/>
      <c r="H412" s="79"/>
      <c r="I412" s="79"/>
      <c r="J412" s="79"/>
      <c r="K412" s="79"/>
      <c r="L412" s="79"/>
    </row>
    <row r="413">
      <c r="A413" s="17"/>
      <c r="C413" s="79"/>
      <c r="D413" s="79"/>
      <c r="E413" s="79"/>
      <c r="F413" s="79"/>
      <c r="G413" s="79"/>
      <c r="H413" s="79"/>
      <c r="I413" s="79"/>
      <c r="J413" s="79"/>
      <c r="K413" s="79"/>
      <c r="L413" s="79"/>
    </row>
    <row r="414">
      <c r="A414" s="17"/>
      <c r="C414" s="79"/>
      <c r="D414" s="79"/>
      <c r="E414" s="79"/>
      <c r="F414" s="79"/>
      <c r="G414" s="79"/>
      <c r="H414" s="79"/>
      <c r="I414" s="79"/>
      <c r="J414" s="79"/>
      <c r="K414" s="79"/>
      <c r="L414" s="79"/>
    </row>
    <row r="415">
      <c r="A415" s="17"/>
      <c r="C415" s="79"/>
      <c r="D415" s="79"/>
      <c r="E415" s="79"/>
      <c r="F415" s="79"/>
      <c r="G415" s="79"/>
      <c r="H415" s="79"/>
      <c r="I415" s="79"/>
      <c r="J415" s="79"/>
      <c r="K415" s="79"/>
      <c r="L415" s="79"/>
    </row>
    <row r="416">
      <c r="A416" s="17"/>
      <c r="C416" s="79"/>
      <c r="D416" s="79"/>
      <c r="E416" s="79"/>
      <c r="F416" s="79"/>
      <c r="G416" s="79"/>
      <c r="H416" s="79"/>
      <c r="I416" s="79"/>
      <c r="J416" s="79"/>
      <c r="K416" s="79"/>
      <c r="L416" s="79"/>
    </row>
    <row r="417">
      <c r="A417" s="17"/>
      <c r="C417" s="79"/>
      <c r="D417" s="79"/>
      <c r="E417" s="79"/>
      <c r="F417" s="79"/>
      <c r="G417" s="79"/>
      <c r="H417" s="79"/>
      <c r="I417" s="79"/>
      <c r="J417" s="79"/>
      <c r="K417" s="79"/>
      <c r="L417" s="79"/>
    </row>
    <row r="418">
      <c r="A418" s="17"/>
      <c r="C418" s="79"/>
      <c r="D418" s="79"/>
      <c r="E418" s="79"/>
      <c r="F418" s="79"/>
      <c r="G418" s="79"/>
      <c r="H418" s="79"/>
      <c r="I418" s="79"/>
      <c r="J418" s="79"/>
      <c r="K418" s="79"/>
      <c r="L418" s="79"/>
    </row>
    <row r="419">
      <c r="A419" s="17"/>
      <c r="C419" s="79"/>
      <c r="D419" s="79"/>
      <c r="E419" s="79"/>
      <c r="F419" s="79"/>
      <c r="G419" s="79"/>
      <c r="H419" s="79"/>
      <c r="I419" s="79"/>
      <c r="J419" s="79"/>
      <c r="K419" s="79"/>
      <c r="L419" s="79"/>
    </row>
    <row r="420">
      <c r="A420" s="17"/>
      <c r="C420" s="79"/>
      <c r="D420" s="79"/>
      <c r="E420" s="79"/>
      <c r="F420" s="79"/>
      <c r="G420" s="79"/>
      <c r="H420" s="79"/>
      <c r="I420" s="79"/>
      <c r="J420" s="79"/>
      <c r="K420" s="79"/>
      <c r="L420" s="79"/>
    </row>
    <row r="421">
      <c r="A421" s="17"/>
      <c r="C421" s="79"/>
      <c r="D421" s="79"/>
      <c r="E421" s="79"/>
      <c r="F421" s="79"/>
      <c r="G421" s="79"/>
      <c r="H421" s="79"/>
      <c r="I421" s="79"/>
      <c r="J421" s="79"/>
      <c r="K421" s="79"/>
      <c r="L421" s="79"/>
    </row>
    <row r="422">
      <c r="A422" s="17"/>
      <c r="C422" s="79"/>
      <c r="D422" s="79"/>
      <c r="E422" s="79"/>
      <c r="F422" s="79"/>
      <c r="G422" s="79"/>
      <c r="H422" s="79"/>
      <c r="I422" s="79"/>
      <c r="J422" s="79"/>
      <c r="K422" s="79"/>
      <c r="L422" s="79"/>
    </row>
    <row r="423">
      <c r="A423" s="17"/>
      <c r="C423" s="79"/>
      <c r="D423" s="79"/>
      <c r="E423" s="79"/>
      <c r="F423" s="79"/>
      <c r="G423" s="79"/>
      <c r="H423" s="79"/>
      <c r="I423" s="79"/>
      <c r="J423" s="79"/>
      <c r="K423" s="79"/>
      <c r="L423" s="79"/>
    </row>
    <row r="424">
      <c r="A424" s="17"/>
      <c r="C424" s="79"/>
      <c r="D424" s="79"/>
      <c r="E424" s="79"/>
      <c r="F424" s="79"/>
      <c r="G424" s="79"/>
      <c r="H424" s="79"/>
      <c r="I424" s="79"/>
      <c r="J424" s="79"/>
      <c r="K424" s="79"/>
      <c r="L424" s="79"/>
    </row>
    <row r="425">
      <c r="A425" s="17"/>
      <c r="C425" s="79"/>
      <c r="D425" s="79"/>
      <c r="E425" s="79"/>
      <c r="F425" s="79"/>
      <c r="G425" s="79"/>
      <c r="H425" s="79"/>
      <c r="I425" s="79"/>
      <c r="J425" s="79"/>
      <c r="K425" s="79"/>
      <c r="L425" s="79"/>
    </row>
    <row r="426">
      <c r="A426" s="17"/>
      <c r="C426" s="79"/>
      <c r="D426" s="79"/>
      <c r="E426" s="79"/>
      <c r="F426" s="79"/>
      <c r="G426" s="79"/>
      <c r="H426" s="79"/>
      <c r="I426" s="79"/>
      <c r="J426" s="79"/>
      <c r="K426" s="79"/>
      <c r="L426" s="79"/>
    </row>
    <row r="427">
      <c r="A427" s="17"/>
      <c r="C427" s="79"/>
      <c r="D427" s="79"/>
      <c r="E427" s="79"/>
      <c r="F427" s="79"/>
      <c r="G427" s="79"/>
      <c r="H427" s="79"/>
      <c r="I427" s="79"/>
      <c r="J427" s="79"/>
      <c r="K427" s="79"/>
      <c r="L427" s="79"/>
    </row>
    <row r="428">
      <c r="A428" s="17"/>
      <c r="C428" s="79"/>
      <c r="D428" s="79"/>
      <c r="E428" s="79"/>
      <c r="F428" s="79"/>
      <c r="G428" s="79"/>
      <c r="H428" s="79"/>
      <c r="I428" s="79"/>
      <c r="J428" s="79"/>
      <c r="K428" s="79"/>
      <c r="L428" s="79"/>
    </row>
    <row r="429">
      <c r="A429" s="17"/>
      <c r="C429" s="79"/>
      <c r="D429" s="79"/>
      <c r="E429" s="79"/>
      <c r="F429" s="79"/>
      <c r="G429" s="79"/>
      <c r="H429" s="79"/>
      <c r="I429" s="79"/>
      <c r="J429" s="79"/>
      <c r="K429" s="79"/>
      <c r="L429" s="79"/>
    </row>
    <row r="430">
      <c r="A430" s="17"/>
      <c r="C430" s="79"/>
      <c r="D430" s="79"/>
      <c r="E430" s="79"/>
      <c r="F430" s="79"/>
      <c r="G430" s="79"/>
      <c r="H430" s="79"/>
      <c r="I430" s="79"/>
      <c r="J430" s="79"/>
      <c r="K430" s="79"/>
      <c r="L430" s="79"/>
    </row>
    <row r="431">
      <c r="A431" s="17"/>
      <c r="C431" s="79"/>
      <c r="D431" s="79"/>
      <c r="E431" s="79"/>
      <c r="F431" s="79"/>
      <c r="G431" s="79"/>
      <c r="H431" s="79"/>
      <c r="I431" s="79"/>
      <c r="J431" s="79"/>
      <c r="K431" s="79"/>
      <c r="L431" s="79"/>
    </row>
    <row r="432">
      <c r="A432" s="17"/>
      <c r="C432" s="79"/>
      <c r="D432" s="79"/>
      <c r="E432" s="79"/>
      <c r="F432" s="79"/>
      <c r="G432" s="79"/>
      <c r="H432" s="79"/>
      <c r="I432" s="79"/>
      <c r="J432" s="79"/>
      <c r="K432" s="79"/>
      <c r="L432" s="79"/>
    </row>
    <row r="433">
      <c r="A433" s="17"/>
      <c r="C433" s="79"/>
      <c r="D433" s="79"/>
      <c r="E433" s="79"/>
      <c r="F433" s="79"/>
      <c r="G433" s="79"/>
      <c r="H433" s="79"/>
      <c r="I433" s="79"/>
      <c r="J433" s="79"/>
      <c r="K433" s="79"/>
      <c r="L433" s="79"/>
    </row>
    <row r="434">
      <c r="A434" s="17"/>
      <c r="C434" s="79"/>
      <c r="D434" s="79"/>
      <c r="E434" s="79"/>
      <c r="F434" s="79"/>
      <c r="G434" s="79"/>
      <c r="H434" s="79"/>
      <c r="I434" s="79"/>
      <c r="J434" s="79"/>
      <c r="K434" s="79"/>
      <c r="L434" s="79"/>
    </row>
    <row r="435">
      <c r="A435" s="17"/>
      <c r="C435" s="79"/>
      <c r="D435" s="79"/>
      <c r="E435" s="79"/>
      <c r="F435" s="79"/>
      <c r="G435" s="79"/>
      <c r="H435" s="79"/>
      <c r="I435" s="79"/>
      <c r="J435" s="79"/>
      <c r="K435" s="79"/>
      <c r="L435" s="79"/>
    </row>
    <row r="436">
      <c r="A436" s="17"/>
      <c r="C436" s="79"/>
      <c r="D436" s="79"/>
      <c r="E436" s="79"/>
      <c r="F436" s="79"/>
      <c r="G436" s="79"/>
      <c r="H436" s="79"/>
      <c r="I436" s="79"/>
      <c r="J436" s="79"/>
      <c r="K436" s="79"/>
      <c r="L436" s="79"/>
    </row>
    <row r="437">
      <c r="A437" s="17"/>
      <c r="C437" s="79"/>
      <c r="D437" s="79"/>
      <c r="E437" s="79"/>
      <c r="F437" s="79"/>
      <c r="G437" s="79"/>
      <c r="H437" s="79"/>
      <c r="I437" s="79"/>
      <c r="J437" s="79"/>
      <c r="K437" s="79"/>
      <c r="L437" s="79"/>
    </row>
    <row r="438">
      <c r="A438" s="17"/>
      <c r="C438" s="79"/>
      <c r="D438" s="79"/>
      <c r="E438" s="79"/>
      <c r="F438" s="79"/>
      <c r="G438" s="79"/>
      <c r="H438" s="79"/>
      <c r="I438" s="79"/>
      <c r="J438" s="79"/>
      <c r="K438" s="79"/>
      <c r="L438" s="79"/>
    </row>
    <row r="439">
      <c r="A439" s="17"/>
      <c r="C439" s="79"/>
      <c r="D439" s="79"/>
      <c r="E439" s="79"/>
      <c r="F439" s="79"/>
      <c r="G439" s="79"/>
      <c r="H439" s="79"/>
      <c r="I439" s="79"/>
      <c r="J439" s="79"/>
      <c r="K439" s="79"/>
      <c r="L439" s="79"/>
    </row>
    <row r="440">
      <c r="A440" s="17"/>
      <c r="C440" s="79"/>
      <c r="D440" s="79"/>
      <c r="E440" s="79"/>
      <c r="F440" s="79"/>
      <c r="G440" s="79"/>
      <c r="H440" s="79"/>
      <c r="I440" s="79"/>
      <c r="J440" s="79"/>
      <c r="K440" s="79"/>
      <c r="L440" s="79"/>
    </row>
    <row r="441">
      <c r="A441" s="17"/>
      <c r="C441" s="79"/>
      <c r="D441" s="79"/>
      <c r="E441" s="79"/>
      <c r="F441" s="79"/>
      <c r="G441" s="79"/>
      <c r="H441" s="79"/>
      <c r="I441" s="79"/>
      <c r="J441" s="79"/>
      <c r="K441" s="79"/>
      <c r="L441" s="79"/>
    </row>
    <row r="442">
      <c r="A442" s="17"/>
      <c r="C442" s="79"/>
      <c r="D442" s="79"/>
      <c r="E442" s="79"/>
      <c r="F442" s="79"/>
      <c r="G442" s="79"/>
      <c r="H442" s="79"/>
      <c r="I442" s="79"/>
      <c r="J442" s="79"/>
      <c r="K442" s="79"/>
      <c r="L442" s="79"/>
    </row>
    <row r="443">
      <c r="A443" s="17"/>
      <c r="C443" s="79"/>
      <c r="D443" s="79"/>
      <c r="E443" s="79"/>
      <c r="F443" s="79"/>
      <c r="G443" s="79"/>
      <c r="H443" s="79"/>
      <c r="I443" s="79"/>
      <c r="J443" s="79"/>
      <c r="K443" s="79"/>
      <c r="L443" s="79"/>
    </row>
    <row r="444">
      <c r="A444" s="17"/>
      <c r="C444" s="79"/>
      <c r="D444" s="79"/>
      <c r="E444" s="79"/>
      <c r="F444" s="79"/>
      <c r="G444" s="79"/>
      <c r="H444" s="79"/>
      <c r="I444" s="79"/>
      <c r="J444" s="79"/>
      <c r="K444" s="79"/>
      <c r="L444" s="79"/>
    </row>
    <row r="445">
      <c r="A445" s="17"/>
      <c r="C445" s="79"/>
      <c r="D445" s="79"/>
      <c r="E445" s="79"/>
      <c r="F445" s="79"/>
      <c r="G445" s="79"/>
      <c r="H445" s="79"/>
      <c r="I445" s="79"/>
      <c r="J445" s="79"/>
      <c r="K445" s="79"/>
      <c r="L445" s="79"/>
    </row>
    <row r="446">
      <c r="A446" s="17"/>
      <c r="C446" s="79"/>
      <c r="D446" s="79"/>
      <c r="E446" s="79"/>
      <c r="F446" s="79"/>
      <c r="G446" s="79"/>
      <c r="H446" s="79"/>
      <c r="I446" s="79"/>
      <c r="J446" s="79"/>
      <c r="K446" s="79"/>
      <c r="L446" s="79"/>
    </row>
    <row r="447">
      <c r="A447" s="17"/>
      <c r="C447" s="79"/>
      <c r="D447" s="79"/>
      <c r="E447" s="79"/>
      <c r="F447" s="79"/>
      <c r="G447" s="79"/>
      <c r="H447" s="79"/>
      <c r="I447" s="79"/>
      <c r="J447" s="79"/>
      <c r="K447" s="79"/>
      <c r="L447" s="79"/>
    </row>
    <row r="448">
      <c r="A448" s="17"/>
      <c r="C448" s="79"/>
      <c r="D448" s="79"/>
      <c r="E448" s="79"/>
      <c r="F448" s="79"/>
      <c r="G448" s="79"/>
      <c r="H448" s="79"/>
      <c r="I448" s="79"/>
      <c r="J448" s="79"/>
      <c r="K448" s="79"/>
      <c r="L448" s="79"/>
    </row>
    <row r="449">
      <c r="A449" s="17"/>
      <c r="C449" s="79"/>
      <c r="D449" s="79"/>
      <c r="E449" s="79"/>
      <c r="F449" s="79"/>
      <c r="G449" s="79"/>
      <c r="H449" s="79"/>
      <c r="I449" s="79"/>
      <c r="J449" s="79"/>
      <c r="K449" s="79"/>
      <c r="L449" s="79"/>
    </row>
    <row r="450">
      <c r="A450" s="17"/>
      <c r="C450" s="79"/>
      <c r="D450" s="79"/>
      <c r="E450" s="79"/>
      <c r="F450" s="79"/>
      <c r="G450" s="79"/>
      <c r="H450" s="79"/>
      <c r="I450" s="79"/>
      <c r="J450" s="79"/>
      <c r="K450" s="79"/>
      <c r="L450" s="79"/>
    </row>
    <row r="451">
      <c r="A451" s="17"/>
      <c r="C451" s="79"/>
      <c r="D451" s="79"/>
      <c r="E451" s="79"/>
      <c r="F451" s="79"/>
      <c r="G451" s="79"/>
      <c r="H451" s="79"/>
      <c r="I451" s="79"/>
      <c r="J451" s="79"/>
      <c r="K451" s="79"/>
      <c r="L451" s="79"/>
    </row>
    <row r="452">
      <c r="A452" s="17"/>
      <c r="C452" s="79"/>
      <c r="D452" s="79"/>
      <c r="E452" s="79"/>
      <c r="F452" s="79"/>
      <c r="G452" s="79"/>
      <c r="H452" s="79"/>
      <c r="I452" s="79"/>
      <c r="J452" s="79"/>
      <c r="K452" s="79"/>
      <c r="L452" s="79"/>
    </row>
    <row r="453">
      <c r="A453" s="17"/>
      <c r="C453" s="79"/>
      <c r="D453" s="79"/>
      <c r="E453" s="79"/>
      <c r="F453" s="79"/>
      <c r="G453" s="79"/>
      <c r="H453" s="79"/>
      <c r="I453" s="79"/>
      <c r="J453" s="79"/>
      <c r="K453" s="79"/>
      <c r="L453" s="79"/>
    </row>
    <row r="454">
      <c r="A454" s="17"/>
      <c r="C454" s="79"/>
      <c r="D454" s="79"/>
      <c r="E454" s="79"/>
      <c r="F454" s="79"/>
      <c r="G454" s="79"/>
      <c r="H454" s="79"/>
      <c r="I454" s="79"/>
      <c r="J454" s="79"/>
      <c r="K454" s="79"/>
      <c r="L454" s="79"/>
    </row>
    <row r="455">
      <c r="A455" s="17"/>
      <c r="C455" s="79"/>
      <c r="D455" s="79"/>
      <c r="E455" s="79"/>
      <c r="F455" s="79"/>
      <c r="G455" s="79"/>
      <c r="H455" s="79"/>
      <c r="I455" s="79"/>
      <c r="J455" s="79"/>
      <c r="K455" s="79"/>
      <c r="L455" s="79"/>
    </row>
    <row r="456">
      <c r="A456" s="17"/>
      <c r="C456" s="79"/>
      <c r="D456" s="79"/>
      <c r="E456" s="79"/>
      <c r="F456" s="79"/>
      <c r="G456" s="79"/>
      <c r="H456" s="79"/>
      <c r="I456" s="79"/>
      <c r="J456" s="79"/>
      <c r="K456" s="79"/>
      <c r="L456" s="79"/>
    </row>
    <row r="457">
      <c r="A457" s="17"/>
      <c r="C457" s="79"/>
      <c r="D457" s="79"/>
      <c r="E457" s="79"/>
      <c r="F457" s="79"/>
      <c r="G457" s="79"/>
      <c r="H457" s="79"/>
      <c r="I457" s="79"/>
      <c r="J457" s="79"/>
      <c r="K457" s="79"/>
      <c r="L457" s="79"/>
    </row>
    <row r="458">
      <c r="A458" s="17"/>
      <c r="C458" s="79"/>
      <c r="D458" s="79"/>
      <c r="E458" s="79"/>
      <c r="F458" s="79"/>
      <c r="G458" s="79"/>
      <c r="H458" s="79"/>
      <c r="I458" s="79"/>
      <c r="J458" s="79"/>
      <c r="K458" s="79"/>
      <c r="L458" s="79"/>
    </row>
    <row r="459">
      <c r="A459" s="17"/>
      <c r="C459" s="79"/>
      <c r="D459" s="79"/>
      <c r="E459" s="79"/>
      <c r="F459" s="79"/>
      <c r="G459" s="79"/>
      <c r="H459" s="79"/>
      <c r="I459" s="79"/>
      <c r="J459" s="79"/>
      <c r="K459" s="79"/>
      <c r="L459" s="79"/>
    </row>
    <row r="460">
      <c r="A460" s="17"/>
      <c r="C460" s="79"/>
      <c r="D460" s="79"/>
      <c r="E460" s="79"/>
      <c r="F460" s="79"/>
      <c r="G460" s="79"/>
      <c r="H460" s="79"/>
      <c r="I460" s="79"/>
      <c r="J460" s="79"/>
      <c r="K460" s="79"/>
      <c r="L460" s="79"/>
    </row>
    <row r="461">
      <c r="A461" s="17"/>
      <c r="C461" s="79"/>
      <c r="D461" s="79"/>
      <c r="E461" s="79"/>
      <c r="F461" s="79"/>
      <c r="G461" s="79"/>
      <c r="H461" s="79"/>
      <c r="I461" s="79"/>
      <c r="J461" s="79"/>
      <c r="K461" s="79"/>
      <c r="L461" s="79"/>
    </row>
    <row r="462">
      <c r="A462" s="17"/>
      <c r="C462" s="79"/>
      <c r="D462" s="79"/>
      <c r="E462" s="79"/>
      <c r="F462" s="79"/>
      <c r="G462" s="79"/>
      <c r="H462" s="79"/>
      <c r="I462" s="79"/>
      <c r="J462" s="79"/>
      <c r="K462" s="79"/>
      <c r="L462" s="79"/>
    </row>
    <row r="463">
      <c r="A463" s="17"/>
      <c r="C463" s="79"/>
      <c r="D463" s="79"/>
      <c r="E463" s="79"/>
      <c r="F463" s="79"/>
      <c r="G463" s="79"/>
      <c r="H463" s="79"/>
      <c r="I463" s="79"/>
      <c r="J463" s="79"/>
      <c r="K463" s="79"/>
      <c r="L463" s="79"/>
    </row>
    <row r="464">
      <c r="A464" s="17"/>
      <c r="C464" s="79"/>
      <c r="D464" s="79"/>
      <c r="E464" s="79"/>
      <c r="F464" s="79"/>
      <c r="G464" s="79"/>
      <c r="H464" s="79"/>
      <c r="I464" s="79"/>
      <c r="J464" s="79"/>
      <c r="K464" s="79"/>
      <c r="L464" s="79"/>
    </row>
    <row r="465">
      <c r="A465" s="17"/>
      <c r="C465" s="79"/>
      <c r="D465" s="79"/>
      <c r="E465" s="79"/>
      <c r="F465" s="79"/>
      <c r="G465" s="79"/>
      <c r="H465" s="79"/>
      <c r="I465" s="79"/>
      <c r="J465" s="79"/>
      <c r="K465" s="79"/>
      <c r="L465" s="79"/>
    </row>
    <row r="466">
      <c r="A466" s="17"/>
      <c r="C466" s="79"/>
      <c r="D466" s="79"/>
      <c r="E466" s="79"/>
      <c r="F466" s="79"/>
      <c r="G466" s="79"/>
      <c r="H466" s="79"/>
      <c r="I466" s="79"/>
      <c r="J466" s="79"/>
      <c r="K466" s="79"/>
      <c r="L466" s="79"/>
    </row>
    <row r="467">
      <c r="A467" s="17"/>
      <c r="C467" s="79"/>
      <c r="D467" s="79"/>
      <c r="E467" s="79"/>
      <c r="F467" s="79"/>
      <c r="G467" s="79"/>
      <c r="H467" s="79"/>
      <c r="I467" s="79"/>
      <c r="J467" s="79"/>
      <c r="K467" s="79"/>
      <c r="L467" s="79"/>
    </row>
    <row r="468">
      <c r="A468" s="17"/>
      <c r="C468" s="79"/>
      <c r="D468" s="79"/>
      <c r="E468" s="79"/>
      <c r="F468" s="79"/>
      <c r="G468" s="79"/>
      <c r="H468" s="79"/>
      <c r="I468" s="79"/>
      <c r="J468" s="79"/>
      <c r="K468" s="79"/>
      <c r="L468" s="79"/>
    </row>
    <row r="469">
      <c r="A469" s="17"/>
      <c r="C469" s="79"/>
      <c r="D469" s="79"/>
      <c r="E469" s="79"/>
      <c r="F469" s="79"/>
      <c r="G469" s="79"/>
      <c r="H469" s="79"/>
      <c r="I469" s="79"/>
      <c r="J469" s="79"/>
      <c r="K469" s="79"/>
      <c r="L469" s="79"/>
    </row>
    <row r="470">
      <c r="A470" s="17"/>
      <c r="C470" s="79"/>
      <c r="D470" s="79"/>
      <c r="E470" s="79"/>
      <c r="F470" s="79"/>
      <c r="G470" s="79"/>
      <c r="H470" s="79"/>
      <c r="I470" s="79"/>
      <c r="J470" s="79"/>
      <c r="K470" s="79"/>
      <c r="L470" s="79"/>
    </row>
    <row r="471">
      <c r="A471" s="17"/>
      <c r="C471" s="79"/>
      <c r="D471" s="79"/>
      <c r="E471" s="79"/>
      <c r="F471" s="79"/>
      <c r="G471" s="79"/>
      <c r="H471" s="79"/>
      <c r="I471" s="79"/>
      <c r="J471" s="79"/>
      <c r="K471" s="79"/>
      <c r="L471" s="79"/>
    </row>
    <row r="472">
      <c r="A472" s="17"/>
      <c r="C472" s="79"/>
      <c r="D472" s="79"/>
      <c r="E472" s="79"/>
      <c r="F472" s="79"/>
      <c r="G472" s="79"/>
      <c r="H472" s="79"/>
      <c r="I472" s="79"/>
      <c r="J472" s="79"/>
      <c r="K472" s="79"/>
      <c r="L472" s="79"/>
    </row>
    <row r="473">
      <c r="A473" s="17"/>
      <c r="C473" s="79"/>
      <c r="D473" s="79"/>
      <c r="E473" s="79"/>
      <c r="F473" s="79"/>
      <c r="G473" s="79"/>
      <c r="H473" s="79"/>
      <c r="I473" s="79"/>
      <c r="J473" s="79"/>
      <c r="K473" s="79"/>
      <c r="L473" s="79"/>
    </row>
    <row r="474">
      <c r="A474" s="17"/>
      <c r="C474" s="79"/>
      <c r="D474" s="79"/>
      <c r="E474" s="79"/>
      <c r="F474" s="79"/>
      <c r="G474" s="79"/>
      <c r="H474" s="79"/>
      <c r="I474" s="79"/>
      <c r="J474" s="79"/>
      <c r="K474" s="79"/>
      <c r="L474" s="79"/>
    </row>
    <row r="475">
      <c r="A475" s="17"/>
      <c r="C475" s="79"/>
      <c r="D475" s="79"/>
      <c r="E475" s="79"/>
      <c r="F475" s="79"/>
      <c r="G475" s="79"/>
      <c r="H475" s="79"/>
      <c r="I475" s="79"/>
      <c r="J475" s="79"/>
      <c r="K475" s="79"/>
      <c r="L475" s="79"/>
    </row>
    <row r="476">
      <c r="A476" s="17"/>
      <c r="C476" s="79"/>
      <c r="D476" s="79"/>
      <c r="E476" s="79"/>
      <c r="F476" s="79"/>
      <c r="G476" s="79"/>
      <c r="H476" s="79"/>
      <c r="I476" s="79"/>
      <c r="J476" s="79"/>
      <c r="K476" s="79"/>
      <c r="L476" s="79"/>
    </row>
    <row r="477">
      <c r="A477" s="17"/>
      <c r="C477" s="79"/>
      <c r="D477" s="79"/>
      <c r="E477" s="79"/>
      <c r="F477" s="79"/>
      <c r="G477" s="79"/>
      <c r="H477" s="79"/>
      <c r="I477" s="79"/>
      <c r="J477" s="79"/>
      <c r="K477" s="79"/>
      <c r="L477" s="79"/>
    </row>
    <row r="478">
      <c r="A478" s="17"/>
      <c r="C478" s="79"/>
      <c r="D478" s="79"/>
      <c r="E478" s="79"/>
      <c r="F478" s="79"/>
      <c r="G478" s="79"/>
      <c r="H478" s="79"/>
      <c r="I478" s="79"/>
      <c r="J478" s="79"/>
      <c r="K478" s="79"/>
      <c r="L478" s="79"/>
    </row>
    <row r="479">
      <c r="A479" s="17"/>
      <c r="C479" s="79"/>
      <c r="D479" s="79"/>
      <c r="E479" s="79"/>
      <c r="F479" s="79"/>
      <c r="G479" s="79"/>
      <c r="H479" s="79"/>
      <c r="I479" s="79"/>
      <c r="J479" s="79"/>
      <c r="K479" s="79"/>
      <c r="L479" s="79"/>
    </row>
    <row r="480">
      <c r="A480" s="17"/>
      <c r="C480" s="79"/>
      <c r="D480" s="79"/>
      <c r="E480" s="79"/>
      <c r="F480" s="79"/>
      <c r="G480" s="79"/>
      <c r="H480" s="79"/>
      <c r="I480" s="79"/>
      <c r="J480" s="79"/>
      <c r="K480" s="79"/>
      <c r="L480" s="79"/>
    </row>
    <row r="481">
      <c r="A481" s="17"/>
      <c r="C481" s="79"/>
      <c r="D481" s="79"/>
      <c r="E481" s="79"/>
      <c r="F481" s="79"/>
      <c r="G481" s="79"/>
      <c r="H481" s="79"/>
      <c r="I481" s="79"/>
      <c r="J481" s="79"/>
      <c r="K481" s="79"/>
      <c r="L481" s="79"/>
    </row>
    <row r="482">
      <c r="A482" s="17"/>
      <c r="C482" s="79"/>
      <c r="D482" s="79"/>
      <c r="E482" s="79"/>
      <c r="F482" s="79"/>
      <c r="G482" s="79"/>
      <c r="H482" s="79"/>
      <c r="I482" s="79"/>
      <c r="J482" s="79"/>
      <c r="K482" s="79"/>
      <c r="L482" s="79"/>
    </row>
    <row r="483">
      <c r="A483" s="17"/>
      <c r="C483" s="79"/>
      <c r="D483" s="79"/>
      <c r="E483" s="79"/>
      <c r="F483" s="79"/>
      <c r="G483" s="79"/>
      <c r="H483" s="79"/>
      <c r="I483" s="79"/>
      <c r="J483" s="79"/>
      <c r="K483" s="79"/>
      <c r="L483" s="79"/>
    </row>
    <row r="484">
      <c r="A484" s="17"/>
      <c r="C484" s="79"/>
      <c r="D484" s="79"/>
      <c r="E484" s="79"/>
      <c r="F484" s="79"/>
      <c r="G484" s="79"/>
      <c r="H484" s="79"/>
      <c r="I484" s="79"/>
      <c r="J484" s="79"/>
      <c r="K484" s="79"/>
      <c r="L484" s="79"/>
    </row>
    <row r="485">
      <c r="A485" s="17"/>
      <c r="C485" s="79"/>
      <c r="D485" s="79"/>
      <c r="E485" s="79"/>
      <c r="F485" s="79"/>
      <c r="G485" s="79"/>
      <c r="H485" s="79"/>
      <c r="I485" s="79"/>
      <c r="J485" s="79"/>
      <c r="K485" s="79"/>
      <c r="L485" s="79"/>
    </row>
    <row r="486">
      <c r="A486" s="17"/>
      <c r="C486" s="79"/>
      <c r="D486" s="79"/>
      <c r="E486" s="79"/>
      <c r="F486" s="79"/>
      <c r="G486" s="79"/>
      <c r="H486" s="79"/>
      <c r="I486" s="79"/>
      <c r="J486" s="79"/>
      <c r="K486" s="79"/>
      <c r="L486" s="79"/>
    </row>
    <row r="487">
      <c r="A487" s="17"/>
      <c r="C487" s="79"/>
      <c r="D487" s="79"/>
      <c r="E487" s="79"/>
      <c r="F487" s="79"/>
      <c r="G487" s="79"/>
      <c r="H487" s="79"/>
      <c r="I487" s="79"/>
      <c r="J487" s="79"/>
      <c r="K487" s="79"/>
      <c r="L487" s="79"/>
    </row>
    <row r="488">
      <c r="A488" s="17"/>
      <c r="C488" s="79"/>
      <c r="D488" s="79"/>
      <c r="E488" s="79"/>
      <c r="F488" s="79"/>
      <c r="G488" s="79"/>
      <c r="H488" s="79"/>
      <c r="I488" s="79"/>
      <c r="J488" s="79"/>
      <c r="K488" s="79"/>
      <c r="L488" s="79"/>
    </row>
    <row r="489">
      <c r="A489" s="17"/>
      <c r="C489" s="79"/>
      <c r="D489" s="79"/>
      <c r="E489" s="79"/>
      <c r="F489" s="79"/>
      <c r="G489" s="79"/>
      <c r="H489" s="79"/>
      <c r="I489" s="79"/>
      <c r="J489" s="79"/>
      <c r="K489" s="79"/>
      <c r="L489" s="79"/>
    </row>
    <row r="490">
      <c r="A490" s="17"/>
      <c r="C490" s="79"/>
      <c r="D490" s="79"/>
      <c r="E490" s="79"/>
      <c r="F490" s="79"/>
      <c r="G490" s="79"/>
      <c r="H490" s="79"/>
      <c r="I490" s="79"/>
      <c r="J490" s="79"/>
      <c r="K490" s="79"/>
      <c r="L490" s="79"/>
    </row>
    <row r="491">
      <c r="A491" s="17"/>
      <c r="C491" s="79"/>
      <c r="D491" s="79"/>
      <c r="E491" s="79"/>
      <c r="F491" s="79"/>
      <c r="G491" s="79"/>
      <c r="H491" s="79"/>
      <c r="I491" s="79"/>
      <c r="J491" s="79"/>
      <c r="K491" s="79"/>
      <c r="L491" s="79"/>
    </row>
    <row r="492">
      <c r="A492" s="17"/>
      <c r="C492" s="79"/>
      <c r="D492" s="79"/>
      <c r="E492" s="79"/>
      <c r="F492" s="79"/>
      <c r="G492" s="79"/>
      <c r="H492" s="79"/>
      <c r="I492" s="79"/>
      <c r="J492" s="79"/>
      <c r="K492" s="79"/>
      <c r="L492" s="79"/>
    </row>
    <row r="493">
      <c r="A493" s="17"/>
      <c r="C493" s="79"/>
      <c r="D493" s="79"/>
      <c r="E493" s="79"/>
      <c r="F493" s="79"/>
      <c r="G493" s="79"/>
      <c r="H493" s="79"/>
      <c r="I493" s="79"/>
      <c r="J493" s="79"/>
      <c r="K493" s="79"/>
      <c r="L493" s="79"/>
    </row>
    <row r="494">
      <c r="A494" s="17"/>
      <c r="C494" s="79"/>
      <c r="D494" s="79"/>
      <c r="E494" s="79"/>
      <c r="F494" s="79"/>
      <c r="G494" s="79"/>
      <c r="H494" s="79"/>
      <c r="I494" s="79"/>
      <c r="J494" s="79"/>
      <c r="K494" s="79"/>
      <c r="L494" s="79"/>
    </row>
    <row r="495">
      <c r="A495" s="17"/>
      <c r="C495" s="79"/>
      <c r="D495" s="79"/>
      <c r="E495" s="79"/>
      <c r="F495" s="79"/>
      <c r="G495" s="79"/>
      <c r="H495" s="79"/>
      <c r="I495" s="79"/>
      <c r="J495" s="79"/>
      <c r="K495" s="79"/>
      <c r="L495" s="79"/>
    </row>
    <row r="496">
      <c r="A496" s="17"/>
      <c r="C496" s="79"/>
      <c r="D496" s="79"/>
      <c r="E496" s="79"/>
      <c r="F496" s="79"/>
      <c r="G496" s="79"/>
      <c r="H496" s="79"/>
      <c r="I496" s="79"/>
      <c r="J496" s="79"/>
      <c r="K496" s="79"/>
      <c r="L496" s="79"/>
    </row>
    <row r="497">
      <c r="A497" s="17"/>
      <c r="C497" s="79"/>
      <c r="D497" s="79"/>
      <c r="E497" s="79"/>
      <c r="F497" s="79"/>
      <c r="G497" s="79"/>
      <c r="H497" s="79"/>
      <c r="I497" s="79"/>
      <c r="J497" s="79"/>
      <c r="K497" s="79"/>
      <c r="L497" s="79"/>
    </row>
    <row r="498">
      <c r="A498" s="17"/>
      <c r="C498" s="79"/>
      <c r="D498" s="79"/>
      <c r="E498" s="79"/>
      <c r="F498" s="79"/>
      <c r="G498" s="79"/>
      <c r="H498" s="79"/>
      <c r="I498" s="79"/>
      <c r="J498" s="79"/>
      <c r="K498" s="79"/>
      <c r="L498" s="79"/>
    </row>
    <row r="499">
      <c r="A499" s="17"/>
      <c r="C499" s="79"/>
      <c r="D499" s="79"/>
      <c r="E499" s="79"/>
      <c r="F499" s="79"/>
      <c r="G499" s="79"/>
      <c r="H499" s="79"/>
      <c r="I499" s="79"/>
      <c r="J499" s="79"/>
      <c r="K499" s="79"/>
      <c r="L499" s="79"/>
    </row>
    <row r="500">
      <c r="A500" s="17"/>
      <c r="C500" s="79"/>
      <c r="D500" s="79"/>
      <c r="E500" s="79"/>
      <c r="F500" s="79"/>
      <c r="G500" s="79"/>
      <c r="H500" s="79"/>
      <c r="I500" s="79"/>
      <c r="J500" s="79"/>
      <c r="K500" s="79"/>
      <c r="L500" s="79"/>
    </row>
    <row r="501">
      <c r="A501" s="17"/>
      <c r="C501" s="79"/>
      <c r="D501" s="79"/>
      <c r="E501" s="79"/>
      <c r="F501" s="79"/>
      <c r="G501" s="79"/>
      <c r="H501" s="79"/>
      <c r="I501" s="79"/>
      <c r="J501" s="79"/>
      <c r="K501" s="79"/>
      <c r="L501" s="79"/>
    </row>
    <row r="502">
      <c r="A502" s="17"/>
      <c r="C502" s="79"/>
      <c r="D502" s="79"/>
      <c r="E502" s="79"/>
      <c r="F502" s="79"/>
      <c r="G502" s="79"/>
      <c r="H502" s="79"/>
      <c r="I502" s="79"/>
      <c r="J502" s="79"/>
      <c r="K502" s="79"/>
      <c r="L502" s="79"/>
    </row>
    <row r="503">
      <c r="A503" s="17"/>
      <c r="C503" s="79"/>
      <c r="D503" s="79"/>
      <c r="E503" s="79"/>
      <c r="F503" s="79"/>
      <c r="G503" s="79"/>
      <c r="H503" s="79"/>
      <c r="I503" s="79"/>
      <c r="J503" s="79"/>
      <c r="K503" s="79"/>
      <c r="L503" s="79"/>
    </row>
    <row r="504">
      <c r="A504" s="17"/>
      <c r="C504" s="79"/>
      <c r="D504" s="79"/>
      <c r="E504" s="79"/>
      <c r="F504" s="79"/>
      <c r="G504" s="79"/>
      <c r="H504" s="79"/>
      <c r="I504" s="79"/>
      <c r="J504" s="79"/>
      <c r="K504" s="79"/>
      <c r="L504" s="79"/>
    </row>
    <row r="505">
      <c r="A505" s="17"/>
      <c r="C505" s="79"/>
      <c r="D505" s="79"/>
      <c r="E505" s="79"/>
      <c r="F505" s="79"/>
      <c r="G505" s="79"/>
      <c r="H505" s="79"/>
      <c r="I505" s="79"/>
      <c r="J505" s="79"/>
      <c r="K505" s="79"/>
      <c r="L505" s="79"/>
    </row>
    <row r="506">
      <c r="A506" s="17"/>
      <c r="C506" s="79"/>
      <c r="D506" s="79"/>
      <c r="E506" s="79"/>
      <c r="F506" s="79"/>
      <c r="G506" s="79"/>
      <c r="H506" s="79"/>
      <c r="I506" s="79"/>
      <c r="J506" s="79"/>
      <c r="K506" s="79"/>
      <c r="L506" s="79"/>
    </row>
    <row r="507">
      <c r="A507" s="17"/>
      <c r="C507" s="79"/>
      <c r="D507" s="79"/>
      <c r="E507" s="79"/>
      <c r="F507" s="79"/>
      <c r="G507" s="79"/>
      <c r="H507" s="79"/>
      <c r="I507" s="79"/>
      <c r="J507" s="79"/>
      <c r="K507" s="79"/>
      <c r="L507" s="79"/>
    </row>
    <row r="508">
      <c r="A508" s="17"/>
      <c r="C508" s="79"/>
      <c r="D508" s="79"/>
      <c r="E508" s="79"/>
      <c r="F508" s="79"/>
      <c r="G508" s="79"/>
      <c r="H508" s="79"/>
      <c r="I508" s="79"/>
      <c r="J508" s="79"/>
      <c r="K508" s="79"/>
      <c r="L508" s="79"/>
    </row>
    <row r="509">
      <c r="A509" s="17"/>
      <c r="C509" s="79"/>
      <c r="D509" s="79"/>
      <c r="E509" s="79"/>
      <c r="F509" s="79"/>
      <c r="G509" s="79"/>
      <c r="H509" s="79"/>
      <c r="I509" s="79"/>
      <c r="J509" s="79"/>
      <c r="K509" s="79"/>
      <c r="L509" s="79"/>
    </row>
    <row r="510">
      <c r="A510" s="17"/>
      <c r="C510" s="79"/>
      <c r="D510" s="79"/>
      <c r="E510" s="79"/>
      <c r="F510" s="79"/>
      <c r="G510" s="79"/>
      <c r="H510" s="79"/>
      <c r="I510" s="79"/>
      <c r="J510" s="79"/>
      <c r="K510" s="79"/>
      <c r="L510" s="79"/>
    </row>
    <row r="511">
      <c r="A511" s="17"/>
      <c r="C511" s="79"/>
      <c r="D511" s="79"/>
      <c r="E511" s="79"/>
      <c r="F511" s="79"/>
      <c r="G511" s="79"/>
      <c r="H511" s="79"/>
      <c r="I511" s="79"/>
      <c r="J511" s="79"/>
      <c r="K511" s="79"/>
      <c r="L511" s="79"/>
    </row>
    <row r="512">
      <c r="A512" s="17"/>
      <c r="C512" s="79"/>
      <c r="D512" s="79"/>
      <c r="E512" s="79"/>
      <c r="F512" s="79"/>
      <c r="G512" s="79"/>
      <c r="H512" s="79"/>
      <c r="I512" s="79"/>
      <c r="J512" s="79"/>
      <c r="K512" s="79"/>
      <c r="L512" s="79"/>
    </row>
    <row r="513">
      <c r="A513" s="17"/>
      <c r="C513" s="79"/>
      <c r="D513" s="79"/>
      <c r="E513" s="79"/>
      <c r="F513" s="79"/>
      <c r="G513" s="79"/>
      <c r="H513" s="79"/>
      <c r="I513" s="79"/>
      <c r="J513" s="79"/>
      <c r="K513" s="79"/>
      <c r="L513" s="79"/>
    </row>
    <row r="514">
      <c r="A514" s="17"/>
      <c r="C514" s="79"/>
      <c r="D514" s="79"/>
      <c r="E514" s="79"/>
      <c r="F514" s="79"/>
      <c r="G514" s="79"/>
      <c r="H514" s="79"/>
      <c r="I514" s="79"/>
      <c r="J514" s="79"/>
      <c r="K514" s="79"/>
      <c r="L514" s="79"/>
    </row>
    <row r="515">
      <c r="A515" s="17"/>
      <c r="C515" s="79"/>
      <c r="D515" s="79"/>
      <c r="E515" s="79"/>
      <c r="F515" s="79"/>
      <c r="G515" s="79"/>
      <c r="H515" s="79"/>
      <c r="I515" s="79"/>
      <c r="J515" s="79"/>
      <c r="K515" s="79"/>
      <c r="L515" s="79"/>
    </row>
    <row r="516">
      <c r="A516" s="17"/>
      <c r="C516" s="79"/>
      <c r="D516" s="79"/>
      <c r="E516" s="79"/>
      <c r="F516" s="79"/>
      <c r="G516" s="79"/>
      <c r="H516" s="79"/>
      <c r="I516" s="79"/>
      <c r="J516" s="79"/>
      <c r="K516" s="79"/>
      <c r="L516" s="79"/>
    </row>
    <row r="517">
      <c r="A517" s="17"/>
      <c r="C517" s="79"/>
      <c r="D517" s="79"/>
      <c r="E517" s="79"/>
      <c r="F517" s="79"/>
      <c r="G517" s="79"/>
      <c r="H517" s="79"/>
      <c r="I517" s="79"/>
      <c r="J517" s="79"/>
      <c r="K517" s="79"/>
      <c r="L517" s="79"/>
    </row>
    <row r="518">
      <c r="A518" s="17"/>
      <c r="C518" s="79"/>
      <c r="D518" s="79"/>
      <c r="E518" s="79"/>
      <c r="F518" s="79"/>
      <c r="G518" s="79"/>
      <c r="H518" s="79"/>
      <c r="I518" s="79"/>
      <c r="J518" s="79"/>
      <c r="K518" s="79"/>
      <c r="L518" s="79"/>
    </row>
    <row r="519">
      <c r="A519" s="17"/>
      <c r="C519" s="79"/>
      <c r="D519" s="79"/>
      <c r="E519" s="79"/>
      <c r="F519" s="79"/>
      <c r="G519" s="79"/>
      <c r="H519" s="79"/>
      <c r="I519" s="79"/>
      <c r="J519" s="79"/>
      <c r="K519" s="79"/>
      <c r="L519" s="79"/>
    </row>
    <row r="520">
      <c r="A520" s="17"/>
      <c r="C520" s="79"/>
      <c r="D520" s="79"/>
      <c r="E520" s="79"/>
      <c r="F520" s="79"/>
      <c r="G520" s="79"/>
      <c r="H520" s="79"/>
      <c r="I520" s="79"/>
      <c r="J520" s="79"/>
      <c r="K520" s="79"/>
      <c r="L520" s="79"/>
    </row>
    <row r="521">
      <c r="A521" s="17"/>
      <c r="C521" s="79"/>
      <c r="D521" s="79"/>
      <c r="E521" s="79"/>
      <c r="F521" s="79"/>
      <c r="G521" s="79"/>
      <c r="H521" s="79"/>
      <c r="I521" s="79"/>
      <c r="J521" s="79"/>
      <c r="K521" s="79"/>
      <c r="L521" s="79"/>
    </row>
    <row r="522">
      <c r="A522" s="17"/>
      <c r="C522" s="79"/>
      <c r="D522" s="79"/>
      <c r="E522" s="79"/>
      <c r="F522" s="79"/>
      <c r="G522" s="79"/>
      <c r="H522" s="79"/>
      <c r="I522" s="79"/>
      <c r="J522" s="79"/>
      <c r="K522" s="79"/>
      <c r="L522" s="79"/>
    </row>
    <row r="523">
      <c r="A523" s="17"/>
      <c r="C523" s="79"/>
      <c r="D523" s="79"/>
      <c r="E523" s="79"/>
      <c r="F523" s="79"/>
      <c r="G523" s="79"/>
      <c r="H523" s="79"/>
      <c r="I523" s="79"/>
      <c r="J523" s="79"/>
      <c r="K523" s="79"/>
      <c r="L523" s="79"/>
    </row>
    <row r="524">
      <c r="A524" s="17"/>
      <c r="C524" s="79"/>
      <c r="D524" s="79"/>
      <c r="E524" s="79"/>
      <c r="F524" s="79"/>
      <c r="G524" s="79"/>
      <c r="H524" s="79"/>
      <c r="I524" s="79"/>
      <c r="J524" s="79"/>
      <c r="K524" s="79"/>
      <c r="L524" s="79"/>
    </row>
    <row r="525">
      <c r="A525" s="17"/>
      <c r="C525" s="79"/>
      <c r="D525" s="79"/>
      <c r="E525" s="79"/>
      <c r="F525" s="79"/>
      <c r="G525" s="79"/>
      <c r="H525" s="79"/>
      <c r="I525" s="79"/>
      <c r="J525" s="79"/>
      <c r="K525" s="79"/>
      <c r="L525" s="79"/>
    </row>
    <row r="526">
      <c r="A526" s="17"/>
      <c r="C526" s="79"/>
      <c r="D526" s="79"/>
      <c r="E526" s="79"/>
      <c r="F526" s="79"/>
      <c r="G526" s="79"/>
      <c r="H526" s="79"/>
      <c r="I526" s="79"/>
      <c r="J526" s="79"/>
      <c r="K526" s="79"/>
      <c r="L526" s="79"/>
    </row>
    <row r="527">
      <c r="A527" s="17"/>
      <c r="C527" s="79"/>
      <c r="D527" s="79"/>
      <c r="E527" s="79"/>
      <c r="F527" s="79"/>
      <c r="G527" s="79"/>
      <c r="H527" s="79"/>
      <c r="I527" s="79"/>
      <c r="J527" s="79"/>
      <c r="K527" s="79"/>
      <c r="L527" s="79"/>
    </row>
    <row r="528">
      <c r="A528" s="17"/>
      <c r="C528" s="79"/>
      <c r="D528" s="79"/>
      <c r="E528" s="79"/>
      <c r="F528" s="79"/>
      <c r="G528" s="79"/>
      <c r="H528" s="79"/>
      <c r="I528" s="79"/>
      <c r="J528" s="79"/>
      <c r="K528" s="79"/>
      <c r="L528" s="79"/>
    </row>
    <row r="529">
      <c r="A529" s="17"/>
      <c r="C529" s="79"/>
      <c r="D529" s="79"/>
      <c r="E529" s="79"/>
      <c r="F529" s="79"/>
      <c r="G529" s="79"/>
      <c r="H529" s="79"/>
      <c r="I529" s="79"/>
      <c r="J529" s="79"/>
      <c r="K529" s="79"/>
      <c r="L529" s="79"/>
    </row>
    <row r="530">
      <c r="A530" s="17"/>
      <c r="C530" s="79"/>
      <c r="D530" s="79"/>
      <c r="E530" s="79"/>
      <c r="F530" s="79"/>
      <c r="G530" s="79"/>
      <c r="H530" s="79"/>
      <c r="I530" s="79"/>
      <c r="J530" s="79"/>
      <c r="K530" s="79"/>
      <c r="L530" s="79"/>
    </row>
    <row r="531">
      <c r="A531" s="17"/>
      <c r="C531" s="79"/>
      <c r="D531" s="79"/>
      <c r="E531" s="79"/>
      <c r="F531" s="79"/>
      <c r="G531" s="79"/>
      <c r="H531" s="79"/>
      <c r="I531" s="79"/>
      <c r="J531" s="79"/>
      <c r="K531" s="79"/>
      <c r="L531" s="79"/>
    </row>
    <row r="532">
      <c r="A532" s="17"/>
      <c r="C532" s="79"/>
      <c r="D532" s="79"/>
      <c r="E532" s="79"/>
      <c r="F532" s="79"/>
      <c r="G532" s="79"/>
      <c r="H532" s="79"/>
      <c r="I532" s="79"/>
      <c r="J532" s="79"/>
      <c r="K532" s="79"/>
      <c r="L532" s="79"/>
    </row>
    <row r="533">
      <c r="A533" s="17"/>
      <c r="C533" s="79"/>
      <c r="D533" s="79"/>
      <c r="E533" s="79"/>
      <c r="F533" s="79"/>
      <c r="G533" s="79"/>
      <c r="H533" s="79"/>
      <c r="I533" s="79"/>
      <c r="J533" s="79"/>
      <c r="K533" s="79"/>
      <c r="L533" s="79"/>
    </row>
    <row r="534">
      <c r="A534" s="17"/>
      <c r="C534" s="79"/>
      <c r="D534" s="79"/>
      <c r="E534" s="79"/>
      <c r="F534" s="79"/>
      <c r="G534" s="79"/>
      <c r="H534" s="79"/>
      <c r="I534" s="79"/>
      <c r="J534" s="79"/>
      <c r="K534" s="79"/>
      <c r="L534" s="79"/>
    </row>
    <row r="535">
      <c r="A535" s="17"/>
      <c r="C535" s="79"/>
      <c r="D535" s="79"/>
      <c r="E535" s="79"/>
      <c r="F535" s="79"/>
      <c r="G535" s="79"/>
      <c r="H535" s="79"/>
      <c r="I535" s="79"/>
      <c r="J535" s="79"/>
      <c r="K535" s="79"/>
      <c r="L535" s="79"/>
    </row>
    <row r="536">
      <c r="A536" s="17"/>
      <c r="C536" s="79"/>
      <c r="D536" s="79"/>
      <c r="E536" s="79"/>
      <c r="F536" s="79"/>
      <c r="G536" s="79"/>
      <c r="H536" s="79"/>
      <c r="I536" s="79"/>
      <c r="J536" s="79"/>
      <c r="K536" s="79"/>
      <c r="L536" s="79"/>
    </row>
    <row r="537">
      <c r="A537" s="17"/>
      <c r="C537" s="79"/>
      <c r="D537" s="79"/>
      <c r="E537" s="79"/>
      <c r="F537" s="79"/>
      <c r="G537" s="79"/>
      <c r="H537" s="79"/>
      <c r="I537" s="79"/>
      <c r="J537" s="79"/>
      <c r="K537" s="79"/>
      <c r="L537" s="79"/>
    </row>
    <row r="538">
      <c r="A538" s="17"/>
      <c r="C538" s="79"/>
      <c r="D538" s="79"/>
      <c r="E538" s="79"/>
      <c r="F538" s="79"/>
      <c r="G538" s="79"/>
      <c r="H538" s="79"/>
      <c r="I538" s="79"/>
      <c r="J538" s="79"/>
      <c r="K538" s="79"/>
      <c r="L538" s="79"/>
    </row>
    <row r="539">
      <c r="A539" s="17"/>
      <c r="C539" s="79"/>
      <c r="D539" s="79"/>
      <c r="E539" s="79"/>
      <c r="F539" s="79"/>
      <c r="G539" s="79"/>
      <c r="H539" s="79"/>
      <c r="I539" s="79"/>
      <c r="J539" s="79"/>
      <c r="K539" s="79"/>
      <c r="L539" s="79"/>
    </row>
    <row r="540">
      <c r="A540" s="17"/>
      <c r="C540" s="79"/>
      <c r="D540" s="79"/>
      <c r="E540" s="79"/>
      <c r="F540" s="79"/>
      <c r="G540" s="79"/>
      <c r="H540" s="79"/>
      <c r="I540" s="79"/>
      <c r="J540" s="79"/>
      <c r="K540" s="79"/>
      <c r="L540" s="79"/>
    </row>
    <row r="541">
      <c r="A541" s="17"/>
      <c r="C541" s="79"/>
      <c r="D541" s="79"/>
      <c r="E541" s="79"/>
      <c r="F541" s="79"/>
      <c r="G541" s="79"/>
      <c r="H541" s="79"/>
      <c r="I541" s="79"/>
      <c r="J541" s="79"/>
      <c r="K541" s="79"/>
      <c r="L541" s="79"/>
    </row>
    <row r="542">
      <c r="A542" s="17"/>
      <c r="C542" s="79"/>
      <c r="D542" s="79"/>
      <c r="E542" s="79"/>
      <c r="F542" s="79"/>
      <c r="G542" s="79"/>
      <c r="H542" s="79"/>
      <c r="I542" s="79"/>
      <c r="J542" s="79"/>
      <c r="K542" s="79"/>
      <c r="L542" s="79"/>
    </row>
    <row r="543">
      <c r="A543" s="17"/>
      <c r="C543" s="79"/>
      <c r="D543" s="79"/>
      <c r="E543" s="79"/>
      <c r="F543" s="79"/>
      <c r="G543" s="79"/>
      <c r="H543" s="79"/>
      <c r="I543" s="79"/>
      <c r="J543" s="79"/>
      <c r="K543" s="79"/>
      <c r="L543" s="79"/>
    </row>
    <row r="544">
      <c r="A544" s="17"/>
      <c r="C544" s="79"/>
      <c r="D544" s="79"/>
      <c r="E544" s="79"/>
      <c r="F544" s="79"/>
      <c r="G544" s="79"/>
      <c r="H544" s="79"/>
      <c r="I544" s="79"/>
      <c r="J544" s="79"/>
      <c r="K544" s="79"/>
      <c r="L544" s="79"/>
    </row>
    <row r="545">
      <c r="A545" s="17"/>
      <c r="C545" s="79"/>
      <c r="D545" s="79"/>
      <c r="E545" s="79"/>
      <c r="F545" s="79"/>
      <c r="G545" s="79"/>
      <c r="H545" s="79"/>
      <c r="I545" s="79"/>
      <c r="J545" s="79"/>
      <c r="K545" s="79"/>
      <c r="L545" s="79"/>
    </row>
    <row r="546">
      <c r="A546" s="17"/>
      <c r="C546" s="79"/>
      <c r="D546" s="79"/>
      <c r="E546" s="79"/>
      <c r="F546" s="79"/>
      <c r="G546" s="79"/>
      <c r="H546" s="79"/>
      <c r="I546" s="79"/>
      <c r="J546" s="79"/>
      <c r="K546" s="79"/>
      <c r="L546" s="79"/>
    </row>
    <row r="547">
      <c r="A547" s="17"/>
      <c r="C547" s="79"/>
      <c r="D547" s="79"/>
      <c r="E547" s="79"/>
      <c r="F547" s="79"/>
      <c r="G547" s="79"/>
      <c r="H547" s="79"/>
      <c r="I547" s="79"/>
      <c r="J547" s="79"/>
      <c r="K547" s="79"/>
      <c r="L547" s="79"/>
    </row>
    <row r="548">
      <c r="A548" s="17"/>
      <c r="C548" s="79"/>
      <c r="D548" s="79"/>
      <c r="E548" s="79"/>
      <c r="F548" s="79"/>
      <c r="G548" s="79"/>
      <c r="H548" s="79"/>
      <c r="I548" s="79"/>
      <c r="J548" s="79"/>
      <c r="K548" s="79"/>
      <c r="L548" s="79"/>
    </row>
    <row r="549">
      <c r="A549" s="17"/>
      <c r="C549" s="79"/>
      <c r="D549" s="79"/>
      <c r="E549" s="79"/>
      <c r="F549" s="79"/>
      <c r="G549" s="79"/>
      <c r="H549" s="79"/>
      <c r="I549" s="79"/>
      <c r="J549" s="79"/>
      <c r="K549" s="79"/>
      <c r="L549" s="79"/>
    </row>
    <row r="550">
      <c r="A550" s="17"/>
      <c r="C550" s="79"/>
      <c r="D550" s="79"/>
      <c r="E550" s="79"/>
      <c r="F550" s="79"/>
      <c r="G550" s="79"/>
      <c r="H550" s="79"/>
      <c r="I550" s="79"/>
      <c r="J550" s="79"/>
      <c r="K550" s="79"/>
      <c r="L550" s="79"/>
    </row>
    <row r="551">
      <c r="A551" s="17"/>
      <c r="C551" s="79"/>
      <c r="D551" s="79"/>
      <c r="E551" s="79"/>
      <c r="F551" s="79"/>
      <c r="G551" s="79"/>
      <c r="H551" s="79"/>
      <c r="I551" s="79"/>
      <c r="J551" s="79"/>
      <c r="K551" s="79"/>
      <c r="L551" s="79"/>
    </row>
    <row r="552">
      <c r="A552" s="17"/>
      <c r="C552" s="79"/>
      <c r="D552" s="79"/>
      <c r="E552" s="79"/>
      <c r="F552" s="79"/>
      <c r="G552" s="79"/>
      <c r="H552" s="79"/>
      <c r="I552" s="79"/>
      <c r="J552" s="79"/>
      <c r="K552" s="79"/>
      <c r="L552" s="79"/>
    </row>
    <row r="553">
      <c r="A553" s="17"/>
      <c r="C553" s="79"/>
      <c r="D553" s="79"/>
      <c r="E553" s="79"/>
      <c r="F553" s="79"/>
      <c r="G553" s="79"/>
      <c r="H553" s="79"/>
      <c r="I553" s="79"/>
      <c r="J553" s="79"/>
      <c r="K553" s="79"/>
      <c r="L553" s="79"/>
    </row>
    <row r="554">
      <c r="A554" s="17"/>
      <c r="C554" s="79"/>
      <c r="D554" s="79"/>
      <c r="E554" s="79"/>
      <c r="F554" s="79"/>
      <c r="G554" s="79"/>
      <c r="H554" s="79"/>
      <c r="I554" s="79"/>
      <c r="J554" s="79"/>
      <c r="K554" s="79"/>
      <c r="L554" s="79"/>
    </row>
    <row r="555">
      <c r="A555" s="17"/>
      <c r="C555" s="79"/>
      <c r="D555" s="79"/>
      <c r="E555" s="79"/>
      <c r="F555" s="79"/>
      <c r="G555" s="79"/>
      <c r="H555" s="79"/>
      <c r="I555" s="79"/>
      <c r="J555" s="79"/>
      <c r="K555" s="79"/>
      <c r="L555" s="79"/>
    </row>
    <row r="556">
      <c r="A556" s="17"/>
      <c r="C556" s="79"/>
      <c r="D556" s="79"/>
      <c r="E556" s="79"/>
      <c r="F556" s="79"/>
      <c r="G556" s="79"/>
      <c r="H556" s="79"/>
      <c r="I556" s="79"/>
      <c r="J556" s="79"/>
      <c r="K556" s="79"/>
      <c r="L556" s="79"/>
    </row>
    <row r="557">
      <c r="A557" s="17"/>
      <c r="C557" s="79"/>
      <c r="D557" s="79"/>
      <c r="E557" s="79"/>
      <c r="F557" s="79"/>
      <c r="G557" s="79"/>
      <c r="H557" s="79"/>
      <c r="I557" s="79"/>
      <c r="J557" s="79"/>
      <c r="K557" s="79"/>
      <c r="L557" s="79"/>
    </row>
    <row r="558">
      <c r="A558" s="17"/>
      <c r="C558" s="79"/>
      <c r="D558" s="79"/>
      <c r="E558" s="79"/>
      <c r="F558" s="79"/>
      <c r="G558" s="79"/>
      <c r="H558" s="79"/>
      <c r="I558" s="79"/>
      <c r="J558" s="79"/>
      <c r="K558" s="79"/>
      <c r="L558" s="79"/>
    </row>
    <row r="559">
      <c r="A559" s="17"/>
      <c r="C559" s="79"/>
      <c r="D559" s="79"/>
      <c r="E559" s="79"/>
      <c r="F559" s="79"/>
      <c r="G559" s="79"/>
      <c r="H559" s="79"/>
      <c r="I559" s="79"/>
      <c r="J559" s="79"/>
      <c r="K559" s="79"/>
      <c r="L559" s="79"/>
    </row>
    <row r="560">
      <c r="A560" s="17"/>
      <c r="C560" s="79"/>
      <c r="D560" s="79"/>
      <c r="E560" s="79"/>
      <c r="F560" s="79"/>
      <c r="G560" s="79"/>
      <c r="H560" s="79"/>
      <c r="I560" s="79"/>
      <c r="J560" s="79"/>
      <c r="K560" s="79"/>
      <c r="L560" s="79"/>
    </row>
    <row r="561">
      <c r="A561" s="17"/>
      <c r="C561" s="79"/>
      <c r="D561" s="79"/>
      <c r="E561" s="79"/>
      <c r="F561" s="79"/>
      <c r="G561" s="79"/>
      <c r="H561" s="79"/>
      <c r="I561" s="79"/>
      <c r="J561" s="79"/>
      <c r="K561" s="79"/>
      <c r="L561" s="79"/>
    </row>
    <row r="562">
      <c r="A562" s="17"/>
      <c r="C562" s="79"/>
      <c r="D562" s="79"/>
      <c r="E562" s="79"/>
      <c r="F562" s="79"/>
      <c r="G562" s="79"/>
      <c r="H562" s="79"/>
      <c r="I562" s="79"/>
      <c r="J562" s="79"/>
      <c r="K562" s="79"/>
      <c r="L562" s="79"/>
    </row>
    <row r="563">
      <c r="A563" s="17"/>
      <c r="C563" s="79"/>
      <c r="D563" s="79"/>
      <c r="E563" s="79"/>
      <c r="F563" s="79"/>
      <c r="G563" s="79"/>
      <c r="H563" s="79"/>
      <c r="I563" s="79"/>
      <c r="J563" s="79"/>
      <c r="K563" s="79"/>
      <c r="L563" s="79"/>
    </row>
    <row r="564">
      <c r="A564" s="17"/>
      <c r="C564" s="79"/>
      <c r="D564" s="79"/>
      <c r="E564" s="79"/>
      <c r="F564" s="79"/>
      <c r="G564" s="79"/>
      <c r="H564" s="79"/>
      <c r="I564" s="79"/>
      <c r="J564" s="79"/>
      <c r="K564" s="79"/>
      <c r="L564" s="79"/>
    </row>
    <row r="565">
      <c r="A565" s="17"/>
      <c r="C565" s="79"/>
      <c r="D565" s="79"/>
      <c r="E565" s="79"/>
      <c r="F565" s="79"/>
      <c r="G565" s="79"/>
      <c r="H565" s="79"/>
      <c r="I565" s="79"/>
      <c r="J565" s="79"/>
      <c r="K565" s="79"/>
      <c r="L565" s="79"/>
    </row>
    <row r="566">
      <c r="A566" s="17"/>
      <c r="C566" s="79"/>
      <c r="D566" s="79"/>
      <c r="E566" s="79"/>
      <c r="F566" s="79"/>
      <c r="G566" s="79"/>
      <c r="H566" s="79"/>
      <c r="I566" s="79"/>
      <c r="J566" s="79"/>
      <c r="K566" s="79"/>
      <c r="L566" s="79"/>
    </row>
    <row r="567">
      <c r="A567" s="17"/>
      <c r="C567" s="79"/>
      <c r="D567" s="79"/>
      <c r="E567" s="79"/>
      <c r="F567" s="79"/>
      <c r="G567" s="79"/>
      <c r="H567" s="79"/>
      <c r="I567" s="79"/>
      <c r="J567" s="79"/>
      <c r="K567" s="79"/>
      <c r="L567" s="79"/>
    </row>
    <row r="568">
      <c r="A568" s="17"/>
      <c r="C568" s="79"/>
      <c r="D568" s="79"/>
      <c r="E568" s="79"/>
      <c r="F568" s="79"/>
      <c r="G568" s="79"/>
      <c r="H568" s="79"/>
      <c r="I568" s="79"/>
      <c r="J568" s="79"/>
      <c r="K568" s="79"/>
      <c r="L568" s="79"/>
    </row>
    <row r="569">
      <c r="A569" s="17"/>
      <c r="C569" s="79"/>
      <c r="D569" s="79"/>
      <c r="E569" s="79"/>
      <c r="F569" s="79"/>
      <c r="G569" s="79"/>
      <c r="H569" s="79"/>
      <c r="I569" s="79"/>
      <c r="J569" s="79"/>
      <c r="K569" s="79"/>
      <c r="L569" s="79"/>
    </row>
    <row r="570">
      <c r="A570" s="17"/>
      <c r="C570" s="79"/>
      <c r="D570" s="79"/>
      <c r="E570" s="79"/>
      <c r="F570" s="79"/>
      <c r="G570" s="79"/>
      <c r="H570" s="79"/>
      <c r="I570" s="79"/>
      <c r="J570" s="79"/>
      <c r="K570" s="79"/>
      <c r="L570" s="79"/>
    </row>
    <row r="571">
      <c r="A571" s="17"/>
      <c r="C571" s="79"/>
      <c r="D571" s="79"/>
      <c r="E571" s="79"/>
      <c r="F571" s="79"/>
      <c r="G571" s="79"/>
      <c r="H571" s="79"/>
      <c r="I571" s="79"/>
      <c r="J571" s="79"/>
      <c r="K571" s="79"/>
      <c r="L571" s="79"/>
    </row>
    <row r="572">
      <c r="A572" s="17"/>
      <c r="C572" s="79"/>
      <c r="D572" s="79"/>
      <c r="E572" s="79"/>
      <c r="F572" s="79"/>
      <c r="G572" s="79"/>
      <c r="H572" s="79"/>
      <c r="I572" s="79"/>
      <c r="J572" s="79"/>
      <c r="K572" s="79"/>
      <c r="L572" s="79"/>
    </row>
    <row r="573">
      <c r="A573" s="17"/>
      <c r="C573" s="79"/>
      <c r="D573" s="79"/>
      <c r="E573" s="79"/>
      <c r="F573" s="79"/>
      <c r="G573" s="79"/>
      <c r="H573" s="79"/>
      <c r="I573" s="79"/>
      <c r="J573" s="79"/>
      <c r="K573" s="79"/>
      <c r="L573" s="79"/>
    </row>
    <row r="574">
      <c r="A574" s="17"/>
      <c r="C574" s="79"/>
      <c r="D574" s="79"/>
      <c r="E574" s="79"/>
      <c r="F574" s="79"/>
      <c r="G574" s="79"/>
      <c r="H574" s="79"/>
      <c r="I574" s="79"/>
      <c r="J574" s="79"/>
      <c r="K574" s="79"/>
      <c r="L574" s="79"/>
    </row>
    <row r="575">
      <c r="A575" s="17"/>
      <c r="C575" s="79"/>
      <c r="D575" s="79"/>
      <c r="E575" s="79"/>
      <c r="F575" s="79"/>
      <c r="G575" s="79"/>
      <c r="H575" s="79"/>
      <c r="I575" s="79"/>
      <c r="J575" s="79"/>
      <c r="K575" s="79"/>
      <c r="L575" s="79"/>
    </row>
    <row r="576">
      <c r="A576" s="17"/>
      <c r="C576" s="79"/>
      <c r="D576" s="79"/>
      <c r="E576" s="79"/>
      <c r="F576" s="79"/>
      <c r="G576" s="79"/>
      <c r="H576" s="79"/>
      <c r="I576" s="79"/>
      <c r="J576" s="79"/>
      <c r="K576" s="79"/>
      <c r="L576" s="79"/>
    </row>
    <row r="577">
      <c r="A577" s="17"/>
      <c r="C577" s="79"/>
      <c r="D577" s="79"/>
      <c r="E577" s="79"/>
      <c r="F577" s="79"/>
      <c r="G577" s="79"/>
      <c r="H577" s="79"/>
      <c r="I577" s="79"/>
      <c r="J577" s="79"/>
      <c r="K577" s="79"/>
      <c r="L577" s="79"/>
    </row>
    <row r="578">
      <c r="A578" s="17"/>
      <c r="C578" s="79"/>
      <c r="D578" s="79"/>
      <c r="E578" s="79"/>
      <c r="F578" s="79"/>
      <c r="G578" s="79"/>
      <c r="H578" s="79"/>
      <c r="I578" s="79"/>
      <c r="J578" s="79"/>
      <c r="K578" s="79"/>
      <c r="L578" s="79"/>
    </row>
    <row r="579">
      <c r="A579" s="17"/>
      <c r="C579" s="79"/>
      <c r="D579" s="79"/>
      <c r="E579" s="79"/>
      <c r="F579" s="79"/>
      <c r="G579" s="79"/>
      <c r="H579" s="79"/>
      <c r="I579" s="79"/>
      <c r="J579" s="79"/>
      <c r="K579" s="79"/>
      <c r="L579" s="79"/>
    </row>
    <row r="580">
      <c r="A580" s="17"/>
      <c r="C580" s="79"/>
      <c r="D580" s="79"/>
      <c r="E580" s="79"/>
      <c r="F580" s="79"/>
      <c r="G580" s="79"/>
      <c r="H580" s="79"/>
      <c r="I580" s="79"/>
      <c r="J580" s="79"/>
      <c r="K580" s="79"/>
      <c r="L580" s="79"/>
    </row>
    <row r="581">
      <c r="A581" s="17"/>
      <c r="C581" s="79"/>
      <c r="D581" s="79"/>
      <c r="E581" s="79"/>
      <c r="F581" s="79"/>
      <c r="G581" s="79"/>
      <c r="H581" s="79"/>
      <c r="I581" s="79"/>
      <c r="J581" s="79"/>
      <c r="K581" s="79"/>
      <c r="L581" s="79"/>
    </row>
    <row r="582">
      <c r="A582" s="17"/>
      <c r="C582" s="79"/>
      <c r="D582" s="79"/>
      <c r="E582" s="79"/>
      <c r="F582" s="79"/>
      <c r="G582" s="79"/>
      <c r="H582" s="79"/>
      <c r="I582" s="79"/>
      <c r="J582" s="79"/>
      <c r="K582" s="79"/>
      <c r="L582" s="79"/>
    </row>
    <row r="583">
      <c r="A583" s="17"/>
      <c r="C583" s="79"/>
      <c r="D583" s="79"/>
      <c r="E583" s="79"/>
      <c r="F583" s="79"/>
      <c r="G583" s="79"/>
      <c r="H583" s="79"/>
      <c r="I583" s="79"/>
      <c r="J583" s="79"/>
      <c r="K583" s="79"/>
      <c r="L583" s="79"/>
    </row>
    <row r="584">
      <c r="A584" s="17"/>
      <c r="C584" s="79"/>
      <c r="D584" s="79"/>
      <c r="E584" s="79"/>
      <c r="F584" s="79"/>
      <c r="G584" s="79"/>
      <c r="H584" s="79"/>
      <c r="I584" s="79"/>
      <c r="J584" s="79"/>
      <c r="K584" s="79"/>
      <c r="L584" s="79"/>
    </row>
    <row r="585">
      <c r="A585" s="17"/>
      <c r="C585" s="79"/>
      <c r="D585" s="79"/>
      <c r="E585" s="79"/>
      <c r="F585" s="79"/>
      <c r="G585" s="79"/>
      <c r="H585" s="79"/>
      <c r="I585" s="79"/>
      <c r="J585" s="79"/>
      <c r="K585" s="79"/>
      <c r="L585" s="79"/>
    </row>
    <row r="586">
      <c r="A586" s="17"/>
      <c r="C586" s="79"/>
      <c r="D586" s="79"/>
      <c r="E586" s="79"/>
      <c r="F586" s="79"/>
      <c r="G586" s="79"/>
      <c r="H586" s="79"/>
      <c r="I586" s="79"/>
      <c r="J586" s="79"/>
      <c r="K586" s="79"/>
      <c r="L586" s="79"/>
    </row>
    <row r="587">
      <c r="A587" s="17"/>
      <c r="C587" s="79"/>
      <c r="D587" s="79"/>
      <c r="E587" s="79"/>
      <c r="F587" s="79"/>
      <c r="G587" s="79"/>
      <c r="H587" s="79"/>
      <c r="I587" s="79"/>
      <c r="J587" s="79"/>
      <c r="K587" s="79"/>
      <c r="L587" s="79"/>
    </row>
    <row r="588">
      <c r="A588" s="17"/>
      <c r="C588" s="79"/>
      <c r="D588" s="79"/>
      <c r="E588" s="79"/>
      <c r="F588" s="79"/>
      <c r="G588" s="79"/>
      <c r="H588" s="79"/>
      <c r="I588" s="79"/>
      <c r="J588" s="79"/>
      <c r="K588" s="79"/>
      <c r="L588" s="79"/>
    </row>
    <row r="589">
      <c r="A589" s="17"/>
      <c r="C589" s="79"/>
      <c r="D589" s="79"/>
      <c r="E589" s="79"/>
      <c r="F589" s="79"/>
      <c r="G589" s="79"/>
      <c r="H589" s="79"/>
      <c r="I589" s="79"/>
      <c r="J589" s="79"/>
      <c r="K589" s="79"/>
      <c r="L589" s="79"/>
    </row>
    <row r="590">
      <c r="A590" s="17"/>
      <c r="C590" s="79"/>
      <c r="D590" s="79"/>
      <c r="E590" s="79"/>
      <c r="F590" s="79"/>
      <c r="G590" s="79"/>
      <c r="H590" s="79"/>
      <c r="I590" s="79"/>
      <c r="J590" s="79"/>
      <c r="K590" s="79"/>
      <c r="L590" s="79"/>
    </row>
    <row r="591">
      <c r="A591" s="17"/>
      <c r="C591" s="79"/>
      <c r="D591" s="79"/>
      <c r="E591" s="79"/>
      <c r="F591" s="79"/>
      <c r="G591" s="79"/>
      <c r="H591" s="79"/>
      <c r="I591" s="79"/>
      <c r="J591" s="79"/>
      <c r="K591" s="79"/>
      <c r="L591" s="79"/>
    </row>
    <row r="592">
      <c r="A592" s="17"/>
      <c r="C592" s="79"/>
      <c r="D592" s="79"/>
      <c r="E592" s="79"/>
      <c r="F592" s="79"/>
      <c r="G592" s="79"/>
      <c r="H592" s="79"/>
      <c r="I592" s="79"/>
      <c r="J592" s="79"/>
      <c r="K592" s="79"/>
      <c r="L592" s="79"/>
    </row>
    <row r="593">
      <c r="A593" s="17"/>
      <c r="C593" s="79"/>
      <c r="D593" s="79"/>
      <c r="E593" s="79"/>
      <c r="F593" s="79"/>
      <c r="G593" s="79"/>
      <c r="H593" s="79"/>
      <c r="I593" s="79"/>
      <c r="J593" s="79"/>
      <c r="K593" s="79"/>
      <c r="L593" s="79"/>
    </row>
    <row r="594">
      <c r="A594" s="17"/>
      <c r="C594" s="79"/>
      <c r="D594" s="79"/>
      <c r="E594" s="79"/>
      <c r="F594" s="79"/>
      <c r="G594" s="79"/>
      <c r="H594" s="79"/>
      <c r="I594" s="79"/>
      <c r="J594" s="79"/>
      <c r="K594" s="79"/>
      <c r="L594" s="79"/>
    </row>
    <row r="595">
      <c r="A595" s="17"/>
      <c r="C595" s="79"/>
      <c r="D595" s="79"/>
      <c r="E595" s="79"/>
      <c r="F595" s="79"/>
      <c r="G595" s="79"/>
      <c r="H595" s="79"/>
      <c r="I595" s="79"/>
      <c r="J595" s="79"/>
      <c r="K595" s="79"/>
      <c r="L595" s="79"/>
    </row>
    <row r="596">
      <c r="A596" s="17"/>
      <c r="C596" s="79"/>
      <c r="D596" s="79"/>
      <c r="E596" s="79"/>
      <c r="F596" s="79"/>
      <c r="G596" s="79"/>
      <c r="H596" s="79"/>
      <c r="I596" s="79"/>
      <c r="J596" s="79"/>
      <c r="K596" s="79"/>
      <c r="L596" s="79"/>
    </row>
    <row r="597">
      <c r="A597" s="17"/>
      <c r="C597" s="79"/>
      <c r="D597" s="79"/>
      <c r="E597" s="79"/>
      <c r="F597" s="79"/>
      <c r="G597" s="79"/>
      <c r="H597" s="79"/>
      <c r="I597" s="79"/>
      <c r="J597" s="79"/>
      <c r="K597" s="79"/>
      <c r="L597" s="79"/>
    </row>
    <row r="598">
      <c r="A598" s="17"/>
      <c r="C598" s="79"/>
      <c r="D598" s="79"/>
      <c r="E598" s="79"/>
      <c r="F598" s="79"/>
      <c r="G598" s="79"/>
      <c r="H598" s="79"/>
      <c r="I598" s="79"/>
      <c r="J598" s="79"/>
      <c r="K598" s="79"/>
      <c r="L598" s="79"/>
    </row>
    <row r="599">
      <c r="A599" s="17"/>
      <c r="C599" s="79"/>
      <c r="D599" s="79"/>
      <c r="E599" s="79"/>
      <c r="F599" s="79"/>
      <c r="G599" s="79"/>
      <c r="H599" s="79"/>
      <c r="I599" s="79"/>
      <c r="J599" s="79"/>
      <c r="K599" s="79"/>
      <c r="L599" s="79"/>
    </row>
    <row r="600">
      <c r="A600" s="17"/>
      <c r="C600" s="79"/>
      <c r="D600" s="79"/>
      <c r="E600" s="79"/>
      <c r="F600" s="79"/>
      <c r="G600" s="79"/>
      <c r="H600" s="79"/>
      <c r="I600" s="79"/>
      <c r="J600" s="79"/>
      <c r="K600" s="79"/>
      <c r="L600" s="79"/>
    </row>
    <row r="601">
      <c r="A601" s="17"/>
      <c r="C601" s="79"/>
      <c r="D601" s="79"/>
      <c r="E601" s="79"/>
      <c r="F601" s="79"/>
      <c r="G601" s="79"/>
      <c r="H601" s="79"/>
      <c r="I601" s="79"/>
      <c r="J601" s="79"/>
      <c r="K601" s="79"/>
      <c r="L601" s="79"/>
    </row>
    <row r="602">
      <c r="A602" s="17"/>
      <c r="C602" s="79"/>
      <c r="D602" s="79"/>
      <c r="E602" s="79"/>
      <c r="F602" s="79"/>
      <c r="G602" s="79"/>
      <c r="H602" s="79"/>
      <c r="I602" s="79"/>
      <c r="J602" s="79"/>
      <c r="K602" s="79"/>
      <c r="L602" s="79"/>
    </row>
    <row r="603">
      <c r="A603" s="17"/>
      <c r="C603" s="79"/>
      <c r="D603" s="79"/>
      <c r="E603" s="79"/>
      <c r="F603" s="79"/>
      <c r="G603" s="79"/>
      <c r="H603" s="79"/>
      <c r="I603" s="79"/>
      <c r="J603" s="79"/>
      <c r="K603" s="79"/>
      <c r="L603" s="79"/>
    </row>
    <row r="604">
      <c r="A604" s="17"/>
      <c r="C604" s="79"/>
      <c r="D604" s="79"/>
      <c r="E604" s="79"/>
      <c r="F604" s="79"/>
      <c r="G604" s="79"/>
      <c r="H604" s="79"/>
      <c r="I604" s="79"/>
      <c r="J604" s="79"/>
      <c r="K604" s="79"/>
      <c r="L604" s="79"/>
    </row>
    <row r="605">
      <c r="A605" s="17"/>
      <c r="C605" s="79"/>
      <c r="D605" s="79"/>
      <c r="E605" s="79"/>
      <c r="F605" s="79"/>
      <c r="G605" s="79"/>
      <c r="H605" s="79"/>
      <c r="I605" s="79"/>
      <c r="J605" s="79"/>
      <c r="K605" s="79"/>
      <c r="L605" s="79"/>
    </row>
    <row r="606">
      <c r="A606" s="17"/>
      <c r="C606" s="79"/>
      <c r="D606" s="79"/>
      <c r="E606" s="79"/>
      <c r="F606" s="79"/>
      <c r="G606" s="79"/>
      <c r="H606" s="79"/>
      <c r="I606" s="79"/>
      <c r="J606" s="79"/>
      <c r="K606" s="79"/>
      <c r="L606" s="79"/>
    </row>
    <row r="607">
      <c r="A607" s="17"/>
      <c r="C607" s="79"/>
      <c r="D607" s="79"/>
      <c r="E607" s="79"/>
      <c r="F607" s="79"/>
      <c r="G607" s="79"/>
      <c r="H607" s="79"/>
      <c r="I607" s="79"/>
      <c r="J607" s="79"/>
      <c r="K607" s="79"/>
      <c r="L607" s="79"/>
    </row>
    <row r="608">
      <c r="A608" s="17"/>
      <c r="C608" s="79"/>
      <c r="D608" s="79"/>
      <c r="E608" s="79"/>
      <c r="F608" s="79"/>
      <c r="G608" s="79"/>
      <c r="H608" s="79"/>
      <c r="I608" s="79"/>
      <c r="J608" s="79"/>
      <c r="K608" s="79"/>
      <c r="L608" s="79"/>
    </row>
    <row r="609">
      <c r="A609" s="17"/>
      <c r="C609" s="79"/>
      <c r="D609" s="79"/>
      <c r="E609" s="79"/>
      <c r="F609" s="79"/>
      <c r="G609" s="79"/>
      <c r="H609" s="79"/>
      <c r="I609" s="79"/>
      <c r="J609" s="79"/>
      <c r="K609" s="79"/>
      <c r="L609" s="79"/>
    </row>
    <row r="610">
      <c r="A610" s="17"/>
      <c r="C610" s="79"/>
      <c r="D610" s="79"/>
      <c r="E610" s="79"/>
      <c r="F610" s="79"/>
      <c r="G610" s="79"/>
      <c r="H610" s="79"/>
      <c r="I610" s="79"/>
      <c r="J610" s="79"/>
      <c r="K610" s="79"/>
      <c r="L610" s="79"/>
    </row>
    <row r="611">
      <c r="A611" s="17"/>
      <c r="C611" s="79"/>
      <c r="D611" s="79"/>
      <c r="E611" s="79"/>
      <c r="F611" s="79"/>
      <c r="G611" s="79"/>
      <c r="H611" s="79"/>
      <c r="I611" s="79"/>
      <c r="J611" s="79"/>
      <c r="K611" s="79"/>
      <c r="L611" s="79"/>
    </row>
    <row r="612">
      <c r="A612" s="17"/>
      <c r="C612" s="79"/>
      <c r="D612" s="79"/>
      <c r="E612" s="79"/>
      <c r="F612" s="79"/>
      <c r="G612" s="79"/>
      <c r="H612" s="79"/>
      <c r="I612" s="79"/>
      <c r="J612" s="79"/>
      <c r="K612" s="79"/>
      <c r="L612" s="79"/>
    </row>
    <row r="613">
      <c r="A613" s="17"/>
      <c r="C613" s="79"/>
      <c r="D613" s="79"/>
      <c r="E613" s="79"/>
      <c r="F613" s="79"/>
      <c r="G613" s="79"/>
      <c r="H613" s="79"/>
      <c r="I613" s="79"/>
      <c r="J613" s="79"/>
      <c r="K613" s="79"/>
      <c r="L613" s="79"/>
    </row>
    <row r="614">
      <c r="A614" s="17"/>
      <c r="C614" s="79"/>
      <c r="D614" s="79"/>
      <c r="E614" s="79"/>
      <c r="F614" s="79"/>
      <c r="G614" s="79"/>
      <c r="H614" s="79"/>
      <c r="I614" s="79"/>
      <c r="J614" s="79"/>
      <c r="K614" s="79"/>
      <c r="L614" s="79"/>
    </row>
    <row r="615">
      <c r="A615" s="17"/>
      <c r="C615" s="79"/>
      <c r="D615" s="79"/>
      <c r="E615" s="79"/>
      <c r="F615" s="79"/>
      <c r="G615" s="79"/>
      <c r="H615" s="79"/>
      <c r="I615" s="79"/>
      <c r="J615" s="79"/>
      <c r="K615" s="79"/>
      <c r="L615" s="79"/>
    </row>
    <row r="616">
      <c r="A616" s="17"/>
      <c r="C616" s="79"/>
      <c r="D616" s="79"/>
      <c r="E616" s="79"/>
      <c r="F616" s="79"/>
      <c r="G616" s="79"/>
      <c r="H616" s="79"/>
      <c r="I616" s="79"/>
      <c r="J616" s="79"/>
      <c r="K616" s="79"/>
      <c r="L616" s="79"/>
    </row>
    <row r="617">
      <c r="A617" s="17"/>
      <c r="C617" s="79"/>
      <c r="D617" s="79"/>
      <c r="E617" s="79"/>
      <c r="F617" s="79"/>
      <c r="G617" s="79"/>
      <c r="H617" s="79"/>
      <c r="I617" s="79"/>
      <c r="J617" s="79"/>
      <c r="K617" s="79"/>
      <c r="L617" s="79"/>
    </row>
    <row r="618">
      <c r="A618" s="17"/>
      <c r="C618" s="79"/>
      <c r="D618" s="79"/>
      <c r="E618" s="79"/>
      <c r="F618" s="79"/>
      <c r="G618" s="79"/>
      <c r="H618" s="79"/>
      <c r="I618" s="79"/>
      <c r="J618" s="79"/>
      <c r="K618" s="79"/>
      <c r="L618" s="79"/>
    </row>
    <row r="619">
      <c r="A619" s="17"/>
      <c r="C619" s="79"/>
      <c r="D619" s="79"/>
      <c r="E619" s="79"/>
      <c r="F619" s="79"/>
      <c r="G619" s="79"/>
      <c r="H619" s="79"/>
      <c r="I619" s="79"/>
      <c r="J619" s="79"/>
      <c r="K619" s="79"/>
      <c r="L619" s="79"/>
    </row>
    <row r="620">
      <c r="A620" s="17"/>
      <c r="C620" s="79"/>
      <c r="D620" s="79"/>
      <c r="E620" s="79"/>
      <c r="F620" s="79"/>
      <c r="G620" s="79"/>
      <c r="H620" s="79"/>
      <c r="I620" s="79"/>
      <c r="J620" s="79"/>
      <c r="K620" s="79"/>
      <c r="L620" s="79"/>
    </row>
    <row r="621">
      <c r="A621" s="17"/>
      <c r="C621" s="79"/>
      <c r="D621" s="79"/>
      <c r="E621" s="79"/>
      <c r="F621" s="79"/>
      <c r="G621" s="79"/>
      <c r="H621" s="79"/>
      <c r="I621" s="79"/>
      <c r="J621" s="79"/>
      <c r="K621" s="79"/>
      <c r="L621" s="79"/>
    </row>
    <row r="622">
      <c r="A622" s="17"/>
      <c r="C622" s="79"/>
      <c r="D622" s="79"/>
      <c r="E622" s="79"/>
      <c r="F622" s="79"/>
      <c r="G622" s="79"/>
      <c r="H622" s="79"/>
      <c r="I622" s="79"/>
      <c r="J622" s="79"/>
      <c r="K622" s="79"/>
      <c r="L622" s="79"/>
    </row>
    <row r="623">
      <c r="A623" s="17"/>
      <c r="C623" s="79"/>
      <c r="D623" s="79"/>
      <c r="E623" s="79"/>
      <c r="F623" s="79"/>
      <c r="G623" s="79"/>
      <c r="H623" s="79"/>
      <c r="I623" s="79"/>
      <c r="J623" s="79"/>
      <c r="K623" s="79"/>
      <c r="L623" s="79"/>
    </row>
    <row r="624">
      <c r="A624" s="17"/>
      <c r="C624" s="79"/>
      <c r="D624" s="79"/>
      <c r="E624" s="79"/>
      <c r="F624" s="79"/>
      <c r="G624" s="79"/>
      <c r="H624" s="79"/>
      <c r="I624" s="79"/>
      <c r="J624" s="79"/>
      <c r="K624" s="79"/>
      <c r="L624" s="79"/>
    </row>
    <row r="625">
      <c r="A625" s="17"/>
      <c r="C625" s="79"/>
      <c r="D625" s="79"/>
      <c r="E625" s="79"/>
      <c r="F625" s="79"/>
      <c r="G625" s="79"/>
      <c r="H625" s="79"/>
      <c r="I625" s="79"/>
      <c r="J625" s="79"/>
      <c r="K625" s="79"/>
      <c r="L625" s="79"/>
    </row>
    <row r="626">
      <c r="A626" s="17"/>
      <c r="C626" s="79"/>
      <c r="D626" s="79"/>
      <c r="E626" s="79"/>
      <c r="F626" s="79"/>
      <c r="G626" s="79"/>
      <c r="H626" s="79"/>
      <c r="I626" s="79"/>
      <c r="J626" s="79"/>
      <c r="K626" s="79"/>
      <c r="L626" s="79"/>
    </row>
    <row r="627">
      <c r="A627" s="17"/>
      <c r="C627" s="79"/>
      <c r="D627" s="79"/>
      <c r="E627" s="79"/>
      <c r="F627" s="79"/>
      <c r="G627" s="79"/>
      <c r="H627" s="79"/>
      <c r="I627" s="79"/>
      <c r="J627" s="79"/>
      <c r="K627" s="79"/>
      <c r="L627" s="79"/>
    </row>
    <row r="628">
      <c r="A628" s="17"/>
      <c r="C628" s="79"/>
      <c r="D628" s="79"/>
      <c r="E628" s="79"/>
      <c r="F628" s="79"/>
      <c r="G628" s="79"/>
      <c r="H628" s="79"/>
      <c r="I628" s="79"/>
      <c r="J628" s="79"/>
      <c r="K628" s="79"/>
      <c r="L628" s="79"/>
    </row>
    <row r="629">
      <c r="A629" s="17"/>
      <c r="C629" s="79"/>
      <c r="D629" s="79"/>
      <c r="E629" s="79"/>
      <c r="F629" s="79"/>
      <c r="G629" s="79"/>
      <c r="H629" s="79"/>
      <c r="I629" s="79"/>
      <c r="J629" s="79"/>
      <c r="K629" s="79"/>
      <c r="L629" s="79"/>
    </row>
    <row r="630">
      <c r="A630" s="17"/>
      <c r="C630" s="79"/>
      <c r="D630" s="79"/>
      <c r="E630" s="79"/>
      <c r="F630" s="79"/>
      <c r="G630" s="79"/>
      <c r="H630" s="79"/>
      <c r="I630" s="79"/>
      <c r="J630" s="79"/>
      <c r="K630" s="79"/>
      <c r="L630" s="79"/>
    </row>
    <row r="631">
      <c r="A631" s="17"/>
      <c r="C631" s="79"/>
      <c r="D631" s="79"/>
      <c r="E631" s="79"/>
      <c r="F631" s="79"/>
      <c r="G631" s="79"/>
      <c r="H631" s="79"/>
      <c r="I631" s="79"/>
      <c r="J631" s="79"/>
      <c r="K631" s="79"/>
      <c r="L631" s="79"/>
    </row>
    <row r="632">
      <c r="A632" s="17"/>
      <c r="C632" s="79"/>
      <c r="D632" s="79"/>
      <c r="E632" s="79"/>
      <c r="F632" s="79"/>
      <c r="G632" s="79"/>
      <c r="H632" s="79"/>
      <c r="I632" s="79"/>
      <c r="J632" s="79"/>
      <c r="K632" s="79"/>
      <c r="L632" s="79"/>
    </row>
    <row r="633">
      <c r="A633" s="17"/>
      <c r="C633" s="79"/>
      <c r="D633" s="79"/>
      <c r="E633" s="79"/>
      <c r="F633" s="79"/>
      <c r="G633" s="79"/>
      <c r="H633" s="79"/>
      <c r="I633" s="79"/>
      <c r="J633" s="79"/>
      <c r="K633" s="79"/>
      <c r="L633" s="79"/>
    </row>
    <row r="634">
      <c r="A634" s="17"/>
      <c r="C634" s="79"/>
      <c r="D634" s="79"/>
      <c r="E634" s="79"/>
      <c r="F634" s="79"/>
      <c r="G634" s="79"/>
      <c r="H634" s="79"/>
      <c r="I634" s="79"/>
      <c r="J634" s="79"/>
      <c r="K634" s="79"/>
      <c r="L634" s="79"/>
    </row>
    <row r="635">
      <c r="A635" s="17"/>
      <c r="C635" s="79"/>
      <c r="D635" s="79"/>
      <c r="E635" s="79"/>
      <c r="F635" s="79"/>
      <c r="G635" s="79"/>
      <c r="H635" s="79"/>
      <c r="I635" s="79"/>
      <c r="J635" s="79"/>
      <c r="K635" s="79"/>
      <c r="L635" s="79"/>
    </row>
    <row r="636">
      <c r="A636" s="17"/>
      <c r="C636" s="79"/>
      <c r="D636" s="79"/>
      <c r="E636" s="79"/>
      <c r="F636" s="79"/>
      <c r="G636" s="79"/>
      <c r="H636" s="79"/>
      <c r="I636" s="79"/>
      <c r="J636" s="79"/>
      <c r="K636" s="79"/>
      <c r="L636" s="79"/>
    </row>
    <row r="637">
      <c r="A637" s="17"/>
      <c r="C637" s="79"/>
      <c r="D637" s="79"/>
      <c r="E637" s="79"/>
      <c r="F637" s="79"/>
      <c r="G637" s="79"/>
      <c r="H637" s="79"/>
      <c r="I637" s="79"/>
      <c r="J637" s="79"/>
      <c r="K637" s="79"/>
      <c r="L637" s="79"/>
    </row>
    <row r="638">
      <c r="A638" s="17"/>
      <c r="C638" s="79"/>
      <c r="D638" s="79"/>
      <c r="E638" s="79"/>
      <c r="F638" s="79"/>
      <c r="G638" s="79"/>
      <c r="H638" s="79"/>
      <c r="I638" s="79"/>
      <c r="J638" s="79"/>
      <c r="K638" s="79"/>
      <c r="L638" s="79"/>
    </row>
    <row r="639">
      <c r="A639" s="17"/>
      <c r="C639" s="79"/>
      <c r="D639" s="79"/>
      <c r="E639" s="79"/>
      <c r="F639" s="79"/>
      <c r="G639" s="79"/>
      <c r="H639" s="79"/>
      <c r="I639" s="79"/>
      <c r="J639" s="79"/>
      <c r="K639" s="79"/>
      <c r="L639" s="79"/>
    </row>
    <row r="640">
      <c r="A640" s="17"/>
      <c r="C640" s="79"/>
      <c r="D640" s="79"/>
      <c r="E640" s="79"/>
      <c r="F640" s="79"/>
      <c r="G640" s="79"/>
      <c r="H640" s="79"/>
      <c r="I640" s="79"/>
      <c r="J640" s="79"/>
      <c r="K640" s="79"/>
      <c r="L640" s="79"/>
    </row>
    <row r="641">
      <c r="A641" s="17"/>
      <c r="C641" s="79"/>
      <c r="D641" s="79"/>
      <c r="E641" s="79"/>
      <c r="F641" s="79"/>
      <c r="G641" s="79"/>
      <c r="H641" s="79"/>
      <c r="I641" s="79"/>
      <c r="J641" s="79"/>
      <c r="K641" s="79"/>
      <c r="L641" s="79"/>
    </row>
    <row r="642">
      <c r="A642" s="17"/>
      <c r="C642" s="79"/>
      <c r="D642" s="79"/>
      <c r="E642" s="79"/>
      <c r="F642" s="79"/>
      <c r="G642" s="79"/>
      <c r="H642" s="79"/>
      <c r="I642" s="79"/>
      <c r="J642" s="79"/>
      <c r="K642" s="79"/>
      <c r="L642" s="79"/>
    </row>
    <row r="643">
      <c r="A643" s="17"/>
      <c r="C643" s="79"/>
      <c r="D643" s="79"/>
      <c r="E643" s="79"/>
      <c r="F643" s="79"/>
      <c r="G643" s="79"/>
      <c r="H643" s="79"/>
      <c r="I643" s="79"/>
      <c r="J643" s="79"/>
      <c r="K643" s="79"/>
      <c r="L643" s="79"/>
    </row>
    <row r="644">
      <c r="A644" s="17"/>
      <c r="C644" s="79"/>
      <c r="D644" s="79"/>
      <c r="E644" s="79"/>
      <c r="F644" s="79"/>
      <c r="G644" s="79"/>
      <c r="H644" s="79"/>
      <c r="I644" s="79"/>
      <c r="J644" s="79"/>
      <c r="K644" s="79"/>
      <c r="L644" s="79"/>
    </row>
    <row r="645">
      <c r="A645" s="17"/>
      <c r="C645" s="79"/>
      <c r="D645" s="79"/>
      <c r="E645" s="79"/>
      <c r="F645" s="79"/>
      <c r="G645" s="79"/>
      <c r="H645" s="79"/>
      <c r="I645" s="79"/>
      <c r="J645" s="79"/>
      <c r="K645" s="79"/>
      <c r="L645" s="79"/>
    </row>
    <row r="646">
      <c r="A646" s="17"/>
      <c r="C646" s="79"/>
      <c r="D646" s="79"/>
      <c r="E646" s="79"/>
      <c r="F646" s="79"/>
      <c r="G646" s="79"/>
      <c r="H646" s="79"/>
      <c r="I646" s="79"/>
      <c r="J646" s="79"/>
      <c r="K646" s="79"/>
      <c r="L646" s="79"/>
    </row>
    <row r="647">
      <c r="A647" s="17"/>
      <c r="C647" s="79"/>
      <c r="D647" s="79"/>
      <c r="E647" s="79"/>
      <c r="F647" s="79"/>
      <c r="G647" s="79"/>
      <c r="H647" s="79"/>
      <c r="I647" s="79"/>
      <c r="J647" s="79"/>
      <c r="K647" s="79"/>
      <c r="L647" s="79"/>
    </row>
    <row r="648">
      <c r="A648" s="17"/>
      <c r="C648" s="79"/>
      <c r="D648" s="79"/>
      <c r="E648" s="79"/>
      <c r="F648" s="79"/>
      <c r="G648" s="79"/>
      <c r="H648" s="79"/>
      <c r="I648" s="79"/>
      <c r="J648" s="79"/>
      <c r="K648" s="79"/>
      <c r="L648" s="79"/>
    </row>
    <row r="649">
      <c r="A649" s="17"/>
      <c r="C649" s="79"/>
      <c r="D649" s="79"/>
      <c r="E649" s="79"/>
      <c r="F649" s="79"/>
      <c r="G649" s="79"/>
      <c r="H649" s="79"/>
      <c r="I649" s="79"/>
      <c r="J649" s="79"/>
      <c r="K649" s="79"/>
      <c r="L649" s="79"/>
    </row>
    <row r="650">
      <c r="A650" s="17"/>
      <c r="C650" s="79"/>
      <c r="D650" s="79"/>
      <c r="E650" s="79"/>
      <c r="F650" s="79"/>
      <c r="G650" s="79"/>
      <c r="H650" s="79"/>
      <c r="I650" s="79"/>
      <c r="J650" s="79"/>
      <c r="K650" s="79"/>
      <c r="L650" s="79"/>
    </row>
    <row r="651">
      <c r="A651" s="17"/>
      <c r="C651" s="79"/>
      <c r="D651" s="79"/>
      <c r="E651" s="79"/>
      <c r="F651" s="79"/>
      <c r="G651" s="79"/>
      <c r="H651" s="79"/>
      <c r="I651" s="79"/>
      <c r="J651" s="79"/>
      <c r="K651" s="79"/>
      <c r="L651" s="79"/>
    </row>
    <row r="652">
      <c r="A652" s="17"/>
      <c r="C652" s="79"/>
      <c r="D652" s="79"/>
      <c r="E652" s="79"/>
      <c r="F652" s="79"/>
      <c r="G652" s="79"/>
      <c r="H652" s="79"/>
      <c r="I652" s="79"/>
      <c r="J652" s="79"/>
      <c r="K652" s="79"/>
      <c r="L652" s="79"/>
    </row>
    <row r="653">
      <c r="A653" s="17"/>
      <c r="C653" s="79"/>
      <c r="D653" s="79"/>
      <c r="E653" s="79"/>
      <c r="F653" s="79"/>
      <c r="G653" s="79"/>
      <c r="H653" s="79"/>
      <c r="I653" s="79"/>
      <c r="J653" s="79"/>
      <c r="K653" s="79"/>
      <c r="L653" s="79"/>
    </row>
    <row r="654">
      <c r="A654" s="17"/>
      <c r="C654" s="79"/>
      <c r="D654" s="79"/>
      <c r="E654" s="79"/>
      <c r="F654" s="79"/>
      <c r="G654" s="79"/>
      <c r="H654" s="79"/>
      <c r="I654" s="79"/>
      <c r="J654" s="79"/>
      <c r="K654" s="79"/>
      <c r="L654" s="79"/>
    </row>
    <row r="655">
      <c r="A655" s="17"/>
      <c r="C655" s="79"/>
      <c r="D655" s="79"/>
      <c r="E655" s="79"/>
      <c r="F655" s="79"/>
      <c r="G655" s="79"/>
      <c r="H655" s="79"/>
      <c r="I655" s="79"/>
      <c r="J655" s="79"/>
      <c r="K655" s="79"/>
      <c r="L655" s="79"/>
    </row>
    <row r="656">
      <c r="A656" s="17"/>
      <c r="C656" s="79"/>
      <c r="D656" s="79"/>
      <c r="E656" s="79"/>
      <c r="F656" s="79"/>
      <c r="G656" s="79"/>
      <c r="H656" s="79"/>
      <c r="I656" s="79"/>
      <c r="J656" s="79"/>
      <c r="K656" s="79"/>
      <c r="L656" s="79"/>
    </row>
    <row r="657">
      <c r="A657" s="17"/>
      <c r="C657" s="79"/>
      <c r="D657" s="79"/>
      <c r="E657" s="79"/>
      <c r="F657" s="79"/>
      <c r="G657" s="79"/>
      <c r="H657" s="79"/>
      <c r="I657" s="79"/>
      <c r="J657" s="79"/>
      <c r="K657" s="79"/>
      <c r="L657" s="79"/>
    </row>
    <row r="658">
      <c r="A658" s="17"/>
      <c r="C658" s="79"/>
      <c r="D658" s="79"/>
      <c r="E658" s="79"/>
      <c r="F658" s="79"/>
      <c r="G658" s="79"/>
      <c r="H658" s="79"/>
      <c r="I658" s="79"/>
      <c r="J658" s="79"/>
      <c r="K658" s="79"/>
      <c r="L658" s="79"/>
    </row>
    <row r="659">
      <c r="A659" s="17"/>
      <c r="C659" s="79"/>
      <c r="D659" s="79"/>
      <c r="E659" s="79"/>
      <c r="F659" s="79"/>
      <c r="G659" s="79"/>
      <c r="H659" s="79"/>
      <c r="I659" s="79"/>
      <c r="J659" s="79"/>
      <c r="K659" s="79"/>
      <c r="L659" s="79"/>
    </row>
    <row r="660">
      <c r="A660" s="17"/>
      <c r="C660" s="79"/>
      <c r="D660" s="79"/>
      <c r="E660" s="79"/>
      <c r="F660" s="79"/>
      <c r="G660" s="79"/>
      <c r="H660" s="79"/>
      <c r="I660" s="79"/>
      <c r="J660" s="79"/>
      <c r="K660" s="79"/>
      <c r="L660" s="79"/>
    </row>
    <row r="661">
      <c r="A661" s="17"/>
      <c r="C661" s="79"/>
      <c r="D661" s="79"/>
      <c r="E661" s="79"/>
      <c r="F661" s="79"/>
      <c r="G661" s="79"/>
      <c r="H661" s="79"/>
      <c r="I661" s="79"/>
      <c r="J661" s="79"/>
      <c r="K661" s="79"/>
      <c r="L661" s="79"/>
    </row>
    <row r="662">
      <c r="A662" s="17"/>
      <c r="C662" s="79"/>
      <c r="D662" s="79"/>
      <c r="E662" s="79"/>
      <c r="F662" s="79"/>
      <c r="G662" s="79"/>
      <c r="H662" s="79"/>
      <c r="I662" s="79"/>
      <c r="J662" s="79"/>
      <c r="K662" s="79"/>
      <c r="L662" s="79"/>
    </row>
    <row r="663">
      <c r="A663" s="17"/>
      <c r="C663" s="79"/>
      <c r="D663" s="79"/>
      <c r="E663" s="79"/>
      <c r="F663" s="79"/>
      <c r="G663" s="79"/>
      <c r="H663" s="79"/>
      <c r="I663" s="79"/>
      <c r="J663" s="79"/>
      <c r="K663" s="79"/>
      <c r="L663" s="79"/>
    </row>
    <row r="664">
      <c r="A664" s="17"/>
      <c r="C664" s="79"/>
      <c r="D664" s="79"/>
      <c r="E664" s="79"/>
      <c r="F664" s="79"/>
      <c r="G664" s="79"/>
      <c r="H664" s="79"/>
      <c r="I664" s="79"/>
      <c r="J664" s="79"/>
      <c r="K664" s="79"/>
      <c r="L664" s="79"/>
    </row>
    <row r="665">
      <c r="A665" s="17"/>
      <c r="C665" s="79"/>
      <c r="D665" s="79"/>
      <c r="E665" s="79"/>
      <c r="F665" s="79"/>
      <c r="G665" s="79"/>
      <c r="H665" s="79"/>
      <c r="I665" s="79"/>
      <c r="J665" s="79"/>
      <c r="K665" s="79"/>
      <c r="L665" s="79"/>
    </row>
    <row r="666">
      <c r="A666" s="17"/>
      <c r="C666" s="79"/>
      <c r="D666" s="79"/>
      <c r="E666" s="79"/>
      <c r="F666" s="79"/>
      <c r="G666" s="79"/>
      <c r="H666" s="79"/>
      <c r="I666" s="79"/>
      <c r="J666" s="79"/>
      <c r="K666" s="79"/>
      <c r="L666" s="79"/>
    </row>
    <row r="667">
      <c r="A667" s="17"/>
      <c r="C667" s="79"/>
      <c r="D667" s="79"/>
      <c r="E667" s="79"/>
      <c r="F667" s="79"/>
      <c r="G667" s="79"/>
      <c r="H667" s="79"/>
      <c r="I667" s="79"/>
      <c r="J667" s="79"/>
      <c r="K667" s="79"/>
      <c r="L667" s="79"/>
    </row>
    <row r="668">
      <c r="A668" s="17"/>
      <c r="C668" s="79"/>
      <c r="D668" s="79"/>
      <c r="E668" s="79"/>
      <c r="F668" s="79"/>
      <c r="G668" s="79"/>
      <c r="H668" s="79"/>
      <c r="I668" s="79"/>
      <c r="J668" s="79"/>
      <c r="K668" s="79"/>
      <c r="L668" s="79"/>
    </row>
    <row r="669">
      <c r="A669" s="17"/>
      <c r="C669" s="79"/>
      <c r="D669" s="79"/>
      <c r="E669" s="79"/>
      <c r="F669" s="79"/>
      <c r="G669" s="79"/>
      <c r="H669" s="79"/>
      <c r="I669" s="79"/>
      <c r="J669" s="79"/>
      <c r="K669" s="79"/>
      <c r="L669" s="79"/>
    </row>
    <row r="670">
      <c r="A670" s="17"/>
      <c r="C670" s="79"/>
      <c r="D670" s="79"/>
      <c r="E670" s="79"/>
      <c r="F670" s="79"/>
      <c r="G670" s="79"/>
      <c r="H670" s="79"/>
      <c r="I670" s="79"/>
      <c r="J670" s="79"/>
      <c r="K670" s="79"/>
      <c r="L670" s="79"/>
    </row>
    <row r="671">
      <c r="A671" s="17"/>
      <c r="C671" s="79"/>
      <c r="D671" s="79"/>
      <c r="E671" s="79"/>
      <c r="F671" s="79"/>
      <c r="G671" s="79"/>
      <c r="H671" s="79"/>
      <c r="I671" s="79"/>
      <c r="J671" s="79"/>
      <c r="K671" s="79"/>
      <c r="L671" s="79"/>
    </row>
    <row r="672">
      <c r="A672" s="17"/>
      <c r="C672" s="79"/>
      <c r="D672" s="79"/>
      <c r="E672" s="79"/>
      <c r="F672" s="79"/>
      <c r="G672" s="79"/>
      <c r="H672" s="79"/>
      <c r="I672" s="79"/>
      <c r="J672" s="79"/>
      <c r="K672" s="79"/>
      <c r="L672" s="79"/>
    </row>
    <row r="673">
      <c r="A673" s="17"/>
      <c r="C673" s="79"/>
      <c r="D673" s="79"/>
      <c r="E673" s="79"/>
      <c r="F673" s="79"/>
      <c r="G673" s="79"/>
      <c r="H673" s="79"/>
      <c r="I673" s="79"/>
      <c r="J673" s="79"/>
      <c r="K673" s="79"/>
      <c r="L673" s="79"/>
    </row>
    <row r="674">
      <c r="A674" s="17"/>
      <c r="C674" s="79"/>
      <c r="D674" s="79"/>
      <c r="E674" s="79"/>
      <c r="F674" s="79"/>
      <c r="G674" s="79"/>
      <c r="H674" s="79"/>
      <c r="I674" s="79"/>
      <c r="J674" s="79"/>
      <c r="K674" s="79"/>
      <c r="L674" s="79"/>
    </row>
    <row r="675">
      <c r="A675" s="17"/>
      <c r="C675" s="79"/>
      <c r="D675" s="79"/>
      <c r="E675" s="79"/>
      <c r="F675" s="79"/>
      <c r="G675" s="79"/>
      <c r="H675" s="79"/>
      <c r="I675" s="79"/>
      <c r="J675" s="79"/>
      <c r="K675" s="79"/>
      <c r="L675" s="79"/>
    </row>
    <row r="676">
      <c r="A676" s="17"/>
      <c r="C676" s="79"/>
      <c r="D676" s="79"/>
      <c r="E676" s="79"/>
      <c r="F676" s="79"/>
      <c r="G676" s="79"/>
      <c r="H676" s="79"/>
      <c r="I676" s="79"/>
      <c r="J676" s="79"/>
      <c r="K676" s="79"/>
      <c r="L676" s="79"/>
    </row>
    <row r="677">
      <c r="A677" s="17"/>
      <c r="C677" s="79"/>
      <c r="D677" s="79"/>
      <c r="E677" s="79"/>
      <c r="F677" s="79"/>
      <c r="G677" s="79"/>
      <c r="H677" s="79"/>
      <c r="I677" s="79"/>
      <c r="J677" s="79"/>
      <c r="K677" s="79"/>
      <c r="L677" s="79"/>
    </row>
    <row r="678">
      <c r="A678" s="17"/>
      <c r="C678" s="79"/>
      <c r="D678" s="79"/>
      <c r="E678" s="79"/>
      <c r="F678" s="79"/>
      <c r="G678" s="79"/>
      <c r="H678" s="79"/>
      <c r="I678" s="79"/>
      <c r="J678" s="79"/>
      <c r="K678" s="79"/>
      <c r="L678" s="79"/>
    </row>
    <row r="679">
      <c r="A679" s="17"/>
      <c r="C679" s="79"/>
      <c r="D679" s="79"/>
      <c r="E679" s="79"/>
      <c r="F679" s="79"/>
      <c r="G679" s="79"/>
      <c r="H679" s="79"/>
      <c r="I679" s="79"/>
      <c r="J679" s="79"/>
      <c r="K679" s="79"/>
      <c r="L679" s="79"/>
    </row>
    <row r="680">
      <c r="A680" s="17"/>
      <c r="C680" s="79"/>
      <c r="D680" s="79"/>
      <c r="E680" s="79"/>
      <c r="F680" s="79"/>
      <c r="G680" s="79"/>
      <c r="H680" s="79"/>
      <c r="I680" s="79"/>
      <c r="J680" s="79"/>
      <c r="K680" s="79"/>
      <c r="L680" s="79"/>
    </row>
    <row r="681">
      <c r="A681" s="17"/>
      <c r="C681" s="79"/>
      <c r="D681" s="79"/>
      <c r="E681" s="79"/>
      <c r="F681" s="79"/>
      <c r="G681" s="79"/>
      <c r="H681" s="79"/>
      <c r="I681" s="79"/>
      <c r="J681" s="79"/>
      <c r="K681" s="79"/>
      <c r="L681" s="79"/>
    </row>
    <row r="682">
      <c r="A682" s="17"/>
      <c r="C682" s="79"/>
      <c r="D682" s="79"/>
      <c r="E682" s="79"/>
      <c r="F682" s="79"/>
      <c r="G682" s="79"/>
      <c r="H682" s="79"/>
      <c r="I682" s="79"/>
      <c r="J682" s="79"/>
      <c r="K682" s="79"/>
      <c r="L682" s="79"/>
    </row>
    <row r="683">
      <c r="A683" s="17"/>
      <c r="C683" s="79"/>
      <c r="D683" s="79"/>
      <c r="E683" s="79"/>
      <c r="F683" s="79"/>
      <c r="G683" s="79"/>
      <c r="H683" s="79"/>
      <c r="I683" s="79"/>
      <c r="J683" s="79"/>
      <c r="K683" s="79"/>
      <c r="L683" s="79"/>
    </row>
    <row r="684">
      <c r="A684" s="17"/>
      <c r="C684" s="79"/>
      <c r="D684" s="79"/>
      <c r="E684" s="79"/>
      <c r="F684" s="79"/>
      <c r="G684" s="79"/>
      <c r="H684" s="79"/>
      <c r="I684" s="79"/>
      <c r="J684" s="79"/>
      <c r="K684" s="79"/>
      <c r="L684" s="79"/>
    </row>
    <row r="685">
      <c r="A685" s="17"/>
      <c r="C685" s="79"/>
      <c r="D685" s="79"/>
      <c r="E685" s="79"/>
      <c r="F685" s="79"/>
      <c r="G685" s="79"/>
      <c r="H685" s="79"/>
      <c r="I685" s="79"/>
      <c r="J685" s="79"/>
      <c r="K685" s="79"/>
      <c r="L685" s="79"/>
    </row>
    <row r="686">
      <c r="A686" s="17"/>
      <c r="C686" s="79"/>
      <c r="D686" s="79"/>
      <c r="E686" s="79"/>
      <c r="F686" s="79"/>
      <c r="G686" s="79"/>
      <c r="H686" s="79"/>
      <c r="I686" s="79"/>
      <c r="J686" s="79"/>
      <c r="K686" s="79"/>
      <c r="L686" s="79"/>
    </row>
    <row r="687">
      <c r="A687" s="17"/>
      <c r="C687" s="79"/>
      <c r="D687" s="79"/>
      <c r="E687" s="79"/>
      <c r="F687" s="79"/>
      <c r="G687" s="79"/>
      <c r="H687" s="79"/>
      <c r="I687" s="79"/>
      <c r="J687" s="79"/>
      <c r="K687" s="79"/>
      <c r="L687" s="79"/>
    </row>
    <row r="688">
      <c r="A688" s="17"/>
      <c r="C688" s="79"/>
      <c r="D688" s="79"/>
      <c r="E688" s="79"/>
      <c r="F688" s="79"/>
      <c r="G688" s="79"/>
      <c r="H688" s="79"/>
      <c r="I688" s="79"/>
      <c r="J688" s="79"/>
      <c r="K688" s="79"/>
      <c r="L688" s="79"/>
    </row>
    <row r="689">
      <c r="A689" s="17"/>
      <c r="C689" s="79"/>
      <c r="D689" s="79"/>
      <c r="E689" s="79"/>
      <c r="F689" s="79"/>
      <c r="G689" s="79"/>
      <c r="H689" s="79"/>
      <c r="I689" s="79"/>
      <c r="J689" s="79"/>
      <c r="K689" s="79"/>
      <c r="L689" s="79"/>
    </row>
    <row r="690">
      <c r="A690" s="17"/>
      <c r="C690" s="79"/>
      <c r="D690" s="79"/>
      <c r="E690" s="79"/>
      <c r="F690" s="79"/>
      <c r="G690" s="79"/>
      <c r="H690" s="79"/>
      <c r="I690" s="79"/>
      <c r="J690" s="79"/>
      <c r="K690" s="79"/>
      <c r="L690" s="79"/>
    </row>
    <row r="691">
      <c r="A691" s="17"/>
      <c r="C691" s="79"/>
      <c r="D691" s="79"/>
      <c r="E691" s="79"/>
      <c r="F691" s="79"/>
      <c r="G691" s="79"/>
      <c r="H691" s="79"/>
      <c r="I691" s="79"/>
      <c r="J691" s="79"/>
      <c r="K691" s="79"/>
      <c r="L691" s="79"/>
    </row>
    <row r="692">
      <c r="A692" s="17"/>
      <c r="C692" s="79"/>
      <c r="D692" s="79"/>
      <c r="E692" s="79"/>
      <c r="F692" s="79"/>
      <c r="G692" s="79"/>
      <c r="H692" s="79"/>
      <c r="I692" s="79"/>
      <c r="J692" s="79"/>
      <c r="K692" s="79"/>
      <c r="L692" s="79"/>
    </row>
    <row r="693">
      <c r="A693" s="17"/>
      <c r="C693" s="79"/>
      <c r="D693" s="79"/>
      <c r="E693" s="79"/>
      <c r="F693" s="79"/>
      <c r="G693" s="79"/>
      <c r="H693" s="79"/>
      <c r="I693" s="79"/>
      <c r="J693" s="79"/>
      <c r="K693" s="79"/>
      <c r="L693" s="79"/>
    </row>
    <row r="694">
      <c r="A694" s="17"/>
      <c r="C694" s="79"/>
      <c r="D694" s="79"/>
      <c r="E694" s="79"/>
      <c r="F694" s="79"/>
      <c r="G694" s="79"/>
      <c r="H694" s="79"/>
      <c r="I694" s="79"/>
      <c r="J694" s="79"/>
      <c r="K694" s="79"/>
      <c r="L694" s="79"/>
    </row>
    <row r="695">
      <c r="A695" s="17"/>
      <c r="C695" s="79"/>
      <c r="D695" s="79"/>
      <c r="E695" s="79"/>
      <c r="F695" s="79"/>
      <c r="G695" s="79"/>
      <c r="H695" s="79"/>
      <c r="I695" s="79"/>
      <c r="J695" s="79"/>
      <c r="K695" s="79"/>
      <c r="L695" s="79"/>
    </row>
    <row r="696">
      <c r="A696" s="17"/>
      <c r="C696" s="79"/>
      <c r="D696" s="79"/>
      <c r="E696" s="79"/>
      <c r="F696" s="79"/>
      <c r="G696" s="79"/>
      <c r="H696" s="79"/>
      <c r="I696" s="79"/>
      <c r="J696" s="79"/>
      <c r="K696" s="79"/>
      <c r="L696" s="79"/>
    </row>
    <row r="697">
      <c r="A697" s="17"/>
      <c r="C697" s="79"/>
      <c r="D697" s="79"/>
      <c r="E697" s="79"/>
      <c r="F697" s="79"/>
      <c r="G697" s="79"/>
      <c r="H697" s="79"/>
      <c r="I697" s="79"/>
      <c r="J697" s="79"/>
      <c r="K697" s="79"/>
      <c r="L697" s="79"/>
    </row>
    <row r="698">
      <c r="A698" s="17"/>
      <c r="C698" s="79"/>
      <c r="D698" s="79"/>
      <c r="E698" s="79"/>
      <c r="F698" s="79"/>
      <c r="G698" s="79"/>
      <c r="H698" s="79"/>
      <c r="I698" s="79"/>
      <c r="J698" s="79"/>
      <c r="K698" s="79"/>
      <c r="L698" s="79"/>
    </row>
    <row r="699">
      <c r="A699" s="17"/>
      <c r="C699" s="79"/>
      <c r="D699" s="79"/>
      <c r="E699" s="79"/>
      <c r="F699" s="79"/>
      <c r="G699" s="79"/>
      <c r="H699" s="79"/>
      <c r="I699" s="79"/>
      <c r="J699" s="79"/>
      <c r="K699" s="79"/>
      <c r="L699" s="79"/>
    </row>
    <row r="700">
      <c r="A700" s="17"/>
      <c r="C700" s="79"/>
      <c r="D700" s="79"/>
      <c r="E700" s="79"/>
      <c r="F700" s="79"/>
      <c r="G700" s="79"/>
      <c r="H700" s="79"/>
      <c r="I700" s="79"/>
      <c r="J700" s="79"/>
      <c r="K700" s="79"/>
      <c r="L700" s="79"/>
    </row>
    <row r="701">
      <c r="A701" s="17"/>
      <c r="C701" s="79"/>
      <c r="D701" s="79"/>
      <c r="E701" s="79"/>
      <c r="F701" s="79"/>
      <c r="G701" s="79"/>
      <c r="H701" s="79"/>
      <c r="I701" s="79"/>
      <c r="J701" s="79"/>
      <c r="K701" s="79"/>
      <c r="L701" s="79"/>
    </row>
    <row r="702">
      <c r="A702" s="17"/>
      <c r="C702" s="79"/>
      <c r="D702" s="79"/>
      <c r="E702" s="79"/>
      <c r="F702" s="79"/>
      <c r="G702" s="79"/>
      <c r="H702" s="79"/>
      <c r="I702" s="79"/>
      <c r="J702" s="79"/>
      <c r="K702" s="79"/>
      <c r="L702" s="79"/>
    </row>
    <row r="703">
      <c r="A703" s="17"/>
      <c r="C703" s="79"/>
      <c r="D703" s="79"/>
      <c r="E703" s="79"/>
      <c r="F703" s="79"/>
      <c r="G703" s="79"/>
      <c r="H703" s="79"/>
      <c r="I703" s="79"/>
      <c r="J703" s="79"/>
      <c r="K703" s="79"/>
      <c r="L703" s="79"/>
    </row>
    <row r="704">
      <c r="A704" s="17"/>
      <c r="C704" s="79"/>
      <c r="D704" s="79"/>
      <c r="E704" s="79"/>
      <c r="F704" s="79"/>
      <c r="G704" s="79"/>
      <c r="H704" s="79"/>
      <c r="I704" s="79"/>
      <c r="J704" s="79"/>
      <c r="K704" s="79"/>
      <c r="L704" s="79"/>
    </row>
    <row r="705">
      <c r="A705" s="17"/>
      <c r="C705" s="79"/>
      <c r="D705" s="79"/>
      <c r="E705" s="79"/>
      <c r="F705" s="79"/>
      <c r="G705" s="79"/>
      <c r="H705" s="79"/>
      <c r="I705" s="79"/>
      <c r="J705" s="79"/>
      <c r="K705" s="79"/>
      <c r="L705" s="79"/>
    </row>
    <row r="706">
      <c r="A706" s="17"/>
      <c r="C706" s="79"/>
      <c r="D706" s="79"/>
      <c r="E706" s="79"/>
      <c r="F706" s="79"/>
      <c r="G706" s="79"/>
      <c r="H706" s="79"/>
      <c r="I706" s="79"/>
      <c r="J706" s="79"/>
      <c r="K706" s="79"/>
      <c r="L706" s="79"/>
    </row>
    <row r="707">
      <c r="A707" s="17"/>
      <c r="C707" s="79"/>
      <c r="D707" s="79"/>
      <c r="E707" s="79"/>
      <c r="F707" s="79"/>
      <c r="G707" s="79"/>
      <c r="H707" s="79"/>
      <c r="I707" s="79"/>
      <c r="J707" s="79"/>
      <c r="K707" s="79"/>
      <c r="L707" s="79"/>
    </row>
    <row r="708">
      <c r="A708" s="17"/>
      <c r="C708" s="79"/>
      <c r="D708" s="79"/>
      <c r="E708" s="79"/>
      <c r="F708" s="79"/>
      <c r="G708" s="79"/>
      <c r="H708" s="79"/>
      <c r="I708" s="79"/>
      <c r="J708" s="79"/>
      <c r="K708" s="79"/>
      <c r="L708" s="79"/>
    </row>
    <row r="709">
      <c r="A709" s="17"/>
      <c r="C709" s="79"/>
      <c r="D709" s="79"/>
      <c r="E709" s="79"/>
      <c r="F709" s="79"/>
      <c r="G709" s="79"/>
      <c r="H709" s="79"/>
      <c r="I709" s="79"/>
      <c r="J709" s="79"/>
      <c r="K709" s="79"/>
      <c r="L709" s="79"/>
    </row>
    <row r="710">
      <c r="A710" s="17"/>
      <c r="C710" s="79"/>
      <c r="D710" s="79"/>
      <c r="E710" s="79"/>
      <c r="F710" s="79"/>
      <c r="G710" s="79"/>
      <c r="H710" s="79"/>
      <c r="I710" s="79"/>
      <c r="J710" s="79"/>
      <c r="K710" s="79"/>
      <c r="L710" s="79"/>
    </row>
    <row r="711">
      <c r="A711" s="17"/>
      <c r="C711" s="79"/>
      <c r="D711" s="79"/>
      <c r="E711" s="79"/>
      <c r="F711" s="79"/>
      <c r="G711" s="79"/>
      <c r="H711" s="79"/>
      <c r="I711" s="79"/>
      <c r="J711" s="79"/>
      <c r="K711" s="79"/>
      <c r="L711" s="79"/>
    </row>
    <row r="712">
      <c r="A712" s="17"/>
      <c r="C712" s="79"/>
      <c r="D712" s="79"/>
      <c r="E712" s="79"/>
      <c r="F712" s="79"/>
      <c r="G712" s="79"/>
      <c r="H712" s="79"/>
      <c r="I712" s="79"/>
      <c r="J712" s="79"/>
      <c r="K712" s="79"/>
      <c r="L712" s="79"/>
    </row>
    <row r="713">
      <c r="A713" s="17"/>
      <c r="C713" s="79"/>
      <c r="D713" s="79"/>
      <c r="E713" s="79"/>
      <c r="F713" s="79"/>
      <c r="G713" s="79"/>
      <c r="H713" s="79"/>
      <c r="I713" s="79"/>
      <c r="J713" s="79"/>
      <c r="K713" s="79"/>
      <c r="L713" s="79"/>
    </row>
    <row r="714">
      <c r="A714" s="17"/>
      <c r="C714" s="79"/>
      <c r="D714" s="79"/>
      <c r="E714" s="79"/>
      <c r="F714" s="79"/>
      <c r="G714" s="79"/>
      <c r="H714" s="79"/>
      <c r="I714" s="79"/>
      <c r="J714" s="79"/>
      <c r="K714" s="79"/>
      <c r="L714" s="79"/>
    </row>
    <row r="715">
      <c r="A715" s="17"/>
      <c r="C715" s="79"/>
      <c r="D715" s="79"/>
      <c r="E715" s="79"/>
      <c r="F715" s="79"/>
      <c r="G715" s="79"/>
      <c r="H715" s="79"/>
      <c r="I715" s="79"/>
      <c r="J715" s="79"/>
      <c r="K715" s="79"/>
      <c r="L715" s="79"/>
    </row>
    <row r="716">
      <c r="A716" s="17"/>
      <c r="C716" s="79"/>
      <c r="D716" s="79"/>
      <c r="E716" s="79"/>
      <c r="F716" s="79"/>
      <c r="G716" s="79"/>
      <c r="H716" s="79"/>
      <c r="I716" s="79"/>
      <c r="J716" s="79"/>
      <c r="K716" s="79"/>
      <c r="L716" s="79"/>
    </row>
    <row r="717">
      <c r="A717" s="17"/>
      <c r="C717" s="79"/>
      <c r="D717" s="79"/>
      <c r="E717" s="79"/>
      <c r="F717" s="79"/>
      <c r="G717" s="79"/>
      <c r="H717" s="79"/>
      <c r="I717" s="79"/>
      <c r="J717" s="79"/>
      <c r="K717" s="79"/>
      <c r="L717" s="79"/>
    </row>
    <row r="718">
      <c r="A718" s="17"/>
      <c r="C718" s="79"/>
      <c r="D718" s="79"/>
      <c r="E718" s="79"/>
      <c r="F718" s="79"/>
      <c r="G718" s="79"/>
      <c r="H718" s="79"/>
      <c r="I718" s="79"/>
      <c r="J718" s="79"/>
      <c r="K718" s="79"/>
      <c r="L718" s="79"/>
    </row>
    <row r="719">
      <c r="A719" s="17"/>
      <c r="C719" s="79"/>
      <c r="D719" s="79"/>
      <c r="E719" s="79"/>
      <c r="F719" s="79"/>
      <c r="G719" s="79"/>
      <c r="H719" s="79"/>
      <c r="I719" s="79"/>
      <c r="J719" s="79"/>
      <c r="K719" s="79"/>
      <c r="L719" s="79"/>
    </row>
    <row r="720">
      <c r="A720" s="17"/>
      <c r="C720" s="79"/>
      <c r="D720" s="79"/>
      <c r="E720" s="79"/>
      <c r="F720" s="79"/>
      <c r="G720" s="79"/>
      <c r="H720" s="79"/>
      <c r="I720" s="79"/>
      <c r="J720" s="79"/>
      <c r="K720" s="79"/>
      <c r="L720" s="79"/>
    </row>
    <row r="721">
      <c r="A721" s="17"/>
      <c r="C721" s="79"/>
      <c r="D721" s="79"/>
      <c r="E721" s="79"/>
      <c r="F721" s="79"/>
      <c r="G721" s="79"/>
      <c r="H721" s="79"/>
      <c r="I721" s="79"/>
      <c r="J721" s="79"/>
      <c r="K721" s="79"/>
      <c r="L721" s="79"/>
    </row>
    <row r="722">
      <c r="A722" s="17"/>
      <c r="C722" s="79"/>
      <c r="D722" s="79"/>
      <c r="E722" s="79"/>
      <c r="F722" s="79"/>
      <c r="G722" s="79"/>
      <c r="H722" s="79"/>
      <c r="I722" s="79"/>
      <c r="J722" s="79"/>
      <c r="K722" s="79"/>
      <c r="L722" s="79"/>
    </row>
    <row r="723">
      <c r="A723" s="17"/>
      <c r="C723" s="79"/>
      <c r="D723" s="79"/>
      <c r="E723" s="79"/>
      <c r="F723" s="79"/>
      <c r="G723" s="79"/>
      <c r="H723" s="79"/>
      <c r="I723" s="79"/>
      <c r="J723" s="79"/>
      <c r="K723" s="79"/>
      <c r="L723" s="79"/>
    </row>
    <row r="724">
      <c r="A724" s="17"/>
      <c r="C724" s="79"/>
      <c r="D724" s="79"/>
      <c r="E724" s="79"/>
      <c r="F724" s="79"/>
      <c r="G724" s="79"/>
      <c r="H724" s="79"/>
      <c r="I724" s="79"/>
      <c r="J724" s="79"/>
      <c r="K724" s="79"/>
      <c r="L724" s="79"/>
    </row>
    <row r="725">
      <c r="A725" s="17"/>
      <c r="C725" s="79"/>
      <c r="D725" s="79"/>
      <c r="E725" s="79"/>
      <c r="F725" s="79"/>
      <c r="G725" s="79"/>
      <c r="H725" s="79"/>
      <c r="I725" s="79"/>
      <c r="J725" s="79"/>
      <c r="K725" s="79"/>
      <c r="L725" s="79"/>
    </row>
    <row r="726">
      <c r="A726" s="17"/>
      <c r="C726" s="79"/>
      <c r="D726" s="79"/>
      <c r="E726" s="79"/>
      <c r="F726" s="79"/>
      <c r="G726" s="79"/>
      <c r="H726" s="79"/>
      <c r="I726" s="79"/>
      <c r="J726" s="79"/>
      <c r="K726" s="79"/>
      <c r="L726" s="79"/>
    </row>
    <row r="727">
      <c r="A727" s="17"/>
      <c r="C727" s="79"/>
      <c r="D727" s="79"/>
      <c r="E727" s="79"/>
      <c r="F727" s="79"/>
      <c r="G727" s="79"/>
      <c r="H727" s="79"/>
      <c r="I727" s="79"/>
      <c r="J727" s="79"/>
      <c r="K727" s="79"/>
      <c r="L727" s="79"/>
    </row>
    <row r="728">
      <c r="A728" s="17"/>
      <c r="C728" s="79"/>
      <c r="D728" s="79"/>
      <c r="E728" s="79"/>
      <c r="F728" s="79"/>
      <c r="G728" s="79"/>
      <c r="H728" s="79"/>
      <c r="I728" s="79"/>
      <c r="J728" s="79"/>
      <c r="K728" s="79"/>
      <c r="L728" s="79"/>
    </row>
    <row r="729">
      <c r="A729" s="17"/>
      <c r="C729" s="79"/>
      <c r="D729" s="79"/>
      <c r="E729" s="79"/>
      <c r="F729" s="79"/>
      <c r="G729" s="79"/>
      <c r="H729" s="79"/>
      <c r="I729" s="79"/>
      <c r="J729" s="79"/>
      <c r="K729" s="79"/>
      <c r="L729" s="79"/>
    </row>
    <row r="730">
      <c r="A730" s="17"/>
      <c r="C730" s="79"/>
      <c r="D730" s="79"/>
      <c r="E730" s="79"/>
      <c r="F730" s="79"/>
      <c r="G730" s="79"/>
      <c r="H730" s="79"/>
      <c r="I730" s="79"/>
      <c r="J730" s="79"/>
      <c r="K730" s="79"/>
      <c r="L730" s="79"/>
    </row>
    <row r="731">
      <c r="A731" s="17"/>
      <c r="C731" s="79"/>
      <c r="D731" s="79"/>
      <c r="E731" s="79"/>
      <c r="F731" s="79"/>
      <c r="G731" s="79"/>
      <c r="H731" s="79"/>
      <c r="I731" s="79"/>
      <c r="J731" s="79"/>
      <c r="K731" s="79"/>
      <c r="L731" s="79"/>
    </row>
    <row r="732">
      <c r="A732" s="17"/>
      <c r="C732" s="79"/>
      <c r="D732" s="79"/>
      <c r="E732" s="79"/>
      <c r="F732" s="79"/>
      <c r="G732" s="79"/>
      <c r="H732" s="79"/>
      <c r="I732" s="79"/>
      <c r="J732" s="79"/>
      <c r="K732" s="79"/>
      <c r="L732" s="79"/>
    </row>
    <row r="733">
      <c r="A733" s="17"/>
      <c r="C733" s="79"/>
      <c r="D733" s="79"/>
      <c r="E733" s="79"/>
      <c r="F733" s="79"/>
      <c r="G733" s="79"/>
      <c r="H733" s="79"/>
      <c r="I733" s="79"/>
      <c r="J733" s="79"/>
      <c r="K733" s="79"/>
      <c r="L733" s="79"/>
    </row>
    <row r="734">
      <c r="A734" s="17"/>
      <c r="C734" s="79"/>
      <c r="D734" s="79"/>
      <c r="E734" s="79"/>
      <c r="F734" s="79"/>
      <c r="G734" s="79"/>
      <c r="H734" s="79"/>
      <c r="I734" s="79"/>
      <c r="J734" s="79"/>
      <c r="K734" s="79"/>
      <c r="L734" s="79"/>
    </row>
    <row r="735">
      <c r="A735" s="17"/>
      <c r="C735" s="79"/>
      <c r="D735" s="79"/>
      <c r="E735" s="79"/>
      <c r="F735" s="79"/>
      <c r="G735" s="79"/>
      <c r="H735" s="79"/>
      <c r="I735" s="79"/>
      <c r="J735" s="79"/>
      <c r="K735" s="79"/>
      <c r="L735" s="79"/>
    </row>
    <row r="736">
      <c r="A736" s="17"/>
      <c r="C736" s="79"/>
      <c r="D736" s="79"/>
      <c r="E736" s="79"/>
      <c r="F736" s="79"/>
      <c r="G736" s="79"/>
      <c r="H736" s="79"/>
      <c r="I736" s="79"/>
      <c r="J736" s="79"/>
      <c r="K736" s="79"/>
      <c r="L736" s="79"/>
    </row>
    <row r="737">
      <c r="A737" s="17"/>
      <c r="C737" s="79"/>
      <c r="D737" s="79"/>
      <c r="E737" s="79"/>
      <c r="F737" s="79"/>
      <c r="G737" s="79"/>
      <c r="H737" s="79"/>
      <c r="I737" s="79"/>
      <c r="J737" s="79"/>
      <c r="K737" s="79"/>
      <c r="L737" s="79"/>
    </row>
    <row r="738">
      <c r="A738" s="17"/>
      <c r="C738" s="79"/>
      <c r="D738" s="79"/>
      <c r="E738" s="79"/>
      <c r="F738" s="79"/>
      <c r="G738" s="79"/>
      <c r="H738" s="79"/>
      <c r="I738" s="79"/>
      <c r="J738" s="79"/>
      <c r="K738" s="79"/>
      <c r="L738" s="79"/>
    </row>
    <row r="739">
      <c r="A739" s="17"/>
      <c r="C739" s="79"/>
      <c r="D739" s="79"/>
      <c r="E739" s="79"/>
      <c r="F739" s="79"/>
      <c r="G739" s="79"/>
      <c r="H739" s="79"/>
      <c r="I739" s="79"/>
      <c r="J739" s="79"/>
      <c r="K739" s="79"/>
      <c r="L739" s="79"/>
    </row>
    <row r="740">
      <c r="A740" s="17"/>
      <c r="C740" s="79"/>
      <c r="D740" s="79"/>
      <c r="E740" s="79"/>
      <c r="F740" s="79"/>
      <c r="G740" s="79"/>
      <c r="H740" s="79"/>
      <c r="I740" s="79"/>
      <c r="J740" s="79"/>
      <c r="K740" s="79"/>
      <c r="L740" s="79"/>
    </row>
    <row r="741">
      <c r="A741" s="17"/>
      <c r="C741" s="79"/>
      <c r="D741" s="79"/>
      <c r="E741" s="79"/>
      <c r="F741" s="79"/>
      <c r="G741" s="79"/>
      <c r="H741" s="79"/>
      <c r="I741" s="79"/>
      <c r="J741" s="79"/>
      <c r="K741" s="79"/>
      <c r="L741" s="79"/>
    </row>
    <row r="742">
      <c r="A742" s="17"/>
      <c r="C742" s="79"/>
      <c r="D742" s="79"/>
      <c r="E742" s="79"/>
      <c r="F742" s="79"/>
      <c r="G742" s="79"/>
      <c r="H742" s="79"/>
      <c r="I742" s="79"/>
      <c r="J742" s="79"/>
      <c r="K742" s="79"/>
      <c r="L742" s="79"/>
    </row>
    <row r="743">
      <c r="A743" s="17"/>
      <c r="C743" s="79"/>
      <c r="D743" s="79"/>
      <c r="E743" s="79"/>
      <c r="F743" s="79"/>
      <c r="G743" s="79"/>
      <c r="H743" s="79"/>
      <c r="I743" s="79"/>
      <c r="J743" s="79"/>
      <c r="K743" s="79"/>
      <c r="L743" s="79"/>
    </row>
    <row r="744">
      <c r="A744" s="17"/>
      <c r="C744" s="79"/>
      <c r="D744" s="79"/>
      <c r="E744" s="79"/>
      <c r="F744" s="79"/>
      <c r="G744" s="79"/>
      <c r="H744" s="79"/>
      <c r="I744" s="79"/>
      <c r="J744" s="79"/>
      <c r="K744" s="79"/>
      <c r="L744" s="79"/>
    </row>
    <row r="745">
      <c r="A745" s="17"/>
      <c r="C745" s="79"/>
      <c r="D745" s="79"/>
      <c r="E745" s="79"/>
      <c r="F745" s="79"/>
      <c r="G745" s="79"/>
      <c r="H745" s="79"/>
      <c r="I745" s="79"/>
      <c r="J745" s="79"/>
      <c r="K745" s="79"/>
      <c r="L745" s="79"/>
    </row>
    <row r="746">
      <c r="A746" s="17"/>
      <c r="C746" s="79"/>
      <c r="D746" s="79"/>
      <c r="E746" s="79"/>
      <c r="F746" s="79"/>
      <c r="G746" s="79"/>
      <c r="H746" s="79"/>
      <c r="I746" s="79"/>
      <c r="J746" s="79"/>
      <c r="K746" s="79"/>
      <c r="L746" s="79"/>
    </row>
    <row r="747">
      <c r="A747" s="17"/>
      <c r="C747" s="79"/>
      <c r="D747" s="79"/>
      <c r="E747" s="79"/>
      <c r="F747" s="79"/>
      <c r="G747" s="79"/>
      <c r="H747" s="79"/>
      <c r="I747" s="79"/>
      <c r="J747" s="79"/>
      <c r="K747" s="79"/>
      <c r="L747" s="79"/>
    </row>
    <row r="748">
      <c r="A748" s="17"/>
      <c r="C748" s="79"/>
      <c r="D748" s="79"/>
      <c r="E748" s="79"/>
      <c r="F748" s="79"/>
      <c r="G748" s="79"/>
      <c r="H748" s="79"/>
      <c r="I748" s="79"/>
      <c r="J748" s="79"/>
      <c r="K748" s="79"/>
      <c r="L748" s="79"/>
    </row>
    <row r="749">
      <c r="A749" s="17"/>
      <c r="C749" s="79"/>
      <c r="D749" s="79"/>
      <c r="E749" s="79"/>
      <c r="F749" s="79"/>
      <c r="G749" s="79"/>
      <c r="H749" s="79"/>
      <c r="I749" s="79"/>
      <c r="J749" s="79"/>
      <c r="K749" s="79"/>
      <c r="L749" s="79"/>
    </row>
    <row r="750">
      <c r="A750" s="17"/>
      <c r="C750" s="79"/>
      <c r="D750" s="79"/>
      <c r="E750" s="79"/>
      <c r="F750" s="79"/>
      <c r="G750" s="79"/>
      <c r="H750" s="79"/>
      <c r="I750" s="79"/>
      <c r="J750" s="79"/>
      <c r="K750" s="79"/>
      <c r="L750" s="79"/>
    </row>
    <row r="751">
      <c r="A751" s="17"/>
      <c r="C751" s="79"/>
      <c r="D751" s="79"/>
      <c r="E751" s="79"/>
      <c r="F751" s="79"/>
      <c r="G751" s="79"/>
      <c r="H751" s="79"/>
      <c r="I751" s="79"/>
      <c r="J751" s="79"/>
      <c r="K751" s="79"/>
      <c r="L751" s="79"/>
    </row>
    <row r="752">
      <c r="A752" s="17"/>
      <c r="C752" s="79"/>
      <c r="D752" s="79"/>
      <c r="E752" s="79"/>
      <c r="F752" s="79"/>
      <c r="G752" s="79"/>
      <c r="H752" s="79"/>
      <c r="I752" s="79"/>
      <c r="J752" s="79"/>
      <c r="K752" s="79"/>
      <c r="L752" s="79"/>
    </row>
    <row r="753">
      <c r="A753" s="17"/>
      <c r="C753" s="79"/>
      <c r="D753" s="79"/>
      <c r="E753" s="79"/>
      <c r="F753" s="79"/>
      <c r="G753" s="79"/>
      <c r="H753" s="79"/>
      <c r="I753" s="79"/>
      <c r="J753" s="79"/>
      <c r="K753" s="79"/>
      <c r="L753" s="79"/>
    </row>
    <row r="754">
      <c r="A754" s="17"/>
      <c r="C754" s="79"/>
      <c r="D754" s="79"/>
      <c r="E754" s="79"/>
      <c r="F754" s="79"/>
      <c r="G754" s="79"/>
      <c r="H754" s="79"/>
      <c r="I754" s="79"/>
      <c r="J754" s="79"/>
      <c r="K754" s="79"/>
      <c r="L754" s="79"/>
    </row>
    <row r="755">
      <c r="A755" s="17"/>
      <c r="C755" s="79"/>
      <c r="D755" s="79"/>
      <c r="E755" s="79"/>
      <c r="F755" s="79"/>
      <c r="G755" s="79"/>
      <c r="H755" s="79"/>
      <c r="I755" s="79"/>
      <c r="J755" s="79"/>
      <c r="K755" s="79"/>
      <c r="L755" s="79"/>
    </row>
    <row r="756">
      <c r="A756" s="17"/>
      <c r="C756" s="79"/>
      <c r="D756" s="79"/>
      <c r="E756" s="79"/>
      <c r="F756" s="79"/>
      <c r="G756" s="79"/>
      <c r="H756" s="79"/>
      <c r="I756" s="79"/>
      <c r="J756" s="79"/>
      <c r="K756" s="79"/>
      <c r="L756" s="79"/>
    </row>
    <row r="757">
      <c r="A757" s="17"/>
      <c r="C757" s="79"/>
      <c r="D757" s="79"/>
      <c r="E757" s="79"/>
      <c r="F757" s="79"/>
      <c r="G757" s="79"/>
      <c r="H757" s="79"/>
      <c r="I757" s="79"/>
      <c r="J757" s="79"/>
      <c r="K757" s="79"/>
      <c r="L757" s="79"/>
    </row>
    <row r="758">
      <c r="A758" s="17"/>
      <c r="C758" s="79"/>
      <c r="D758" s="79"/>
      <c r="E758" s="79"/>
      <c r="F758" s="79"/>
      <c r="G758" s="79"/>
      <c r="H758" s="79"/>
      <c r="I758" s="79"/>
      <c r="J758" s="79"/>
      <c r="K758" s="79"/>
      <c r="L758" s="79"/>
    </row>
    <row r="759">
      <c r="A759" s="17"/>
      <c r="C759" s="79"/>
      <c r="D759" s="79"/>
      <c r="E759" s="79"/>
      <c r="F759" s="79"/>
      <c r="G759" s="79"/>
      <c r="H759" s="79"/>
      <c r="I759" s="79"/>
      <c r="J759" s="79"/>
      <c r="K759" s="79"/>
      <c r="L759" s="79"/>
    </row>
    <row r="760">
      <c r="A760" s="17"/>
      <c r="C760" s="79"/>
      <c r="D760" s="79"/>
      <c r="E760" s="79"/>
      <c r="F760" s="79"/>
      <c r="G760" s="79"/>
      <c r="H760" s="79"/>
      <c r="I760" s="79"/>
      <c r="J760" s="79"/>
      <c r="K760" s="79"/>
      <c r="L760" s="79"/>
    </row>
    <row r="761">
      <c r="A761" s="17"/>
      <c r="C761" s="79"/>
      <c r="D761" s="79"/>
      <c r="E761" s="79"/>
      <c r="F761" s="79"/>
      <c r="G761" s="79"/>
      <c r="H761" s="79"/>
      <c r="I761" s="79"/>
      <c r="J761" s="79"/>
      <c r="K761" s="79"/>
      <c r="L761" s="79"/>
    </row>
    <row r="762">
      <c r="A762" s="17"/>
      <c r="C762" s="79"/>
      <c r="D762" s="79"/>
      <c r="E762" s="79"/>
      <c r="F762" s="79"/>
      <c r="G762" s="79"/>
      <c r="H762" s="79"/>
      <c r="I762" s="79"/>
      <c r="J762" s="79"/>
      <c r="K762" s="79"/>
      <c r="L762" s="79"/>
    </row>
    <row r="763">
      <c r="A763" s="17"/>
      <c r="C763" s="79"/>
      <c r="D763" s="79"/>
      <c r="E763" s="79"/>
      <c r="F763" s="79"/>
      <c r="G763" s="79"/>
      <c r="H763" s="79"/>
      <c r="I763" s="79"/>
      <c r="J763" s="79"/>
      <c r="K763" s="79"/>
      <c r="L763" s="79"/>
    </row>
    <row r="764">
      <c r="A764" s="17"/>
      <c r="C764" s="79"/>
      <c r="D764" s="79"/>
      <c r="E764" s="79"/>
      <c r="F764" s="79"/>
      <c r="G764" s="79"/>
      <c r="H764" s="79"/>
      <c r="I764" s="79"/>
      <c r="J764" s="79"/>
      <c r="K764" s="79"/>
      <c r="L764" s="79"/>
    </row>
    <row r="765">
      <c r="A765" s="17"/>
      <c r="C765" s="79"/>
      <c r="D765" s="79"/>
      <c r="E765" s="79"/>
      <c r="F765" s="79"/>
      <c r="G765" s="79"/>
      <c r="H765" s="79"/>
      <c r="I765" s="79"/>
      <c r="J765" s="79"/>
      <c r="K765" s="79"/>
      <c r="L765" s="79"/>
    </row>
    <row r="766">
      <c r="A766" s="17"/>
      <c r="C766" s="79"/>
      <c r="D766" s="79"/>
      <c r="E766" s="79"/>
      <c r="F766" s="79"/>
      <c r="G766" s="79"/>
      <c r="H766" s="79"/>
      <c r="I766" s="79"/>
      <c r="J766" s="79"/>
      <c r="K766" s="79"/>
      <c r="L766" s="79"/>
    </row>
    <row r="767">
      <c r="A767" s="17"/>
      <c r="C767" s="79"/>
      <c r="D767" s="79"/>
      <c r="E767" s="79"/>
      <c r="F767" s="79"/>
      <c r="G767" s="79"/>
      <c r="H767" s="79"/>
      <c r="I767" s="79"/>
      <c r="J767" s="79"/>
      <c r="K767" s="79"/>
      <c r="L767" s="79"/>
    </row>
    <row r="768">
      <c r="A768" s="17"/>
      <c r="C768" s="79"/>
      <c r="D768" s="79"/>
      <c r="E768" s="79"/>
      <c r="F768" s="79"/>
      <c r="G768" s="79"/>
      <c r="H768" s="79"/>
      <c r="I768" s="79"/>
      <c r="J768" s="79"/>
      <c r="K768" s="79"/>
      <c r="L768" s="79"/>
    </row>
    <row r="769">
      <c r="A769" s="17"/>
      <c r="C769" s="79"/>
      <c r="D769" s="79"/>
      <c r="E769" s="79"/>
      <c r="F769" s="79"/>
      <c r="G769" s="79"/>
      <c r="H769" s="79"/>
      <c r="I769" s="79"/>
      <c r="J769" s="79"/>
      <c r="K769" s="79"/>
      <c r="L769" s="79"/>
    </row>
    <row r="770">
      <c r="A770" s="17"/>
      <c r="C770" s="79"/>
      <c r="D770" s="79"/>
      <c r="E770" s="79"/>
      <c r="F770" s="79"/>
      <c r="G770" s="79"/>
      <c r="H770" s="79"/>
      <c r="I770" s="79"/>
      <c r="J770" s="79"/>
      <c r="K770" s="79"/>
      <c r="L770" s="79"/>
    </row>
    <row r="771">
      <c r="A771" s="17"/>
      <c r="C771" s="79"/>
      <c r="D771" s="79"/>
      <c r="E771" s="79"/>
      <c r="F771" s="79"/>
      <c r="G771" s="79"/>
      <c r="H771" s="79"/>
      <c r="I771" s="79"/>
      <c r="J771" s="79"/>
      <c r="K771" s="79"/>
      <c r="L771" s="79"/>
    </row>
    <row r="772">
      <c r="A772" s="17"/>
      <c r="C772" s="79"/>
      <c r="D772" s="79"/>
      <c r="E772" s="79"/>
      <c r="F772" s="79"/>
      <c r="G772" s="79"/>
      <c r="H772" s="79"/>
      <c r="I772" s="79"/>
      <c r="J772" s="79"/>
      <c r="K772" s="79"/>
      <c r="L772" s="79"/>
    </row>
    <row r="773">
      <c r="A773" s="17"/>
      <c r="C773" s="79"/>
      <c r="D773" s="79"/>
      <c r="E773" s="79"/>
      <c r="F773" s="79"/>
      <c r="G773" s="79"/>
      <c r="H773" s="79"/>
      <c r="I773" s="79"/>
      <c r="J773" s="79"/>
      <c r="K773" s="79"/>
      <c r="L773" s="79"/>
    </row>
    <row r="774">
      <c r="A774" s="17"/>
      <c r="C774" s="79"/>
      <c r="D774" s="79"/>
      <c r="E774" s="79"/>
      <c r="F774" s="79"/>
      <c r="G774" s="79"/>
      <c r="H774" s="79"/>
      <c r="I774" s="79"/>
      <c r="J774" s="79"/>
      <c r="K774" s="79"/>
      <c r="L774" s="79"/>
    </row>
    <row r="775">
      <c r="A775" s="17"/>
      <c r="C775" s="79"/>
      <c r="D775" s="79"/>
      <c r="E775" s="79"/>
      <c r="F775" s="79"/>
      <c r="G775" s="79"/>
      <c r="H775" s="79"/>
      <c r="I775" s="79"/>
      <c r="J775" s="79"/>
      <c r="K775" s="79"/>
      <c r="L775" s="79"/>
    </row>
    <row r="776">
      <c r="A776" s="17"/>
      <c r="C776" s="79"/>
      <c r="D776" s="79"/>
      <c r="E776" s="79"/>
      <c r="F776" s="79"/>
      <c r="G776" s="79"/>
      <c r="H776" s="79"/>
      <c r="I776" s="79"/>
      <c r="J776" s="79"/>
      <c r="K776" s="79"/>
      <c r="L776" s="79"/>
    </row>
    <row r="777">
      <c r="A777" s="17"/>
      <c r="C777" s="79"/>
      <c r="D777" s="79"/>
      <c r="E777" s="79"/>
      <c r="F777" s="79"/>
      <c r="G777" s="79"/>
      <c r="H777" s="79"/>
      <c r="I777" s="79"/>
      <c r="J777" s="79"/>
      <c r="K777" s="79"/>
      <c r="L777" s="79"/>
    </row>
    <row r="778">
      <c r="A778" s="17"/>
      <c r="C778" s="79"/>
      <c r="D778" s="79"/>
      <c r="E778" s="79"/>
      <c r="F778" s="79"/>
      <c r="G778" s="79"/>
      <c r="H778" s="79"/>
      <c r="I778" s="79"/>
      <c r="J778" s="79"/>
      <c r="K778" s="79"/>
      <c r="L778" s="79"/>
    </row>
    <row r="779">
      <c r="A779" s="17"/>
      <c r="C779" s="79"/>
      <c r="D779" s="79"/>
      <c r="E779" s="79"/>
      <c r="F779" s="79"/>
      <c r="G779" s="79"/>
      <c r="H779" s="79"/>
      <c r="I779" s="79"/>
      <c r="J779" s="79"/>
      <c r="K779" s="79"/>
      <c r="L779" s="79"/>
    </row>
    <row r="780">
      <c r="A780" s="17"/>
      <c r="C780" s="79"/>
      <c r="D780" s="79"/>
      <c r="E780" s="79"/>
      <c r="F780" s="79"/>
      <c r="G780" s="79"/>
      <c r="H780" s="79"/>
      <c r="I780" s="79"/>
      <c r="J780" s="79"/>
      <c r="K780" s="79"/>
      <c r="L780" s="79"/>
    </row>
    <row r="781">
      <c r="A781" s="17"/>
      <c r="C781" s="79"/>
      <c r="D781" s="79"/>
      <c r="E781" s="79"/>
      <c r="F781" s="79"/>
      <c r="G781" s="79"/>
      <c r="H781" s="79"/>
      <c r="I781" s="79"/>
      <c r="J781" s="79"/>
      <c r="K781" s="79"/>
      <c r="L781" s="79"/>
    </row>
    <row r="782">
      <c r="A782" s="17"/>
      <c r="C782" s="79"/>
      <c r="D782" s="79"/>
      <c r="E782" s="79"/>
      <c r="F782" s="79"/>
      <c r="G782" s="79"/>
      <c r="H782" s="79"/>
      <c r="I782" s="79"/>
      <c r="J782" s="79"/>
      <c r="K782" s="79"/>
      <c r="L782" s="79"/>
    </row>
    <row r="783">
      <c r="A783" s="17"/>
      <c r="C783" s="79"/>
      <c r="D783" s="79"/>
      <c r="E783" s="79"/>
      <c r="F783" s="79"/>
      <c r="G783" s="79"/>
      <c r="H783" s="79"/>
      <c r="I783" s="79"/>
      <c r="J783" s="79"/>
      <c r="K783" s="79"/>
      <c r="L783" s="79"/>
    </row>
    <row r="784">
      <c r="A784" s="17"/>
      <c r="C784" s="79"/>
      <c r="D784" s="79"/>
      <c r="E784" s="79"/>
      <c r="F784" s="79"/>
      <c r="G784" s="79"/>
      <c r="H784" s="79"/>
      <c r="I784" s="79"/>
      <c r="J784" s="79"/>
      <c r="K784" s="79"/>
      <c r="L784" s="79"/>
    </row>
    <row r="785">
      <c r="A785" s="17"/>
      <c r="C785" s="79"/>
      <c r="D785" s="79"/>
      <c r="E785" s="79"/>
      <c r="F785" s="79"/>
      <c r="G785" s="79"/>
      <c r="H785" s="79"/>
      <c r="I785" s="79"/>
      <c r="J785" s="79"/>
      <c r="K785" s="79"/>
      <c r="L785" s="79"/>
    </row>
    <row r="786">
      <c r="A786" s="17"/>
      <c r="C786" s="79"/>
      <c r="D786" s="79"/>
      <c r="E786" s="79"/>
      <c r="F786" s="79"/>
      <c r="G786" s="79"/>
      <c r="H786" s="79"/>
      <c r="I786" s="79"/>
      <c r="J786" s="79"/>
      <c r="K786" s="79"/>
      <c r="L786" s="79"/>
    </row>
    <row r="787">
      <c r="A787" s="17"/>
      <c r="C787" s="79"/>
      <c r="D787" s="79"/>
      <c r="E787" s="79"/>
      <c r="F787" s="79"/>
      <c r="G787" s="79"/>
      <c r="H787" s="79"/>
      <c r="I787" s="79"/>
      <c r="J787" s="79"/>
      <c r="K787" s="79"/>
      <c r="L787" s="79"/>
    </row>
    <row r="788">
      <c r="A788" s="17"/>
      <c r="C788" s="79"/>
      <c r="D788" s="79"/>
      <c r="E788" s="79"/>
      <c r="F788" s="79"/>
      <c r="G788" s="79"/>
      <c r="H788" s="79"/>
      <c r="I788" s="79"/>
      <c r="J788" s="79"/>
      <c r="K788" s="79"/>
      <c r="L788" s="79"/>
    </row>
    <row r="789">
      <c r="A789" s="17"/>
      <c r="C789" s="79"/>
      <c r="D789" s="79"/>
      <c r="E789" s="79"/>
      <c r="F789" s="79"/>
      <c r="G789" s="79"/>
      <c r="H789" s="79"/>
      <c r="I789" s="79"/>
      <c r="J789" s="79"/>
      <c r="K789" s="79"/>
      <c r="L789" s="79"/>
    </row>
    <row r="790">
      <c r="A790" s="17"/>
      <c r="C790" s="79"/>
      <c r="D790" s="79"/>
      <c r="E790" s="79"/>
      <c r="F790" s="79"/>
      <c r="G790" s="79"/>
      <c r="H790" s="79"/>
      <c r="I790" s="79"/>
      <c r="J790" s="79"/>
      <c r="K790" s="79"/>
      <c r="L790" s="79"/>
    </row>
    <row r="791">
      <c r="A791" s="17"/>
      <c r="C791" s="79"/>
      <c r="D791" s="79"/>
      <c r="E791" s="79"/>
      <c r="F791" s="79"/>
      <c r="G791" s="79"/>
      <c r="H791" s="79"/>
      <c r="I791" s="79"/>
      <c r="J791" s="79"/>
      <c r="K791" s="79"/>
      <c r="L791" s="79"/>
    </row>
    <row r="792">
      <c r="A792" s="17"/>
      <c r="C792" s="79"/>
      <c r="D792" s="79"/>
      <c r="E792" s="79"/>
      <c r="F792" s="79"/>
      <c r="G792" s="79"/>
      <c r="H792" s="79"/>
      <c r="I792" s="79"/>
      <c r="J792" s="79"/>
      <c r="K792" s="79"/>
      <c r="L792" s="79"/>
    </row>
    <row r="793">
      <c r="A793" s="17"/>
      <c r="C793" s="79"/>
      <c r="D793" s="79"/>
      <c r="E793" s="79"/>
      <c r="F793" s="79"/>
      <c r="G793" s="79"/>
      <c r="H793" s="79"/>
      <c r="I793" s="79"/>
      <c r="J793" s="79"/>
      <c r="K793" s="79"/>
      <c r="L793" s="79"/>
    </row>
    <row r="794">
      <c r="A794" s="17"/>
      <c r="C794" s="79"/>
      <c r="D794" s="79"/>
      <c r="E794" s="79"/>
      <c r="F794" s="79"/>
      <c r="G794" s="79"/>
      <c r="H794" s="79"/>
      <c r="I794" s="79"/>
      <c r="J794" s="79"/>
      <c r="K794" s="79"/>
      <c r="L794" s="79"/>
    </row>
    <row r="795">
      <c r="A795" s="17"/>
      <c r="C795" s="79"/>
      <c r="D795" s="79"/>
      <c r="E795" s="79"/>
      <c r="F795" s="79"/>
      <c r="G795" s="79"/>
      <c r="H795" s="79"/>
      <c r="I795" s="79"/>
      <c r="J795" s="79"/>
      <c r="K795" s="79"/>
      <c r="L795" s="79"/>
    </row>
    <row r="796">
      <c r="A796" s="17"/>
      <c r="C796" s="79"/>
      <c r="D796" s="79"/>
      <c r="E796" s="79"/>
      <c r="F796" s="79"/>
      <c r="G796" s="79"/>
      <c r="H796" s="79"/>
      <c r="I796" s="79"/>
      <c r="J796" s="79"/>
      <c r="K796" s="79"/>
      <c r="L796" s="79"/>
    </row>
    <row r="797">
      <c r="A797" s="17"/>
      <c r="C797" s="79"/>
      <c r="D797" s="79"/>
      <c r="E797" s="79"/>
      <c r="F797" s="79"/>
      <c r="G797" s="79"/>
      <c r="H797" s="79"/>
      <c r="I797" s="79"/>
      <c r="J797" s="79"/>
      <c r="K797" s="79"/>
      <c r="L797" s="79"/>
    </row>
    <row r="798">
      <c r="A798" s="17"/>
      <c r="C798" s="79"/>
      <c r="D798" s="79"/>
      <c r="E798" s="79"/>
      <c r="F798" s="79"/>
      <c r="G798" s="79"/>
      <c r="H798" s="79"/>
      <c r="I798" s="79"/>
      <c r="J798" s="79"/>
      <c r="K798" s="79"/>
      <c r="L798" s="79"/>
    </row>
    <row r="799">
      <c r="A799" s="17"/>
      <c r="C799" s="79"/>
      <c r="D799" s="79"/>
      <c r="E799" s="79"/>
      <c r="F799" s="79"/>
      <c r="G799" s="79"/>
      <c r="H799" s="79"/>
      <c r="I799" s="79"/>
      <c r="J799" s="79"/>
      <c r="K799" s="79"/>
      <c r="L799" s="79"/>
    </row>
    <row r="800">
      <c r="A800" s="17"/>
      <c r="C800" s="79"/>
      <c r="D800" s="79"/>
      <c r="E800" s="79"/>
      <c r="F800" s="79"/>
      <c r="G800" s="79"/>
      <c r="H800" s="79"/>
      <c r="I800" s="79"/>
      <c r="J800" s="79"/>
      <c r="K800" s="79"/>
      <c r="L800" s="79"/>
    </row>
    <row r="801">
      <c r="A801" s="17"/>
      <c r="C801" s="79"/>
      <c r="D801" s="79"/>
      <c r="E801" s="79"/>
      <c r="F801" s="79"/>
      <c r="G801" s="79"/>
      <c r="H801" s="79"/>
      <c r="I801" s="79"/>
      <c r="J801" s="79"/>
      <c r="K801" s="79"/>
      <c r="L801" s="79"/>
    </row>
    <row r="802">
      <c r="A802" s="17"/>
      <c r="C802" s="79"/>
      <c r="D802" s="79"/>
      <c r="E802" s="79"/>
      <c r="F802" s="79"/>
      <c r="G802" s="79"/>
      <c r="H802" s="79"/>
      <c r="I802" s="79"/>
      <c r="J802" s="79"/>
      <c r="K802" s="79"/>
      <c r="L802" s="79"/>
    </row>
    <row r="803">
      <c r="A803" s="17"/>
      <c r="C803" s="79"/>
      <c r="D803" s="79"/>
      <c r="E803" s="79"/>
      <c r="F803" s="79"/>
      <c r="G803" s="79"/>
      <c r="H803" s="79"/>
      <c r="I803" s="79"/>
      <c r="J803" s="79"/>
      <c r="K803" s="79"/>
      <c r="L803" s="79"/>
    </row>
    <row r="804">
      <c r="A804" s="17"/>
      <c r="C804" s="79"/>
      <c r="D804" s="79"/>
      <c r="E804" s="79"/>
      <c r="F804" s="79"/>
      <c r="G804" s="79"/>
      <c r="H804" s="79"/>
      <c r="I804" s="79"/>
      <c r="J804" s="79"/>
      <c r="K804" s="79"/>
      <c r="L804" s="79"/>
    </row>
    <row r="805">
      <c r="A805" s="17"/>
      <c r="C805" s="79"/>
      <c r="D805" s="79"/>
      <c r="E805" s="79"/>
      <c r="F805" s="79"/>
      <c r="G805" s="79"/>
      <c r="H805" s="79"/>
      <c r="I805" s="79"/>
      <c r="J805" s="79"/>
      <c r="K805" s="79"/>
      <c r="L805" s="79"/>
    </row>
    <row r="806">
      <c r="A806" s="17"/>
      <c r="C806" s="79"/>
      <c r="D806" s="79"/>
      <c r="E806" s="79"/>
      <c r="F806" s="79"/>
      <c r="G806" s="79"/>
      <c r="H806" s="79"/>
      <c r="I806" s="79"/>
      <c r="J806" s="79"/>
      <c r="K806" s="79"/>
      <c r="L806" s="79"/>
    </row>
    <row r="807">
      <c r="A807" s="17"/>
      <c r="C807" s="79"/>
      <c r="D807" s="79"/>
      <c r="E807" s="79"/>
      <c r="F807" s="79"/>
      <c r="G807" s="79"/>
      <c r="H807" s="79"/>
      <c r="I807" s="79"/>
      <c r="J807" s="79"/>
      <c r="K807" s="79"/>
      <c r="L807" s="79"/>
    </row>
    <row r="808">
      <c r="A808" s="17"/>
      <c r="C808" s="79"/>
      <c r="D808" s="79"/>
      <c r="E808" s="79"/>
      <c r="F808" s="79"/>
      <c r="G808" s="79"/>
      <c r="H808" s="79"/>
      <c r="I808" s="79"/>
      <c r="J808" s="79"/>
      <c r="K808" s="79"/>
      <c r="L808" s="79"/>
    </row>
    <row r="809">
      <c r="A809" s="17"/>
      <c r="C809" s="79"/>
      <c r="D809" s="79"/>
      <c r="E809" s="79"/>
      <c r="F809" s="79"/>
      <c r="G809" s="79"/>
      <c r="H809" s="79"/>
      <c r="I809" s="79"/>
      <c r="J809" s="79"/>
      <c r="K809" s="79"/>
      <c r="L809" s="79"/>
    </row>
    <row r="810">
      <c r="A810" s="17"/>
      <c r="C810" s="79"/>
      <c r="D810" s="79"/>
      <c r="E810" s="79"/>
      <c r="F810" s="79"/>
      <c r="G810" s="79"/>
      <c r="H810" s="79"/>
      <c r="I810" s="79"/>
      <c r="J810" s="79"/>
      <c r="K810" s="79"/>
      <c r="L810" s="79"/>
    </row>
    <row r="811">
      <c r="A811" s="17"/>
      <c r="C811" s="79"/>
      <c r="D811" s="79"/>
      <c r="E811" s="79"/>
      <c r="F811" s="79"/>
      <c r="G811" s="79"/>
      <c r="H811" s="79"/>
      <c r="I811" s="79"/>
      <c r="J811" s="79"/>
      <c r="K811" s="79"/>
      <c r="L811" s="79"/>
    </row>
    <row r="812">
      <c r="A812" s="17"/>
      <c r="C812" s="79"/>
      <c r="D812" s="79"/>
      <c r="E812" s="79"/>
      <c r="F812" s="79"/>
      <c r="G812" s="79"/>
      <c r="H812" s="79"/>
      <c r="I812" s="79"/>
      <c r="J812" s="79"/>
      <c r="K812" s="79"/>
      <c r="L812" s="79"/>
    </row>
    <row r="813">
      <c r="A813" s="17"/>
      <c r="C813" s="79"/>
      <c r="D813" s="79"/>
      <c r="E813" s="79"/>
      <c r="F813" s="79"/>
      <c r="G813" s="79"/>
      <c r="H813" s="79"/>
      <c r="I813" s="79"/>
      <c r="J813" s="79"/>
      <c r="K813" s="79"/>
      <c r="L813" s="79"/>
    </row>
    <row r="814">
      <c r="A814" s="17"/>
      <c r="C814" s="79"/>
      <c r="D814" s="79"/>
      <c r="E814" s="79"/>
      <c r="F814" s="79"/>
      <c r="G814" s="79"/>
      <c r="H814" s="79"/>
      <c r="I814" s="79"/>
      <c r="J814" s="79"/>
      <c r="K814" s="79"/>
      <c r="L814" s="79"/>
    </row>
    <row r="815">
      <c r="A815" s="17"/>
      <c r="C815" s="79"/>
      <c r="D815" s="79"/>
      <c r="E815" s="79"/>
      <c r="F815" s="79"/>
      <c r="G815" s="79"/>
      <c r="H815" s="79"/>
      <c r="I815" s="79"/>
      <c r="J815" s="79"/>
      <c r="K815" s="79"/>
      <c r="L815" s="79"/>
    </row>
    <row r="816">
      <c r="A816" s="17"/>
      <c r="C816" s="79"/>
      <c r="D816" s="79"/>
      <c r="E816" s="79"/>
      <c r="F816" s="79"/>
      <c r="G816" s="79"/>
      <c r="H816" s="79"/>
      <c r="I816" s="79"/>
      <c r="J816" s="79"/>
      <c r="K816" s="79"/>
      <c r="L816" s="79"/>
    </row>
    <row r="817">
      <c r="A817" s="17"/>
      <c r="C817" s="79"/>
      <c r="D817" s="79"/>
      <c r="E817" s="79"/>
      <c r="F817" s="79"/>
      <c r="G817" s="79"/>
      <c r="H817" s="79"/>
      <c r="I817" s="79"/>
      <c r="J817" s="79"/>
      <c r="K817" s="79"/>
      <c r="L817" s="79"/>
    </row>
    <row r="818">
      <c r="A818" s="17"/>
      <c r="C818" s="79"/>
      <c r="D818" s="79"/>
      <c r="E818" s="79"/>
      <c r="F818" s="79"/>
      <c r="G818" s="79"/>
      <c r="H818" s="79"/>
      <c r="I818" s="79"/>
      <c r="J818" s="79"/>
      <c r="K818" s="79"/>
      <c r="L818" s="79"/>
    </row>
    <row r="819">
      <c r="A819" s="17"/>
      <c r="C819" s="79"/>
      <c r="D819" s="79"/>
      <c r="E819" s="79"/>
      <c r="F819" s="79"/>
      <c r="G819" s="79"/>
      <c r="H819" s="79"/>
      <c r="I819" s="79"/>
      <c r="J819" s="79"/>
      <c r="K819" s="79"/>
      <c r="L819" s="79"/>
    </row>
    <row r="820">
      <c r="A820" s="17"/>
      <c r="C820" s="79"/>
      <c r="D820" s="79"/>
      <c r="E820" s="79"/>
      <c r="F820" s="79"/>
      <c r="G820" s="79"/>
      <c r="H820" s="79"/>
      <c r="I820" s="79"/>
      <c r="J820" s="79"/>
      <c r="K820" s="79"/>
      <c r="L820" s="79"/>
    </row>
    <row r="821">
      <c r="A821" s="17"/>
      <c r="C821" s="79"/>
      <c r="D821" s="79"/>
      <c r="E821" s="79"/>
      <c r="F821" s="79"/>
      <c r="G821" s="79"/>
      <c r="H821" s="79"/>
      <c r="I821" s="79"/>
      <c r="J821" s="79"/>
      <c r="K821" s="79"/>
      <c r="L821" s="79"/>
    </row>
    <row r="822">
      <c r="A822" s="17"/>
      <c r="C822" s="79"/>
      <c r="D822" s="79"/>
      <c r="E822" s="79"/>
      <c r="F822" s="79"/>
      <c r="G822" s="79"/>
      <c r="H822" s="79"/>
      <c r="I822" s="79"/>
      <c r="J822" s="79"/>
      <c r="K822" s="79"/>
      <c r="L822" s="79"/>
    </row>
    <row r="823">
      <c r="A823" s="17"/>
      <c r="C823" s="79"/>
      <c r="D823" s="79"/>
      <c r="E823" s="79"/>
      <c r="F823" s="79"/>
      <c r="G823" s="79"/>
      <c r="H823" s="79"/>
      <c r="I823" s="79"/>
      <c r="J823" s="79"/>
      <c r="K823" s="79"/>
      <c r="L823" s="79"/>
    </row>
    <row r="824">
      <c r="A824" s="17"/>
      <c r="C824" s="79"/>
      <c r="D824" s="79"/>
      <c r="E824" s="79"/>
      <c r="F824" s="79"/>
      <c r="G824" s="79"/>
      <c r="H824" s="79"/>
      <c r="I824" s="79"/>
      <c r="J824" s="79"/>
      <c r="K824" s="79"/>
      <c r="L824" s="79"/>
    </row>
    <row r="825">
      <c r="A825" s="17"/>
      <c r="C825" s="79"/>
      <c r="D825" s="79"/>
      <c r="E825" s="79"/>
      <c r="F825" s="79"/>
      <c r="G825" s="79"/>
      <c r="H825" s="79"/>
      <c r="I825" s="79"/>
      <c r="J825" s="79"/>
      <c r="K825" s="79"/>
      <c r="L825" s="79"/>
    </row>
    <row r="826">
      <c r="A826" s="17"/>
      <c r="C826" s="79"/>
      <c r="D826" s="79"/>
      <c r="E826" s="79"/>
      <c r="F826" s="79"/>
      <c r="G826" s="79"/>
      <c r="H826" s="79"/>
      <c r="I826" s="79"/>
      <c r="J826" s="79"/>
      <c r="K826" s="79"/>
      <c r="L826" s="79"/>
    </row>
    <row r="827">
      <c r="A827" s="17"/>
      <c r="C827" s="79"/>
      <c r="D827" s="79"/>
      <c r="E827" s="79"/>
      <c r="F827" s="79"/>
      <c r="G827" s="79"/>
      <c r="H827" s="79"/>
      <c r="I827" s="79"/>
      <c r="J827" s="79"/>
      <c r="K827" s="79"/>
      <c r="L827" s="79"/>
    </row>
    <row r="828">
      <c r="A828" s="17"/>
      <c r="C828" s="79"/>
      <c r="D828" s="79"/>
      <c r="E828" s="79"/>
      <c r="F828" s="79"/>
      <c r="G828" s="79"/>
      <c r="H828" s="79"/>
      <c r="I828" s="79"/>
      <c r="J828" s="79"/>
      <c r="K828" s="79"/>
      <c r="L828" s="79"/>
    </row>
    <row r="829">
      <c r="A829" s="17"/>
      <c r="C829" s="79"/>
      <c r="D829" s="79"/>
      <c r="E829" s="79"/>
      <c r="F829" s="79"/>
      <c r="G829" s="79"/>
      <c r="H829" s="79"/>
      <c r="I829" s="79"/>
      <c r="J829" s="79"/>
      <c r="K829" s="79"/>
      <c r="L829" s="79"/>
    </row>
    <row r="830">
      <c r="A830" s="17"/>
      <c r="C830" s="79"/>
      <c r="D830" s="79"/>
      <c r="E830" s="79"/>
      <c r="F830" s="79"/>
      <c r="G830" s="79"/>
      <c r="H830" s="79"/>
      <c r="I830" s="79"/>
      <c r="J830" s="79"/>
      <c r="K830" s="79"/>
      <c r="L830" s="79"/>
    </row>
    <row r="831">
      <c r="A831" s="17"/>
      <c r="C831" s="79"/>
      <c r="D831" s="79"/>
      <c r="E831" s="79"/>
      <c r="F831" s="79"/>
      <c r="G831" s="79"/>
      <c r="H831" s="79"/>
      <c r="I831" s="79"/>
      <c r="J831" s="79"/>
      <c r="K831" s="79"/>
      <c r="L831" s="79"/>
    </row>
    <row r="832">
      <c r="A832" s="17"/>
      <c r="C832" s="79"/>
      <c r="D832" s="79"/>
      <c r="E832" s="79"/>
      <c r="F832" s="79"/>
      <c r="G832" s="79"/>
      <c r="H832" s="79"/>
      <c r="I832" s="79"/>
      <c r="J832" s="79"/>
      <c r="K832" s="79"/>
      <c r="L832" s="79"/>
    </row>
    <row r="833">
      <c r="A833" s="17"/>
      <c r="C833" s="79"/>
      <c r="D833" s="79"/>
      <c r="E833" s="79"/>
      <c r="F833" s="79"/>
      <c r="G833" s="79"/>
      <c r="H833" s="79"/>
      <c r="I833" s="79"/>
      <c r="J833" s="79"/>
      <c r="K833" s="79"/>
      <c r="L833" s="79"/>
    </row>
    <row r="834">
      <c r="A834" s="17"/>
      <c r="C834" s="79"/>
      <c r="D834" s="79"/>
      <c r="E834" s="79"/>
      <c r="F834" s="79"/>
      <c r="G834" s="79"/>
      <c r="H834" s="79"/>
      <c r="I834" s="79"/>
      <c r="J834" s="79"/>
      <c r="K834" s="79"/>
      <c r="L834" s="79"/>
    </row>
    <row r="835">
      <c r="A835" s="17"/>
      <c r="C835" s="79"/>
      <c r="D835" s="79"/>
      <c r="E835" s="79"/>
      <c r="F835" s="79"/>
      <c r="G835" s="79"/>
      <c r="H835" s="79"/>
      <c r="I835" s="79"/>
      <c r="J835" s="79"/>
      <c r="K835" s="79"/>
      <c r="L835" s="79"/>
    </row>
    <row r="836">
      <c r="A836" s="17"/>
      <c r="C836" s="79"/>
      <c r="D836" s="79"/>
      <c r="E836" s="79"/>
      <c r="F836" s="79"/>
      <c r="G836" s="79"/>
      <c r="H836" s="79"/>
      <c r="I836" s="79"/>
      <c r="J836" s="79"/>
      <c r="K836" s="79"/>
      <c r="L836" s="79"/>
    </row>
    <row r="837">
      <c r="A837" s="17"/>
      <c r="C837" s="79"/>
      <c r="D837" s="79"/>
      <c r="E837" s="79"/>
      <c r="F837" s="79"/>
      <c r="G837" s="79"/>
      <c r="H837" s="79"/>
      <c r="I837" s="79"/>
      <c r="J837" s="79"/>
      <c r="K837" s="79"/>
      <c r="L837" s="79"/>
    </row>
    <row r="838">
      <c r="A838" s="17"/>
      <c r="C838" s="79"/>
      <c r="D838" s="79"/>
      <c r="E838" s="79"/>
      <c r="F838" s="79"/>
      <c r="G838" s="79"/>
      <c r="H838" s="79"/>
      <c r="I838" s="79"/>
      <c r="J838" s="79"/>
      <c r="K838" s="79"/>
      <c r="L838" s="79"/>
    </row>
    <row r="839">
      <c r="A839" s="17"/>
      <c r="C839" s="79"/>
      <c r="D839" s="79"/>
      <c r="E839" s="79"/>
      <c r="F839" s="79"/>
      <c r="G839" s="79"/>
      <c r="H839" s="79"/>
      <c r="I839" s="79"/>
      <c r="J839" s="79"/>
      <c r="K839" s="79"/>
      <c r="L839" s="79"/>
    </row>
    <row r="840">
      <c r="A840" s="17"/>
      <c r="C840" s="79"/>
      <c r="D840" s="79"/>
      <c r="E840" s="79"/>
      <c r="F840" s="79"/>
      <c r="G840" s="79"/>
      <c r="H840" s="79"/>
      <c r="I840" s="79"/>
      <c r="J840" s="79"/>
      <c r="K840" s="79"/>
      <c r="L840" s="79"/>
    </row>
    <row r="841">
      <c r="A841" s="17"/>
      <c r="C841" s="79"/>
      <c r="D841" s="79"/>
      <c r="E841" s="79"/>
      <c r="F841" s="79"/>
      <c r="G841" s="79"/>
      <c r="H841" s="79"/>
      <c r="I841" s="79"/>
      <c r="J841" s="79"/>
      <c r="K841" s="79"/>
      <c r="L841" s="79"/>
    </row>
    <row r="842">
      <c r="A842" s="17"/>
      <c r="C842" s="79"/>
      <c r="D842" s="79"/>
      <c r="E842" s="79"/>
      <c r="F842" s="79"/>
      <c r="G842" s="79"/>
      <c r="H842" s="79"/>
      <c r="I842" s="79"/>
      <c r="J842" s="79"/>
      <c r="K842" s="79"/>
      <c r="L842" s="79"/>
    </row>
    <row r="843">
      <c r="A843" s="17"/>
      <c r="C843" s="79"/>
      <c r="D843" s="79"/>
      <c r="E843" s="79"/>
      <c r="F843" s="79"/>
      <c r="G843" s="79"/>
      <c r="H843" s="79"/>
      <c r="I843" s="79"/>
      <c r="J843" s="79"/>
      <c r="K843" s="79"/>
      <c r="L843" s="79"/>
    </row>
    <row r="844">
      <c r="A844" s="17"/>
      <c r="C844" s="79"/>
      <c r="D844" s="79"/>
      <c r="E844" s="79"/>
      <c r="F844" s="79"/>
      <c r="G844" s="79"/>
      <c r="H844" s="79"/>
      <c r="I844" s="79"/>
      <c r="J844" s="79"/>
      <c r="K844" s="79"/>
      <c r="L844" s="79"/>
    </row>
    <row r="845">
      <c r="A845" s="17"/>
      <c r="C845" s="79"/>
      <c r="D845" s="79"/>
      <c r="E845" s="79"/>
      <c r="F845" s="79"/>
      <c r="G845" s="79"/>
      <c r="H845" s="79"/>
      <c r="I845" s="79"/>
      <c r="J845" s="79"/>
      <c r="K845" s="79"/>
      <c r="L845" s="79"/>
    </row>
    <row r="846">
      <c r="A846" s="17"/>
      <c r="C846" s="79"/>
      <c r="D846" s="79"/>
      <c r="E846" s="79"/>
      <c r="F846" s="79"/>
      <c r="G846" s="79"/>
      <c r="H846" s="79"/>
      <c r="I846" s="79"/>
      <c r="J846" s="79"/>
      <c r="K846" s="79"/>
      <c r="L846" s="79"/>
    </row>
    <row r="847">
      <c r="A847" s="17"/>
      <c r="C847" s="79"/>
      <c r="D847" s="79"/>
      <c r="E847" s="79"/>
      <c r="F847" s="79"/>
      <c r="G847" s="79"/>
      <c r="H847" s="79"/>
      <c r="I847" s="79"/>
      <c r="J847" s="79"/>
      <c r="K847" s="79"/>
      <c r="L847" s="79"/>
    </row>
    <row r="848">
      <c r="A848" s="17"/>
      <c r="C848" s="79"/>
      <c r="D848" s="79"/>
      <c r="E848" s="79"/>
      <c r="F848" s="79"/>
      <c r="G848" s="79"/>
      <c r="H848" s="79"/>
      <c r="I848" s="79"/>
      <c r="J848" s="79"/>
      <c r="K848" s="79"/>
      <c r="L848" s="79"/>
    </row>
    <row r="849">
      <c r="A849" s="17"/>
      <c r="C849" s="79"/>
      <c r="D849" s="79"/>
      <c r="E849" s="79"/>
      <c r="F849" s="79"/>
      <c r="G849" s="79"/>
      <c r="H849" s="79"/>
      <c r="I849" s="79"/>
      <c r="J849" s="79"/>
      <c r="K849" s="79"/>
      <c r="L849" s="79"/>
    </row>
    <row r="850">
      <c r="A850" s="17"/>
      <c r="C850" s="79"/>
      <c r="D850" s="79"/>
      <c r="E850" s="79"/>
      <c r="F850" s="79"/>
      <c r="G850" s="79"/>
      <c r="H850" s="79"/>
      <c r="I850" s="79"/>
      <c r="J850" s="79"/>
      <c r="K850" s="79"/>
      <c r="L850" s="79"/>
    </row>
    <row r="851">
      <c r="A851" s="17"/>
      <c r="C851" s="79"/>
      <c r="D851" s="79"/>
      <c r="E851" s="79"/>
      <c r="F851" s="79"/>
      <c r="G851" s="79"/>
      <c r="H851" s="79"/>
      <c r="I851" s="79"/>
      <c r="J851" s="79"/>
      <c r="K851" s="79"/>
      <c r="L851" s="79"/>
    </row>
    <row r="852">
      <c r="A852" s="17"/>
      <c r="C852" s="79"/>
      <c r="D852" s="79"/>
      <c r="E852" s="79"/>
      <c r="F852" s="79"/>
      <c r="G852" s="79"/>
      <c r="H852" s="79"/>
      <c r="I852" s="79"/>
      <c r="J852" s="79"/>
      <c r="K852" s="79"/>
      <c r="L852" s="79"/>
    </row>
    <row r="853">
      <c r="A853" s="17"/>
      <c r="C853" s="79"/>
      <c r="D853" s="79"/>
      <c r="E853" s="79"/>
      <c r="F853" s="79"/>
      <c r="G853" s="79"/>
      <c r="H853" s="79"/>
      <c r="I853" s="79"/>
      <c r="J853" s="79"/>
      <c r="K853" s="79"/>
      <c r="L853" s="79"/>
    </row>
    <row r="854">
      <c r="A854" s="17"/>
      <c r="C854" s="79"/>
      <c r="D854" s="79"/>
      <c r="E854" s="79"/>
      <c r="F854" s="79"/>
      <c r="G854" s="79"/>
      <c r="H854" s="79"/>
      <c r="I854" s="79"/>
      <c r="J854" s="79"/>
      <c r="K854" s="79"/>
      <c r="L854" s="79"/>
    </row>
    <row r="855">
      <c r="A855" s="17"/>
      <c r="C855" s="79"/>
      <c r="D855" s="79"/>
      <c r="E855" s="79"/>
      <c r="F855" s="79"/>
      <c r="G855" s="79"/>
      <c r="H855" s="79"/>
      <c r="I855" s="79"/>
      <c r="J855" s="79"/>
      <c r="K855" s="79"/>
      <c r="L855" s="79"/>
    </row>
    <row r="856">
      <c r="A856" s="17"/>
      <c r="C856" s="79"/>
      <c r="D856" s="79"/>
      <c r="E856" s="79"/>
      <c r="F856" s="79"/>
      <c r="G856" s="79"/>
      <c r="H856" s="79"/>
      <c r="I856" s="79"/>
      <c r="J856" s="79"/>
      <c r="K856" s="79"/>
      <c r="L856" s="79"/>
    </row>
    <row r="857">
      <c r="A857" s="17"/>
      <c r="C857" s="79"/>
      <c r="D857" s="79"/>
      <c r="E857" s="79"/>
      <c r="F857" s="79"/>
      <c r="G857" s="79"/>
      <c r="H857" s="79"/>
      <c r="I857" s="79"/>
      <c r="J857" s="79"/>
      <c r="K857" s="79"/>
      <c r="L857" s="79"/>
    </row>
    <row r="858">
      <c r="A858" s="17"/>
      <c r="C858" s="79"/>
      <c r="D858" s="79"/>
      <c r="E858" s="79"/>
      <c r="F858" s="79"/>
      <c r="G858" s="79"/>
      <c r="H858" s="79"/>
      <c r="I858" s="79"/>
      <c r="J858" s="79"/>
      <c r="K858" s="79"/>
      <c r="L858" s="79"/>
    </row>
    <row r="859">
      <c r="A859" s="17"/>
      <c r="C859" s="79"/>
      <c r="D859" s="79"/>
      <c r="E859" s="79"/>
      <c r="F859" s="79"/>
      <c r="G859" s="79"/>
      <c r="H859" s="79"/>
      <c r="I859" s="79"/>
      <c r="J859" s="79"/>
      <c r="K859" s="79"/>
      <c r="L859" s="79"/>
    </row>
    <row r="860">
      <c r="A860" s="17"/>
      <c r="C860" s="79"/>
      <c r="D860" s="79"/>
      <c r="E860" s="79"/>
      <c r="F860" s="79"/>
      <c r="G860" s="79"/>
      <c r="H860" s="79"/>
      <c r="I860" s="79"/>
      <c r="J860" s="79"/>
      <c r="K860" s="79"/>
      <c r="L860" s="79"/>
    </row>
    <row r="861">
      <c r="A861" s="17"/>
      <c r="C861" s="79"/>
      <c r="D861" s="79"/>
      <c r="E861" s="79"/>
      <c r="F861" s="79"/>
      <c r="G861" s="79"/>
      <c r="H861" s="79"/>
      <c r="I861" s="79"/>
      <c r="J861" s="79"/>
      <c r="K861" s="79"/>
      <c r="L861" s="79"/>
    </row>
    <row r="862">
      <c r="A862" s="17"/>
      <c r="C862" s="79"/>
      <c r="D862" s="79"/>
      <c r="E862" s="79"/>
      <c r="F862" s="79"/>
      <c r="G862" s="79"/>
      <c r="H862" s="79"/>
      <c r="I862" s="79"/>
      <c r="J862" s="79"/>
      <c r="K862" s="79"/>
      <c r="L862" s="79"/>
    </row>
    <row r="863">
      <c r="A863" s="17"/>
      <c r="C863" s="79"/>
      <c r="D863" s="79"/>
      <c r="E863" s="79"/>
      <c r="F863" s="79"/>
      <c r="G863" s="79"/>
      <c r="H863" s="79"/>
      <c r="I863" s="79"/>
      <c r="J863" s="79"/>
      <c r="K863" s="79"/>
      <c r="L863" s="79"/>
    </row>
    <row r="864">
      <c r="A864" s="17"/>
      <c r="C864" s="79"/>
      <c r="D864" s="79"/>
      <c r="E864" s="79"/>
      <c r="F864" s="79"/>
      <c r="G864" s="79"/>
      <c r="H864" s="79"/>
      <c r="I864" s="79"/>
      <c r="J864" s="79"/>
      <c r="K864" s="79"/>
      <c r="L864" s="79"/>
    </row>
    <row r="865">
      <c r="A865" s="17"/>
      <c r="C865" s="79"/>
      <c r="D865" s="79"/>
      <c r="E865" s="79"/>
      <c r="F865" s="79"/>
      <c r="G865" s="79"/>
      <c r="H865" s="79"/>
      <c r="I865" s="79"/>
      <c r="J865" s="79"/>
      <c r="K865" s="79"/>
      <c r="L865" s="79"/>
    </row>
    <row r="866">
      <c r="A866" s="17"/>
      <c r="C866" s="79"/>
      <c r="D866" s="79"/>
      <c r="E866" s="79"/>
      <c r="F866" s="79"/>
      <c r="G866" s="79"/>
      <c r="H866" s="79"/>
      <c r="I866" s="79"/>
      <c r="J866" s="79"/>
      <c r="K866" s="79"/>
      <c r="L866" s="79"/>
    </row>
    <row r="867">
      <c r="A867" s="17"/>
      <c r="C867" s="79"/>
      <c r="D867" s="79"/>
      <c r="E867" s="79"/>
      <c r="F867" s="79"/>
      <c r="G867" s="79"/>
      <c r="H867" s="79"/>
      <c r="I867" s="79"/>
      <c r="J867" s="79"/>
      <c r="K867" s="79"/>
      <c r="L867" s="79"/>
    </row>
    <row r="868">
      <c r="A868" s="17"/>
      <c r="C868" s="79"/>
      <c r="D868" s="79"/>
      <c r="E868" s="79"/>
      <c r="F868" s="79"/>
      <c r="G868" s="79"/>
      <c r="H868" s="79"/>
      <c r="I868" s="79"/>
      <c r="J868" s="79"/>
      <c r="K868" s="79"/>
      <c r="L868" s="79"/>
    </row>
    <row r="869">
      <c r="A869" s="17"/>
      <c r="C869" s="79"/>
      <c r="D869" s="79"/>
      <c r="E869" s="79"/>
      <c r="F869" s="79"/>
      <c r="G869" s="79"/>
      <c r="H869" s="79"/>
      <c r="I869" s="79"/>
      <c r="J869" s="79"/>
      <c r="K869" s="79"/>
      <c r="L869" s="79"/>
    </row>
    <row r="870">
      <c r="A870" s="17"/>
      <c r="C870" s="79"/>
      <c r="D870" s="79"/>
      <c r="E870" s="79"/>
      <c r="F870" s="79"/>
      <c r="G870" s="79"/>
      <c r="H870" s="79"/>
      <c r="I870" s="79"/>
      <c r="J870" s="79"/>
      <c r="K870" s="79"/>
      <c r="L870" s="79"/>
    </row>
    <row r="871">
      <c r="A871" s="17"/>
      <c r="C871" s="79"/>
      <c r="D871" s="79"/>
      <c r="E871" s="79"/>
      <c r="F871" s="79"/>
      <c r="G871" s="79"/>
      <c r="H871" s="79"/>
      <c r="I871" s="79"/>
      <c r="J871" s="79"/>
      <c r="K871" s="79"/>
      <c r="L871" s="79"/>
    </row>
    <row r="872">
      <c r="A872" s="17"/>
      <c r="C872" s="79"/>
      <c r="D872" s="79"/>
      <c r="E872" s="79"/>
      <c r="F872" s="79"/>
      <c r="G872" s="79"/>
      <c r="H872" s="79"/>
      <c r="I872" s="79"/>
      <c r="J872" s="79"/>
      <c r="K872" s="79"/>
      <c r="L872" s="79"/>
    </row>
    <row r="873">
      <c r="A873" s="17"/>
      <c r="C873" s="79"/>
      <c r="D873" s="79"/>
      <c r="E873" s="79"/>
      <c r="F873" s="79"/>
      <c r="G873" s="79"/>
      <c r="H873" s="79"/>
      <c r="I873" s="79"/>
      <c r="J873" s="79"/>
      <c r="K873" s="79"/>
      <c r="L873" s="79"/>
    </row>
    <row r="874">
      <c r="A874" s="17"/>
      <c r="C874" s="79"/>
      <c r="D874" s="79"/>
      <c r="E874" s="79"/>
      <c r="F874" s="79"/>
      <c r="G874" s="79"/>
      <c r="H874" s="79"/>
      <c r="I874" s="79"/>
      <c r="J874" s="79"/>
      <c r="K874" s="79"/>
      <c r="L874" s="79"/>
    </row>
    <row r="875">
      <c r="A875" s="17"/>
      <c r="C875" s="79"/>
      <c r="D875" s="79"/>
      <c r="E875" s="79"/>
      <c r="F875" s="79"/>
      <c r="G875" s="79"/>
      <c r="H875" s="79"/>
      <c r="I875" s="79"/>
      <c r="J875" s="79"/>
      <c r="K875" s="79"/>
      <c r="L875" s="79"/>
    </row>
    <row r="876">
      <c r="A876" s="17"/>
      <c r="C876" s="79"/>
      <c r="D876" s="79"/>
      <c r="E876" s="79"/>
      <c r="F876" s="79"/>
      <c r="G876" s="79"/>
      <c r="H876" s="79"/>
      <c r="I876" s="79"/>
      <c r="J876" s="79"/>
      <c r="K876" s="79"/>
      <c r="L876" s="79"/>
    </row>
    <row r="877">
      <c r="A877" s="17"/>
      <c r="C877" s="79"/>
      <c r="D877" s="79"/>
      <c r="E877" s="79"/>
      <c r="F877" s="79"/>
      <c r="G877" s="79"/>
      <c r="H877" s="79"/>
      <c r="I877" s="79"/>
      <c r="J877" s="79"/>
      <c r="K877" s="79"/>
      <c r="L877" s="79"/>
    </row>
    <row r="878">
      <c r="A878" s="17"/>
      <c r="C878" s="79"/>
      <c r="D878" s="79"/>
      <c r="E878" s="79"/>
      <c r="F878" s="79"/>
      <c r="G878" s="79"/>
      <c r="H878" s="79"/>
      <c r="I878" s="79"/>
      <c r="J878" s="79"/>
      <c r="K878" s="79"/>
      <c r="L878" s="79"/>
    </row>
    <row r="879">
      <c r="A879" s="17"/>
      <c r="C879" s="79"/>
      <c r="D879" s="79"/>
      <c r="E879" s="79"/>
      <c r="F879" s="79"/>
      <c r="G879" s="79"/>
      <c r="H879" s="79"/>
      <c r="I879" s="79"/>
      <c r="J879" s="79"/>
      <c r="K879" s="79"/>
      <c r="L879" s="79"/>
    </row>
    <row r="880">
      <c r="A880" s="17"/>
      <c r="C880" s="79"/>
      <c r="D880" s="79"/>
      <c r="E880" s="79"/>
      <c r="F880" s="79"/>
      <c r="G880" s="79"/>
      <c r="H880" s="79"/>
      <c r="I880" s="79"/>
      <c r="J880" s="79"/>
      <c r="K880" s="79"/>
      <c r="L880" s="79"/>
    </row>
    <row r="881">
      <c r="A881" s="17"/>
      <c r="C881" s="79"/>
      <c r="D881" s="79"/>
      <c r="E881" s="79"/>
      <c r="F881" s="79"/>
      <c r="G881" s="79"/>
      <c r="H881" s="79"/>
      <c r="I881" s="79"/>
      <c r="J881" s="79"/>
      <c r="K881" s="79"/>
      <c r="L881" s="79"/>
    </row>
    <row r="882">
      <c r="A882" s="17"/>
      <c r="C882" s="79"/>
      <c r="D882" s="79"/>
      <c r="E882" s="79"/>
      <c r="F882" s="79"/>
      <c r="G882" s="79"/>
      <c r="H882" s="79"/>
      <c r="I882" s="79"/>
      <c r="J882" s="79"/>
      <c r="K882" s="79"/>
      <c r="L882" s="79"/>
    </row>
    <row r="883">
      <c r="A883" s="17"/>
      <c r="C883" s="79"/>
      <c r="D883" s="79"/>
      <c r="E883" s="79"/>
      <c r="F883" s="79"/>
      <c r="G883" s="79"/>
      <c r="H883" s="79"/>
      <c r="I883" s="79"/>
      <c r="J883" s="79"/>
      <c r="K883" s="79"/>
      <c r="L883" s="79"/>
    </row>
    <row r="884">
      <c r="A884" s="17"/>
      <c r="C884" s="79"/>
      <c r="D884" s="79"/>
      <c r="E884" s="79"/>
      <c r="F884" s="79"/>
      <c r="G884" s="79"/>
      <c r="H884" s="79"/>
      <c r="I884" s="79"/>
      <c r="J884" s="79"/>
      <c r="K884" s="79"/>
      <c r="L884" s="79"/>
    </row>
    <row r="885">
      <c r="A885" s="17"/>
      <c r="C885" s="79"/>
      <c r="D885" s="79"/>
      <c r="E885" s="79"/>
      <c r="F885" s="79"/>
      <c r="G885" s="79"/>
      <c r="H885" s="79"/>
      <c r="I885" s="79"/>
      <c r="J885" s="79"/>
      <c r="K885" s="79"/>
      <c r="L885" s="79"/>
    </row>
    <row r="886">
      <c r="A886" s="17"/>
      <c r="C886" s="79"/>
      <c r="D886" s="79"/>
      <c r="E886" s="79"/>
      <c r="F886" s="79"/>
      <c r="G886" s="79"/>
      <c r="H886" s="79"/>
      <c r="I886" s="79"/>
      <c r="J886" s="79"/>
      <c r="K886" s="79"/>
      <c r="L886" s="79"/>
    </row>
    <row r="887">
      <c r="A887" s="17"/>
      <c r="C887" s="79"/>
      <c r="D887" s="79"/>
      <c r="E887" s="79"/>
      <c r="F887" s="79"/>
      <c r="G887" s="79"/>
      <c r="H887" s="79"/>
      <c r="I887" s="79"/>
      <c r="J887" s="79"/>
      <c r="K887" s="79"/>
      <c r="L887" s="79"/>
    </row>
    <row r="888">
      <c r="A888" s="17"/>
      <c r="C888" s="79"/>
      <c r="D888" s="79"/>
      <c r="E888" s="79"/>
      <c r="F888" s="79"/>
      <c r="G888" s="79"/>
      <c r="H888" s="79"/>
      <c r="I888" s="79"/>
      <c r="J888" s="79"/>
      <c r="K888" s="79"/>
      <c r="L888" s="79"/>
    </row>
    <row r="889">
      <c r="A889" s="17"/>
      <c r="C889" s="79"/>
      <c r="D889" s="79"/>
      <c r="E889" s="79"/>
      <c r="F889" s="79"/>
      <c r="G889" s="79"/>
      <c r="H889" s="79"/>
      <c r="I889" s="79"/>
      <c r="J889" s="79"/>
      <c r="K889" s="79"/>
      <c r="L889" s="79"/>
    </row>
    <row r="890">
      <c r="A890" s="17"/>
      <c r="C890" s="79"/>
      <c r="D890" s="79"/>
      <c r="E890" s="79"/>
      <c r="F890" s="79"/>
      <c r="G890" s="79"/>
      <c r="H890" s="79"/>
      <c r="I890" s="79"/>
      <c r="J890" s="79"/>
      <c r="K890" s="79"/>
      <c r="L890" s="79"/>
    </row>
    <row r="891">
      <c r="A891" s="17"/>
      <c r="C891" s="79"/>
      <c r="D891" s="79"/>
      <c r="E891" s="79"/>
      <c r="F891" s="79"/>
      <c r="G891" s="79"/>
      <c r="H891" s="79"/>
      <c r="I891" s="79"/>
      <c r="J891" s="79"/>
      <c r="K891" s="79"/>
      <c r="L891" s="79"/>
    </row>
    <row r="892">
      <c r="A892" s="17"/>
      <c r="C892" s="79"/>
      <c r="D892" s="79"/>
      <c r="E892" s="79"/>
      <c r="F892" s="79"/>
      <c r="G892" s="79"/>
      <c r="H892" s="79"/>
      <c r="I892" s="79"/>
      <c r="J892" s="79"/>
      <c r="K892" s="79"/>
      <c r="L892" s="79"/>
    </row>
    <row r="893">
      <c r="A893" s="17"/>
      <c r="C893" s="79"/>
      <c r="D893" s="79"/>
      <c r="E893" s="79"/>
      <c r="F893" s="79"/>
      <c r="G893" s="79"/>
      <c r="H893" s="79"/>
      <c r="I893" s="79"/>
      <c r="J893" s="79"/>
      <c r="K893" s="79"/>
      <c r="L893" s="79"/>
    </row>
    <row r="894">
      <c r="A894" s="17"/>
      <c r="C894" s="79"/>
      <c r="D894" s="79"/>
      <c r="E894" s="79"/>
      <c r="F894" s="79"/>
      <c r="G894" s="79"/>
      <c r="H894" s="79"/>
      <c r="I894" s="79"/>
      <c r="J894" s="79"/>
      <c r="K894" s="79"/>
      <c r="L894" s="79"/>
    </row>
    <row r="895">
      <c r="A895" s="17"/>
      <c r="C895" s="79"/>
      <c r="D895" s="79"/>
      <c r="E895" s="79"/>
      <c r="F895" s="79"/>
      <c r="G895" s="79"/>
      <c r="H895" s="79"/>
      <c r="I895" s="79"/>
      <c r="J895" s="79"/>
      <c r="K895" s="79"/>
      <c r="L895" s="79"/>
    </row>
    <row r="896">
      <c r="A896" s="17"/>
      <c r="C896" s="79"/>
      <c r="D896" s="79"/>
      <c r="E896" s="79"/>
      <c r="F896" s="79"/>
      <c r="G896" s="79"/>
      <c r="H896" s="79"/>
      <c r="I896" s="79"/>
      <c r="J896" s="79"/>
      <c r="K896" s="79"/>
      <c r="L896" s="79"/>
    </row>
    <row r="897">
      <c r="A897" s="17"/>
      <c r="C897" s="79"/>
      <c r="D897" s="79"/>
      <c r="E897" s="79"/>
      <c r="F897" s="79"/>
      <c r="G897" s="79"/>
      <c r="H897" s="79"/>
      <c r="I897" s="79"/>
      <c r="J897" s="79"/>
      <c r="K897" s="79"/>
      <c r="L897" s="79"/>
    </row>
    <row r="898">
      <c r="A898" s="17"/>
      <c r="C898" s="79"/>
      <c r="D898" s="79"/>
      <c r="E898" s="79"/>
      <c r="F898" s="79"/>
      <c r="G898" s="79"/>
      <c r="H898" s="79"/>
      <c r="I898" s="79"/>
      <c r="J898" s="79"/>
      <c r="K898" s="79"/>
      <c r="L898" s="79"/>
    </row>
    <row r="899">
      <c r="A899" s="17"/>
      <c r="C899" s="79"/>
      <c r="D899" s="79"/>
      <c r="E899" s="79"/>
      <c r="F899" s="79"/>
      <c r="G899" s="79"/>
      <c r="H899" s="79"/>
      <c r="I899" s="79"/>
      <c r="J899" s="79"/>
      <c r="K899" s="79"/>
      <c r="L899" s="79"/>
    </row>
    <row r="900">
      <c r="A900" s="17"/>
      <c r="C900" s="79"/>
      <c r="D900" s="79"/>
      <c r="E900" s="79"/>
      <c r="F900" s="79"/>
      <c r="G900" s="79"/>
      <c r="H900" s="79"/>
      <c r="I900" s="79"/>
      <c r="J900" s="79"/>
      <c r="K900" s="79"/>
      <c r="L900" s="79"/>
    </row>
    <row r="901">
      <c r="A901" s="17"/>
      <c r="C901" s="79"/>
      <c r="D901" s="79"/>
      <c r="E901" s="79"/>
      <c r="F901" s="79"/>
      <c r="G901" s="79"/>
      <c r="H901" s="79"/>
      <c r="I901" s="79"/>
      <c r="J901" s="79"/>
      <c r="K901" s="79"/>
      <c r="L901" s="79"/>
    </row>
    <row r="902">
      <c r="A902" s="17"/>
      <c r="C902" s="79"/>
      <c r="D902" s="79"/>
      <c r="E902" s="79"/>
      <c r="F902" s="79"/>
      <c r="G902" s="79"/>
      <c r="H902" s="79"/>
      <c r="I902" s="79"/>
      <c r="J902" s="79"/>
      <c r="K902" s="79"/>
      <c r="L902" s="79"/>
    </row>
    <row r="903">
      <c r="A903" s="17"/>
      <c r="C903" s="79"/>
      <c r="D903" s="79"/>
      <c r="E903" s="79"/>
      <c r="F903" s="79"/>
      <c r="G903" s="79"/>
      <c r="H903" s="79"/>
      <c r="I903" s="79"/>
      <c r="J903" s="79"/>
      <c r="K903" s="79"/>
      <c r="L903" s="79"/>
    </row>
    <row r="904">
      <c r="A904" s="17"/>
      <c r="C904" s="79"/>
      <c r="D904" s="79"/>
      <c r="E904" s="79"/>
      <c r="F904" s="79"/>
      <c r="G904" s="79"/>
      <c r="H904" s="79"/>
      <c r="I904" s="79"/>
      <c r="J904" s="79"/>
      <c r="K904" s="79"/>
      <c r="L904" s="79"/>
    </row>
    <row r="905">
      <c r="A905" s="17"/>
      <c r="C905" s="79"/>
      <c r="D905" s="79"/>
      <c r="E905" s="79"/>
      <c r="F905" s="79"/>
      <c r="G905" s="79"/>
      <c r="H905" s="79"/>
      <c r="I905" s="79"/>
      <c r="J905" s="79"/>
      <c r="K905" s="79"/>
      <c r="L905" s="79"/>
    </row>
    <row r="906">
      <c r="A906" s="17"/>
      <c r="C906" s="79"/>
      <c r="D906" s="79"/>
      <c r="E906" s="79"/>
      <c r="F906" s="79"/>
      <c r="G906" s="79"/>
      <c r="H906" s="79"/>
      <c r="I906" s="79"/>
      <c r="J906" s="79"/>
      <c r="K906" s="79"/>
      <c r="L906" s="79"/>
    </row>
    <row r="907">
      <c r="A907" s="17"/>
      <c r="C907" s="79"/>
      <c r="D907" s="79"/>
      <c r="E907" s="79"/>
      <c r="F907" s="79"/>
      <c r="G907" s="79"/>
      <c r="H907" s="79"/>
      <c r="I907" s="79"/>
      <c r="J907" s="79"/>
      <c r="K907" s="79"/>
      <c r="L907" s="79"/>
    </row>
    <row r="908">
      <c r="A908" s="17"/>
      <c r="C908" s="79"/>
      <c r="D908" s="79"/>
      <c r="E908" s="79"/>
      <c r="F908" s="79"/>
      <c r="G908" s="79"/>
      <c r="H908" s="79"/>
      <c r="I908" s="79"/>
      <c r="J908" s="79"/>
      <c r="K908" s="79"/>
      <c r="L908" s="79"/>
    </row>
    <row r="909">
      <c r="A909" s="17"/>
      <c r="C909" s="79"/>
      <c r="D909" s="79"/>
      <c r="E909" s="79"/>
      <c r="F909" s="79"/>
      <c r="G909" s="79"/>
      <c r="H909" s="79"/>
      <c r="I909" s="79"/>
      <c r="J909" s="79"/>
      <c r="K909" s="79"/>
      <c r="L909" s="79"/>
    </row>
    <row r="910">
      <c r="A910" s="17"/>
      <c r="C910" s="79"/>
      <c r="D910" s="79"/>
      <c r="E910" s="79"/>
      <c r="F910" s="79"/>
      <c r="G910" s="79"/>
      <c r="H910" s="79"/>
      <c r="I910" s="79"/>
      <c r="J910" s="79"/>
      <c r="K910" s="79"/>
      <c r="L910" s="79"/>
    </row>
    <row r="911">
      <c r="A911" s="17"/>
      <c r="C911" s="79"/>
      <c r="D911" s="79"/>
      <c r="E911" s="79"/>
      <c r="F911" s="79"/>
      <c r="G911" s="79"/>
      <c r="H911" s="79"/>
      <c r="I911" s="79"/>
      <c r="J911" s="79"/>
      <c r="K911" s="79"/>
      <c r="L911" s="79"/>
    </row>
    <row r="912">
      <c r="A912" s="17"/>
      <c r="C912" s="79"/>
      <c r="D912" s="79"/>
      <c r="E912" s="79"/>
      <c r="F912" s="79"/>
      <c r="G912" s="79"/>
      <c r="H912" s="79"/>
      <c r="I912" s="79"/>
      <c r="J912" s="79"/>
      <c r="K912" s="79"/>
      <c r="L912" s="79"/>
    </row>
    <row r="913">
      <c r="A913" s="17"/>
      <c r="C913" s="79"/>
      <c r="D913" s="79"/>
      <c r="E913" s="79"/>
      <c r="F913" s="79"/>
      <c r="G913" s="79"/>
      <c r="H913" s="79"/>
      <c r="I913" s="79"/>
      <c r="J913" s="79"/>
      <c r="K913" s="79"/>
      <c r="L913" s="79"/>
    </row>
    <row r="914">
      <c r="A914" s="17"/>
      <c r="C914" s="79"/>
      <c r="D914" s="79"/>
      <c r="E914" s="79"/>
      <c r="F914" s="79"/>
      <c r="G914" s="79"/>
      <c r="H914" s="79"/>
      <c r="I914" s="79"/>
      <c r="J914" s="79"/>
      <c r="K914" s="79"/>
      <c r="L914" s="79"/>
    </row>
    <row r="915">
      <c r="A915" s="17"/>
      <c r="C915" s="79"/>
      <c r="D915" s="79"/>
      <c r="E915" s="79"/>
      <c r="F915" s="79"/>
      <c r="G915" s="79"/>
      <c r="H915" s="79"/>
      <c r="I915" s="79"/>
      <c r="J915" s="79"/>
      <c r="K915" s="79"/>
      <c r="L915" s="79"/>
    </row>
    <row r="916">
      <c r="A916" s="17"/>
      <c r="C916" s="79"/>
      <c r="D916" s="79"/>
      <c r="E916" s="79"/>
      <c r="F916" s="79"/>
      <c r="G916" s="79"/>
      <c r="H916" s="79"/>
      <c r="I916" s="79"/>
      <c r="J916" s="79"/>
      <c r="K916" s="79"/>
      <c r="L916" s="79"/>
    </row>
    <row r="917">
      <c r="A917" s="17"/>
      <c r="C917" s="79"/>
      <c r="D917" s="79"/>
      <c r="E917" s="79"/>
      <c r="F917" s="79"/>
      <c r="G917" s="79"/>
      <c r="H917" s="79"/>
      <c r="I917" s="79"/>
      <c r="J917" s="79"/>
      <c r="K917" s="79"/>
      <c r="L917" s="79"/>
    </row>
    <row r="918">
      <c r="A918" s="17"/>
      <c r="C918" s="79"/>
      <c r="D918" s="79"/>
      <c r="E918" s="79"/>
      <c r="F918" s="79"/>
      <c r="G918" s="79"/>
      <c r="H918" s="79"/>
      <c r="I918" s="79"/>
      <c r="J918" s="79"/>
      <c r="K918" s="79"/>
      <c r="L918" s="79"/>
    </row>
    <row r="919">
      <c r="A919" s="17"/>
      <c r="C919" s="79"/>
      <c r="D919" s="79"/>
      <c r="E919" s="79"/>
      <c r="F919" s="79"/>
      <c r="G919" s="79"/>
      <c r="H919" s="79"/>
      <c r="I919" s="79"/>
      <c r="J919" s="79"/>
      <c r="K919" s="79"/>
      <c r="L919" s="79"/>
    </row>
    <row r="920">
      <c r="A920" s="17"/>
      <c r="C920" s="79"/>
      <c r="D920" s="79"/>
      <c r="E920" s="79"/>
      <c r="F920" s="79"/>
      <c r="G920" s="79"/>
      <c r="H920" s="79"/>
      <c r="I920" s="79"/>
      <c r="J920" s="79"/>
      <c r="K920" s="79"/>
      <c r="L920" s="79"/>
    </row>
    <row r="921">
      <c r="A921" s="17"/>
      <c r="C921" s="79"/>
      <c r="D921" s="79"/>
      <c r="E921" s="79"/>
      <c r="F921" s="79"/>
      <c r="G921" s="79"/>
      <c r="H921" s="79"/>
      <c r="I921" s="79"/>
      <c r="J921" s="79"/>
      <c r="K921" s="79"/>
      <c r="L921" s="79"/>
    </row>
    <row r="922">
      <c r="A922" s="17"/>
      <c r="C922" s="79"/>
      <c r="D922" s="79"/>
      <c r="E922" s="79"/>
      <c r="F922" s="79"/>
      <c r="G922" s="79"/>
      <c r="H922" s="79"/>
      <c r="I922" s="79"/>
      <c r="J922" s="79"/>
      <c r="K922" s="79"/>
      <c r="L922" s="79"/>
    </row>
    <row r="923">
      <c r="A923" s="17"/>
      <c r="C923" s="79"/>
      <c r="D923" s="79"/>
      <c r="E923" s="79"/>
      <c r="F923" s="79"/>
      <c r="G923" s="79"/>
      <c r="H923" s="79"/>
      <c r="I923" s="79"/>
      <c r="J923" s="79"/>
      <c r="K923" s="79"/>
      <c r="L923" s="79"/>
    </row>
    <row r="924">
      <c r="A924" s="17"/>
      <c r="C924" s="79"/>
      <c r="D924" s="79"/>
      <c r="E924" s="79"/>
      <c r="F924" s="79"/>
      <c r="G924" s="79"/>
      <c r="H924" s="79"/>
      <c r="I924" s="79"/>
      <c r="J924" s="79"/>
      <c r="K924" s="79"/>
      <c r="L924" s="79"/>
    </row>
    <row r="925">
      <c r="A925" s="17"/>
      <c r="C925" s="79"/>
      <c r="D925" s="79"/>
      <c r="E925" s="79"/>
      <c r="F925" s="79"/>
      <c r="G925" s="79"/>
      <c r="H925" s="79"/>
      <c r="I925" s="79"/>
      <c r="J925" s="79"/>
      <c r="K925" s="79"/>
      <c r="L925" s="79"/>
    </row>
    <row r="926">
      <c r="A926" s="17"/>
      <c r="C926" s="79"/>
      <c r="D926" s="79"/>
      <c r="E926" s="79"/>
      <c r="F926" s="79"/>
      <c r="G926" s="79"/>
      <c r="H926" s="79"/>
      <c r="I926" s="79"/>
      <c r="J926" s="79"/>
      <c r="K926" s="79"/>
      <c r="L926" s="79"/>
    </row>
    <row r="927">
      <c r="A927" s="17"/>
      <c r="C927" s="79"/>
      <c r="D927" s="79"/>
      <c r="E927" s="79"/>
      <c r="F927" s="79"/>
      <c r="G927" s="79"/>
      <c r="H927" s="79"/>
      <c r="I927" s="79"/>
      <c r="J927" s="79"/>
      <c r="K927" s="79"/>
      <c r="L927" s="79"/>
    </row>
    <row r="928">
      <c r="A928" s="17"/>
      <c r="C928" s="79"/>
      <c r="D928" s="79"/>
      <c r="E928" s="79"/>
      <c r="F928" s="79"/>
      <c r="G928" s="79"/>
      <c r="H928" s="79"/>
      <c r="I928" s="79"/>
      <c r="J928" s="79"/>
      <c r="K928" s="79"/>
      <c r="L928" s="79"/>
    </row>
    <row r="929">
      <c r="A929" s="17"/>
      <c r="C929" s="79"/>
      <c r="D929" s="79"/>
      <c r="E929" s="79"/>
      <c r="F929" s="79"/>
      <c r="G929" s="79"/>
      <c r="H929" s="79"/>
      <c r="I929" s="79"/>
      <c r="J929" s="79"/>
      <c r="K929" s="79"/>
      <c r="L929" s="79"/>
    </row>
    <row r="930">
      <c r="A930" s="17"/>
      <c r="C930" s="79"/>
      <c r="D930" s="79"/>
      <c r="E930" s="79"/>
      <c r="F930" s="79"/>
      <c r="G930" s="79"/>
      <c r="H930" s="79"/>
      <c r="I930" s="79"/>
      <c r="J930" s="79"/>
      <c r="K930" s="79"/>
      <c r="L930" s="79"/>
    </row>
    <row r="931">
      <c r="A931" s="17"/>
      <c r="C931" s="79"/>
      <c r="D931" s="79"/>
      <c r="E931" s="79"/>
      <c r="F931" s="79"/>
      <c r="G931" s="79"/>
      <c r="H931" s="79"/>
      <c r="I931" s="79"/>
      <c r="J931" s="79"/>
      <c r="K931" s="79"/>
      <c r="L931" s="79"/>
    </row>
    <row r="932">
      <c r="A932" s="17"/>
      <c r="C932" s="79"/>
      <c r="D932" s="79"/>
      <c r="E932" s="79"/>
      <c r="F932" s="79"/>
      <c r="G932" s="79"/>
      <c r="H932" s="79"/>
      <c r="I932" s="79"/>
      <c r="J932" s="79"/>
      <c r="K932" s="79"/>
      <c r="L932" s="79"/>
    </row>
    <row r="933">
      <c r="A933" s="17"/>
      <c r="C933" s="79"/>
      <c r="D933" s="79"/>
      <c r="E933" s="79"/>
      <c r="F933" s="79"/>
      <c r="G933" s="79"/>
      <c r="H933" s="79"/>
      <c r="I933" s="79"/>
      <c r="J933" s="79"/>
      <c r="K933" s="79"/>
      <c r="L933" s="79"/>
    </row>
    <row r="934">
      <c r="A934" s="17"/>
      <c r="C934" s="79"/>
      <c r="D934" s="79"/>
      <c r="E934" s="79"/>
      <c r="F934" s="79"/>
      <c r="G934" s="79"/>
      <c r="H934" s="79"/>
      <c r="I934" s="79"/>
      <c r="J934" s="79"/>
      <c r="K934" s="79"/>
      <c r="L934" s="79"/>
    </row>
    <row r="935">
      <c r="A935" s="17"/>
      <c r="C935" s="79"/>
      <c r="D935" s="79"/>
      <c r="E935" s="79"/>
      <c r="F935" s="79"/>
      <c r="G935" s="79"/>
      <c r="H935" s="79"/>
      <c r="I935" s="79"/>
      <c r="J935" s="79"/>
      <c r="K935" s="79"/>
      <c r="L935" s="79"/>
    </row>
    <row r="936">
      <c r="A936" s="17"/>
      <c r="C936" s="79"/>
      <c r="D936" s="79"/>
      <c r="E936" s="79"/>
      <c r="F936" s="79"/>
      <c r="G936" s="79"/>
      <c r="H936" s="79"/>
      <c r="I936" s="79"/>
      <c r="J936" s="79"/>
      <c r="K936" s="79"/>
      <c r="L936" s="79"/>
    </row>
    <row r="937">
      <c r="A937" s="17"/>
      <c r="C937" s="79"/>
      <c r="D937" s="79"/>
      <c r="E937" s="79"/>
      <c r="F937" s="79"/>
      <c r="G937" s="79"/>
      <c r="H937" s="79"/>
      <c r="I937" s="79"/>
      <c r="J937" s="79"/>
      <c r="K937" s="79"/>
      <c r="L937" s="79"/>
    </row>
    <row r="938">
      <c r="A938" s="17"/>
      <c r="C938" s="79"/>
      <c r="D938" s="79"/>
      <c r="E938" s="79"/>
      <c r="F938" s="79"/>
      <c r="G938" s="79"/>
      <c r="H938" s="79"/>
      <c r="I938" s="79"/>
      <c r="J938" s="79"/>
      <c r="K938" s="79"/>
      <c r="L938" s="79"/>
    </row>
    <row r="939">
      <c r="A939" s="17"/>
      <c r="C939" s="79"/>
      <c r="D939" s="79"/>
      <c r="E939" s="79"/>
      <c r="F939" s="79"/>
      <c r="G939" s="79"/>
      <c r="H939" s="79"/>
      <c r="I939" s="79"/>
      <c r="J939" s="79"/>
      <c r="K939" s="79"/>
      <c r="L939" s="79"/>
    </row>
    <row r="940">
      <c r="A940" s="17"/>
      <c r="C940" s="79"/>
      <c r="D940" s="79"/>
      <c r="E940" s="79"/>
      <c r="F940" s="79"/>
      <c r="G940" s="79"/>
      <c r="H940" s="79"/>
      <c r="I940" s="79"/>
      <c r="J940" s="79"/>
      <c r="K940" s="79"/>
      <c r="L940" s="79"/>
    </row>
    <row r="941">
      <c r="A941" s="17"/>
      <c r="C941" s="79"/>
      <c r="D941" s="79"/>
      <c r="E941" s="79"/>
      <c r="F941" s="79"/>
      <c r="G941" s="79"/>
      <c r="H941" s="79"/>
      <c r="I941" s="79"/>
      <c r="J941" s="79"/>
      <c r="K941" s="79"/>
      <c r="L941" s="79"/>
    </row>
    <row r="942">
      <c r="A942" s="17"/>
      <c r="C942" s="79"/>
      <c r="D942" s="79"/>
      <c r="E942" s="79"/>
      <c r="F942" s="79"/>
      <c r="G942" s="79"/>
      <c r="H942" s="79"/>
      <c r="I942" s="79"/>
      <c r="J942" s="79"/>
      <c r="K942" s="79"/>
      <c r="L942" s="79"/>
    </row>
    <row r="943">
      <c r="A943" s="17"/>
      <c r="C943" s="79"/>
      <c r="D943" s="79"/>
      <c r="E943" s="79"/>
      <c r="F943" s="79"/>
      <c r="G943" s="79"/>
      <c r="H943" s="79"/>
      <c r="I943" s="79"/>
      <c r="J943" s="79"/>
      <c r="K943" s="79"/>
      <c r="L943" s="79"/>
    </row>
    <row r="944">
      <c r="A944" s="17"/>
      <c r="C944" s="79"/>
      <c r="D944" s="79"/>
      <c r="E944" s="79"/>
      <c r="F944" s="79"/>
      <c r="G944" s="79"/>
      <c r="H944" s="79"/>
      <c r="I944" s="79"/>
      <c r="J944" s="79"/>
      <c r="K944" s="79"/>
      <c r="L944" s="79"/>
    </row>
    <row r="945">
      <c r="A945" s="17"/>
      <c r="C945" s="79"/>
      <c r="D945" s="79"/>
      <c r="E945" s="79"/>
      <c r="F945" s="79"/>
      <c r="G945" s="79"/>
      <c r="H945" s="79"/>
      <c r="I945" s="79"/>
      <c r="J945" s="79"/>
      <c r="K945" s="79"/>
      <c r="L945" s="79"/>
    </row>
    <row r="946">
      <c r="A946" s="17"/>
      <c r="C946" s="79"/>
      <c r="D946" s="79"/>
      <c r="E946" s="79"/>
      <c r="F946" s="79"/>
      <c r="G946" s="79"/>
      <c r="H946" s="79"/>
      <c r="I946" s="79"/>
      <c r="J946" s="79"/>
      <c r="K946" s="79"/>
      <c r="L946" s="79"/>
    </row>
    <row r="947">
      <c r="A947" s="17"/>
      <c r="C947" s="79"/>
      <c r="D947" s="79"/>
      <c r="E947" s="79"/>
      <c r="F947" s="79"/>
      <c r="G947" s="79"/>
      <c r="H947" s="79"/>
      <c r="I947" s="79"/>
      <c r="J947" s="79"/>
      <c r="K947" s="79"/>
      <c r="L947" s="79"/>
    </row>
    <row r="948">
      <c r="A948" s="17"/>
      <c r="C948" s="79"/>
      <c r="D948" s="79"/>
      <c r="E948" s="79"/>
      <c r="F948" s="79"/>
      <c r="G948" s="79"/>
      <c r="H948" s="79"/>
      <c r="I948" s="79"/>
      <c r="J948" s="79"/>
      <c r="K948" s="79"/>
      <c r="L948" s="79"/>
    </row>
    <row r="949">
      <c r="A949" s="17"/>
      <c r="C949" s="79"/>
      <c r="D949" s="79"/>
      <c r="E949" s="79"/>
      <c r="F949" s="79"/>
      <c r="G949" s="79"/>
      <c r="H949" s="79"/>
      <c r="I949" s="79"/>
      <c r="J949" s="79"/>
      <c r="K949" s="79"/>
      <c r="L949" s="79"/>
    </row>
    <row r="950">
      <c r="A950" s="17"/>
      <c r="C950" s="79"/>
      <c r="D950" s="79"/>
      <c r="E950" s="79"/>
      <c r="F950" s="79"/>
      <c r="G950" s="79"/>
      <c r="H950" s="79"/>
      <c r="I950" s="79"/>
      <c r="J950" s="79"/>
      <c r="K950" s="79"/>
      <c r="L950" s="79"/>
    </row>
    <row r="951">
      <c r="A951" s="17"/>
      <c r="C951" s="79"/>
      <c r="D951" s="79"/>
      <c r="E951" s="79"/>
      <c r="F951" s="79"/>
      <c r="G951" s="79"/>
      <c r="H951" s="79"/>
      <c r="I951" s="79"/>
      <c r="J951" s="79"/>
      <c r="K951" s="79"/>
      <c r="L951" s="79"/>
    </row>
    <row r="952">
      <c r="A952" s="17"/>
      <c r="C952" s="79"/>
      <c r="D952" s="79"/>
      <c r="E952" s="79"/>
      <c r="F952" s="79"/>
      <c r="G952" s="79"/>
      <c r="H952" s="79"/>
      <c r="I952" s="79"/>
      <c r="J952" s="79"/>
      <c r="K952" s="79"/>
      <c r="L952" s="79"/>
    </row>
    <row r="953">
      <c r="A953" s="17"/>
      <c r="C953" s="79"/>
      <c r="D953" s="79"/>
      <c r="E953" s="79"/>
      <c r="F953" s="79"/>
      <c r="G953" s="79"/>
      <c r="H953" s="79"/>
      <c r="I953" s="79"/>
      <c r="J953" s="79"/>
      <c r="K953" s="79"/>
      <c r="L953" s="79"/>
    </row>
    <row r="954">
      <c r="A954" s="17"/>
      <c r="C954" s="79"/>
      <c r="D954" s="79"/>
      <c r="E954" s="79"/>
      <c r="F954" s="79"/>
      <c r="G954" s="79"/>
      <c r="H954" s="79"/>
      <c r="I954" s="79"/>
      <c r="J954" s="79"/>
      <c r="K954" s="79"/>
      <c r="L954" s="79"/>
    </row>
    <row r="955">
      <c r="A955" s="17"/>
      <c r="C955" s="79"/>
      <c r="D955" s="79"/>
      <c r="E955" s="79"/>
      <c r="F955" s="79"/>
      <c r="G955" s="79"/>
      <c r="H955" s="79"/>
      <c r="I955" s="79"/>
      <c r="J955" s="79"/>
      <c r="K955" s="79"/>
      <c r="L955" s="79"/>
    </row>
    <row r="956">
      <c r="A956" s="17"/>
      <c r="C956" s="79"/>
      <c r="D956" s="79"/>
      <c r="E956" s="79"/>
      <c r="F956" s="79"/>
      <c r="G956" s="79"/>
      <c r="H956" s="79"/>
      <c r="I956" s="79"/>
      <c r="J956" s="79"/>
      <c r="K956" s="79"/>
      <c r="L956" s="79"/>
    </row>
    <row r="957">
      <c r="A957" s="17"/>
      <c r="C957" s="79"/>
      <c r="D957" s="79"/>
      <c r="E957" s="79"/>
      <c r="F957" s="79"/>
      <c r="G957" s="79"/>
      <c r="H957" s="79"/>
      <c r="I957" s="79"/>
      <c r="J957" s="79"/>
      <c r="K957" s="79"/>
      <c r="L957" s="79"/>
    </row>
    <row r="958">
      <c r="A958" s="17"/>
      <c r="C958" s="79"/>
      <c r="D958" s="79"/>
      <c r="E958" s="79"/>
      <c r="F958" s="79"/>
      <c r="G958" s="79"/>
      <c r="H958" s="79"/>
      <c r="I958" s="79"/>
      <c r="J958" s="79"/>
      <c r="K958" s="79"/>
      <c r="L958" s="79"/>
    </row>
    <row r="959">
      <c r="A959" s="17"/>
      <c r="C959" s="79"/>
      <c r="D959" s="79"/>
      <c r="E959" s="79"/>
      <c r="F959" s="79"/>
      <c r="G959" s="79"/>
      <c r="H959" s="79"/>
      <c r="I959" s="79"/>
      <c r="J959" s="79"/>
      <c r="K959" s="79"/>
      <c r="L959" s="79"/>
    </row>
    <row r="960">
      <c r="A960" s="17"/>
      <c r="C960" s="79"/>
      <c r="D960" s="79"/>
      <c r="E960" s="79"/>
      <c r="F960" s="79"/>
      <c r="G960" s="79"/>
      <c r="H960" s="79"/>
      <c r="I960" s="79"/>
      <c r="J960" s="79"/>
      <c r="K960" s="79"/>
      <c r="L960" s="79"/>
    </row>
    <row r="961">
      <c r="A961" s="17"/>
      <c r="C961" s="79"/>
      <c r="D961" s="79"/>
      <c r="E961" s="79"/>
      <c r="F961" s="79"/>
      <c r="G961" s="79"/>
      <c r="H961" s="79"/>
      <c r="I961" s="79"/>
      <c r="J961" s="79"/>
      <c r="K961" s="79"/>
      <c r="L961" s="79"/>
    </row>
    <row r="962">
      <c r="A962" s="17"/>
      <c r="C962" s="79"/>
      <c r="D962" s="79"/>
      <c r="E962" s="79"/>
      <c r="F962" s="79"/>
      <c r="G962" s="79"/>
      <c r="H962" s="79"/>
      <c r="I962" s="79"/>
      <c r="J962" s="79"/>
      <c r="K962" s="79"/>
      <c r="L962" s="79"/>
    </row>
    <row r="963">
      <c r="A963" s="17"/>
      <c r="C963" s="79"/>
      <c r="D963" s="79"/>
      <c r="E963" s="79"/>
      <c r="F963" s="79"/>
      <c r="G963" s="79"/>
      <c r="H963" s="79"/>
      <c r="I963" s="79"/>
      <c r="J963" s="79"/>
      <c r="K963" s="79"/>
      <c r="L963" s="79"/>
    </row>
    <row r="964">
      <c r="A964" s="17"/>
      <c r="C964" s="79"/>
      <c r="D964" s="79"/>
      <c r="E964" s="79"/>
      <c r="F964" s="79"/>
      <c r="G964" s="79"/>
      <c r="H964" s="79"/>
      <c r="I964" s="79"/>
      <c r="J964" s="79"/>
      <c r="K964" s="79"/>
      <c r="L964" s="79"/>
    </row>
    <row r="965">
      <c r="A965" s="17"/>
      <c r="C965" s="79"/>
      <c r="D965" s="79"/>
      <c r="E965" s="79"/>
      <c r="F965" s="79"/>
      <c r="G965" s="79"/>
      <c r="H965" s="79"/>
      <c r="I965" s="79"/>
      <c r="J965" s="79"/>
      <c r="K965" s="79"/>
      <c r="L965" s="79"/>
    </row>
    <row r="966">
      <c r="A966" s="17"/>
      <c r="C966" s="79"/>
      <c r="D966" s="79"/>
      <c r="E966" s="79"/>
      <c r="F966" s="79"/>
      <c r="G966" s="79"/>
      <c r="H966" s="79"/>
      <c r="I966" s="79"/>
      <c r="J966" s="79"/>
      <c r="K966" s="79"/>
      <c r="L966" s="79"/>
    </row>
    <row r="967">
      <c r="A967" s="17"/>
      <c r="C967" s="79"/>
      <c r="D967" s="79"/>
      <c r="E967" s="79"/>
      <c r="F967" s="79"/>
      <c r="G967" s="79"/>
      <c r="H967" s="79"/>
      <c r="I967" s="79"/>
      <c r="J967" s="79"/>
      <c r="K967" s="79"/>
      <c r="L967" s="79"/>
    </row>
    <row r="968">
      <c r="A968" s="17"/>
      <c r="C968" s="79"/>
      <c r="D968" s="79"/>
      <c r="E968" s="79"/>
      <c r="F968" s="79"/>
      <c r="G968" s="79"/>
      <c r="H968" s="79"/>
      <c r="I968" s="79"/>
      <c r="J968" s="79"/>
      <c r="K968" s="79"/>
      <c r="L968" s="79"/>
    </row>
    <row r="969">
      <c r="A969" s="17"/>
      <c r="C969" s="79"/>
      <c r="D969" s="79"/>
      <c r="E969" s="79"/>
      <c r="F969" s="79"/>
      <c r="G969" s="79"/>
      <c r="H969" s="79"/>
      <c r="I969" s="79"/>
      <c r="J969" s="79"/>
      <c r="K969" s="79"/>
      <c r="L969" s="79"/>
    </row>
    <row r="970">
      <c r="A970" s="17"/>
      <c r="C970" s="79"/>
      <c r="D970" s="79"/>
      <c r="E970" s="79"/>
      <c r="F970" s="79"/>
      <c r="G970" s="79"/>
      <c r="H970" s="79"/>
      <c r="I970" s="79"/>
      <c r="J970" s="79"/>
      <c r="K970" s="79"/>
      <c r="L970" s="79"/>
    </row>
    <row r="971">
      <c r="A971" s="17"/>
      <c r="C971" s="79"/>
      <c r="D971" s="79"/>
      <c r="E971" s="79"/>
      <c r="F971" s="79"/>
      <c r="G971" s="79"/>
      <c r="H971" s="79"/>
      <c r="I971" s="79"/>
      <c r="J971" s="79"/>
      <c r="K971" s="79"/>
      <c r="L971" s="79"/>
    </row>
    <row r="972">
      <c r="A972" s="17"/>
      <c r="C972" s="79"/>
      <c r="D972" s="79"/>
      <c r="E972" s="79"/>
      <c r="F972" s="79"/>
      <c r="G972" s="79"/>
      <c r="H972" s="79"/>
      <c r="I972" s="79"/>
      <c r="J972" s="79"/>
      <c r="K972" s="79"/>
      <c r="L972" s="79"/>
    </row>
    <row r="973">
      <c r="A973" s="17"/>
      <c r="C973" s="79"/>
      <c r="D973" s="79"/>
      <c r="E973" s="79"/>
      <c r="F973" s="79"/>
      <c r="G973" s="79"/>
      <c r="H973" s="79"/>
      <c r="I973" s="79"/>
      <c r="J973" s="79"/>
      <c r="K973" s="79"/>
      <c r="L973" s="79"/>
    </row>
    <row r="974">
      <c r="A974" s="17"/>
      <c r="C974" s="79"/>
      <c r="D974" s="79"/>
      <c r="E974" s="79"/>
      <c r="F974" s="79"/>
      <c r="G974" s="79"/>
      <c r="H974" s="79"/>
      <c r="I974" s="79"/>
      <c r="J974" s="79"/>
      <c r="K974" s="79"/>
      <c r="L974" s="79"/>
    </row>
    <row r="975">
      <c r="A975" s="17"/>
      <c r="C975" s="79"/>
      <c r="D975" s="79"/>
      <c r="E975" s="79"/>
      <c r="F975" s="79"/>
      <c r="G975" s="79"/>
      <c r="H975" s="79"/>
      <c r="I975" s="79"/>
      <c r="J975" s="79"/>
      <c r="K975" s="79"/>
      <c r="L975" s="79"/>
    </row>
    <row r="976">
      <c r="A976" s="17"/>
      <c r="C976" s="79"/>
      <c r="D976" s="79"/>
      <c r="E976" s="79"/>
      <c r="F976" s="79"/>
      <c r="G976" s="79"/>
      <c r="H976" s="79"/>
      <c r="I976" s="79"/>
      <c r="J976" s="79"/>
      <c r="K976" s="79"/>
      <c r="L976" s="79"/>
    </row>
    <row r="977">
      <c r="A977" s="17"/>
      <c r="C977" s="79"/>
      <c r="D977" s="79"/>
      <c r="E977" s="79"/>
      <c r="F977" s="79"/>
      <c r="G977" s="79"/>
      <c r="H977" s="79"/>
      <c r="I977" s="79"/>
      <c r="J977" s="79"/>
      <c r="K977" s="79"/>
      <c r="L977" s="79"/>
    </row>
    <row r="978">
      <c r="A978" s="17"/>
      <c r="C978" s="79"/>
      <c r="D978" s="79"/>
      <c r="E978" s="79"/>
      <c r="F978" s="79"/>
      <c r="G978" s="79"/>
      <c r="H978" s="79"/>
      <c r="I978" s="79"/>
      <c r="J978" s="79"/>
      <c r="K978" s="79"/>
      <c r="L978" s="79"/>
    </row>
    <row r="979">
      <c r="A979" s="17"/>
      <c r="C979" s="79"/>
      <c r="D979" s="79"/>
      <c r="E979" s="79"/>
      <c r="F979" s="79"/>
      <c r="G979" s="79"/>
      <c r="H979" s="79"/>
      <c r="I979" s="79"/>
      <c r="J979" s="79"/>
      <c r="K979" s="79"/>
      <c r="L979" s="79"/>
    </row>
    <row r="980">
      <c r="A980" s="17"/>
      <c r="C980" s="79"/>
      <c r="D980" s="79"/>
      <c r="E980" s="79"/>
      <c r="F980" s="79"/>
      <c r="G980" s="79"/>
      <c r="H980" s="79"/>
      <c r="I980" s="79"/>
      <c r="J980" s="79"/>
      <c r="K980" s="79"/>
      <c r="L980" s="79"/>
    </row>
    <row r="981">
      <c r="A981" s="17"/>
      <c r="C981" s="79"/>
      <c r="D981" s="79"/>
      <c r="E981" s="79"/>
      <c r="F981" s="79"/>
      <c r="G981" s="79"/>
      <c r="H981" s="79"/>
      <c r="I981" s="79"/>
      <c r="J981" s="79"/>
      <c r="K981" s="79"/>
      <c r="L981" s="79"/>
    </row>
    <row r="982">
      <c r="A982" s="17"/>
      <c r="C982" s="79"/>
      <c r="D982" s="79"/>
      <c r="E982" s="79"/>
      <c r="F982" s="79"/>
      <c r="G982" s="79"/>
      <c r="H982" s="79"/>
      <c r="I982" s="79"/>
      <c r="J982" s="79"/>
      <c r="K982" s="79"/>
      <c r="L982" s="79"/>
    </row>
    <row r="983">
      <c r="A983" s="17"/>
      <c r="C983" s="79"/>
      <c r="D983" s="79"/>
      <c r="E983" s="79"/>
      <c r="F983" s="79"/>
      <c r="G983" s="79"/>
      <c r="H983" s="79"/>
      <c r="I983" s="79"/>
      <c r="J983" s="79"/>
      <c r="K983" s="79"/>
      <c r="L983" s="79"/>
    </row>
    <row r="984">
      <c r="A984" s="17"/>
      <c r="C984" s="79"/>
      <c r="D984" s="79"/>
      <c r="E984" s="79"/>
      <c r="F984" s="79"/>
      <c r="G984" s="79"/>
      <c r="H984" s="79"/>
      <c r="I984" s="79"/>
      <c r="J984" s="79"/>
      <c r="K984" s="79"/>
      <c r="L984" s="79"/>
    </row>
    <row r="985">
      <c r="A985" s="17"/>
      <c r="C985" s="79"/>
      <c r="D985" s="79"/>
      <c r="E985" s="79"/>
      <c r="F985" s="79"/>
      <c r="G985" s="79"/>
      <c r="H985" s="79"/>
      <c r="I985" s="79"/>
      <c r="J985" s="79"/>
      <c r="K985" s="79"/>
      <c r="L985" s="79"/>
    </row>
    <row r="986">
      <c r="A986" s="17"/>
      <c r="C986" s="79"/>
      <c r="D986" s="79"/>
      <c r="E986" s="79"/>
      <c r="F986" s="79"/>
      <c r="G986" s="79"/>
      <c r="H986" s="79"/>
      <c r="I986" s="79"/>
      <c r="J986" s="79"/>
      <c r="K986" s="79"/>
      <c r="L986" s="79"/>
    </row>
    <row r="987">
      <c r="A987" s="17"/>
      <c r="C987" s="79"/>
      <c r="D987" s="79"/>
      <c r="E987" s="79"/>
      <c r="F987" s="79"/>
      <c r="G987" s="79"/>
      <c r="H987" s="79"/>
      <c r="I987" s="79"/>
      <c r="J987" s="79"/>
      <c r="K987" s="79"/>
      <c r="L987" s="79"/>
    </row>
    <row r="988">
      <c r="A988" s="17"/>
      <c r="C988" s="79"/>
      <c r="D988" s="79"/>
      <c r="E988" s="79"/>
      <c r="F988" s="79"/>
      <c r="G988" s="79"/>
      <c r="H988" s="79"/>
      <c r="I988" s="79"/>
      <c r="J988" s="79"/>
      <c r="K988" s="79"/>
      <c r="L988" s="79"/>
    </row>
    <row r="989">
      <c r="A989" s="17"/>
      <c r="C989" s="79"/>
      <c r="D989" s="79"/>
      <c r="E989" s="79"/>
      <c r="F989" s="79"/>
      <c r="G989" s="79"/>
      <c r="H989" s="79"/>
      <c r="I989" s="79"/>
      <c r="J989" s="79"/>
      <c r="K989" s="79"/>
      <c r="L989" s="79"/>
    </row>
    <row r="990">
      <c r="A990" s="17"/>
      <c r="C990" s="79"/>
      <c r="D990" s="79"/>
      <c r="E990" s="79"/>
      <c r="F990" s="79"/>
      <c r="G990" s="79"/>
      <c r="H990" s="79"/>
      <c r="I990" s="79"/>
      <c r="J990" s="79"/>
      <c r="K990" s="79"/>
      <c r="L990" s="79"/>
    </row>
    <row r="991">
      <c r="A991" s="17"/>
      <c r="C991" s="79"/>
      <c r="D991" s="79"/>
      <c r="E991" s="79"/>
      <c r="F991" s="79"/>
      <c r="G991" s="79"/>
      <c r="H991" s="79"/>
      <c r="I991" s="79"/>
      <c r="J991" s="79"/>
      <c r="K991" s="79"/>
      <c r="L991" s="79"/>
    </row>
    <row r="992">
      <c r="A992" s="17"/>
      <c r="C992" s="79"/>
      <c r="D992" s="79"/>
      <c r="E992" s="79"/>
      <c r="F992" s="79"/>
      <c r="G992" s="79"/>
      <c r="H992" s="79"/>
      <c r="I992" s="79"/>
      <c r="J992" s="79"/>
      <c r="K992" s="79"/>
      <c r="L992" s="79"/>
    </row>
    <row r="993">
      <c r="A993" s="17"/>
      <c r="C993" s="79"/>
      <c r="D993" s="79"/>
      <c r="E993" s="79"/>
      <c r="F993" s="79"/>
      <c r="G993" s="79"/>
      <c r="H993" s="79"/>
      <c r="I993" s="79"/>
      <c r="J993" s="79"/>
      <c r="K993" s="79"/>
      <c r="L993" s="79"/>
    </row>
    <row r="994">
      <c r="A994" s="17"/>
      <c r="C994" s="79"/>
      <c r="D994" s="79"/>
      <c r="E994" s="79"/>
      <c r="F994" s="79"/>
      <c r="G994" s="79"/>
      <c r="H994" s="79"/>
      <c r="I994" s="79"/>
      <c r="J994" s="79"/>
      <c r="K994" s="79"/>
      <c r="L994" s="79"/>
    </row>
    <row r="995">
      <c r="A995" s="17"/>
      <c r="C995" s="79"/>
      <c r="D995" s="79"/>
      <c r="E995" s="79"/>
      <c r="F995" s="79"/>
      <c r="G995" s="79"/>
      <c r="H995" s="79"/>
      <c r="I995" s="79"/>
      <c r="J995" s="79"/>
      <c r="K995" s="79"/>
      <c r="L995" s="79"/>
    </row>
    <row r="996">
      <c r="A996" s="17"/>
      <c r="C996" s="79"/>
      <c r="D996" s="79"/>
      <c r="E996" s="79"/>
      <c r="F996" s="79"/>
      <c r="G996" s="79"/>
      <c r="H996" s="79"/>
      <c r="I996" s="79"/>
      <c r="J996" s="79"/>
      <c r="K996" s="79"/>
      <c r="L996" s="79"/>
    </row>
    <row r="997">
      <c r="A997" s="17"/>
      <c r="C997" s="79"/>
      <c r="D997" s="79"/>
      <c r="E997" s="79"/>
      <c r="F997" s="79"/>
      <c r="G997" s="79"/>
      <c r="H997" s="79"/>
      <c r="I997" s="79"/>
      <c r="J997" s="79"/>
      <c r="K997" s="79"/>
      <c r="L997" s="79"/>
    </row>
    <row r="998">
      <c r="A998" s="17"/>
      <c r="C998" s="79"/>
      <c r="D998" s="79"/>
      <c r="E998" s="79"/>
      <c r="F998" s="79"/>
      <c r="G998" s="79"/>
      <c r="H998" s="79"/>
      <c r="I998" s="79"/>
      <c r="J998" s="79"/>
      <c r="K998" s="79"/>
      <c r="L998" s="79"/>
    </row>
    <row r="999">
      <c r="A999" s="17"/>
      <c r="C999" s="79"/>
      <c r="D999" s="79"/>
      <c r="E999" s="79"/>
      <c r="F999" s="79"/>
      <c r="G999" s="79"/>
      <c r="H999" s="79"/>
      <c r="I999" s="79"/>
      <c r="J999" s="79"/>
      <c r="K999" s="79"/>
      <c r="L999" s="79"/>
    </row>
    <row r="1000">
      <c r="A1000" s="17"/>
      <c r="C1000" s="79"/>
      <c r="D1000" s="79"/>
      <c r="E1000" s="79"/>
      <c r="F1000" s="79"/>
      <c r="G1000" s="79"/>
      <c r="H1000" s="79"/>
      <c r="I1000" s="79"/>
      <c r="J1000" s="79"/>
      <c r="K1000" s="79"/>
      <c r="L1000" s="79"/>
    </row>
  </sheetData>
  <mergeCells count="8">
    <mergeCell ref="B15:B16"/>
    <mergeCell ref="C15:E15"/>
    <mergeCell ref="F15:H15"/>
    <mergeCell ref="I15:K15"/>
    <mergeCell ref="B38:B39"/>
    <mergeCell ref="C38:E38"/>
    <mergeCell ref="F38:H38"/>
    <mergeCell ref="I38:K38"/>
  </mergeCell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63"/>
    <col customWidth="1" min="3" max="3" width="11.88"/>
    <col customWidth="1" min="4" max="4" width="10.88"/>
    <col customWidth="1" min="5" max="11" width="5.88"/>
    <col customWidth="1" min="12" max="13" width="6.0"/>
    <col customWidth="1" min="15" max="15" width="17.63"/>
    <col customWidth="1" min="17" max="25" width="5.5"/>
  </cols>
  <sheetData>
    <row r="1">
      <c r="N1" s="102"/>
      <c r="O1" s="119"/>
    </row>
    <row r="2">
      <c r="N2" s="120"/>
      <c r="O2" s="121" t="s">
        <v>352</v>
      </c>
      <c r="P2" s="122" t="s">
        <v>353</v>
      </c>
      <c r="Q2" s="123">
        <f>E2</f>
        <v>2022</v>
      </c>
      <c r="T2" s="123">
        <f>H2</f>
        <v>2023</v>
      </c>
      <c r="W2" s="123">
        <f>K2</f>
        <v>2024</v>
      </c>
    </row>
    <row r="3">
      <c r="N3" s="120"/>
      <c r="Q3" s="124" t="s">
        <v>18</v>
      </c>
      <c r="R3" s="124" t="s">
        <v>24</v>
      </c>
      <c r="S3" s="124" t="s">
        <v>32</v>
      </c>
      <c r="T3" s="124" t="s">
        <v>18</v>
      </c>
      <c r="U3" s="124" t="s">
        <v>24</v>
      </c>
      <c r="V3" s="124" t="s">
        <v>32</v>
      </c>
      <c r="W3" s="124" t="s">
        <v>18</v>
      </c>
      <c r="X3" s="124" t="s">
        <v>24</v>
      </c>
      <c r="Y3" s="124" t="s">
        <v>32</v>
      </c>
    </row>
    <row r="4">
      <c r="N4" s="102"/>
      <c r="O4" s="125" t="str">
        <f>B4</f>
        <v>501432 PAPA FRANCISCO I</v>
      </c>
      <c r="P4" s="37" t="str">
        <f t="shared" ref="P4:P75" si="4">D4</f>
        <v>2 Primaria</v>
      </c>
      <c r="Q4" s="103">
        <f t="shared" ref="Q4:S4" si="1">E4/SUM($E4:$G4)</f>
        <v>1</v>
      </c>
      <c r="R4" s="103">
        <f t="shared" si="1"/>
        <v>0</v>
      </c>
      <c r="S4" s="103">
        <f t="shared" si="1"/>
        <v>0</v>
      </c>
      <c r="T4" s="103">
        <f t="shared" ref="T4:V4" si="2">H4/SUM($H4:$J4)</f>
        <v>1</v>
      </c>
      <c r="U4" s="103">
        <f t="shared" si="2"/>
        <v>0</v>
      </c>
      <c r="V4" s="103">
        <f t="shared" si="2"/>
        <v>0</v>
      </c>
      <c r="W4" s="103">
        <f t="shared" ref="W4:Y4" si="3">K4/SUM($K4:$M4)</f>
        <v>0.3333333333</v>
      </c>
      <c r="X4" s="103">
        <f t="shared" si="3"/>
        <v>0.6666666667</v>
      </c>
      <c r="Y4" s="103">
        <f t="shared" si="3"/>
        <v>0</v>
      </c>
    </row>
    <row r="5">
      <c r="N5" s="102"/>
      <c r="P5" s="37" t="str">
        <f t="shared" si="4"/>
        <v>4 Primaria</v>
      </c>
      <c r="Q5" s="103">
        <f t="shared" ref="Q5:S5" si="5">E5/SUM($E5:$G5)</f>
        <v>1</v>
      </c>
      <c r="R5" s="103">
        <f t="shared" si="5"/>
        <v>0</v>
      </c>
      <c r="S5" s="103">
        <f t="shared" si="5"/>
        <v>0</v>
      </c>
      <c r="T5" s="103">
        <f t="shared" ref="T5:V5" si="6">H5/SUM($H5:$J5)</f>
        <v>1</v>
      </c>
      <c r="U5" s="103">
        <f t="shared" si="6"/>
        <v>0</v>
      </c>
      <c r="V5" s="103">
        <f t="shared" si="6"/>
        <v>0</v>
      </c>
      <c r="W5" s="103">
        <f t="shared" ref="W5:Y5" si="7">K5/SUM($K5:$M5)</f>
        <v>0.5</v>
      </c>
      <c r="X5" s="103">
        <f t="shared" si="7"/>
        <v>0.5</v>
      </c>
      <c r="Y5" s="103">
        <f t="shared" si="7"/>
        <v>0</v>
      </c>
    </row>
    <row r="6">
      <c r="N6" s="102"/>
      <c r="P6" s="37" t="str">
        <f t="shared" si="4"/>
        <v>6 Primaria</v>
      </c>
      <c r="Q6" s="103">
        <f t="shared" ref="Q6:S6" si="8">E6/SUM($E6:$G6)</f>
        <v>0.88</v>
      </c>
      <c r="R6" s="103">
        <f t="shared" si="8"/>
        <v>0.12</v>
      </c>
      <c r="S6" s="103">
        <f t="shared" si="8"/>
        <v>0</v>
      </c>
      <c r="T6" s="103">
        <f t="shared" ref="T6:V6" si="9">H6/SUM($H6:$J6)</f>
        <v>1</v>
      </c>
      <c r="U6" s="103">
        <f t="shared" si="9"/>
        <v>0</v>
      </c>
      <c r="V6" s="103">
        <f t="shared" si="9"/>
        <v>0</v>
      </c>
      <c r="W6" s="103">
        <f t="shared" ref="W6:Y6" si="10">K6/SUM($K6:$M6)</f>
        <v>0.6666666667</v>
      </c>
      <c r="X6" s="103">
        <f t="shared" si="10"/>
        <v>0.3333333333</v>
      </c>
      <c r="Y6" s="103">
        <f t="shared" si="10"/>
        <v>0</v>
      </c>
    </row>
    <row r="7">
      <c r="N7" s="102"/>
      <c r="O7" s="125" t="str">
        <f>B7</f>
        <v>501455 CRISTO REY TTIKARIY</v>
      </c>
      <c r="P7" s="37" t="str">
        <f t="shared" si="4"/>
        <v>2 Primaria</v>
      </c>
      <c r="Q7" s="103">
        <f t="shared" ref="Q7:S7" si="11">E7/SUM($E7:$G7)</f>
        <v>0.75</v>
      </c>
      <c r="R7" s="103">
        <f t="shared" si="11"/>
        <v>0.25</v>
      </c>
      <c r="S7" s="103">
        <f t="shared" si="11"/>
        <v>0</v>
      </c>
      <c r="T7" s="103">
        <f t="shared" ref="T7:V7" si="12">H7/SUM($H7:$J7)</f>
        <v>0.625</v>
      </c>
      <c r="U7" s="103">
        <f t="shared" si="12"/>
        <v>0.375</v>
      </c>
      <c r="V7" s="103">
        <f t="shared" si="12"/>
        <v>0</v>
      </c>
      <c r="W7" s="103">
        <f t="shared" ref="W7:Y7" si="13">K7/SUM($K7:$M7)</f>
        <v>0.3333333333</v>
      </c>
      <c r="X7" s="103">
        <f t="shared" si="13"/>
        <v>0.6666666667</v>
      </c>
      <c r="Y7" s="103">
        <f t="shared" si="13"/>
        <v>0</v>
      </c>
    </row>
    <row r="8">
      <c r="N8" s="102"/>
      <c r="P8" s="37" t="str">
        <f t="shared" si="4"/>
        <v>4 Primaria</v>
      </c>
      <c r="Q8" s="103">
        <f t="shared" ref="Q8:S8" si="14">E8/SUM($E8:$G8)</f>
        <v>0.83</v>
      </c>
      <c r="R8" s="103">
        <f t="shared" si="14"/>
        <v>0.17</v>
      </c>
      <c r="S8" s="103">
        <f t="shared" si="14"/>
        <v>0</v>
      </c>
      <c r="T8" s="103">
        <f t="shared" ref="T8:V8" si="15">H8/SUM($H8:$J8)</f>
        <v>0.75</v>
      </c>
      <c r="U8" s="103">
        <f t="shared" si="15"/>
        <v>0.25</v>
      </c>
      <c r="V8" s="103">
        <f t="shared" si="15"/>
        <v>0</v>
      </c>
      <c r="W8" s="103">
        <f t="shared" ref="W8:Y8" si="16">K8/SUM($K8:$M8)</f>
        <v>0.3333333333</v>
      </c>
      <c r="X8" s="103">
        <f t="shared" si="16"/>
        <v>0.6666666667</v>
      </c>
      <c r="Y8" s="103">
        <f t="shared" si="16"/>
        <v>0</v>
      </c>
    </row>
    <row r="9">
      <c r="N9" s="102"/>
      <c r="P9" s="37" t="str">
        <f t="shared" si="4"/>
        <v>6 Primaria</v>
      </c>
      <c r="Q9" s="103">
        <f t="shared" ref="Q9:S9" si="17">E9/SUM($E9:$G9)</f>
        <v>1</v>
      </c>
      <c r="R9" s="103">
        <f t="shared" si="17"/>
        <v>0</v>
      </c>
      <c r="S9" s="103">
        <f t="shared" si="17"/>
        <v>0</v>
      </c>
      <c r="T9" s="103">
        <f t="shared" ref="T9:V9" si="18">H9/SUM($H9:$J9)</f>
        <v>0.6666666667</v>
      </c>
      <c r="U9" s="103">
        <f t="shared" si="18"/>
        <v>0.3333333333</v>
      </c>
      <c r="V9" s="103">
        <f t="shared" si="18"/>
        <v>0</v>
      </c>
      <c r="W9" s="103">
        <f t="shared" ref="W9:Y9" si="19">K9/SUM($K9:$M9)</f>
        <v>0.3333333333</v>
      </c>
      <c r="X9" s="103">
        <f t="shared" si="19"/>
        <v>0.6666666667</v>
      </c>
      <c r="Y9" s="103">
        <f t="shared" si="19"/>
        <v>0</v>
      </c>
    </row>
    <row r="10">
      <c r="N10" s="102"/>
      <c r="O10" s="125" t="str">
        <f>B10</f>
        <v>50492 CORAZON DE JESUS</v>
      </c>
      <c r="P10" s="37" t="str">
        <f t="shared" si="4"/>
        <v>2 Primaria</v>
      </c>
      <c r="Q10" s="103">
        <f t="shared" ref="Q10:S10" si="20">E10/SUM($E10:$G10)</f>
        <v>0.77</v>
      </c>
      <c r="R10" s="103">
        <f t="shared" si="20"/>
        <v>0.2</v>
      </c>
      <c r="S10" s="103">
        <f t="shared" si="20"/>
        <v>0.03</v>
      </c>
      <c r="T10" s="103">
        <f t="shared" ref="T10:V10" si="21">H10/SUM($H10:$J10)</f>
        <v>0.4634146341</v>
      </c>
      <c r="U10" s="103">
        <f t="shared" si="21"/>
        <v>0.3170731707</v>
      </c>
      <c r="V10" s="103">
        <f t="shared" si="21"/>
        <v>0.2195121951</v>
      </c>
      <c r="W10" s="103">
        <f t="shared" ref="W10:Y10" si="22">K10/SUM($K10:$M10)</f>
        <v>0.2857142857</v>
      </c>
      <c r="X10" s="103">
        <f t="shared" si="22"/>
        <v>0.4285714286</v>
      </c>
      <c r="Y10" s="103">
        <f t="shared" si="22"/>
        <v>0.2857142857</v>
      </c>
    </row>
    <row r="11">
      <c r="N11" s="102"/>
      <c r="P11" s="37" t="str">
        <f t="shared" si="4"/>
        <v>4 Primaria</v>
      </c>
      <c r="Q11" s="103">
        <f t="shared" ref="Q11:S11" si="23">E11/SUM($E11:$G11)</f>
        <v>0.8</v>
      </c>
      <c r="R11" s="103">
        <f t="shared" si="23"/>
        <v>0.15</v>
      </c>
      <c r="S11" s="103">
        <f t="shared" si="23"/>
        <v>0.05</v>
      </c>
      <c r="T11" s="103">
        <f t="shared" ref="T11:V11" si="24">H11/SUM($H11:$J11)</f>
        <v>0.4444444444</v>
      </c>
      <c r="U11" s="103">
        <f t="shared" si="24"/>
        <v>0.4444444444</v>
      </c>
      <c r="V11" s="103">
        <f t="shared" si="24"/>
        <v>0.1111111111</v>
      </c>
      <c r="W11" s="103">
        <f t="shared" ref="W11:Y11" si="25">K11/SUM($K11:$M11)</f>
        <v>0.4</v>
      </c>
      <c r="X11" s="103">
        <f t="shared" si="25"/>
        <v>0.4</v>
      </c>
      <c r="Y11" s="103">
        <f t="shared" si="25"/>
        <v>0.2</v>
      </c>
    </row>
    <row r="12">
      <c r="N12" s="102"/>
      <c r="P12" s="37" t="str">
        <f t="shared" si="4"/>
        <v>6 Primaria</v>
      </c>
      <c r="Q12" s="103">
        <f t="shared" ref="Q12:S12" si="26">E12/SUM($E12:$G12)</f>
        <v>0.68</v>
      </c>
      <c r="R12" s="103">
        <f t="shared" si="26"/>
        <v>0.31</v>
      </c>
      <c r="S12" s="103">
        <f t="shared" si="26"/>
        <v>0.01</v>
      </c>
      <c r="T12" s="103">
        <f t="shared" ref="T12:V12" si="27">H12/SUM($H12:$J12)</f>
        <v>0.36</v>
      </c>
      <c r="U12" s="103">
        <f t="shared" si="27"/>
        <v>0.52</v>
      </c>
      <c r="V12" s="103">
        <f t="shared" si="27"/>
        <v>0.12</v>
      </c>
      <c r="W12" s="103">
        <f t="shared" ref="W12:Y12" si="28">K12/SUM($K12:$M12)</f>
        <v>0.1904761905</v>
      </c>
      <c r="X12" s="103">
        <f t="shared" si="28"/>
        <v>0.4761904762</v>
      </c>
      <c r="Y12" s="103">
        <f t="shared" si="28"/>
        <v>0.3333333333</v>
      </c>
    </row>
    <row r="13">
      <c r="N13" s="102"/>
      <c r="O13" s="125" t="str">
        <f>B13</f>
        <v>50495</v>
      </c>
      <c r="P13" s="37" t="str">
        <f t="shared" si="4"/>
        <v>2 Primaria</v>
      </c>
      <c r="Q13" s="103">
        <f t="shared" ref="Q13:S13" si="29">E13/SUM($E13:$G13)</f>
        <v>1</v>
      </c>
      <c r="R13" s="103">
        <f t="shared" si="29"/>
        <v>0</v>
      </c>
      <c r="S13" s="103">
        <f t="shared" si="29"/>
        <v>0</v>
      </c>
      <c r="T13" s="103">
        <f t="shared" ref="T13:V13" si="30">H13/SUM($H13:$J13)</f>
        <v>0.4444444444</v>
      </c>
      <c r="U13" s="103">
        <f t="shared" si="30"/>
        <v>0.5555555556</v>
      </c>
      <c r="V13" s="103">
        <f t="shared" si="30"/>
        <v>0</v>
      </c>
      <c r="W13" s="103">
        <f t="shared" ref="W13:Y13" si="31">K13/SUM($K13:$M13)</f>
        <v>1</v>
      </c>
      <c r="X13" s="103">
        <f t="shared" si="31"/>
        <v>0</v>
      </c>
      <c r="Y13" s="103">
        <f t="shared" si="31"/>
        <v>0</v>
      </c>
    </row>
    <row r="14">
      <c r="N14" s="102"/>
      <c r="P14" s="37" t="str">
        <f t="shared" si="4"/>
        <v>4 Primaria</v>
      </c>
      <c r="Q14" s="103">
        <f t="shared" ref="Q14:S14" si="32">E14/SUM($E14:$G14)</f>
        <v>1</v>
      </c>
      <c r="R14" s="103">
        <f t="shared" si="32"/>
        <v>0</v>
      </c>
      <c r="S14" s="103">
        <f t="shared" si="32"/>
        <v>0</v>
      </c>
      <c r="T14" s="103">
        <f t="shared" ref="T14:V14" si="33">H14/SUM($H14:$J14)</f>
        <v>0.2857142857</v>
      </c>
      <c r="U14" s="103">
        <f t="shared" si="33"/>
        <v>0.2857142857</v>
      </c>
      <c r="V14" s="103">
        <f t="shared" si="33"/>
        <v>0.4285714286</v>
      </c>
      <c r="W14" s="103">
        <f t="shared" ref="W14:Y14" si="34">K14/SUM($K14:$M14)</f>
        <v>1</v>
      </c>
      <c r="X14" s="103">
        <f t="shared" si="34"/>
        <v>0</v>
      </c>
      <c r="Y14" s="103">
        <f t="shared" si="34"/>
        <v>0</v>
      </c>
    </row>
    <row r="15">
      <c r="N15" s="102"/>
      <c r="P15" s="37" t="str">
        <f t="shared" si="4"/>
        <v>6 Primaria</v>
      </c>
      <c r="Q15" s="103">
        <f t="shared" ref="Q15:S15" si="35">E15/SUM($E15:$G15)</f>
        <v>1</v>
      </c>
      <c r="R15" s="103">
        <f t="shared" si="35"/>
        <v>0</v>
      </c>
      <c r="S15" s="103">
        <f t="shared" si="35"/>
        <v>0</v>
      </c>
      <c r="T15" s="103">
        <f t="shared" ref="T15:V15" si="36">H15/SUM($H15:$J15)</f>
        <v>0.1111111111</v>
      </c>
      <c r="U15" s="103">
        <f t="shared" si="36"/>
        <v>0.7777777778</v>
      </c>
      <c r="V15" s="103">
        <f t="shared" si="36"/>
        <v>0.1111111111</v>
      </c>
      <c r="W15" s="103">
        <f t="shared" ref="W15:Y15" si="37">K15/SUM($K15:$M15)</f>
        <v>0</v>
      </c>
      <c r="X15" s="103">
        <f t="shared" si="37"/>
        <v>0.6666666667</v>
      </c>
      <c r="Y15" s="103">
        <f t="shared" si="37"/>
        <v>0.3333333333</v>
      </c>
    </row>
    <row r="16">
      <c r="N16" s="102"/>
      <c r="O16" s="125" t="str">
        <f>B16</f>
        <v>50547</v>
      </c>
      <c r="P16" s="37" t="str">
        <f t="shared" si="4"/>
        <v>2 Primaria</v>
      </c>
      <c r="Q16" s="103">
        <f t="shared" ref="Q16:S16" si="38">E16/SUM($E16:$G16)</f>
        <v>0.78</v>
      </c>
      <c r="R16" s="103">
        <f t="shared" si="38"/>
        <v>0.22</v>
      </c>
      <c r="S16" s="103">
        <f t="shared" si="38"/>
        <v>0</v>
      </c>
      <c r="T16" s="103">
        <f t="shared" ref="T16:V16" si="39">H16/SUM($H16:$J16)</f>
        <v>0</v>
      </c>
      <c r="U16" s="103">
        <f t="shared" si="39"/>
        <v>0.8</v>
      </c>
      <c r="V16" s="103">
        <f t="shared" si="39"/>
        <v>0.2</v>
      </c>
      <c r="W16" s="103">
        <f t="shared" ref="W16:Y16" si="40">K16/SUM($K16:$M16)</f>
        <v>0.6666666667</v>
      </c>
      <c r="X16" s="103">
        <f t="shared" si="40"/>
        <v>0.3333333333</v>
      </c>
      <c r="Y16" s="103">
        <f t="shared" si="40"/>
        <v>0</v>
      </c>
    </row>
    <row r="17">
      <c r="N17" s="102"/>
      <c r="P17" s="37" t="str">
        <f t="shared" si="4"/>
        <v>4 Primaria</v>
      </c>
      <c r="Q17" s="103">
        <f t="shared" ref="Q17:S17" si="41">E17/SUM($E17:$G17)</f>
        <v>0.71</v>
      </c>
      <c r="R17" s="103">
        <f t="shared" si="41"/>
        <v>0.29</v>
      </c>
      <c r="S17" s="103">
        <f t="shared" si="41"/>
        <v>0</v>
      </c>
      <c r="T17" s="103">
        <f t="shared" ref="T17:V17" si="42">H17/SUM($H17:$J17)</f>
        <v>0.875</v>
      </c>
      <c r="U17" s="103">
        <f t="shared" si="42"/>
        <v>0.125</v>
      </c>
      <c r="V17" s="103">
        <f t="shared" si="42"/>
        <v>0</v>
      </c>
      <c r="W17" s="103">
        <f t="shared" ref="W17:Y17" si="43">K17/SUM($K17:$M17)</f>
        <v>0.3333333333</v>
      </c>
      <c r="X17" s="103">
        <f t="shared" si="43"/>
        <v>0.6666666667</v>
      </c>
      <c r="Y17" s="103">
        <f t="shared" si="43"/>
        <v>0</v>
      </c>
    </row>
    <row r="18">
      <c r="N18" s="102"/>
      <c r="P18" s="37" t="str">
        <f t="shared" si="4"/>
        <v>6 Primaria</v>
      </c>
      <c r="Q18" s="103">
        <f t="shared" ref="Q18:S18" si="44">E18/SUM($E18:$G18)</f>
        <v>0.92</v>
      </c>
      <c r="R18" s="103">
        <f t="shared" si="44"/>
        <v>0.08</v>
      </c>
      <c r="S18" s="103">
        <f t="shared" si="44"/>
        <v>0</v>
      </c>
      <c r="T18" s="103">
        <f t="shared" ref="T18:V18" si="45">H18/SUM($H18:$J18)</f>
        <v>0.6</v>
      </c>
      <c r="U18" s="103">
        <f t="shared" si="45"/>
        <v>0.3</v>
      </c>
      <c r="V18" s="103">
        <f t="shared" si="45"/>
        <v>0.1</v>
      </c>
      <c r="W18" s="103">
        <f t="shared" ref="W18:Y18" si="46">K18/SUM($K18:$M18)</f>
        <v>0.3333333333</v>
      </c>
      <c r="X18" s="103">
        <f t="shared" si="46"/>
        <v>0.6666666667</v>
      </c>
      <c r="Y18" s="103">
        <f t="shared" si="46"/>
        <v>0</v>
      </c>
    </row>
    <row r="19">
      <c r="N19" s="102"/>
      <c r="O19" s="125" t="str">
        <f>B19</f>
        <v>50550</v>
      </c>
      <c r="P19" s="37" t="str">
        <f t="shared" si="4"/>
        <v>2 Primaria</v>
      </c>
      <c r="Q19" s="103">
        <f t="shared" ref="Q19:S19" si="47">E19/SUM($E19:$G19)</f>
        <v>1</v>
      </c>
      <c r="R19" s="103">
        <f t="shared" si="47"/>
        <v>0</v>
      </c>
      <c r="S19" s="103">
        <f t="shared" si="47"/>
        <v>0</v>
      </c>
      <c r="T19" s="103">
        <f t="shared" ref="T19:V19" si="48">H19/SUM($H19:$J19)</f>
        <v>0.6666666667</v>
      </c>
      <c r="U19" s="103">
        <f t="shared" si="48"/>
        <v>0.3333333333</v>
      </c>
      <c r="V19" s="103">
        <f t="shared" si="48"/>
        <v>0</v>
      </c>
      <c r="W19" s="103">
        <f t="shared" ref="W19:Y19" si="49">K19/SUM($K19:$M19)</f>
        <v>0</v>
      </c>
      <c r="X19" s="103">
        <f t="shared" si="49"/>
        <v>1</v>
      </c>
      <c r="Y19" s="103">
        <f t="shared" si="49"/>
        <v>0</v>
      </c>
    </row>
    <row r="20">
      <c r="N20" s="102"/>
      <c r="P20" s="37" t="str">
        <f t="shared" si="4"/>
        <v>4 Primaria</v>
      </c>
      <c r="Q20" s="103">
        <f t="shared" ref="Q20:S20" si="50">E20/SUM($E20:$G20)</f>
        <v>1</v>
      </c>
      <c r="R20" s="103">
        <f t="shared" si="50"/>
        <v>0</v>
      </c>
      <c r="S20" s="103">
        <f t="shared" si="50"/>
        <v>0</v>
      </c>
      <c r="T20" s="103">
        <f t="shared" ref="T20:V20" si="51">H20/SUM($H20:$J20)</f>
        <v>1</v>
      </c>
      <c r="U20" s="103">
        <f t="shared" si="51"/>
        <v>0</v>
      </c>
      <c r="V20" s="103">
        <f t="shared" si="51"/>
        <v>0</v>
      </c>
      <c r="W20" s="103">
        <f t="shared" ref="W20:Y20" si="52">K20/SUM($K20:$M20)</f>
        <v>1</v>
      </c>
      <c r="X20" s="103">
        <f t="shared" si="52"/>
        <v>0</v>
      </c>
      <c r="Y20" s="103">
        <f t="shared" si="52"/>
        <v>0</v>
      </c>
    </row>
    <row r="21">
      <c r="N21" s="102"/>
      <c r="P21" s="37" t="str">
        <f t="shared" si="4"/>
        <v>6 Primaria</v>
      </c>
      <c r="Q21" s="103">
        <f t="shared" ref="Q21:S21" si="53">E21/SUM($E21:$G21)</f>
        <v>1</v>
      </c>
      <c r="R21" s="103">
        <f t="shared" si="53"/>
        <v>0</v>
      </c>
      <c r="S21" s="103">
        <f t="shared" si="53"/>
        <v>0</v>
      </c>
      <c r="T21" s="103">
        <f t="shared" ref="T21:V21" si="54">H21/SUM($H21:$J21)</f>
        <v>0.4285714286</v>
      </c>
      <c r="U21" s="103">
        <f t="shared" si="54"/>
        <v>0.5714285714</v>
      </c>
      <c r="V21" s="103">
        <f t="shared" si="54"/>
        <v>0</v>
      </c>
      <c r="W21" s="103">
        <f t="shared" ref="W21:Y21" si="55">K21/SUM($K21:$M21)</f>
        <v>0</v>
      </c>
      <c r="X21" s="103">
        <f t="shared" si="55"/>
        <v>1</v>
      </c>
      <c r="Y21" s="103">
        <f t="shared" si="55"/>
        <v>0</v>
      </c>
    </row>
    <row r="22">
      <c r="N22" s="102"/>
      <c r="O22" s="125" t="str">
        <f>B22</f>
        <v>50553</v>
      </c>
      <c r="P22" s="37" t="str">
        <f t="shared" si="4"/>
        <v>2 Primaria</v>
      </c>
      <c r="Q22" s="103">
        <f t="shared" ref="Q22:S22" si="56">E22/SUM($E22:$G22)</f>
        <v>1</v>
      </c>
      <c r="R22" s="103">
        <f t="shared" si="56"/>
        <v>0</v>
      </c>
      <c r="S22" s="103">
        <f t="shared" si="56"/>
        <v>0</v>
      </c>
      <c r="T22" s="103">
        <f t="shared" ref="T22:V22" si="57">H22/SUM($H22:$J22)</f>
        <v>0</v>
      </c>
      <c r="U22" s="103">
        <f t="shared" si="57"/>
        <v>1</v>
      </c>
      <c r="V22" s="103">
        <f t="shared" si="57"/>
        <v>0</v>
      </c>
      <c r="W22" s="103">
        <f t="shared" ref="W22:Y22" si="58">K22/SUM($K22:$M22)</f>
        <v>1</v>
      </c>
      <c r="X22" s="103">
        <f t="shared" si="58"/>
        <v>0</v>
      </c>
      <c r="Y22" s="103">
        <f t="shared" si="58"/>
        <v>0</v>
      </c>
    </row>
    <row r="23">
      <c r="N23" s="102"/>
      <c r="P23" s="37" t="str">
        <f t="shared" si="4"/>
        <v>4 Primaria</v>
      </c>
      <c r="Q23" s="103">
        <f t="shared" ref="Q23:S23" si="59">E23/SUM($E23:$G23)</f>
        <v>1</v>
      </c>
      <c r="R23" s="103">
        <f t="shared" si="59"/>
        <v>0</v>
      </c>
      <c r="S23" s="103">
        <f t="shared" si="59"/>
        <v>0</v>
      </c>
      <c r="T23" s="103">
        <f t="shared" ref="T23:V23" si="60">H23/SUM($H23:$J23)</f>
        <v>1</v>
      </c>
      <c r="U23" s="103">
        <f t="shared" si="60"/>
        <v>0</v>
      </c>
      <c r="V23" s="103">
        <f t="shared" si="60"/>
        <v>0</v>
      </c>
      <c r="W23" s="103">
        <f t="shared" ref="W23:Y23" si="61">K23/SUM($K23:$M23)</f>
        <v>1</v>
      </c>
      <c r="X23" s="103">
        <f t="shared" si="61"/>
        <v>0</v>
      </c>
      <c r="Y23" s="103">
        <f t="shared" si="61"/>
        <v>0</v>
      </c>
    </row>
    <row r="24">
      <c r="N24" s="102"/>
      <c r="P24" s="37" t="str">
        <f t="shared" si="4"/>
        <v>6 Primaria</v>
      </c>
      <c r="Q24" s="103">
        <f t="shared" ref="Q24:S24" si="62">E24/SUM($E24:$G24)</f>
        <v>0.8</v>
      </c>
      <c r="R24" s="103">
        <f t="shared" si="62"/>
        <v>0.2</v>
      </c>
      <c r="S24" s="103">
        <f t="shared" si="62"/>
        <v>0</v>
      </c>
      <c r="T24" s="103">
        <f t="shared" ref="T24:V24" si="63">H24/SUM($H24:$J24)</f>
        <v>0.5</v>
      </c>
      <c r="U24" s="103">
        <f t="shared" si="63"/>
        <v>0.5</v>
      </c>
      <c r="V24" s="103">
        <f t="shared" si="63"/>
        <v>0</v>
      </c>
      <c r="W24" s="103">
        <f t="shared" ref="W24:Y24" si="64">K24/SUM($K24:$M24)</f>
        <v>0</v>
      </c>
      <c r="X24" s="103">
        <f t="shared" si="64"/>
        <v>1</v>
      </c>
      <c r="Y24" s="103">
        <f t="shared" si="64"/>
        <v>0</v>
      </c>
    </row>
    <row r="25">
      <c r="N25" s="102"/>
      <c r="O25" s="125" t="str">
        <f>B25</f>
        <v>50715</v>
      </c>
      <c r="P25" s="37" t="str">
        <f t="shared" si="4"/>
        <v>2 Primaria</v>
      </c>
      <c r="Q25" s="103">
        <f t="shared" ref="Q25:S25" si="65">E25/SUM($E25:$G25)</f>
        <v>1</v>
      </c>
      <c r="R25" s="103">
        <f t="shared" si="65"/>
        <v>0</v>
      </c>
      <c r="S25" s="103">
        <f t="shared" si="65"/>
        <v>0</v>
      </c>
      <c r="T25" s="103">
        <f t="shared" ref="T25:V25" si="66">H25/SUM($H25:$J25)</f>
        <v>0.5</v>
      </c>
      <c r="U25" s="103">
        <f t="shared" si="66"/>
        <v>0.5</v>
      </c>
      <c r="V25" s="103">
        <f t="shared" si="66"/>
        <v>0</v>
      </c>
      <c r="W25" s="103">
        <f t="shared" ref="W25:Y25" si="67">K25/SUM($K25:$M25)</f>
        <v>0</v>
      </c>
      <c r="X25" s="103">
        <f t="shared" si="67"/>
        <v>1</v>
      </c>
      <c r="Y25" s="103">
        <f t="shared" si="67"/>
        <v>0</v>
      </c>
    </row>
    <row r="26">
      <c r="N26" s="102"/>
      <c r="P26" s="37" t="str">
        <f t="shared" si="4"/>
        <v>4 Primaria</v>
      </c>
      <c r="Q26" s="103">
        <f t="shared" ref="Q26:S26" si="68">E26/SUM($E26:$G26)</f>
        <v>1</v>
      </c>
      <c r="R26" s="103">
        <f t="shared" si="68"/>
        <v>0</v>
      </c>
      <c r="S26" s="103">
        <f t="shared" si="68"/>
        <v>0</v>
      </c>
      <c r="T26" s="103">
        <f t="shared" ref="T26:V26" si="69">H26/SUM($H26:$J26)</f>
        <v>0</v>
      </c>
      <c r="U26" s="103">
        <f t="shared" si="69"/>
        <v>1</v>
      </c>
      <c r="V26" s="103">
        <f t="shared" si="69"/>
        <v>0</v>
      </c>
      <c r="W26" s="103">
        <f t="shared" ref="W26:Y26" si="70">K26/SUM($K26:$M26)</f>
        <v>0</v>
      </c>
      <c r="X26" s="103">
        <f t="shared" si="70"/>
        <v>1</v>
      </c>
      <c r="Y26" s="103">
        <f t="shared" si="70"/>
        <v>0</v>
      </c>
    </row>
    <row r="27">
      <c r="N27" s="102"/>
      <c r="P27" s="37" t="str">
        <f t="shared" si="4"/>
        <v>6 Primaria</v>
      </c>
      <c r="Q27" s="103">
        <f t="shared" ref="Q27:S27" si="71">E27/SUM($E27:$G27)</f>
        <v>1</v>
      </c>
      <c r="R27" s="103">
        <f t="shared" si="71"/>
        <v>0</v>
      </c>
      <c r="S27" s="103">
        <f t="shared" si="71"/>
        <v>0</v>
      </c>
      <c r="T27" s="103">
        <f t="shared" ref="T27:V27" si="72">H27/SUM($H27:$J27)</f>
        <v>0.5</v>
      </c>
      <c r="U27" s="103">
        <f t="shared" si="72"/>
        <v>0.5</v>
      </c>
      <c r="V27" s="103">
        <f t="shared" si="72"/>
        <v>0</v>
      </c>
      <c r="W27" s="103">
        <f t="shared" ref="W27:Y27" si="73">K27/SUM($K27:$M27)</f>
        <v>0</v>
      </c>
      <c r="X27" s="103">
        <f t="shared" si="73"/>
        <v>1</v>
      </c>
      <c r="Y27" s="103">
        <f t="shared" si="73"/>
        <v>0</v>
      </c>
    </row>
    <row r="28">
      <c r="N28" s="102"/>
      <c r="O28" s="125" t="str">
        <f>B28</f>
        <v>50765</v>
      </c>
      <c r="P28" s="37" t="str">
        <f t="shared" si="4"/>
        <v>2 Primaria</v>
      </c>
      <c r="Q28" s="103">
        <f t="shared" ref="Q28:S28" si="74">E28/SUM($E28:$G28)</f>
        <v>0.5</v>
      </c>
      <c r="R28" s="103">
        <f t="shared" si="74"/>
        <v>0.5</v>
      </c>
      <c r="S28" s="103">
        <f t="shared" si="74"/>
        <v>0</v>
      </c>
      <c r="T28" s="103">
        <f t="shared" ref="T28:V28" si="75">H28/SUM($H28:$J28)</f>
        <v>0.3333333333</v>
      </c>
      <c r="U28" s="103">
        <f t="shared" si="75"/>
        <v>0.6666666667</v>
      </c>
      <c r="V28" s="103">
        <f t="shared" si="75"/>
        <v>0</v>
      </c>
      <c r="W28" s="103">
        <f t="shared" ref="W28:Y28" si="76">K28/SUM($K28:$M28)</f>
        <v>0</v>
      </c>
      <c r="X28" s="103">
        <f t="shared" si="76"/>
        <v>1</v>
      </c>
      <c r="Y28" s="103">
        <f t="shared" si="76"/>
        <v>0</v>
      </c>
    </row>
    <row r="29">
      <c r="N29" s="102"/>
      <c r="P29" s="37" t="str">
        <f t="shared" si="4"/>
        <v>4 Primaria</v>
      </c>
      <c r="Q29" s="103">
        <f t="shared" ref="Q29:S29" si="77">E29/SUM($E29:$G29)</f>
        <v>1</v>
      </c>
      <c r="R29" s="103">
        <f t="shared" si="77"/>
        <v>0</v>
      </c>
      <c r="S29" s="103">
        <f t="shared" si="77"/>
        <v>0</v>
      </c>
      <c r="T29" s="103">
        <f t="shared" ref="T29:V29" si="78">H29/SUM($H29:$J29)</f>
        <v>0.75</v>
      </c>
      <c r="U29" s="103">
        <f t="shared" si="78"/>
        <v>0.25</v>
      </c>
      <c r="V29" s="103">
        <f t="shared" si="78"/>
        <v>0</v>
      </c>
      <c r="W29" s="103">
        <f t="shared" ref="W29:Y29" si="79">K29/SUM($K29:$M29)</f>
        <v>0.5</v>
      </c>
      <c r="X29" s="103">
        <f t="shared" si="79"/>
        <v>0.5</v>
      </c>
      <c r="Y29" s="103">
        <f t="shared" si="79"/>
        <v>0</v>
      </c>
    </row>
    <row r="30">
      <c r="N30" s="102"/>
      <c r="P30" s="37" t="str">
        <f t="shared" si="4"/>
        <v>6 Primaria</v>
      </c>
      <c r="Q30" s="103">
        <f t="shared" ref="Q30:S30" si="80">E30/SUM($E30:$G30)</f>
        <v>1</v>
      </c>
      <c r="R30" s="103">
        <f t="shared" si="80"/>
        <v>0</v>
      </c>
      <c r="S30" s="103">
        <f t="shared" si="80"/>
        <v>0</v>
      </c>
      <c r="T30" s="103">
        <f t="shared" ref="T30:V30" si="81">H30/SUM($H30:$J30)</f>
        <v>0.5</v>
      </c>
      <c r="U30" s="103">
        <f t="shared" si="81"/>
        <v>0.5</v>
      </c>
      <c r="V30" s="103">
        <f t="shared" si="81"/>
        <v>0</v>
      </c>
      <c r="W30" s="103">
        <f t="shared" ref="W30:Y30" si="82">K30/SUM($K30:$M30)</f>
        <v>0.5</v>
      </c>
      <c r="X30" s="103">
        <f t="shared" si="82"/>
        <v>0.5</v>
      </c>
      <c r="Y30" s="103">
        <f t="shared" si="82"/>
        <v>0</v>
      </c>
    </row>
    <row r="31">
      <c r="N31" s="102"/>
      <c r="O31" s="125" t="str">
        <f>B31</f>
        <v>50977</v>
      </c>
      <c r="P31" s="37" t="str">
        <f t="shared" si="4"/>
        <v>2 Primaria</v>
      </c>
      <c r="Q31" s="103">
        <f t="shared" ref="Q31:S31" si="83">E31/SUM($E31:$G31)</f>
        <v>0.71</v>
      </c>
      <c r="R31" s="103">
        <f t="shared" si="83"/>
        <v>0.29</v>
      </c>
      <c r="S31" s="103">
        <f t="shared" si="83"/>
        <v>0</v>
      </c>
      <c r="T31" s="103">
        <f t="shared" ref="T31:V31" si="84">H31/SUM($H31:$J31)</f>
        <v>0.8</v>
      </c>
      <c r="U31" s="103">
        <f t="shared" si="84"/>
        <v>0.2</v>
      </c>
      <c r="V31" s="103">
        <f t="shared" si="84"/>
        <v>0</v>
      </c>
      <c r="W31" s="103">
        <f t="shared" ref="W31:Y31" si="85">K31/SUM($K31:$M31)</f>
        <v>0</v>
      </c>
      <c r="X31" s="103">
        <f t="shared" si="85"/>
        <v>1</v>
      </c>
      <c r="Y31" s="103">
        <f t="shared" si="85"/>
        <v>0</v>
      </c>
    </row>
    <row r="32">
      <c r="N32" s="102"/>
      <c r="P32" s="37" t="str">
        <f t="shared" si="4"/>
        <v>4 Primaria</v>
      </c>
      <c r="Q32" s="103">
        <f t="shared" ref="Q32:S32" si="86">E32/SUM($E32:$G32)</f>
        <v>1</v>
      </c>
      <c r="R32" s="103">
        <f t="shared" si="86"/>
        <v>0</v>
      </c>
      <c r="S32" s="103">
        <f t="shared" si="86"/>
        <v>0</v>
      </c>
      <c r="T32" s="103">
        <f t="shared" ref="T32:V32" si="87">H32/SUM($H32:$J32)</f>
        <v>0.625</v>
      </c>
      <c r="U32" s="103">
        <f t="shared" si="87"/>
        <v>0.25</v>
      </c>
      <c r="V32" s="103">
        <f t="shared" si="87"/>
        <v>0.125</v>
      </c>
      <c r="W32" s="103">
        <f t="shared" ref="W32:Y32" si="88">K32/SUM($K32:$M32)</f>
        <v>1</v>
      </c>
      <c r="X32" s="103">
        <f t="shared" si="88"/>
        <v>0</v>
      </c>
      <c r="Y32" s="103">
        <f t="shared" si="88"/>
        <v>0</v>
      </c>
    </row>
    <row r="33">
      <c r="N33" s="102"/>
      <c r="P33" s="37" t="str">
        <f t="shared" si="4"/>
        <v>6 Primaria</v>
      </c>
      <c r="Q33" s="103">
        <f t="shared" ref="Q33:S33" si="89">E33/SUM($E33:$G33)</f>
        <v>0.67</v>
      </c>
      <c r="R33" s="103">
        <f t="shared" si="89"/>
        <v>0.33</v>
      </c>
      <c r="S33" s="103">
        <f t="shared" si="89"/>
        <v>0</v>
      </c>
      <c r="T33" s="103">
        <f t="shared" ref="T33:V33" si="90">H33/SUM($H33:$J33)</f>
        <v>0.3333333333</v>
      </c>
      <c r="U33" s="103">
        <f t="shared" si="90"/>
        <v>0.5555555556</v>
      </c>
      <c r="V33" s="103">
        <f t="shared" si="90"/>
        <v>0.1111111111</v>
      </c>
      <c r="W33" s="103">
        <f t="shared" ref="W33:Y33" si="91">K33/SUM($K33:$M33)</f>
        <v>0</v>
      </c>
      <c r="X33" s="103">
        <f t="shared" si="91"/>
        <v>1</v>
      </c>
      <c r="Y33" s="103">
        <f t="shared" si="91"/>
        <v>0</v>
      </c>
    </row>
    <row r="34">
      <c r="N34" s="102"/>
      <c r="O34" s="119" t="str">
        <f t="shared" ref="O34:O35" si="95">B34</f>
        <v/>
      </c>
      <c r="P34" s="37" t="str">
        <f t="shared" si="4"/>
        <v/>
      </c>
      <c r="Q34" s="103">
        <f t="shared" ref="Q34:S34" si="92">E34/SUM($E34:$G34)</f>
        <v>0.7560386473</v>
      </c>
      <c r="R34" s="103">
        <f t="shared" si="92"/>
        <v>0.2330917874</v>
      </c>
      <c r="S34" s="103">
        <f t="shared" si="92"/>
        <v>0.01086956522</v>
      </c>
      <c r="T34" s="103">
        <f t="shared" ref="T34:V34" si="93">H34/SUM($H34:$J34)</f>
        <v>0.508650519</v>
      </c>
      <c r="U34" s="103">
        <f t="shared" si="93"/>
        <v>0.3944636678</v>
      </c>
      <c r="V34" s="103">
        <f t="shared" si="93"/>
        <v>0.09688581315</v>
      </c>
      <c r="W34" s="103">
        <f t="shared" ref="W34:Y34" si="94">K34/SUM($K34:$M34)</f>
        <v>0.3553719008</v>
      </c>
      <c r="X34" s="103">
        <f t="shared" si="94"/>
        <v>0.4958677686</v>
      </c>
      <c r="Y34" s="103">
        <f t="shared" si="94"/>
        <v>0.1487603306</v>
      </c>
    </row>
    <row r="35">
      <c r="N35" s="102"/>
      <c r="O35" s="125" t="str">
        <f t="shared" si="95"/>
        <v>6010230 BARBARA D'ACHILLE</v>
      </c>
      <c r="P35" s="37" t="str">
        <f t="shared" si="4"/>
        <v>2 Primaria</v>
      </c>
      <c r="Q35" s="103">
        <f t="shared" ref="Q35:S35" si="96">E35/SUM($E35:$G35)</f>
        <v>0.8</v>
      </c>
      <c r="R35" s="103">
        <f t="shared" si="96"/>
        <v>0.2</v>
      </c>
      <c r="S35" s="103">
        <f t="shared" si="96"/>
        <v>0</v>
      </c>
      <c r="T35" s="103">
        <f t="shared" ref="T35:V35" si="97">H35/SUM($H35:$J35)</f>
        <v>1</v>
      </c>
      <c r="U35" s="103">
        <f t="shared" si="97"/>
        <v>0</v>
      </c>
      <c r="V35" s="103">
        <f t="shared" si="97"/>
        <v>0</v>
      </c>
      <c r="W35" s="103">
        <f t="shared" ref="W35:Y35" si="98">K35/SUM($K35:$M35)</f>
        <v>0</v>
      </c>
      <c r="X35" s="103">
        <f t="shared" si="98"/>
        <v>1</v>
      </c>
      <c r="Y35" s="103">
        <f t="shared" si="98"/>
        <v>0</v>
      </c>
    </row>
    <row r="36">
      <c r="N36" s="102"/>
      <c r="P36" s="37" t="str">
        <f t="shared" si="4"/>
        <v>4 Primaria</v>
      </c>
      <c r="Q36" s="103">
        <f t="shared" ref="Q36:S36" si="99">E36/SUM($E36:$G36)</f>
        <v>1</v>
      </c>
      <c r="R36" s="103">
        <f t="shared" si="99"/>
        <v>0</v>
      </c>
      <c r="S36" s="103">
        <f t="shared" si="99"/>
        <v>0</v>
      </c>
      <c r="T36" s="103">
        <f t="shared" ref="T36:V36" si="100">H36/SUM($H36:$J36)</f>
        <v>0.875</v>
      </c>
      <c r="U36" s="103">
        <f t="shared" si="100"/>
        <v>0.125</v>
      </c>
      <c r="V36" s="103">
        <f t="shared" si="100"/>
        <v>0</v>
      </c>
      <c r="W36" s="103">
        <f t="shared" ref="W36:Y36" si="101">K36/SUM($K36:$M36)</f>
        <v>0.5</v>
      </c>
      <c r="X36" s="103">
        <f t="shared" si="101"/>
        <v>0.5</v>
      </c>
      <c r="Y36" s="103">
        <f t="shared" si="101"/>
        <v>0</v>
      </c>
    </row>
    <row r="37">
      <c r="N37" s="102"/>
      <c r="P37" s="37" t="str">
        <f t="shared" si="4"/>
        <v>6 Primaria</v>
      </c>
      <c r="Q37" s="103">
        <f t="shared" ref="Q37:S37" si="102">E37/SUM($E37:$G37)</f>
        <v>1</v>
      </c>
      <c r="R37" s="103">
        <f t="shared" si="102"/>
        <v>0</v>
      </c>
      <c r="S37" s="103">
        <f t="shared" si="102"/>
        <v>0</v>
      </c>
      <c r="T37" s="103">
        <f t="shared" ref="T37:V37" si="103">H37/SUM($H37:$J37)</f>
        <v>1</v>
      </c>
      <c r="U37" s="103">
        <f t="shared" si="103"/>
        <v>0</v>
      </c>
      <c r="V37" s="103">
        <f t="shared" si="103"/>
        <v>0</v>
      </c>
      <c r="W37" s="103">
        <f t="shared" ref="W37:Y37" si="104">K37/SUM($K37:$M37)</f>
        <v>0.5</v>
      </c>
      <c r="X37" s="103">
        <f t="shared" si="104"/>
        <v>0.5</v>
      </c>
      <c r="Y37" s="103">
        <f t="shared" si="104"/>
        <v>0</v>
      </c>
    </row>
    <row r="38">
      <c r="N38" s="102"/>
      <c r="P38" s="37" t="str">
        <f t="shared" si="4"/>
        <v>2 Secundaria</v>
      </c>
      <c r="Q38" s="103">
        <f t="shared" ref="Q38:S38" si="105">E38/SUM($E38:$G38)</f>
        <v>1</v>
      </c>
      <c r="R38" s="103">
        <f t="shared" si="105"/>
        <v>0</v>
      </c>
      <c r="S38" s="103">
        <f t="shared" si="105"/>
        <v>0</v>
      </c>
      <c r="T38" s="103">
        <f t="shared" ref="T38:V38" si="106">H38/SUM($H38:$J38)</f>
        <v>0.8888888889</v>
      </c>
      <c r="U38" s="103">
        <f t="shared" si="106"/>
        <v>0.1111111111</v>
      </c>
      <c r="V38" s="103">
        <f t="shared" si="106"/>
        <v>0</v>
      </c>
      <c r="W38" s="103">
        <f t="shared" ref="W38:Y38" si="107">K38/SUM($K38:$M38)</f>
        <v>1</v>
      </c>
      <c r="X38" s="103">
        <f t="shared" si="107"/>
        <v>0</v>
      </c>
      <c r="Y38" s="103">
        <f t="shared" si="107"/>
        <v>0</v>
      </c>
    </row>
    <row r="39">
      <c r="N39" s="102"/>
      <c r="P39" s="37" t="str">
        <f t="shared" si="4"/>
        <v>4 Secundaria</v>
      </c>
      <c r="Q39" s="103">
        <f t="shared" ref="Q39:S39" si="108">E39/SUM($E39:$G39)</f>
        <v>0.8</v>
      </c>
      <c r="R39" s="103">
        <f t="shared" si="108"/>
        <v>0.2</v>
      </c>
      <c r="S39" s="103">
        <f t="shared" si="108"/>
        <v>0</v>
      </c>
      <c r="T39" s="103">
        <f t="shared" ref="T39:V39" si="109">H39/SUM($H39:$J39)</f>
        <v>1</v>
      </c>
      <c r="U39" s="103">
        <f t="shared" si="109"/>
        <v>0</v>
      </c>
      <c r="V39" s="103">
        <f t="shared" si="109"/>
        <v>0</v>
      </c>
      <c r="W39" s="103">
        <f t="shared" ref="W39:Y39" si="110">K39/SUM($K39:$M39)</f>
        <v>1</v>
      </c>
      <c r="X39" s="103">
        <f t="shared" si="110"/>
        <v>0</v>
      </c>
      <c r="Y39" s="103">
        <f t="shared" si="110"/>
        <v>0</v>
      </c>
    </row>
    <row r="40">
      <c r="N40" s="102"/>
      <c r="O40" s="125" t="str">
        <f>B40</f>
        <v>60133</v>
      </c>
      <c r="P40" s="37" t="str">
        <f t="shared" si="4"/>
        <v>2 Primaria</v>
      </c>
      <c r="Q40" s="103">
        <f t="shared" ref="Q40:S40" si="111">E40/SUM($E40:$G40)</f>
        <v>0.3846153846</v>
      </c>
      <c r="R40" s="103">
        <f t="shared" si="111"/>
        <v>0.6153846154</v>
      </c>
      <c r="S40" s="103">
        <f t="shared" si="111"/>
        <v>0</v>
      </c>
      <c r="T40" s="103">
        <f t="shared" ref="T40:V40" si="112">H40/SUM($H40:$J40)</f>
        <v>0.5789473684</v>
      </c>
      <c r="U40" s="103">
        <f t="shared" si="112"/>
        <v>0.4210526316</v>
      </c>
      <c r="V40" s="103">
        <f t="shared" si="112"/>
        <v>0</v>
      </c>
      <c r="W40" s="103">
        <f t="shared" ref="W40:Y40" si="113">K40/SUM($K40:$M40)</f>
        <v>0.5</v>
      </c>
      <c r="X40" s="103">
        <f t="shared" si="113"/>
        <v>0.5</v>
      </c>
      <c r="Y40" s="103">
        <f t="shared" si="113"/>
        <v>0</v>
      </c>
    </row>
    <row r="41">
      <c r="N41" s="102"/>
      <c r="P41" s="37" t="str">
        <f t="shared" si="4"/>
        <v>4 Primaria</v>
      </c>
      <c r="Q41" s="103">
        <f t="shared" ref="Q41:S41" si="114">E41/SUM($E41:$G41)</f>
        <v>0.7419354839</v>
      </c>
      <c r="R41" s="103">
        <f t="shared" si="114"/>
        <v>0.2580645161</v>
      </c>
      <c r="S41" s="103">
        <f t="shared" si="114"/>
        <v>0</v>
      </c>
      <c r="T41" s="103">
        <f t="shared" ref="T41:V41" si="115">H41/SUM($H41:$J41)</f>
        <v>0.8888888889</v>
      </c>
      <c r="U41" s="103">
        <f t="shared" si="115"/>
        <v>0.1111111111</v>
      </c>
      <c r="V41" s="103">
        <f t="shared" si="115"/>
        <v>0</v>
      </c>
      <c r="W41" s="103">
        <f t="shared" ref="W41:Y41" si="116">K41/SUM($K41:$M41)</f>
        <v>0.4166666667</v>
      </c>
      <c r="X41" s="103">
        <f t="shared" si="116"/>
        <v>0.5833333333</v>
      </c>
      <c r="Y41" s="103">
        <f t="shared" si="116"/>
        <v>0</v>
      </c>
    </row>
    <row r="42">
      <c r="N42" s="102"/>
      <c r="P42" s="37" t="str">
        <f t="shared" si="4"/>
        <v>6 Primaria</v>
      </c>
      <c r="Q42" s="103">
        <f t="shared" ref="Q42:S42" si="117">E42/SUM($E42:$G42)</f>
        <v>1</v>
      </c>
      <c r="R42" s="103">
        <f t="shared" si="117"/>
        <v>0</v>
      </c>
      <c r="S42" s="103">
        <f t="shared" si="117"/>
        <v>0</v>
      </c>
      <c r="T42" s="103">
        <f t="shared" ref="T42:V42" si="118">H42/SUM($H42:$J42)</f>
        <v>0.7741935484</v>
      </c>
      <c r="U42" s="103">
        <f t="shared" si="118"/>
        <v>0.2258064516</v>
      </c>
      <c r="V42" s="103">
        <f t="shared" si="118"/>
        <v>0</v>
      </c>
      <c r="W42" s="103">
        <f t="shared" ref="W42:Y42" si="119">K42/SUM($K42:$M42)</f>
        <v>1</v>
      </c>
      <c r="X42" s="103">
        <f t="shared" si="119"/>
        <v>0</v>
      </c>
      <c r="Y42" s="103">
        <f t="shared" si="119"/>
        <v>0</v>
      </c>
    </row>
    <row r="43">
      <c r="N43" s="102"/>
      <c r="P43" s="37" t="str">
        <f t="shared" si="4"/>
        <v>2 Secundaria</v>
      </c>
      <c r="Q43" s="103">
        <f t="shared" ref="Q43:S43" si="120">E43/SUM($E43:$G43)</f>
        <v>1</v>
      </c>
      <c r="R43" s="103">
        <f t="shared" si="120"/>
        <v>0</v>
      </c>
      <c r="S43" s="103">
        <f t="shared" si="120"/>
        <v>0</v>
      </c>
      <c r="T43" s="103">
        <f t="shared" ref="T43:V43" si="121">H43/SUM($H43:$J43)</f>
        <v>0.4166666667</v>
      </c>
      <c r="U43" s="103">
        <f t="shared" si="121"/>
        <v>0.5833333333</v>
      </c>
      <c r="V43" s="103">
        <f t="shared" si="121"/>
        <v>0</v>
      </c>
      <c r="W43" s="103">
        <f t="shared" ref="W43:Y43" si="122">K43/SUM($K43:$M43)</f>
        <v>0.8965517241</v>
      </c>
      <c r="X43" s="103">
        <f t="shared" si="122"/>
        <v>0.1034482759</v>
      </c>
      <c r="Y43" s="103">
        <f t="shared" si="122"/>
        <v>0</v>
      </c>
    </row>
    <row r="44">
      <c r="N44" s="102"/>
      <c r="P44" s="37" t="str">
        <f t="shared" si="4"/>
        <v>4 Secundaria</v>
      </c>
      <c r="Q44" s="103">
        <f t="shared" ref="Q44:S44" si="123">E44/SUM($E44:$G44)</f>
        <v>1</v>
      </c>
      <c r="R44" s="103">
        <f t="shared" si="123"/>
        <v>0</v>
      </c>
      <c r="S44" s="103">
        <f t="shared" si="123"/>
        <v>0</v>
      </c>
      <c r="T44" s="103">
        <f t="shared" ref="T44:V44" si="124">H44/SUM($H44:$J44)</f>
        <v>0.9411764706</v>
      </c>
      <c r="U44" s="103">
        <f t="shared" si="124"/>
        <v>0.05882352941</v>
      </c>
      <c r="V44" s="103">
        <f t="shared" si="124"/>
        <v>0</v>
      </c>
      <c r="W44" s="103">
        <f t="shared" ref="W44:Y44" si="125">K44/SUM($K44:$M44)</f>
        <v>1</v>
      </c>
      <c r="X44" s="103">
        <f t="shared" si="125"/>
        <v>0</v>
      </c>
      <c r="Y44" s="103">
        <f t="shared" si="125"/>
        <v>0</v>
      </c>
    </row>
    <row r="45">
      <c r="N45" s="102"/>
      <c r="O45" s="125" t="str">
        <f>B45</f>
        <v>601331</v>
      </c>
      <c r="P45" s="37" t="str">
        <f t="shared" si="4"/>
        <v>2 Primaria</v>
      </c>
      <c r="Q45" s="103">
        <f t="shared" ref="Q45:S45" si="126">E45/SUM($E45:$G45)</f>
        <v>1</v>
      </c>
      <c r="R45" s="103">
        <f t="shared" si="126"/>
        <v>0</v>
      </c>
      <c r="S45" s="103">
        <f t="shared" si="126"/>
        <v>0</v>
      </c>
      <c r="T45" s="103">
        <f t="shared" ref="T45:V45" si="127">H45/SUM($H45:$J45)</f>
        <v>0.9090909091</v>
      </c>
      <c r="U45" s="103">
        <f t="shared" si="127"/>
        <v>0.09090909091</v>
      </c>
      <c r="V45" s="103">
        <f t="shared" si="127"/>
        <v>0</v>
      </c>
      <c r="W45" s="103">
        <f t="shared" ref="W45:Y45" si="128">K45/SUM($K45:$M45)</f>
        <v>0.7777777778</v>
      </c>
      <c r="X45" s="103">
        <f t="shared" si="128"/>
        <v>0.2222222222</v>
      </c>
      <c r="Y45" s="103">
        <f t="shared" si="128"/>
        <v>0</v>
      </c>
    </row>
    <row r="46">
      <c r="N46" s="102"/>
      <c r="P46" s="37" t="str">
        <f t="shared" si="4"/>
        <v>4 Primaria</v>
      </c>
      <c r="Q46" s="103">
        <f t="shared" ref="Q46:S46" si="129">E46/SUM($E46:$G46)</f>
        <v>0.55</v>
      </c>
      <c r="R46" s="103">
        <f t="shared" si="129"/>
        <v>0.45</v>
      </c>
      <c r="S46" s="103">
        <f t="shared" si="129"/>
        <v>0</v>
      </c>
      <c r="T46" s="103">
        <f t="shared" ref="T46:V46" si="130">H46/SUM($H46:$J46)</f>
        <v>0.6923076923</v>
      </c>
      <c r="U46" s="103">
        <f t="shared" si="130"/>
        <v>0.3076923077</v>
      </c>
      <c r="V46" s="103">
        <f t="shared" si="130"/>
        <v>0</v>
      </c>
      <c r="W46" s="103">
        <f t="shared" ref="W46:Y46" si="131">K46/SUM($K46:$M46)</f>
        <v>0.2857142857</v>
      </c>
      <c r="X46" s="103">
        <f t="shared" si="131"/>
        <v>0.7142857143</v>
      </c>
      <c r="Y46" s="103">
        <f t="shared" si="131"/>
        <v>0</v>
      </c>
    </row>
    <row r="47">
      <c r="N47" s="102"/>
      <c r="P47" s="37" t="str">
        <f t="shared" si="4"/>
        <v>6 Primaria</v>
      </c>
      <c r="Q47" s="103">
        <f t="shared" ref="Q47:S47" si="132">E47/SUM($E47:$G47)</f>
        <v>1</v>
      </c>
      <c r="R47" s="103">
        <f t="shared" si="132"/>
        <v>0</v>
      </c>
      <c r="S47" s="103">
        <f t="shared" si="132"/>
        <v>0</v>
      </c>
      <c r="T47" s="103">
        <f t="shared" ref="T47:V47" si="133">H47/SUM($H47:$J47)</f>
        <v>0.9444444444</v>
      </c>
      <c r="U47" s="103">
        <f t="shared" si="133"/>
        <v>0.05555555556</v>
      </c>
      <c r="V47" s="103">
        <f t="shared" si="133"/>
        <v>0</v>
      </c>
      <c r="W47" s="103">
        <f t="shared" ref="W47:Y47" si="134">K47/SUM($K47:$M47)</f>
        <v>0.3333333333</v>
      </c>
      <c r="X47" s="103">
        <f t="shared" si="134"/>
        <v>0.6666666667</v>
      </c>
      <c r="Y47" s="103">
        <f t="shared" si="134"/>
        <v>0</v>
      </c>
    </row>
    <row r="48">
      <c r="N48" s="102"/>
      <c r="P48" s="37" t="str">
        <f t="shared" si="4"/>
        <v>2 Secundaria</v>
      </c>
      <c r="Q48" s="103">
        <f t="shared" ref="Q48:S48" si="135">E48/SUM($E48:$G48)</f>
        <v>1</v>
      </c>
      <c r="R48" s="103">
        <f t="shared" si="135"/>
        <v>0</v>
      </c>
      <c r="S48" s="103">
        <f t="shared" si="135"/>
        <v>0</v>
      </c>
      <c r="T48" s="103">
        <f t="shared" ref="T48:V48" si="136">H48/SUM($H48:$J48)</f>
        <v>0.9444444444</v>
      </c>
      <c r="U48" s="103">
        <f t="shared" si="136"/>
        <v>0.05555555556</v>
      </c>
      <c r="V48" s="103">
        <f t="shared" si="136"/>
        <v>0</v>
      </c>
      <c r="W48" s="103">
        <f t="shared" ref="W48:Y48" si="137">K48/SUM($K48:$M48)</f>
        <v>0.8333333333</v>
      </c>
      <c r="X48" s="103">
        <f t="shared" si="137"/>
        <v>0.1666666667</v>
      </c>
      <c r="Y48" s="103">
        <f t="shared" si="137"/>
        <v>0</v>
      </c>
    </row>
    <row r="49">
      <c r="N49" s="102"/>
      <c r="P49" s="37" t="str">
        <f t="shared" si="4"/>
        <v>4 Secundaria</v>
      </c>
      <c r="Q49" s="103">
        <f t="shared" ref="Q49:S49" si="138">E49/SUM($E49:$G49)</f>
        <v>1</v>
      </c>
      <c r="R49" s="103">
        <f t="shared" si="138"/>
        <v>0</v>
      </c>
      <c r="S49" s="103">
        <f t="shared" si="138"/>
        <v>0</v>
      </c>
      <c r="T49" s="103">
        <f t="shared" ref="T49:V49" si="139">H49/SUM($H49:$J49)</f>
        <v>1</v>
      </c>
      <c r="U49" s="103">
        <f t="shared" si="139"/>
        <v>0</v>
      </c>
      <c r="V49" s="103">
        <f t="shared" si="139"/>
        <v>0</v>
      </c>
      <c r="W49" s="103">
        <f t="shared" ref="W49:Y49" si="140">K49/SUM($K49:$M49)</f>
        <v>1</v>
      </c>
      <c r="X49" s="103">
        <f t="shared" si="140"/>
        <v>0</v>
      </c>
      <c r="Y49" s="103">
        <f t="shared" si="140"/>
        <v>0</v>
      </c>
    </row>
    <row r="50">
      <c r="N50" s="102"/>
      <c r="O50" s="125" t="str">
        <f>B50</f>
        <v>601448</v>
      </c>
      <c r="P50" s="37" t="str">
        <f t="shared" si="4"/>
        <v>2 Primaria</v>
      </c>
      <c r="Q50" s="103">
        <f t="shared" ref="Q50:S50" si="141">E50/SUM($E50:$G50)</f>
        <v>1</v>
      </c>
      <c r="R50" s="103">
        <f t="shared" si="141"/>
        <v>0</v>
      </c>
      <c r="S50" s="103">
        <f t="shared" si="141"/>
        <v>0</v>
      </c>
      <c r="T50" s="103">
        <f t="shared" ref="T50:V50" si="142">H50/SUM($H50:$J50)</f>
        <v>0.875</v>
      </c>
      <c r="U50" s="103">
        <f t="shared" si="142"/>
        <v>0.125</v>
      </c>
      <c r="V50" s="103">
        <f t="shared" si="142"/>
        <v>0</v>
      </c>
      <c r="W50" s="103">
        <f t="shared" ref="W50:Y50" si="143">K50/SUM($K50:$M50)</f>
        <v>0.3333333333</v>
      </c>
      <c r="X50" s="103">
        <f t="shared" si="143"/>
        <v>0.6666666667</v>
      </c>
      <c r="Y50" s="103">
        <f t="shared" si="143"/>
        <v>0</v>
      </c>
    </row>
    <row r="51">
      <c r="N51" s="102"/>
      <c r="P51" s="37" t="str">
        <f t="shared" si="4"/>
        <v>4 Primaria</v>
      </c>
      <c r="Q51" s="103">
        <f t="shared" ref="Q51:S51" si="144">E51/SUM($E51:$G51)</f>
        <v>0.9</v>
      </c>
      <c r="R51" s="103">
        <f t="shared" si="144"/>
        <v>0.1</v>
      </c>
      <c r="S51" s="103">
        <f t="shared" si="144"/>
        <v>0</v>
      </c>
      <c r="T51" s="103">
        <f t="shared" ref="T51:V51" si="145">H51/SUM($H51:$J51)</f>
        <v>0.2857142857</v>
      </c>
      <c r="U51" s="103">
        <f t="shared" si="145"/>
        <v>0.7142857143</v>
      </c>
      <c r="V51" s="103">
        <f t="shared" si="145"/>
        <v>0</v>
      </c>
      <c r="W51" s="103">
        <f t="shared" ref="W51:Y51" si="146">K51/SUM($K51:$M51)</f>
        <v>0.5</v>
      </c>
      <c r="X51" s="103">
        <f t="shared" si="146"/>
        <v>0.5</v>
      </c>
      <c r="Y51" s="103">
        <f t="shared" si="146"/>
        <v>0</v>
      </c>
    </row>
    <row r="52">
      <c r="N52" s="102"/>
      <c r="P52" s="37" t="str">
        <f t="shared" si="4"/>
        <v>6 Primaria</v>
      </c>
      <c r="Q52" s="103">
        <f t="shared" ref="Q52:S52" si="147">E52/SUM($E52:$G52)</f>
        <v>0.8571428571</v>
      </c>
      <c r="R52" s="103">
        <f t="shared" si="147"/>
        <v>0.1428571429</v>
      </c>
      <c r="S52" s="103">
        <f t="shared" si="147"/>
        <v>0</v>
      </c>
      <c r="T52" s="103">
        <f t="shared" ref="T52:V52" si="148">H52/SUM($H52:$J52)</f>
        <v>1</v>
      </c>
      <c r="U52" s="103">
        <f t="shared" si="148"/>
        <v>0</v>
      </c>
      <c r="V52" s="103">
        <f t="shared" si="148"/>
        <v>0</v>
      </c>
      <c r="W52" s="103">
        <f t="shared" ref="W52:Y52" si="149">K52/SUM($K52:$M52)</f>
        <v>0</v>
      </c>
      <c r="X52" s="103">
        <f t="shared" si="149"/>
        <v>1</v>
      </c>
      <c r="Y52" s="103">
        <f t="shared" si="149"/>
        <v>0</v>
      </c>
    </row>
    <row r="53">
      <c r="N53" s="102"/>
      <c r="O53" s="125" t="str">
        <f>B53</f>
        <v>EL MILAGRO</v>
      </c>
      <c r="P53" s="37" t="str">
        <f t="shared" si="4"/>
        <v>2 Secundaria</v>
      </c>
      <c r="Q53" s="103">
        <f t="shared" ref="Q53:S53" si="150">E53/SUM($E53:$G53)</f>
        <v>1</v>
      </c>
      <c r="R53" s="103">
        <f t="shared" si="150"/>
        <v>0</v>
      </c>
      <c r="S53" s="103">
        <f t="shared" si="150"/>
        <v>0</v>
      </c>
      <c r="T53" s="103">
        <f t="shared" ref="T53:V53" si="151">H53/SUM($H53:$J53)</f>
        <v>0.95</v>
      </c>
      <c r="U53" s="103">
        <f t="shared" si="151"/>
        <v>0.05</v>
      </c>
      <c r="V53" s="103">
        <f t="shared" si="151"/>
        <v>0</v>
      </c>
      <c r="W53" s="103">
        <f t="shared" ref="W53:Y53" si="152">K53/SUM($K53:$M53)</f>
        <v>0.8076923077</v>
      </c>
      <c r="X53" s="103">
        <f t="shared" si="152"/>
        <v>0.1923076923</v>
      </c>
      <c r="Y53" s="103">
        <f t="shared" si="152"/>
        <v>0</v>
      </c>
    </row>
    <row r="54">
      <c r="N54" s="102"/>
      <c r="P54" s="37" t="str">
        <f t="shared" si="4"/>
        <v>4 Secundaria</v>
      </c>
      <c r="Q54" s="103">
        <f t="shared" ref="Q54:S54" si="153">E54/SUM($E54:$G54)</f>
        <v>1</v>
      </c>
      <c r="R54" s="103">
        <f t="shared" si="153"/>
        <v>0</v>
      </c>
      <c r="S54" s="103">
        <f t="shared" si="153"/>
        <v>0</v>
      </c>
      <c r="T54" s="103">
        <f t="shared" ref="T54:V54" si="154">H54/SUM($H54:$J54)</f>
        <v>1</v>
      </c>
      <c r="U54" s="103">
        <f t="shared" si="154"/>
        <v>0</v>
      </c>
      <c r="V54" s="103">
        <f t="shared" si="154"/>
        <v>0</v>
      </c>
      <c r="W54" s="103">
        <f t="shared" ref="W54:Y54" si="155">K54/SUM($K54:$M54)</f>
        <v>0.9583333333</v>
      </c>
      <c r="X54" s="103">
        <f t="shared" si="155"/>
        <v>0.04166666667</v>
      </c>
      <c r="Y54" s="103">
        <f t="shared" si="155"/>
        <v>0</v>
      </c>
    </row>
    <row r="55">
      <c r="N55" s="102"/>
      <c r="O55" s="119"/>
      <c r="P55" s="37" t="str">
        <f t="shared" si="4"/>
        <v/>
      </c>
      <c r="Q55" s="103">
        <f t="shared" ref="Q55:S55" si="156">E55/SUM($E55:$G55)</f>
        <v>0.9107142857</v>
      </c>
      <c r="R55" s="103">
        <f t="shared" si="156"/>
        <v>0.08928571429</v>
      </c>
      <c r="S55" s="103">
        <f t="shared" si="156"/>
        <v>0</v>
      </c>
      <c r="T55" s="103">
        <f t="shared" ref="T55:V55" si="157">H55/SUM($H55:$J55)</f>
        <v>0.8397435897</v>
      </c>
      <c r="U55" s="103">
        <f t="shared" si="157"/>
        <v>0.1602564103</v>
      </c>
      <c r="V55" s="103">
        <f t="shared" si="157"/>
        <v>0</v>
      </c>
      <c r="W55" s="103">
        <f t="shared" ref="W55:Y55" si="158">K55/SUM($K55:$M55)</f>
        <v>0.7813953488</v>
      </c>
      <c r="X55" s="103">
        <f t="shared" si="158"/>
        <v>0.2186046512</v>
      </c>
      <c r="Y55" s="103">
        <f t="shared" si="158"/>
        <v>0</v>
      </c>
    </row>
    <row r="56">
      <c r="N56" s="102"/>
      <c r="O56" s="126" t="s">
        <v>55</v>
      </c>
      <c r="P56" s="37" t="str">
        <f t="shared" si="4"/>
        <v>2 Primaria</v>
      </c>
      <c r="Q56" s="103">
        <f t="shared" ref="Q56:S56" si="159">E56/SUM($E56:$G56)</f>
        <v>0.8378378378</v>
      </c>
      <c r="R56" s="103">
        <f t="shared" si="159"/>
        <v>0.1621621622</v>
      </c>
      <c r="S56" s="103">
        <f t="shared" si="159"/>
        <v>0</v>
      </c>
      <c r="T56" s="103">
        <f t="shared" ref="T56:V56" si="160">H56/SUM($H56:$J56)</f>
        <v>0.1875</v>
      </c>
      <c r="U56" s="103">
        <f t="shared" si="160"/>
        <v>0.78125</v>
      </c>
      <c r="V56" s="103">
        <f t="shared" si="160"/>
        <v>0.03125</v>
      </c>
      <c r="W56" s="103">
        <f t="shared" ref="W56:Y56" si="161">K56/SUM($K56:$M56)</f>
        <v>0.12</v>
      </c>
      <c r="X56" s="103">
        <f t="shared" si="161"/>
        <v>0.88</v>
      </c>
      <c r="Y56" s="103">
        <f t="shared" si="161"/>
        <v>0</v>
      </c>
    </row>
    <row r="57">
      <c r="N57" s="102"/>
      <c r="P57" s="37" t="str">
        <f t="shared" si="4"/>
        <v>4 Primaria</v>
      </c>
      <c r="Q57" s="103">
        <f t="shared" ref="Q57:S57" si="162">E57/SUM($E57:$G57)</f>
        <v>0.8775510204</v>
      </c>
      <c r="R57" s="103">
        <f t="shared" si="162"/>
        <v>0.1224489796</v>
      </c>
      <c r="S57" s="103">
        <f t="shared" si="162"/>
        <v>0</v>
      </c>
      <c r="T57" s="103">
        <f t="shared" ref="T57:V57" si="163">H57/SUM($H57:$J57)</f>
        <v>0.3595505618</v>
      </c>
      <c r="U57" s="103">
        <f t="shared" si="163"/>
        <v>0.6404494382</v>
      </c>
      <c r="V57" s="103">
        <f t="shared" si="163"/>
        <v>0</v>
      </c>
      <c r="W57" s="103">
        <f t="shared" ref="W57:Y57" si="164">K57/SUM($K57:$M57)</f>
        <v>0.25</v>
      </c>
      <c r="X57" s="103">
        <f t="shared" si="164"/>
        <v>0.75</v>
      </c>
      <c r="Y57" s="103">
        <f t="shared" si="164"/>
        <v>0</v>
      </c>
    </row>
    <row r="58">
      <c r="N58" s="102"/>
      <c r="P58" s="37" t="str">
        <f t="shared" si="4"/>
        <v>6 Primaria</v>
      </c>
      <c r="Q58" s="103">
        <f t="shared" ref="Q58:S58" si="165">E58/SUM($E58:$G58)</f>
        <v>1</v>
      </c>
      <c r="R58" s="103">
        <f t="shared" si="165"/>
        <v>0</v>
      </c>
      <c r="S58" s="103">
        <f t="shared" si="165"/>
        <v>0</v>
      </c>
      <c r="T58" s="103">
        <f t="shared" ref="T58:V58" si="166">H58/SUM($H58:$J58)</f>
        <v>0.84</v>
      </c>
      <c r="U58" s="103">
        <f t="shared" si="166"/>
        <v>0.16</v>
      </c>
      <c r="V58" s="103">
        <f t="shared" si="166"/>
        <v>0</v>
      </c>
      <c r="W58" s="103">
        <f t="shared" ref="W58:Y58" si="167">K58/SUM($K58:$M58)</f>
        <v>0.6666666667</v>
      </c>
      <c r="X58" s="103">
        <f t="shared" si="167"/>
        <v>0.3333333333</v>
      </c>
      <c r="Y58" s="103">
        <f t="shared" si="167"/>
        <v>0</v>
      </c>
    </row>
    <row r="59">
      <c r="N59" s="102"/>
      <c r="O59" s="126" t="s">
        <v>61</v>
      </c>
      <c r="P59" s="37" t="str">
        <f t="shared" si="4"/>
        <v>2 Primaria</v>
      </c>
      <c r="Q59" s="103">
        <f t="shared" ref="Q59:S59" si="168">E59/SUM($E59:$G59)</f>
        <v>0.7391304348</v>
      </c>
      <c r="R59" s="103">
        <f t="shared" si="168"/>
        <v>0.2608695652</v>
      </c>
      <c r="S59" s="103">
        <f t="shared" si="168"/>
        <v>0</v>
      </c>
      <c r="T59" s="103">
        <f t="shared" ref="T59:V59" si="169">H59/SUM($H59:$J59)</f>
        <v>0.4324324324</v>
      </c>
      <c r="U59" s="103">
        <f t="shared" si="169"/>
        <v>0.5405405405</v>
      </c>
      <c r="V59" s="103">
        <f t="shared" si="169"/>
        <v>0.02702702703</v>
      </c>
      <c r="W59" s="103">
        <f t="shared" ref="W59:Y59" si="170">K59/SUM($K59:$M59)</f>
        <v>0.4</v>
      </c>
      <c r="X59" s="103">
        <f t="shared" si="170"/>
        <v>0.6</v>
      </c>
      <c r="Y59" s="103">
        <f t="shared" si="170"/>
        <v>0</v>
      </c>
    </row>
    <row r="60">
      <c r="N60" s="102"/>
      <c r="P60" s="37" t="str">
        <f t="shared" si="4"/>
        <v>4 Primaria</v>
      </c>
      <c r="Q60" s="103">
        <f t="shared" ref="Q60:S60" si="171">E60/SUM($E60:$G60)</f>
        <v>0.6666666667</v>
      </c>
      <c r="R60" s="103">
        <f t="shared" si="171"/>
        <v>0.3333333333</v>
      </c>
      <c r="S60" s="103">
        <f t="shared" si="171"/>
        <v>0</v>
      </c>
      <c r="T60" s="103">
        <f t="shared" ref="T60:V60" si="172">H60/SUM($H60:$J60)</f>
        <v>0.5333333333</v>
      </c>
      <c r="U60" s="103">
        <f t="shared" si="172"/>
        <v>0.4666666667</v>
      </c>
      <c r="V60" s="103">
        <f t="shared" si="172"/>
        <v>0</v>
      </c>
      <c r="W60" s="103">
        <f t="shared" ref="W60:Y60" si="173">K60/SUM($K60:$M60)</f>
        <v>0</v>
      </c>
      <c r="X60" s="103">
        <f t="shared" si="173"/>
        <v>1</v>
      </c>
      <c r="Y60" s="103">
        <f t="shared" si="173"/>
        <v>0</v>
      </c>
    </row>
    <row r="61">
      <c r="N61" s="102"/>
      <c r="P61" s="37" t="str">
        <f t="shared" si="4"/>
        <v>6 Primaria</v>
      </c>
      <c r="Q61" s="103">
        <f t="shared" ref="Q61:S61" si="174">E61/SUM($E61:$G61)</f>
        <v>1</v>
      </c>
      <c r="R61" s="103">
        <f t="shared" si="174"/>
        <v>0</v>
      </c>
      <c r="S61" s="103">
        <f t="shared" si="174"/>
        <v>0</v>
      </c>
      <c r="T61" s="103">
        <f t="shared" ref="T61:V61" si="175">H61/SUM($H61:$J61)</f>
        <v>0.625</v>
      </c>
      <c r="U61" s="103">
        <f t="shared" si="175"/>
        <v>0.375</v>
      </c>
      <c r="V61" s="103">
        <f t="shared" si="175"/>
        <v>0</v>
      </c>
      <c r="W61" s="103">
        <f t="shared" ref="W61:Y61" si="176">K61/SUM($K61:$M61)</f>
        <v>0.2</v>
      </c>
      <c r="X61" s="103">
        <f t="shared" si="176"/>
        <v>0.8</v>
      </c>
      <c r="Y61" s="103">
        <f t="shared" si="176"/>
        <v>0</v>
      </c>
    </row>
    <row r="62">
      <c r="N62" s="102"/>
      <c r="O62" s="126" t="s">
        <v>53</v>
      </c>
      <c r="P62" s="37" t="str">
        <f t="shared" si="4"/>
        <v>2 Primaria</v>
      </c>
      <c r="Q62" s="103">
        <f t="shared" ref="Q62:S62" si="177">E62/SUM($E62:$G62)</f>
        <v>0.7857142857</v>
      </c>
      <c r="R62" s="103">
        <f t="shared" si="177"/>
        <v>0.2142857143</v>
      </c>
      <c r="S62" s="103">
        <f t="shared" si="177"/>
        <v>0</v>
      </c>
      <c r="T62" s="103">
        <f t="shared" ref="T62:V62" si="178">H62/SUM($H62:$J62)</f>
        <v>0</v>
      </c>
      <c r="U62" s="103">
        <f t="shared" si="178"/>
        <v>1</v>
      </c>
      <c r="V62" s="103">
        <f t="shared" si="178"/>
        <v>0</v>
      </c>
      <c r="W62" s="103">
        <f t="shared" ref="W62:Y62" si="179">K62/SUM($K62:$M62)</f>
        <v>0</v>
      </c>
      <c r="X62" s="103">
        <f t="shared" si="179"/>
        <v>1</v>
      </c>
      <c r="Y62" s="103">
        <f t="shared" si="179"/>
        <v>0</v>
      </c>
    </row>
    <row r="63">
      <c r="N63" s="102"/>
      <c r="P63" s="37" t="str">
        <f t="shared" si="4"/>
        <v>4 Primaria</v>
      </c>
      <c r="Q63" s="103">
        <f t="shared" ref="Q63:S63" si="180">E63/SUM($E63:$G63)</f>
        <v>0.7894736842</v>
      </c>
      <c r="R63" s="103">
        <f t="shared" si="180"/>
        <v>0.2105263158</v>
      </c>
      <c r="S63" s="103">
        <f t="shared" si="180"/>
        <v>0</v>
      </c>
      <c r="T63" s="103">
        <f t="shared" ref="T63:V63" si="181">H63/SUM($H63:$J63)</f>
        <v>0.2</v>
      </c>
      <c r="U63" s="103">
        <f t="shared" si="181"/>
        <v>0.75</v>
      </c>
      <c r="V63" s="103">
        <f t="shared" si="181"/>
        <v>0.05</v>
      </c>
      <c r="W63" s="103">
        <f t="shared" ref="W63:Y63" si="182">K63/SUM($K63:$M63)</f>
        <v>0</v>
      </c>
      <c r="X63" s="103">
        <f t="shared" si="182"/>
        <v>1</v>
      </c>
      <c r="Y63" s="103">
        <f t="shared" si="182"/>
        <v>0</v>
      </c>
    </row>
    <row r="64">
      <c r="N64" s="102"/>
      <c r="P64" s="37" t="str">
        <f t="shared" si="4"/>
        <v>6 Primaria</v>
      </c>
      <c r="Q64" s="103">
        <f t="shared" ref="Q64:S64" si="183">E64/SUM($E64:$G64)</f>
        <v>0.9375</v>
      </c>
      <c r="R64" s="103">
        <f t="shared" si="183"/>
        <v>0.0625</v>
      </c>
      <c r="S64" s="103">
        <f t="shared" si="183"/>
        <v>0</v>
      </c>
      <c r="T64" s="103">
        <f t="shared" ref="T64:V64" si="184">H64/SUM($H64:$J64)</f>
        <v>0.3333333333</v>
      </c>
      <c r="U64" s="103">
        <f t="shared" si="184"/>
        <v>0.6666666667</v>
      </c>
      <c r="V64" s="103">
        <f t="shared" si="184"/>
        <v>0</v>
      </c>
      <c r="W64" s="103">
        <f t="shared" ref="W64:Y64" si="185">K64/SUM($K64:$M64)</f>
        <v>0.5555555556</v>
      </c>
      <c r="X64" s="103">
        <f t="shared" si="185"/>
        <v>0.4444444444</v>
      </c>
      <c r="Y64" s="103">
        <f t="shared" si="185"/>
        <v>0</v>
      </c>
    </row>
    <row r="65">
      <c r="N65" s="102"/>
      <c r="O65" s="119"/>
      <c r="P65" s="37" t="str">
        <f t="shared" si="4"/>
        <v/>
      </c>
      <c r="Q65" s="103">
        <f t="shared" ref="Q65:S65" si="186">E65/SUM($E65:$G65)</f>
        <v>0.8669354839</v>
      </c>
      <c r="R65" s="103">
        <f t="shared" si="186"/>
        <v>0.1330645161</v>
      </c>
      <c r="S65" s="103">
        <f t="shared" si="186"/>
        <v>0</v>
      </c>
      <c r="T65" s="103">
        <f t="shared" ref="T65:V65" si="187">H65/SUM($H65:$J65)</f>
        <v>0.3853211009</v>
      </c>
      <c r="U65" s="103">
        <f t="shared" si="187"/>
        <v>0.6024464832</v>
      </c>
      <c r="V65" s="103">
        <f t="shared" si="187"/>
        <v>0.0122324159</v>
      </c>
      <c r="W65" s="103">
        <f t="shared" ref="W65:Y65" si="188">K65/SUM($K65:$M65)</f>
        <v>0.2868852459</v>
      </c>
      <c r="X65" s="103">
        <f t="shared" si="188"/>
        <v>0.7131147541</v>
      </c>
      <c r="Y65" s="103">
        <f t="shared" si="188"/>
        <v>0</v>
      </c>
    </row>
    <row r="66">
      <c r="N66" s="102"/>
      <c r="O66" s="126" t="s">
        <v>338</v>
      </c>
      <c r="P66" s="37" t="str">
        <f t="shared" si="4"/>
        <v>6 Primaria</v>
      </c>
      <c r="Q66" s="103">
        <f t="shared" ref="Q66:S66" si="189">E66/SUM($E66:$G66)</f>
        <v>1</v>
      </c>
      <c r="R66" s="103">
        <f t="shared" si="189"/>
        <v>0</v>
      </c>
      <c r="S66" s="103">
        <f t="shared" si="189"/>
        <v>0</v>
      </c>
      <c r="T66" s="103">
        <f t="shared" ref="T66:V66" si="190">H66/SUM($H66:$J66)</f>
        <v>0.125</v>
      </c>
      <c r="U66" s="103">
        <f t="shared" si="190"/>
        <v>0.875</v>
      </c>
      <c r="V66" s="103">
        <f t="shared" si="190"/>
        <v>0</v>
      </c>
      <c r="W66" s="103">
        <f t="shared" ref="W66:Y66" si="191">K66/SUM($K66:$M66)</f>
        <v>0.5</v>
      </c>
      <c r="X66" s="103">
        <f t="shared" si="191"/>
        <v>0.5</v>
      </c>
      <c r="Y66" s="103">
        <f t="shared" si="191"/>
        <v>0</v>
      </c>
    </row>
    <row r="67">
      <c r="N67" s="102"/>
      <c r="O67" s="126" t="s">
        <v>340</v>
      </c>
      <c r="P67" s="37" t="str">
        <f t="shared" si="4"/>
        <v>2 Primaria</v>
      </c>
      <c r="Q67" s="103">
        <f t="shared" ref="Q67:S67" si="192">E67/SUM($E67:$G67)</f>
        <v>1</v>
      </c>
      <c r="R67" s="103">
        <f t="shared" si="192"/>
        <v>0</v>
      </c>
      <c r="S67" s="103">
        <f t="shared" si="192"/>
        <v>0</v>
      </c>
      <c r="T67" s="103">
        <f t="shared" ref="T67:V67" si="193">H67/SUM($H67:$J67)</f>
        <v>0</v>
      </c>
      <c r="U67" s="103">
        <f t="shared" si="193"/>
        <v>1</v>
      </c>
      <c r="V67" s="103">
        <f t="shared" si="193"/>
        <v>0</v>
      </c>
      <c r="W67" s="103">
        <f t="shared" ref="W67:Y67" si="194">K67/SUM($K67:$M67)</f>
        <v>0</v>
      </c>
      <c r="X67" s="103">
        <f t="shared" si="194"/>
        <v>1</v>
      </c>
      <c r="Y67" s="103">
        <f t="shared" si="194"/>
        <v>0</v>
      </c>
    </row>
    <row r="68">
      <c r="N68" s="102"/>
      <c r="P68" s="37" t="str">
        <f t="shared" si="4"/>
        <v>4 Primaria</v>
      </c>
      <c r="Q68" s="103">
        <f t="shared" ref="Q68:S68" si="195">E68/SUM($E68:$G68)</f>
        <v>0.5</v>
      </c>
      <c r="R68" s="103">
        <f t="shared" si="195"/>
        <v>0.5</v>
      </c>
      <c r="S68" s="103">
        <f t="shared" si="195"/>
        <v>0</v>
      </c>
      <c r="T68" s="103">
        <f t="shared" ref="T68:V68" si="196">H68/SUM($H68:$J68)</f>
        <v>0</v>
      </c>
      <c r="U68" s="103">
        <f t="shared" si="196"/>
        <v>1</v>
      </c>
      <c r="V68" s="103">
        <f t="shared" si="196"/>
        <v>0</v>
      </c>
      <c r="W68" s="103">
        <f t="shared" ref="W68:Y68" si="197">K68/SUM($K68:$M68)</f>
        <v>0</v>
      </c>
      <c r="X68" s="103">
        <f t="shared" si="197"/>
        <v>1</v>
      </c>
      <c r="Y68" s="103">
        <f t="shared" si="197"/>
        <v>0</v>
      </c>
    </row>
    <row r="69">
      <c r="N69" s="102"/>
      <c r="P69" s="37" t="str">
        <f t="shared" si="4"/>
        <v>6 Primaria</v>
      </c>
      <c r="Q69" s="103">
        <f t="shared" ref="Q69:S69" si="198">E69/SUM($E69:$G69)</f>
        <v>1</v>
      </c>
      <c r="R69" s="103">
        <f t="shared" si="198"/>
        <v>0</v>
      </c>
      <c r="S69" s="103">
        <f t="shared" si="198"/>
        <v>0</v>
      </c>
      <c r="T69" s="103">
        <f t="shared" ref="T69:V69" si="199">H69/SUM($H69:$J69)</f>
        <v>0</v>
      </c>
      <c r="U69" s="103">
        <f t="shared" si="199"/>
        <v>1</v>
      </c>
      <c r="V69" s="103">
        <f t="shared" si="199"/>
        <v>0</v>
      </c>
      <c r="W69" s="103">
        <f t="shared" ref="W69:Y69" si="200">K69/SUM($K69:$M69)</f>
        <v>0.5</v>
      </c>
      <c r="X69" s="103">
        <f t="shared" si="200"/>
        <v>0.5</v>
      </c>
      <c r="Y69" s="103">
        <f t="shared" si="200"/>
        <v>0</v>
      </c>
    </row>
    <row r="70">
      <c r="N70" s="102"/>
      <c r="O70" s="119" t="str">
        <f>B70</f>
        <v/>
      </c>
      <c r="P70" s="37" t="str">
        <f t="shared" si="4"/>
        <v/>
      </c>
      <c r="Q70" s="103">
        <f t="shared" ref="Q70:S70" si="201">E70/SUM($E70:$G70)</f>
        <v>0.9583333333</v>
      </c>
      <c r="R70" s="103">
        <f t="shared" si="201"/>
        <v>0.04166666667</v>
      </c>
      <c r="S70" s="103">
        <f t="shared" si="201"/>
        <v>0</v>
      </c>
      <c r="T70" s="103">
        <f t="shared" ref="T70:V70" si="202">H70/SUM($H70:$J70)</f>
        <v>0.05882352941</v>
      </c>
      <c r="U70" s="103">
        <f t="shared" si="202"/>
        <v>0.9411764706</v>
      </c>
      <c r="V70" s="103">
        <f t="shared" si="202"/>
        <v>0</v>
      </c>
      <c r="W70" s="103">
        <f t="shared" ref="W70:Y70" si="203">K70/SUM($K70:$M70)</f>
        <v>0.3684210526</v>
      </c>
      <c r="X70" s="103">
        <f t="shared" si="203"/>
        <v>0.6315789474</v>
      </c>
      <c r="Y70" s="103">
        <f t="shared" si="203"/>
        <v>0</v>
      </c>
    </row>
    <row r="71">
      <c r="N71" s="102"/>
      <c r="O71" s="126" t="s">
        <v>324</v>
      </c>
      <c r="P71" s="37" t="str">
        <f t="shared" si="4"/>
        <v>2 Primaria</v>
      </c>
      <c r="Q71" s="103">
        <f t="shared" ref="Q71:S71" si="204">E71/SUM($E71:$G71)</f>
        <v>0.8888888889</v>
      </c>
      <c r="R71" s="103">
        <f t="shared" si="204"/>
        <v>0.1111111111</v>
      </c>
      <c r="S71" s="103">
        <f t="shared" si="204"/>
        <v>0</v>
      </c>
      <c r="T71" s="103">
        <f t="shared" ref="T71:V71" si="205">H71/SUM($H71:$J71)</f>
        <v>0.6</v>
      </c>
      <c r="U71" s="103">
        <f t="shared" si="205"/>
        <v>0.4</v>
      </c>
      <c r="V71" s="103">
        <f t="shared" si="205"/>
        <v>0</v>
      </c>
      <c r="W71" s="103">
        <f t="shared" ref="W71:Y71" si="206">K71/SUM($K71:$M71)</f>
        <v>0</v>
      </c>
      <c r="X71" s="103">
        <f t="shared" si="206"/>
        <v>1</v>
      </c>
      <c r="Y71" s="103">
        <f t="shared" si="206"/>
        <v>0</v>
      </c>
    </row>
    <row r="72">
      <c r="N72" s="102"/>
      <c r="P72" s="37" t="str">
        <f t="shared" si="4"/>
        <v>4 Primaria</v>
      </c>
      <c r="Q72" s="103">
        <f t="shared" ref="Q72:S72" si="207">E72/SUM($E72:$G72)</f>
        <v>0.6666666667</v>
      </c>
      <c r="R72" s="103">
        <f t="shared" si="207"/>
        <v>0.3333333333</v>
      </c>
      <c r="S72" s="103">
        <f t="shared" si="207"/>
        <v>0</v>
      </c>
      <c r="T72" s="103">
        <f t="shared" ref="T72:V72" si="208">H72/SUM($H72:$J72)</f>
        <v>0</v>
      </c>
      <c r="U72" s="103">
        <f t="shared" si="208"/>
        <v>1</v>
      </c>
      <c r="V72" s="103">
        <f t="shared" si="208"/>
        <v>0</v>
      </c>
      <c r="W72" s="103">
        <f t="shared" ref="W72:Y72" si="209">K72/SUM($K72:$M72)</f>
        <v>0</v>
      </c>
      <c r="X72" s="103">
        <f t="shared" si="209"/>
        <v>0.75</v>
      </c>
      <c r="Y72" s="103">
        <f t="shared" si="209"/>
        <v>0.25</v>
      </c>
    </row>
    <row r="73">
      <c r="N73" s="102"/>
      <c r="O73" s="126" t="s">
        <v>328</v>
      </c>
      <c r="P73" s="17" t="str">
        <f t="shared" si="4"/>
        <v>2 Primaria</v>
      </c>
      <c r="Q73" s="103">
        <f t="shared" ref="Q73:S73" si="210">E73/SUM($E73:$G73)</f>
        <v>1</v>
      </c>
      <c r="R73" s="103">
        <f t="shared" si="210"/>
        <v>0</v>
      </c>
      <c r="S73" s="103">
        <f t="shared" si="210"/>
        <v>0</v>
      </c>
      <c r="T73" s="103">
        <f t="shared" ref="T73:V73" si="211">H73/SUM($H73:$J73)</f>
        <v>1</v>
      </c>
      <c r="U73" s="103">
        <f t="shared" si="211"/>
        <v>0</v>
      </c>
      <c r="V73" s="103">
        <f t="shared" si="211"/>
        <v>0</v>
      </c>
      <c r="W73" s="103">
        <f t="shared" ref="W73:Y73" si="212">K73/SUM($K73:$M73)</f>
        <v>0</v>
      </c>
      <c r="X73" s="103">
        <f t="shared" si="212"/>
        <v>1</v>
      </c>
      <c r="Y73" s="103">
        <f t="shared" si="212"/>
        <v>0</v>
      </c>
    </row>
    <row r="74">
      <c r="N74" s="102"/>
      <c r="P74" s="107" t="str">
        <f t="shared" si="4"/>
        <v>6 Primaria</v>
      </c>
      <c r="Q74" s="103">
        <f t="shared" ref="Q74:S74" si="213">E74/SUM($E74:$G74)</f>
        <v>1</v>
      </c>
      <c r="R74" s="103">
        <f t="shared" si="213"/>
        <v>0</v>
      </c>
      <c r="S74" s="103">
        <f t="shared" si="213"/>
        <v>0</v>
      </c>
      <c r="T74" s="103">
        <f t="shared" ref="T74:V74" si="214">H74/SUM($H74:$J74)</f>
        <v>1</v>
      </c>
      <c r="U74" s="103">
        <f t="shared" si="214"/>
        <v>0</v>
      </c>
      <c r="V74" s="103">
        <f t="shared" si="214"/>
        <v>0</v>
      </c>
      <c r="W74" s="103">
        <f t="shared" ref="W74:Y74" si="215">K74/SUM($K74:$M74)</f>
        <v>0</v>
      </c>
      <c r="X74" s="103">
        <f t="shared" si="215"/>
        <v>1</v>
      </c>
      <c r="Y74" s="103">
        <f t="shared" si="215"/>
        <v>0</v>
      </c>
    </row>
    <row r="75">
      <c r="N75" s="102"/>
      <c r="O75" s="125" t="str">
        <f>A75</f>
        <v>Total 72. Ucayali</v>
      </c>
      <c r="P75" s="107" t="str">
        <f t="shared" si="4"/>
        <v/>
      </c>
      <c r="Q75" s="103">
        <f t="shared" ref="Q75:S75" si="216">E75/SUM($E75:$G75)</f>
        <v>0.7777777778</v>
      </c>
      <c r="R75" s="103">
        <f t="shared" si="216"/>
        <v>0.2222222222</v>
      </c>
      <c r="S75" s="103">
        <f t="shared" si="216"/>
        <v>0</v>
      </c>
      <c r="T75" s="103">
        <f t="shared" ref="T75:V75" si="217">H75/SUM($H75:$J75)</f>
        <v>0.5769230769</v>
      </c>
      <c r="U75" s="103">
        <f t="shared" si="217"/>
        <v>0.4230769231</v>
      </c>
      <c r="V75" s="103">
        <f t="shared" si="217"/>
        <v>0</v>
      </c>
      <c r="W75" s="103">
        <f t="shared" ref="W75:Y75" si="218">K75/SUM($K75:$M75)</f>
        <v>0</v>
      </c>
      <c r="X75" s="103">
        <f t="shared" si="218"/>
        <v>0.8888888889</v>
      </c>
      <c r="Y75" s="103">
        <f t="shared" si="218"/>
        <v>0.1111111111</v>
      </c>
    </row>
    <row r="76">
      <c r="A76" s="17"/>
      <c r="D76" s="103"/>
      <c r="E76" s="103"/>
      <c r="F76" s="103"/>
      <c r="G76" s="103"/>
      <c r="H76" s="103"/>
      <c r="I76" s="103"/>
      <c r="J76" s="103"/>
      <c r="K76" s="103"/>
      <c r="L76" s="103"/>
      <c r="N76" s="102"/>
      <c r="O76" s="119"/>
    </row>
    <row r="77">
      <c r="A77" s="17"/>
      <c r="D77" s="103"/>
      <c r="E77" s="103"/>
      <c r="F77" s="103"/>
      <c r="G77" s="103"/>
      <c r="H77" s="103"/>
      <c r="I77" s="103"/>
      <c r="J77" s="103"/>
      <c r="K77" s="103"/>
      <c r="L77" s="103"/>
      <c r="N77" s="102"/>
      <c r="O77" s="119"/>
    </row>
    <row r="78">
      <c r="A78" s="17"/>
      <c r="D78" s="103"/>
      <c r="E78" s="103"/>
      <c r="F78" s="103"/>
      <c r="G78" s="103"/>
      <c r="H78" s="103"/>
      <c r="I78" s="103"/>
      <c r="J78" s="103"/>
      <c r="K78" s="103"/>
      <c r="L78" s="103"/>
      <c r="N78" s="102"/>
      <c r="O78" s="119"/>
    </row>
    <row r="79">
      <c r="A79" s="17"/>
      <c r="C79" s="79"/>
      <c r="D79" s="79"/>
      <c r="E79" s="79"/>
      <c r="F79" s="79"/>
      <c r="G79" s="79"/>
      <c r="H79" s="79"/>
      <c r="I79" s="79"/>
      <c r="J79" s="79"/>
      <c r="K79" s="79"/>
      <c r="L79" s="79"/>
      <c r="N79" s="102"/>
      <c r="O79" s="119"/>
    </row>
    <row r="80">
      <c r="A80" s="17"/>
      <c r="C80" s="79"/>
      <c r="D80" s="79"/>
      <c r="E80" s="79"/>
      <c r="F80" s="79"/>
      <c r="G80" s="79"/>
      <c r="H80" s="79"/>
      <c r="I80" s="79"/>
      <c r="J80" s="79"/>
      <c r="K80" s="79"/>
      <c r="L80" s="79"/>
      <c r="N80" s="102"/>
      <c r="O80" s="119"/>
    </row>
    <row r="81">
      <c r="A81" s="17"/>
      <c r="C81" s="79"/>
      <c r="D81" s="79"/>
      <c r="E81" s="79"/>
      <c r="F81" s="79"/>
      <c r="G81" s="79"/>
      <c r="H81" s="79"/>
      <c r="I81" s="79"/>
      <c r="J81" s="79"/>
      <c r="K81" s="79"/>
      <c r="L81" s="79"/>
      <c r="N81" s="102"/>
      <c r="O81" s="119"/>
    </row>
    <row r="82">
      <c r="A82" s="17"/>
      <c r="C82" s="79"/>
      <c r="D82" s="79"/>
      <c r="E82" s="79"/>
      <c r="F82" s="79"/>
      <c r="G82" s="79"/>
      <c r="H82" s="79"/>
      <c r="I82" s="79"/>
      <c r="J82" s="79"/>
      <c r="K82" s="79"/>
      <c r="L82" s="79"/>
      <c r="N82" s="102"/>
      <c r="O82" s="119"/>
    </row>
    <row r="83">
      <c r="A83" s="17"/>
      <c r="C83" s="79"/>
      <c r="D83" s="79"/>
      <c r="E83" s="79"/>
      <c r="F83" s="79"/>
      <c r="G83" s="79"/>
      <c r="H83" s="79"/>
      <c r="I83" s="79"/>
      <c r="J83" s="79"/>
      <c r="K83" s="79"/>
      <c r="L83" s="79"/>
      <c r="N83" s="102"/>
      <c r="O83" s="119"/>
    </row>
    <row r="84">
      <c r="A84" s="17"/>
      <c r="C84" s="79"/>
      <c r="D84" s="79"/>
      <c r="E84" s="79"/>
      <c r="F84" s="79"/>
      <c r="G84" s="79"/>
      <c r="H84" s="79"/>
      <c r="I84" s="79"/>
      <c r="J84" s="79"/>
      <c r="K84" s="79"/>
      <c r="L84" s="79"/>
      <c r="N84" s="102"/>
      <c r="O84" s="119"/>
    </row>
    <row r="85">
      <c r="A85" s="17"/>
      <c r="C85" s="79"/>
      <c r="D85" s="79"/>
      <c r="E85" s="79"/>
      <c r="F85" s="79"/>
      <c r="G85" s="79"/>
      <c r="H85" s="79"/>
      <c r="I85" s="79"/>
      <c r="J85" s="79"/>
      <c r="K85" s="79"/>
      <c r="L85" s="79"/>
      <c r="N85" s="102"/>
      <c r="O85" s="119"/>
    </row>
    <row r="86">
      <c r="A86" s="17"/>
      <c r="C86" s="79"/>
      <c r="D86" s="79"/>
      <c r="E86" s="79"/>
      <c r="F86" s="79"/>
      <c r="G86" s="79"/>
      <c r="H86" s="79"/>
      <c r="I86" s="79"/>
      <c r="J86" s="79"/>
      <c r="K86" s="79"/>
      <c r="L86" s="79"/>
      <c r="N86" s="102"/>
      <c r="O86" s="119"/>
    </row>
    <row r="87">
      <c r="A87" s="17"/>
      <c r="C87" s="79"/>
      <c r="D87" s="79"/>
      <c r="E87" s="79"/>
      <c r="F87" s="79"/>
      <c r="G87" s="79"/>
      <c r="H87" s="79"/>
      <c r="I87" s="79"/>
      <c r="J87" s="79"/>
      <c r="K87" s="79"/>
      <c r="L87" s="79"/>
      <c r="N87" s="102"/>
      <c r="O87" s="119"/>
    </row>
    <row r="88">
      <c r="A88" s="17"/>
      <c r="C88" s="79"/>
      <c r="D88" s="79"/>
      <c r="E88" s="79"/>
      <c r="F88" s="79"/>
      <c r="G88" s="79"/>
      <c r="H88" s="79"/>
      <c r="I88" s="79"/>
      <c r="J88" s="79"/>
      <c r="K88" s="79"/>
      <c r="L88" s="79"/>
      <c r="N88" s="102"/>
      <c r="O88" s="119"/>
    </row>
    <row r="89">
      <c r="A89" s="17"/>
      <c r="C89" s="79"/>
      <c r="D89" s="79"/>
      <c r="E89" s="79"/>
      <c r="F89" s="79"/>
      <c r="G89" s="79"/>
      <c r="H89" s="79"/>
      <c r="I89" s="79"/>
      <c r="J89" s="79"/>
      <c r="K89" s="79"/>
      <c r="L89" s="79"/>
      <c r="N89" s="102"/>
      <c r="O89" s="119"/>
    </row>
    <row r="90">
      <c r="A90" s="17"/>
      <c r="C90" s="79"/>
      <c r="D90" s="79"/>
      <c r="E90" s="79"/>
      <c r="F90" s="79"/>
      <c r="G90" s="79"/>
      <c r="H90" s="79"/>
      <c r="I90" s="79"/>
      <c r="J90" s="79"/>
      <c r="K90" s="79"/>
      <c r="L90" s="79"/>
      <c r="N90" s="102"/>
      <c r="O90" s="119"/>
    </row>
    <row r="91">
      <c r="A91" s="17"/>
      <c r="C91" s="79"/>
      <c r="D91" s="79"/>
      <c r="E91" s="79"/>
      <c r="F91" s="79"/>
      <c r="G91" s="79"/>
      <c r="H91" s="79"/>
      <c r="I91" s="79"/>
      <c r="J91" s="79"/>
      <c r="K91" s="79"/>
      <c r="L91" s="79"/>
      <c r="N91" s="102"/>
      <c r="O91" s="119"/>
    </row>
    <row r="92">
      <c r="A92" s="17"/>
      <c r="C92" s="79"/>
      <c r="D92" s="79"/>
      <c r="E92" s="79"/>
      <c r="F92" s="79"/>
      <c r="G92" s="79"/>
      <c r="H92" s="79"/>
      <c r="I92" s="79"/>
      <c r="J92" s="79"/>
      <c r="K92" s="79"/>
      <c r="L92" s="79"/>
      <c r="N92" s="102"/>
      <c r="O92" s="119"/>
    </row>
    <row r="93">
      <c r="A93" s="17"/>
      <c r="C93" s="79"/>
      <c r="D93" s="79"/>
      <c r="E93" s="79"/>
      <c r="F93" s="79"/>
      <c r="G93" s="79"/>
      <c r="H93" s="79"/>
      <c r="I93" s="79"/>
      <c r="J93" s="79"/>
      <c r="K93" s="79"/>
      <c r="L93" s="79"/>
      <c r="N93" s="102"/>
      <c r="O93" s="119"/>
    </row>
    <row r="94">
      <c r="A94" s="17"/>
      <c r="C94" s="79"/>
      <c r="D94" s="79"/>
      <c r="E94" s="79"/>
      <c r="F94" s="79"/>
      <c r="G94" s="79"/>
      <c r="H94" s="79"/>
      <c r="I94" s="79"/>
      <c r="J94" s="79"/>
      <c r="K94" s="79"/>
      <c r="L94" s="79"/>
      <c r="N94" s="102"/>
      <c r="O94" s="119"/>
    </row>
    <row r="95">
      <c r="A95" s="17"/>
      <c r="C95" s="79"/>
      <c r="D95" s="79"/>
      <c r="E95" s="79"/>
      <c r="F95" s="79"/>
      <c r="G95" s="79"/>
      <c r="H95" s="79"/>
      <c r="I95" s="79"/>
      <c r="J95" s="79"/>
      <c r="K95" s="79"/>
      <c r="L95" s="79"/>
      <c r="N95" s="102"/>
      <c r="O95" s="119"/>
    </row>
    <row r="96">
      <c r="A96" s="17"/>
      <c r="C96" s="79"/>
      <c r="D96" s="79"/>
      <c r="E96" s="79"/>
      <c r="F96" s="79"/>
      <c r="G96" s="79"/>
      <c r="H96" s="79"/>
      <c r="I96" s="79"/>
      <c r="J96" s="79"/>
      <c r="K96" s="79"/>
      <c r="L96" s="79"/>
      <c r="N96" s="102"/>
      <c r="O96" s="119"/>
    </row>
    <row r="97">
      <c r="A97" s="17"/>
      <c r="C97" s="79"/>
      <c r="D97" s="79"/>
      <c r="E97" s="79"/>
      <c r="F97" s="79"/>
      <c r="G97" s="79"/>
      <c r="H97" s="79"/>
      <c r="I97" s="79"/>
      <c r="J97" s="79"/>
      <c r="K97" s="79"/>
      <c r="L97" s="79"/>
      <c r="N97" s="102"/>
      <c r="O97" s="119"/>
    </row>
    <row r="98">
      <c r="A98" s="17"/>
      <c r="C98" s="79"/>
      <c r="D98" s="79"/>
      <c r="E98" s="79"/>
      <c r="F98" s="79"/>
      <c r="G98" s="79"/>
      <c r="H98" s="79"/>
      <c r="I98" s="79"/>
      <c r="J98" s="79"/>
      <c r="K98" s="79"/>
      <c r="L98" s="79"/>
      <c r="N98" s="102"/>
      <c r="O98" s="119"/>
    </row>
    <row r="99">
      <c r="A99" s="17"/>
      <c r="C99" s="79"/>
      <c r="D99" s="79"/>
      <c r="E99" s="79"/>
      <c r="F99" s="79"/>
      <c r="G99" s="79"/>
      <c r="H99" s="79"/>
      <c r="I99" s="79"/>
      <c r="J99" s="79"/>
      <c r="K99" s="79"/>
      <c r="L99" s="79"/>
      <c r="N99" s="102"/>
      <c r="O99" s="119"/>
    </row>
    <row r="100">
      <c r="A100" s="17"/>
      <c r="C100" s="79"/>
      <c r="D100" s="79"/>
      <c r="E100" s="79"/>
      <c r="F100" s="79"/>
      <c r="G100" s="79"/>
      <c r="H100" s="79"/>
      <c r="I100" s="79"/>
      <c r="J100" s="79"/>
      <c r="K100" s="79"/>
      <c r="L100" s="79"/>
      <c r="N100" s="102"/>
      <c r="O100" s="119"/>
    </row>
    <row r="101">
      <c r="A101" s="17"/>
      <c r="C101" s="79"/>
      <c r="D101" s="79"/>
      <c r="E101" s="79"/>
      <c r="F101" s="79"/>
      <c r="G101" s="79"/>
      <c r="H101" s="79"/>
      <c r="I101" s="79"/>
      <c r="J101" s="79"/>
      <c r="K101" s="79"/>
      <c r="L101" s="79"/>
      <c r="N101" s="102"/>
      <c r="O101" s="119"/>
    </row>
    <row r="102">
      <c r="A102" s="17"/>
      <c r="C102" s="79"/>
      <c r="D102" s="79"/>
      <c r="E102" s="79"/>
      <c r="F102" s="79"/>
      <c r="G102" s="79"/>
      <c r="H102" s="79"/>
      <c r="I102" s="79"/>
      <c r="J102" s="79"/>
      <c r="K102" s="79"/>
      <c r="L102" s="79"/>
      <c r="N102" s="102"/>
      <c r="O102" s="119"/>
    </row>
    <row r="103">
      <c r="A103" s="17"/>
      <c r="C103" s="79"/>
      <c r="D103" s="79"/>
      <c r="E103" s="79"/>
      <c r="F103" s="79"/>
      <c r="G103" s="79"/>
      <c r="H103" s="79"/>
      <c r="I103" s="79"/>
      <c r="J103" s="79"/>
      <c r="K103" s="79"/>
      <c r="L103" s="79"/>
      <c r="N103" s="102"/>
      <c r="O103" s="119"/>
    </row>
    <row r="104">
      <c r="A104" s="17"/>
      <c r="C104" s="79"/>
      <c r="D104" s="79"/>
      <c r="E104" s="79"/>
      <c r="F104" s="79"/>
      <c r="G104" s="79"/>
      <c r="H104" s="79"/>
      <c r="I104" s="79"/>
      <c r="J104" s="79"/>
      <c r="K104" s="79"/>
      <c r="L104" s="79"/>
      <c r="N104" s="102"/>
      <c r="O104" s="119"/>
    </row>
    <row r="105">
      <c r="A105" s="17"/>
      <c r="C105" s="79"/>
      <c r="D105" s="79"/>
      <c r="E105" s="79"/>
      <c r="F105" s="79"/>
      <c r="G105" s="79"/>
      <c r="H105" s="79"/>
      <c r="I105" s="79"/>
      <c r="J105" s="79"/>
      <c r="K105" s="79"/>
      <c r="L105" s="79"/>
      <c r="N105" s="102"/>
      <c r="O105" s="119"/>
    </row>
    <row r="106">
      <c r="A106" s="17"/>
      <c r="C106" s="79"/>
      <c r="D106" s="79"/>
      <c r="E106" s="79"/>
      <c r="F106" s="79"/>
      <c r="G106" s="79"/>
      <c r="H106" s="79"/>
      <c r="I106" s="79"/>
      <c r="J106" s="79"/>
      <c r="K106" s="79"/>
      <c r="L106" s="79"/>
      <c r="N106" s="102"/>
      <c r="O106" s="119"/>
    </row>
    <row r="107">
      <c r="A107" s="17"/>
      <c r="C107" s="79"/>
      <c r="D107" s="79"/>
      <c r="E107" s="79"/>
      <c r="F107" s="79"/>
      <c r="G107" s="79"/>
      <c r="H107" s="79"/>
      <c r="I107" s="79"/>
      <c r="J107" s="79"/>
      <c r="K107" s="79"/>
      <c r="L107" s="79"/>
      <c r="N107" s="102"/>
      <c r="O107" s="119"/>
    </row>
    <row r="108">
      <c r="A108" s="17"/>
      <c r="C108" s="79"/>
      <c r="D108" s="79"/>
      <c r="E108" s="79"/>
      <c r="F108" s="79"/>
      <c r="G108" s="79"/>
      <c r="H108" s="79"/>
      <c r="I108" s="79"/>
      <c r="J108" s="79"/>
      <c r="K108" s="79"/>
      <c r="L108" s="79"/>
      <c r="N108" s="102"/>
      <c r="O108" s="119"/>
    </row>
    <row r="109">
      <c r="A109" s="17"/>
      <c r="C109" s="79"/>
      <c r="D109" s="79"/>
      <c r="E109" s="79"/>
      <c r="F109" s="79"/>
      <c r="G109" s="79"/>
      <c r="H109" s="79"/>
      <c r="I109" s="79"/>
      <c r="J109" s="79"/>
      <c r="K109" s="79"/>
      <c r="L109" s="79"/>
      <c r="N109" s="102"/>
      <c r="O109" s="119"/>
    </row>
    <row r="110">
      <c r="A110" s="17"/>
      <c r="C110" s="79"/>
      <c r="D110" s="79"/>
      <c r="E110" s="79"/>
      <c r="F110" s="79"/>
      <c r="G110" s="79"/>
      <c r="H110" s="79"/>
      <c r="I110" s="79"/>
      <c r="J110" s="79"/>
      <c r="K110" s="79"/>
      <c r="L110" s="79"/>
      <c r="N110" s="102"/>
      <c r="O110" s="119"/>
    </row>
    <row r="111">
      <c r="A111" s="17"/>
      <c r="C111" s="79"/>
      <c r="D111" s="79"/>
      <c r="E111" s="79"/>
      <c r="F111" s="79"/>
      <c r="G111" s="79"/>
      <c r="H111" s="79"/>
      <c r="I111" s="79"/>
      <c r="J111" s="79"/>
      <c r="K111" s="79"/>
      <c r="L111" s="79"/>
      <c r="N111" s="102"/>
      <c r="O111" s="119"/>
    </row>
    <row r="112">
      <c r="A112" s="17"/>
      <c r="C112" s="79"/>
      <c r="D112" s="79"/>
      <c r="E112" s="79"/>
      <c r="F112" s="79"/>
      <c r="G112" s="79"/>
      <c r="H112" s="79"/>
      <c r="I112" s="79"/>
      <c r="J112" s="79"/>
      <c r="K112" s="79"/>
      <c r="L112" s="79"/>
      <c r="N112" s="102"/>
      <c r="O112" s="119"/>
    </row>
    <row r="113">
      <c r="A113" s="17"/>
      <c r="C113" s="79"/>
      <c r="D113" s="79"/>
      <c r="E113" s="79"/>
      <c r="F113" s="79"/>
      <c r="G113" s="79"/>
      <c r="H113" s="79"/>
      <c r="I113" s="79"/>
      <c r="J113" s="79"/>
      <c r="K113" s="79"/>
      <c r="L113" s="79"/>
      <c r="N113" s="102"/>
      <c r="O113" s="119"/>
    </row>
    <row r="114">
      <c r="A114" s="17"/>
      <c r="C114" s="79"/>
      <c r="D114" s="79"/>
      <c r="E114" s="79"/>
      <c r="F114" s="79"/>
      <c r="G114" s="79"/>
      <c r="H114" s="79"/>
      <c r="I114" s="79"/>
      <c r="J114" s="79"/>
      <c r="K114" s="79"/>
      <c r="L114" s="79"/>
      <c r="N114" s="102"/>
      <c r="O114" s="119"/>
    </row>
    <row r="115">
      <c r="A115" s="17"/>
      <c r="C115" s="79"/>
      <c r="D115" s="79"/>
      <c r="E115" s="79"/>
      <c r="F115" s="79"/>
      <c r="G115" s="79"/>
      <c r="H115" s="79"/>
      <c r="I115" s="79"/>
      <c r="J115" s="79"/>
      <c r="K115" s="79"/>
      <c r="L115" s="79"/>
      <c r="N115" s="102"/>
      <c r="O115" s="119"/>
    </row>
    <row r="116">
      <c r="A116" s="17"/>
      <c r="C116" s="79"/>
      <c r="D116" s="79"/>
      <c r="E116" s="79"/>
      <c r="F116" s="79"/>
      <c r="G116" s="79"/>
      <c r="H116" s="79"/>
      <c r="I116" s="79"/>
      <c r="J116" s="79"/>
      <c r="K116" s="79"/>
      <c r="L116" s="79"/>
      <c r="N116" s="102"/>
      <c r="O116" s="119"/>
    </row>
    <row r="117">
      <c r="A117" s="17"/>
      <c r="C117" s="79"/>
      <c r="D117" s="79"/>
      <c r="E117" s="79"/>
      <c r="F117" s="79"/>
      <c r="G117" s="79"/>
      <c r="H117" s="79"/>
      <c r="I117" s="79"/>
      <c r="J117" s="79"/>
      <c r="K117" s="79"/>
      <c r="L117" s="79"/>
      <c r="N117" s="102"/>
      <c r="O117" s="119"/>
    </row>
    <row r="118">
      <c r="A118" s="17"/>
      <c r="C118" s="79"/>
      <c r="D118" s="79"/>
      <c r="E118" s="79"/>
      <c r="F118" s="79"/>
      <c r="G118" s="79"/>
      <c r="H118" s="79"/>
      <c r="I118" s="79"/>
      <c r="J118" s="79"/>
      <c r="K118" s="79"/>
      <c r="L118" s="79"/>
      <c r="N118" s="102"/>
      <c r="O118" s="119"/>
    </row>
    <row r="119">
      <c r="A119" s="17"/>
      <c r="C119" s="79"/>
      <c r="D119" s="79"/>
      <c r="E119" s="79"/>
      <c r="F119" s="79"/>
      <c r="G119" s="79"/>
      <c r="H119" s="79"/>
      <c r="I119" s="79"/>
      <c r="J119" s="79"/>
      <c r="K119" s="79"/>
      <c r="L119" s="79"/>
      <c r="N119" s="102"/>
      <c r="O119" s="119"/>
    </row>
    <row r="120">
      <c r="A120" s="17"/>
      <c r="C120" s="79"/>
      <c r="D120" s="79"/>
      <c r="E120" s="79"/>
      <c r="F120" s="79"/>
      <c r="G120" s="79"/>
      <c r="H120" s="79"/>
      <c r="I120" s="79"/>
      <c r="J120" s="79"/>
      <c r="K120" s="79"/>
      <c r="L120" s="79"/>
      <c r="N120" s="102"/>
      <c r="O120" s="119"/>
    </row>
    <row r="121">
      <c r="A121" s="17"/>
      <c r="C121" s="79"/>
      <c r="D121" s="79"/>
      <c r="E121" s="79"/>
      <c r="F121" s="79"/>
      <c r="G121" s="79"/>
      <c r="H121" s="79"/>
      <c r="I121" s="79"/>
      <c r="J121" s="79"/>
      <c r="K121" s="79"/>
      <c r="L121" s="79"/>
      <c r="N121" s="102"/>
      <c r="O121" s="119"/>
    </row>
    <row r="122">
      <c r="A122" s="17"/>
      <c r="C122" s="79"/>
      <c r="D122" s="79"/>
      <c r="E122" s="79"/>
      <c r="F122" s="79"/>
      <c r="G122" s="79"/>
      <c r="H122" s="79"/>
      <c r="I122" s="79"/>
      <c r="J122" s="79"/>
      <c r="K122" s="79"/>
      <c r="L122" s="79"/>
      <c r="N122" s="102"/>
      <c r="O122" s="119"/>
    </row>
    <row r="123">
      <c r="A123" s="17"/>
      <c r="C123" s="79"/>
      <c r="D123" s="79"/>
      <c r="E123" s="79"/>
      <c r="F123" s="79"/>
      <c r="G123" s="79"/>
      <c r="H123" s="79"/>
      <c r="I123" s="79"/>
      <c r="J123" s="79"/>
      <c r="K123" s="79"/>
      <c r="L123" s="79"/>
      <c r="N123" s="102"/>
      <c r="O123" s="119"/>
    </row>
    <row r="124">
      <c r="A124" s="17"/>
      <c r="C124" s="79"/>
      <c r="D124" s="79"/>
      <c r="E124" s="79"/>
      <c r="F124" s="79"/>
      <c r="G124" s="79"/>
      <c r="H124" s="79"/>
      <c r="I124" s="79"/>
      <c r="J124" s="79"/>
      <c r="K124" s="79"/>
      <c r="L124" s="79"/>
      <c r="N124" s="102"/>
      <c r="O124" s="119"/>
    </row>
    <row r="125">
      <c r="A125" s="17"/>
      <c r="C125" s="79"/>
      <c r="D125" s="79"/>
      <c r="E125" s="79"/>
      <c r="F125" s="79"/>
      <c r="G125" s="79"/>
      <c r="H125" s="79"/>
      <c r="I125" s="79"/>
      <c r="J125" s="79"/>
      <c r="K125" s="79"/>
      <c r="L125" s="79"/>
      <c r="N125" s="102"/>
      <c r="O125" s="119"/>
    </row>
    <row r="126">
      <c r="A126" s="17"/>
      <c r="C126" s="79"/>
      <c r="D126" s="79"/>
      <c r="E126" s="79"/>
      <c r="F126" s="79"/>
      <c r="G126" s="79"/>
      <c r="H126" s="79"/>
      <c r="I126" s="79"/>
      <c r="J126" s="79"/>
      <c r="K126" s="79"/>
      <c r="L126" s="79"/>
      <c r="N126" s="102"/>
      <c r="O126" s="119"/>
    </row>
    <row r="127">
      <c r="A127" s="17"/>
      <c r="C127" s="79"/>
      <c r="D127" s="79"/>
      <c r="E127" s="79"/>
      <c r="F127" s="79"/>
      <c r="G127" s="79"/>
      <c r="H127" s="79"/>
      <c r="I127" s="79"/>
      <c r="J127" s="79"/>
      <c r="K127" s="79"/>
      <c r="L127" s="79"/>
      <c r="N127" s="102"/>
      <c r="O127" s="119"/>
    </row>
    <row r="128">
      <c r="A128" s="17"/>
      <c r="C128" s="79"/>
      <c r="D128" s="79"/>
      <c r="E128" s="79"/>
      <c r="F128" s="79"/>
      <c r="G128" s="79"/>
      <c r="H128" s="79"/>
      <c r="I128" s="79"/>
      <c r="J128" s="79"/>
      <c r="K128" s="79"/>
      <c r="L128" s="79"/>
      <c r="N128" s="102"/>
      <c r="O128" s="119"/>
    </row>
    <row r="129">
      <c r="A129" s="17"/>
      <c r="C129" s="79"/>
      <c r="D129" s="79"/>
      <c r="E129" s="79"/>
      <c r="F129" s="79"/>
      <c r="G129" s="79"/>
      <c r="H129" s="79"/>
      <c r="I129" s="79"/>
      <c r="J129" s="79"/>
      <c r="K129" s="79"/>
      <c r="L129" s="79"/>
      <c r="N129" s="102"/>
      <c r="O129" s="119"/>
    </row>
    <row r="130">
      <c r="A130" s="17"/>
      <c r="C130" s="79"/>
      <c r="D130" s="79"/>
      <c r="E130" s="79"/>
      <c r="F130" s="79"/>
      <c r="G130" s="79"/>
      <c r="H130" s="79"/>
      <c r="I130" s="79"/>
      <c r="J130" s="79"/>
      <c r="K130" s="79"/>
      <c r="L130" s="79"/>
      <c r="N130" s="102"/>
      <c r="O130" s="119"/>
    </row>
    <row r="131">
      <c r="A131" s="17"/>
      <c r="C131" s="79"/>
      <c r="D131" s="79"/>
      <c r="E131" s="79"/>
      <c r="F131" s="79"/>
      <c r="G131" s="79"/>
      <c r="H131" s="79"/>
      <c r="I131" s="79"/>
      <c r="J131" s="79"/>
      <c r="K131" s="79"/>
      <c r="L131" s="79"/>
      <c r="N131" s="102"/>
      <c r="O131" s="119"/>
    </row>
    <row r="132">
      <c r="A132" s="17"/>
      <c r="C132" s="79"/>
      <c r="D132" s="79"/>
      <c r="E132" s="79"/>
      <c r="F132" s="79"/>
      <c r="G132" s="79"/>
      <c r="H132" s="79"/>
      <c r="I132" s="79"/>
      <c r="J132" s="79"/>
      <c r="K132" s="79"/>
      <c r="L132" s="79"/>
      <c r="N132" s="102"/>
      <c r="O132" s="119"/>
    </row>
    <row r="133">
      <c r="A133" s="17"/>
      <c r="C133" s="79"/>
      <c r="D133" s="79"/>
      <c r="E133" s="79"/>
      <c r="F133" s="79"/>
      <c r="G133" s="79"/>
      <c r="H133" s="79"/>
      <c r="I133" s="79"/>
      <c r="J133" s="79"/>
      <c r="K133" s="79"/>
      <c r="L133" s="79"/>
      <c r="N133" s="102"/>
      <c r="O133" s="119"/>
    </row>
    <row r="134">
      <c r="A134" s="17"/>
      <c r="C134" s="79"/>
      <c r="D134" s="79"/>
      <c r="E134" s="79"/>
      <c r="F134" s="79"/>
      <c r="G134" s="79"/>
      <c r="H134" s="79"/>
      <c r="I134" s="79"/>
      <c r="J134" s="79"/>
      <c r="K134" s="79"/>
      <c r="L134" s="79"/>
      <c r="N134" s="102"/>
      <c r="O134" s="119"/>
    </row>
    <row r="135">
      <c r="A135" s="17"/>
      <c r="C135" s="79"/>
      <c r="D135" s="79"/>
      <c r="E135" s="79"/>
      <c r="F135" s="79"/>
      <c r="G135" s="79"/>
      <c r="H135" s="79"/>
      <c r="I135" s="79"/>
      <c r="J135" s="79"/>
      <c r="K135" s="79"/>
      <c r="L135" s="79"/>
      <c r="N135" s="102"/>
      <c r="O135" s="119"/>
    </row>
    <row r="136">
      <c r="A136" s="17"/>
      <c r="C136" s="79"/>
      <c r="D136" s="79"/>
      <c r="E136" s="79"/>
      <c r="F136" s="79"/>
      <c r="G136" s="79"/>
      <c r="H136" s="79"/>
      <c r="I136" s="79"/>
      <c r="J136" s="79"/>
      <c r="K136" s="79"/>
      <c r="L136" s="79"/>
      <c r="N136" s="102"/>
      <c r="O136" s="119"/>
    </row>
    <row r="137">
      <c r="A137" s="17"/>
      <c r="C137" s="79"/>
      <c r="D137" s="79"/>
      <c r="E137" s="79"/>
      <c r="F137" s="79"/>
      <c r="G137" s="79"/>
      <c r="H137" s="79"/>
      <c r="I137" s="79"/>
      <c r="J137" s="79"/>
      <c r="K137" s="79"/>
      <c r="L137" s="79"/>
      <c r="N137" s="102"/>
      <c r="O137" s="119"/>
    </row>
    <row r="138">
      <c r="A138" s="17"/>
      <c r="C138" s="79"/>
      <c r="D138" s="79"/>
      <c r="E138" s="79"/>
      <c r="F138" s="79"/>
      <c r="G138" s="79"/>
      <c r="H138" s="79"/>
      <c r="I138" s="79"/>
      <c r="J138" s="79"/>
      <c r="K138" s="79"/>
      <c r="L138" s="79"/>
      <c r="N138" s="102"/>
      <c r="O138" s="119"/>
    </row>
    <row r="139">
      <c r="A139" s="17"/>
      <c r="C139" s="79"/>
      <c r="D139" s="79"/>
      <c r="E139" s="79"/>
      <c r="F139" s="79"/>
      <c r="G139" s="79"/>
      <c r="H139" s="79"/>
      <c r="I139" s="79"/>
      <c r="J139" s="79"/>
      <c r="K139" s="79"/>
      <c r="L139" s="79"/>
      <c r="N139" s="102"/>
      <c r="O139" s="119"/>
    </row>
    <row r="140">
      <c r="A140" s="17"/>
      <c r="C140" s="79"/>
      <c r="D140" s="79"/>
      <c r="E140" s="79"/>
      <c r="F140" s="79"/>
      <c r="G140" s="79"/>
      <c r="H140" s="79"/>
      <c r="I140" s="79"/>
      <c r="J140" s="79"/>
      <c r="K140" s="79"/>
      <c r="L140" s="79"/>
      <c r="N140" s="102"/>
      <c r="O140" s="119"/>
    </row>
    <row r="141">
      <c r="A141" s="17"/>
      <c r="C141" s="79"/>
      <c r="D141" s="79"/>
      <c r="E141" s="79"/>
      <c r="F141" s="79"/>
      <c r="G141" s="79"/>
      <c r="H141" s="79"/>
      <c r="I141" s="79"/>
      <c r="J141" s="79"/>
      <c r="K141" s="79"/>
      <c r="L141" s="79"/>
      <c r="N141" s="102"/>
      <c r="O141" s="119"/>
    </row>
    <row r="142">
      <c r="A142" s="17"/>
      <c r="C142" s="79"/>
      <c r="D142" s="79"/>
      <c r="E142" s="79"/>
      <c r="F142" s="79"/>
      <c r="G142" s="79"/>
      <c r="H142" s="79"/>
      <c r="I142" s="79"/>
      <c r="J142" s="79"/>
      <c r="K142" s="79"/>
      <c r="L142" s="79"/>
      <c r="N142" s="102"/>
      <c r="O142" s="119"/>
    </row>
    <row r="143">
      <c r="A143" s="17"/>
      <c r="C143" s="79"/>
      <c r="D143" s="79"/>
      <c r="E143" s="79"/>
      <c r="F143" s="79"/>
      <c r="G143" s="79"/>
      <c r="H143" s="79"/>
      <c r="I143" s="79"/>
      <c r="J143" s="79"/>
      <c r="K143" s="79"/>
      <c r="L143" s="79"/>
      <c r="N143" s="102"/>
      <c r="O143" s="119"/>
    </row>
    <row r="144">
      <c r="A144" s="17"/>
      <c r="C144" s="79"/>
      <c r="D144" s="79"/>
      <c r="E144" s="79"/>
      <c r="F144" s="79"/>
      <c r="G144" s="79"/>
      <c r="H144" s="79"/>
      <c r="I144" s="79"/>
      <c r="J144" s="79"/>
      <c r="K144" s="79"/>
      <c r="L144" s="79"/>
      <c r="N144" s="102"/>
      <c r="O144" s="119"/>
    </row>
    <row r="145">
      <c r="A145" s="17"/>
      <c r="C145" s="79"/>
      <c r="D145" s="79"/>
      <c r="E145" s="79"/>
      <c r="F145" s="79"/>
      <c r="G145" s="79"/>
      <c r="H145" s="79"/>
      <c r="I145" s="79"/>
      <c r="J145" s="79"/>
      <c r="K145" s="79"/>
      <c r="L145" s="79"/>
      <c r="N145" s="102"/>
      <c r="O145" s="119"/>
    </row>
    <row r="146">
      <c r="A146" s="17"/>
      <c r="C146" s="79"/>
      <c r="D146" s="79"/>
      <c r="E146" s="79"/>
      <c r="F146" s="79"/>
      <c r="G146" s="79"/>
      <c r="H146" s="79"/>
      <c r="I146" s="79"/>
      <c r="J146" s="79"/>
      <c r="K146" s="79"/>
      <c r="L146" s="79"/>
      <c r="N146" s="102"/>
      <c r="O146" s="119"/>
    </row>
    <row r="147">
      <c r="A147" s="17"/>
      <c r="C147" s="79"/>
      <c r="D147" s="79"/>
      <c r="E147" s="79"/>
      <c r="F147" s="79"/>
      <c r="G147" s="79"/>
      <c r="H147" s="79"/>
      <c r="I147" s="79"/>
      <c r="J147" s="79"/>
      <c r="K147" s="79"/>
      <c r="L147" s="79"/>
      <c r="N147" s="102"/>
      <c r="O147" s="119"/>
    </row>
    <row r="148">
      <c r="A148" s="17"/>
      <c r="C148" s="79"/>
      <c r="D148" s="79"/>
      <c r="E148" s="79"/>
      <c r="F148" s="79"/>
      <c r="G148" s="79"/>
      <c r="H148" s="79"/>
      <c r="I148" s="79"/>
      <c r="J148" s="79"/>
      <c r="K148" s="79"/>
      <c r="L148" s="79"/>
      <c r="N148" s="102"/>
      <c r="O148" s="119"/>
    </row>
    <row r="149">
      <c r="A149" s="17"/>
      <c r="C149" s="79"/>
      <c r="D149" s="79"/>
      <c r="E149" s="79"/>
      <c r="F149" s="79"/>
      <c r="G149" s="79"/>
      <c r="H149" s="79"/>
      <c r="I149" s="79"/>
      <c r="J149" s="79"/>
      <c r="K149" s="79"/>
      <c r="L149" s="79"/>
      <c r="N149" s="102"/>
      <c r="O149" s="119"/>
    </row>
    <row r="150">
      <c r="A150" s="17"/>
      <c r="C150" s="79"/>
      <c r="D150" s="79"/>
      <c r="E150" s="79"/>
      <c r="F150" s="79"/>
      <c r="G150" s="79"/>
      <c r="H150" s="79"/>
      <c r="I150" s="79"/>
      <c r="J150" s="79"/>
      <c r="K150" s="79"/>
      <c r="L150" s="79"/>
      <c r="N150" s="102"/>
      <c r="O150" s="119"/>
    </row>
    <row r="151">
      <c r="A151" s="17"/>
      <c r="C151" s="79"/>
      <c r="D151" s="79"/>
      <c r="E151" s="79"/>
      <c r="F151" s="79"/>
      <c r="G151" s="79"/>
      <c r="H151" s="79"/>
      <c r="I151" s="79"/>
      <c r="J151" s="79"/>
      <c r="K151" s="79"/>
      <c r="L151" s="79"/>
      <c r="N151" s="102"/>
      <c r="O151" s="119"/>
    </row>
    <row r="152">
      <c r="A152" s="17"/>
      <c r="C152" s="79"/>
      <c r="D152" s="79"/>
      <c r="E152" s="79"/>
      <c r="F152" s="79"/>
      <c r="G152" s="79"/>
      <c r="H152" s="79"/>
      <c r="I152" s="79"/>
      <c r="J152" s="79"/>
      <c r="K152" s="79"/>
      <c r="L152" s="79"/>
      <c r="N152" s="102"/>
      <c r="O152" s="119"/>
    </row>
    <row r="153">
      <c r="A153" s="17"/>
      <c r="C153" s="79"/>
      <c r="D153" s="79"/>
      <c r="E153" s="79"/>
      <c r="F153" s="79"/>
      <c r="G153" s="79"/>
      <c r="H153" s="79"/>
      <c r="I153" s="79"/>
      <c r="J153" s="79"/>
      <c r="K153" s="79"/>
      <c r="L153" s="79"/>
      <c r="N153" s="102"/>
      <c r="O153" s="119"/>
    </row>
    <row r="154">
      <c r="A154" s="17"/>
      <c r="C154" s="79"/>
      <c r="D154" s="79"/>
      <c r="E154" s="79"/>
      <c r="F154" s="79"/>
      <c r="G154" s="79"/>
      <c r="H154" s="79"/>
      <c r="I154" s="79"/>
      <c r="J154" s="79"/>
      <c r="K154" s="79"/>
      <c r="L154" s="79"/>
      <c r="N154" s="102"/>
      <c r="O154" s="119"/>
    </row>
    <row r="155">
      <c r="A155" s="17"/>
      <c r="C155" s="79"/>
      <c r="D155" s="79"/>
      <c r="E155" s="79"/>
      <c r="F155" s="79"/>
      <c r="G155" s="79"/>
      <c r="H155" s="79"/>
      <c r="I155" s="79"/>
      <c r="J155" s="79"/>
      <c r="K155" s="79"/>
      <c r="L155" s="79"/>
      <c r="N155" s="102"/>
      <c r="O155" s="119"/>
    </row>
    <row r="156">
      <c r="A156" s="17"/>
      <c r="C156" s="79"/>
      <c r="D156" s="79"/>
      <c r="E156" s="79"/>
      <c r="F156" s="79"/>
      <c r="G156" s="79"/>
      <c r="H156" s="79"/>
      <c r="I156" s="79"/>
      <c r="J156" s="79"/>
      <c r="K156" s="79"/>
      <c r="L156" s="79"/>
      <c r="N156" s="102"/>
      <c r="O156" s="119"/>
    </row>
    <row r="157">
      <c r="A157" s="17"/>
      <c r="C157" s="79"/>
      <c r="D157" s="79"/>
      <c r="E157" s="79"/>
      <c r="F157" s="79"/>
      <c r="G157" s="79"/>
      <c r="H157" s="79"/>
      <c r="I157" s="79"/>
      <c r="J157" s="79"/>
      <c r="K157" s="79"/>
      <c r="L157" s="79"/>
      <c r="N157" s="102"/>
      <c r="O157" s="119"/>
    </row>
    <row r="158">
      <c r="A158" s="17"/>
      <c r="C158" s="79"/>
      <c r="D158" s="79"/>
      <c r="E158" s="79"/>
      <c r="F158" s="79"/>
      <c r="G158" s="79"/>
      <c r="H158" s="79"/>
      <c r="I158" s="79"/>
      <c r="J158" s="79"/>
      <c r="K158" s="79"/>
      <c r="L158" s="79"/>
      <c r="N158" s="102"/>
      <c r="O158" s="119"/>
    </row>
    <row r="159">
      <c r="A159" s="17"/>
      <c r="C159" s="79"/>
      <c r="D159" s="79"/>
      <c r="E159" s="79"/>
      <c r="F159" s="79"/>
      <c r="G159" s="79"/>
      <c r="H159" s="79"/>
      <c r="I159" s="79"/>
      <c r="J159" s="79"/>
      <c r="K159" s="79"/>
      <c r="L159" s="79"/>
      <c r="N159" s="102"/>
      <c r="O159" s="119"/>
    </row>
    <row r="160">
      <c r="A160" s="17"/>
      <c r="C160" s="79"/>
      <c r="D160" s="79"/>
      <c r="E160" s="79"/>
      <c r="F160" s="79"/>
      <c r="G160" s="79"/>
      <c r="H160" s="79"/>
      <c r="I160" s="79"/>
      <c r="J160" s="79"/>
      <c r="K160" s="79"/>
      <c r="L160" s="79"/>
      <c r="N160" s="102"/>
      <c r="O160" s="119"/>
    </row>
    <row r="161">
      <c r="A161" s="17"/>
      <c r="C161" s="79"/>
      <c r="D161" s="79"/>
      <c r="E161" s="79"/>
      <c r="F161" s="79"/>
      <c r="G161" s="79"/>
      <c r="H161" s="79"/>
      <c r="I161" s="79"/>
      <c r="J161" s="79"/>
      <c r="K161" s="79"/>
      <c r="L161" s="79"/>
      <c r="N161" s="102"/>
      <c r="O161" s="119"/>
    </row>
    <row r="162">
      <c r="A162" s="17"/>
      <c r="C162" s="79"/>
      <c r="D162" s="79"/>
      <c r="E162" s="79"/>
      <c r="F162" s="79"/>
      <c r="G162" s="79"/>
      <c r="H162" s="79"/>
      <c r="I162" s="79"/>
      <c r="J162" s="79"/>
      <c r="K162" s="79"/>
      <c r="L162" s="79"/>
      <c r="N162" s="102"/>
      <c r="O162" s="119"/>
    </row>
    <row r="163">
      <c r="A163" s="17"/>
      <c r="C163" s="79"/>
      <c r="D163" s="79"/>
      <c r="E163" s="79"/>
      <c r="F163" s="79"/>
      <c r="G163" s="79"/>
      <c r="H163" s="79"/>
      <c r="I163" s="79"/>
      <c r="J163" s="79"/>
      <c r="K163" s="79"/>
      <c r="L163" s="79"/>
      <c r="N163" s="102"/>
      <c r="O163" s="119"/>
    </row>
    <row r="164">
      <c r="A164" s="17"/>
      <c r="C164" s="79"/>
      <c r="D164" s="79"/>
      <c r="E164" s="79"/>
      <c r="F164" s="79"/>
      <c r="G164" s="79"/>
      <c r="H164" s="79"/>
      <c r="I164" s="79"/>
      <c r="J164" s="79"/>
      <c r="K164" s="79"/>
      <c r="L164" s="79"/>
      <c r="N164" s="102"/>
      <c r="O164" s="119"/>
    </row>
    <row r="165">
      <c r="A165" s="17"/>
      <c r="C165" s="79"/>
      <c r="D165" s="79"/>
      <c r="E165" s="79"/>
      <c r="F165" s="79"/>
      <c r="G165" s="79"/>
      <c r="H165" s="79"/>
      <c r="I165" s="79"/>
      <c r="J165" s="79"/>
      <c r="K165" s="79"/>
      <c r="L165" s="79"/>
      <c r="N165" s="102"/>
      <c r="O165" s="119"/>
    </row>
    <row r="166">
      <c r="A166" s="17"/>
      <c r="C166" s="79"/>
      <c r="D166" s="79"/>
      <c r="E166" s="79"/>
      <c r="F166" s="79"/>
      <c r="G166" s="79"/>
      <c r="H166" s="79"/>
      <c r="I166" s="79"/>
      <c r="J166" s="79"/>
      <c r="K166" s="79"/>
      <c r="L166" s="79"/>
      <c r="N166" s="102"/>
      <c r="O166" s="119"/>
    </row>
    <row r="167">
      <c r="A167" s="17"/>
      <c r="C167" s="79"/>
      <c r="D167" s="79"/>
      <c r="E167" s="79"/>
      <c r="F167" s="79"/>
      <c r="G167" s="79"/>
      <c r="H167" s="79"/>
      <c r="I167" s="79"/>
      <c r="J167" s="79"/>
      <c r="K167" s="79"/>
      <c r="L167" s="79"/>
      <c r="N167" s="102"/>
      <c r="O167" s="119"/>
    </row>
    <row r="168">
      <c r="A168" s="17"/>
      <c r="C168" s="79"/>
      <c r="D168" s="79"/>
      <c r="E168" s="79"/>
      <c r="F168" s="79"/>
      <c r="G168" s="79"/>
      <c r="H168" s="79"/>
      <c r="I168" s="79"/>
      <c r="J168" s="79"/>
      <c r="K168" s="79"/>
      <c r="L168" s="79"/>
      <c r="N168" s="102"/>
      <c r="O168" s="119"/>
    </row>
    <row r="169">
      <c r="A169" s="17"/>
      <c r="C169" s="79"/>
      <c r="D169" s="79"/>
      <c r="E169" s="79"/>
      <c r="F169" s="79"/>
      <c r="G169" s="79"/>
      <c r="H169" s="79"/>
      <c r="I169" s="79"/>
      <c r="J169" s="79"/>
      <c r="K169" s="79"/>
      <c r="L169" s="79"/>
      <c r="N169" s="102"/>
      <c r="O169" s="119"/>
    </row>
    <row r="170">
      <c r="A170" s="17"/>
      <c r="C170" s="79"/>
      <c r="D170" s="79"/>
      <c r="E170" s="79"/>
      <c r="F170" s="79"/>
      <c r="G170" s="79"/>
      <c r="H170" s="79"/>
      <c r="I170" s="79"/>
      <c r="J170" s="79"/>
      <c r="K170" s="79"/>
      <c r="L170" s="79"/>
      <c r="N170" s="102"/>
      <c r="O170" s="119"/>
    </row>
    <row r="171">
      <c r="A171" s="17"/>
      <c r="C171" s="79"/>
      <c r="D171" s="79"/>
      <c r="E171" s="79"/>
      <c r="F171" s="79"/>
      <c r="G171" s="79"/>
      <c r="H171" s="79"/>
      <c r="I171" s="79"/>
      <c r="J171" s="79"/>
      <c r="K171" s="79"/>
      <c r="L171" s="79"/>
      <c r="N171" s="102"/>
      <c r="O171" s="119"/>
    </row>
    <row r="172">
      <c r="A172" s="17"/>
      <c r="C172" s="79"/>
      <c r="D172" s="79"/>
      <c r="E172" s="79"/>
      <c r="F172" s="79"/>
      <c r="G172" s="79"/>
      <c r="H172" s="79"/>
      <c r="I172" s="79"/>
      <c r="J172" s="79"/>
      <c r="K172" s="79"/>
      <c r="L172" s="79"/>
      <c r="N172" s="102"/>
      <c r="O172" s="119"/>
    </row>
    <row r="173">
      <c r="A173" s="17"/>
      <c r="C173" s="79"/>
      <c r="D173" s="79"/>
      <c r="E173" s="79"/>
      <c r="F173" s="79"/>
      <c r="G173" s="79"/>
      <c r="H173" s="79"/>
      <c r="I173" s="79"/>
      <c r="J173" s="79"/>
      <c r="K173" s="79"/>
      <c r="L173" s="79"/>
      <c r="N173" s="102"/>
      <c r="O173" s="119"/>
    </row>
    <row r="174">
      <c r="A174" s="17"/>
      <c r="C174" s="79"/>
      <c r="D174" s="79"/>
      <c r="E174" s="79"/>
      <c r="F174" s="79"/>
      <c r="G174" s="79"/>
      <c r="H174" s="79"/>
      <c r="I174" s="79"/>
      <c r="J174" s="79"/>
      <c r="K174" s="79"/>
      <c r="L174" s="79"/>
      <c r="N174" s="102"/>
      <c r="O174" s="119"/>
    </row>
    <row r="175">
      <c r="A175" s="17"/>
      <c r="C175" s="79"/>
      <c r="D175" s="79"/>
      <c r="E175" s="79"/>
      <c r="F175" s="79"/>
      <c r="G175" s="79"/>
      <c r="H175" s="79"/>
      <c r="I175" s="79"/>
      <c r="J175" s="79"/>
      <c r="K175" s="79"/>
      <c r="L175" s="79"/>
      <c r="N175" s="102"/>
      <c r="O175" s="119"/>
    </row>
    <row r="176">
      <c r="A176" s="17"/>
      <c r="C176" s="79"/>
      <c r="D176" s="79"/>
      <c r="E176" s="79"/>
      <c r="F176" s="79"/>
      <c r="G176" s="79"/>
      <c r="H176" s="79"/>
      <c r="I176" s="79"/>
      <c r="J176" s="79"/>
      <c r="K176" s="79"/>
      <c r="L176" s="79"/>
      <c r="N176" s="102"/>
      <c r="O176" s="119"/>
    </row>
    <row r="177">
      <c r="A177" s="17"/>
      <c r="C177" s="79"/>
      <c r="D177" s="79"/>
      <c r="E177" s="79"/>
      <c r="F177" s="79"/>
      <c r="G177" s="79"/>
      <c r="H177" s="79"/>
      <c r="I177" s="79"/>
      <c r="J177" s="79"/>
      <c r="K177" s="79"/>
      <c r="L177" s="79"/>
      <c r="N177" s="102"/>
      <c r="O177" s="119"/>
    </row>
    <row r="178">
      <c r="A178" s="17"/>
      <c r="C178" s="79"/>
      <c r="D178" s="79"/>
      <c r="E178" s="79"/>
      <c r="F178" s="79"/>
      <c r="G178" s="79"/>
      <c r="H178" s="79"/>
      <c r="I178" s="79"/>
      <c r="J178" s="79"/>
      <c r="K178" s="79"/>
      <c r="L178" s="79"/>
      <c r="N178" s="102"/>
      <c r="O178" s="119"/>
    </row>
    <row r="179">
      <c r="A179" s="17"/>
      <c r="C179" s="79"/>
      <c r="D179" s="79"/>
      <c r="E179" s="79"/>
      <c r="F179" s="79"/>
      <c r="G179" s="79"/>
      <c r="H179" s="79"/>
      <c r="I179" s="79"/>
      <c r="J179" s="79"/>
      <c r="K179" s="79"/>
      <c r="L179" s="79"/>
      <c r="N179" s="102"/>
      <c r="O179" s="119"/>
    </row>
    <row r="180">
      <c r="A180" s="17"/>
      <c r="C180" s="79"/>
      <c r="D180" s="79"/>
      <c r="E180" s="79"/>
      <c r="F180" s="79"/>
      <c r="G180" s="79"/>
      <c r="H180" s="79"/>
      <c r="I180" s="79"/>
      <c r="J180" s="79"/>
      <c r="K180" s="79"/>
      <c r="L180" s="79"/>
      <c r="N180" s="102"/>
      <c r="O180" s="119"/>
    </row>
    <row r="181">
      <c r="A181" s="17"/>
      <c r="C181" s="79"/>
      <c r="D181" s="79"/>
      <c r="E181" s="79"/>
      <c r="F181" s="79"/>
      <c r="G181" s="79"/>
      <c r="H181" s="79"/>
      <c r="I181" s="79"/>
      <c r="J181" s="79"/>
      <c r="K181" s="79"/>
      <c r="L181" s="79"/>
      <c r="N181" s="102"/>
      <c r="O181" s="119"/>
    </row>
    <row r="182">
      <c r="A182" s="17"/>
      <c r="C182" s="79"/>
      <c r="D182" s="79"/>
      <c r="E182" s="79"/>
      <c r="F182" s="79"/>
      <c r="G182" s="79"/>
      <c r="H182" s="79"/>
      <c r="I182" s="79"/>
      <c r="J182" s="79"/>
      <c r="K182" s="79"/>
      <c r="L182" s="79"/>
      <c r="N182" s="102"/>
      <c r="O182" s="119"/>
    </row>
    <row r="183">
      <c r="A183" s="17"/>
      <c r="C183" s="79"/>
      <c r="D183" s="79"/>
      <c r="E183" s="79"/>
      <c r="F183" s="79"/>
      <c r="G183" s="79"/>
      <c r="H183" s="79"/>
      <c r="I183" s="79"/>
      <c r="J183" s="79"/>
      <c r="K183" s="79"/>
      <c r="L183" s="79"/>
      <c r="N183" s="102"/>
      <c r="O183" s="119"/>
    </row>
    <row r="184">
      <c r="A184" s="17"/>
      <c r="C184" s="79"/>
      <c r="D184" s="79"/>
      <c r="E184" s="79"/>
      <c r="F184" s="79"/>
      <c r="G184" s="79"/>
      <c r="H184" s="79"/>
      <c r="I184" s="79"/>
      <c r="J184" s="79"/>
      <c r="K184" s="79"/>
      <c r="L184" s="79"/>
      <c r="N184" s="102"/>
      <c r="O184" s="119"/>
    </row>
    <row r="185">
      <c r="A185" s="17"/>
      <c r="C185" s="79"/>
      <c r="D185" s="79"/>
      <c r="E185" s="79"/>
      <c r="F185" s="79"/>
      <c r="G185" s="79"/>
      <c r="H185" s="79"/>
      <c r="I185" s="79"/>
      <c r="J185" s="79"/>
      <c r="K185" s="79"/>
      <c r="L185" s="79"/>
      <c r="N185" s="102"/>
      <c r="O185" s="119"/>
    </row>
    <row r="186">
      <c r="A186" s="17"/>
      <c r="C186" s="79"/>
      <c r="D186" s="79"/>
      <c r="E186" s="79"/>
      <c r="F186" s="79"/>
      <c r="G186" s="79"/>
      <c r="H186" s="79"/>
      <c r="I186" s="79"/>
      <c r="J186" s="79"/>
      <c r="K186" s="79"/>
      <c r="L186" s="79"/>
      <c r="N186" s="102"/>
      <c r="O186" s="119"/>
    </row>
    <row r="187">
      <c r="A187" s="17"/>
      <c r="C187" s="79"/>
      <c r="D187" s="79"/>
      <c r="E187" s="79"/>
      <c r="F187" s="79"/>
      <c r="G187" s="79"/>
      <c r="H187" s="79"/>
      <c r="I187" s="79"/>
      <c r="J187" s="79"/>
      <c r="K187" s="79"/>
      <c r="L187" s="79"/>
      <c r="N187" s="102"/>
      <c r="O187" s="119"/>
    </row>
    <row r="188">
      <c r="A188" s="17"/>
      <c r="C188" s="79"/>
      <c r="D188" s="79"/>
      <c r="E188" s="79"/>
      <c r="F188" s="79"/>
      <c r="G188" s="79"/>
      <c r="H188" s="79"/>
      <c r="I188" s="79"/>
      <c r="J188" s="79"/>
      <c r="K188" s="79"/>
      <c r="L188" s="79"/>
      <c r="N188" s="102"/>
      <c r="O188" s="119"/>
    </row>
    <row r="189">
      <c r="A189" s="17"/>
      <c r="C189" s="79"/>
      <c r="D189" s="79"/>
      <c r="E189" s="79"/>
      <c r="F189" s="79"/>
      <c r="G189" s="79"/>
      <c r="H189" s="79"/>
      <c r="I189" s="79"/>
      <c r="J189" s="79"/>
      <c r="K189" s="79"/>
      <c r="L189" s="79"/>
      <c r="N189" s="102"/>
      <c r="O189" s="119"/>
    </row>
    <row r="190">
      <c r="A190" s="17"/>
      <c r="C190" s="79"/>
      <c r="D190" s="79"/>
      <c r="E190" s="79"/>
      <c r="F190" s="79"/>
      <c r="G190" s="79"/>
      <c r="H190" s="79"/>
      <c r="I190" s="79"/>
      <c r="J190" s="79"/>
      <c r="K190" s="79"/>
      <c r="L190" s="79"/>
      <c r="N190" s="102"/>
      <c r="O190" s="119"/>
    </row>
    <row r="191">
      <c r="A191" s="17"/>
      <c r="C191" s="79"/>
      <c r="D191" s="79"/>
      <c r="E191" s="79"/>
      <c r="F191" s="79"/>
      <c r="G191" s="79"/>
      <c r="H191" s="79"/>
      <c r="I191" s="79"/>
      <c r="J191" s="79"/>
      <c r="K191" s="79"/>
      <c r="L191" s="79"/>
      <c r="N191" s="102"/>
      <c r="O191" s="119"/>
    </row>
    <row r="192">
      <c r="A192" s="17"/>
      <c r="C192" s="79"/>
      <c r="D192" s="79"/>
      <c r="E192" s="79"/>
      <c r="F192" s="79"/>
      <c r="G192" s="79"/>
      <c r="H192" s="79"/>
      <c r="I192" s="79"/>
      <c r="J192" s="79"/>
      <c r="K192" s="79"/>
      <c r="L192" s="79"/>
      <c r="N192" s="102"/>
      <c r="O192" s="119"/>
    </row>
    <row r="193">
      <c r="A193" s="17"/>
      <c r="C193" s="79"/>
      <c r="D193" s="79"/>
      <c r="E193" s="79"/>
      <c r="F193" s="79"/>
      <c r="G193" s="79"/>
      <c r="H193" s="79"/>
      <c r="I193" s="79"/>
      <c r="J193" s="79"/>
      <c r="K193" s="79"/>
      <c r="L193" s="79"/>
      <c r="N193" s="102"/>
      <c r="O193" s="119"/>
    </row>
    <row r="194">
      <c r="A194" s="17"/>
      <c r="C194" s="79"/>
      <c r="D194" s="79"/>
      <c r="E194" s="79"/>
      <c r="F194" s="79"/>
      <c r="G194" s="79"/>
      <c r="H194" s="79"/>
      <c r="I194" s="79"/>
      <c r="J194" s="79"/>
      <c r="K194" s="79"/>
      <c r="L194" s="79"/>
      <c r="N194" s="102"/>
      <c r="O194" s="119"/>
    </row>
    <row r="195">
      <c r="A195" s="17"/>
      <c r="C195" s="79"/>
      <c r="D195" s="79"/>
      <c r="E195" s="79"/>
      <c r="F195" s="79"/>
      <c r="G195" s="79"/>
      <c r="H195" s="79"/>
      <c r="I195" s="79"/>
      <c r="J195" s="79"/>
      <c r="K195" s="79"/>
      <c r="L195" s="79"/>
      <c r="N195" s="102"/>
      <c r="O195" s="119"/>
    </row>
    <row r="196">
      <c r="A196" s="17"/>
      <c r="C196" s="79"/>
      <c r="D196" s="79"/>
      <c r="E196" s="79"/>
      <c r="F196" s="79"/>
      <c r="G196" s="79"/>
      <c r="H196" s="79"/>
      <c r="I196" s="79"/>
      <c r="J196" s="79"/>
      <c r="K196" s="79"/>
      <c r="L196" s="79"/>
      <c r="N196" s="102"/>
      <c r="O196" s="119"/>
    </row>
    <row r="197">
      <c r="A197" s="17"/>
      <c r="C197" s="79"/>
      <c r="D197" s="79"/>
      <c r="E197" s="79"/>
      <c r="F197" s="79"/>
      <c r="G197" s="79"/>
      <c r="H197" s="79"/>
      <c r="I197" s="79"/>
      <c r="J197" s="79"/>
      <c r="K197" s="79"/>
      <c r="L197" s="79"/>
      <c r="N197" s="102"/>
      <c r="O197" s="119"/>
    </row>
    <row r="198">
      <c r="A198" s="17"/>
      <c r="C198" s="79"/>
      <c r="D198" s="79"/>
      <c r="E198" s="79"/>
      <c r="F198" s="79"/>
      <c r="G198" s="79"/>
      <c r="H198" s="79"/>
      <c r="I198" s="79"/>
      <c r="J198" s="79"/>
      <c r="K198" s="79"/>
      <c r="L198" s="79"/>
      <c r="N198" s="102"/>
      <c r="O198" s="119"/>
    </row>
    <row r="199">
      <c r="A199" s="17"/>
      <c r="C199" s="79"/>
      <c r="D199" s="79"/>
      <c r="E199" s="79"/>
      <c r="F199" s="79"/>
      <c r="G199" s="79"/>
      <c r="H199" s="79"/>
      <c r="I199" s="79"/>
      <c r="J199" s="79"/>
      <c r="K199" s="79"/>
      <c r="L199" s="79"/>
      <c r="N199" s="102"/>
      <c r="O199" s="119"/>
    </row>
    <row r="200">
      <c r="A200" s="17"/>
      <c r="C200" s="79"/>
      <c r="D200" s="79"/>
      <c r="E200" s="79"/>
      <c r="F200" s="79"/>
      <c r="G200" s="79"/>
      <c r="H200" s="79"/>
      <c r="I200" s="79"/>
      <c r="J200" s="79"/>
      <c r="K200" s="79"/>
      <c r="L200" s="79"/>
      <c r="N200" s="102"/>
      <c r="O200" s="119"/>
    </row>
    <row r="201">
      <c r="A201" s="17"/>
      <c r="C201" s="79"/>
      <c r="D201" s="79"/>
      <c r="E201" s="79"/>
      <c r="F201" s="79"/>
      <c r="G201" s="79"/>
      <c r="H201" s="79"/>
      <c r="I201" s="79"/>
      <c r="J201" s="79"/>
      <c r="K201" s="79"/>
      <c r="L201" s="79"/>
      <c r="N201" s="102"/>
      <c r="O201" s="119"/>
    </row>
    <row r="202">
      <c r="A202" s="17"/>
      <c r="C202" s="79"/>
      <c r="D202" s="79"/>
      <c r="E202" s="79"/>
      <c r="F202" s="79"/>
      <c r="G202" s="79"/>
      <c r="H202" s="79"/>
      <c r="I202" s="79"/>
      <c r="J202" s="79"/>
      <c r="K202" s="79"/>
      <c r="L202" s="79"/>
      <c r="N202" s="102"/>
      <c r="O202" s="119"/>
    </row>
    <row r="203">
      <c r="A203" s="17"/>
      <c r="C203" s="79"/>
      <c r="D203" s="79"/>
      <c r="E203" s="79"/>
      <c r="F203" s="79"/>
      <c r="G203" s="79"/>
      <c r="H203" s="79"/>
      <c r="I203" s="79"/>
      <c r="J203" s="79"/>
      <c r="K203" s="79"/>
      <c r="L203" s="79"/>
      <c r="N203" s="102"/>
      <c r="O203" s="119"/>
    </row>
    <row r="204">
      <c r="A204" s="17"/>
      <c r="C204" s="79"/>
      <c r="D204" s="79"/>
      <c r="E204" s="79"/>
      <c r="F204" s="79"/>
      <c r="G204" s="79"/>
      <c r="H204" s="79"/>
      <c r="I204" s="79"/>
      <c r="J204" s="79"/>
      <c r="K204" s="79"/>
      <c r="L204" s="79"/>
      <c r="N204" s="102"/>
      <c r="O204" s="119"/>
    </row>
    <row r="205">
      <c r="A205" s="17"/>
      <c r="C205" s="79"/>
      <c r="D205" s="79"/>
      <c r="E205" s="79"/>
      <c r="F205" s="79"/>
      <c r="G205" s="79"/>
      <c r="H205" s="79"/>
      <c r="I205" s="79"/>
      <c r="J205" s="79"/>
      <c r="K205" s="79"/>
      <c r="L205" s="79"/>
      <c r="N205" s="102"/>
      <c r="O205" s="119"/>
    </row>
    <row r="206">
      <c r="A206" s="17"/>
      <c r="C206" s="79"/>
      <c r="D206" s="79"/>
      <c r="E206" s="79"/>
      <c r="F206" s="79"/>
      <c r="G206" s="79"/>
      <c r="H206" s="79"/>
      <c r="I206" s="79"/>
      <c r="J206" s="79"/>
      <c r="K206" s="79"/>
      <c r="L206" s="79"/>
      <c r="N206" s="102"/>
      <c r="O206" s="119"/>
    </row>
    <row r="207">
      <c r="A207" s="17"/>
      <c r="C207" s="79"/>
      <c r="D207" s="79"/>
      <c r="E207" s="79"/>
      <c r="F207" s="79"/>
      <c r="G207" s="79"/>
      <c r="H207" s="79"/>
      <c r="I207" s="79"/>
      <c r="J207" s="79"/>
      <c r="K207" s="79"/>
      <c r="L207" s="79"/>
      <c r="N207" s="102"/>
      <c r="O207" s="119"/>
    </row>
    <row r="208">
      <c r="A208" s="17"/>
      <c r="C208" s="79"/>
      <c r="D208" s="79"/>
      <c r="E208" s="79"/>
      <c r="F208" s="79"/>
      <c r="G208" s="79"/>
      <c r="H208" s="79"/>
      <c r="I208" s="79"/>
      <c r="J208" s="79"/>
      <c r="K208" s="79"/>
      <c r="L208" s="79"/>
      <c r="N208" s="102"/>
      <c r="O208" s="119"/>
    </row>
    <row r="209">
      <c r="A209" s="17"/>
      <c r="C209" s="79"/>
      <c r="D209" s="79"/>
      <c r="E209" s="79"/>
      <c r="F209" s="79"/>
      <c r="G209" s="79"/>
      <c r="H209" s="79"/>
      <c r="I209" s="79"/>
      <c r="J209" s="79"/>
      <c r="K209" s="79"/>
      <c r="L209" s="79"/>
      <c r="N209" s="102"/>
      <c r="O209" s="119"/>
    </row>
    <row r="210">
      <c r="A210" s="17"/>
      <c r="C210" s="79"/>
      <c r="D210" s="79"/>
      <c r="E210" s="79"/>
      <c r="F210" s="79"/>
      <c r="G210" s="79"/>
      <c r="H210" s="79"/>
      <c r="I210" s="79"/>
      <c r="J210" s="79"/>
      <c r="K210" s="79"/>
      <c r="L210" s="79"/>
      <c r="N210" s="102"/>
      <c r="O210" s="119"/>
    </row>
    <row r="211">
      <c r="A211" s="17"/>
      <c r="C211" s="79"/>
      <c r="D211" s="79"/>
      <c r="E211" s="79"/>
      <c r="F211" s="79"/>
      <c r="G211" s="79"/>
      <c r="H211" s="79"/>
      <c r="I211" s="79"/>
      <c r="J211" s="79"/>
      <c r="K211" s="79"/>
      <c r="L211" s="79"/>
      <c r="N211" s="102"/>
      <c r="O211" s="119"/>
    </row>
    <row r="212">
      <c r="A212" s="17"/>
      <c r="C212" s="79"/>
      <c r="D212" s="79"/>
      <c r="E212" s="79"/>
      <c r="F212" s="79"/>
      <c r="G212" s="79"/>
      <c r="H212" s="79"/>
      <c r="I212" s="79"/>
      <c r="J212" s="79"/>
      <c r="K212" s="79"/>
      <c r="L212" s="79"/>
      <c r="N212" s="102"/>
      <c r="O212" s="119"/>
    </row>
    <row r="213">
      <c r="A213" s="17"/>
      <c r="C213" s="79"/>
      <c r="D213" s="79"/>
      <c r="E213" s="79"/>
      <c r="F213" s="79"/>
      <c r="G213" s="79"/>
      <c r="H213" s="79"/>
      <c r="I213" s="79"/>
      <c r="J213" s="79"/>
      <c r="K213" s="79"/>
      <c r="L213" s="79"/>
      <c r="N213" s="102"/>
      <c r="O213" s="119"/>
    </row>
    <row r="214">
      <c r="A214" s="17"/>
      <c r="C214" s="79"/>
      <c r="D214" s="79"/>
      <c r="E214" s="79"/>
      <c r="F214" s="79"/>
      <c r="G214" s="79"/>
      <c r="H214" s="79"/>
      <c r="I214" s="79"/>
      <c r="J214" s="79"/>
      <c r="K214" s="79"/>
      <c r="L214" s="79"/>
      <c r="N214" s="102"/>
      <c r="O214" s="119"/>
    </row>
    <row r="215">
      <c r="A215" s="17"/>
      <c r="C215" s="79"/>
      <c r="D215" s="79"/>
      <c r="E215" s="79"/>
      <c r="F215" s="79"/>
      <c r="G215" s="79"/>
      <c r="H215" s="79"/>
      <c r="I215" s="79"/>
      <c r="J215" s="79"/>
      <c r="K215" s="79"/>
      <c r="L215" s="79"/>
      <c r="N215" s="102"/>
      <c r="O215" s="119"/>
    </row>
    <row r="216">
      <c r="A216" s="17"/>
      <c r="C216" s="79"/>
      <c r="D216" s="79"/>
      <c r="E216" s="79"/>
      <c r="F216" s="79"/>
      <c r="G216" s="79"/>
      <c r="H216" s="79"/>
      <c r="I216" s="79"/>
      <c r="J216" s="79"/>
      <c r="K216" s="79"/>
      <c r="L216" s="79"/>
      <c r="N216" s="102"/>
      <c r="O216" s="119"/>
    </row>
    <row r="217">
      <c r="A217" s="17"/>
      <c r="C217" s="79"/>
      <c r="D217" s="79"/>
      <c r="E217" s="79"/>
      <c r="F217" s="79"/>
      <c r="G217" s="79"/>
      <c r="H217" s="79"/>
      <c r="I217" s="79"/>
      <c r="J217" s="79"/>
      <c r="K217" s="79"/>
      <c r="L217" s="79"/>
      <c r="N217" s="102"/>
      <c r="O217" s="119"/>
    </row>
    <row r="218">
      <c r="A218" s="17"/>
      <c r="C218" s="79"/>
      <c r="D218" s="79"/>
      <c r="E218" s="79"/>
      <c r="F218" s="79"/>
      <c r="G218" s="79"/>
      <c r="H218" s="79"/>
      <c r="I218" s="79"/>
      <c r="J218" s="79"/>
      <c r="K218" s="79"/>
      <c r="L218" s="79"/>
      <c r="N218" s="102"/>
      <c r="O218" s="119"/>
    </row>
    <row r="219">
      <c r="A219" s="17"/>
      <c r="C219" s="79"/>
      <c r="D219" s="79"/>
      <c r="E219" s="79"/>
      <c r="F219" s="79"/>
      <c r="G219" s="79"/>
      <c r="H219" s="79"/>
      <c r="I219" s="79"/>
      <c r="J219" s="79"/>
      <c r="K219" s="79"/>
      <c r="L219" s="79"/>
      <c r="N219" s="102"/>
      <c r="O219" s="119"/>
    </row>
    <row r="220">
      <c r="A220" s="17"/>
      <c r="C220" s="79"/>
      <c r="D220" s="79"/>
      <c r="E220" s="79"/>
      <c r="F220" s="79"/>
      <c r="G220" s="79"/>
      <c r="H220" s="79"/>
      <c r="I220" s="79"/>
      <c r="J220" s="79"/>
      <c r="K220" s="79"/>
      <c r="L220" s="79"/>
      <c r="N220" s="102"/>
      <c r="O220" s="119"/>
    </row>
    <row r="221">
      <c r="A221" s="17"/>
      <c r="C221" s="79"/>
      <c r="D221" s="79"/>
      <c r="E221" s="79"/>
      <c r="F221" s="79"/>
      <c r="G221" s="79"/>
      <c r="H221" s="79"/>
      <c r="I221" s="79"/>
      <c r="J221" s="79"/>
      <c r="K221" s="79"/>
      <c r="L221" s="79"/>
      <c r="N221" s="102"/>
      <c r="O221" s="119"/>
    </row>
    <row r="222">
      <c r="A222" s="17"/>
      <c r="C222" s="79"/>
      <c r="D222" s="79"/>
      <c r="E222" s="79"/>
      <c r="F222" s="79"/>
      <c r="G222" s="79"/>
      <c r="H222" s="79"/>
      <c r="I222" s="79"/>
      <c r="J222" s="79"/>
      <c r="K222" s="79"/>
      <c r="L222" s="79"/>
      <c r="N222" s="102"/>
      <c r="O222" s="119"/>
    </row>
    <row r="223">
      <c r="A223" s="17"/>
      <c r="C223" s="79"/>
      <c r="D223" s="79"/>
      <c r="E223" s="79"/>
      <c r="F223" s="79"/>
      <c r="G223" s="79"/>
      <c r="H223" s="79"/>
      <c r="I223" s="79"/>
      <c r="J223" s="79"/>
      <c r="K223" s="79"/>
      <c r="L223" s="79"/>
      <c r="N223" s="102"/>
      <c r="O223" s="119"/>
    </row>
    <row r="224">
      <c r="A224" s="17"/>
      <c r="C224" s="79"/>
      <c r="D224" s="79"/>
      <c r="E224" s="79"/>
      <c r="F224" s="79"/>
      <c r="G224" s="79"/>
      <c r="H224" s="79"/>
      <c r="I224" s="79"/>
      <c r="J224" s="79"/>
      <c r="K224" s="79"/>
      <c r="L224" s="79"/>
      <c r="N224" s="102"/>
      <c r="O224" s="119"/>
    </row>
    <row r="225">
      <c r="A225" s="17"/>
      <c r="C225" s="79"/>
      <c r="D225" s="79"/>
      <c r="E225" s="79"/>
      <c r="F225" s="79"/>
      <c r="G225" s="79"/>
      <c r="H225" s="79"/>
      <c r="I225" s="79"/>
      <c r="J225" s="79"/>
      <c r="K225" s="79"/>
      <c r="L225" s="79"/>
      <c r="N225" s="102"/>
      <c r="O225" s="119"/>
    </row>
    <row r="226">
      <c r="A226" s="17"/>
      <c r="C226" s="79"/>
      <c r="D226" s="79"/>
      <c r="E226" s="79"/>
      <c r="F226" s="79"/>
      <c r="G226" s="79"/>
      <c r="H226" s="79"/>
      <c r="I226" s="79"/>
      <c r="J226" s="79"/>
      <c r="K226" s="79"/>
      <c r="L226" s="79"/>
      <c r="N226" s="102"/>
      <c r="O226" s="119"/>
    </row>
    <row r="227">
      <c r="A227" s="17"/>
      <c r="C227" s="79"/>
      <c r="D227" s="79"/>
      <c r="E227" s="79"/>
      <c r="F227" s="79"/>
      <c r="G227" s="79"/>
      <c r="H227" s="79"/>
      <c r="I227" s="79"/>
      <c r="J227" s="79"/>
      <c r="K227" s="79"/>
      <c r="L227" s="79"/>
      <c r="N227" s="102"/>
      <c r="O227" s="119"/>
    </row>
    <row r="228">
      <c r="A228" s="17"/>
      <c r="C228" s="79"/>
      <c r="D228" s="79"/>
      <c r="E228" s="79"/>
      <c r="F228" s="79"/>
      <c r="G228" s="79"/>
      <c r="H228" s="79"/>
      <c r="I228" s="79"/>
      <c r="J228" s="79"/>
      <c r="K228" s="79"/>
      <c r="L228" s="79"/>
      <c r="N228" s="102"/>
      <c r="O228" s="119"/>
    </row>
    <row r="229">
      <c r="A229" s="17"/>
      <c r="C229" s="79"/>
      <c r="D229" s="79"/>
      <c r="E229" s="79"/>
      <c r="F229" s="79"/>
      <c r="G229" s="79"/>
      <c r="H229" s="79"/>
      <c r="I229" s="79"/>
      <c r="J229" s="79"/>
      <c r="K229" s="79"/>
      <c r="L229" s="79"/>
      <c r="N229" s="102"/>
      <c r="O229" s="119"/>
    </row>
    <row r="230">
      <c r="A230" s="17"/>
      <c r="C230" s="79"/>
      <c r="D230" s="79"/>
      <c r="E230" s="79"/>
      <c r="F230" s="79"/>
      <c r="G230" s="79"/>
      <c r="H230" s="79"/>
      <c r="I230" s="79"/>
      <c r="J230" s="79"/>
      <c r="K230" s="79"/>
      <c r="L230" s="79"/>
      <c r="N230" s="102"/>
      <c r="O230" s="119"/>
    </row>
    <row r="231">
      <c r="A231" s="17"/>
      <c r="C231" s="79"/>
      <c r="D231" s="79"/>
      <c r="E231" s="79"/>
      <c r="F231" s="79"/>
      <c r="G231" s="79"/>
      <c r="H231" s="79"/>
      <c r="I231" s="79"/>
      <c r="J231" s="79"/>
      <c r="K231" s="79"/>
      <c r="L231" s="79"/>
      <c r="N231" s="102"/>
      <c r="O231" s="119"/>
    </row>
    <row r="232">
      <c r="A232" s="17"/>
      <c r="C232" s="79"/>
      <c r="D232" s="79"/>
      <c r="E232" s="79"/>
      <c r="F232" s="79"/>
      <c r="G232" s="79"/>
      <c r="H232" s="79"/>
      <c r="I232" s="79"/>
      <c r="J232" s="79"/>
      <c r="K232" s="79"/>
      <c r="L232" s="79"/>
      <c r="N232" s="102"/>
      <c r="O232" s="119"/>
    </row>
    <row r="233">
      <c r="A233" s="17"/>
      <c r="C233" s="79"/>
      <c r="D233" s="79"/>
      <c r="E233" s="79"/>
      <c r="F233" s="79"/>
      <c r="G233" s="79"/>
      <c r="H233" s="79"/>
      <c r="I233" s="79"/>
      <c r="J233" s="79"/>
      <c r="K233" s="79"/>
      <c r="L233" s="79"/>
      <c r="N233" s="102"/>
      <c r="O233" s="119"/>
    </row>
    <row r="234">
      <c r="A234" s="17"/>
      <c r="C234" s="79"/>
      <c r="D234" s="79"/>
      <c r="E234" s="79"/>
      <c r="F234" s="79"/>
      <c r="G234" s="79"/>
      <c r="H234" s="79"/>
      <c r="I234" s="79"/>
      <c r="J234" s="79"/>
      <c r="K234" s="79"/>
      <c r="L234" s="79"/>
      <c r="N234" s="102"/>
      <c r="O234" s="119"/>
    </row>
    <row r="235">
      <c r="A235" s="17"/>
      <c r="C235" s="79"/>
      <c r="D235" s="79"/>
      <c r="E235" s="79"/>
      <c r="F235" s="79"/>
      <c r="G235" s="79"/>
      <c r="H235" s="79"/>
      <c r="I235" s="79"/>
      <c r="J235" s="79"/>
      <c r="K235" s="79"/>
      <c r="L235" s="79"/>
      <c r="N235" s="102"/>
      <c r="O235" s="119"/>
    </row>
    <row r="236">
      <c r="A236" s="17"/>
      <c r="C236" s="79"/>
      <c r="D236" s="79"/>
      <c r="E236" s="79"/>
      <c r="F236" s="79"/>
      <c r="G236" s="79"/>
      <c r="H236" s="79"/>
      <c r="I236" s="79"/>
      <c r="J236" s="79"/>
      <c r="K236" s="79"/>
      <c r="L236" s="79"/>
      <c r="N236" s="102"/>
      <c r="O236" s="119"/>
    </row>
    <row r="237">
      <c r="A237" s="17"/>
      <c r="C237" s="79"/>
      <c r="D237" s="79"/>
      <c r="E237" s="79"/>
      <c r="F237" s="79"/>
      <c r="G237" s="79"/>
      <c r="H237" s="79"/>
      <c r="I237" s="79"/>
      <c r="J237" s="79"/>
      <c r="K237" s="79"/>
      <c r="L237" s="79"/>
      <c r="N237" s="102"/>
      <c r="O237" s="119"/>
    </row>
    <row r="238">
      <c r="A238" s="17"/>
      <c r="C238" s="79"/>
      <c r="D238" s="79"/>
      <c r="E238" s="79"/>
      <c r="F238" s="79"/>
      <c r="G238" s="79"/>
      <c r="H238" s="79"/>
      <c r="I238" s="79"/>
      <c r="J238" s="79"/>
      <c r="K238" s="79"/>
      <c r="L238" s="79"/>
      <c r="N238" s="102"/>
      <c r="O238" s="119"/>
    </row>
    <row r="239">
      <c r="A239" s="17"/>
      <c r="C239" s="79"/>
      <c r="D239" s="79"/>
      <c r="E239" s="79"/>
      <c r="F239" s="79"/>
      <c r="G239" s="79"/>
      <c r="H239" s="79"/>
      <c r="I239" s="79"/>
      <c r="J239" s="79"/>
      <c r="K239" s="79"/>
      <c r="L239" s="79"/>
      <c r="N239" s="102"/>
      <c r="O239" s="119"/>
    </row>
    <row r="240">
      <c r="A240" s="17"/>
      <c r="C240" s="79"/>
      <c r="D240" s="79"/>
      <c r="E240" s="79"/>
      <c r="F240" s="79"/>
      <c r="G240" s="79"/>
      <c r="H240" s="79"/>
      <c r="I240" s="79"/>
      <c r="J240" s="79"/>
      <c r="K240" s="79"/>
      <c r="L240" s="79"/>
      <c r="N240" s="102"/>
      <c r="O240" s="119"/>
    </row>
    <row r="241">
      <c r="A241" s="17"/>
      <c r="C241" s="79"/>
      <c r="D241" s="79"/>
      <c r="E241" s="79"/>
      <c r="F241" s="79"/>
      <c r="G241" s="79"/>
      <c r="H241" s="79"/>
      <c r="I241" s="79"/>
      <c r="J241" s="79"/>
      <c r="K241" s="79"/>
      <c r="L241" s="79"/>
      <c r="N241" s="102"/>
      <c r="O241" s="119"/>
    </row>
    <row r="242">
      <c r="A242" s="17"/>
      <c r="C242" s="79"/>
      <c r="D242" s="79"/>
      <c r="E242" s="79"/>
      <c r="F242" s="79"/>
      <c r="G242" s="79"/>
      <c r="H242" s="79"/>
      <c r="I242" s="79"/>
      <c r="J242" s="79"/>
      <c r="K242" s="79"/>
      <c r="L242" s="79"/>
      <c r="N242" s="102"/>
      <c r="O242" s="119"/>
    </row>
    <row r="243">
      <c r="A243" s="17"/>
      <c r="C243" s="79"/>
      <c r="D243" s="79"/>
      <c r="E243" s="79"/>
      <c r="F243" s="79"/>
      <c r="G243" s="79"/>
      <c r="H243" s="79"/>
      <c r="I243" s="79"/>
      <c r="J243" s="79"/>
      <c r="K243" s="79"/>
      <c r="L243" s="79"/>
      <c r="N243" s="102"/>
      <c r="O243" s="119"/>
    </row>
    <row r="244">
      <c r="A244" s="17"/>
      <c r="C244" s="79"/>
      <c r="D244" s="79"/>
      <c r="E244" s="79"/>
      <c r="F244" s="79"/>
      <c r="G244" s="79"/>
      <c r="H244" s="79"/>
      <c r="I244" s="79"/>
      <c r="J244" s="79"/>
      <c r="K244" s="79"/>
      <c r="L244" s="79"/>
      <c r="N244" s="102"/>
      <c r="O244" s="119"/>
    </row>
    <row r="245">
      <c r="A245" s="17"/>
      <c r="C245" s="79"/>
      <c r="D245" s="79"/>
      <c r="E245" s="79"/>
      <c r="F245" s="79"/>
      <c r="G245" s="79"/>
      <c r="H245" s="79"/>
      <c r="I245" s="79"/>
      <c r="J245" s="79"/>
      <c r="K245" s="79"/>
      <c r="L245" s="79"/>
      <c r="N245" s="102"/>
      <c r="O245" s="119"/>
    </row>
    <row r="246">
      <c r="A246" s="17"/>
      <c r="C246" s="79"/>
      <c r="D246" s="79"/>
      <c r="E246" s="79"/>
      <c r="F246" s="79"/>
      <c r="G246" s="79"/>
      <c r="H246" s="79"/>
      <c r="I246" s="79"/>
      <c r="J246" s="79"/>
      <c r="K246" s="79"/>
      <c r="L246" s="79"/>
      <c r="N246" s="102"/>
      <c r="O246" s="119"/>
    </row>
    <row r="247">
      <c r="A247" s="17"/>
      <c r="C247" s="79"/>
      <c r="D247" s="79"/>
      <c r="E247" s="79"/>
      <c r="F247" s="79"/>
      <c r="G247" s="79"/>
      <c r="H247" s="79"/>
      <c r="I247" s="79"/>
      <c r="J247" s="79"/>
      <c r="K247" s="79"/>
      <c r="L247" s="79"/>
      <c r="N247" s="102"/>
      <c r="O247" s="119"/>
    </row>
    <row r="248">
      <c r="A248" s="17"/>
      <c r="C248" s="79"/>
      <c r="D248" s="79"/>
      <c r="E248" s="79"/>
      <c r="F248" s="79"/>
      <c r="G248" s="79"/>
      <c r="H248" s="79"/>
      <c r="I248" s="79"/>
      <c r="J248" s="79"/>
      <c r="K248" s="79"/>
      <c r="L248" s="79"/>
      <c r="N248" s="102"/>
      <c r="O248" s="119"/>
    </row>
    <row r="249">
      <c r="A249" s="17"/>
      <c r="C249" s="79"/>
      <c r="D249" s="79"/>
      <c r="E249" s="79"/>
      <c r="F249" s="79"/>
      <c r="G249" s="79"/>
      <c r="H249" s="79"/>
      <c r="I249" s="79"/>
      <c r="J249" s="79"/>
      <c r="K249" s="79"/>
      <c r="L249" s="79"/>
      <c r="N249" s="102"/>
      <c r="O249" s="119"/>
    </row>
    <row r="250">
      <c r="A250" s="17"/>
      <c r="C250" s="79"/>
      <c r="D250" s="79"/>
      <c r="E250" s="79"/>
      <c r="F250" s="79"/>
      <c r="G250" s="79"/>
      <c r="H250" s="79"/>
      <c r="I250" s="79"/>
      <c r="J250" s="79"/>
      <c r="K250" s="79"/>
      <c r="L250" s="79"/>
      <c r="N250" s="102"/>
      <c r="O250" s="119"/>
    </row>
    <row r="251">
      <c r="A251" s="17"/>
      <c r="C251" s="79"/>
      <c r="D251" s="79"/>
      <c r="E251" s="79"/>
      <c r="F251" s="79"/>
      <c r="G251" s="79"/>
      <c r="H251" s="79"/>
      <c r="I251" s="79"/>
      <c r="J251" s="79"/>
      <c r="K251" s="79"/>
      <c r="L251" s="79"/>
      <c r="N251" s="102"/>
      <c r="O251" s="119"/>
    </row>
    <row r="252">
      <c r="A252" s="17"/>
      <c r="C252" s="79"/>
      <c r="D252" s="79"/>
      <c r="E252" s="79"/>
      <c r="F252" s="79"/>
      <c r="G252" s="79"/>
      <c r="H252" s="79"/>
      <c r="I252" s="79"/>
      <c r="J252" s="79"/>
      <c r="K252" s="79"/>
      <c r="L252" s="79"/>
      <c r="N252" s="102"/>
      <c r="O252" s="119"/>
    </row>
    <row r="253">
      <c r="A253" s="17"/>
      <c r="C253" s="79"/>
      <c r="D253" s="79"/>
      <c r="E253" s="79"/>
      <c r="F253" s="79"/>
      <c r="G253" s="79"/>
      <c r="H253" s="79"/>
      <c r="I253" s="79"/>
      <c r="J253" s="79"/>
      <c r="K253" s="79"/>
      <c r="L253" s="79"/>
      <c r="N253" s="102"/>
      <c r="O253" s="119"/>
    </row>
    <row r="254">
      <c r="A254" s="17"/>
      <c r="C254" s="79"/>
      <c r="D254" s="79"/>
      <c r="E254" s="79"/>
      <c r="F254" s="79"/>
      <c r="G254" s="79"/>
      <c r="H254" s="79"/>
      <c r="I254" s="79"/>
      <c r="J254" s="79"/>
      <c r="K254" s="79"/>
      <c r="L254" s="79"/>
      <c r="N254" s="102"/>
      <c r="O254" s="119"/>
    </row>
    <row r="255">
      <c r="A255" s="17"/>
      <c r="C255" s="79"/>
      <c r="D255" s="79"/>
      <c r="E255" s="79"/>
      <c r="F255" s="79"/>
      <c r="G255" s="79"/>
      <c r="H255" s="79"/>
      <c r="I255" s="79"/>
      <c r="J255" s="79"/>
      <c r="K255" s="79"/>
      <c r="L255" s="79"/>
      <c r="N255" s="102"/>
      <c r="O255" s="119"/>
    </row>
    <row r="256">
      <c r="A256" s="17"/>
      <c r="C256" s="79"/>
      <c r="D256" s="79"/>
      <c r="E256" s="79"/>
      <c r="F256" s="79"/>
      <c r="G256" s="79"/>
      <c r="H256" s="79"/>
      <c r="I256" s="79"/>
      <c r="J256" s="79"/>
      <c r="K256" s="79"/>
      <c r="L256" s="79"/>
      <c r="N256" s="102"/>
      <c r="O256" s="119"/>
    </row>
    <row r="257">
      <c r="A257" s="17"/>
      <c r="C257" s="79"/>
      <c r="D257" s="79"/>
      <c r="E257" s="79"/>
      <c r="F257" s="79"/>
      <c r="G257" s="79"/>
      <c r="H257" s="79"/>
      <c r="I257" s="79"/>
      <c r="J257" s="79"/>
      <c r="K257" s="79"/>
      <c r="L257" s="79"/>
      <c r="N257" s="102"/>
      <c r="O257" s="119"/>
    </row>
    <row r="258">
      <c r="A258" s="17"/>
      <c r="C258" s="79"/>
      <c r="D258" s="79"/>
      <c r="E258" s="79"/>
      <c r="F258" s="79"/>
      <c r="G258" s="79"/>
      <c r="H258" s="79"/>
      <c r="I258" s="79"/>
      <c r="J258" s="79"/>
      <c r="K258" s="79"/>
      <c r="L258" s="79"/>
      <c r="N258" s="102"/>
      <c r="O258" s="119"/>
    </row>
    <row r="259">
      <c r="A259" s="17"/>
      <c r="C259" s="79"/>
      <c r="D259" s="79"/>
      <c r="E259" s="79"/>
      <c r="F259" s="79"/>
      <c r="G259" s="79"/>
      <c r="H259" s="79"/>
      <c r="I259" s="79"/>
      <c r="J259" s="79"/>
      <c r="K259" s="79"/>
      <c r="L259" s="79"/>
      <c r="N259" s="102"/>
      <c r="O259" s="119"/>
    </row>
    <row r="260">
      <c r="A260" s="17"/>
      <c r="C260" s="79"/>
      <c r="D260" s="79"/>
      <c r="E260" s="79"/>
      <c r="F260" s="79"/>
      <c r="G260" s="79"/>
      <c r="H260" s="79"/>
      <c r="I260" s="79"/>
      <c r="J260" s="79"/>
      <c r="K260" s="79"/>
      <c r="L260" s="79"/>
      <c r="N260" s="102"/>
      <c r="O260" s="119"/>
    </row>
    <row r="261">
      <c r="A261" s="17"/>
      <c r="C261" s="79"/>
      <c r="D261" s="79"/>
      <c r="E261" s="79"/>
      <c r="F261" s="79"/>
      <c r="G261" s="79"/>
      <c r="H261" s="79"/>
      <c r="I261" s="79"/>
      <c r="J261" s="79"/>
      <c r="K261" s="79"/>
      <c r="L261" s="79"/>
      <c r="N261" s="102"/>
      <c r="O261" s="119"/>
    </row>
    <row r="262">
      <c r="A262" s="17"/>
      <c r="C262" s="79"/>
      <c r="D262" s="79"/>
      <c r="E262" s="79"/>
      <c r="F262" s="79"/>
      <c r="G262" s="79"/>
      <c r="H262" s="79"/>
      <c r="I262" s="79"/>
      <c r="J262" s="79"/>
      <c r="K262" s="79"/>
      <c r="L262" s="79"/>
      <c r="N262" s="102"/>
      <c r="O262" s="119"/>
    </row>
    <row r="263">
      <c r="A263" s="17"/>
      <c r="C263" s="79"/>
      <c r="D263" s="79"/>
      <c r="E263" s="79"/>
      <c r="F263" s="79"/>
      <c r="G263" s="79"/>
      <c r="H263" s="79"/>
      <c r="I263" s="79"/>
      <c r="J263" s="79"/>
      <c r="K263" s="79"/>
      <c r="L263" s="79"/>
      <c r="N263" s="102"/>
      <c r="O263" s="119"/>
    </row>
    <row r="264">
      <c r="A264" s="17"/>
      <c r="C264" s="79"/>
      <c r="D264" s="79"/>
      <c r="E264" s="79"/>
      <c r="F264" s="79"/>
      <c r="G264" s="79"/>
      <c r="H264" s="79"/>
      <c r="I264" s="79"/>
      <c r="J264" s="79"/>
      <c r="K264" s="79"/>
      <c r="L264" s="79"/>
      <c r="N264" s="102"/>
      <c r="O264" s="119"/>
    </row>
    <row r="265">
      <c r="A265" s="17"/>
      <c r="C265" s="79"/>
      <c r="D265" s="79"/>
      <c r="E265" s="79"/>
      <c r="F265" s="79"/>
      <c r="G265" s="79"/>
      <c r="H265" s="79"/>
      <c r="I265" s="79"/>
      <c r="J265" s="79"/>
      <c r="K265" s="79"/>
      <c r="L265" s="79"/>
      <c r="N265" s="102"/>
      <c r="O265" s="119"/>
    </row>
    <row r="266">
      <c r="A266" s="17"/>
      <c r="C266" s="79"/>
      <c r="D266" s="79"/>
      <c r="E266" s="79"/>
      <c r="F266" s="79"/>
      <c r="G266" s="79"/>
      <c r="H266" s="79"/>
      <c r="I266" s="79"/>
      <c r="J266" s="79"/>
      <c r="K266" s="79"/>
      <c r="L266" s="79"/>
      <c r="N266" s="102"/>
      <c r="O266" s="119"/>
    </row>
    <row r="267">
      <c r="A267" s="17"/>
      <c r="C267" s="79"/>
      <c r="D267" s="79"/>
      <c r="E267" s="79"/>
      <c r="F267" s="79"/>
      <c r="G267" s="79"/>
      <c r="H267" s="79"/>
      <c r="I267" s="79"/>
      <c r="J267" s="79"/>
      <c r="K267" s="79"/>
      <c r="L267" s="79"/>
      <c r="N267" s="102"/>
      <c r="O267" s="119"/>
    </row>
    <row r="268">
      <c r="A268" s="17"/>
      <c r="C268" s="79"/>
      <c r="D268" s="79"/>
      <c r="E268" s="79"/>
      <c r="F268" s="79"/>
      <c r="G268" s="79"/>
      <c r="H268" s="79"/>
      <c r="I268" s="79"/>
      <c r="J268" s="79"/>
      <c r="K268" s="79"/>
      <c r="L268" s="79"/>
      <c r="N268" s="102"/>
      <c r="O268" s="119"/>
    </row>
    <row r="269">
      <c r="A269" s="17"/>
      <c r="C269" s="79"/>
      <c r="D269" s="79"/>
      <c r="E269" s="79"/>
      <c r="F269" s="79"/>
      <c r="G269" s="79"/>
      <c r="H269" s="79"/>
      <c r="I269" s="79"/>
      <c r="J269" s="79"/>
      <c r="K269" s="79"/>
      <c r="L269" s="79"/>
      <c r="N269" s="102"/>
      <c r="O269" s="119"/>
    </row>
    <row r="270">
      <c r="A270" s="17"/>
      <c r="C270" s="79"/>
      <c r="D270" s="79"/>
      <c r="E270" s="79"/>
      <c r="F270" s="79"/>
      <c r="G270" s="79"/>
      <c r="H270" s="79"/>
      <c r="I270" s="79"/>
      <c r="J270" s="79"/>
      <c r="K270" s="79"/>
      <c r="L270" s="79"/>
      <c r="N270" s="102"/>
      <c r="O270" s="119"/>
    </row>
    <row r="271">
      <c r="A271" s="17"/>
      <c r="C271" s="79"/>
      <c r="D271" s="79"/>
      <c r="E271" s="79"/>
      <c r="F271" s="79"/>
      <c r="G271" s="79"/>
      <c r="H271" s="79"/>
      <c r="I271" s="79"/>
      <c r="J271" s="79"/>
      <c r="K271" s="79"/>
      <c r="L271" s="79"/>
      <c r="N271" s="102"/>
      <c r="O271" s="119"/>
    </row>
    <row r="272">
      <c r="A272" s="17"/>
      <c r="C272" s="79"/>
      <c r="D272" s="79"/>
      <c r="E272" s="79"/>
      <c r="F272" s="79"/>
      <c r="G272" s="79"/>
      <c r="H272" s="79"/>
      <c r="I272" s="79"/>
      <c r="J272" s="79"/>
      <c r="K272" s="79"/>
      <c r="L272" s="79"/>
      <c r="N272" s="102"/>
      <c r="O272" s="119"/>
    </row>
    <row r="273">
      <c r="A273" s="17"/>
      <c r="C273" s="79"/>
      <c r="D273" s="79"/>
      <c r="E273" s="79"/>
      <c r="F273" s="79"/>
      <c r="G273" s="79"/>
      <c r="H273" s="79"/>
      <c r="I273" s="79"/>
      <c r="J273" s="79"/>
      <c r="K273" s="79"/>
      <c r="L273" s="79"/>
      <c r="N273" s="102"/>
      <c r="O273" s="119"/>
    </row>
    <row r="274">
      <c r="A274" s="17"/>
      <c r="C274" s="79"/>
      <c r="D274" s="79"/>
      <c r="E274" s="79"/>
      <c r="F274" s="79"/>
      <c r="G274" s="79"/>
      <c r="H274" s="79"/>
      <c r="I274" s="79"/>
      <c r="J274" s="79"/>
      <c r="K274" s="79"/>
      <c r="L274" s="79"/>
      <c r="N274" s="102"/>
      <c r="O274" s="119"/>
    </row>
    <row r="275">
      <c r="A275" s="17"/>
      <c r="C275" s="79"/>
      <c r="D275" s="79"/>
      <c r="E275" s="79"/>
      <c r="F275" s="79"/>
      <c r="G275" s="79"/>
      <c r="H275" s="79"/>
      <c r="I275" s="79"/>
      <c r="J275" s="79"/>
      <c r="K275" s="79"/>
      <c r="L275" s="79"/>
      <c r="N275" s="102"/>
      <c r="O275" s="119"/>
    </row>
    <row r="276">
      <c r="A276" s="17"/>
      <c r="C276" s="79"/>
      <c r="D276" s="79"/>
      <c r="E276" s="79"/>
      <c r="F276" s="79"/>
      <c r="G276" s="79"/>
      <c r="H276" s="79"/>
      <c r="I276" s="79"/>
      <c r="J276" s="79"/>
      <c r="K276" s="79"/>
      <c r="L276" s="79"/>
      <c r="N276" s="102"/>
      <c r="O276" s="119"/>
    </row>
    <row r="277">
      <c r="A277" s="17"/>
      <c r="C277" s="79"/>
      <c r="D277" s="79"/>
      <c r="E277" s="79"/>
      <c r="F277" s="79"/>
      <c r="G277" s="79"/>
      <c r="H277" s="79"/>
      <c r="I277" s="79"/>
      <c r="J277" s="79"/>
      <c r="K277" s="79"/>
      <c r="L277" s="79"/>
      <c r="N277" s="102"/>
      <c r="O277" s="119"/>
    </row>
    <row r="278">
      <c r="A278" s="17"/>
      <c r="C278" s="79"/>
      <c r="D278" s="79"/>
      <c r="E278" s="79"/>
      <c r="F278" s="79"/>
      <c r="G278" s="79"/>
      <c r="H278" s="79"/>
      <c r="I278" s="79"/>
      <c r="J278" s="79"/>
      <c r="K278" s="79"/>
      <c r="L278" s="79"/>
      <c r="N278" s="102"/>
      <c r="O278" s="119"/>
    </row>
    <row r="279">
      <c r="A279" s="17"/>
      <c r="C279" s="79"/>
      <c r="D279" s="79"/>
      <c r="E279" s="79"/>
      <c r="F279" s="79"/>
      <c r="G279" s="79"/>
      <c r="H279" s="79"/>
      <c r="I279" s="79"/>
      <c r="J279" s="79"/>
      <c r="K279" s="79"/>
      <c r="L279" s="79"/>
      <c r="N279" s="102"/>
      <c r="O279" s="119"/>
    </row>
    <row r="280">
      <c r="A280" s="17"/>
      <c r="C280" s="79"/>
      <c r="D280" s="79"/>
      <c r="E280" s="79"/>
      <c r="F280" s="79"/>
      <c r="G280" s="79"/>
      <c r="H280" s="79"/>
      <c r="I280" s="79"/>
      <c r="J280" s="79"/>
      <c r="K280" s="79"/>
      <c r="L280" s="79"/>
      <c r="N280" s="102"/>
      <c r="O280" s="119"/>
    </row>
    <row r="281">
      <c r="A281" s="17"/>
      <c r="C281" s="79"/>
      <c r="D281" s="79"/>
      <c r="E281" s="79"/>
      <c r="F281" s="79"/>
      <c r="G281" s="79"/>
      <c r="H281" s="79"/>
      <c r="I281" s="79"/>
      <c r="J281" s="79"/>
      <c r="K281" s="79"/>
      <c r="L281" s="79"/>
      <c r="N281" s="102"/>
      <c r="O281" s="119"/>
    </row>
    <row r="282">
      <c r="A282" s="17"/>
      <c r="C282" s="79"/>
      <c r="D282" s="79"/>
      <c r="E282" s="79"/>
      <c r="F282" s="79"/>
      <c r="G282" s="79"/>
      <c r="H282" s="79"/>
      <c r="I282" s="79"/>
      <c r="J282" s="79"/>
      <c r="K282" s="79"/>
      <c r="L282" s="79"/>
      <c r="N282" s="102"/>
      <c r="O282" s="119"/>
    </row>
    <row r="283">
      <c r="A283" s="17"/>
      <c r="C283" s="79"/>
      <c r="D283" s="79"/>
      <c r="E283" s="79"/>
      <c r="F283" s="79"/>
      <c r="G283" s="79"/>
      <c r="H283" s="79"/>
      <c r="I283" s="79"/>
      <c r="J283" s="79"/>
      <c r="K283" s="79"/>
      <c r="L283" s="79"/>
      <c r="N283" s="102"/>
      <c r="O283" s="119"/>
    </row>
    <row r="284">
      <c r="A284" s="17"/>
      <c r="C284" s="79"/>
      <c r="D284" s="79"/>
      <c r="E284" s="79"/>
      <c r="F284" s="79"/>
      <c r="G284" s="79"/>
      <c r="H284" s="79"/>
      <c r="I284" s="79"/>
      <c r="J284" s="79"/>
      <c r="K284" s="79"/>
      <c r="L284" s="79"/>
      <c r="N284" s="102"/>
      <c r="O284" s="119"/>
    </row>
    <row r="285">
      <c r="A285" s="17"/>
      <c r="C285" s="79"/>
      <c r="D285" s="79"/>
      <c r="E285" s="79"/>
      <c r="F285" s="79"/>
      <c r="G285" s="79"/>
      <c r="H285" s="79"/>
      <c r="I285" s="79"/>
      <c r="J285" s="79"/>
      <c r="K285" s="79"/>
      <c r="L285" s="79"/>
      <c r="N285" s="102"/>
      <c r="O285" s="119"/>
    </row>
    <row r="286">
      <c r="A286" s="17"/>
      <c r="C286" s="79"/>
      <c r="D286" s="79"/>
      <c r="E286" s="79"/>
      <c r="F286" s="79"/>
      <c r="G286" s="79"/>
      <c r="H286" s="79"/>
      <c r="I286" s="79"/>
      <c r="J286" s="79"/>
      <c r="K286" s="79"/>
      <c r="L286" s="79"/>
      <c r="N286" s="102"/>
      <c r="O286" s="119"/>
    </row>
    <row r="287">
      <c r="A287" s="17"/>
      <c r="C287" s="79"/>
      <c r="D287" s="79"/>
      <c r="E287" s="79"/>
      <c r="F287" s="79"/>
      <c r="G287" s="79"/>
      <c r="H287" s="79"/>
      <c r="I287" s="79"/>
      <c r="J287" s="79"/>
      <c r="K287" s="79"/>
      <c r="L287" s="79"/>
      <c r="N287" s="102"/>
      <c r="O287" s="119"/>
    </row>
    <row r="288">
      <c r="A288" s="17"/>
      <c r="C288" s="79"/>
      <c r="D288" s="79"/>
      <c r="E288" s="79"/>
      <c r="F288" s="79"/>
      <c r="G288" s="79"/>
      <c r="H288" s="79"/>
      <c r="I288" s="79"/>
      <c r="J288" s="79"/>
      <c r="K288" s="79"/>
      <c r="L288" s="79"/>
      <c r="N288" s="102"/>
      <c r="O288" s="119"/>
    </row>
    <row r="289">
      <c r="A289" s="17"/>
      <c r="C289" s="79"/>
      <c r="D289" s="79"/>
      <c r="E289" s="79"/>
      <c r="F289" s="79"/>
      <c r="G289" s="79"/>
      <c r="H289" s="79"/>
      <c r="I289" s="79"/>
      <c r="J289" s="79"/>
      <c r="K289" s="79"/>
      <c r="L289" s="79"/>
      <c r="N289" s="102"/>
      <c r="O289" s="119"/>
    </row>
    <row r="290">
      <c r="A290" s="17"/>
      <c r="C290" s="79"/>
      <c r="D290" s="79"/>
      <c r="E290" s="79"/>
      <c r="F290" s="79"/>
      <c r="G290" s="79"/>
      <c r="H290" s="79"/>
      <c r="I290" s="79"/>
      <c r="J290" s="79"/>
      <c r="K290" s="79"/>
      <c r="L290" s="79"/>
      <c r="N290" s="102"/>
      <c r="O290" s="119"/>
    </row>
    <row r="291">
      <c r="A291" s="17"/>
      <c r="C291" s="79"/>
      <c r="D291" s="79"/>
      <c r="E291" s="79"/>
      <c r="F291" s="79"/>
      <c r="G291" s="79"/>
      <c r="H291" s="79"/>
      <c r="I291" s="79"/>
      <c r="J291" s="79"/>
      <c r="K291" s="79"/>
      <c r="L291" s="79"/>
      <c r="N291" s="102"/>
      <c r="O291" s="119"/>
    </row>
    <row r="292">
      <c r="A292" s="17"/>
      <c r="C292" s="79"/>
      <c r="D292" s="79"/>
      <c r="E292" s="79"/>
      <c r="F292" s="79"/>
      <c r="G292" s="79"/>
      <c r="H292" s="79"/>
      <c r="I292" s="79"/>
      <c r="J292" s="79"/>
      <c r="K292" s="79"/>
      <c r="L292" s="79"/>
      <c r="N292" s="102"/>
      <c r="O292" s="119"/>
    </row>
    <row r="293">
      <c r="A293" s="17"/>
      <c r="C293" s="79"/>
      <c r="D293" s="79"/>
      <c r="E293" s="79"/>
      <c r="F293" s="79"/>
      <c r="G293" s="79"/>
      <c r="H293" s="79"/>
      <c r="I293" s="79"/>
      <c r="J293" s="79"/>
      <c r="K293" s="79"/>
      <c r="L293" s="79"/>
      <c r="N293" s="102"/>
      <c r="O293" s="119"/>
    </row>
    <row r="294">
      <c r="A294" s="17"/>
      <c r="C294" s="79"/>
      <c r="D294" s="79"/>
      <c r="E294" s="79"/>
      <c r="F294" s="79"/>
      <c r="G294" s="79"/>
      <c r="H294" s="79"/>
      <c r="I294" s="79"/>
      <c r="J294" s="79"/>
      <c r="K294" s="79"/>
      <c r="L294" s="79"/>
      <c r="N294" s="102"/>
      <c r="O294" s="119"/>
    </row>
    <row r="295">
      <c r="A295" s="17"/>
      <c r="C295" s="79"/>
      <c r="D295" s="79"/>
      <c r="E295" s="79"/>
      <c r="F295" s="79"/>
      <c r="G295" s="79"/>
      <c r="H295" s="79"/>
      <c r="I295" s="79"/>
      <c r="J295" s="79"/>
      <c r="K295" s="79"/>
      <c r="L295" s="79"/>
      <c r="N295" s="102"/>
      <c r="O295" s="119"/>
    </row>
    <row r="296">
      <c r="A296" s="17"/>
      <c r="C296" s="79"/>
      <c r="D296" s="79"/>
      <c r="E296" s="79"/>
      <c r="F296" s="79"/>
      <c r="G296" s="79"/>
      <c r="H296" s="79"/>
      <c r="I296" s="79"/>
      <c r="J296" s="79"/>
      <c r="K296" s="79"/>
      <c r="L296" s="79"/>
      <c r="N296" s="102"/>
      <c r="O296" s="119"/>
    </row>
    <row r="297">
      <c r="A297" s="17"/>
      <c r="C297" s="79"/>
      <c r="D297" s="79"/>
      <c r="E297" s="79"/>
      <c r="F297" s="79"/>
      <c r="G297" s="79"/>
      <c r="H297" s="79"/>
      <c r="I297" s="79"/>
      <c r="J297" s="79"/>
      <c r="K297" s="79"/>
      <c r="L297" s="79"/>
      <c r="N297" s="102"/>
      <c r="O297" s="119"/>
    </row>
    <row r="298">
      <c r="A298" s="17"/>
      <c r="C298" s="79"/>
      <c r="D298" s="79"/>
      <c r="E298" s="79"/>
      <c r="F298" s="79"/>
      <c r="G298" s="79"/>
      <c r="H298" s="79"/>
      <c r="I298" s="79"/>
      <c r="J298" s="79"/>
      <c r="K298" s="79"/>
      <c r="L298" s="79"/>
      <c r="N298" s="102"/>
      <c r="O298" s="119"/>
    </row>
    <row r="299">
      <c r="A299" s="17"/>
      <c r="C299" s="79"/>
      <c r="D299" s="79"/>
      <c r="E299" s="79"/>
      <c r="F299" s="79"/>
      <c r="G299" s="79"/>
      <c r="H299" s="79"/>
      <c r="I299" s="79"/>
      <c r="J299" s="79"/>
      <c r="K299" s="79"/>
      <c r="L299" s="79"/>
      <c r="N299" s="102"/>
      <c r="O299" s="119"/>
    </row>
    <row r="300">
      <c r="A300" s="17"/>
      <c r="C300" s="79"/>
      <c r="D300" s="79"/>
      <c r="E300" s="79"/>
      <c r="F300" s="79"/>
      <c r="G300" s="79"/>
      <c r="H300" s="79"/>
      <c r="I300" s="79"/>
      <c r="J300" s="79"/>
      <c r="K300" s="79"/>
      <c r="L300" s="79"/>
      <c r="N300" s="102"/>
      <c r="O300" s="119"/>
    </row>
    <row r="301">
      <c r="A301" s="17"/>
      <c r="C301" s="79"/>
      <c r="D301" s="79"/>
      <c r="E301" s="79"/>
      <c r="F301" s="79"/>
      <c r="G301" s="79"/>
      <c r="H301" s="79"/>
      <c r="I301" s="79"/>
      <c r="J301" s="79"/>
      <c r="K301" s="79"/>
      <c r="L301" s="79"/>
      <c r="N301" s="102"/>
      <c r="O301" s="119"/>
    </row>
    <row r="302">
      <c r="A302" s="17"/>
      <c r="C302" s="79"/>
      <c r="D302" s="79"/>
      <c r="E302" s="79"/>
      <c r="F302" s="79"/>
      <c r="G302" s="79"/>
      <c r="H302" s="79"/>
      <c r="I302" s="79"/>
      <c r="J302" s="79"/>
      <c r="K302" s="79"/>
      <c r="L302" s="79"/>
      <c r="N302" s="102"/>
      <c r="O302" s="119"/>
    </row>
    <row r="303">
      <c r="A303" s="17"/>
      <c r="C303" s="79"/>
      <c r="D303" s="79"/>
      <c r="E303" s="79"/>
      <c r="F303" s="79"/>
      <c r="G303" s="79"/>
      <c r="H303" s="79"/>
      <c r="I303" s="79"/>
      <c r="J303" s="79"/>
      <c r="K303" s="79"/>
      <c r="L303" s="79"/>
      <c r="N303" s="102"/>
      <c r="O303" s="119"/>
    </row>
    <row r="304">
      <c r="A304" s="17"/>
      <c r="C304" s="79"/>
      <c r="D304" s="79"/>
      <c r="E304" s="79"/>
      <c r="F304" s="79"/>
      <c r="G304" s="79"/>
      <c r="H304" s="79"/>
      <c r="I304" s="79"/>
      <c r="J304" s="79"/>
      <c r="K304" s="79"/>
      <c r="L304" s="79"/>
      <c r="N304" s="102"/>
      <c r="O304" s="119"/>
    </row>
    <row r="305">
      <c r="A305" s="17"/>
      <c r="C305" s="79"/>
      <c r="D305" s="79"/>
      <c r="E305" s="79"/>
      <c r="F305" s="79"/>
      <c r="G305" s="79"/>
      <c r="H305" s="79"/>
      <c r="I305" s="79"/>
      <c r="J305" s="79"/>
      <c r="K305" s="79"/>
      <c r="L305" s="79"/>
      <c r="N305" s="102"/>
      <c r="O305" s="119"/>
    </row>
    <row r="306">
      <c r="A306" s="17"/>
      <c r="C306" s="79"/>
      <c r="D306" s="79"/>
      <c r="E306" s="79"/>
      <c r="F306" s="79"/>
      <c r="G306" s="79"/>
      <c r="H306" s="79"/>
      <c r="I306" s="79"/>
      <c r="J306" s="79"/>
      <c r="K306" s="79"/>
      <c r="L306" s="79"/>
      <c r="N306" s="102"/>
      <c r="O306" s="119"/>
    </row>
    <row r="307">
      <c r="A307" s="17"/>
      <c r="C307" s="79"/>
      <c r="D307" s="79"/>
      <c r="E307" s="79"/>
      <c r="F307" s="79"/>
      <c r="G307" s="79"/>
      <c r="H307" s="79"/>
      <c r="I307" s="79"/>
      <c r="J307" s="79"/>
      <c r="K307" s="79"/>
      <c r="L307" s="79"/>
      <c r="N307" s="102"/>
      <c r="O307" s="119"/>
    </row>
    <row r="308">
      <c r="A308" s="17"/>
      <c r="C308" s="79"/>
      <c r="D308" s="79"/>
      <c r="E308" s="79"/>
      <c r="F308" s="79"/>
      <c r="G308" s="79"/>
      <c r="H308" s="79"/>
      <c r="I308" s="79"/>
      <c r="J308" s="79"/>
      <c r="K308" s="79"/>
      <c r="L308" s="79"/>
      <c r="N308" s="102"/>
      <c r="O308" s="119"/>
    </row>
    <row r="309">
      <c r="A309" s="17"/>
      <c r="C309" s="79"/>
      <c r="D309" s="79"/>
      <c r="E309" s="79"/>
      <c r="F309" s="79"/>
      <c r="G309" s="79"/>
      <c r="H309" s="79"/>
      <c r="I309" s="79"/>
      <c r="J309" s="79"/>
      <c r="K309" s="79"/>
      <c r="L309" s="79"/>
      <c r="N309" s="102"/>
      <c r="O309" s="119"/>
    </row>
    <row r="310">
      <c r="A310" s="17"/>
      <c r="C310" s="79"/>
      <c r="D310" s="79"/>
      <c r="E310" s="79"/>
      <c r="F310" s="79"/>
      <c r="G310" s="79"/>
      <c r="H310" s="79"/>
      <c r="I310" s="79"/>
      <c r="J310" s="79"/>
      <c r="K310" s="79"/>
      <c r="L310" s="79"/>
      <c r="N310" s="102"/>
      <c r="O310" s="119"/>
    </row>
    <row r="311">
      <c r="A311" s="17"/>
      <c r="C311" s="79"/>
      <c r="D311" s="79"/>
      <c r="E311" s="79"/>
      <c r="F311" s="79"/>
      <c r="G311" s="79"/>
      <c r="H311" s="79"/>
      <c r="I311" s="79"/>
      <c r="J311" s="79"/>
      <c r="K311" s="79"/>
      <c r="L311" s="79"/>
      <c r="N311" s="102"/>
      <c r="O311" s="119"/>
    </row>
    <row r="312">
      <c r="A312" s="17"/>
      <c r="C312" s="79"/>
      <c r="D312" s="79"/>
      <c r="E312" s="79"/>
      <c r="F312" s="79"/>
      <c r="G312" s="79"/>
      <c r="H312" s="79"/>
      <c r="I312" s="79"/>
      <c r="J312" s="79"/>
      <c r="K312" s="79"/>
      <c r="L312" s="79"/>
      <c r="N312" s="102"/>
      <c r="O312" s="119"/>
    </row>
    <row r="313">
      <c r="A313" s="17"/>
      <c r="C313" s="79"/>
      <c r="D313" s="79"/>
      <c r="E313" s="79"/>
      <c r="F313" s="79"/>
      <c r="G313" s="79"/>
      <c r="H313" s="79"/>
      <c r="I313" s="79"/>
      <c r="J313" s="79"/>
      <c r="K313" s="79"/>
      <c r="L313" s="79"/>
      <c r="N313" s="102"/>
      <c r="O313" s="119"/>
    </row>
    <row r="314">
      <c r="A314" s="17"/>
      <c r="C314" s="79"/>
      <c r="D314" s="79"/>
      <c r="E314" s="79"/>
      <c r="F314" s="79"/>
      <c r="G314" s="79"/>
      <c r="H314" s="79"/>
      <c r="I314" s="79"/>
      <c r="J314" s="79"/>
      <c r="K314" s="79"/>
      <c r="L314" s="79"/>
      <c r="N314" s="102"/>
      <c r="O314" s="119"/>
    </row>
    <row r="315">
      <c r="A315" s="17"/>
      <c r="C315" s="79"/>
      <c r="D315" s="79"/>
      <c r="E315" s="79"/>
      <c r="F315" s="79"/>
      <c r="G315" s="79"/>
      <c r="H315" s="79"/>
      <c r="I315" s="79"/>
      <c r="J315" s="79"/>
      <c r="K315" s="79"/>
      <c r="L315" s="79"/>
      <c r="N315" s="102"/>
      <c r="O315" s="119"/>
    </row>
    <row r="316">
      <c r="A316" s="17"/>
      <c r="C316" s="79"/>
      <c r="D316" s="79"/>
      <c r="E316" s="79"/>
      <c r="F316" s="79"/>
      <c r="G316" s="79"/>
      <c r="H316" s="79"/>
      <c r="I316" s="79"/>
      <c r="J316" s="79"/>
      <c r="K316" s="79"/>
      <c r="L316" s="79"/>
      <c r="N316" s="102"/>
      <c r="O316" s="119"/>
    </row>
    <row r="317">
      <c r="A317" s="17"/>
      <c r="C317" s="79"/>
      <c r="D317" s="79"/>
      <c r="E317" s="79"/>
      <c r="F317" s="79"/>
      <c r="G317" s="79"/>
      <c r="H317" s="79"/>
      <c r="I317" s="79"/>
      <c r="J317" s="79"/>
      <c r="K317" s="79"/>
      <c r="L317" s="79"/>
      <c r="N317" s="102"/>
      <c r="O317" s="119"/>
    </row>
    <row r="318">
      <c r="A318" s="17"/>
      <c r="C318" s="79"/>
      <c r="D318" s="79"/>
      <c r="E318" s="79"/>
      <c r="F318" s="79"/>
      <c r="G318" s="79"/>
      <c r="H318" s="79"/>
      <c r="I318" s="79"/>
      <c r="J318" s="79"/>
      <c r="K318" s="79"/>
      <c r="L318" s="79"/>
      <c r="N318" s="102"/>
      <c r="O318" s="119"/>
    </row>
    <row r="319">
      <c r="A319" s="17"/>
      <c r="C319" s="79"/>
      <c r="D319" s="79"/>
      <c r="E319" s="79"/>
      <c r="F319" s="79"/>
      <c r="G319" s="79"/>
      <c r="H319" s="79"/>
      <c r="I319" s="79"/>
      <c r="J319" s="79"/>
      <c r="K319" s="79"/>
      <c r="L319" s="79"/>
      <c r="N319" s="102"/>
      <c r="O319" s="119"/>
    </row>
    <row r="320">
      <c r="A320" s="17"/>
      <c r="C320" s="79"/>
      <c r="D320" s="79"/>
      <c r="E320" s="79"/>
      <c r="F320" s="79"/>
      <c r="G320" s="79"/>
      <c r="H320" s="79"/>
      <c r="I320" s="79"/>
      <c r="J320" s="79"/>
      <c r="K320" s="79"/>
      <c r="L320" s="79"/>
      <c r="N320" s="102"/>
      <c r="O320" s="119"/>
    </row>
    <row r="321">
      <c r="A321" s="17"/>
      <c r="C321" s="79"/>
      <c r="D321" s="79"/>
      <c r="E321" s="79"/>
      <c r="F321" s="79"/>
      <c r="G321" s="79"/>
      <c r="H321" s="79"/>
      <c r="I321" s="79"/>
      <c r="J321" s="79"/>
      <c r="K321" s="79"/>
      <c r="L321" s="79"/>
      <c r="N321" s="102"/>
      <c r="O321" s="119"/>
    </row>
    <row r="322">
      <c r="A322" s="17"/>
      <c r="C322" s="79"/>
      <c r="D322" s="79"/>
      <c r="E322" s="79"/>
      <c r="F322" s="79"/>
      <c r="G322" s="79"/>
      <c r="H322" s="79"/>
      <c r="I322" s="79"/>
      <c r="J322" s="79"/>
      <c r="K322" s="79"/>
      <c r="L322" s="79"/>
      <c r="N322" s="102"/>
      <c r="O322" s="119"/>
    </row>
    <row r="323">
      <c r="A323" s="17"/>
      <c r="C323" s="79"/>
      <c r="D323" s="79"/>
      <c r="E323" s="79"/>
      <c r="F323" s="79"/>
      <c r="G323" s="79"/>
      <c r="H323" s="79"/>
      <c r="I323" s="79"/>
      <c r="J323" s="79"/>
      <c r="K323" s="79"/>
      <c r="L323" s="79"/>
      <c r="N323" s="102"/>
      <c r="O323" s="119"/>
    </row>
    <row r="324">
      <c r="A324" s="17"/>
      <c r="C324" s="79"/>
      <c r="D324" s="79"/>
      <c r="E324" s="79"/>
      <c r="F324" s="79"/>
      <c r="G324" s="79"/>
      <c r="H324" s="79"/>
      <c r="I324" s="79"/>
      <c r="J324" s="79"/>
      <c r="K324" s="79"/>
      <c r="L324" s="79"/>
      <c r="N324" s="102"/>
      <c r="O324" s="119"/>
    </row>
    <row r="325">
      <c r="A325" s="17"/>
      <c r="C325" s="79"/>
      <c r="D325" s="79"/>
      <c r="E325" s="79"/>
      <c r="F325" s="79"/>
      <c r="G325" s="79"/>
      <c r="H325" s="79"/>
      <c r="I325" s="79"/>
      <c r="J325" s="79"/>
      <c r="K325" s="79"/>
      <c r="L325" s="79"/>
      <c r="N325" s="102"/>
      <c r="O325" s="119"/>
    </row>
    <row r="326">
      <c r="A326" s="17"/>
      <c r="C326" s="79"/>
      <c r="D326" s="79"/>
      <c r="E326" s="79"/>
      <c r="F326" s="79"/>
      <c r="G326" s="79"/>
      <c r="H326" s="79"/>
      <c r="I326" s="79"/>
      <c r="J326" s="79"/>
      <c r="K326" s="79"/>
      <c r="L326" s="79"/>
      <c r="N326" s="102"/>
      <c r="O326" s="119"/>
    </row>
    <row r="327">
      <c r="A327" s="17"/>
      <c r="C327" s="79"/>
      <c r="D327" s="79"/>
      <c r="E327" s="79"/>
      <c r="F327" s="79"/>
      <c r="G327" s="79"/>
      <c r="H327" s="79"/>
      <c r="I327" s="79"/>
      <c r="J327" s="79"/>
      <c r="K327" s="79"/>
      <c r="L327" s="79"/>
      <c r="N327" s="102"/>
      <c r="O327" s="119"/>
    </row>
    <row r="328">
      <c r="A328" s="17"/>
      <c r="C328" s="79"/>
      <c r="D328" s="79"/>
      <c r="E328" s="79"/>
      <c r="F328" s="79"/>
      <c r="G328" s="79"/>
      <c r="H328" s="79"/>
      <c r="I328" s="79"/>
      <c r="J328" s="79"/>
      <c r="K328" s="79"/>
      <c r="L328" s="79"/>
      <c r="N328" s="102"/>
      <c r="O328" s="119"/>
    </row>
    <row r="329">
      <c r="A329" s="17"/>
      <c r="C329" s="79"/>
      <c r="D329" s="79"/>
      <c r="E329" s="79"/>
      <c r="F329" s="79"/>
      <c r="G329" s="79"/>
      <c r="H329" s="79"/>
      <c r="I329" s="79"/>
      <c r="J329" s="79"/>
      <c r="K329" s="79"/>
      <c r="L329" s="79"/>
      <c r="N329" s="102"/>
      <c r="O329" s="119"/>
    </row>
    <row r="330">
      <c r="A330" s="17"/>
      <c r="C330" s="79"/>
      <c r="D330" s="79"/>
      <c r="E330" s="79"/>
      <c r="F330" s="79"/>
      <c r="G330" s="79"/>
      <c r="H330" s="79"/>
      <c r="I330" s="79"/>
      <c r="J330" s="79"/>
      <c r="K330" s="79"/>
      <c r="L330" s="79"/>
      <c r="N330" s="102"/>
      <c r="O330" s="119"/>
    </row>
    <row r="331">
      <c r="A331" s="17"/>
      <c r="C331" s="79"/>
      <c r="D331" s="79"/>
      <c r="E331" s="79"/>
      <c r="F331" s="79"/>
      <c r="G331" s="79"/>
      <c r="H331" s="79"/>
      <c r="I331" s="79"/>
      <c r="J331" s="79"/>
      <c r="K331" s="79"/>
      <c r="L331" s="79"/>
      <c r="N331" s="102"/>
      <c r="O331" s="119"/>
    </row>
    <row r="332">
      <c r="A332" s="17"/>
      <c r="C332" s="79"/>
      <c r="D332" s="79"/>
      <c r="E332" s="79"/>
      <c r="F332" s="79"/>
      <c r="G332" s="79"/>
      <c r="H332" s="79"/>
      <c r="I332" s="79"/>
      <c r="J332" s="79"/>
      <c r="K332" s="79"/>
      <c r="L332" s="79"/>
      <c r="N332" s="102"/>
      <c r="O332" s="119"/>
    </row>
    <row r="333">
      <c r="A333" s="17"/>
      <c r="C333" s="79"/>
      <c r="D333" s="79"/>
      <c r="E333" s="79"/>
      <c r="F333" s="79"/>
      <c r="G333" s="79"/>
      <c r="H333" s="79"/>
      <c r="I333" s="79"/>
      <c r="J333" s="79"/>
      <c r="K333" s="79"/>
      <c r="L333" s="79"/>
      <c r="N333" s="102"/>
      <c r="O333" s="119"/>
    </row>
    <row r="334">
      <c r="A334" s="17"/>
      <c r="C334" s="79"/>
      <c r="D334" s="79"/>
      <c r="E334" s="79"/>
      <c r="F334" s="79"/>
      <c r="G334" s="79"/>
      <c r="H334" s="79"/>
      <c r="I334" s="79"/>
      <c r="J334" s="79"/>
      <c r="K334" s="79"/>
      <c r="L334" s="79"/>
      <c r="N334" s="102"/>
      <c r="O334" s="119"/>
    </row>
    <row r="335">
      <c r="A335" s="17"/>
      <c r="C335" s="79"/>
      <c r="D335" s="79"/>
      <c r="E335" s="79"/>
      <c r="F335" s="79"/>
      <c r="G335" s="79"/>
      <c r="H335" s="79"/>
      <c r="I335" s="79"/>
      <c r="J335" s="79"/>
      <c r="K335" s="79"/>
      <c r="L335" s="79"/>
      <c r="N335" s="102"/>
      <c r="O335" s="119"/>
    </row>
    <row r="336">
      <c r="A336" s="17"/>
      <c r="C336" s="79"/>
      <c r="D336" s="79"/>
      <c r="E336" s="79"/>
      <c r="F336" s="79"/>
      <c r="G336" s="79"/>
      <c r="H336" s="79"/>
      <c r="I336" s="79"/>
      <c r="J336" s="79"/>
      <c r="K336" s="79"/>
      <c r="L336" s="79"/>
      <c r="N336" s="102"/>
      <c r="O336" s="119"/>
    </row>
    <row r="337">
      <c r="A337" s="17"/>
      <c r="C337" s="79"/>
      <c r="D337" s="79"/>
      <c r="E337" s="79"/>
      <c r="F337" s="79"/>
      <c r="G337" s="79"/>
      <c r="H337" s="79"/>
      <c r="I337" s="79"/>
      <c r="J337" s="79"/>
      <c r="K337" s="79"/>
      <c r="L337" s="79"/>
      <c r="N337" s="102"/>
      <c r="O337" s="119"/>
    </row>
    <row r="338">
      <c r="A338" s="17"/>
      <c r="C338" s="79"/>
      <c r="D338" s="79"/>
      <c r="E338" s="79"/>
      <c r="F338" s="79"/>
      <c r="G338" s="79"/>
      <c r="H338" s="79"/>
      <c r="I338" s="79"/>
      <c r="J338" s="79"/>
      <c r="K338" s="79"/>
      <c r="L338" s="79"/>
      <c r="N338" s="102"/>
      <c r="O338" s="119"/>
    </row>
    <row r="339">
      <c r="A339" s="17"/>
      <c r="C339" s="79"/>
      <c r="D339" s="79"/>
      <c r="E339" s="79"/>
      <c r="F339" s="79"/>
      <c r="G339" s="79"/>
      <c r="H339" s="79"/>
      <c r="I339" s="79"/>
      <c r="J339" s="79"/>
      <c r="K339" s="79"/>
      <c r="L339" s="79"/>
      <c r="N339" s="102"/>
      <c r="O339" s="119"/>
    </row>
    <row r="340">
      <c r="A340" s="17"/>
      <c r="C340" s="79"/>
      <c r="D340" s="79"/>
      <c r="E340" s="79"/>
      <c r="F340" s="79"/>
      <c r="G340" s="79"/>
      <c r="H340" s="79"/>
      <c r="I340" s="79"/>
      <c r="J340" s="79"/>
      <c r="K340" s="79"/>
      <c r="L340" s="79"/>
      <c r="N340" s="102"/>
      <c r="O340" s="119"/>
    </row>
    <row r="341">
      <c r="A341" s="17"/>
      <c r="C341" s="79"/>
      <c r="D341" s="79"/>
      <c r="E341" s="79"/>
      <c r="F341" s="79"/>
      <c r="G341" s="79"/>
      <c r="H341" s="79"/>
      <c r="I341" s="79"/>
      <c r="J341" s="79"/>
      <c r="K341" s="79"/>
      <c r="L341" s="79"/>
      <c r="N341" s="102"/>
      <c r="O341" s="119"/>
    </row>
    <row r="342">
      <c r="A342" s="17"/>
      <c r="C342" s="79"/>
      <c r="D342" s="79"/>
      <c r="E342" s="79"/>
      <c r="F342" s="79"/>
      <c r="G342" s="79"/>
      <c r="H342" s="79"/>
      <c r="I342" s="79"/>
      <c r="J342" s="79"/>
      <c r="K342" s="79"/>
      <c r="L342" s="79"/>
      <c r="N342" s="102"/>
      <c r="O342" s="119"/>
    </row>
    <row r="343">
      <c r="A343" s="17"/>
      <c r="C343" s="79"/>
      <c r="D343" s="79"/>
      <c r="E343" s="79"/>
      <c r="F343" s="79"/>
      <c r="G343" s="79"/>
      <c r="H343" s="79"/>
      <c r="I343" s="79"/>
      <c r="J343" s="79"/>
      <c r="K343" s="79"/>
      <c r="L343" s="79"/>
      <c r="N343" s="102"/>
      <c r="O343" s="119"/>
    </row>
    <row r="344">
      <c r="A344" s="17"/>
      <c r="C344" s="79"/>
      <c r="D344" s="79"/>
      <c r="E344" s="79"/>
      <c r="F344" s="79"/>
      <c r="G344" s="79"/>
      <c r="H344" s="79"/>
      <c r="I344" s="79"/>
      <c r="J344" s="79"/>
      <c r="K344" s="79"/>
      <c r="L344" s="79"/>
      <c r="N344" s="102"/>
      <c r="O344" s="119"/>
    </row>
    <row r="345">
      <c r="A345" s="17"/>
      <c r="C345" s="79"/>
      <c r="D345" s="79"/>
      <c r="E345" s="79"/>
      <c r="F345" s="79"/>
      <c r="G345" s="79"/>
      <c r="H345" s="79"/>
      <c r="I345" s="79"/>
      <c r="J345" s="79"/>
      <c r="K345" s="79"/>
      <c r="L345" s="79"/>
      <c r="N345" s="102"/>
      <c r="O345" s="119"/>
    </row>
    <row r="346">
      <c r="A346" s="17"/>
      <c r="C346" s="79"/>
      <c r="D346" s="79"/>
      <c r="E346" s="79"/>
      <c r="F346" s="79"/>
      <c r="G346" s="79"/>
      <c r="H346" s="79"/>
      <c r="I346" s="79"/>
      <c r="J346" s="79"/>
      <c r="K346" s="79"/>
      <c r="L346" s="79"/>
      <c r="N346" s="102"/>
      <c r="O346" s="119"/>
    </row>
    <row r="347">
      <c r="A347" s="17"/>
      <c r="C347" s="79"/>
      <c r="D347" s="79"/>
      <c r="E347" s="79"/>
      <c r="F347" s="79"/>
      <c r="G347" s="79"/>
      <c r="H347" s="79"/>
      <c r="I347" s="79"/>
      <c r="J347" s="79"/>
      <c r="K347" s="79"/>
      <c r="L347" s="79"/>
      <c r="N347" s="102"/>
      <c r="O347" s="119"/>
    </row>
    <row r="348">
      <c r="A348" s="17"/>
      <c r="C348" s="79"/>
      <c r="D348" s="79"/>
      <c r="E348" s="79"/>
      <c r="F348" s="79"/>
      <c r="G348" s="79"/>
      <c r="H348" s="79"/>
      <c r="I348" s="79"/>
      <c r="J348" s="79"/>
      <c r="K348" s="79"/>
      <c r="L348" s="79"/>
      <c r="N348" s="102"/>
      <c r="O348" s="119"/>
    </row>
    <row r="349">
      <c r="A349" s="17"/>
      <c r="C349" s="79"/>
      <c r="D349" s="79"/>
      <c r="E349" s="79"/>
      <c r="F349" s="79"/>
      <c r="G349" s="79"/>
      <c r="H349" s="79"/>
      <c r="I349" s="79"/>
      <c r="J349" s="79"/>
      <c r="K349" s="79"/>
      <c r="L349" s="79"/>
      <c r="N349" s="102"/>
      <c r="O349" s="119"/>
    </row>
    <row r="350">
      <c r="A350" s="17"/>
      <c r="C350" s="79"/>
      <c r="D350" s="79"/>
      <c r="E350" s="79"/>
      <c r="F350" s="79"/>
      <c r="G350" s="79"/>
      <c r="H350" s="79"/>
      <c r="I350" s="79"/>
      <c r="J350" s="79"/>
      <c r="K350" s="79"/>
      <c r="L350" s="79"/>
      <c r="N350" s="102"/>
      <c r="O350" s="119"/>
    </row>
    <row r="351">
      <c r="A351" s="17"/>
      <c r="C351" s="79"/>
      <c r="D351" s="79"/>
      <c r="E351" s="79"/>
      <c r="F351" s="79"/>
      <c r="G351" s="79"/>
      <c r="H351" s="79"/>
      <c r="I351" s="79"/>
      <c r="J351" s="79"/>
      <c r="K351" s="79"/>
      <c r="L351" s="79"/>
      <c r="N351" s="102"/>
      <c r="O351" s="119"/>
    </row>
    <row r="352">
      <c r="A352" s="17"/>
      <c r="C352" s="79"/>
      <c r="D352" s="79"/>
      <c r="E352" s="79"/>
      <c r="F352" s="79"/>
      <c r="G352" s="79"/>
      <c r="H352" s="79"/>
      <c r="I352" s="79"/>
      <c r="J352" s="79"/>
      <c r="K352" s="79"/>
      <c r="L352" s="79"/>
      <c r="N352" s="102"/>
      <c r="O352" s="119"/>
    </row>
    <row r="353">
      <c r="A353" s="17"/>
      <c r="C353" s="79"/>
      <c r="D353" s="79"/>
      <c r="E353" s="79"/>
      <c r="F353" s="79"/>
      <c r="G353" s="79"/>
      <c r="H353" s="79"/>
      <c r="I353" s="79"/>
      <c r="J353" s="79"/>
      <c r="K353" s="79"/>
      <c r="L353" s="79"/>
      <c r="N353" s="102"/>
      <c r="O353" s="119"/>
    </row>
    <row r="354">
      <c r="A354" s="17"/>
      <c r="C354" s="79"/>
      <c r="D354" s="79"/>
      <c r="E354" s="79"/>
      <c r="F354" s="79"/>
      <c r="G354" s="79"/>
      <c r="H354" s="79"/>
      <c r="I354" s="79"/>
      <c r="J354" s="79"/>
      <c r="K354" s="79"/>
      <c r="L354" s="79"/>
      <c r="N354" s="102"/>
      <c r="O354" s="119"/>
    </row>
    <row r="355">
      <c r="A355" s="17"/>
      <c r="C355" s="79"/>
      <c r="D355" s="79"/>
      <c r="E355" s="79"/>
      <c r="F355" s="79"/>
      <c r="G355" s="79"/>
      <c r="H355" s="79"/>
      <c r="I355" s="79"/>
      <c r="J355" s="79"/>
      <c r="K355" s="79"/>
      <c r="L355" s="79"/>
      <c r="N355" s="102"/>
      <c r="O355" s="119"/>
    </row>
    <row r="356">
      <c r="A356" s="17"/>
      <c r="C356" s="79"/>
      <c r="D356" s="79"/>
      <c r="E356" s="79"/>
      <c r="F356" s="79"/>
      <c r="G356" s="79"/>
      <c r="H356" s="79"/>
      <c r="I356" s="79"/>
      <c r="J356" s="79"/>
      <c r="K356" s="79"/>
      <c r="L356" s="79"/>
      <c r="N356" s="102"/>
      <c r="O356" s="119"/>
    </row>
    <row r="357">
      <c r="A357" s="17"/>
      <c r="C357" s="79"/>
      <c r="D357" s="79"/>
      <c r="E357" s="79"/>
      <c r="F357" s="79"/>
      <c r="G357" s="79"/>
      <c r="H357" s="79"/>
      <c r="I357" s="79"/>
      <c r="J357" s="79"/>
      <c r="K357" s="79"/>
      <c r="L357" s="79"/>
      <c r="N357" s="102"/>
      <c r="O357" s="119"/>
    </row>
    <row r="358">
      <c r="A358" s="17"/>
      <c r="C358" s="79"/>
      <c r="D358" s="79"/>
      <c r="E358" s="79"/>
      <c r="F358" s="79"/>
      <c r="G358" s="79"/>
      <c r="H358" s="79"/>
      <c r="I358" s="79"/>
      <c r="J358" s="79"/>
      <c r="K358" s="79"/>
      <c r="L358" s="79"/>
      <c r="N358" s="102"/>
      <c r="O358" s="119"/>
    </row>
    <row r="359">
      <c r="A359" s="17"/>
      <c r="C359" s="79"/>
      <c r="D359" s="79"/>
      <c r="E359" s="79"/>
      <c r="F359" s="79"/>
      <c r="G359" s="79"/>
      <c r="H359" s="79"/>
      <c r="I359" s="79"/>
      <c r="J359" s="79"/>
      <c r="K359" s="79"/>
      <c r="L359" s="79"/>
      <c r="N359" s="102"/>
      <c r="O359" s="119"/>
    </row>
    <row r="360">
      <c r="A360" s="17"/>
      <c r="C360" s="79"/>
      <c r="D360" s="79"/>
      <c r="E360" s="79"/>
      <c r="F360" s="79"/>
      <c r="G360" s="79"/>
      <c r="H360" s="79"/>
      <c r="I360" s="79"/>
      <c r="J360" s="79"/>
      <c r="K360" s="79"/>
      <c r="L360" s="79"/>
      <c r="N360" s="102"/>
      <c r="O360" s="119"/>
    </row>
    <row r="361">
      <c r="A361" s="17"/>
      <c r="C361" s="79"/>
      <c r="D361" s="79"/>
      <c r="E361" s="79"/>
      <c r="F361" s="79"/>
      <c r="G361" s="79"/>
      <c r="H361" s="79"/>
      <c r="I361" s="79"/>
      <c r="J361" s="79"/>
      <c r="K361" s="79"/>
      <c r="L361" s="79"/>
      <c r="N361" s="102"/>
      <c r="O361" s="119"/>
    </row>
    <row r="362">
      <c r="A362" s="17"/>
      <c r="C362" s="79"/>
      <c r="D362" s="79"/>
      <c r="E362" s="79"/>
      <c r="F362" s="79"/>
      <c r="G362" s="79"/>
      <c r="H362" s="79"/>
      <c r="I362" s="79"/>
      <c r="J362" s="79"/>
      <c r="K362" s="79"/>
      <c r="L362" s="79"/>
      <c r="N362" s="102"/>
      <c r="O362" s="119"/>
    </row>
    <row r="363">
      <c r="A363" s="17"/>
      <c r="C363" s="79"/>
      <c r="D363" s="79"/>
      <c r="E363" s="79"/>
      <c r="F363" s="79"/>
      <c r="G363" s="79"/>
      <c r="H363" s="79"/>
      <c r="I363" s="79"/>
      <c r="J363" s="79"/>
      <c r="K363" s="79"/>
      <c r="L363" s="79"/>
      <c r="N363" s="102"/>
      <c r="O363" s="119"/>
    </row>
    <row r="364">
      <c r="A364" s="17"/>
      <c r="C364" s="79"/>
      <c r="D364" s="79"/>
      <c r="E364" s="79"/>
      <c r="F364" s="79"/>
      <c r="G364" s="79"/>
      <c r="H364" s="79"/>
      <c r="I364" s="79"/>
      <c r="J364" s="79"/>
      <c r="K364" s="79"/>
      <c r="L364" s="79"/>
      <c r="N364" s="102"/>
      <c r="O364" s="119"/>
    </row>
    <row r="365">
      <c r="A365" s="17"/>
      <c r="C365" s="79"/>
      <c r="D365" s="79"/>
      <c r="E365" s="79"/>
      <c r="F365" s="79"/>
      <c r="G365" s="79"/>
      <c r="H365" s="79"/>
      <c r="I365" s="79"/>
      <c r="J365" s="79"/>
      <c r="K365" s="79"/>
      <c r="L365" s="79"/>
      <c r="N365" s="102"/>
      <c r="O365" s="119"/>
    </row>
    <row r="366">
      <c r="A366" s="17"/>
      <c r="C366" s="79"/>
      <c r="D366" s="79"/>
      <c r="E366" s="79"/>
      <c r="F366" s="79"/>
      <c r="G366" s="79"/>
      <c r="H366" s="79"/>
      <c r="I366" s="79"/>
      <c r="J366" s="79"/>
      <c r="K366" s="79"/>
      <c r="L366" s="79"/>
      <c r="N366" s="102"/>
      <c r="O366" s="119"/>
    </row>
    <row r="367">
      <c r="A367" s="17"/>
      <c r="C367" s="79"/>
      <c r="D367" s="79"/>
      <c r="E367" s="79"/>
      <c r="F367" s="79"/>
      <c r="G367" s="79"/>
      <c r="H367" s="79"/>
      <c r="I367" s="79"/>
      <c r="J367" s="79"/>
      <c r="K367" s="79"/>
      <c r="L367" s="79"/>
      <c r="N367" s="102"/>
      <c r="O367" s="119"/>
    </row>
    <row r="368">
      <c r="A368" s="17"/>
      <c r="C368" s="79"/>
      <c r="D368" s="79"/>
      <c r="E368" s="79"/>
      <c r="F368" s="79"/>
      <c r="G368" s="79"/>
      <c r="H368" s="79"/>
      <c r="I368" s="79"/>
      <c r="J368" s="79"/>
      <c r="K368" s="79"/>
      <c r="L368" s="79"/>
      <c r="N368" s="102"/>
      <c r="O368" s="119"/>
    </row>
    <row r="369">
      <c r="A369" s="17"/>
      <c r="C369" s="79"/>
      <c r="D369" s="79"/>
      <c r="E369" s="79"/>
      <c r="F369" s="79"/>
      <c r="G369" s="79"/>
      <c r="H369" s="79"/>
      <c r="I369" s="79"/>
      <c r="J369" s="79"/>
      <c r="K369" s="79"/>
      <c r="L369" s="79"/>
      <c r="N369" s="102"/>
      <c r="O369" s="119"/>
    </row>
    <row r="370">
      <c r="A370" s="17"/>
      <c r="C370" s="79"/>
      <c r="D370" s="79"/>
      <c r="E370" s="79"/>
      <c r="F370" s="79"/>
      <c r="G370" s="79"/>
      <c r="H370" s="79"/>
      <c r="I370" s="79"/>
      <c r="J370" s="79"/>
      <c r="K370" s="79"/>
      <c r="L370" s="79"/>
      <c r="N370" s="102"/>
      <c r="O370" s="119"/>
    </row>
    <row r="371">
      <c r="A371" s="17"/>
      <c r="C371" s="79"/>
      <c r="D371" s="79"/>
      <c r="E371" s="79"/>
      <c r="F371" s="79"/>
      <c r="G371" s="79"/>
      <c r="H371" s="79"/>
      <c r="I371" s="79"/>
      <c r="J371" s="79"/>
      <c r="K371" s="79"/>
      <c r="L371" s="79"/>
      <c r="N371" s="102"/>
      <c r="O371" s="119"/>
    </row>
    <row r="372">
      <c r="A372" s="17"/>
      <c r="C372" s="79"/>
      <c r="D372" s="79"/>
      <c r="E372" s="79"/>
      <c r="F372" s="79"/>
      <c r="G372" s="79"/>
      <c r="H372" s="79"/>
      <c r="I372" s="79"/>
      <c r="J372" s="79"/>
      <c r="K372" s="79"/>
      <c r="L372" s="79"/>
      <c r="N372" s="102"/>
      <c r="O372" s="119"/>
    </row>
    <row r="373">
      <c r="A373" s="17"/>
      <c r="C373" s="79"/>
      <c r="D373" s="79"/>
      <c r="E373" s="79"/>
      <c r="F373" s="79"/>
      <c r="G373" s="79"/>
      <c r="H373" s="79"/>
      <c r="I373" s="79"/>
      <c r="J373" s="79"/>
      <c r="K373" s="79"/>
      <c r="L373" s="79"/>
      <c r="N373" s="102"/>
      <c r="O373" s="119"/>
    </row>
    <row r="374">
      <c r="A374" s="17"/>
      <c r="C374" s="79"/>
      <c r="D374" s="79"/>
      <c r="E374" s="79"/>
      <c r="F374" s="79"/>
      <c r="G374" s="79"/>
      <c r="H374" s="79"/>
      <c r="I374" s="79"/>
      <c r="J374" s="79"/>
      <c r="K374" s="79"/>
      <c r="L374" s="79"/>
      <c r="N374" s="102"/>
      <c r="O374" s="119"/>
    </row>
    <row r="375">
      <c r="A375" s="17"/>
      <c r="C375" s="79"/>
      <c r="D375" s="79"/>
      <c r="E375" s="79"/>
      <c r="F375" s="79"/>
      <c r="G375" s="79"/>
      <c r="H375" s="79"/>
      <c r="I375" s="79"/>
      <c r="J375" s="79"/>
      <c r="K375" s="79"/>
      <c r="L375" s="79"/>
      <c r="N375" s="102"/>
      <c r="O375" s="119"/>
    </row>
    <row r="376">
      <c r="A376" s="17"/>
      <c r="C376" s="79"/>
      <c r="D376" s="79"/>
      <c r="E376" s="79"/>
      <c r="F376" s="79"/>
      <c r="G376" s="79"/>
      <c r="H376" s="79"/>
      <c r="I376" s="79"/>
      <c r="J376" s="79"/>
      <c r="K376" s="79"/>
      <c r="L376" s="79"/>
      <c r="N376" s="102"/>
      <c r="O376" s="119"/>
    </row>
    <row r="377">
      <c r="A377" s="17"/>
      <c r="C377" s="79"/>
      <c r="D377" s="79"/>
      <c r="E377" s="79"/>
      <c r="F377" s="79"/>
      <c r="G377" s="79"/>
      <c r="H377" s="79"/>
      <c r="I377" s="79"/>
      <c r="J377" s="79"/>
      <c r="K377" s="79"/>
      <c r="L377" s="79"/>
      <c r="N377" s="102"/>
      <c r="O377" s="119"/>
    </row>
    <row r="378">
      <c r="A378" s="17"/>
      <c r="C378" s="79"/>
      <c r="D378" s="79"/>
      <c r="E378" s="79"/>
      <c r="F378" s="79"/>
      <c r="G378" s="79"/>
      <c r="H378" s="79"/>
      <c r="I378" s="79"/>
      <c r="J378" s="79"/>
      <c r="K378" s="79"/>
      <c r="L378" s="79"/>
      <c r="N378" s="102"/>
      <c r="O378" s="119"/>
    </row>
    <row r="379">
      <c r="A379" s="17"/>
      <c r="C379" s="79"/>
      <c r="D379" s="79"/>
      <c r="E379" s="79"/>
      <c r="F379" s="79"/>
      <c r="G379" s="79"/>
      <c r="H379" s="79"/>
      <c r="I379" s="79"/>
      <c r="J379" s="79"/>
      <c r="K379" s="79"/>
      <c r="L379" s="79"/>
      <c r="N379" s="102"/>
      <c r="O379" s="119"/>
    </row>
    <row r="380">
      <c r="A380" s="17"/>
      <c r="C380" s="79"/>
      <c r="D380" s="79"/>
      <c r="E380" s="79"/>
      <c r="F380" s="79"/>
      <c r="G380" s="79"/>
      <c r="H380" s="79"/>
      <c r="I380" s="79"/>
      <c r="J380" s="79"/>
      <c r="K380" s="79"/>
      <c r="L380" s="79"/>
      <c r="N380" s="102"/>
      <c r="O380" s="119"/>
    </row>
    <row r="381">
      <c r="A381" s="17"/>
      <c r="C381" s="79"/>
      <c r="D381" s="79"/>
      <c r="E381" s="79"/>
      <c r="F381" s="79"/>
      <c r="G381" s="79"/>
      <c r="H381" s="79"/>
      <c r="I381" s="79"/>
      <c r="J381" s="79"/>
      <c r="K381" s="79"/>
      <c r="L381" s="79"/>
      <c r="N381" s="102"/>
      <c r="O381" s="119"/>
    </row>
    <row r="382">
      <c r="A382" s="17"/>
      <c r="C382" s="79"/>
      <c r="D382" s="79"/>
      <c r="E382" s="79"/>
      <c r="F382" s="79"/>
      <c r="G382" s="79"/>
      <c r="H382" s="79"/>
      <c r="I382" s="79"/>
      <c r="J382" s="79"/>
      <c r="K382" s="79"/>
      <c r="L382" s="79"/>
      <c r="N382" s="102"/>
      <c r="O382" s="119"/>
    </row>
    <row r="383">
      <c r="A383" s="17"/>
      <c r="C383" s="79"/>
      <c r="D383" s="79"/>
      <c r="E383" s="79"/>
      <c r="F383" s="79"/>
      <c r="G383" s="79"/>
      <c r="H383" s="79"/>
      <c r="I383" s="79"/>
      <c r="J383" s="79"/>
      <c r="K383" s="79"/>
      <c r="L383" s="79"/>
      <c r="N383" s="102"/>
      <c r="O383" s="119"/>
    </row>
    <row r="384">
      <c r="A384" s="17"/>
      <c r="C384" s="79"/>
      <c r="D384" s="79"/>
      <c r="E384" s="79"/>
      <c r="F384" s="79"/>
      <c r="G384" s="79"/>
      <c r="H384" s="79"/>
      <c r="I384" s="79"/>
      <c r="J384" s="79"/>
      <c r="K384" s="79"/>
      <c r="L384" s="79"/>
      <c r="N384" s="102"/>
      <c r="O384" s="119"/>
    </row>
    <row r="385">
      <c r="A385" s="17"/>
      <c r="C385" s="79"/>
      <c r="D385" s="79"/>
      <c r="E385" s="79"/>
      <c r="F385" s="79"/>
      <c r="G385" s="79"/>
      <c r="H385" s="79"/>
      <c r="I385" s="79"/>
      <c r="J385" s="79"/>
      <c r="K385" s="79"/>
      <c r="L385" s="79"/>
      <c r="N385" s="102"/>
      <c r="O385" s="119"/>
    </row>
    <row r="386">
      <c r="A386" s="17"/>
      <c r="C386" s="79"/>
      <c r="D386" s="79"/>
      <c r="E386" s="79"/>
      <c r="F386" s="79"/>
      <c r="G386" s="79"/>
      <c r="H386" s="79"/>
      <c r="I386" s="79"/>
      <c r="J386" s="79"/>
      <c r="K386" s="79"/>
      <c r="L386" s="79"/>
      <c r="N386" s="102"/>
      <c r="O386" s="119"/>
    </row>
    <row r="387">
      <c r="A387" s="17"/>
      <c r="C387" s="79"/>
      <c r="D387" s="79"/>
      <c r="E387" s="79"/>
      <c r="F387" s="79"/>
      <c r="G387" s="79"/>
      <c r="H387" s="79"/>
      <c r="I387" s="79"/>
      <c r="J387" s="79"/>
      <c r="K387" s="79"/>
      <c r="L387" s="79"/>
      <c r="N387" s="102"/>
      <c r="O387" s="119"/>
    </row>
    <row r="388">
      <c r="A388" s="17"/>
      <c r="C388" s="79"/>
      <c r="D388" s="79"/>
      <c r="E388" s="79"/>
      <c r="F388" s="79"/>
      <c r="G388" s="79"/>
      <c r="H388" s="79"/>
      <c r="I388" s="79"/>
      <c r="J388" s="79"/>
      <c r="K388" s="79"/>
      <c r="L388" s="79"/>
      <c r="N388" s="102"/>
      <c r="O388" s="119"/>
    </row>
    <row r="389">
      <c r="A389" s="17"/>
      <c r="C389" s="79"/>
      <c r="D389" s="79"/>
      <c r="E389" s="79"/>
      <c r="F389" s="79"/>
      <c r="G389" s="79"/>
      <c r="H389" s="79"/>
      <c r="I389" s="79"/>
      <c r="J389" s="79"/>
      <c r="K389" s="79"/>
      <c r="L389" s="79"/>
      <c r="N389" s="102"/>
      <c r="O389" s="119"/>
    </row>
    <row r="390">
      <c r="A390" s="17"/>
      <c r="C390" s="79"/>
      <c r="D390" s="79"/>
      <c r="E390" s="79"/>
      <c r="F390" s="79"/>
      <c r="G390" s="79"/>
      <c r="H390" s="79"/>
      <c r="I390" s="79"/>
      <c r="J390" s="79"/>
      <c r="K390" s="79"/>
      <c r="L390" s="79"/>
      <c r="N390" s="102"/>
      <c r="O390" s="119"/>
    </row>
    <row r="391">
      <c r="A391" s="17"/>
      <c r="C391" s="79"/>
      <c r="D391" s="79"/>
      <c r="E391" s="79"/>
      <c r="F391" s="79"/>
      <c r="G391" s="79"/>
      <c r="H391" s="79"/>
      <c r="I391" s="79"/>
      <c r="J391" s="79"/>
      <c r="K391" s="79"/>
      <c r="L391" s="79"/>
      <c r="N391" s="102"/>
      <c r="O391" s="119"/>
    </row>
    <row r="392">
      <c r="A392" s="17"/>
      <c r="C392" s="79"/>
      <c r="D392" s="79"/>
      <c r="E392" s="79"/>
      <c r="F392" s="79"/>
      <c r="G392" s="79"/>
      <c r="H392" s="79"/>
      <c r="I392" s="79"/>
      <c r="J392" s="79"/>
      <c r="K392" s="79"/>
      <c r="L392" s="79"/>
      <c r="N392" s="102"/>
      <c r="O392" s="119"/>
    </row>
    <row r="393">
      <c r="A393" s="17"/>
      <c r="C393" s="79"/>
      <c r="D393" s="79"/>
      <c r="E393" s="79"/>
      <c r="F393" s="79"/>
      <c r="G393" s="79"/>
      <c r="H393" s="79"/>
      <c r="I393" s="79"/>
      <c r="J393" s="79"/>
      <c r="K393" s="79"/>
      <c r="L393" s="79"/>
      <c r="N393" s="102"/>
      <c r="O393" s="119"/>
    </row>
    <row r="394">
      <c r="A394" s="17"/>
      <c r="C394" s="79"/>
      <c r="D394" s="79"/>
      <c r="E394" s="79"/>
      <c r="F394" s="79"/>
      <c r="G394" s="79"/>
      <c r="H394" s="79"/>
      <c r="I394" s="79"/>
      <c r="J394" s="79"/>
      <c r="K394" s="79"/>
      <c r="L394" s="79"/>
      <c r="N394" s="102"/>
      <c r="O394" s="119"/>
    </row>
    <row r="395">
      <c r="A395" s="17"/>
      <c r="C395" s="79"/>
      <c r="D395" s="79"/>
      <c r="E395" s="79"/>
      <c r="F395" s="79"/>
      <c r="G395" s="79"/>
      <c r="H395" s="79"/>
      <c r="I395" s="79"/>
      <c r="J395" s="79"/>
      <c r="K395" s="79"/>
      <c r="L395" s="79"/>
      <c r="N395" s="102"/>
      <c r="O395" s="119"/>
    </row>
    <row r="396">
      <c r="A396" s="17"/>
      <c r="C396" s="79"/>
      <c r="D396" s="79"/>
      <c r="E396" s="79"/>
      <c r="F396" s="79"/>
      <c r="G396" s="79"/>
      <c r="H396" s="79"/>
      <c r="I396" s="79"/>
      <c r="J396" s="79"/>
      <c r="K396" s="79"/>
      <c r="L396" s="79"/>
      <c r="N396" s="102"/>
      <c r="O396" s="119"/>
    </row>
    <row r="397">
      <c r="A397" s="17"/>
      <c r="C397" s="79"/>
      <c r="D397" s="79"/>
      <c r="E397" s="79"/>
      <c r="F397" s="79"/>
      <c r="G397" s="79"/>
      <c r="H397" s="79"/>
      <c r="I397" s="79"/>
      <c r="J397" s="79"/>
      <c r="K397" s="79"/>
      <c r="L397" s="79"/>
      <c r="N397" s="102"/>
      <c r="O397" s="119"/>
    </row>
    <row r="398">
      <c r="A398" s="17"/>
      <c r="C398" s="79"/>
      <c r="D398" s="79"/>
      <c r="E398" s="79"/>
      <c r="F398" s="79"/>
      <c r="G398" s="79"/>
      <c r="H398" s="79"/>
      <c r="I398" s="79"/>
      <c r="J398" s="79"/>
      <c r="K398" s="79"/>
      <c r="L398" s="79"/>
      <c r="N398" s="102"/>
      <c r="O398" s="119"/>
    </row>
    <row r="399">
      <c r="A399" s="17"/>
      <c r="C399" s="79"/>
      <c r="D399" s="79"/>
      <c r="E399" s="79"/>
      <c r="F399" s="79"/>
      <c r="G399" s="79"/>
      <c r="H399" s="79"/>
      <c r="I399" s="79"/>
      <c r="J399" s="79"/>
      <c r="K399" s="79"/>
      <c r="L399" s="79"/>
      <c r="N399" s="102"/>
      <c r="O399" s="119"/>
    </row>
    <row r="400">
      <c r="A400" s="17"/>
      <c r="C400" s="79"/>
      <c r="D400" s="79"/>
      <c r="E400" s="79"/>
      <c r="F400" s="79"/>
      <c r="G400" s="79"/>
      <c r="H400" s="79"/>
      <c r="I400" s="79"/>
      <c r="J400" s="79"/>
      <c r="K400" s="79"/>
      <c r="L400" s="79"/>
      <c r="N400" s="102"/>
      <c r="O400" s="119"/>
    </row>
    <row r="401">
      <c r="A401" s="17"/>
      <c r="C401" s="79"/>
      <c r="D401" s="79"/>
      <c r="E401" s="79"/>
      <c r="F401" s="79"/>
      <c r="G401" s="79"/>
      <c r="H401" s="79"/>
      <c r="I401" s="79"/>
      <c r="J401" s="79"/>
      <c r="K401" s="79"/>
      <c r="L401" s="79"/>
      <c r="N401" s="102"/>
      <c r="O401" s="119"/>
    </row>
    <row r="402">
      <c r="A402" s="17"/>
      <c r="C402" s="79"/>
      <c r="D402" s="79"/>
      <c r="E402" s="79"/>
      <c r="F402" s="79"/>
      <c r="G402" s="79"/>
      <c r="H402" s="79"/>
      <c r="I402" s="79"/>
      <c r="J402" s="79"/>
      <c r="K402" s="79"/>
      <c r="L402" s="79"/>
      <c r="N402" s="102"/>
      <c r="O402" s="119"/>
    </row>
    <row r="403">
      <c r="A403" s="17"/>
      <c r="C403" s="79"/>
      <c r="D403" s="79"/>
      <c r="E403" s="79"/>
      <c r="F403" s="79"/>
      <c r="G403" s="79"/>
      <c r="H403" s="79"/>
      <c r="I403" s="79"/>
      <c r="J403" s="79"/>
      <c r="K403" s="79"/>
      <c r="L403" s="79"/>
      <c r="N403" s="102"/>
      <c r="O403" s="119"/>
    </row>
    <row r="404">
      <c r="A404" s="17"/>
      <c r="C404" s="79"/>
      <c r="D404" s="79"/>
      <c r="E404" s="79"/>
      <c r="F404" s="79"/>
      <c r="G404" s="79"/>
      <c r="H404" s="79"/>
      <c r="I404" s="79"/>
      <c r="J404" s="79"/>
      <c r="K404" s="79"/>
      <c r="L404" s="79"/>
      <c r="N404" s="102"/>
      <c r="O404" s="119"/>
    </row>
    <row r="405">
      <c r="A405" s="17"/>
      <c r="C405" s="79"/>
      <c r="D405" s="79"/>
      <c r="E405" s="79"/>
      <c r="F405" s="79"/>
      <c r="G405" s="79"/>
      <c r="H405" s="79"/>
      <c r="I405" s="79"/>
      <c r="J405" s="79"/>
      <c r="K405" s="79"/>
      <c r="L405" s="79"/>
      <c r="N405" s="102"/>
      <c r="O405" s="119"/>
    </row>
    <row r="406">
      <c r="A406" s="17"/>
      <c r="C406" s="79"/>
      <c r="D406" s="79"/>
      <c r="E406" s="79"/>
      <c r="F406" s="79"/>
      <c r="G406" s="79"/>
      <c r="H406" s="79"/>
      <c r="I406" s="79"/>
      <c r="J406" s="79"/>
      <c r="K406" s="79"/>
      <c r="L406" s="79"/>
      <c r="N406" s="102"/>
      <c r="O406" s="119"/>
    </row>
    <row r="407">
      <c r="A407" s="17"/>
      <c r="C407" s="79"/>
      <c r="D407" s="79"/>
      <c r="E407" s="79"/>
      <c r="F407" s="79"/>
      <c r="G407" s="79"/>
      <c r="H407" s="79"/>
      <c r="I407" s="79"/>
      <c r="J407" s="79"/>
      <c r="K407" s="79"/>
      <c r="L407" s="79"/>
      <c r="N407" s="102"/>
      <c r="O407" s="119"/>
    </row>
    <row r="408">
      <c r="A408" s="17"/>
      <c r="C408" s="79"/>
      <c r="D408" s="79"/>
      <c r="E408" s="79"/>
      <c r="F408" s="79"/>
      <c r="G408" s="79"/>
      <c r="H408" s="79"/>
      <c r="I408" s="79"/>
      <c r="J408" s="79"/>
      <c r="K408" s="79"/>
      <c r="L408" s="79"/>
      <c r="N408" s="102"/>
      <c r="O408" s="119"/>
    </row>
    <row r="409">
      <c r="A409" s="17"/>
      <c r="C409" s="79"/>
      <c r="D409" s="79"/>
      <c r="E409" s="79"/>
      <c r="F409" s="79"/>
      <c r="G409" s="79"/>
      <c r="H409" s="79"/>
      <c r="I409" s="79"/>
      <c r="J409" s="79"/>
      <c r="K409" s="79"/>
      <c r="L409" s="79"/>
      <c r="N409" s="102"/>
      <c r="O409" s="119"/>
    </row>
    <row r="410">
      <c r="A410" s="17"/>
      <c r="C410" s="79"/>
      <c r="D410" s="79"/>
      <c r="E410" s="79"/>
      <c r="F410" s="79"/>
      <c r="G410" s="79"/>
      <c r="H410" s="79"/>
      <c r="I410" s="79"/>
      <c r="J410" s="79"/>
      <c r="K410" s="79"/>
      <c r="L410" s="79"/>
      <c r="N410" s="102"/>
      <c r="O410" s="119"/>
    </row>
    <row r="411">
      <c r="A411" s="17"/>
      <c r="C411" s="79"/>
      <c r="D411" s="79"/>
      <c r="E411" s="79"/>
      <c r="F411" s="79"/>
      <c r="G411" s="79"/>
      <c r="H411" s="79"/>
      <c r="I411" s="79"/>
      <c r="J411" s="79"/>
      <c r="K411" s="79"/>
      <c r="L411" s="79"/>
      <c r="N411" s="102"/>
      <c r="O411" s="119"/>
    </row>
    <row r="412">
      <c r="A412" s="17"/>
      <c r="C412" s="79"/>
      <c r="D412" s="79"/>
      <c r="E412" s="79"/>
      <c r="F412" s="79"/>
      <c r="G412" s="79"/>
      <c r="H412" s="79"/>
      <c r="I412" s="79"/>
      <c r="J412" s="79"/>
      <c r="K412" s="79"/>
      <c r="L412" s="79"/>
      <c r="N412" s="102"/>
      <c r="O412" s="119"/>
    </row>
    <row r="413">
      <c r="A413" s="17"/>
      <c r="C413" s="79"/>
      <c r="D413" s="79"/>
      <c r="E413" s="79"/>
      <c r="F413" s="79"/>
      <c r="G413" s="79"/>
      <c r="H413" s="79"/>
      <c r="I413" s="79"/>
      <c r="J413" s="79"/>
      <c r="K413" s="79"/>
      <c r="L413" s="79"/>
      <c r="N413" s="102"/>
      <c r="O413" s="119"/>
    </row>
    <row r="414">
      <c r="A414" s="17"/>
      <c r="C414" s="79"/>
      <c r="D414" s="79"/>
      <c r="E414" s="79"/>
      <c r="F414" s="79"/>
      <c r="G414" s="79"/>
      <c r="H414" s="79"/>
      <c r="I414" s="79"/>
      <c r="J414" s="79"/>
      <c r="K414" s="79"/>
      <c r="L414" s="79"/>
      <c r="N414" s="102"/>
      <c r="O414" s="119"/>
    </row>
    <row r="415">
      <c r="A415" s="17"/>
      <c r="C415" s="79"/>
      <c r="D415" s="79"/>
      <c r="E415" s="79"/>
      <c r="F415" s="79"/>
      <c r="G415" s="79"/>
      <c r="H415" s="79"/>
      <c r="I415" s="79"/>
      <c r="J415" s="79"/>
      <c r="K415" s="79"/>
      <c r="L415" s="79"/>
      <c r="N415" s="102"/>
      <c r="O415" s="119"/>
    </row>
    <row r="416">
      <c r="A416" s="17"/>
      <c r="C416" s="79"/>
      <c r="D416" s="79"/>
      <c r="E416" s="79"/>
      <c r="F416" s="79"/>
      <c r="G416" s="79"/>
      <c r="H416" s="79"/>
      <c r="I416" s="79"/>
      <c r="J416" s="79"/>
      <c r="K416" s="79"/>
      <c r="L416" s="79"/>
      <c r="N416" s="102"/>
      <c r="O416" s="119"/>
    </row>
    <row r="417">
      <c r="A417" s="17"/>
      <c r="C417" s="79"/>
      <c r="D417" s="79"/>
      <c r="E417" s="79"/>
      <c r="F417" s="79"/>
      <c r="G417" s="79"/>
      <c r="H417" s="79"/>
      <c r="I417" s="79"/>
      <c r="J417" s="79"/>
      <c r="K417" s="79"/>
      <c r="L417" s="79"/>
      <c r="N417" s="102"/>
      <c r="O417" s="119"/>
    </row>
    <row r="418">
      <c r="A418" s="17"/>
      <c r="C418" s="79"/>
      <c r="D418" s="79"/>
      <c r="E418" s="79"/>
      <c r="F418" s="79"/>
      <c r="G418" s="79"/>
      <c r="H418" s="79"/>
      <c r="I418" s="79"/>
      <c r="J418" s="79"/>
      <c r="K418" s="79"/>
      <c r="L418" s="79"/>
      <c r="N418" s="102"/>
      <c r="O418" s="119"/>
    </row>
    <row r="419">
      <c r="A419" s="17"/>
      <c r="C419" s="79"/>
      <c r="D419" s="79"/>
      <c r="E419" s="79"/>
      <c r="F419" s="79"/>
      <c r="G419" s="79"/>
      <c r="H419" s="79"/>
      <c r="I419" s="79"/>
      <c r="J419" s="79"/>
      <c r="K419" s="79"/>
      <c r="L419" s="79"/>
      <c r="N419" s="102"/>
      <c r="O419" s="119"/>
    </row>
    <row r="420">
      <c r="A420" s="17"/>
      <c r="C420" s="79"/>
      <c r="D420" s="79"/>
      <c r="E420" s="79"/>
      <c r="F420" s="79"/>
      <c r="G420" s="79"/>
      <c r="H420" s="79"/>
      <c r="I420" s="79"/>
      <c r="J420" s="79"/>
      <c r="K420" s="79"/>
      <c r="L420" s="79"/>
      <c r="N420" s="102"/>
      <c r="O420" s="119"/>
    </row>
    <row r="421">
      <c r="A421" s="17"/>
      <c r="C421" s="79"/>
      <c r="D421" s="79"/>
      <c r="E421" s="79"/>
      <c r="F421" s="79"/>
      <c r="G421" s="79"/>
      <c r="H421" s="79"/>
      <c r="I421" s="79"/>
      <c r="J421" s="79"/>
      <c r="K421" s="79"/>
      <c r="L421" s="79"/>
      <c r="N421" s="102"/>
      <c r="O421" s="119"/>
    </row>
    <row r="422">
      <c r="A422" s="17"/>
      <c r="C422" s="79"/>
      <c r="D422" s="79"/>
      <c r="E422" s="79"/>
      <c r="F422" s="79"/>
      <c r="G422" s="79"/>
      <c r="H422" s="79"/>
      <c r="I422" s="79"/>
      <c r="J422" s="79"/>
      <c r="K422" s="79"/>
      <c r="L422" s="79"/>
      <c r="N422" s="102"/>
      <c r="O422" s="119"/>
    </row>
    <row r="423">
      <c r="A423" s="17"/>
      <c r="C423" s="79"/>
      <c r="D423" s="79"/>
      <c r="E423" s="79"/>
      <c r="F423" s="79"/>
      <c r="G423" s="79"/>
      <c r="H423" s="79"/>
      <c r="I423" s="79"/>
      <c r="J423" s="79"/>
      <c r="K423" s="79"/>
      <c r="L423" s="79"/>
      <c r="N423" s="102"/>
      <c r="O423" s="119"/>
    </row>
    <row r="424">
      <c r="A424" s="17"/>
      <c r="C424" s="79"/>
      <c r="D424" s="79"/>
      <c r="E424" s="79"/>
      <c r="F424" s="79"/>
      <c r="G424" s="79"/>
      <c r="H424" s="79"/>
      <c r="I424" s="79"/>
      <c r="J424" s="79"/>
      <c r="K424" s="79"/>
      <c r="L424" s="79"/>
      <c r="N424" s="102"/>
      <c r="O424" s="119"/>
    </row>
    <row r="425">
      <c r="A425" s="17"/>
      <c r="C425" s="79"/>
      <c r="D425" s="79"/>
      <c r="E425" s="79"/>
      <c r="F425" s="79"/>
      <c r="G425" s="79"/>
      <c r="H425" s="79"/>
      <c r="I425" s="79"/>
      <c r="J425" s="79"/>
      <c r="K425" s="79"/>
      <c r="L425" s="79"/>
      <c r="N425" s="102"/>
      <c r="O425" s="119"/>
    </row>
    <row r="426">
      <c r="A426" s="17"/>
      <c r="C426" s="79"/>
      <c r="D426" s="79"/>
      <c r="E426" s="79"/>
      <c r="F426" s="79"/>
      <c r="G426" s="79"/>
      <c r="H426" s="79"/>
      <c r="I426" s="79"/>
      <c r="J426" s="79"/>
      <c r="K426" s="79"/>
      <c r="L426" s="79"/>
      <c r="N426" s="102"/>
      <c r="O426" s="119"/>
    </row>
    <row r="427">
      <c r="A427" s="17"/>
      <c r="C427" s="79"/>
      <c r="D427" s="79"/>
      <c r="E427" s="79"/>
      <c r="F427" s="79"/>
      <c r="G427" s="79"/>
      <c r="H427" s="79"/>
      <c r="I427" s="79"/>
      <c r="J427" s="79"/>
      <c r="K427" s="79"/>
      <c r="L427" s="79"/>
      <c r="N427" s="102"/>
      <c r="O427" s="119"/>
    </row>
    <row r="428">
      <c r="A428" s="17"/>
      <c r="C428" s="79"/>
      <c r="D428" s="79"/>
      <c r="E428" s="79"/>
      <c r="F428" s="79"/>
      <c r="G428" s="79"/>
      <c r="H428" s="79"/>
      <c r="I428" s="79"/>
      <c r="J428" s="79"/>
      <c r="K428" s="79"/>
      <c r="L428" s="79"/>
      <c r="N428" s="102"/>
      <c r="O428" s="119"/>
    </row>
    <row r="429">
      <c r="A429" s="17"/>
      <c r="C429" s="79"/>
      <c r="D429" s="79"/>
      <c r="E429" s="79"/>
      <c r="F429" s="79"/>
      <c r="G429" s="79"/>
      <c r="H429" s="79"/>
      <c r="I429" s="79"/>
      <c r="J429" s="79"/>
      <c r="K429" s="79"/>
      <c r="L429" s="79"/>
      <c r="N429" s="102"/>
      <c r="O429" s="119"/>
    </row>
    <row r="430">
      <c r="A430" s="17"/>
      <c r="C430" s="79"/>
      <c r="D430" s="79"/>
      <c r="E430" s="79"/>
      <c r="F430" s="79"/>
      <c r="G430" s="79"/>
      <c r="H430" s="79"/>
      <c r="I430" s="79"/>
      <c r="J430" s="79"/>
      <c r="K430" s="79"/>
      <c r="L430" s="79"/>
      <c r="N430" s="102"/>
      <c r="O430" s="119"/>
    </row>
    <row r="431">
      <c r="A431" s="17"/>
      <c r="C431" s="79"/>
      <c r="D431" s="79"/>
      <c r="E431" s="79"/>
      <c r="F431" s="79"/>
      <c r="G431" s="79"/>
      <c r="H431" s="79"/>
      <c r="I431" s="79"/>
      <c r="J431" s="79"/>
      <c r="K431" s="79"/>
      <c r="L431" s="79"/>
      <c r="N431" s="102"/>
      <c r="O431" s="119"/>
    </row>
    <row r="432">
      <c r="A432" s="17"/>
      <c r="C432" s="79"/>
      <c r="D432" s="79"/>
      <c r="E432" s="79"/>
      <c r="F432" s="79"/>
      <c r="G432" s="79"/>
      <c r="H432" s="79"/>
      <c r="I432" s="79"/>
      <c r="J432" s="79"/>
      <c r="K432" s="79"/>
      <c r="L432" s="79"/>
      <c r="N432" s="102"/>
      <c r="O432" s="119"/>
    </row>
    <row r="433">
      <c r="A433" s="17"/>
      <c r="C433" s="79"/>
      <c r="D433" s="79"/>
      <c r="E433" s="79"/>
      <c r="F433" s="79"/>
      <c r="G433" s="79"/>
      <c r="H433" s="79"/>
      <c r="I433" s="79"/>
      <c r="J433" s="79"/>
      <c r="K433" s="79"/>
      <c r="L433" s="79"/>
      <c r="N433" s="102"/>
      <c r="O433" s="119"/>
    </row>
    <row r="434">
      <c r="A434" s="17"/>
      <c r="C434" s="79"/>
      <c r="D434" s="79"/>
      <c r="E434" s="79"/>
      <c r="F434" s="79"/>
      <c r="G434" s="79"/>
      <c r="H434" s="79"/>
      <c r="I434" s="79"/>
      <c r="J434" s="79"/>
      <c r="K434" s="79"/>
      <c r="L434" s="79"/>
      <c r="N434" s="102"/>
      <c r="O434" s="119"/>
    </row>
    <row r="435">
      <c r="A435" s="17"/>
      <c r="C435" s="79"/>
      <c r="D435" s="79"/>
      <c r="E435" s="79"/>
      <c r="F435" s="79"/>
      <c r="G435" s="79"/>
      <c r="H435" s="79"/>
      <c r="I435" s="79"/>
      <c r="J435" s="79"/>
      <c r="K435" s="79"/>
      <c r="L435" s="79"/>
      <c r="N435" s="102"/>
      <c r="O435" s="119"/>
    </row>
    <row r="436">
      <c r="A436" s="17"/>
      <c r="C436" s="79"/>
      <c r="D436" s="79"/>
      <c r="E436" s="79"/>
      <c r="F436" s="79"/>
      <c r="G436" s="79"/>
      <c r="H436" s="79"/>
      <c r="I436" s="79"/>
      <c r="J436" s="79"/>
      <c r="K436" s="79"/>
      <c r="L436" s="79"/>
      <c r="N436" s="102"/>
      <c r="O436" s="119"/>
    </row>
    <row r="437">
      <c r="A437" s="17"/>
      <c r="C437" s="79"/>
      <c r="D437" s="79"/>
      <c r="E437" s="79"/>
      <c r="F437" s="79"/>
      <c r="G437" s="79"/>
      <c r="H437" s="79"/>
      <c r="I437" s="79"/>
      <c r="J437" s="79"/>
      <c r="K437" s="79"/>
      <c r="L437" s="79"/>
      <c r="N437" s="102"/>
      <c r="O437" s="119"/>
    </row>
    <row r="438">
      <c r="A438" s="17"/>
      <c r="C438" s="79"/>
      <c r="D438" s="79"/>
      <c r="E438" s="79"/>
      <c r="F438" s="79"/>
      <c r="G438" s="79"/>
      <c r="H438" s="79"/>
      <c r="I438" s="79"/>
      <c r="J438" s="79"/>
      <c r="K438" s="79"/>
      <c r="L438" s="79"/>
      <c r="N438" s="102"/>
      <c r="O438" s="119"/>
    </row>
    <row r="439">
      <c r="A439" s="17"/>
      <c r="C439" s="79"/>
      <c r="D439" s="79"/>
      <c r="E439" s="79"/>
      <c r="F439" s="79"/>
      <c r="G439" s="79"/>
      <c r="H439" s="79"/>
      <c r="I439" s="79"/>
      <c r="J439" s="79"/>
      <c r="K439" s="79"/>
      <c r="L439" s="79"/>
      <c r="N439" s="102"/>
      <c r="O439" s="119"/>
    </row>
    <row r="440">
      <c r="A440" s="17"/>
      <c r="C440" s="79"/>
      <c r="D440" s="79"/>
      <c r="E440" s="79"/>
      <c r="F440" s="79"/>
      <c r="G440" s="79"/>
      <c r="H440" s="79"/>
      <c r="I440" s="79"/>
      <c r="J440" s="79"/>
      <c r="K440" s="79"/>
      <c r="L440" s="79"/>
      <c r="N440" s="102"/>
      <c r="O440" s="119"/>
    </row>
    <row r="441">
      <c r="A441" s="17"/>
      <c r="C441" s="79"/>
      <c r="D441" s="79"/>
      <c r="E441" s="79"/>
      <c r="F441" s="79"/>
      <c r="G441" s="79"/>
      <c r="H441" s="79"/>
      <c r="I441" s="79"/>
      <c r="J441" s="79"/>
      <c r="K441" s="79"/>
      <c r="L441" s="79"/>
      <c r="N441" s="102"/>
      <c r="O441" s="119"/>
    </row>
    <row r="442">
      <c r="A442" s="17"/>
      <c r="C442" s="79"/>
      <c r="D442" s="79"/>
      <c r="E442" s="79"/>
      <c r="F442" s="79"/>
      <c r="G442" s="79"/>
      <c r="H442" s="79"/>
      <c r="I442" s="79"/>
      <c r="J442" s="79"/>
      <c r="K442" s="79"/>
      <c r="L442" s="79"/>
      <c r="N442" s="102"/>
      <c r="O442" s="119"/>
    </row>
    <row r="443">
      <c r="A443" s="17"/>
      <c r="C443" s="79"/>
      <c r="D443" s="79"/>
      <c r="E443" s="79"/>
      <c r="F443" s="79"/>
      <c r="G443" s="79"/>
      <c r="H443" s="79"/>
      <c r="I443" s="79"/>
      <c r="J443" s="79"/>
      <c r="K443" s="79"/>
      <c r="L443" s="79"/>
      <c r="N443" s="102"/>
      <c r="O443" s="119"/>
    </row>
    <row r="444">
      <c r="A444" s="17"/>
      <c r="C444" s="79"/>
      <c r="D444" s="79"/>
      <c r="E444" s="79"/>
      <c r="F444" s="79"/>
      <c r="G444" s="79"/>
      <c r="H444" s="79"/>
      <c r="I444" s="79"/>
      <c r="J444" s="79"/>
      <c r="K444" s="79"/>
      <c r="L444" s="79"/>
      <c r="N444" s="102"/>
      <c r="O444" s="119"/>
    </row>
    <row r="445">
      <c r="A445" s="17"/>
      <c r="C445" s="79"/>
      <c r="D445" s="79"/>
      <c r="E445" s="79"/>
      <c r="F445" s="79"/>
      <c r="G445" s="79"/>
      <c r="H445" s="79"/>
      <c r="I445" s="79"/>
      <c r="J445" s="79"/>
      <c r="K445" s="79"/>
      <c r="L445" s="79"/>
      <c r="N445" s="102"/>
      <c r="O445" s="119"/>
    </row>
    <row r="446">
      <c r="A446" s="17"/>
      <c r="C446" s="79"/>
      <c r="D446" s="79"/>
      <c r="E446" s="79"/>
      <c r="F446" s="79"/>
      <c r="G446" s="79"/>
      <c r="H446" s="79"/>
      <c r="I446" s="79"/>
      <c r="J446" s="79"/>
      <c r="K446" s="79"/>
      <c r="L446" s="79"/>
      <c r="N446" s="102"/>
      <c r="O446" s="119"/>
    </row>
    <row r="447">
      <c r="A447" s="17"/>
      <c r="C447" s="79"/>
      <c r="D447" s="79"/>
      <c r="E447" s="79"/>
      <c r="F447" s="79"/>
      <c r="G447" s="79"/>
      <c r="H447" s="79"/>
      <c r="I447" s="79"/>
      <c r="J447" s="79"/>
      <c r="K447" s="79"/>
      <c r="L447" s="79"/>
      <c r="N447" s="102"/>
      <c r="O447" s="119"/>
    </row>
    <row r="448">
      <c r="A448" s="17"/>
      <c r="C448" s="79"/>
      <c r="D448" s="79"/>
      <c r="E448" s="79"/>
      <c r="F448" s="79"/>
      <c r="G448" s="79"/>
      <c r="H448" s="79"/>
      <c r="I448" s="79"/>
      <c r="J448" s="79"/>
      <c r="K448" s="79"/>
      <c r="L448" s="79"/>
      <c r="N448" s="102"/>
      <c r="O448" s="119"/>
    </row>
    <row r="449">
      <c r="A449" s="17"/>
      <c r="C449" s="79"/>
      <c r="D449" s="79"/>
      <c r="E449" s="79"/>
      <c r="F449" s="79"/>
      <c r="G449" s="79"/>
      <c r="H449" s="79"/>
      <c r="I449" s="79"/>
      <c r="J449" s="79"/>
      <c r="K449" s="79"/>
      <c r="L449" s="79"/>
      <c r="N449" s="102"/>
      <c r="O449" s="119"/>
    </row>
    <row r="450">
      <c r="A450" s="17"/>
      <c r="C450" s="79"/>
      <c r="D450" s="79"/>
      <c r="E450" s="79"/>
      <c r="F450" s="79"/>
      <c r="G450" s="79"/>
      <c r="H450" s="79"/>
      <c r="I450" s="79"/>
      <c r="J450" s="79"/>
      <c r="K450" s="79"/>
      <c r="L450" s="79"/>
      <c r="N450" s="102"/>
      <c r="O450" s="119"/>
    </row>
    <row r="451">
      <c r="A451" s="17"/>
      <c r="C451" s="79"/>
      <c r="D451" s="79"/>
      <c r="E451" s="79"/>
      <c r="F451" s="79"/>
      <c r="G451" s="79"/>
      <c r="H451" s="79"/>
      <c r="I451" s="79"/>
      <c r="J451" s="79"/>
      <c r="K451" s="79"/>
      <c r="L451" s="79"/>
      <c r="N451" s="102"/>
      <c r="O451" s="119"/>
    </row>
    <row r="452">
      <c r="A452" s="17"/>
      <c r="C452" s="79"/>
      <c r="D452" s="79"/>
      <c r="E452" s="79"/>
      <c r="F452" s="79"/>
      <c r="G452" s="79"/>
      <c r="H452" s="79"/>
      <c r="I452" s="79"/>
      <c r="J452" s="79"/>
      <c r="K452" s="79"/>
      <c r="L452" s="79"/>
      <c r="N452" s="102"/>
      <c r="O452" s="119"/>
    </row>
    <row r="453">
      <c r="A453" s="17"/>
      <c r="C453" s="79"/>
      <c r="D453" s="79"/>
      <c r="E453" s="79"/>
      <c r="F453" s="79"/>
      <c r="G453" s="79"/>
      <c r="H453" s="79"/>
      <c r="I453" s="79"/>
      <c r="J453" s="79"/>
      <c r="K453" s="79"/>
      <c r="L453" s="79"/>
      <c r="N453" s="102"/>
      <c r="O453" s="119"/>
    </row>
    <row r="454">
      <c r="A454" s="17"/>
      <c r="C454" s="79"/>
      <c r="D454" s="79"/>
      <c r="E454" s="79"/>
      <c r="F454" s="79"/>
      <c r="G454" s="79"/>
      <c r="H454" s="79"/>
      <c r="I454" s="79"/>
      <c r="J454" s="79"/>
      <c r="K454" s="79"/>
      <c r="L454" s="79"/>
      <c r="N454" s="102"/>
      <c r="O454" s="119"/>
    </row>
    <row r="455">
      <c r="A455" s="17"/>
      <c r="C455" s="79"/>
      <c r="D455" s="79"/>
      <c r="E455" s="79"/>
      <c r="F455" s="79"/>
      <c r="G455" s="79"/>
      <c r="H455" s="79"/>
      <c r="I455" s="79"/>
      <c r="J455" s="79"/>
      <c r="K455" s="79"/>
      <c r="L455" s="79"/>
      <c r="N455" s="102"/>
      <c r="O455" s="119"/>
    </row>
    <row r="456">
      <c r="A456" s="17"/>
      <c r="C456" s="79"/>
      <c r="D456" s="79"/>
      <c r="E456" s="79"/>
      <c r="F456" s="79"/>
      <c r="G456" s="79"/>
      <c r="H456" s="79"/>
      <c r="I456" s="79"/>
      <c r="J456" s="79"/>
      <c r="K456" s="79"/>
      <c r="L456" s="79"/>
      <c r="N456" s="102"/>
      <c r="O456" s="119"/>
    </row>
    <row r="457">
      <c r="A457" s="17"/>
      <c r="C457" s="79"/>
      <c r="D457" s="79"/>
      <c r="E457" s="79"/>
      <c r="F457" s="79"/>
      <c r="G457" s="79"/>
      <c r="H457" s="79"/>
      <c r="I457" s="79"/>
      <c r="J457" s="79"/>
      <c r="K457" s="79"/>
      <c r="L457" s="79"/>
      <c r="N457" s="102"/>
      <c r="O457" s="119"/>
    </row>
    <row r="458">
      <c r="A458" s="17"/>
      <c r="C458" s="79"/>
      <c r="D458" s="79"/>
      <c r="E458" s="79"/>
      <c r="F458" s="79"/>
      <c r="G458" s="79"/>
      <c r="H458" s="79"/>
      <c r="I458" s="79"/>
      <c r="J458" s="79"/>
      <c r="K458" s="79"/>
      <c r="L458" s="79"/>
      <c r="N458" s="102"/>
      <c r="O458" s="119"/>
    </row>
    <row r="459">
      <c r="A459" s="17"/>
      <c r="C459" s="79"/>
      <c r="D459" s="79"/>
      <c r="E459" s="79"/>
      <c r="F459" s="79"/>
      <c r="G459" s="79"/>
      <c r="H459" s="79"/>
      <c r="I459" s="79"/>
      <c r="J459" s="79"/>
      <c r="K459" s="79"/>
      <c r="L459" s="79"/>
      <c r="N459" s="102"/>
      <c r="O459" s="119"/>
    </row>
    <row r="460">
      <c r="A460" s="17"/>
      <c r="C460" s="79"/>
      <c r="D460" s="79"/>
      <c r="E460" s="79"/>
      <c r="F460" s="79"/>
      <c r="G460" s="79"/>
      <c r="H460" s="79"/>
      <c r="I460" s="79"/>
      <c r="J460" s="79"/>
      <c r="K460" s="79"/>
      <c r="L460" s="79"/>
      <c r="N460" s="102"/>
      <c r="O460" s="119"/>
    </row>
    <row r="461">
      <c r="A461" s="17"/>
      <c r="C461" s="79"/>
      <c r="D461" s="79"/>
      <c r="E461" s="79"/>
      <c r="F461" s="79"/>
      <c r="G461" s="79"/>
      <c r="H461" s="79"/>
      <c r="I461" s="79"/>
      <c r="J461" s="79"/>
      <c r="K461" s="79"/>
      <c r="L461" s="79"/>
      <c r="N461" s="102"/>
      <c r="O461" s="119"/>
    </row>
    <row r="462">
      <c r="A462" s="17"/>
      <c r="C462" s="79"/>
      <c r="D462" s="79"/>
      <c r="E462" s="79"/>
      <c r="F462" s="79"/>
      <c r="G462" s="79"/>
      <c r="H462" s="79"/>
      <c r="I462" s="79"/>
      <c r="J462" s="79"/>
      <c r="K462" s="79"/>
      <c r="L462" s="79"/>
      <c r="N462" s="102"/>
      <c r="O462" s="119"/>
    </row>
    <row r="463">
      <c r="A463" s="17"/>
      <c r="C463" s="79"/>
      <c r="D463" s="79"/>
      <c r="E463" s="79"/>
      <c r="F463" s="79"/>
      <c r="G463" s="79"/>
      <c r="H463" s="79"/>
      <c r="I463" s="79"/>
      <c r="J463" s="79"/>
      <c r="K463" s="79"/>
      <c r="L463" s="79"/>
      <c r="N463" s="102"/>
      <c r="O463" s="119"/>
    </row>
    <row r="464">
      <c r="A464" s="17"/>
      <c r="C464" s="79"/>
      <c r="D464" s="79"/>
      <c r="E464" s="79"/>
      <c r="F464" s="79"/>
      <c r="G464" s="79"/>
      <c r="H464" s="79"/>
      <c r="I464" s="79"/>
      <c r="J464" s="79"/>
      <c r="K464" s="79"/>
      <c r="L464" s="79"/>
      <c r="N464" s="102"/>
      <c r="O464" s="119"/>
    </row>
    <row r="465">
      <c r="A465" s="17"/>
      <c r="C465" s="79"/>
      <c r="D465" s="79"/>
      <c r="E465" s="79"/>
      <c r="F465" s="79"/>
      <c r="G465" s="79"/>
      <c r="H465" s="79"/>
      <c r="I465" s="79"/>
      <c r="J465" s="79"/>
      <c r="K465" s="79"/>
      <c r="L465" s="79"/>
      <c r="N465" s="102"/>
      <c r="O465" s="119"/>
    </row>
    <row r="466">
      <c r="A466" s="17"/>
      <c r="C466" s="79"/>
      <c r="D466" s="79"/>
      <c r="E466" s="79"/>
      <c r="F466" s="79"/>
      <c r="G466" s="79"/>
      <c r="H466" s="79"/>
      <c r="I466" s="79"/>
      <c r="J466" s="79"/>
      <c r="K466" s="79"/>
      <c r="L466" s="79"/>
      <c r="N466" s="102"/>
      <c r="O466" s="119"/>
    </row>
    <row r="467">
      <c r="A467" s="17"/>
      <c r="C467" s="79"/>
      <c r="D467" s="79"/>
      <c r="E467" s="79"/>
      <c r="F467" s="79"/>
      <c r="G467" s="79"/>
      <c r="H467" s="79"/>
      <c r="I467" s="79"/>
      <c r="J467" s="79"/>
      <c r="K467" s="79"/>
      <c r="L467" s="79"/>
      <c r="N467" s="102"/>
      <c r="O467" s="119"/>
    </row>
    <row r="468">
      <c r="A468" s="17"/>
      <c r="C468" s="79"/>
      <c r="D468" s="79"/>
      <c r="E468" s="79"/>
      <c r="F468" s="79"/>
      <c r="G468" s="79"/>
      <c r="H468" s="79"/>
      <c r="I468" s="79"/>
      <c r="J468" s="79"/>
      <c r="K468" s="79"/>
      <c r="L468" s="79"/>
      <c r="N468" s="102"/>
      <c r="O468" s="119"/>
    </row>
    <row r="469">
      <c r="A469" s="17"/>
      <c r="C469" s="79"/>
      <c r="D469" s="79"/>
      <c r="E469" s="79"/>
      <c r="F469" s="79"/>
      <c r="G469" s="79"/>
      <c r="H469" s="79"/>
      <c r="I469" s="79"/>
      <c r="J469" s="79"/>
      <c r="K469" s="79"/>
      <c r="L469" s="79"/>
      <c r="N469" s="102"/>
      <c r="O469" s="119"/>
    </row>
    <row r="470">
      <c r="A470" s="17"/>
      <c r="C470" s="79"/>
      <c r="D470" s="79"/>
      <c r="E470" s="79"/>
      <c r="F470" s="79"/>
      <c r="G470" s="79"/>
      <c r="H470" s="79"/>
      <c r="I470" s="79"/>
      <c r="J470" s="79"/>
      <c r="K470" s="79"/>
      <c r="L470" s="79"/>
      <c r="N470" s="102"/>
      <c r="O470" s="119"/>
    </row>
    <row r="471">
      <c r="A471" s="17"/>
      <c r="C471" s="79"/>
      <c r="D471" s="79"/>
      <c r="E471" s="79"/>
      <c r="F471" s="79"/>
      <c r="G471" s="79"/>
      <c r="H471" s="79"/>
      <c r="I471" s="79"/>
      <c r="J471" s="79"/>
      <c r="K471" s="79"/>
      <c r="L471" s="79"/>
      <c r="N471" s="102"/>
      <c r="O471" s="119"/>
    </row>
    <row r="472">
      <c r="A472" s="17"/>
      <c r="C472" s="79"/>
      <c r="D472" s="79"/>
      <c r="E472" s="79"/>
      <c r="F472" s="79"/>
      <c r="G472" s="79"/>
      <c r="H472" s="79"/>
      <c r="I472" s="79"/>
      <c r="J472" s="79"/>
      <c r="K472" s="79"/>
      <c r="L472" s="79"/>
      <c r="N472" s="102"/>
      <c r="O472" s="119"/>
    </row>
    <row r="473">
      <c r="A473" s="17"/>
      <c r="C473" s="79"/>
      <c r="D473" s="79"/>
      <c r="E473" s="79"/>
      <c r="F473" s="79"/>
      <c r="G473" s="79"/>
      <c r="H473" s="79"/>
      <c r="I473" s="79"/>
      <c r="J473" s="79"/>
      <c r="K473" s="79"/>
      <c r="L473" s="79"/>
      <c r="N473" s="102"/>
      <c r="O473" s="119"/>
    </row>
    <row r="474">
      <c r="A474" s="17"/>
      <c r="C474" s="79"/>
      <c r="D474" s="79"/>
      <c r="E474" s="79"/>
      <c r="F474" s="79"/>
      <c r="G474" s="79"/>
      <c r="H474" s="79"/>
      <c r="I474" s="79"/>
      <c r="J474" s="79"/>
      <c r="K474" s="79"/>
      <c r="L474" s="79"/>
      <c r="N474" s="102"/>
      <c r="O474" s="119"/>
    </row>
    <row r="475">
      <c r="A475" s="17"/>
      <c r="C475" s="79"/>
      <c r="D475" s="79"/>
      <c r="E475" s="79"/>
      <c r="F475" s="79"/>
      <c r="G475" s="79"/>
      <c r="H475" s="79"/>
      <c r="I475" s="79"/>
      <c r="J475" s="79"/>
      <c r="K475" s="79"/>
      <c r="L475" s="79"/>
      <c r="N475" s="102"/>
      <c r="O475" s="119"/>
    </row>
    <row r="476">
      <c r="A476" s="17"/>
      <c r="C476" s="79"/>
      <c r="D476" s="79"/>
      <c r="E476" s="79"/>
      <c r="F476" s="79"/>
      <c r="G476" s="79"/>
      <c r="H476" s="79"/>
      <c r="I476" s="79"/>
      <c r="J476" s="79"/>
      <c r="K476" s="79"/>
      <c r="L476" s="79"/>
      <c r="N476" s="102"/>
      <c r="O476" s="119"/>
    </row>
    <row r="477">
      <c r="A477" s="17"/>
      <c r="C477" s="79"/>
      <c r="D477" s="79"/>
      <c r="E477" s="79"/>
      <c r="F477" s="79"/>
      <c r="G477" s="79"/>
      <c r="H477" s="79"/>
      <c r="I477" s="79"/>
      <c r="J477" s="79"/>
      <c r="K477" s="79"/>
      <c r="L477" s="79"/>
      <c r="N477" s="102"/>
      <c r="O477" s="119"/>
    </row>
    <row r="478">
      <c r="A478" s="17"/>
      <c r="C478" s="79"/>
      <c r="D478" s="79"/>
      <c r="E478" s="79"/>
      <c r="F478" s="79"/>
      <c r="G478" s="79"/>
      <c r="H478" s="79"/>
      <c r="I478" s="79"/>
      <c r="J478" s="79"/>
      <c r="K478" s="79"/>
      <c r="L478" s="79"/>
      <c r="N478" s="102"/>
      <c r="O478" s="119"/>
    </row>
    <row r="479">
      <c r="A479" s="17"/>
      <c r="C479" s="79"/>
      <c r="D479" s="79"/>
      <c r="E479" s="79"/>
      <c r="F479" s="79"/>
      <c r="G479" s="79"/>
      <c r="H479" s="79"/>
      <c r="I479" s="79"/>
      <c r="J479" s="79"/>
      <c r="K479" s="79"/>
      <c r="L479" s="79"/>
      <c r="N479" s="102"/>
      <c r="O479" s="119"/>
    </row>
    <row r="480">
      <c r="A480" s="17"/>
      <c r="C480" s="79"/>
      <c r="D480" s="79"/>
      <c r="E480" s="79"/>
      <c r="F480" s="79"/>
      <c r="G480" s="79"/>
      <c r="H480" s="79"/>
      <c r="I480" s="79"/>
      <c r="J480" s="79"/>
      <c r="K480" s="79"/>
      <c r="L480" s="79"/>
      <c r="N480" s="102"/>
      <c r="O480" s="119"/>
    </row>
    <row r="481">
      <c r="A481" s="17"/>
      <c r="C481" s="79"/>
      <c r="D481" s="79"/>
      <c r="E481" s="79"/>
      <c r="F481" s="79"/>
      <c r="G481" s="79"/>
      <c r="H481" s="79"/>
      <c r="I481" s="79"/>
      <c r="J481" s="79"/>
      <c r="K481" s="79"/>
      <c r="L481" s="79"/>
      <c r="N481" s="102"/>
      <c r="O481" s="119"/>
    </row>
    <row r="482">
      <c r="A482" s="17"/>
      <c r="C482" s="79"/>
      <c r="D482" s="79"/>
      <c r="E482" s="79"/>
      <c r="F482" s="79"/>
      <c r="G482" s="79"/>
      <c r="H482" s="79"/>
      <c r="I482" s="79"/>
      <c r="J482" s="79"/>
      <c r="K482" s="79"/>
      <c r="L482" s="79"/>
      <c r="N482" s="102"/>
      <c r="O482" s="119"/>
    </row>
    <row r="483">
      <c r="A483" s="17"/>
      <c r="C483" s="79"/>
      <c r="D483" s="79"/>
      <c r="E483" s="79"/>
      <c r="F483" s="79"/>
      <c r="G483" s="79"/>
      <c r="H483" s="79"/>
      <c r="I483" s="79"/>
      <c r="J483" s="79"/>
      <c r="K483" s="79"/>
      <c r="L483" s="79"/>
      <c r="N483" s="102"/>
      <c r="O483" s="119"/>
    </row>
    <row r="484">
      <c r="A484" s="17"/>
      <c r="C484" s="79"/>
      <c r="D484" s="79"/>
      <c r="E484" s="79"/>
      <c r="F484" s="79"/>
      <c r="G484" s="79"/>
      <c r="H484" s="79"/>
      <c r="I484" s="79"/>
      <c r="J484" s="79"/>
      <c r="K484" s="79"/>
      <c r="L484" s="79"/>
      <c r="N484" s="102"/>
      <c r="O484" s="119"/>
    </row>
    <row r="485">
      <c r="A485" s="17"/>
      <c r="C485" s="79"/>
      <c r="D485" s="79"/>
      <c r="E485" s="79"/>
      <c r="F485" s="79"/>
      <c r="G485" s="79"/>
      <c r="H485" s="79"/>
      <c r="I485" s="79"/>
      <c r="J485" s="79"/>
      <c r="K485" s="79"/>
      <c r="L485" s="79"/>
      <c r="N485" s="102"/>
      <c r="O485" s="119"/>
    </row>
    <row r="486">
      <c r="A486" s="17"/>
      <c r="C486" s="79"/>
      <c r="D486" s="79"/>
      <c r="E486" s="79"/>
      <c r="F486" s="79"/>
      <c r="G486" s="79"/>
      <c r="H486" s="79"/>
      <c r="I486" s="79"/>
      <c r="J486" s="79"/>
      <c r="K486" s="79"/>
      <c r="L486" s="79"/>
      <c r="N486" s="102"/>
      <c r="O486" s="119"/>
    </row>
    <row r="487">
      <c r="A487" s="17"/>
      <c r="C487" s="79"/>
      <c r="D487" s="79"/>
      <c r="E487" s="79"/>
      <c r="F487" s="79"/>
      <c r="G487" s="79"/>
      <c r="H487" s="79"/>
      <c r="I487" s="79"/>
      <c r="J487" s="79"/>
      <c r="K487" s="79"/>
      <c r="L487" s="79"/>
      <c r="N487" s="102"/>
      <c r="O487" s="119"/>
    </row>
    <row r="488">
      <c r="A488" s="17"/>
      <c r="C488" s="79"/>
      <c r="D488" s="79"/>
      <c r="E488" s="79"/>
      <c r="F488" s="79"/>
      <c r="G488" s="79"/>
      <c r="H488" s="79"/>
      <c r="I488" s="79"/>
      <c r="J488" s="79"/>
      <c r="K488" s="79"/>
      <c r="L488" s="79"/>
      <c r="N488" s="102"/>
      <c r="O488" s="119"/>
    </row>
    <row r="489">
      <c r="A489" s="17"/>
      <c r="C489" s="79"/>
      <c r="D489" s="79"/>
      <c r="E489" s="79"/>
      <c r="F489" s="79"/>
      <c r="G489" s="79"/>
      <c r="H489" s="79"/>
      <c r="I489" s="79"/>
      <c r="J489" s="79"/>
      <c r="K489" s="79"/>
      <c r="L489" s="79"/>
      <c r="N489" s="102"/>
      <c r="O489" s="119"/>
    </row>
    <row r="490">
      <c r="A490" s="17"/>
      <c r="C490" s="79"/>
      <c r="D490" s="79"/>
      <c r="E490" s="79"/>
      <c r="F490" s="79"/>
      <c r="G490" s="79"/>
      <c r="H490" s="79"/>
      <c r="I490" s="79"/>
      <c r="J490" s="79"/>
      <c r="K490" s="79"/>
      <c r="L490" s="79"/>
      <c r="N490" s="102"/>
      <c r="O490" s="119"/>
    </row>
    <row r="491">
      <c r="A491" s="17"/>
      <c r="C491" s="79"/>
      <c r="D491" s="79"/>
      <c r="E491" s="79"/>
      <c r="F491" s="79"/>
      <c r="G491" s="79"/>
      <c r="H491" s="79"/>
      <c r="I491" s="79"/>
      <c r="J491" s="79"/>
      <c r="K491" s="79"/>
      <c r="L491" s="79"/>
      <c r="N491" s="102"/>
      <c r="O491" s="119"/>
    </row>
    <row r="492">
      <c r="A492" s="17"/>
      <c r="C492" s="79"/>
      <c r="D492" s="79"/>
      <c r="E492" s="79"/>
      <c r="F492" s="79"/>
      <c r="G492" s="79"/>
      <c r="H492" s="79"/>
      <c r="I492" s="79"/>
      <c r="J492" s="79"/>
      <c r="K492" s="79"/>
      <c r="L492" s="79"/>
      <c r="N492" s="102"/>
      <c r="O492" s="119"/>
    </row>
    <row r="493">
      <c r="A493" s="17"/>
      <c r="C493" s="79"/>
      <c r="D493" s="79"/>
      <c r="E493" s="79"/>
      <c r="F493" s="79"/>
      <c r="G493" s="79"/>
      <c r="H493" s="79"/>
      <c r="I493" s="79"/>
      <c r="J493" s="79"/>
      <c r="K493" s="79"/>
      <c r="L493" s="79"/>
      <c r="N493" s="102"/>
      <c r="O493" s="119"/>
    </row>
    <row r="494">
      <c r="A494" s="17"/>
      <c r="C494" s="79"/>
      <c r="D494" s="79"/>
      <c r="E494" s="79"/>
      <c r="F494" s="79"/>
      <c r="G494" s="79"/>
      <c r="H494" s="79"/>
      <c r="I494" s="79"/>
      <c r="J494" s="79"/>
      <c r="K494" s="79"/>
      <c r="L494" s="79"/>
      <c r="N494" s="102"/>
      <c r="O494" s="119"/>
    </row>
    <row r="495">
      <c r="A495" s="17"/>
      <c r="C495" s="79"/>
      <c r="D495" s="79"/>
      <c r="E495" s="79"/>
      <c r="F495" s="79"/>
      <c r="G495" s="79"/>
      <c r="H495" s="79"/>
      <c r="I495" s="79"/>
      <c r="J495" s="79"/>
      <c r="K495" s="79"/>
      <c r="L495" s="79"/>
      <c r="N495" s="102"/>
      <c r="O495" s="119"/>
    </row>
    <row r="496">
      <c r="A496" s="17"/>
      <c r="C496" s="79"/>
      <c r="D496" s="79"/>
      <c r="E496" s="79"/>
      <c r="F496" s="79"/>
      <c r="G496" s="79"/>
      <c r="H496" s="79"/>
      <c r="I496" s="79"/>
      <c r="J496" s="79"/>
      <c r="K496" s="79"/>
      <c r="L496" s="79"/>
      <c r="N496" s="102"/>
      <c r="O496" s="119"/>
    </row>
    <row r="497">
      <c r="A497" s="17"/>
      <c r="C497" s="79"/>
      <c r="D497" s="79"/>
      <c r="E497" s="79"/>
      <c r="F497" s="79"/>
      <c r="G497" s="79"/>
      <c r="H497" s="79"/>
      <c r="I497" s="79"/>
      <c r="J497" s="79"/>
      <c r="K497" s="79"/>
      <c r="L497" s="79"/>
      <c r="N497" s="102"/>
      <c r="O497" s="119"/>
    </row>
    <row r="498">
      <c r="A498" s="17"/>
      <c r="C498" s="79"/>
      <c r="D498" s="79"/>
      <c r="E498" s="79"/>
      <c r="F498" s="79"/>
      <c r="G498" s="79"/>
      <c r="H498" s="79"/>
      <c r="I498" s="79"/>
      <c r="J498" s="79"/>
      <c r="K498" s="79"/>
      <c r="L498" s="79"/>
      <c r="N498" s="102"/>
      <c r="O498" s="119"/>
    </row>
    <row r="499">
      <c r="A499" s="17"/>
      <c r="C499" s="79"/>
      <c r="D499" s="79"/>
      <c r="E499" s="79"/>
      <c r="F499" s="79"/>
      <c r="G499" s="79"/>
      <c r="H499" s="79"/>
      <c r="I499" s="79"/>
      <c r="J499" s="79"/>
      <c r="K499" s="79"/>
      <c r="L499" s="79"/>
      <c r="N499" s="102"/>
      <c r="O499" s="119"/>
    </row>
    <row r="500">
      <c r="A500" s="17"/>
      <c r="C500" s="79"/>
      <c r="D500" s="79"/>
      <c r="E500" s="79"/>
      <c r="F500" s="79"/>
      <c r="G500" s="79"/>
      <c r="H500" s="79"/>
      <c r="I500" s="79"/>
      <c r="J500" s="79"/>
      <c r="K500" s="79"/>
      <c r="L500" s="79"/>
      <c r="N500" s="102"/>
      <c r="O500" s="119"/>
    </row>
    <row r="501">
      <c r="A501" s="17"/>
      <c r="C501" s="79"/>
      <c r="D501" s="79"/>
      <c r="E501" s="79"/>
      <c r="F501" s="79"/>
      <c r="G501" s="79"/>
      <c r="H501" s="79"/>
      <c r="I501" s="79"/>
      <c r="J501" s="79"/>
      <c r="K501" s="79"/>
      <c r="L501" s="79"/>
      <c r="N501" s="102"/>
      <c r="O501" s="119"/>
    </row>
    <row r="502">
      <c r="A502" s="17"/>
      <c r="C502" s="79"/>
      <c r="D502" s="79"/>
      <c r="E502" s="79"/>
      <c r="F502" s="79"/>
      <c r="G502" s="79"/>
      <c r="H502" s="79"/>
      <c r="I502" s="79"/>
      <c r="J502" s="79"/>
      <c r="K502" s="79"/>
      <c r="L502" s="79"/>
      <c r="N502" s="102"/>
      <c r="O502" s="119"/>
    </row>
    <row r="503">
      <c r="A503" s="17"/>
      <c r="C503" s="79"/>
      <c r="D503" s="79"/>
      <c r="E503" s="79"/>
      <c r="F503" s="79"/>
      <c r="G503" s="79"/>
      <c r="H503" s="79"/>
      <c r="I503" s="79"/>
      <c r="J503" s="79"/>
      <c r="K503" s="79"/>
      <c r="L503" s="79"/>
      <c r="N503" s="102"/>
      <c r="O503" s="119"/>
    </row>
    <row r="504">
      <c r="A504" s="17"/>
      <c r="C504" s="79"/>
      <c r="D504" s="79"/>
      <c r="E504" s="79"/>
      <c r="F504" s="79"/>
      <c r="G504" s="79"/>
      <c r="H504" s="79"/>
      <c r="I504" s="79"/>
      <c r="J504" s="79"/>
      <c r="K504" s="79"/>
      <c r="L504" s="79"/>
      <c r="N504" s="102"/>
      <c r="O504" s="119"/>
    </row>
    <row r="505">
      <c r="A505" s="17"/>
      <c r="C505" s="79"/>
      <c r="D505" s="79"/>
      <c r="E505" s="79"/>
      <c r="F505" s="79"/>
      <c r="G505" s="79"/>
      <c r="H505" s="79"/>
      <c r="I505" s="79"/>
      <c r="J505" s="79"/>
      <c r="K505" s="79"/>
      <c r="L505" s="79"/>
      <c r="N505" s="102"/>
      <c r="O505" s="119"/>
    </row>
    <row r="506">
      <c r="A506" s="17"/>
      <c r="C506" s="79"/>
      <c r="D506" s="79"/>
      <c r="E506" s="79"/>
      <c r="F506" s="79"/>
      <c r="G506" s="79"/>
      <c r="H506" s="79"/>
      <c r="I506" s="79"/>
      <c r="J506" s="79"/>
      <c r="K506" s="79"/>
      <c r="L506" s="79"/>
      <c r="N506" s="102"/>
      <c r="O506" s="119"/>
    </row>
    <row r="507">
      <c r="A507" s="17"/>
      <c r="C507" s="79"/>
      <c r="D507" s="79"/>
      <c r="E507" s="79"/>
      <c r="F507" s="79"/>
      <c r="G507" s="79"/>
      <c r="H507" s="79"/>
      <c r="I507" s="79"/>
      <c r="J507" s="79"/>
      <c r="K507" s="79"/>
      <c r="L507" s="79"/>
      <c r="N507" s="102"/>
      <c r="O507" s="119"/>
    </row>
    <row r="508">
      <c r="A508" s="17"/>
      <c r="C508" s="79"/>
      <c r="D508" s="79"/>
      <c r="E508" s="79"/>
      <c r="F508" s="79"/>
      <c r="G508" s="79"/>
      <c r="H508" s="79"/>
      <c r="I508" s="79"/>
      <c r="J508" s="79"/>
      <c r="K508" s="79"/>
      <c r="L508" s="79"/>
      <c r="N508" s="102"/>
      <c r="O508" s="119"/>
    </row>
    <row r="509">
      <c r="A509" s="17"/>
      <c r="C509" s="79"/>
      <c r="D509" s="79"/>
      <c r="E509" s="79"/>
      <c r="F509" s="79"/>
      <c r="G509" s="79"/>
      <c r="H509" s="79"/>
      <c r="I509" s="79"/>
      <c r="J509" s="79"/>
      <c r="K509" s="79"/>
      <c r="L509" s="79"/>
      <c r="N509" s="102"/>
      <c r="O509" s="119"/>
    </row>
    <row r="510">
      <c r="A510" s="17"/>
      <c r="C510" s="79"/>
      <c r="D510" s="79"/>
      <c r="E510" s="79"/>
      <c r="F510" s="79"/>
      <c r="G510" s="79"/>
      <c r="H510" s="79"/>
      <c r="I510" s="79"/>
      <c r="J510" s="79"/>
      <c r="K510" s="79"/>
      <c r="L510" s="79"/>
      <c r="N510" s="102"/>
      <c r="O510" s="119"/>
    </row>
    <row r="511">
      <c r="A511" s="17"/>
      <c r="C511" s="79"/>
      <c r="D511" s="79"/>
      <c r="E511" s="79"/>
      <c r="F511" s="79"/>
      <c r="G511" s="79"/>
      <c r="H511" s="79"/>
      <c r="I511" s="79"/>
      <c r="J511" s="79"/>
      <c r="K511" s="79"/>
      <c r="L511" s="79"/>
      <c r="N511" s="102"/>
      <c r="O511" s="119"/>
    </row>
    <row r="512">
      <c r="A512" s="17"/>
      <c r="C512" s="79"/>
      <c r="D512" s="79"/>
      <c r="E512" s="79"/>
      <c r="F512" s="79"/>
      <c r="G512" s="79"/>
      <c r="H512" s="79"/>
      <c r="I512" s="79"/>
      <c r="J512" s="79"/>
      <c r="K512" s="79"/>
      <c r="L512" s="79"/>
      <c r="N512" s="102"/>
      <c r="O512" s="119"/>
    </row>
    <row r="513">
      <c r="A513" s="17"/>
      <c r="C513" s="79"/>
      <c r="D513" s="79"/>
      <c r="E513" s="79"/>
      <c r="F513" s="79"/>
      <c r="G513" s="79"/>
      <c r="H513" s="79"/>
      <c r="I513" s="79"/>
      <c r="J513" s="79"/>
      <c r="K513" s="79"/>
      <c r="L513" s="79"/>
      <c r="N513" s="102"/>
      <c r="O513" s="119"/>
    </row>
    <row r="514">
      <c r="A514" s="17"/>
      <c r="C514" s="79"/>
      <c r="D514" s="79"/>
      <c r="E514" s="79"/>
      <c r="F514" s="79"/>
      <c r="G514" s="79"/>
      <c r="H514" s="79"/>
      <c r="I514" s="79"/>
      <c r="J514" s="79"/>
      <c r="K514" s="79"/>
      <c r="L514" s="79"/>
      <c r="N514" s="102"/>
      <c r="O514" s="119"/>
    </row>
    <row r="515">
      <c r="A515" s="17"/>
      <c r="C515" s="79"/>
      <c r="D515" s="79"/>
      <c r="E515" s="79"/>
      <c r="F515" s="79"/>
      <c r="G515" s="79"/>
      <c r="H515" s="79"/>
      <c r="I515" s="79"/>
      <c r="J515" s="79"/>
      <c r="K515" s="79"/>
      <c r="L515" s="79"/>
      <c r="N515" s="102"/>
      <c r="O515" s="119"/>
    </row>
    <row r="516">
      <c r="A516" s="17"/>
      <c r="C516" s="79"/>
      <c r="D516" s="79"/>
      <c r="E516" s="79"/>
      <c r="F516" s="79"/>
      <c r="G516" s="79"/>
      <c r="H516" s="79"/>
      <c r="I516" s="79"/>
      <c r="J516" s="79"/>
      <c r="K516" s="79"/>
      <c r="L516" s="79"/>
      <c r="N516" s="102"/>
      <c r="O516" s="119"/>
    </row>
    <row r="517">
      <c r="A517" s="17"/>
      <c r="C517" s="79"/>
      <c r="D517" s="79"/>
      <c r="E517" s="79"/>
      <c r="F517" s="79"/>
      <c r="G517" s="79"/>
      <c r="H517" s="79"/>
      <c r="I517" s="79"/>
      <c r="J517" s="79"/>
      <c r="K517" s="79"/>
      <c r="L517" s="79"/>
      <c r="N517" s="102"/>
      <c r="O517" s="119"/>
    </row>
    <row r="518">
      <c r="A518" s="17"/>
      <c r="C518" s="79"/>
      <c r="D518" s="79"/>
      <c r="E518" s="79"/>
      <c r="F518" s="79"/>
      <c r="G518" s="79"/>
      <c r="H518" s="79"/>
      <c r="I518" s="79"/>
      <c r="J518" s="79"/>
      <c r="K518" s="79"/>
      <c r="L518" s="79"/>
      <c r="N518" s="102"/>
      <c r="O518" s="119"/>
    </row>
    <row r="519">
      <c r="A519" s="17"/>
      <c r="C519" s="79"/>
      <c r="D519" s="79"/>
      <c r="E519" s="79"/>
      <c r="F519" s="79"/>
      <c r="G519" s="79"/>
      <c r="H519" s="79"/>
      <c r="I519" s="79"/>
      <c r="J519" s="79"/>
      <c r="K519" s="79"/>
      <c r="L519" s="79"/>
      <c r="N519" s="102"/>
      <c r="O519" s="119"/>
    </row>
    <row r="520">
      <c r="A520" s="17"/>
      <c r="C520" s="79"/>
      <c r="D520" s="79"/>
      <c r="E520" s="79"/>
      <c r="F520" s="79"/>
      <c r="G520" s="79"/>
      <c r="H520" s="79"/>
      <c r="I520" s="79"/>
      <c r="J520" s="79"/>
      <c r="K520" s="79"/>
      <c r="L520" s="79"/>
      <c r="N520" s="102"/>
      <c r="O520" s="119"/>
    </row>
    <row r="521">
      <c r="A521" s="17"/>
      <c r="C521" s="79"/>
      <c r="D521" s="79"/>
      <c r="E521" s="79"/>
      <c r="F521" s="79"/>
      <c r="G521" s="79"/>
      <c r="H521" s="79"/>
      <c r="I521" s="79"/>
      <c r="J521" s="79"/>
      <c r="K521" s="79"/>
      <c r="L521" s="79"/>
      <c r="N521" s="102"/>
      <c r="O521" s="119"/>
    </row>
    <row r="522">
      <c r="A522" s="17"/>
      <c r="C522" s="79"/>
      <c r="D522" s="79"/>
      <c r="E522" s="79"/>
      <c r="F522" s="79"/>
      <c r="G522" s="79"/>
      <c r="H522" s="79"/>
      <c r="I522" s="79"/>
      <c r="J522" s="79"/>
      <c r="K522" s="79"/>
      <c r="L522" s="79"/>
      <c r="N522" s="102"/>
      <c r="O522" s="119"/>
    </row>
    <row r="523">
      <c r="A523" s="17"/>
      <c r="C523" s="79"/>
      <c r="D523" s="79"/>
      <c r="E523" s="79"/>
      <c r="F523" s="79"/>
      <c r="G523" s="79"/>
      <c r="H523" s="79"/>
      <c r="I523" s="79"/>
      <c r="J523" s="79"/>
      <c r="K523" s="79"/>
      <c r="L523" s="79"/>
      <c r="N523" s="102"/>
      <c r="O523" s="119"/>
    </row>
    <row r="524">
      <c r="A524" s="17"/>
      <c r="C524" s="79"/>
      <c r="D524" s="79"/>
      <c r="E524" s="79"/>
      <c r="F524" s="79"/>
      <c r="G524" s="79"/>
      <c r="H524" s="79"/>
      <c r="I524" s="79"/>
      <c r="J524" s="79"/>
      <c r="K524" s="79"/>
      <c r="L524" s="79"/>
      <c r="N524" s="102"/>
      <c r="O524" s="119"/>
    </row>
    <row r="525">
      <c r="A525" s="17"/>
      <c r="C525" s="79"/>
      <c r="D525" s="79"/>
      <c r="E525" s="79"/>
      <c r="F525" s="79"/>
      <c r="G525" s="79"/>
      <c r="H525" s="79"/>
      <c r="I525" s="79"/>
      <c r="J525" s="79"/>
      <c r="K525" s="79"/>
      <c r="L525" s="79"/>
      <c r="N525" s="102"/>
      <c r="O525" s="119"/>
    </row>
    <row r="526">
      <c r="A526" s="17"/>
      <c r="C526" s="79"/>
      <c r="D526" s="79"/>
      <c r="E526" s="79"/>
      <c r="F526" s="79"/>
      <c r="G526" s="79"/>
      <c r="H526" s="79"/>
      <c r="I526" s="79"/>
      <c r="J526" s="79"/>
      <c r="K526" s="79"/>
      <c r="L526" s="79"/>
      <c r="N526" s="102"/>
      <c r="O526" s="119"/>
    </row>
    <row r="527">
      <c r="A527" s="17"/>
      <c r="C527" s="79"/>
      <c r="D527" s="79"/>
      <c r="E527" s="79"/>
      <c r="F527" s="79"/>
      <c r="G527" s="79"/>
      <c r="H527" s="79"/>
      <c r="I527" s="79"/>
      <c r="J527" s="79"/>
      <c r="K527" s="79"/>
      <c r="L527" s="79"/>
      <c r="N527" s="102"/>
      <c r="O527" s="119"/>
    </row>
    <row r="528">
      <c r="A528" s="17"/>
      <c r="C528" s="79"/>
      <c r="D528" s="79"/>
      <c r="E528" s="79"/>
      <c r="F528" s="79"/>
      <c r="G528" s="79"/>
      <c r="H528" s="79"/>
      <c r="I528" s="79"/>
      <c r="J528" s="79"/>
      <c r="K528" s="79"/>
      <c r="L528" s="79"/>
      <c r="N528" s="102"/>
      <c r="O528" s="119"/>
    </row>
    <row r="529">
      <c r="A529" s="17"/>
      <c r="C529" s="79"/>
      <c r="D529" s="79"/>
      <c r="E529" s="79"/>
      <c r="F529" s="79"/>
      <c r="G529" s="79"/>
      <c r="H529" s="79"/>
      <c r="I529" s="79"/>
      <c r="J529" s="79"/>
      <c r="K529" s="79"/>
      <c r="L529" s="79"/>
      <c r="N529" s="102"/>
      <c r="O529" s="119"/>
    </row>
    <row r="530">
      <c r="A530" s="17"/>
      <c r="C530" s="79"/>
      <c r="D530" s="79"/>
      <c r="E530" s="79"/>
      <c r="F530" s="79"/>
      <c r="G530" s="79"/>
      <c r="H530" s="79"/>
      <c r="I530" s="79"/>
      <c r="J530" s="79"/>
      <c r="K530" s="79"/>
      <c r="L530" s="79"/>
      <c r="N530" s="102"/>
      <c r="O530" s="119"/>
    </row>
    <row r="531">
      <c r="A531" s="17"/>
      <c r="C531" s="79"/>
      <c r="D531" s="79"/>
      <c r="E531" s="79"/>
      <c r="F531" s="79"/>
      <c r="G531" s="79"/>
      <c r="H531" s="79"/>
      <c r="I531" s="79"/>
      <c r="J531" s="79"/>
      <c r="K531" s="79"/>
      <c r="L531" s="79"/>
      <c r="N531" s="102"/>
      <c r="O531" s="119"/>
    </row>
    <row r="532">
      <c r="A532" s="17"/>
      <c r="C532" s="79"/>
      <c r="D532" s="79"/>
      <c r="E532" s="79"/>
      <c r="F532" s="79"/>
      <c r="G532" s="79"/>
      <c r="H532" s="79"/>
      <c r="I532" s="79"/>
      <c r="J532" s="79"/>
      <c r="K532" s="79"/>
      <c r="L532" s="79"/>
      <c r="N532" s="102"/>
      <c r="O532" s="119"/>
    </row>
    <row r="533">
      <c r="A533" s="17"/>
      <c r="C533" s="79"/>
      <c r="D533" s="79"/>
      <c r="E533" s="79"/>
      <c r="F533" s="79"/>
      <c r="G533" s="79"/>
      <c r="H533" s="79"/>
      <c r="I533" s="79"/>
      <c r="J533" s="79"/>
      <c r="K533" s="79"/>
      <c r="L533" s="79"/>
      <c r="N533" s="102"/>
      <c r="O533" s="119"/>
    </row>
    <row r="534">
      <c r="A534" s="17"/>
      <c r="C534" s="79"/>
      <c r="D534" s="79"/>
      <c r="E534" s="79"/>
      <c r="F534" s="79"/>
      <c r="G534" s="79"/>
      <c r="H534" s="79"/>
      <c r="I534" s="79"/>
      <c r="J534" s="79"/>
      <c r="K534" s="79"/>
      <c r="L534" s="79"/>
      <c r="N534" s="102"/>
      <c r="O534" s="119"/>
    </row>
    <row r="535">
      <c r="A535" s="17"/>
      <c r="C535" s="79"/>
      <c r="D535" s="79"/>
      <c r="E535" s="79"/>
      <c r="F535" s="79"/>
      <c r="G535" s="79"/>
      <c r="H535" s="79"/>
      <c r="I535" s="79"/>
      <c r="J535" s="79"/>
      <c r="K535" s="79"/>
      <c r="L535" s="79"/>
      <c r="N535" s="102"/>
      <c r="O535" s="119"/>
    </row>
    <row r="536">
      <c r="A536" s="17"/>
      <c r="C536" s="79"/>
      <c r="D536" s="79"/>
      <c r="E536" s="79"/>
      <c r="F536" s="79"/>
      <c r="G536" s="79"/>
      <c r="H536" s="79"/>
      <c r="I536" s="79"/>
      <c r="J536" s="79"/>
      <c r="K536" s="79"/>
      <c r="L536" s="79"/>
      <c r="N536" s="102"/>
      <c r="O536" s="119"/>
    </row>
    <row r="537">
      <c r="A537" s="17"/>
      <c r="C537" s="79"/>
      <c r="D537" s="79"/>
      <c r="E537" s="79"/>
      <c r="F537" s="79"/>
      <c r="G537" s="79"/>
      <c r="H537" s="79"/>
      <c r="I537" s="79"/>
      <c r="J537" s="79"/>
      <c r="K537" s="79"/>
      <c r="L537" s="79"/>
      <c r="N537" s="102"/>
      <c r="O537" s="119"/>
    </row>
    <row r="538">
      <c r="A538" s="17"/>
      <c r="C538" s="79"/>
      <c r="D538" s="79"/>
      <c r="E538" s="79"/>
      <c r="F538" s="79"/>
      <c r="G538" s="79"/>
      <c r="H538" s="79"/>
      <c r="I538" s="79"/>
      <c r="J538" s="79"/>
      <c r="K538" s="79"/>
      <c r="L538" s="79"/>
      <c r="N538" s="102"/>
      <c r="O538" s="119"/>
    </row>
    <row r="539">
      <c r="A539" s="17"/>
      <c r="C539" s="79"/>
      <c r="D539" s="79"/>
      <c r="E539" s="79"/>
      <c r="F539" s="79"/>
      <c r="G539" s="79"/>
      <c r="H539" s="79"/>
      <c r="I539" s="79"/>
      <c r="J539" s="79"/>
      <c r="K539" s="79"/>
      <c r="L539" s="79"/>
      <c r="N539" s="102"/>
      <c r="O539" s="119"/>
    </row>
    <row r="540">
      <c r="A540" s="17"/>
      <c r="C540" s="79"/>
      <c r="D540" s="79"/>
      <c r="E540" s="79"/>
      <c r="F540" s="79"/>
      <c r="G540" s="79"/>
      <c r="H540" s="79"/>
      <c r="I540" s="79"/>
      <c r="J540" s="79"/>
      <c r="K540" s="79"/>
      <c r="L540" s="79"/>
      <c r="N540" s="102"/>
      <c r="O540" s="119"/>
    </row>
    <row r="541">
      <c r="A541" s="17"/>
      <c r="C541" s="79"/>
      <c r="D541" s="79"/>
      <c r="E541" s="79"/>
      <c r="F541" s="79"/>
      <c r="G541" s="79"/>
      <c r="H541" s="79"/>
      <c r="I541" s="79"/>
      <c r="J541" s="79"/>
      <c r="K541" s="79"/>
      <c r="L541" s="79"/>
      <c r="N541" s="102"/>
      <c r="O541" s="119"/>
    </row>
    <row r="542">
      <c r="A542" s="17"/>
      <c r="C542" s="79"/>
      <c r="D542" s="79"/>
      <c r="E542" s="79"/>
      <c r="F542" s="79"/>
      <c r="G542" s="79"/>
      <c r="H542" s="79"/>
      <c r="I542" s="79"/>
      <c r="J542" s="79"/>
      <c r="K542" s="79"/>
      <c r="L542" s="79"/>
      <c r="N542" s="102"/>
      <c r="O542" s="119"/>
    </row>
    <row r="543">
      <c r="A543" s="17"/>
      <c r="C543" s="79"/>
      <c r="D543" s="79"/>
      <c r="E543" s="79"/>
      <c r="F543" s="79"/>
      <c r="G543" s="79"/>
      <c r="H543" s="79"/>
      <c r="I543" s="79"/>
      <c r="J543" s="79"/>
      <c r="K543" s="79"/>
      <c r="L543" s="79"/>
      <c r="N543" s="102"/>
      <c r="O543" s="119"/>
    </row>
    <row r="544">
      <c r="A544" s="17"/>
      <c r="C544" s="79"/>
      <c r="D544" s="79"/>
      <c r="E544" s="79"/>
      <c r="F544" s="79"/>
      <c r="G544" s="79"/>
      <c r="H544" s="79"/>
      <c r="I544" s="79"/>
      <c r="J544" s="79"/>
      <c r="K544" s="79"/>
      <c r="L544" s="79"/>
      <c r="N544" s="102"/>
      <c r="O544" s="119"/>
    </row>
    <row r="545">
      <c r="A545" s="17"/>
      <c r="C545" s="79"/>
      <c r="D545" s="79"/>
      <c r="E545" s="79"/>
      <c r="F545" s="79"/>
      <c r="G545" s="79"/>
      <c r="H545" s="79"/>
      <c r="I545" s="79"/>
      <c r="J545" s="79"/>
      <c r="K545" s="79"/>
      <c r="L545" s="79"/>
      <c r="N545" s="102"/>
      <c r="O545" s="119"/>
    </row>
    <row r="546">
      <c r="A546" s="17"/>
      <c r="C546" s="79"/>
      <c r="D546" s="79"/>
      <c r="E546" s="79"/>
      <c r="F546" s="79"/>
      <c r="G546" s="79"/>
      <c r="H546" s="79"/>
      <c r="I546" s="79"/>
      <c r="J546" s="79"/>
      <c r="K546" s="79"/>
      <c r="L546" s="79"/>
      <c r="N546" s="102"/>
      <c r="O546" s="119"/>
    </row>
    <row r="547">
      <c r="A547" s="17"/>
      <c r="C547" s="79"/>
      <c r="D547" s="79"/>
      <c r="E547" s="79"/>
      <c r="F547" s="79"/>
      <c r="G547" s="79"/>
      <c r="H547" s="79"/>
      <c r="I547" s="79"/>
      <c r="J547" s="79"/>
      <c r="K547" s="79"/>
      <c r="L547" s="79"/>
      <c r="N547" s="102"/>
      <c r="O547" s="119"/>
    </row>
    <row r="548">
      <c r="A548" s="17"/>
      <c r="C548" s="79"/>
      <c r="D548" s="79"/>
      <c r="E548" s="79"/>
      <c r="F548" s="79"/>
      <c r="G548" s="79"/>
      <c r="H548" s="79"/>
      <c r="I548" s="79"/>
      <c r="J548" s="79"/>
      <c r="K548" s="79"/>
      <c r="L548" s="79"/>
      <c r="N548" s="102"/>
      <c r="O548" s="119"/>
    </row>
    <row r="549">
      <c r="A549" s="17"/>
      <c r="C549" s="79"/>
      <c r="D549" s="79"/>
      <c r="E549" s="79"/>
      <c r="F549" s="79"/>
      <c r="G549" s="79"/>
      <c r="H549" s="79"/>
      <c r="I549" s="79"/>
      <c r="J549" s="79"/>
      <c r="K549" s="79"/>
      <c r="L549" s="79"/>
      <c r="N549" s="102"/>
      <c r="O549" s="119"/>
    </row>
    <row r="550">
      <c r="A550" s="17"/>
      <c r="C550" s="79"/>
      <c r="D550" s="79"/>
      <c r="E550" s="79"/>
      <c r="F550" s="79"/>
      <c r="G550" s="79"/>
      <c r="H550" s="79"/>
      <c r="I550" s="79"/>
      <c r="J550" s="79"/>
      <c r="K550" s="79"/>
      <c r="L550" s="79"/>
      <c r="N550" s="102"/>
      <c r="O550" s="119"/>
    </row>
    <row r="551">
      <c r="A551" s="17"/>
      <c r="C551" s="79"/>
      <c r="D551" s="79"/>
      <c r="E551" s="79"/>
      <c r="F551" s="79"/>
      <c r="G551" s="79"/>
      <c r="H551" s="79"/>
      <c r="I551" s="79"/>
      <c r="J551" s="79"/>
      <c r="K551" s="79"/>
      <c r="L551" s="79"/>
      <c r="N551" s="102"/>
      <c r="O551" s="119"/>
    </row>
    <row r="552">
      <c r="A552" s="17"/>
      <c r="C552" s="79"/>
      <c r="D552" s="79"/>
      <c r="E552" s="79"/>
      <c r="F552" s="79"/>
      <c r="G552" s="79"/>
      <c r="H552" s="79"/>
      <c r="I552" s="79"/>
      <c r="J552" s="79"/>
      <c r="K552" s="79"/>
      <c r="L552" s="79"/>
      <c r="N552" s="102"/>
      <c r="O552" s="119"/>
    </row>
    <row r="553">
      <c r="A553" s="17"/>
      <c r="C553" s="79"/>
      <c r="D553" s="79"/>
      <c r="E553" s="79"/>
      <c r="F553" s="79"/>
      <c r="G553" s="79"/>
      <c r="H553" s="79"/>
      <c r="I553" s="79"/>
      <c r="J553" s="79"/>
      <c r="K553" s="79"/>
      <c r="L553" s="79"/>
      <c r="N553" s="102"/>
      <c r="O553" s="119"/>
    </row>
    <row r="554">
      <c r="A554" s="17"/>
      <c r="C554" s="79"/>
      <c r="D554" s="79"/>
      <c r="E554" s="79"/>
      <c r="F554" s="79"/>
      <c r="G554" s="79"/>
      <c r="H554" s="79"/>
      <c r="I554" s="79"/>
      <c r="J554" s="79"/>
      <c r="K554" s="79"/>
      <c r="L554" s="79"/>
      <c r="N554" s="102"/>
      <c r="O554" s="119"/>
    </row>
    <row r="555">
      <c r="A555" s="17"/>
      <c r="C555" s="79"/>
      <c r="D555" s="79"/>
      <c r="E555" s="79"/>
      <c r="F555" s="79"/>
      <c r="G555" s="79"/>
      <c r="H555" s="79"/>
      <c r="I555" s="79"/>
      <c r="J555" s="79"/>
      <c r="K555" s="79"/>
      <c r="L555" s="79"/>
      <c r="N555" s="102"/>
      <c r="O555" s="119"/>
    </row>
    <row r="556">
      <c r="A556" s="17"/>
      <c r="C556" s="79"/>
      <c r="D556" s="79"/>
      <c r="E556" s="79"/>
      <c r="F556" s="79"/>
      <c r="G556" s="79"/>
      <c r="H556" s="79"/>
      <c r="I556" s="79"/>
      <c r="J556" s="79"/>
      <c r="K556" s="79"/>
      <c r="L556" s="79"/>
      <c r="N556" s="102"/>
      <c r="O556" s="119"/>
    </row>
    <row r="557">
      <c r="A557" s="17"/>
      <c r="C557" s="79"/>
      <c r="D557" s="79"/>
      <c r="E557" s="79"/>
      <c r="F557" s="79"/>
      <c r="G557" s="79"/>
      <c r="H557" s="79"/>
      <c r="I557" s="79"/>
      <c r="J557" s="79"/>
      <c r="K557" s="79"/>
      <c r="L557" s="79"/>
      <c r="N557" s="102"/>
      <c r="O557" s="119"/>
    </row>
    <row r="558">
      <c r="A558" s="17"/>
      <c r="C558" s="79"/>
      <c r="D558" s="79"/>
      <c r="E558" s="79"/>
      <c r="F558" s="79"/>
      <c r="G558" s="79"/>
      <c r="H558" s="79"/>
      <c r="I558" s="79"/>
      <c r="J558" s="79"/>
      <c r="K558" s="79"/>
      <c r="L558" s="79"/>
      <c r="N558" s="102"/>
      <c r="O558" s="119"/>
    </row>
    <row r="559">
      <c r="A559" s="17"/>
      <c r="C559" s="79"/>
      <c r="D559" s="79"/>
      <c r="E559" s="79"/>
      <c r="F559" s="79"/>
      <c r="G559" s="79"/>
      <c r="H559" s="79"/>
      <c r="I559" s="79"/>
      <c r="J559" s="79"/>
      <c r="K559" s="79"/>
      <c r="L559" s="79"/>
      <c r="N559" s="102"/>
      <c r="O559" s="119"/>
    </row>
    <row r="560">
      <c r="A560" s="17"/>
      <c r="C560" s="79"/>
      <c r="D560" s="79"/>
      <c r="E560" s="79"/>
      <c r="F560" s="79"/>
      <c r="G560" s="79"/>
      <c r="H560" s="79"/>
      <c r="I560" s="79"/>
      <c r="J560" s="79"/>
      <c r="K560" s="79"/>
      <c r="L560" s="79"/>
      <c r="N560" s="102"/>
      <c r="O560" s="119"/>
    </row>
    <row r="561">
      <c r="A561" s="17"/>
      <c r="C561" s="79"/>
      <c r="D561" s="79"/>
      <c r="E561" s="79"/>
      <c r="F561" s="79"/>
      <c r="G561" s="79"/>
      <c r="H561" s="79"/>
      <c r="I561" s="79"/>
      <c r="J561" s="79"/>
      <c r="K561" s="79"/>
      <c r="L561" s="79"/>
      <c r="N561" s="102"/>
      <c r="O561" s="119"/>
    </row>
    <row r="562">
      <c r="A562" s="17"/>
      <c r="C562" s="79"/>
      <c r="D562" s="79"/>
      <c r="E562" s="79"/>
      <c r="F562" s="79"/>
      <c r="G562" s="79"/>
      <c r="H562" s="79"/>
      <c r="I562" s="79"/>
      <c r="J562" s="79"/>
      <c r="K562" s="79"/>
      <c r="L562" s="79"/>
      <c r="N562" s="102"/>
      <c r="O562" s="119"/>
    </row>
    <row r="563">
      <c r="A563" s="17"/>
      <c r="C563" s="79"/>
      <c r="D563" s="79"/>
      <c r="E563" s="79"/>
      <c r="F563" s="79"/>
      <c r="G563" s="79"/>
      <c r="H563" s="79"/>
      <c r="I563" s="79"/>
      <c r="J563" s="79"/>
      <c r="K563" s="79"/>
      <c r="L563" s="79"/>
      <c r="N563" s="102"/>
      <c r="O563" s="119"/>
    </row>
    <row r="564">
      <c r="A564" s="17"/>
      <c r="C564" s="79"/>
      <c r="D564" s="79"/>
      <c r="E564" s="79"/>
      <c r="F564" s="79"/>
      <c r="G564" s="79"/>
      <c r="H564" s="79"/>
      <c r="I564" s="79"/>
      <c r="J564" s="79"/>
      <c r="K564" s="79"/>
      <c r="L564" s="79"/>
      <c r="N564" s="102"/>
      <c r="O564" s="119"/>
    </row>
    <row r="565">
      <c r="A565" s="17"/>
      <c r="C565" s="79"/>
      <c r="D565" s="79"/>
      <c r="E565" s="79"/>
      <c r="F565" s="79"/>
      <c r="G565" s="79"/>
      <c r="H565" s="79"/>
      <c r="I565" s="79"/>
      <c r="J565" s="79"/>
      <c r="K565" s="79"/>
      <c r="L565" s="79"/>
      <c r="N565" s="102"/>
      <c r="O565" s="119"/>
    </row>
    <row r="566">
      <c r="A566" s="17"/>
      <c r="C566" s="79"/>
      <c r="D566" s="79"/>
      <c r="E566" s="79"/>
      <c r="F566" s="79"/>
      <c r="G566" s="79"/>
      <c r="H566" s="79"/>
      <c r="I566" s="79"/>
      <c r="J566" s="79"/>
      <c r="K566" s="79"/>
      <c r="L566" s="79"/>
      <c r="N566" s="102"/>
      <c r="O566" s="119"/>
    </row>
    <row r="567">
      <c r="A567" s="17"/>
      <c r="C567" s="79"/>
      <c r="D567" s="79"/>
      <c r="E567" s="79"/>
      <c r="F567" s="79"/>
      <c r="G567" s="79"/>
      <c r="H567" s="79"/>
      <c r="I567" s="79"/>
      <c r="J567" s="79"/>
      <c r="K567" s="79"/>
      <c r="L567" s="79"/>
      <c r="N567" s="102"/>
      <c r="O567" s="119"/>
    </row>
    <row r="568">
      <c r="A568" s="17"/>
      <c r="C568" s="79"/>
      <c r="D568" s="79"/>
      <c r="E568" s="79"/>
      <c r="F568" s="79"/>
      <c r="G568" s="79"/>
      <c r="H568" s="79"/>
      <c r="I568" s="79"/>
      <c r="J568" s="79"/>
      <c r="K568" s="79"/>
      <c r="L568" s="79"/>
      <c r="N568" s="102"/>
      <c r="O568" s="119"/>
    </row>
    <row r="569">
      <c r="A569" s="17"/>
      <c r="C569" s="79"/>
      <c r="D569" s="79"/>
      <c r="E569" s="79"/>
      <c r="F569" s="79"/>
      <c r="G569" s="79"/>
      <c r="H569" s="79"/>
      <c r="I569" s="79"/>
      <c r="J569" s="79"/>
      <c r="K569" s="79"/>
      <c r="L569" s="79"/>
      <c r="N569" s="102"/>
      <c r="O569" s="119"/>
    </row>
    <row r="570">
      <c r="A570" s="17"/>
      <c r="C570" s="79"/>
      <c r="D570" s="79"/>
      <c r="E570" s="79"/>
      <c r="F570" s="79"/>
      <c r="G570" s="79"/>
      <c r="H570" s="79"/>
      <c r="I570" s="79"/>
      <c r="J570" s="79"/>
      <c r="K570" s="79"/>
      <c r="L570" s="79"/>
      <c r="N570" s="102"/>
      <c r="O570" s="119"/>
    </row>
    <row r="571">
      <c r="A571" s="17"/>
      <c r="C571" s="79"/>
      <c r="D571" s="79"/>
      <c r="E571" s="79"/>
      <c r="F571" s="79"/>
      <c r="G571" s="79"/>
      <c r="H571" s="79"/>
      <c r="I571" s="79"/>
      <c r="J571" s="79"/>
      <c r="K571" s="79"/>
      <c r="L571" s="79"/>
      <c r="N571" s="102"/>
      <c r="O571" s="119"/>
    </row>
    <row r="572">
      <c r="A572" s="17"/>
      <c r="C572" s="79"/>
      <c r="D572" s="79"/>
      <c r="E572" s="79"/>
      <c r="F572" s="79"/>
      <c r="G572" s="79"/>
      <c r="H572" s="79"/>
      <c r="I572" s="79"/>
      <c r="J572" s="79"/>
      <c r="K572" s="79"/>
      <c r="L572" s="79"/>
      <c r="N572" s="102"/>
      <c r="O572" s="119"/>
    </row>
    <row r="573">
      <c r="A573" s="17"/>
      <c r="C573" s="79"/>
      <c r="D573" s="79"/>
      <c r="E573" s="79"/>
      <c r="F573" s="79"/>
      <c r="G573" s="79"/>
      <c r="H573" s="79"/>
      <c r="I573" s="79"/>
      <c r="J573" s="79"/>
      <c r="K573" s="79"/>
      <c r="L573" s="79"/>
      <c r="N573" s="102"/>
      <c r="O573" s="119"/>
    </row>
    <row r="574">
      <c r="A574" s="17"/>
      <c r="C574" s="79"/>
      <c r="D574" s="79"/>
      <c r="E574" s="79"/>
      <c r="F574" s="79"/>
      <c r="G574" s="79"/>
      <c r="H574" s="79"/>
      <c r="I574" s="79"/>
      <c r="J574" s="79"/>
      <c r="K574" s="79"/>
      <c r="L574" s="79"/>
      <c r="N574" s="102"/>
      <c r="O574" s="119"/>
    </row>
    <row r="575">
      <c r="A575" s="17"/>
      <c r="C575" s="79"/>
      <c r="D575" s="79"/>
      <c r="E575" s="79"/>
      <c r="F575" s="79"/>
      <c r="G575" s="79"/>
      <c r="H575" s="79"/>
      <c r="I575" s="79"/>
      <c r="J575" s="79"/>
      <c r="K575" s="79"/>
      <c r="L575" s="79"/>
      <c r="N575" s="102"/>
      <c r="O575" s="119"/>
    </row>
    <row r="576">
      <c r="A576" s="17"/>
      <c r="C576" s="79"/>
      <c r="D576" s="79"/>
      <c r="E576" s="79"/>
      <c r="F576" s="79"/>
      <c r="G576" s="79"/>
      <c r="H576" s="79"/>
      <c r="I576" s="79"/>
      <c r="J576" s="79"/>
      <c r="K576" s="79"/>
      <c r="L576" s="79"/>
      <c r="N576" s="102"/>
      <c r="O576" s="119"/>
    </row>
    <row r="577">
      <c r="A577" s="17"/>
      <c r="C577" s="79"/>
      <c r="D577" s="79"/>
      <c r="E577" s="79"/>
      <c r="F577" s="79"/>
      <c r="G577" s="79"/>
      <c r="H577" s="79"/>
      <c r="I577" s="79"/>
      <c r="J577" s="79"/>
      <c r="K577" s="79"/>
      <c r="L577" s="79"/>
      <c r="N577" s="102"/>
      <c r="O577" s="119"/>
    </row>
    <row r="578">
      <c r="A578" s="17"/>
      <c r="C578" s="79"/>
      <c r="D578" s="79"/>
      <c r="E578" s="79"/>
      <c r="F578" s="79"/>
      <c r="G578" s="79"/>
      <c r="H578" s="79"/>
      <c r="I578" s="79"/>
      <c r="J578" s="79"/>
      <c r="K578" s="79"/>
      <c r="L578" s="79"/>
      <c r="N578" s="102"/>
      <c r="O578" s="119"/>
    </row>
    <row r="579">
      <c r="A579" s="17"/>
      <c r="C579" s="79"/>
      <c r="D579" s="79"/>
      <c r="E579" s="79"/>
      <c r="F579" s="79"/>
      <c r="G579" s="79"/>
      <c r="H579" s="79"/>
      <c r="I579" s="79"/>
      <c r="J579" s="79"/>
      <c r="K579" s="79"/>
      <c r="L579" s="79"/>
      <c r="N579" s="102"/>
      <c r="O579" s="119"/>
    </row>
    <row r="580">
      <c r="A580" s="17"/>
      <c r="C580" s="79"/>
      <c r="D580" s="79"/>
      <c r="E580" s="79"/>
      <c r="F580" s="79"/>
      <c r="G580" s="79"/>
      <c r="H580" s="79"/>
      <c r="I580" s="79"/>
      <c r="J580" s="79"/>
      <c r="K580" s="79"/>
      <c r="L580" s="79"/>
      <c r="N580" s="102"/>
      <c r="O580" s="119"/>
    </row>
    <row r="581">
      <c r="A581" s="17"/>
      <c r="C581" s="79"/>
      <c r="D581" s="79"/>
      <c r="E581" s="79"/>
      <c r="F581" s="79"/>
      <c r="G581" s="79"/>
      <c r="H581" s="79"/>
      <c r="I581" s="79"/>
      <c r="J581" s="79"/>
      <c r="K581" s="79"/>
      <c r="L581" s="79"/>
      <c r="N581" s="102"/>
      <c r="O581" s="119"/>
    </row>
    <row r="582">
      <c r="A582" s="17"/>
      <c r="C582" s="79"/>
      <c r="D582" s="79"/>
      <c r="E582" s="79"/>
      <c r="F582" s="79"/>
      <c r="G582" s="79"/>
      <c r="H582" s="79"/>
      <c r="I582" s="79"/>
      <c r="J582" s="79"/>
      <c r="K582" s="79"/>
      <c r="L582" s="79"/>
      <c r="N582" s="102"/>
      <c r="O582" s="119"/>
    </row>
    <row r="583">
      <c r="A583" s="17"/>
      <c r="C583" s="79"/>
      <c r="D583" s="79"/>
      <c r="E583" s="79"/>
      <c r="F583" s="79"/>
      <c r="G583" s="79"/>
      <c r="H583" s="79"/>
      <c r="I583" s="79"/>
      <c r="J583" s="79"/>
      <c r="K583" s="79"/>
      <c r="L583" s="79"/>
      <c r="N583" s="102"/>
      <c r="O583" s="119"/>
    </row>
    <row r="584">
      <c r="A584" s="17"/>
      <c r="C584" s="79"/>
      <c r="D584" s="79"/>
      <c r="E584" s="79"/>
      <c r="F584" s="79"/>
      <c r="G584" s="79"/>
      <c r="H584" s="79"/>
      <c r="I584" s="79"/>
      <c r="J584" s="79"/>
      <c r="K584" s="79"/>
      <c r="L584" s="79"/>
      <c r="N584" s="102"/>
      <c r="O584" s="119"/>
    </row>
    <row r="585">
      <c r="A585" s="17"/>
      <c r="C585" s="79"/>
      <c r="D585" s="79"/>
      <c r="E585" s="79"/>
      <c r="F585" s="79"/>
      <c r="G585" s="79"/>
      <c r="H585" s="79"/>
      <c r="I585" s="79"/>
      <c r="J585" s="79"/>
      <c r="K585" s="79"/>
      <c r="L585" s="79"/>
      <c r="N585" s="102"/>
      <c r="O585" s="119"/>
    </row>
    <row r="586">
      <c r="A586" s="17"/>
      <c r="C586" s="79"/>
      <c r="D586" s="79"/>
      <c r="E586" s="79"/>
      <c r="F586" s="79"/>
      <c r="G586" s="79"/>
      <c r="H586" s="79"/>
      <c r="I586" s="79"/>
      <c r="J586" s="79"/>
      <c r="K586" s="79"/>
      <c r="L586" s="79"/>
      <c r="N586" s="102"/>
      <c r="O586" s="119"/>
    </row>
    <row r="587">
      <c r="A587" s="17"/>
      <c r="C587" s="79"/>
      <c r="D587" s="79"/>
      <c r="E587" s="79"/>
      <c r="F587" s="79"/>
      <c r="G587" s="79"/>
      <c r="H587" s="79"/>
      <c r="I587" s="79"/>
      <c r="J587" s="79"/>
      <c r="K587" s="79"/>
      <c r="L587" s="79"/>
      <c r="N587" s="102"/>
      <c r="O587" s="119"/>
    </row>
    <row r="588">
      <c r="A588" s="17"/>
      <c r="C588" s="79"/>
      <c r="D588" s="79"/>
      <c r="E588" s="79"/>
      <c r="F588" s="79"/>
      <c r="G588" s="79"/>
      <c r="H588" s="79"/>
      <c r="I588" s="79"/>
      <c r="J588" s="79"/>
      <c r="K588" s="79"/>
      <c r="L588" s="79"/>
      <c r="N588" s="102"/>
      <c r="O588" s="119"/>
    </row>
    <row r="589">
      <c r="A589" s="17"/>
      <c r="C589" s="79"/>
      <c r="D589" s="79"/>
      <c r="E589" s="79"/>
      <c r="F589" s="79"/>
      <c r="G589" s="79"/>
      <c r="H589" s="79"/>
      <c r="I589" s="79"/>
      <c r="J589" s="79"/>
      <c r="K589" s="79"/>
      <c r="L589" s="79"/>
      <c r="N589" s="102"/>
      <c r="O589" s="119"/>
    </row>
    <row r="590">
      <c r="A590" s="17"/>
      <c r="C590" s="79"/>
      <c r="D590" s="79"/>
      <c r="E590" s="79"/>
      <c r="F590" s="79"/>
      <c r="G590" s="79"/>
      <c r="H590" s="79"/>
      <c r="I590" s="79"/>
      <c r="J590" s="79"/>
      <c r="K590" s="79"/>
      <c r="L590" s="79"/>
      <c r="N590" s="102"/>
      <c r="O590" s="119"/>
    </row>
    <row r="591">
      <c r="A591" s="17"/>
      <c r="C591" s="79"/>
      <c r="D591" s="79"/>
      <c r="E591" s="79"/>
      <c r="F591" s="79"/>
      <c r="G591" s="79"/>
      <c r="H591" s="79"/>
      <c r="I591" s="79"/>
      <c r="J591" s="79"/>
      <c r="K591" s="79"/>
      <c r="L591" s="79"/>
      <c r="N591" s="102"/>
      <c r="O591" s="119"/>
    </row>
    <row r="592">
      <c r="A592" s="17"/>
      <c r="C592" s="79"/>
      <c r="D592" s="79"/>
      <c r="E592" s="79"/>
      <c r="F592" s="79"/>
      <c r="G592" s="79"/>
      <c r="H592" s="79"/>
      <c r="I592" s="79"/>
      <c r="J592" s="79"/>
      <c r="K592" s="79"/>
      <c r="L592" s="79"/>
      <c r="N592" s="102"/>
      <c r="O592" s="119"/>
    </row>
    <row r="593">
      <c r="A593" s="17"/>
      <c r="C593" s="79"/>
      <c r="D593" s="79"/>
      <c r="E593" s="79"/>
      <c r="F593" s="79"/>
      <c r="G593" s="79"/>
      <c r="H593" s="79"/>
      <c r="I593" s="79"/>
      <c r="J593" s="79"/>
      <c r="K593" s="79"/>
      <c r="L593" s="79"/>
      <c r="N593" s="102"/>
      <c r="O593" s="119"/>
    </row>
    <row r="594">
      <c r="A594" s="17"/>
      <c r="C594" s="79"/>
      <c r="D594" s="79"/>
      <c r="E594" s="79"/>
      <c r="F594" s="79"/>
      <c r="G594" s="79"/>
      <c r="H594" s="79"/>
      <c r="I594" s="79"/>
      <c r="J594" s="79"/>
      <c r="K594" s="79"/>
      <c r="L594" s="79"/>
      <c r="N594" s="102"/>
      <c r="O594" s="119"/>
    </row>
    <row r="595">
      <c r="A595" s="17"/>
      <c r="C595" s="79"/>
      <c r="D595" s="79"/>
      <c r="E595" s="79"/>
      <c r="F595" s="79"/>
      <c r="G595" s="79"/>
      <c r="H595" s="79"/>
      <c r="I595" s="79"/>
      <c r="J595" s="79"/>
      <c r="K595" s="79"/>
      <c r="L595" s="79"/>
      <c r="N595" s="102"/>
      <c r="O595" s="119"/>
    </row>
    <row r="596">
      <c r="A596" s="17"/>
      <c r="C596" s="79"/>
      <c r="D596" s="79"/>
      <c r="E596" s="79"/>
      <c r="F596" s="79"/>
      <c r="G596" s="79"/>
      <c r="H596" s="79"/>
      <c r="I596" s="79"/>
      <c r="J596" s="79"/>
      <c r="K596" s="79"/>
      <c r="L596" s="79"/>
      <c r="N596" s="102"/>
      <c r="O596" s="119"/>
    </row>
    <row r="597">
      <c r="A597" s="17"/>
      <c r="C597" s="79"/>
      <c r="D597" s="79"/>
      <c r="E597" s="79"/>
      <c r="F597" s="79"/>
      <c r="G597" s="79"/>
      <c r="H597" s="79"/>
      <c r="I597" s="79"/>
      <c r="J597" s="79"/>
      <c r="K597" s="79"/>
      <c r="L597" s="79"/>
      <c r="N597" s="102"/>
      <c r="O597" s="119"/>
    </row>
    <row r="598">
      <c r="A598" s="17"/>
      <c r="C598" s="79"/>
      <c r="D598" s="79"/>
      <c r="E598" s="79"/>
      <c r="F598" s="79"/>
      <c r="G598" s="79"/>
      <c r="H598" s="79"/>
      <c r="I598" s="79"/>
      <c r="J598" s="79"/>
      <c r="K598" s="79"/>
      <c r="L598" s="79"/>
      <c r="N598" s="102"/>
      <c r="O598" s="119"/>
    </row>
    <row r="599">
      <c r="A599" s="17"/>
      <c r="C599" s="79"/>
      <c r="D599" s="79"/>
      <c r="E599" s="79"/>
      <c r="F599" s="79"/>
      <c r="G599" s="79"/>
      <c r="H599" s="79"/>
      <c r="I599" s="79"/>
      <c r="J599" s="79"/>
      <c r="K599" s="79"/>
      <c r="L599" s="79"/>
      <c r="N599" s="102"/>
      <c r="O599" s="119"/>
    </row>
    <row r="600">
      <c r="A600" s="17"/>
      <c r="C600" s="79"/>
      <c r="D600" s="79"/>
      <c r="E600" s="79"/>
      <c r="F600" s="79"/>
      <c r="G600" s="79"/>
      <c r="H600" s="79"/>
      <c r="I600" s="79"/>
      <c r="J600" s="79"/>
      <c r="K600" s="79"/>
      <c r="L600" s="79"/>
      <c r="N600" s="102"/>
      <c r="O600" s="119"/>
    </row>
    <row r="601">
      <c r="A601" s="17"/>
      <c r="C601" s="79"/>
      <c r="D601" s="79"/>
      <c r="E601" s="79"/>
      <c r="F601" s="79"/>
      <c r="G601" s="79"/>
      <c r="H601" s="79"/>
      <c r="I601" s="79"/>
      <c r="J601" s="79"/>
      <c r="K601" s="79"/>
      <c r="L601" s="79"/>
      <c r="N601" s="102"/>
      <c r="O601" s="119"/>
    </row>
    <row r="602">
      <c r="A602" s="17"/>
      <c r="C602" s="79"/>
      <c r="D602" s="79"/>
      <c r="E602" s="79"/>
      <c r="F602" s="79"/>
      <c r="G602" s="79"/>
      <c r="H602" s="79"/>
      <c r="I602" s="79"/>
      <c r="J602" s="79"/>
      <c r="K602" s="79"/>
      <c r="L602" s="79"/>
      <c r="N602" s="102"/>
      <c r="O602" s="119"/>
    </row>
    <row r="603">
      <c r="A603" s="17"/>
      <c r="C603" s="79"/>
      <c r="D603" s="79"/>
      <c r="E603" s="79"/>
      <c r="F603" s="79"/>
      <c r="G603" s="79"/>
      <c r="H603" s="79"/>
      <c r="I603" s="79"/>
      <c r="J603" s="79"/>
      <c r="K603" s="79"/>
      <c r="L603" s="79"/>
      <c r="N603" s="102"/>
      <c r="O603" s="119"/>
    </row>
    <row r="604">
      <c r="A604" s="17"/>
      <c r="C604" s="79"/>
      <c r="D604" s="79"/>
      <c r="E604" s="79"/>
      <c r="F604" s="79"/>
      <c r="G604" s="79"/>
      <c r="H604" s="79"/>
      <c r="I604" s="79"/>
      <c r="J604" s="79"/>
      <c r="K604" s="79"/>
      <c r="L604" s="79"/>
      <c r="N604" s="102"/>
      <c r="O604" s="119"/>
    </row>
    <row r="605">
      <c r="A605" s="17"/>
      <c r="C605" s="79"/>
      <c r="D605" s="79"/>
      <c r="E605" s="79"/>
      <c r="F605" s="79"/>
      <c r="G605" s="79"/>
      <c r="H605" s="79"/>
      <c r="I605" s="79"/>
      <c r="J605" s="79"/>
      <c r="K605" s="79"/>
      <c r="L605" s="79"/>
      <c r="N605" s="102"/>
      <c r="O605" s="119"/>
    </row>
    <row r="606">
      <c r="A606" s="17"/>
      <c r="C606" s="79"/>
      <c r="D606" s="79"/>
      <c r="E606" s="79"/>
      <c r="F606" s="79"/>
      <c r="G606" s="79"/>
      <c r="H606" s="79"/>
      <c r="I606" s="79"/>
      <c r="J606" s="79"/>
      <c r="K606" s="79"/>
      <c r="L606" s="79"/>
      <c r="N606" s="102"/>
      <c r="O606" s="119"/>
    </row>
    <row r="607">
      <c r="A607" s="17"/>
      <c r="C607" s="79"/>
      <c r="D607" s="79"/>
      <c r="E607" s="79"/>
      <c r="F607" s="79"/>
      <c r="G607" s="79"/>
      <c r="H607" s="79"/>
      <c r="I607" s="79"/>
      <c r="J607" s="79"/>
      <c r="K607" s="79"/>
      <c r="L607" s="79"/>
      <c r="N607" s="102"/>
      <c r="O607" s="119"/>
    </row>
    <row r="608">
      <c r="A608" s="17"/>
      <c r="C608" s="79"/>
      <c r="D608" s="79"/>
      <c r="E608" s="79"/>
      <c r="F608" s="79"/>
      <c r="G608" s="79"/>
      <c r="H608" s="79"/>
      <c r="I608" s="79"/>
      <c r="J608" s="79"/>
      <c r="K608" s="79"/>
      <c r="L608" s="79"/>
      <c r="N608" s="102"/>
      <c r="O608" s="119"/>
    </row>
    <row r="609">
      <c r="A609" s="17"/>
      <c r="C609" s="79"/>
      <c r="D609" s="79"/>
      <c r="E609" s="79"/>
      <c r="F609" s="79"/>
      <c r="G609" s="79"/>
      <c r="H609" s="79"/>
      <c r="I609" s="79"/>
      <c r="J609" s="79"/>
      <c r="K609" s="79"/>
      <c r="L609" s="79"/>
      <c r="N609" s="102"/>
      <c r="O609" s="119"/>
    </row>
    <row r="610">
      <c r="A610" s="17"/>
      <c r="C610" s="79"/>
      <c r="D610" s="79"/>
      <c r="E610" s="79"/>
      <c r="F610" s="79"/>
      <c r="G610" s="79"/>
      <c r="H610" s="79"/>
      <c r="I610" s="79"/>
      <c r="J610" s="79"/>
      <c r="K610" s="79"/>
      <c r="L610" s="79"/>
      <c r="N610" s="102"/>
      <c r="O610" s="119"/>
    </row>
    <row r="611">
      <c r="A611" s="17"/>
      <c r="C611" s="79"/>
      <c r="D611" s="79"/>
      <c r="E611" s="79"/>
      <c r="F611" s="79"/>
      <c r="G611" s="79"/>
      <c r="H611" s="79"/>
      <c r="I611" s="79"/>
      <c r="J611" s="79"/>
      <c r="K611" s="79"/>
      <c r="L611" s="79"/>
      <c r="N611" s="102"/>
      <c r="O611" s="119"/>
    </row>
    <row r="612">
      <c r="A612" s="17"/>
      <c r="C612" s="79"/>
      <c r="D612" s="79"/>
      <c r="E612" s="79"/>
      <c r="F612" s="79"/>
      <c r="G612" s="79"/>
      <c r="H612" s="79"/>
      <c r="I612" s="79"/>
      <c r="J612" s="79"/>
      <c r="K612" s="79"/>
      <c r="L612" s="79"/>
      <c r="N612" s="102"/>
      <c r="O612" s="119"/>
    </row>
    <row r="613">
      <c r="A613" s="17"/>
      <c r="C613" s="79"/>
      <c r="D613" s="79"/>
      <c r="E613" s="79"/>
      <c r="F613" s="79"/>
      <c r="G613" s="79"/>
      <c r="H613" s="79"/>
      <c r="I613" s="79"/>
      <c r="J613" s="79"/>
      <c r="K613" s="79"/>
      <c r="L613" s="79"/>
      <c r="N613" s="102"/>
      <c r="O613" s="119"/>
    </row>
    <row r="614">
      <c r="A614" s="17"/>
      <c r="C614" s="79"/>
      <c r="D614" s="79"/>
      <c r="E614" s="79"/>
      <c r="F614" s="79"/>
      <c r="G614" s="79"/>
      <c r="H614" s="79"/>
      <c r="I614" s="79"/>
      <c r="J614" s="79"/>
      <c r="K614" s="79"/>
      <c r="L614" s="79"/>
      <c r="N614" s="102"/>
      <c r="O614" s="119"/>
    </row>
    <row r="615">
      <c r="A615" s="17"/>
      <c r="C615" s="79"/>
      <c r="D615" s="79"/>
      <c r="E615" s="79"/>
      <c r="F615" s="79"/>
      <c r="G615" s="79"/>
      <c r="H615" s="79"/>
      <c r="I615" s="79"/>
      <c r="J615" s="79"/>
      <c r="K615" s="79"/>
      <c r="L615" s="79"/>
      <c r="N615" s="102"/>
      <c r="O615" s="119"/>
    </row>
    <row r="616">
      <c r="A616" s="17"/>
      <c r="C616" s="79"/>
      <c r="D616" s="79"/>
      <c r="E616" s="79"/>
      <c r="F616" s="79"/>
      <c r="G616" s="79"/>
      <c r="H616" s="79"/>
      <c r="I616" s="79"/>
      <c r="J616" s="79"/>
      <c r="K616" s="79"/>
      <c r="L616" s="79"/>
      <c r="N616" s="102"/>
      <c r="O616" s="119"/>
    </row>
    <row r="617">
      <c r="A617" s="17"/>
      <c r="C617" s="79"/>
      <c r="D617" s="79"/>
      <c r="E617" s="79"/>
      <c r="F617" s="79"/>
      <c r="G617" s="79"/>
      <c r="H617" s="79"/>
      <c r="I617" s="79"/>
      <c r="J617" s="79"/>
      <c r="K617" s="79"/>
      <c r="L617" s="79"/>
      <c r="N617" s="102"/>
      <c r="O617" s="119"/>
    </row>
    <row r="618">
      <c r="A618" s="17"/>
      <c r="C618" s="79"/>
      <c r="D618" s="79"/>
      <c r="E618" s="79"/>
      <c r="F618" s="79"/>
      <c r="G618" s="79"/>
      <c r="H618" s="79"/>
      <c r="I618" s="79"/>
      <c r="J618" s="79"/>
      <c r="K618" s="79"/>
      <c r="L618" s="79"/>
      <c r="N618" s="102"/>
      <c r="O618" s="119"/>
    </row>
    <row r="619">
      <c r="A619" s="17"/>
      <c r="C619" s="79"/>
      <c r="D619" s="79"/>
      <c r="E619" s="79"/>
      <c r="F619" s="79"/>
      <c r="G619" s="79"/>
      <c r="H619" s="79"/>
      <c r="I619" s="79"/>
      <c r="J619" s="79"/>
      <c r="K619" s="79"/>
      <c r="L619" s="79"/>
      <c r="N619" s="102"/>
      <c r="O619" s="119"/>
    </row>
    <row r="620">
      <c r="A620" s="17"/>
      <c r="C620" s="79"/>
      <c r="D620" s="79"/>
      <c r="E620" s="79"/>
      <c r="F620" s="79"/>
      <c r="G620" s="79"/>
      <c r="H620" s="79"/>
      <c r="I620" s="79"/>
      <c r="J620" s="79"/>
      <c r="K620" s="79"/>
      <c r="L620" s="79"/>
      <c r="N620" s="102"/>
      <c r="O620" s="119"/>
    </row>
    <row r="621">
      <c r="A621" s="17"/>
      <c r="C621" s="79"/>
      <c r="D621" s="79"/>
      <c r="E621" s="79"/>
      <c r="F621" s="79"/>
      <c r="G621" s="79"/>
      <c r="H621" s="79"/>
      <c r="I621" s="79"/>
      <c r="J621" s="79"/>
      <c r="K621" s="79"/>
      <c r="L621" s="79"/>
      <c r="N621" s="102"/>
      <c r="O621" s="119"/>
    </row>
    <row r="622">
      <c r="A622" s="17"/>
      <c r="C622" s="79"/>
      <c r="D622" s="79"/>
      <c r="E622" s="79"/>
      <c r="F622" s="79"/>
      <c r="G622" s="79"/>
      <c r="H622" s="79"/>
      <c r="I622" s="79"/>
      <c r="J622" s="79"/>
      <c r="K622" s="79"/>
      <c r="L622" s="79"/>
      <c r="N622" s="102"/>
      <c r="O622" s="119"/>
    </row>
    <row r="623">
      <c r="A623" s="17"/>
      <c r="C623" s="79"/>
      <c r="D623" s="79"/>
      <c r="E623" s="79"/>
      <c r="F623" s="79"/>
      <c r="G623" s="79"/>
      <c r="H623" s="79"/>
      <c r="I623" s="79"/>
      <c r="J623" s="79"/>
      <c r="K623" s="79"/>
      <c r="L623" s="79"/>
      <c r="N623" s="102"/>
      <c r="O623" s="119"/>
    </row>
    <row r="624">
      <c r="A624" s="17"/>
      <c r="C624" s="79"/>
      <c r="D624" s="79"/>
      <c r="E624" s="79"/>
      <c r="F624" s="79"/>
      <c r="G624" s="79"/>
      <c r="H624" s="79"/>
      <c r="I624" s="79"/>
      <c r="J624" s="79"/>
      <c r="K624" s="79"/>
      <c r="L624" s="79"/>
      <c r="N624" s="102"/>
      <c r="O624" s="119"/>
    </row>
    <row r="625">
      <c r="A625" s="17"/>
      <c r="C625" s="79"/>
      <c r="D625" s="79"/>
      <c r="E625" s="79"/>
      <c r="F625" s="79"/>
      <c r="G625" s="79"/>
      <c r="H625" s="79"/>
      <c r="I625" s="79"/>
      <c r="J625" s="79"/>
      <c r="K625" s="79"/>
      <c r="L625" s="79"/>
      <c r="N625" s="102"/>
      <c r="O625" s="119"/>
    </row>
    <row r="626">
      <c r="A626" s="17"/>
      <c r="C626" s="79"/>
      <c r="D626" s="79"/>
      <c r="E626" s="79"/>
      <c r="F626" s="79"/>
      <c r="G626" s="79"/>
      <c r="H626" s="79"/>
      <c r="I626" s="79"/>
      <c r="J626" s="79"/>
      <c r="K626" s="79"/>
      <c r="L626" s="79"/>
      <c r="N626" s="102"/>
      <c r="O626" s="119"/>
    </row>
    <row r="627">
      <c r="A627" s="17"/>
      <c r="C627" s="79"/>
      <c r="D627" s="79"/>
      <c r="E627" s="79"/>
      <c r="F627" s="79"/>
      <c r="G627" s="79"/>
      <c r="H627" s="79"/>
      <c r="I627" s="79"/>
      <c r="J627" s="79"/>
      <c r="K627" s="79"/>
      <c r="L627" s="79"/>
      <c r="N627" s="102"/>
      <c r="O627" s="119"/>
    </row>
    <row r="628">
      <c r="A628" s="17"/>
      <c r="C628" s="79"/>
      <c r="D628" s="79"/>
      <c r="E628" s="79"/>
      <c r="F628" s="79"/>
      <c r="G628" s="79"/>
      <c r="H628" s="79"/>
      <c r="I628" s="79"/>
      <c r="J628" s="79"/>
      <c r="K628" s="79"/>
      <c r="L628" s="79"/>
      <c r="N628" s="102"/>
      <c r="O628" s="119"/>
    </row>
    <row r="629">
      <c r="A629" s="17"/>
      <c r="C629" s="79"/>
      <c r="D629" s="79"/>
      <c r="E629" s="79"/>
      <c r="F629" s="79"/>
      <c r="G629" s="79"/>
      <c r="H629" s="79"/>
      <c r="I629" s="79"/>
      <c r="J629" s="79"/>
      <c r="K629" s="79"/>
      <c r="L629" s="79"/>
      <c r="N629" s="102"/>
      <c r="O629" s="119"/>
    </row>
    <row r="630">
      <c r="A630" s="17"/>
      <c r="C630" s="79"/>
      <c r="D630" s="79"/>
      <c r="E630" s="79"/>
      <c r="F630" s="79"/>
      <c r="G630" s="79"/>
      <c r="H630" s="79"/>
      <c r="I630" s="79"/>
      <c r="J630" s="79"/>
      <c r="K630" s="79"/>
      <c r="L630" s="79"/>
      <c r="N630" s="102"/>
      <c r="O630" s="119"/>
    </row>
    <row r="631">
      <c r="A631" s="17"/>
      <c r="C631" s="79"/>
      <c r="D631" s="79"/>
      <c r="E631" s="79"/>
      <c r="F631" s="79"/>
      <c r="G631" s="79"/>
      <c r="H631" s="79"/>
      <c r="I631" s="79"/>
      <c r="J631" s="79"/>
      <c r="K631" s="79"/>
      <c r="L631" s="79"/>
      <c r="N631" s="102"/>
      <c r="O631" s="119"/>
    </row>
    <row r="632">
      <c r="A632" s="17"/>
      <c r="C632" s="79"/>
      <c r="D632" s="79"/>
      <c r="E632" s="79"/>
      <c r="F632" s="79"/>
      <c r="G632" s="79"/>
      <c r="H632" s="79"/>
      <c r="I632" s="79"/>
      <c r="J632" s="79"/>
      <c r="K632" s="79"/>
      <c r="L632" s="79"/>
      <c r="N632" s="102"/>
      <c r="O632" s="119"/>
    </row>
    <row r="633">
      <c r="A633" s="17"/>
      <c r="C633" s="79"/>
      <c r="D633" s="79"/>
      <c r="E633" s="79"/>
      <c r="F633" s="79"/>
      <c r="G633" s="79"/>
      <c r="H633" s="79"/>
      <c r="I633" s="79"/>
      <c r="J633" s="79"/>
      <c r="K633" s="79"/>
      <c r="L633" s="79"/>
      <c r="N633" s="102"/>
      <c r="O633" s="119"/>
    </row>
    <row r="634">
      <c r="A634" s="17"/>
      <c r="C634" s="79"/>
      <c r="D634" s="79"/>
      <c r="E634" s="79"/>
      <c r="F634" s="79"/>
      <c r="G634" s="79"/>
      <c r="H634" s="79"/>
      <c r="I634" s="79"/>
      <c r="J634" s="79"/>
      <c r="K634" s="79"/>
      <c r="L634" s="79"/>
      <c r="N634" s="102"/>
      <c r="O634" s="119"/>
    </row>
    <row r="635">
      <c r="A635" s="17"/>
      <c r="C635" s="79"/>
      <c r="D635" s="79"/>
      <c r="E635" s="79"/>
      <c r="F635" s="79"/>
      <c r="G635" s="79"/>
      <c r="H635" s="79"/>
      <c r="I635" s="79"/>
      <c r="J635" s="79"/>
      <c r="K635" s="79"/>
      <c r="L635" s="79"/>
      <c r="N635" s="102"/>
      <c r="O635" s="119"/>
    </row>
    <row r="636">
      <c r="A636" s="17"/>
      <c r="C636" s="79"/>
      <c r="D636" s="79"/>
      <c r="E636" s="79"/>
      <c r="F636" s="79"/>
      <c r="G636" s="79"/>
      <c r="H636" s="79"/>
      <c r="I636" s="79"/>
      <c r="J636" s="79"/>
      <c r="K636" s="79"/>
      <c r="L636" s="79"/>
      <c r="N636" s="102"/>
      <c r="O636" s="119"/>
    </row>
    <row r="637">
      <c r="A637" s="17"/>
      <c r="C637" s="79"/>
      <c r="D637" s="79"/>
      <c r="E637" s="79"/>
      <c r="F637" s="79"/>
      <c r="G637" s="79"/>
      <c r="H637" s="79"/>
      <c r="I637" s="79"/>
      <c r="J637" s="79"/>
      <c r="K637" s="79"/>
      <c r="L637" s="79"/>
      <c r="N637" s="102"/>
      <c r="O637" s="119"/>
    </row>
    <row r="638">
      <c r="A638" s="17"/>
      <c r="C638" s="79"/>
      <c r="D638" s="79"/>
      <c r="E638" s="79"/>
      <c r="F638" s="79"/>
      <c r="G638" s="79"/>
      <c r="H638" s="79"/>
      <c r="I638" s="79"/>
      <c r="J638" s="79"/>
      <c r="K638" s="79"/>
      <c r="L638" s="79"/>
      <c r="N638" s="102"/>
      <c r="O638" s="119"/>
    </row>
    <row r="639">
      <c r="A639" s="17"/>
      <c r="C639" s="79"/>
      <c r="D639" s="79"/>
      <c r="E639" s="79"/>
      <c r="F639" s="79"/>
      <c r="G639" s="79"/>
      <c r="H639" s="79"/>
      <c r="I639" s="79"/>
      <c r="J639" s="79"/>
      <c r="K639" s="79"/>
      <c r="L639" s="79"/>
      <c r="N639" s="102"/>
      <c r="O639" s="119"/>
    </row>
    <row r="640">
      <c r="A640" s="17"/>
      <c r="C640" s="79"/>
      <c r="D640" s="79"/>
      <c r="E640" s="79"/>
      <c r="F640" s="79"/>
      <c r="G640" s="79"/>
      <c r="H640" s="79"/>
      <c r="I640" s="79"/>
      <c r="J640" s="79"/>
      <c r="K640" s="79"/>
      <c r="L640" s="79"/>
      <c r="N640" s="102"/>
      <c r="O640" s="119"/>
    </row>
    <row r="641">
      <c r="A641" s="17"/>
      <c r="C641" s="79"/>
      <c r="D641" s="79"/>
      <c r="E641" s="79"/>
      <c r="F641" s="79"/>
      <c r="G641" s="79"/>
      <c r="H641" s="79"/>
      <c r="I641" s="79"/>
      <c r="J641" s="79"/>
      <c r="K641" s="79"/>
      <c r="L641" s="79"/>
      <c r="N641" s="102"/>
      <c r="O641" s="119"/>
    </row>
    <row r="642">
      <c r="A642" s="17"/>
      <c r="C642" s="79"/>
      <c r="D642" s="79"/>
      <c r="E642" s="79"/>
      <c r="F642" s="79"/>
      <c r="G642" s="79"/>
      <c r="H642" s="79"/>
      <c r="I642" s="79"/>
      <c r="J642" s="79"/>
      <c r="K642" s="79"/>
      <c r="L642" s="79"/>
      <c r="N642" s="102"/>
      <c r="O642" s="119"/>
    </row>
    <row r="643">
      <c r="A643" s="17"/>
      <c r="C643" s="79"/>
      <c r="D643" s="79"/>
      <c r="E643" s="79"/>
      <c r="F643" s="79"/>
      <c r="G643" s="79"/>
      <c r="H643" s="79"/>
      <c r="I643" s="79"/>
      <c r="J643" s="79"/>
      <c r="K643" s="79"/>
      <c r="L643" s="79"/>
      <c r="N643" s="102"/>
      <c r="O643" s="119"/>
    </row>
    <row r="644">
      <c r="A644" s="17"/>
      <c r="C644" s="79"/>
      <c r="D644" s="79"/>
      <c r="E644" s="79"/>
      <c r="F644" s="79"/>
      <c r="G644" s="79"/>
      <c r="H644" s="79"/>
      <c r="I644" s="79"/>
      <c r="J644" s="79"/>
      <c r="K644" s="79"/>
      <c r="L644" s="79"/>
      <c r="N644" s="102"/>
      <c r="O644" s="119"/>
    </row>
    <row r="645">
      <c r="A645" s="17"/>
      <c r="C645" s="79"/>
      <c r="D645" s="79"/>
      <c r="E645" s="79"/>
      <c r="F645" s="79"/>
      <c r="G645" s="79"/>
      <c r="H645" s="79"/>
      <c r="I645" s="79"/>
      <c r="J645" s="79"/>
      <c r="K645" s="79"/>
      <c r="L645" s="79"/>
      <c r="N645" s="102"/>
      <c r="O645" s="119"/>
    </row>
    <row r="646">
      <c r="A646" s="17"/>
      <c r="C646" s="79"/>
      <c r="D646" s="79"/>
      <c r="E646" s="79"/>
      <c r="F646" s="79"/>
      <c r="G646" s="79"/>
      <c r="H646" s="79"/>
      <c r="I646" s="79"/>
      <c r="J646" s="79"/>
      <c r="K646" s="79"/>
      <c r="L646" s="79"/>
      <c r="N646" s="102"/>
      <c r="O646" s="119"/>
    </row>
    <row r="647">
      <c r="A647" s="17"/>
      <c r="C647" s="79"/>
      <c r="D647" s="79"/>
      <c r="E647" s="79"/>
      <c r="F647" s="79"/>
      <c r="G647" s="79"/>
      <c r="H647" s="79"/>
      <c r="I647" s="79"/>
      <c r="J647" s="79"/>
      <c r="K647" s="79"/>
      <c r="L647" s="79"/>
      <c r="N647" s="102"/>
      <c r="O647" s="119"/>
    </row>
    <row r="648">
      <c r="A648" s="17"/>
      <c r="C648" s="79"/>
      <c r="D648" s="79"/>
      <c r="E648" s="79"/>
      <c r="F648" s="79"/>
      <c r="G648" s="79"/>
      <c r="H648" s="79"/>
      <c r="I648" s="79"/>
      <c r="J648" s="79"/>
      <c r="K648" s="79"/>
      <c r="L648" s="79"/>
      <c r="N648" s="102"/>
      <c r="O648" s="119"/>
    </row>
    <row r="649">
      <c r="A649" s="17"/>
      <c r="C649" s="79"/>
      <c r="D649" s="79"/>
      <c r="E649" s="79"/>
      <c r="F649" s="79"/>
      <c r="G649" s="79"/>
      <c r="H649" s="79"/>
      <c r="I649" s="79"/>
      <c r="J649" s="79"/>
      <c r="K649" s="79"/>
      <c r="L649" s="79"/>
      <c r="N649" s="102"/>
      <c r="O649" s="119"/>
    </row>
    <row r="650">
      <c r="A650" s="17"/>
      <c r="C650" s="79"/>
      <c r="D650" s="79"/>
      <c r="E650" s="79"/>
      <c r="F650" s="79"/>
      <c r="G650" s="79"/>
      <c r="H650" s="79"/>
      <c r="I650" s="79"/>
      <c r="J650" s="79"/>
      <c r="K650" s="79"/>
      <c r="L650" s="79"/>
      <c r="N650" s="102"/>
      <c r="O650" s="119"/>
    </row>
    <row r="651">
      <c r="A651" s="17"/>
      <c r="C651" s="79"/>
      <c r="D651" s="79"/>
      <c r="E651" s="79"/>
      <c r="F651" s="79"/>
      <c r="G651" s="79"/>
      <c r="H651" s="79"/>
      <c r="I651" s="79"/>
      <c r="J651" s="79"/>
      <c r="K651" s="79"/>
      <c r="L651" s="79"/>
      <c r="N651" s="102"/>
      <c r="O651" s="119"/>
    </row>
    <row r="652">
      <c r="A652" s="17"/>
      <c r="C652" s="79"/>
      <c r="D652" s="79"/>
      <c r="E652" s="79"/>
      <c r="F652" s="79"/>
      <c r="G652" s="79"/>
      <c r="H652" s="79"/>
      <c r="I652" s="79"/>
      <c r="J652" s="79"/>
      <c r="K652" s="79"/>
      <c r="L652" s="79"/>
      <c r="N652" s="102"/>
      <c r="O652" s="119"/>
    </row>
    <row r="653">
      <c r="A653" s="17"/>
      <c r="C653" s="79"/>
      <c r="D653" s="79"/>
      <c r="E653" s="79"/>
      <c r="F653" s="79"/>
      <c r="G653" s="79"/>
      <c r="H653" s="79"/>
      <c r="I653" s="79"/>
      <c r="J653" s="79"/>
      <c r="K653" s="79"/>
      <c r="L653" s="79"/>
      <c r="N653" s="102"/>
      <c r="O653" s="119"/>
    </row>
    <row r="654">
      <c r="A654" s="17"/>
      <c r="C654" s="79"/>
      <c r="D654" s="79"/>
      <c r="E654" s="79"/>
      <c r="F654" s="79"/>
      <c r="G654" s="79"/>
      <c r="H654" s="79"/>
      <c r="I654" s="79"/>
      <c r="J654" s="79"/>
      <c r="K654" s="79"/>
      <c r="L654" s="79"/>
      <c r="N654" s="102"/>
      <c r="O654" s="119"/>
    </row>
    <row r="655">
      <c r="A655" s="17"/>
      <c r="C655" s="79"/>
      <c r="D655" s="79"/>
      <c r="E655" s="79"/>
      <c r="F655" s="79"/>
      <c r="G655" s="79"/>
      <c r="H655" s="79"/>
      <c r="I655" s="79"/>
      <c r="J655" s="79"/>
      <c r="K655" s="79"/>
      <c r="L655" s="79"/>
      <c r="N655" s="102"/>
      <c r="O655" s="119"/>
    </row>
    <row r="656">
      <c r="A656" s="17"/>
      <c r="C656" s="79"/>
      <c r="D656" s="79"/>
      <c r="E656" s="79"/>
      <c r="F656" s="79"/>
      <c r="G656" s="79"/>
      <c r="H656" s="79"/>
      <c r="I656" s="79"/>
      <c r="J656" s="79"/>
      <c r="K656" s="79"/>
      <c r="L656" s="79"/>
      <c r="N656" s="102"/>
      <c r="O656" s="119"/>
    </row>
    <row r="657">
      <c r="A657" s="17"/>
      <c r="C657" s="79"/>
      <c r="D657" s="79"/>
      <c r="E657" s="79"/>
      <c r="F657" s="79"/>
      <c r="G657" s="79"/>
      <c r="H657" s="79"/>
      <c r="I657" s="79"/>
      <c r="J657" s="79"/>
      <c r="K657" s="79"/>
      <c r="L657" s="79"/>
      <c r="N657" s="102"/>
      <c r="O657" s="119"/>
    </row>
    <row r="658">
      <c r="A658" s="17"/>
      <c r="C658" s="79"/>
      <c r="D658" s="79"/>
      <c r="E658" s="79"/>
      <c r="F658" s="79"/>
      <c r="G658" s="79"/>
      <c r="H658" s="79"/>
      <c r="I658" s="79"/>
      <c r="J658" s="79"/>
      <c r="K658" s="79"/>
      <c r="L658" s="79"/>
      <c r="N658" s="102"/>
      <c r="O658" s="119"/>
    </row>
    <row r="659">
      <c r="A659" s="17"/>
      <c r="C659" s="79"/>
      <c r="D659" s="79"/>
      <c r="E659" s="79"/>
      <c r="F659" s="79"/>
      <c r="G659" s="79"/>
      <c r="H659" s="79"/>
      <c r="I659" s="79"/>
      <c r="J659" s="79"/>
      <c r="K659" s="79"/>
      <c r="L659" s="79"/>
      <c r="N659" s="102"/>
      <c r="O659" s="119"/>
    </row>
    <row r="660">
      <c r="A660" s="17"/>
      <c r="C660" s="79"/>
      <c r="D660" s="79"/>
      <c r="E660" s="79"/>
      <c r="F660" s="79"/>
      <c r="G660" s="79"/>
      <c r="H660" s="79"/>
      <c r="I660" s="79"/>
      <c r="J660" s="79"/>
      <c r="K660" s="79"/>
      <c r="L660" s="79"/>
      <c r="N660" s="102"/>
      <c r="O660" s="119"/>
    </row>
    <row r="661">
      <c r="A661" s="17"/>
      <c r="C661" s="79"/>
      <c r="D661" s="79"/>
      <c r="E661" s="79"/>
      <c r="F661" s="79"/>
      <c r="G661" s="79"/>
      <c r="H661" s="79"/>
      <c r="I661" s="79"/>
      <c r="J661" s="79"/>
      <c r="K661" s="79"/>
      <c r="L661" s="79"/>
      <c r="N661" s="102"/>
      <c r="O661" s="119"/>
    </row>
    <row r="662">
      <c r="A662" s="17"/>
      <c r="C662" s="79"/>
      <c r="D662" s="79"/>
      <c r="E662" s="79"/>
      <c r="F662" s="79"/>
      <c r="G662" s="79"/>
      <c r="H662" s="79"/>
      <c r="I662" s="79"/>
      <c r="J662" s="79"/>
      <c r="K662" s="79"/>
      <c r="L662" s="79"/>
      <c r="N662" s="102"/>
      <c r="O662" s="119"/>
    </row>
    <row r="663">
      <c r="A663" s="17"/>
      <c r="C663" s="79"/>
      <c r="D663" s="79"/>
      <c r="E663" s="79"/>
      <c r="F663" s="79"/>
      <c r="G663" s="79"/>
      <c r="H663" s="79"/>
      <c r="I663" s="79"/>
      <c r="J663" s="79"/>
      <c r="K663" s="79"/>
      <c r="L663" s="79"/>
      <c r="N663" s="102"/>
      <c r="O663" s="119"/>
    </row>
    <row r="664">
      <c r="A664" s="17"/>
      <c r="C664" s="79"/>
      <c r="D664" s="79"/>
      <c r="E664" s="79"/>
      <c r="F664" s="79"/>
      <c r="G664" s="79"/>
      <c r="H664" s="79"/>
      <c r="I664" s="79"/>
      <c r="J664" s="79"/>
      <c r="K664" s="79"/>
      <c r="L664" s="79"/>
      <c r="N664" s="102"/>
      <c r="O664" s="119"/>
    </row>
    <row r="665">
      <c r="A665" s="17"/>
      <c r="C665" s="79"/>
      <c r="D665" s="79"/>
      <c r="E665" s="79"/>
      <c r="F665" s="79"/>
      <c r="G665" s="79"/>
      <c r="H665" s="79"/>
      <c r="I665" s="79"/>
      <c r="J665" s="79"/>
      <c r="K665" s="79"/>
      <c r="L665" s="79"/>
      <c r="N665" s="102"/>
      <c r="O665" s="119"/>
    </row>
    <row r="666">
      <c r="A666" s="17"/>
      <c r="C666" s="79"/>
      <c r="D666" s="79"/>
      <c r="E666" s="79"/>
      <c r="F666" s="79"/>
      <c r="G666" s="79"/>
      <c r="H666" s="79"/>
      <c r="I666" s="79"/>
      <c r="J666" s="79"/>
      <c r="K666" s="79"/>
      <c r="L666" s="79"/>
      <c r="N666" s="102"/>
      <c r="O666" s="119"/>
    </row>
    <row r="667">
      <c r="A667" s="17"/>
      <c r="C667" s="79"/>
      <c r="D667" s="79"/>
      <c r="E667" s="79"/>
      <c r="F667" s="79"/>
      <c r="G667" s="79"/>
      <c r="H667" s="79"/>
      <c r="I667" s="79"/>
      <c r="J667" s="79"/>
      <c r="K667" s="79"/>
      <c r="L667" s="79"/>
      <c r="N667" s="102"/>
      <c r="O667" s="119"/>
    </row>
    <row r="668">
      <c r="A668" s="17"/>
      <c r="C668" s="79"/>
      <c r="D668" s="79"/>
      <c r="E668" s="79"/>
      <c r="F668" s="79"/>
      <c r="G668" s="79"/>
      <c r="H668" s="79"/>
      <c r="I668" s="79"/>
      <c r="J668" s="79"/>
      <c r="K668" s="79"/>
      <c r="L668" s="79"/>
      <c r="N668" s="102"/>
      <c r="O668" s="119"/>
    </row>
    <row r="669">
      <c r="A669" s="17"/>
      <c r="C669" s="79"/>
      <c r="D669" s="79"/>
      <c r="E669" s="79"/>
      <c r="F669" s="79"/>
      <c r="G669" s="79"/>
      <c r="H669" s="79"/>
      <c r="I669" s="79"/>
      <c r="J669" s="79"/>
      <c r="K669" s="79"/>
      <c r="L669" s="79"/>
      <c r="N669" s="102"/>
      <c r="O669" s="119"/>
    </row>
    <row r="670">
      <c r="A670" s="17"/>
      <c r="C670" s="79"/>
      <c r="D670" s="79"/>
      <c r="E670" s="79"/>
      <c r="F670" s="79"/>
      <c r="G670" s="79"/>
      <c r="H670" s="79"/>
      <c r="I670" s="79"/>
      <c r="J670" s="79"/>
      <c r="K670" s="79"/>
      <c r="L670" s="79"/>
      <c r="N670" s="102"/>
      <c r="O670" s="119"/>
    </row>
    <row r="671">
      <c r="A671" s="17"/>
      <c r="C671" s="79"/>
      <c r="D671" s="79"/>
      <c r="E671" s="79"/>
      <c r="F671" s="79"/>
      <c r="G671" s="79"/>
      <c r="H671" s="79"/>
      <c r="I671" s="79"/>
      <c r="J671" s="79"/>
      <c r="K671" s="79"/>
      <c r="L671" s="79"/>
      <c r="N671" s="102"/>
      <c r="O671" s="119"/>
    </row>
    <row r="672">
      <c r="A672" s="17"/>
      <c r="C672" s="79"/>
      <c r="D672" s="79"/>
      <c r="E672" s="79"/>
      <c r="F672" s="79"/>
      <c r="G672" s="79"/>
      <c r="H672" s="79"/>
      <c r="I672" s="79"/>
      <c r="J672" s="79"/>
      <c r="K672" s="79"/>
      <c r="L672" s="79"/>
      <c r="N672" s="102"/>
      <c r="O672" s="119"/>
    </row>
    <row r="673">
      <c r="A673" s="17"/>
      <c r="C673" s="79"/>
      <c r="D673" s="79"/>
      <c r="E673" s="79"/>
      <c r="F673" s="79"/>
      <c r="G673" s="79"/>
      <c r="H673" s="79"/>
      <c r="I673" s="79"/>
      <c r="J673" s="79"/>
      <c r="K673" s="79"/>
      <c r="L673" s="79"/>
      <c r="N673" s="102"/>
      <c r="O673" s="119"/>
    </row>
    <row r="674">
      <c r="A674" s="17"/>
      <c r="C674" s="79"/>
      <c r="D674" s="79"/>
      <c r="E674" s="79"/>
      <c r="F674" s="79"/>
      <c r="G674" s="79"/>
      <c r="H674" s="79"/>
      <c r="I674" s="79"/>
      <c r="J674" s="79"/>
      <c r="K674" s="79"/>
      <c r="L674" s="79"/>
      <c r="N674" s="102"/>
      <c r="O674" s="119"/>
    </row>
    <row r="675">
      <c r="A675" s="17"/>
      <c r="C675" s="79"/>
      <c r="D675" s="79"/>
      <c r="E675" s="79"/>
      <c r="F675" s="79"/>
      <c r="G675" s="79"/>
      <c r="H675" s="79"/>
      <c r="I675" s="79"/>
      <c r="J675" s="79"/>
      <c r="K675" s="79"/>
      <c r="L675" s="79"/>
      <c r="N675" s="102"/>
      <c r="O675" s="119"/>
    </row>
    <row r="676">
      <c r="A676" s="17"/>
      <c r="C676" s="79"/>
      <c r="D676" s="79"/>
      <c r="E676" s="79"/>
      <c r="F676" s="79"/>
      <c r="G676" s="79"/>
      <c r="H676" s="79"/>
      <c r="I676" s="79"/>
      <c r="J676" s="79"/>
      <c r="K676" s="79"/>
      <c r="L676" s="79"/>
      <c r="N676" s="102"/>
      <c r="O676" s="119"/>
    </row>
    <row r="677">
      <c r="A677" s="17"/>
      <c r="C677" s="79"/>
      <c r="D677" s="79"/>
      <c r="E677" s="79"/>
      <c r="F677" s="79"/>
      <c r="G677" s="79"/>
      <c r="H677" s="79"/>
      <c r="I677" s="79"/>
      <c r="J677" s="79"/>
      <c r="K677" s="79"/>
      <c r="L677" s="79"/>
      <c r="N677" s="102"/>
      <c r="O677" s="119"/>
    </row>
    <row r="678">
      <c r="A678" s="17"/>
      <c r="C678" s="79"/>
      <c r="D678" s="79"/>
      <c r="E678" s="79"/>
      <c r="F678" s="79"/>
      <c r="G678" s="79"/>
      <c r="H678" s="79"/>
      <c r="I678" s="79"/>
      <c r="J678" s="79"/>
      <c r="K678" s="79"/>
      <c r="L678" s="79"/>
      <c r="N678" s="102"/>
      <c r="O678" s="119"/>
    </row>
    <row r="679">
      <c r="A679" s="17"/>
      <c r="C679" s="79"/>
      <c r="D679" s="79"/>
      <c r="E679" s="79"/>
      <c r="F679" s="79"/>
      <c r="G679" s="79"/>
      <c r="H679" s="79"/>
      <c r="I679" s="79"/>
      <c r="J679" s="79"/>
      <c r="K679" s="79"/>
      <c r="L679" s="79"/>
      <c r="N679" s="102"/>
      <c r="O679" s="119"/>
    </row>
    <row r="680">
      <c r="A680" s="17"/>
      <c r="C680" s="79"/>
      <c r="D680" s="79"/>
      <c r="E680" s="79"/>
      <c r="F680" s="79"/>
      <c r="G680" s="79"/>
      <c r="H680" s="79"/>
      <c r="I680" s="79"/>
      <c r="J680" s="79"/>
      <c r="K680" s="79"/>
      <c r="L680" s="79"/>
      <c r="N680" s="102"/>
      <c r="O680" s="119"/>
    </row>
    <row r="681">
      <c r="A681" s="17"/>
      <c r="C681" s="79"/>
      <c r="D681" s="79"/>
      <c r="E681" s="79"/>
      <c r="F681" s="79"/>
      <c r="G681" s="79"/>
      <c r="H681" s="79"/>
      <c r="I681" s="79"/>
      <c r="J681" s="79"/>
      <c r="K681" s="79"/>
      <c r="L681" s="79"/>
      <c r="N681" s="102"/>
      <c r="O681" s="119"/>
    </row>
    <row r="682">
      <c r="A682" s="17"/>
      <c r="C682" s="79"/>
      <c r="D682" s="79"/>
      <c r="E682" s="79"/>
      <c r="F682" s="79"/>
      <c r="G682" s="79"/>
      <c r="H682" s="79"/>
      <c r="I682" s="79"/>
      <c r="J682" s="79"/>
      <c r="K682" s="79"/>
      <c r="L682" s="79"/>
      <c r="N682" s="102"/>
      <c r="O682" s="119"/>
    </row>
    <row r="683">
      <c r="A683" s="17"/>
      <c r="C683" s="79"/>
      <c r="D683" s="79"/>
      <c r="E683" s="79"/>
      <c r="F683" s="79"/>
      <c r="G683" s="79"/>
      <c r="H683" s="79"/>
      <c r="I683" s="79"/>
      <c r="J683" s="79"/>
      <c r="K683" s="79"/>
      <c r="L683" s="79"/>
      <c r="N683" s="102"/>
      <c r="O683" s="119"/>
    </row>
    <row r="684">
      <c r="A684" s="17"/>
      <c r="C684" s="79"/>
      <c r="D684" s="79"/>
      <c r="E684" s="79"/>
      <c r="F684" s="79"/>
      <c r="G684" s="79"/>
      <c r="H684" s="79"/>
      <c r="I684" s="79"/>
      <c r="J684" s="79"/>
      <c r="K684" s="79"/>
      <c r="L684" s="79"/>
      <c r="N684" s="102"/>
      <c r="O684" s="119"/>
    </row>
    <row r="685">
      <c r="A685" s="17"/>
      <c r="C685" s="79"/>
      <c r="D685" s="79"/>
      <c r="E685" s="79"/>
      <c r="F685" s="79"/>
      <c r="G685" s="79"/>
      <c r="H685" s="79"/>
      <c r="I685" s="79"/>
      <c r="J685" s="79"/>
      <c r="K685" s="79"/>
      <c r="L685" s="79"/>
      <c r="N685" s="102"/>
      <c r="O685" s="119"/>
    </row>
    <row r="686">
      <c r="A686" s="17"/>
      <c r="C686" s="79"/>
      <c r="D686" s="79"/>
      <c r="E686" s="79"/>
      <c r="F686" s="79"/>
      <c r="G686" s="79"/>
      <c r="H686" s="79"/>
      <c r="I686" s="79"/>
      <c r="J686" s="79"/>
      <c r="K686" s="79"/>
      <c r="L686" s="79"/>
      <c r="N686" s="102"/>
      <c r="O686" s="119"/>
    </row>
    <row r="687">
      <c r="A687" s="17"/>
      <c r="C687" s="79"/>
      <c r="D687" s="79"/>
      <c r="E687" s="79"/>
      <c r="F687" s="79"/>
      <c r="G687" s="79"/>
      <c r="H687" s="79"/>
      <c r="I687" s="79"/>
      <c r="J687" s="79"/>
      <c r="K687" s="79"/>
      <c r="L687" s="79"/>
      <c r="N687" s="102"/>
      <c r="O687" s="119"/>
    </row>
    <row r="688">
      <c r="A688" s="17"/>
      <c r="C688" s="79"/>
      <c r="D688" s="79"/>
      <c r="E688" s="79"/>
      <c r="F688" s="79"/>
      <c r="G688" s="79"/>
      <c r="H688" s="79"/>
      <c r="I688" s="79"/>
      <c r="J688" s="79"/>
      <c r="K688" s="79"/>
      <c r="L688" s="79"/>
      <c r="N688" s="102"/>
      <c r="O688" s="119"/>
    </row>
    <row r="689">
      <c r="A689" s="17"/>
      <c r="C689" s="79"/>
      <c r="D689" s="79"/>
      <c r="E689" s="79"/>
      <c r="F689" s="79"/>
      <c r="G689" s="79"/>
      <c r="H689" s="79"/>
      <c r="I689" s="79"/>
      <c r="J689" s="79"/>
      <c r="K689" s="79"/>
      <c r="L689" s="79"/>
      <c r="N689" s="102"/>
      <c r="O689" s="119"/>
    </row>
    <row r="690">
      <c r="A690" s="17"/>
      <c r="C690" s="79"/>
      <c r="D690" s="79"/>
      <c r="E690" s="79"/>
      <c r="F690" s="79"/>
      <c r="G690" s="79"/>
      <c r="H690" s="79"/>
      <c r="I690" s="79"/>
      <c r="J690" s="79"/>
      <c r="K690" s="79"/>
      <c r="L690" s="79"/>
      <c r="N690" s="102"/>
      <c r="O690" s="119"/>
    </row>
    <row r="691">
      <c r="A691" s="17"/>
      <c r="C691" s="79"/>
      <c r="D691" s="79"/>
      <c r="E691" s="79"/>
      <c r="F691" s="79"/>
      <c r="G691" s="79"/>
      <c r="H691" s="79"/>
      <c r="I691" s="79"/>
      <c r="J691" s="79"/>
      <c r="K691" s="79"/>
      <c r="L691" s="79"/>
      <c r="N691" s="102"/>
      <c r="O691" s="119"/>
    </row>
    <row r="692">
      <c r="A692" s="17"/>
      <c r="C692" s="79"/>
      <c r="D692" s="79"/>
      <c r="E692" s="79"/>
      <c r="F692" s="79"/>
      <c r="G692" s="79"/>
      <c r="H692" s="79"/>
      <c r="I692" s="79"/>
      <c r="J692" s="79"/>
      <c r="K692" s="79"/>
      <c r="L692" s="79"/>
      <c r="N692" s="102"/>
      <c r="O692" s="119"/>
    </row>
    <row r="693">
      <c r="A693" s="17"/>
      <c r="C693" s="79"/>
      <c r="D693" s="79"/>
      <c r="E693" s="79"/>
      <c r="F693" s="79"/>
      <c r="G693" s="79"/>
      <c r="H693" s="79"/>
      <c r="I693" s="79"/>
      <c r="J693" s="79"/>
      <c r="K693" s="79"/>
      <c r="L693" s="79"/>
      <c r="N693" s="102"/>
      <c r="O693" s="119"/>
    </row>
    <row r="694">
      <c r="A694" s="17"/>
      <c r="C694" s="79"/>
      <c r="D694" s="79"/>
      <c r="E694" s="79"/>
      <c r="F694" s="79"/>
      <c r="G694" s="79"/>
      <c r="H694" s="79"/>
      <c r="I694" s="79"/>
      <c r="J694" s="79"/>
      <c r="K694" s="79"/>
      <c r="L694" s="79"/>
      <c r="N694" s="102"/>
      <c r="O694" s="119"/>
    </row>
    <row r="695">
      <c r="A695" s="17"/>
      <c r="C695" s="79"/>
      <c r="D695" s="79"/>
      <c r="E695" s="79"/>
      <c r="F695" s="79"/>
      <c r="G695" s="79"/>
      <c r="H695" s="79"/>
      <c r="I695" s="79"/>
      <c r="J695" s="79"/>
      <c r="K695" s="79"/>
      <c r="L695" s="79"/>
      <c r="N695" s="102"/>
      <c r="O695" s="119"/>
    </row>
    <row r="696">
      <c r="A696" s="17"/>
      <c r="C696" s="79"/>
      <c r="D696" s="79"/>
      <c r="E696" s="79"/>
      <c r="F696" s="79"/>
      <c r="G696" s="79"/>
      <c r="H696" s="79"/>
      <c r="I696" s="79"/>
      <c r="J696" s="79"/>
      <c r="K696" s="79"/>
      <c r="L696" s="79"/>
      <c r="N696" s="102"/>
      <c r="O696" s="119"/>
    </row>
    <row r="697">
      <c r="A697" s="17"/>
      <c r="C697" s="79"/>
      <c r="D697" s="79"/>
      <c r="E697" s="79"/>
      <c r="F697" s="79"/>
      <c r="G697" s="79"/>
      <c r="H697" s="79"/>
      <c r="I697" s="79"/>
      <c r="J697" s="79"/>
      <c r="K697" s="79"/>
      <c r="L697" s="79"/>
      <c r="N697" s="102"/>
      <c r="O697" s="119"/>
    </row>
    <row r="698">
      <c r="A698" s="17"/>
      <c r="C698" s="79"/>
      <c r="D698" s="79"/>
      <c r="E698" s="79"/>
      <c r="F698" s="79"/>
      <c r="G698" s="79"/>
      <c r="H698" s="79"/>
      <c r="I698" s="79"/>
      <c r="J698" s="79"/>
      <c r="K698" s="79"/>
      <c r="L698" s="79"/>
      <c r="N698" s="102"/>
      <c r="O698" s="119"/>
    </row>
    <row r="699">
      <c r="A699" s="17"/>
      <c r="C699" s="79"/>
      <c r="D699" s="79"/>
      <c r="E699" s="79"/>
      <c r="F699" s="79"/>
      <c r="G699" s="79"/>
      <c r="H699" s="79"/>
      <c r="I699" s="79"/>
      <c r="J699" s="79"/>
      <c r="K699" s="79"/>
      <c r="L699" s="79"/>
      <c r="N699" s="102"/>
      <c r="O699" s="119"/>
    </row>
    <row r="700">
      <c r="A700" s="17"/>
      <c r="C700" s="79"/>
      <c r="D700" s="79"/>
      <c r="E700" s="79"/>
      <c r="F700" s="79"/>
      <c r="G700" s="79"/>
      <c r="H700" s="79"/>
      <c r="I700" s="79"/>
      <c r="J700" s="79"/>
      <c r="K700" s="79"/>
      <c r="L700" s="79"/>
      <c r="N700" s="102"/>
      <c r="O700" s="119"/>
    </row>
    <row r="701">
      <c r="A701" s="17"/>
      <c r="C701" s="79"/>
      <c r="D701" s="79"/>
      <c r="E701" s="79"/>
      <c r="F701" s="79"/>
      <c r="G701" s="79"/>
      <c r="H701" s="79"/>
      <c r="I701" s="79"/>
      <c r="J701" s="79"/>
      <c r="K701" s="79"/>
      <c r="L701" s="79"/>
      <c r="N701" s="102"/>
      <c r="O701" s="119"/>
    </row>
    <row r="702">
      <c r="A702" s="17"/>
      <c r="C702" s="79"/>
      <c r="D702" s="79"/>
      <c r="E702" s="79"/>
      <c r="F702" s="79"/>
      <c r="G702" s="79"/>
      <c r="H702" s="79"/>
      <c r="I702" s="79"/>
      <c r="J702" s="79"/>
      <c r="K702" s="79"/>
      <c r="L702" s="79"/>
      <c r="N702" s="102"/>
      <c r="O702" s="119"/>
    </row>
    <row r="703">
      <c r="A703" s="17"/>
      <c r="C703" s="79"/>
      <c r="D703" s="79"/>
      <c r="E703" s="79"/>
      <c r="F703" s="79"/>
      <c r="G703" s="79"/>
      <c r="H703" s="79"/>
      <c r="I703" s="79"/>
      <c r="J703" s="79"/>
      <c r="K703" s="79"/>
      <c r="L703" s="79"/>
      <c r="N703" s="102"/>
      <c r="O703" s="119"/>
    </row>
    <row r="704">
      <c r="A704" s="17"/>
      <c r="C704" s="79"/>
      <c r="D704" s="79"/>
      <c r="E704" s="79"/>
      <c r="F704" s="79"/>
      <c r="G704" s="79"/>
      <c r="H704" s="79"/>
      <c r="I704" s="79"/>
      <c r="J704" s="79"/>
      <c r="K704" s="79"/>
      <c r="L704" s="79"/>
      <c r="N704" s="102"/>
      <c r="O704" s="119"/>
    </row>
    <row r="705">
      <c r="A705" s="17"/>
      <c r="C705" s="79"/>
      <c r="D705" s="79"/>
      <c r="E705" s="79"/>
      <c r="F705" s="79"/>
      <c r="G705" s="79"/>
      <c r="H705" s="79"/>
      <c r="I705" s="79"/>
      <c r="J705" s="79"/>
      <c r="K705" s="79"/>
      <c r="L705" s="79"/>
      <c r="N705" s="102"/>
      <c r="O705" s="119"/>
    </row>
    <row r="706">
      <c r="A706" s="17"/>
      <c r="C706" s="79"/>
      <c r="D706" s="79"/>
      <c r="E706" s="79"/>
      <c r="F706" s="79"/>
      <c r="G706" s="79"/>
      <c r="H706" s="79"/>
      <c r="I706" s="79"/>
      <c r="J706" s="79"/>
      <c r="K706" s="79"/>
      <c r="L706" s="79"/>
      <c r="N706" s="102"/>
      <c r="O706" s="119"/>
    </row>
    <row r="707">
      <c r="A707" s="17"/>
      <c r="C707" s="79"/>
      <c r="D707" s="79"/>
      <c r="E707" s="79"/>
      <c r="F707" s="79"/>
      <c r="G707" s="79"/>
      <c r="H707" s="79"/>
      <c r="I707" s="79"/>
      <c r="J707" s="79"/>
      <c r="K707" s="79"/>
      <c r="L707" s="79"/>
      <c r="N707" s="102"/>
      <c r="O707" s="119"/>
    </row>
    <row r="708">
      <c r="A708" s="17"/>
      <c r="C708" s="79"/>
      <c r="D708" s="79"/>
      <c r="E708" s="79"/>
      <c r="F708" s="79"/>
      <c r="G708" s="79"/>
      <c r="H708" s="79"/>
      <c r="I708" s="79"/>
      <c r="J708" s="79"/>
      <c r="K708" s="79"/>
      <c r="L708" s="79"/>
      <c r="N708" s="102"/>
      <c r="O708" s="119"/>
    </row>
    <row r="709">
      <c r="A709" s="17"/>
      <c r="C709" s="79"/>
      <c r="D709" s="79"/>
      <c r="E709" s="79"/>
      <c r="F709" s="79"/>
      <c r="G709" s="79"/>
      <c r="H709" s="79"/>
      <c r="I709" s="79"/>
      <c r="J709" s="79"/>
      <c r="K709" s="79"/>
      <c r="L709" s="79"/>
      <c r="N709" s="102"/>
      <c r="O709" s="119"/>
    </row>
    <row r="710">
      <c r="A710" s="17"/>
      <c r="C710" s="79"/>
      <c r="D710" s="79"/>
      <c r="E710" s="79"/>
      <c r="F710" s="79"/>
      <c r="G710" s="79"/>
      <c r="H710" s="79"/>
      <c r="I710" s="79"/>
      <c r="J710" s="79"/>
      <c r="K710" s="79"/>
      <c r="L710" s="79"/>
      <c r="N710" s="102"/>
      <c r="O710" s="119"/>
    </row>
    <row r="711">
      <c r="A711" s="17"/>
      <c r="C711" s="79"/>
      <c r="D711" s="79"/>
      <c r="E711" s="79"/>
      <c r="F711" s="79"/>
      <c r="G711" s="79"/>
      <c r="H711" s="79"/>
      <c r="I711" s="79"/>
      <c r="J711" s="79"/>
      <c r="K711" s="79"/>
      <c r="L711" s="79"/>
      <c r="N711" s="102"/>
      <c r="O711" s="119"/>
    </row>
    <row r="712">
      <c r="A712" s="17"/>
      <c r="C712" s="79"/>
      <c r="D712" s="79"/>
      <c r="E712" s="79"/>
      <c r="F712" s="79"/>
      <c r="G712" s="79"/>
      <c r="H712" s="79"/>
      <c r="I712" s="79"/>
      <c r="J712" s="79"/>
      <c r="K712" s="79"/>
      <c r="L712" s="79"/>
      <c r="N712" s="102"/>
      <c r="O712" s="119"/>
    </row>
    <row r="713">
      <c r="A713" s="17"/>
      <c r="C713" s="79"/>
      <c r="D713" s="79"/>
      <c r="E713" s="79"/>
      <c r="F713" s="79"/>
      <c r="G713" s="79"/>
      <c r="H713" s="79"/>
      <c r="I713" s="79"/>
      <c r="J713" s="79"/>
      <c r="K713" s="79"/>
      <c r="L713" s="79"/>
      <c r="N713" s="102"/>
      <c r="O713" s="119"/>
    </row>
    <row r="714">
      <c r="A714" s="17"/>
      <c r="C714" s="79"/>
      <c r="D714" s="79"/>
      <c r="E714" s="79"/>
      <c r="F714" s="79"/>
      <c r="G714" s="79"/>
      <c r="H714" s="79"/>
      <c r="I714" s="79"/>
      <c r="J714" s="79"/>
      <c r="K714" s="79"/>
      <c r="L714" s="79"/>
      <c r="N714" s="102"/>
      <c r="O714" s="119"/>
    </row>
    <row r="715">
      <c r="A715" s="17"/>
      <c r="C715" s="79"/>
      <c r="D715" s="79"/>
      <c r="E715" s="79"/>
      <c r="F715" s="79"/>
      <c r="G715" s="79"/>
      <c r="H715" s="79"/>
      <c r="I715" s="79"/>
      <c r="J715" s="79"/>
      <c r="K715" s="79"/>
      <c r="L715" s="79"/>
      <c r="N715" s="102"/>
      <c r="O715" s="119"/>
    </row>
    <row r="716">
      <c r="A716" s="17"/>
      <c r="C716" s="79"/>
      <c r="D716" s="79"/>
      <c r="E716" s="79"/>
      <c r="F716" s="79"/>
      <c r="G716" s="79"/>
      <c r="H716" s="79"/>
      <c r="I716" s="79"/>
      <c r="J716" s="79"/>
      <c r="K716" s="79"/>
      <c r="L716" s="79"/>
      <c r="N716" s="102"/>
      <c r="O716" s="119"/>
    </row>
    <row r="717">
      <c r="A717" s="17"/>
      <c r="C717" s="79"/>
      <c r="D717" s="79"/>
      <c r="E717" s="79"/>
      <c r="F717" s="79"/>
      <c r="G717" s="79"/>
      <c r="H717" s="79"/>
      <c r="I717" s="79"/>
      <c r="J717" s="79"/>
      <c r="K717" s="79"/>
      <c r="L717" s="79"/>
      <c r="N717" s="102"/>
      <c r="O717" s="119"/>
    </row>
    <row r="718">
      <c r="A718" s="17"/>
      <c r="C718" s="79"/>
      <c r="D718" s="79"/>
      <c r="E718" s="79"/>
      <c r="F718" s="79"/>
      <c r="G718" s="79"/>
      <c r="H718" s="79"/>
      <c r="I718" s="79"/>
      <c r="J718" s="79"/>
      <c r="K718" s="79"/>
      <c r="L718" s="79"/>
      <c r="N718" s="102"/>
      <c r="O718" s="119"/>
    </row>
    <row r="719">
      <c r="A719" s="17"/>
      <c r="C719" s="79"/>
      <c r="D719" s="79"/>
      <c r="E719" s="79"/>
      <c r="F719" s="79"/>
      <c r="G719" s="79"/>
      <c r="H719" s="79"/>
      <c r="I719" s="79"/>
      <c r="J719" s="79"/>
      <c r="K719" s="79"/>
      <c r="L719" s="79"/>
      <c r="N719" s="102"/>
      <c r="O719" s="119"/>
    </row>
    <row r="720">
      <c r="A720" s="17"/>
      <c r="C720" s="79"/>
      <c r="D720" s="79"/>
      <c r="E720" s="79"/>
      <c r="F720" s="79"/>
      <c r="G720" s="79"/>
      <c r="H720" s="79"/>
      <c r="I720" s="79"/>
      <c r="J720" s="79"/>
      <c r="K720" s="79"/>
      <c r="L720" s="79"/>
      <c r="N720" s="102"/>
      <c r="O720" s="119"/>
    </row>
    <row r="721">
      <c r="A721" s="17"/>
      <c r="C721" s="79"/>
      <c r="D721" s="79"/>
      <c r="E721" s="79"/>
      <c r="F721" s="79"/>
      <c r="G721" s="79"/>
      <c r="H721" s="79"/>
      <c r="I721" s="79"/>
      <c r="J721" s="79"/>
      <c r="K721" s="79"/>
      <c r="L721" s="79"/>
      <c r="N721" s="102"/>
      <c r="O721" s="119"/>
    </row>
    <row r="722">
      <c r="A722" s="17"/>
      <c r="C722" s="79"/>
      <c r="D722" s="79"/>
      <c r="E722" s="79"/>
      <c r="F722" s="79"/>
      <c r="G722" s="79"/>
      <c r="H722" s="79"/>
      <c r="I722" s="79"/>
      <c r="J722" s="79"/>
      <c r="K722" s="79"/>
      <c r="L722" s="79"/>
      <c r="N722" s="102"/>
      <c r="O722" s="119"/>
    </row>
    <row r="723">
      <c r="A723" s="17"/>
      <c r="C723" s="79"/>
      <c r="D723" s="79"/>
      <c r="E723" s="79"/>
      <c r="F723" s="79"/>
      <c r="G723" s="79"/>
      <c r="H723" s="79"/>
      <c r="I723" s="79"/>
      <c r="J723" s="79"/>
      <c r="K723" s="79"/>
      <c r="L723" s="79"/>
      <c r="N723" s="102"/>
      <c r="O723" s="119"/>
    </row>
    <row r="724">
      <c r="A724" s="17"/>
      <c r="C724" s="79"/>
      <c r="D724" s="79"/>
      <c r="E724" s="79"/>
      <c r="F724" s="79"/>
      <c r="G724" s="79"/>
      <c r="H724" s="79"/>
      <c r="I724" s="79"/>
      <c r="J724" s="79"/>
      <c r="K724" s="79"/>
      <c r="L724" s="79"/>
      <c r="N724" s="102"/>
      <c r="O724" s="119"/>
    </row>
    <row r="725">
      <c r="A725" s="17"/>
      <c r="C725" s="79"/>
      <c r="D725" s="79"/>
      <c r="E725" s="79"/>
      <c r="F725" s="79"/>
      <c r="G725" s="79"/>
      <c r="H725" s="79"/>
      <c r="I725" s="79"/>
      <c r="J725" s="79"/>
      <c r="K725" s="79"/>
      <c r="L725" s="79"/>
      <c r="N725" s="102"/>
      <c r="O725" s="119"/>
    </row>
    <row r="726">
      <c r="A726" s="17"/>
      <c r="C726" s="79"/>
      <c r="D726" s="79"/>
      <c r="E726" s="79"/>
      <c r="F726" s="79"/>
      <c r="G726" s="79"/>
      <c r="H726" s="79"/>
      <c r="I726" s="79"/>
      <c r="J726" s="79"/>
      <c r="K726" s="79"/>
      <c r="L726" s="79"/>
      <c r="N726" s="102"/>
      <c r="O726" s="119"/>
    </row>
    <row r="727">
      <c r="A727" s="17"/>
      <c r="C727" s="79"/>
      <c r="D727" s="79"/>
      <c r="E727" s="79"/>
      <c r="F727" s="79"/>
      <c r="G727" s="79"/>
      <c r="H727" s="79"/>
      <c r="I727" s="79"/>
      <c r="J727" s="79"/>
      <c r="K727" s="79"/>
      <c r="L727" s="79"/>
      <c r="N727" s="102"/>
      <c r="O727" s="119"/>
    </row>
    <row r="728">
      <c r="A728" s="17"/>
      <c r="C728" s="79"/>
      <c r="D728" s="79"/>
      <c r="E728" s="79"/>
      <c r="F728" s="79"/>
      <c r="G728" s="79"/>
      <c r="H728" s="79"/>
      <c r="I728" s="79"/>
      <c r="J728" s="79"/>
      <c r="K728" s="79"/>
      <c r="L728" s="79"/>
      <c r="N728" s="102"/>
      <c r="O728" s="119"/>
    </row>
    <row r="729">
      <c r="A729" s="17"/>
      <c r="C729" s="79"/>
      <c r="D729" s="79"/>
      <c r="E729" s="79"/>
      <c r="F729" s="79"/>
      <c r="G729" s="79"/>
      <c r="H729" s="79"/>
      <c r="I729" s="79"/>
      <c r="J729" s="79"/>
      <c r="K729" s="79"/>
      <c r="L729" s="79"/>
      <c r="N729" s="102"/>
      <c r="O729" s="119"/>
    </row>
    <row r="730">
      <c r="A730" s="17"/>
      <c r="C730" s="79"/>
      <c r="D730" s="79"/>
      <c r="E730" s="79"/>
      <c r="F730" s="79"/>
      <c r="G730" s="79"/>
      <c r="H730" s="79"/>
      <c r="I730" s="79"/>
      <c r="J730" s="79"/>
      <c r="K730" s="79"/>
      <c r="L730" s="79"/>
      <c r="N730" s="102"/>
      <c r="O730" s="119"/>
    </row>
    <row r="731">
      <c r="A731" s="17"/>
      <c r="C731" s="79"/>
      <c r="D731" s="79"/>
      <c r="E731" s="79"/>
      <c r="F731" s="79"/>
      <c r="G731" s="79"/>
      <c r="H731" s="79"/>
      <c r="I731" s="79"/>
      <c r="J731" s="79"/>
      <c r="K731" s="79"/>
      <c r="L731" s="79"/>
      <c r="N731" s="102"/>
      <c r="O731" s="119"/>
    </row>
    <row r="732">
      <c r="A732" s="17"/>
      <c r="C732" s="79"/>
      <c r="D732" s="79"/>
      <c r="E732" s="79"/>
      <c r="F732" s="79"/>
      <c r="G732" s="79"/>
      <c r="H732" s="79"/>
      <c r="I732" s="79"/>
      <c r="J732" s="79"/>
      <c r="K732" s="79"/>
      <c r="L732" s="79"/>
      <c r="N732" s="102"/>
      <c r="O732" s="119"/>
    </row>
    <row r="733">
      <c r="A733" s="17"/>
      <c r="C733" s="79"/>
      <c r="D733" s="79"/>
      <c r="E733" s="79"/>
      <c r="F733" s="79"/>
      <c r="G733" s="79"/>
      <c r="H733" s="79"/>
      <c r="I733" s="79"/>
      <c r="J733" s="79"/>
      <c r="K733" s="79"/>
      <c r="L733" s="79"/>
      <c r="N733" s="102"/>
      <c r="O733" s="119"/>
    </row>
    <row r="734">
      <c r="A734" s="17"/>
      <c r="C734" s="79"/>
      <c r="D734" s="79"/>
      <c r="E734" s="79"/>
      <c r="F734" s="79"/>
      <c r="G734" s="79"/>
      <c r="H734" s="79"/>
      <c r="I734" s="79"/>
      <c r="J734" s="79"/>
      <c r="K734" s="79"/>
      <c r="L734" s="79"/>
      <c r="N734" s="102"/>
      <c r="O734" s="119"/>
    </row>
    <row r="735">
      <c r="A735" s="17"/>
      <c r="C735" s="79"/>
      <c r="D735" s="79"/>
      <c r="E735" s="79"/>
      <c r="F735" s="79"/>
      <c r="G735" s="79"/>
      <c r="H735" s="79"/>
      <c r="I735" s="79"/>
      <c r="J735" s="79"/>
      <c r="K735" s="79"/>
      <c r="L735" s="79"/>
      <c r="N735" s="102"/>
      <c r="O735" s="119"/>
    </row>
    <row r="736">
      <c r="A736" s="17"/>
      <c r="C736" s="79"/>
      <c r="D736" s="79"/>
      <c r="E736" s="79"/>
      <c r="F736" s="79"/>
      <c r="G736" s="79"/>
      <c r="H736" s="79"/>
      <c r="I736" s="79"/>
      <c r="J736" s="79"/>
      <c r="K736" s="79"/>
      <c r="L736" s="79"/>
      <c r="N736" s="102"/>
      <c r="O736" s="119"/>
    </row>
    <row r="737">
      <c r="A737" s="17"/>
      <c r="C737" s="79"/>
      <c r="D737" s="79"/>
      <c r="E737" s="79"/>
      <c r="F737" s="79"/>
      <c r="G737" s="79"/>
      <c r="H737" s="79"/>
      <c r="I737" s="79"/>
      <c r="J737" s="79"/>
      <c r="K737" s="79"/>
      <c r="L737" s="79"/>
      <c r="N737" s="102"/>
      <c r="O737" s="119"/>
    </row>
    <row r="738">
      <c r="A738" s="17"/>
      <c r="C738" s="79"/>
      <c r="D738" s="79"/>
      <c r="E738" s="79"/>
      <c r="F738" s="79"/>
      <c r="G738" s="79"/>
      <c r="H738" s="79"/>
      <c r="I738" s="79"/>
      <c r="J738" s="79"/>
      <c r="K738" s="79"/>
      <c r="L738" s="79"/>
      <c r="N738" s="102"/>
      <c r="O738" s="119"/>
    </row>
    <row r="739">
      <c r="A739" s="17"/>
      <c r="C739" s="79"/>
      <c r="D739" s="79"/>
      <c r="E739" s="79"/>
      <c r="F739" s="79"/>
      <c r="G739" s="79"/>
      <c r="H739" s="79"/>
      <c r="I739" s="79"/>
      <c r="J739" s="79"/>
      <c r="K739" s="79"/>
      <c r="L739" s="79"/>
      <c r="N739" s="102"/>
      <c r="O739" s="119"/>
    </row>
    <row r="740">
      <c r="A740" s="17"/>
      <c r="C740" s="79"/>
      <c r="D740" s="79"/>
      <c r="E740" s="79"/>
      <c r="F740" s="79"/>
      <c r="G740" s="79"/>
      <c r="H740" s="79"/>
      <c r="I740" s="79"/>
      <c r="J740" s="79"/>
      <c r="K740" s="79"/>
      <c r="L740" s="79"/>
      <c r="N740" s="102"/>
      <c r="O740" s="119"/>
    </row>
    <row r="741">
      <c r="A741" s="17"/>
      <c r="C741" s="79"/>
      <c r="D741" s="79"/>
      <c r="E741" s="79"/>
      <c r="F741" s="79"/>
      <c r="G741" s="79"/>
      <c r="H741" s="79"/>
      <c r="I741" s="79"/>
      <c r="J741" s="79"/>
      <c r="K741" s="79"/>
      <c r="L741" s="79"/>
      <c r="N741" s="102"/>
      <c r="O741" s="119"/>
    </row>
    <row r="742">
      <c r="A742" s="17"/>
      <c r="C742" s="79"/>
      <c r="D742" s="79"/>
      <c r="E742" s="79"/>
      <c r="F742" s="79"/>
      <c r="G742" s="79"/>
      <c r="H742" s="79"/>
      <c r="I742" s="79"/>
      <c r="J742" s="79"/>
      <c r="K742" s="79"/>
      <c r="L742" s="79"/>
      <c r="N742" s="102"/>
      <c r="O742" s="119"/>
    </row>
    <row r="743">
      <c r="A743" s="17"/>
      <c r="C743" s="79"/>
      <c r="D743" s="79"/>
      <c r="E743" s="79"/>
      <c r="F743" s="79"/>
      <c r="G743" s="79"/>
      <c r="H743" s="79"/>
      <c r="I743" s="79"/>
      <c r="J743" s="79"/>
      <c r="K743" s="79"/>
      <c r="L743" s="79"/>
      <c r="N743" s="102"/>
      <c r="O743" s="119"/>
    </row>
    <row r="744">
      <c r="A744" s="17"/>
      <c r="C744" s="79"/>
      <c r="D744" s="79"/>
      <c r="E744" s="79"/>
      <c r="F744" s="79"/>
      <c r="G744" s="79"/>
      <c r="H744" s="79"/>
      <c r="I744" s="79"/>
      <c r="J744" s="79"/>
      <c r="K744" s="79"/>
      <c r="L744" s="79"/>
      <c r="N744" s="102"/>
      <c r="O744" s="119"/>
    </row>
    <row r="745">
      <c r="A745" s="17"/>
      <c r="C745" s="79"/>
      <c r="D745" s="79"/>
      <c r="E745" s="79"/>
      <c r="F745" s="79"/>
      <c r="G745" s="79"/>
      <c r="H745" s="79"/>
      <c r="I745" s="79"/>
      <c r="J745" s="79"/>
      <c r="K745" s="79"/>
      <c r="L745" s="79"/>
      <c r="N745" s="102"/>
      <c r="O745" s="119"/>
    </row>
    <row r="746">
      <c r="A746" s="17"/>
      <c r="C746" s="79"/>
      <c r="D746" s="79"/>
      <c r="E746" s="79"/>
      <c r="F746" s="79"/>
      <c r="G746" s="79"/>
      <c r="H746" s="79"/>
      <c r="I746" s="79"/>
      <c r="J746" s="79"/>
      <c r="K746" s="79"/>
      <c r="L746" s="79"/>
      <c r="N746" s="102"/>
      <c r="O746" s="119"/>
    </row>
    <row r="747">
      <c r="A747" s="17"/>
      <c r="C747" s="79"/>
      <c r="D747" s="79"/>
      <c r="E747" s="79"/>
      <c r="F747" s="79"/>
      <c r="G747" s="79"/>
      <c r="H747" s="79"/>
      <c r="I747" s="79"/>
      <c r="J747" s="79"/>
      <c r="K747" s="79"/>
      <c r="L747" s="79"/>
      <c r="N747" s="102"/>
      <c r="O747" s="119"/>
    </row>
    <row r="748">
      <c r="A748" s="17"/>
      <c r="C748" s="79"/>
      <c r="D748" s="79"/>
      <c r="E748" s="79"/>
      <c r="F748" s="79"/>
      <c r="G748" s="79"/>
      <c r="H748" s="79"/>
      <c r="I748" s="79"/>
      <c r="J748" s="79"/>
      <c r="K748" s="79"/>
      <c r="L748" s="79"/>
      <c r="N748" s="102"/>
      <c r="O748" s="119"/>
    </row>
    <row r="749">
      <c r="A749" s="17"/>
      <c r="C749" s="79"/>
      <c r="D749" s="79"/>
      <c r="E749" s="79"/>
      <c r="F749" s="79"/>
      <c r="G749" s="79"/>
      <c r="H749" s="79"/>
      <c r="I749" s="79"/>
      <c r="J749" s="79"/>
      <c r="K749" s="79"/>
      <c r="L749" s="79"/>
      <c r="N749" s="102"/>
      <c r="O749" s="119"/>
    </row>
    <row r="750">
      <c r="A750" s="17"/>
      <c r="C750" s="79"/>
      <c r="D750" s="79"/>
      <c r="E750" s="79"/>
      <c r="F750" s="79"/>
      <c r="G750" s="79"/>
      <c r="H750" s="79"/>
      <c r="I750" s="79"/>
      <c r="J750" s="79"/>
      <c r="K750" s="79"/>
      <c r="L750" s="79"/>
      <c r="N750" s="102"/>
      <c r="O750" s="119"/>
    </row>
    <row r="751">
      <c r="A751" s="17"/>
      <c r="C751" s="79"/>
      <c r="D751" s="79"/>
      <c r="E751" s="79"/>
      <c r="F751" s="79"/>
      <c r="G751" s="79"/>
      <c r="H751" s="79"/>
      <c r="I751" s="79"/>
      <c r="J751" s="79"/>
      <c r="K751" s="79"/>
      <c r="L751" s="79"/>
      <c r="N751" s="102"/>
      <c r="O751" s="119"/>
    </row>
    <row r="752">
      <c r="A752" s="17"/>
      <c r="C752" s="79"/>
      <c r="D752" s="79"/>
      <c r="E752" s="79"/>
      <c r="F752" s="79"/>
      <c r="G752" s="79"/>
      <c r="H752" s="79"/>
      <c r="I752" s="79"/>
      <c r="J752" s="79"/>
      <c r="K752" s="79"/>
      <c r="L752" s="79"/>
      <c r="N752" s="102"/>
      <c r="O752" s="119"/>
    </row>
    <row r="753">
      <c r="A753" s="17"/>
      <c r="C753" s="79"/>
      <c r="D753" s="79"/>
      <c r="E753" s="79"/>
      <c r="F753" s="79"/>
      <c r="G753" s="79"/>
      <c r="H753" s="79"/>
      <c r="I753" s="79"/>
      <c r="J753" s="79"/>
      <c r="K753" s="79"/>
      <c r="L753" s="79"/>
      <c r="N753" s="102"/>
      <c r="O753" s="119"/>
    </row>
    <row r="754">
      <c r="A754" s="17"/>
      <c r="C754" s="79"/>
      <c r="D754" s="79"/>
      <c r="E754" s="79"/>
      <c r="F754" s="79"/>
      <c r="G754" s="79"/>
      <c r="H754" s="79"/>
      <c r="I754" s="79"/>
      <c r="J754" s="79"/>
      <c r="K754" s="79"/>
      <c r="L754" s="79"/>
      <c r="N754" s="102"/>
      <c r="O754" s="119"/>
    </row>
    <row r="755">
      <c r="A755" s="17"/>
      <c r="C755" s="79"/>
      <c r="D755" s="79"/>
      <c r="E755" s="79"/>
      <c r="F755" s="79"/>
      <c r="G755" s="79"/>
      <c r="H755" s="79"/>
      <c r="I755" s="79"/>
      <c r="J755" s="79"/>
      <c r="K755" s="79"/>
      <c r="L755" s="79"/>
      <c r="N755" s="102"/>
      <c r="O755" s="119"/>
    </row>
    <row r="756">
      <c r="A756" s="17"/>
      <c r="C756" s="79"/>
      <c r="D756" s="79"/>
      <c r="E756" s="79"/>
      <c r="F756" s="79"/>
      <c r="G756" s="79"/>
      <c r="H756" s="79"/>
      <c r="I756" s="79"/>
      <c r="J756" s="79"/>
      <c r="K756" s="79"/>
      <c r="L756" s="79"/>
      <c r="N756" s="102"/>
      <c r="O756" s="119"/>
    </row>
    <row r="757">
      <c r="A757" s="17"/>
      <c r="C757" s="79"/>
      <c r="D757" s="79"/>
      <c r="E757" s="79"/>
      <c r="F757" s="79"/>
      <c r="G757" s="79"/>
      <c r="H757" s="79"/>
      <c r="I757" s="79"/>
      <c r="J757" s="79"/>
      <c r="K757" s="79"/>
      <c r="L757" s="79"/>
      <c r="N757" s="102"/>
      <c r="O757" s="119"/>
    </row>
    <row r="758">
      <c r="A758" s="17"/>
      <c r="C758" s="79"/>
      <c r="D758" s="79"/>
      <c r="E758" s="79"/>
      <c r="F758" s="79"/>
      <c r="G758" s="79"/>
      <c r="H758" s="79"/>
      <c r="I758" s="79"/>
      <c r="J758" s="79"/>
      <c r="K758" s="79"/>
      <c r="L758" s="79"/>
      <c r="N758" s="102"/>
      <c r="O758" s="119"/>
    </row>
    <row r="759">
      <c r="A759" s="17"/>
      <c r="C759" s="79"/>
      <c r="D759" s="79"/>
      <c r="E759" s="79"/>
      <c r="F759" s="79"/>
      <c r="G759" s="79"/>
      <c r="H759" s="79"/>
      <c r="I759" s="79"/>
      <c r="J759" s="79"/>
      <c r="K759" s="79"/>
      <c r="L759" s="79"/>
      <c r="N759" s="102"/>
      <c r="O759" s="119"/>
    </row>
    <row r="760">
      <c r="A760" s="17"/>
      <c r="C760" s="79"/>
      <c r="D760" s="79"/>
      <c r="E760" s="79"/>
      <c r="F760" s="79"/>
      <c r="G760" s="79"/>
      <c r="H760" s="79"/>
      <c r="I760" s="79"/>
      <c r="J760" s="79"/>
      <c r="K760" s="79"/>
      <c r="L760" s="79"/>
      <c r="N760" s="102"/>
      <c r="O760" s="119"/>
    </row>
    <row r="761">
      <c r="A761" s="17"/>
      <c r="C761" s="79"/>
      <c r="D761" s="79"/>
      <c r="E761" s="79"/>
      <c r="F761" s="79"/>
      <c r="G761" s="79"/>
      <c r="H761" s="79"/>
      <c r="I761" s="79"/>
      <c r="J761" s="79"/>
      <c r="K761" s="79"/>
      <c r="L761" s="79"/>
      <c r="N761" s="102"/>
      <c r="O761" s="119"/>
    </row>
    <row r="762">
      <c r="A762" s="17"/>
      <c r="C762" s="79"/>
      <c r="D762" s="79"/>
      <c r="E762" s="79"/>
      <c r="F762" s="79"/>
      <c r="G762" s="79"/>
      <c r="H762" s="79"/>
      <c r="I762" s="79"/>
      <c r="J762" s="79"/>
      <c r="K762" s="79"/>
      <c r="L762" s="79"/>
      <c r="N762" s="102"/>
      <c r="O762" s="119"/>
    </row>
    <row r="763">
      <c r="A763" s="17"/>
      <c r="C763" s="79"/>
      <c r="D763" s="79"/>
      <c r="E763" s="79"/>
      <c r="F763" s="79"/>
      <c r="G763" s="79"/>
      <c r="H763" s="79"/>
      <c r="I763" s="79"/>
      <c r="J763" s="79"/>
      <c r="K763" s="79"/>
      <c r="L763" s="79"/>
      <c r="N763" s="102"/>
      <c r="O763" s="119"/>
    </row>
    <row r="764">
      <c r="A764" s="17"/>
      <c r="C764" s="79"/>
      <c r="D764" s="79"/>
      <c r="E764" s="79"/>
      <c r="F764" s="79"/>
      <c r="G764" s="79"/>
      <c r="H764" s="79"/>
      <c r="I764" s="79"/>
      <c r="J764" s="79"/>
      <c r="K764" s="79"/>
      <c r="L764" s="79"/>
      <c r="N764" s="102"/>
      <c r="O764" s="119"/>
    </row>
    <row r="765">
      <c r="A765" s="17"/>
      <c r="C765" s="79"/>
      <c r="D765" s="79"/>
      <c r="E765" s="79"/>
      <c r="F765" s="79"/>
      <c r="G765" s="79"/>
      <c r="H765" s="79"/>
      <c r="I765" s="79"/>
      <c r="J765" s="79"/>
      <c r="K765" s="79"/>
      <c r="L765" s="79"/>
      <c r="N765" s="102"/>
      <c r="O765" s="119"/>
    </row>
    <row r="766">
      <c r="A766" s="17"/>
      <c r="C766" s="79"/>
      <c r="D766" s="79"/>
      <c r="E766" s="79"/>
      <c r="F766" s="79"/>
      <c r="G766" s="79"/>
      <c r="H766" s="79"/>
      <c r="I766" s="79"/>
      <c r="J766" s="79"/>
      <c r="K766" s="79"/>
      <c r="L766" s="79"/>
      <c r="N766" s="102"/>
      <c r="O766" s="119"/>
    </row>
    <row r="767">
      <c r="A767" s="17"/>
      <c r="C767" s="79"/>
      <c r="D767" s="79"/>
      <c r="E767" s="79"/>
      <c r="F767" s="79"/>
      <c r="G767" s="79"/>
      <c r="H767" s="79"/>
      <c r="I767" s="79"/>
      <c r="J767" s="79"/>
      <c r="K767" s="79"/>
      <c r="L767" s="79"/>
      <c r="N767" s="102"/>
      <c r="O767" s="119"/>
    </row>
    <row r="768">
      <c r="A768" s="17"/>
      <c r="C768" s="79"/>
      <c r="D768" s="79"/>
      <c r="E768" s="79"/>
      <c r="F768" s="79"/>
      <c r="G768" s="79"/>
      <c r="H768" s="79"/>
      <c r="I768" s="79"/>
      <c r="J768" s="79"/>
      <c r="K768" s="79"/>
      <c r="L768" s="79"/>
      <c r="N768" s="102"/>
      <c r="O768" s="119"/>
    </row>
    <row r="769">
      <c r="A769" s="17"/>
      <c r="C769" s="79"/>
      <c r="D769" s="79"/>
      <c r="E769" s="79"/>
      <c r="F769" s="79"/>
      <c r="G769" s="79"/>
      <c r="H769" s="79"/>
      <c r="I769" s="79"/>
      <c r="J769" s="79"/>
      <c r="K769" s="79"/>
      <c r="L769" s="79"/>
      <c r="N769" s="102"/>
      <c r="O769" s="119"/>
    </row>
    <row r="770">
      <c r="A770" s="17"/>
      <c r="C770" s="79"/>
      <c r="D770" s="79"/>
      <c r="E770" s="79"/>
      <c r="F770" s="79"/>
      <c r="G770" s="79"/>
      <c r="H770" s="79"/>
      <c r="I770" s="79"/>
      <c r="J770" s="79"/>
      <c r="K770" s="79"/>
      <c r="L770" s="79"/>
      <c r="N770" s="102"/>
      <c r="O770" s="119"/>
    </row>
    <row r="771">
      <c r="A771" s="17"/>
      <c r="C771" s="79"/>
      <c r="D771" s="79"/>
      <c r="E771" s="79"/>
      <c r="F771" s="79"/>
      <c r="G771" s="79"/>
      <c r="H771" s="79"/>
      <c r="I771" s="79"/>
      <c r="J771" s="79"/>
      <c r="K771" s="79"/>
      <c r="L771" s="79"/>
      <c r="N771" s="102"/>
      <c r="O771" s="119"/>
    </row>
    <row r="772">
      <c r="A772" s="17"/>
      <c r="C772" s="79"/>
      <c r="D772" s="79"/>
      <c r="E772" s="79"/>
      <c r="F772" s="79"/>
      <c r="G772" s="79"/>
      <c r="H772" s="79"/>
      <c r="I772" s="79"/>
      <c r="J772" s="79"/>
      <c r="K772" s="79"/>
      <c r="L772" s="79"/>
      <c r="N772" s="102"/>
      <c r="O772" s="119"/>
    </row>
    <row r="773">
      <c r="A773" s="17"/>
      <c r="C773" s="79"/>
      <c r="D773" s="79"/>
      <c r="E773" s="79"/>
      <c r="F773" s="79"/>
      <c r="G773" s="79"/>
      <c r="H773" s="79"/>
      <c r="I773" s="79"/>
      <c r="J773" s="79"/>
      <c r="K773" s="79"/>
      <c r="L773" s="79"/>
      <c r="N773" s="102"/>
      <c r="O773" s="119"/>
    </row>
    <row r="774">
      <c r="A774" s="17"/>
      <c r="C774" s="79"/>
      <c r="D774" s="79"/>
      <c r="E774" s="79"/>
      <c r="F774" s="79"/>
      <c r="G774" s="79"/>
      <c r="H774" s="79"/>
      <c r="I774" s="79"/>
      <c r="J774" s="79"/>
      <c r="K774" s="79"/>
      <c r="L774" s="79"/>
      <c r="N774" s="102"/>
      <c r="O774" s="119"/>
    </row>
    <row r="775">
      <c r="A775" s="17"/>
      <c r="C775" s="79"/>
      <c r="D775" s="79"/>
      <c r="E775" s="79"/>
      <c r="F775" s="79"/>
      <c r="G775" s="79"/>
      <c r="H775" s="79"/>
      <c r="I775" s="79"/>
      <c r="J775" s="79"/>
      <c r="K775" s="79"/>
      <c r="L775" s="79"/>
      <c r="N775" s="102"/>
      <c r="O775" s="119"/>
    </row>
    <row r="776">
      <c r="A776" s="17"/>
      <c r="C776" s="79"/>
      <c r="D776" s="79"/>
      <c r="E776" s="79"/>
      <c r="F776" s="79"/>
      <c r="G776" s="79"/>
      <c r="H776" s="79"/>
      <c r="I776" s="79"/>
      <c r="J776" s="79"/>
      <c r="K776" s="79"/>
      <c r="L776" s="79"/>
      <c r="N776" s="102"/>
      <c r="O776" s="119"/>
    </row>
    <row r="777">
      <c r="A777" s="17"/>
      <c r="C777" s="79"/>
      <c r="D777" s="79"/>
      <c r="E777" s="79"/>
      <c r="F777" s="79"/>
      <c r="G777" s="79"/>
      <c r="H777" s="79"/>
      <c r="I777" s="79"/>
      <c r="J777" s="79"/>
      <c r="K777" s="79"/>
      <c r="L777" s="79"/>
      <c r="N777" s="102"/>
      <c r="O777" s="119"/>
    </row>
    <row r="778">
      <c r="A778" s="17"/>
      <c r="C778" s="79"/>
      <c r="D778" s="79"/>
      <c r="E778" s="79"/>
      <c r="F778" s="79"/>
      <c r="G778" s="79"/>
      <c r="H778" s="79"/>
      <c r="I778" s="79"/>
      <c r="J778" s="79"/>
      <c r="K778" s="79"/>
      <c r="L778" s="79"/>
      <c r="N778" s="102"/>
      <c r="O778" s="119"/>
    </row>
    <row r="779">
      <c r="A779" s="17"/>
      <c r="C779" s="79"/>
      <c r="D779" s="79"/>
      <c r="E779" s="79"/>
      <c r="F779" s="79"/>
      <c r="G779" s="79"/>
      <c r="H779" s="79"/>
      <c r="I779" s="79"/>
      <c r="J779" s="79"/>
      <c r="K779" s="79"/>
      <c r="L779" s="79"/>
      <c r="N779" s="102"/>
      <c r="O779" s="119"/>
    </row>
    <row r="780">
      <c r="A780" s="17"/>
      <c r="C780" s="79"/>
      <c r="D780" s="79"/>
      <c r="E780" s="79"/>
      <c r="F780" s="79"/>
      <c r="G780" s="79"/>
      <c r="H780" s="79"/>
      <c r="I780" s="79"/>
      <c r="J780" s="79"/>
      <c r="K780" s="79"/>
      <c r="L780" s="79"/>
      <c r="N780" s="102"/>
      <c r="O780" s="119"/>
    </row>
    <row r="781">
      <c r="A781" s="17"/>
      <c r="C781" s="79"/>
      <c r="D781" s="79"/>
      <c r="E781" s="79"/>
      <c r="F781" s="79"/>
      <c r="G781" s="79"/>
      <c r="H781" s="79"/>
      <c r="I781" s="79"/>
      <c r="J781" s="79"/>
      <c r="K781" s="79"/>
      <c r="L781" s="79"/>
      <c r="N781" s="102"/>
      <c r="O781" s="119"/>
    </row>
    <row r="782">
      <c r="A782" s="17"/>
      <c r="C782" s="79"/>
      <c r="D782" s="79"/>
      <c r="E782" s="79"/>
      <c r="F782" s="79"/>
      <c r="G782" s="79"/>
      <c r="H782" s="79"/>
      <c r="I782" s="79"/>
      <c r="J782" s="79"/>
      <c r="K782" s="79"/>
      <c r="L782" s="79"/>
      <c r="N782" s="102"/>
      <c r="O782" s="119"/>
    </row>
    <row r="783">
      <c r="A783" s="17"/>
      <c r="C783" s="79"/>
      <c r="D783" s="79"/>
      <c r="E783" s="79"/>
      <c r="F783" s="79"/>
      <c r="G783" s="79"/>
      <c r="H783" s="79"/>
      <c r="I783" s="79"/>
      <c r="J783" s="79"/>
      <c r="K783" s="79"/>
      <c r="L783" s="79"/>
      <c r="N783" s="102"/>
      <c r="O783" s="119"/>
    </row>
    <row r="784">
      <c r="A784" s="17"/>
      <c r="C784" s="79"/>
      <c r="D784" s="79"/>
      <c r="E784" s="79"/>
      <c r="F784" s="79"/>
      <c r="G784" s="79"/>
      <c r="H784" s="79"/>
      <c r="I784" s="79"/>
      <c r="J784" s="79"/>
      <c r="K784" s="79"/>
      <c r="L784" s="79"/>
      <c r="N784" s="102"/>
      <c r="O784" s="119"/>
    </row>
    <row r="785">
      <c r="A785" s="17"/>
      <c r="C785" s="79"/>
      <c r="D785" s="79"/>
      <c r="E785" s="79"/>
      <c r="F785" s="79"/>
      <c r="G785" s="79"/>
      <c r="H785" s="79"/>
      <c r="I785" s="79"/>
      <c r="J785" s="79"/>
      <c r="K785" s="79"/>
      <c r="L785" s="79"/>
      <c r="N785" s="102"/>
      <c r="O785" s="119"/>
    </row>
    <row r="786">
      <c r="A786" s="17"/>
      <c r="C786" s="79"/>
      <c r="D786" s="79"/>
      <c r="E786" s="79"/>
      <c r="F786" s="79"/>
      <c r="G786" s="79"/>
      <c r="H786" s="79"/>
      <c r="I786" s="79"/>
      <c r="J786" s="79"/>
      <c r="K786" s="79"/>
      <c r="L786" s="79"/>
      <c r="N786" s="102"/>
      <c r="O786" s="119"/>
    </row>
    <row r="787">
      <c r="A787" s="17"/>
      <c r="C787" s="79"/>
      <c r="D787" s="79"/>
      <c r="E787" s="79"/>
      <c r="F787" s="79"/>
      <c r="G787" s="79"/>
      <c r="H787" s="79"/>
      <c r="I787" s="79"/>
      <c r="J787" s="79"/>
      <c r="K787" s="79"/>
      <c r="L787" s="79"/>
      <c r="N787" s="102"/>
      <c r="O787" s="119"/>
    </row>
    <row r="788">
      <c r="A788" s="17"/>
      <c r="C788" s="79"/>
      <c r="D788" s="79"/>
      <c r="E788" s="79"/>
      <c r="F788" s="79"/>
      <c r="G788" s="79"/>
      <c r="H788" s="79"/>
      <c r="I788" s="79"/>
      <c r="J788" s="79"/>
      <c r="K788" s="79"/>
      <c r="L788" s="79"/>
      <c r="N788" s="102"/>
      <c r="O788" s="119"/>
    </row>
    <row r="789">
      <c r="A789" s="17"/>
      <c r="C789" s="79"/>
      <c r="D789" s="79"/>
      <c r="E789" s="79"/>
      <c r="F789" s="79"/>
      <c r="G789" s="79"/>
      <c r="H789" s="79"/>
      <c r="I789" s="79"/>
      <c r="J789" s="79"/>
      <c r="K789" s="79"/>
      <c r="L789" s="79"/>
      <c r="N789" s="102"/>
      <c r="O789" s="119"/>
    </row>
    <row r="790">
      <c r="A790" s="17"/>
      <c r="C790" s="79"/>
      <c r="D790" s="79"/>
      <c r="E790" s="79"/>
      <c r="F790" s="79"/>
      <c r="G790" s="79"/>
      <c r="H790" s="79"/>
      <c r="I790" s="79"/>
      <c r="J790" s="79"/>
      <c r="K790" s="79"/>
      <c r="L790" s="79"/>
      <c r="N790" s="102"/>
      <c r="O790" s="119"/>
    </row>
    <row r="791">
      <c r="A791" s="17"/>
      <c r="C791" s="79"/>
      <c r="D791" s="79"/>
      <c r="E791" s="79"/>
      <c r="F791" s="79"/>
      <c r="G791" s="79"/>
      <c r="H791" s="79"/>
      <c r="I791" s="79"/>
      <c r="J791" s="79"/>
      <c r="K791" s="79"/>
      <c r="L791" s="79"/>
      <c r="N791" s="102"/>
      <c r="O791" s="119"/>
    </row>
    <row r="792">
      <c r="A792" s="17"/>
      <c r="C792" s="79"/>
      <c r="D792" s="79"/>
      <c r="E792" s="79"/>
      <c r="F792" s="79"/>
      <c r="G792" s="79"/>
      <c r="H792" s="79"/>
      <c r="I792" s="79"/>
      <c r="J792" s="79"/>
      <c r="K792" s="79"/>
      <c r="L792" s="79"/>
      <c r="N792" s="102"/>
      <c r="O792" s="119"/>
    </row>
    <row r="793">
      <c r="A793" s="17"/>
      <c r="C793" s="79"/>
      <c r="D793" s="79"/>
      <c r="E793" s="79"/>
      <c r="F793" s="79"/>
      <c r="G793" s="79"/>
      <c r="H793" s="79"/>
      <c r="I793" s="79"/>
      <c r="J793" s="79"/>
      <c r="K793" s="79"/>
      <c r="L793" s="79"/>
      <c r="N793" s="102"/>
      <c r="O793" s="119"/>
    </row>
    <row r="794">
      <c r="A794" s="17"/>
      <c r="C794" s="79"/>
      <c r="D794" s="79"/>
      <c r="E794" s="79"/>
      <c r="F794" s="79"/>
      <c r="G794" s="79"/>
      <c r="H794" s="79"/>
      <c r="I794" s="79"/>
      <c r="J794" s="79"/>
      <c r="K794" s="79"/>
      <c r="L794" s="79"/>
      <c r="N794" s="102"/>
      <c r="O794" s="119"/>
    </row>
    <row r="795">
      <c r="A795" s="17"/>
      <c r="C795" s="79"/>
      <c r="D795" s="79"/>
      <c r="E795" s="79"/>
      <c r="F795" s="79"/>
      <c r="G795" s="79"/>
      <c r="H795" s="79"/>
      <c r="I795" s="79"/>
      <c r="J795" s="79"/>
      <c r="K795" s="79"/>
      <c r="L795" s="79"/>
      <c r="N795" s="102"/>
      <c r="O795" s="119"/>
    </row>
    <row r="796">
      <c r="A796" s="17"/>
      <c r="C796" s="79"/>
      <c r="D796" s="79"/>
      <c r="E796" s="79"/>
      <c r="F796" s="79"/>
      <c r="G796" s="79"/>
      <c r="H796" s="79"/>
      <c r="I796" s="79"/>
      <c r="J796" s="79"/>
      <c r="K796" s="79"/>
      <c r="L796" s="79"/>
      <c r="N796" s="102"/>
      <c r="O796" s="119"/>
    </row>
    <row r="797">
      <c r="A797" s="17"/>
      <c r="C797" s="79"/>
      <c r="D797" s="79"/>
      <c r="E797" s="79"/>
      <c r="F797" s="79"/>
      <c r="G797" s="79"/>
      <c r="H797" s="79"/>
      <c r="I797" s="79"/>
      <c r="J797" s="79"/>
      <c r="K797" s="79"/>
      <c r="L797" s="79"/>
      <c r="N797" s="102"/>
      <c r="O797" s="119"/>
    </row>
    <row r="798">
      <c r="A798" s="17"/>
      <c r="C798" s="79"/>
      <c r="D798" s="79"/>
      <c r="E798" s="79"/>
      <c r="F798" s="79"/>
      <c r="G798" s="79"/>
      <c r="H798" s="79"/>
      <c r="I798" s="79"/>
      <c r="J798" s="79"/>
      <c r="K798" s="79"/>
      <c r="L798" s="79"/>
      <c r="N798" s="102"/>
      <c r="O798" s="119"/>
    </row>
    <row r="799">
      <c r="A799" s="17"/>
      <c r="C799" s="79"/>
      <c r="D799" s="79"/>
      <c r="E799" s="79"/>
      <c r="F799" s="79"/>
      <c r="G799" s="79"/>
      <c r="H799" s="79"/>
      <c r="I799" s="79"/>
      <c r="J799" s="79"/>
      <c r="K799" s="79"/>
      <c r="L799" s="79"/>
      <c r="N799" s="102"/>
      <c r="O799" s="119"/>
    </row>
    <row r="800">
      <c r="A800" s="17"/>
      <c r="C800" s="79"/>
      <c r="D800" s="79"/>
      <c r="E800" s="79"/>
      <c r="F800" s="79"/>
      <c r="G800" s="79"/>
      <c r="H800" s="79"/>
      <c r="I800" s="79"/>
      <c r="J800" s="79"/>
      <c r="K800" s="79"/>
      <c r="L800" s="79"/>
      <c r="N800" s="102"/>
      <c r="O800" s="119"/>
    </row>
    <row r="801">
      <c r="A801" s="17"/>
      <c r="C801" s="79"/>
      <c r="D801" s="79"/>
      <c r="E801" s="79"/>
      <c r="F801" s="79"/>
      <c r="G801" s="79"/>
      <c r="H801" s="79"/>
      <c r="I801" s="79"/>
      <c r="J801" s="79"/>
      <c r="K801" s="79"/>
      <c r="L801" s="79"/>
      <c r="N801" s="102"/>
      <c r="O801" s="119"/>
    </row>
    <row r="802">
      <c r="A802" s="17"/>
      <c r="C802" s="79"/>
      <c r="D802" s="79"/>
      <c r="E802" s="79"/>
      <c r="F802" s="79"/>
      <c r="G802" s="79"/>
      <c r="H802" s="79"/>
      <c r="I802" s="79"/>
      <c r="J802" s="79"/>
      <c r="K802" s="79"/>
      <c r="L802" s="79"/>
      <c r="N802" s="102"/>
      <c r="O802" s="119"/>
    </row>
    <row r="803">
      <c r="A803" s="17"/>
      <c r="C803" s="79"/>
      <c r="D803" s="79"/>
      <c r="E803" s="79"/>
      <c r="F803" s="79"/>
      <c r="G803" s="79"/>
      <c r="H803" s="79"/>
      <c r="I803" s="79"/>
      <c r="J803" s="79"/>
      <c r="K803" s="79"/>
      <c r="L803" s="79"/>
      <c r="N803" s="102"/>
      <c r="O803" s="119"/>
    </row>
    <row r="804">
      <c r="A804" s="17"/>
      <c r="C804" s="79"/>
      <c r="D804" s="79"/>
      <c r="E804" s="79"/>
      <c r="F804" s="79"/>
      <c r="G804" s="79"/>
      <c r="H804" s="79"/>
      <c r="I804" s="79"/>
      <c r="J804" s="79"/>
      <c r="K804" s="79"/>
      <c r="L804" s="79"/>
      <c r="N804" s="102"/>
      <c r="O804" s="119"/>
    </row>
    <row r="805">
      <c r="A805" s="17"/>
      <c r="C805" s="79"/>
      <c r="D805" s="79"/>
      <c r="E805" s="79"/>
      <c r="F805" s="79"/>
      <c r="G805" s="79"/>
      <c r="H805" s="79"/>
      <c r="I805" s="79"/>
      <c r="J805" s="79"/>
      <c r="K805" s="79"/>
      <c r="L805" s="79"/>
      <c r="N805" s="102"/>
      <c r="O805" s="119"/>
    </row>
    <row r="806">
      <c r="A806" s="17"/>
      <c r="C806" s="79"/>
      <c r="D806" s="79"/>
      <c r="E806" s="79"/>
      <c r="F806" s="79"/>
      <c r="G806" s="79"/>
      <c r="H806" s="79"/>
      <c r="I806" s="79"/>
      <c r="J806" s="79"/>
      <c r="K806" s="79"/>
      <c r="L806" s="79"/>
      <c r="N806" s="102"/>
      <c r="O806" s="119"/>
    </row>
    <row r="807">
      <c r="A807" s="17"/>
      <c r="C807" s="79"/>
      <c r="D807" s="79"/>
      <c r="E807" s="79"/>
      <c r="F807" s="79"/>
      <c r="G807" s="79"/>
      <c r="H807" s="79"/>
      <c r="I807" s="79"/>
      <c r="J807" s="79"/>
      <c r="K807" s="79"/>
      <c r="L807" s="79"/>
      <c r="N807" s="102"/>
      <c r="O807" s="119"/>
    </row>
    <row r="808">
      <c r="A808" s="17"/>
      <c r="C808" s="79"/>
      <c r="D808" s="79"/>
      <c r="E808" s="79"/>
      <c r="F808" s="79"/>
      <c r="G808" s="79"/>
      <c r="H808" s="79"/>
      <c r="I808" s="79"/>
      <c r="J808" s="79"/>
      <c r="K808" s="79"/>
      <c r="L808" s="79"/>
      <c r="N808" s="102"/>
      <c r="O808" s="119"/>
    </row>
    <row r="809">
      <c r="A809" s="17"/>
      <c r="C809" s="79"/>
      <c r="D809" s="79"/>
      <c r="E809" s="79"/>
      <c r="F809" s="79"/>
      <c r="G809" s="79"/>
      <c r="H809" s="79"/>
      <c r="I809" s="79"/>
      <c r="J809" s="79"/>
      <c r="K809" s="79"/>
      <c r="L809" s="79"/>
      <c r="N809" s="102"/>
      <c r="O809" s="119"/>
    </row>
    <row r="810">
      <c r="A810" s="17"/>
      <c r="C810" s="79"/>
      <c r="D810" s="79"/>
      <c r="E810" s="79"/>
      <c r="F810" s="79"/>
      <c r="G810" s="79"/>
      <c r="H810" s="79"/>
      <c r="I810" s="79"/>
      <c r="J810" s="79"/>
      <c r="K810" s="79"/>
      <c r="L810" s="79"/>
      <c r="N810" s="102"/>
      <c r="O810" s="119"/>
    </row>
    <row r="811">
      <c r="A811" s="17"/>
      <c r="C811" s="79"/>
      <c r="D811" s="79"/>
      <c r="E811" s="79"/>
      <c r="F811" s="79"/>
      <c r="G811" s="79"/>
      <c r="H811" s="79"/>
      <c r="I811" s="79"/>
      <c r="J811" s="79"/>
      <c r="K811" s="79"/>
      <c r="L811" s="79"/>
      <c r="N811" s="102"/>
      <c r="O811" s="119"/>
    </row>
    <row r="812">
      <c r="A812" s="17"/>
      <c r="C812" s="79"/>
      <c r="D812" s="79"/>
      <c r="E812" s="79"/>
      <c r="F812" s="79"/>
      <c r="G812" s="79"/>
      <c r="H812" s="79"/>
      <c r="I812" s="79"/>
      <c r="J812" s="79"/>
      <c r="K812" s="79"/>
      <c r="L812" s="79"/>
      <c r="N812" s="102"/>
      <c r="O812" s="119"/>
    </row>
    <row r="813">
      <c r="A813" s="17"/>
      <c r="C813" s="79"/>
      <c r="D813" s="79"/>
      <c r="E813" s="79"/>
      <c r="F813" s="79"/>
      <c r="G813" s="79"/>
      <c r="H813" s="79"/>
      <c r="I813" s="79"/>
      <c r="J813" s="79"/>
      <c r="K813" s="79"/>
      <c r="L813" s="79"/>
      <c r="N813" s="102"/>
      <c r="O813" s="119"/>
    </row>
    <row r="814">
      <c r="A814" s="17"/>
      <c r="C814" s="79"/>
      <c r="D814" s="79"/>
      <c r="E814" s="79"/>
      <c r="F814" s="79"/>
      <c r="G814" s="79"/>
      <c r="H814" s="79"/>
      <c r="I814" s="79"/>
      <c r="J814" s="79"/>
      <c r="K814" s="79"/>
      <c r="L814" s="79"/>
      <c r="N814" s="102"/>
      <c r="O814" s="119"/>
    </row>
    <row r="815">
      <c r="A815" s="17"/>
      <c r="C815" s="79"/>
      <c r="D815" s="79"/>
      <c r="E815" s="79"/>
      <c r="F815" s="79"/>
      <c r="G815" s="79"/>
      <c r="H815" s="79"/>
      <c r="I815" s="79"/>
      <c r="J815" s="79"/>
      <c r="K815" s="79"/>
      <c r="L815" s="79"/>
      <c r="N815" s="102"/>
      <c r="O815" s="119"/>
    </row>
    <row r="816">
      <c r="A816" s="17"/>
      <c r="C816" s="79"/>
      <c r="D816" s="79"/>
      <c r="E816" s="79"/>
      <c r="F816" s="79"/>
      <c r="G816" s="79"/>
      <c r="H816" s="79"/>
      <c r="I816" s="79"/>
      <c r="J816" s="79"/>
      <c r="K816" s="79"/>
      <c r="L816" s="79"/>
      <c r="N816" s="102"/>
      <c r="O816" s="119"/>
    </row>
    <row r="817">
      <c r="A817" s="17"/>
      <c r="C817" s="79"/>
      <c r="D817" s="79"/>
      <c r="E817" s="79"/>
      <c r="F817" s="79"/>
      <c r="G817" s="79"/>
      <c r="H817" s="79"/>
      <c r="I817" s="79"/>
      <c r="J817" s="79"/>
      <c r="K817" s="79"/>
      <c r="L817" s="79"/>
      <c r="N817" s="102"/>
      <c r="O817" s="119"/>
    </row>
    <row r="818">
      <c r="A818" s="17"/>
      <c r="C818" s="79"/>
      <c r="D818" s="79"/>
      <c r="E818" s="79"/>
      <c r="F818" s="79"/>
      <c r="G818" s="79"/>
      <c r="H818" s="79"/>
      <c r="I818" s="79"/>
      <c r="J818" s="79"/>
      <c r="K818" s="79"/>
      <c r="L818" s="79"/>
      <c r="N818" s="102"/>
      <c r="O818" s="119"/>
    </row>
    <row r="819">
      <c r="A819" s="17"/>
      <c r="C819" s="79"/>
      <c r="D819" s="79"/>
      <c r="E819" s="79"/>
      <c r="F819" s="79"/>
      <c r="G819" s="79"/>
      <c r="H819" s="79"/>
      <c r="I819" s="79"/>
      <c r="J819" s="79"/>
      <c r="K819" s="79"/>
      <c r="L819" s="79"/>
      <c r="N819" s="102"/>
      <c r="O819" s="119"/>
    </row>
    <row r="820">
      <c r="A820" s="17"/>
      <c r="C820" s="79"/>
      <c r="D820" s="79"/>
      <c r="E820" s="79"/>
      <c r="F820" s="79"/>
      <c r="G820" s="79"/>
      <c r="H820" s="79"/>
      <c r="I820" s="79"/>
      <c r="J820" s="79"/>
      <c r="K820" s="79"/>
      <c r="L820" s="79"/>
      <c r="N820" s="102"/>
      <c r="O820" s="119"/>
    </row>
    <row r="821">
      <c r="A821" s="17"/>
      <c r="C821" s="79"/>
      <c r="D821" s="79"/>
      <c r="E821" s="79"/>
      <c r="F821" s="79"/>
      <c r="G821" s="79"/>
      <c r="H821" s="79"/>
      <c r="I821" s="79"/>
      <c r="J821" s="79"/>
      <c r="K821" s="79"/>
      <c r="L821" s="79"/>
      <c r="N821" s="102"/>
      <c r="O821" s="119"/>
    </row>
    <row r="822">
      <c r="A822" s="17"/>
      <c r="C822" s="79"/>
      <c r="D822" s="79"/>
      <c r="E822" s="79"/>
      <c r="F822" s="79"/>
      <c r="G822" s="79"/>
      <c r="H822" s="79"/>
      <c r="I822" s="79"/>
      <c r="J822" s="79"/>
      <c r="K822" s="79"/>
      <c r="L822" s="79"/>
      <c r="N822" s="102"/>
      <c r="O822" s="119"/>
    </row>
    <row r="823">
      <c r="A823" s="17"/>
      <c r="C823" s="79"/>
      <c r="D823" s="79"/>
      <c r="E823" s="79"/>
      <c r="F823" s="79"/>
      <c r="G823" s="79"/>
      <c r="H823" s="79"/>
      <c r="I823" s="79"/>
      <c r="J823" s="79"/>
      <c r="K823" s="79"/>
      <c r="L823" s="79"/>
      <c r="N823" s="102"/>
      <c r="O823" s="119"/>
    </row>
    <row r="824">
      <c r="A824" s="17"/>
      <c r="C824" s="79"/>
      <c r="D824" s="79"/>
      <c r="E824" s="79"/>
      <c r="F824" s="79"/>
      <c r="G824" s="79"/>
      <c r="H824" s="79"/>
      <c r="I824" s="79"/>
      <c r="J824" s="79"/>
      <c r="K824" s="79"/>
      <c r="L824" s="79"/>
      <c r="N824" s="102"/>
      <c r="O824" s="119"/>
    </row>
    <row r="825">
      <c r="A825" s="17"/>
      <c r="C825" s="79"/>
      <c r="D825" s="79"/>
      <c r="E825" s="79"/>
      <c r="F825" s="79"/>
      <c r="G825" s="79"/>
      <c r="H825" s="79"/>
      <c r="I825" s="79"/>
      <c r="J825" s="79"/>
      <c r="K825" s="79"/>
      <c r="L825" s="79"/>
      <c r="N825" s="102"/>
      <c r="O825" s="119"/>
    </row>
    <row r="826">
      <c r="A826" s="17"/>
      <c r="C826" s="79"/>
      <c r="D826" s="79"/>
      <c r="E826" s="79"/>
      <c r="F826" s="79"/>
      <c r="G826" s="79"/>
      <c r="H826" s="79"/>
      <c r="I826" s="79"/>
      <c r="J826" s="79"/>
      <c r="K826" s="79"/>
      <c r="L826" s="79"/>
      <c r="N826" s="102"/>
      <c r="O826" s="119"/>
    </row>
    <row r="827">
      <c r="A827" s="17"/>
      <c r="C827" s="79"/>
      <c r="D827" s="79"/>
      <c r="E827" s="79"/>
      <c r="F827" s="79"/>
      <c r="G827" s="79"/>
      <c r="H827" s="79"/>
      <c r="I827" s="79"/>
      <c r="J827" s="79"/>
      <c r="K827" s="79"/>
      <c r="L827" s="79"/>
      <c r="N827" s="102"/>
      <c r="O827" s="119"/>
    </row>
    <row r="828">
      <c r="A828" s="17"/>
      <c r="C828" s="79"/>
      <c r="D828" s="79"/>
      <c r="E828" s="79"/>
      <c r="F828" s="79"/>
      <c r="G828" s="79"/>
      <c r="H828" s="79"/>
      <c r="I828" s="79"/>
      <c r="J828" s="79"/>
      <c r="K828" s="79"/>
      <c r="L828" s="79"/>
      <c r="N828" s="102"/>
      <c r="O828" s="119"/>
    </row>
    <row r="829">
      <c r="A829" s="17"/>
      <c r="C829" s="79"/>
      <c r="D829" s="79"/>
      <c r="E829" s="79"/>
      <c r="F829" s="79"/>
      <c r="G829" s="79"/>
      <c r="H829" s="79"/>
      <c r="I829" s="79"/>
      <c r="J829" s="79"/>
      <c r="K829" s="79"/>
      <c r="L829" s="79"/>
      <c r="N829" s="102"/>
      <c r="O829" s="119"/>
    </row>
    <row r="830">
      <c r="A830" s="17"/>
      <c r="C830" s="79"/>
      <c r="D830" s="79"/>
      <c r="E830" s="79"/>
      <c r="F830" s="79"/>
      <c r="G830" s="79"/>
      <c r="H830" s="79"/>
      <c r="I830" s="79"/>
      <c r="J830" s="79"/>
      <c r="K830" s="79"/>
      <c r="L830" s="79"/>
      <c r="N830" s="102"/>
      <c r="O830" s="119"/>
    </row>
    <row r="831">
      <c r="A831" s="17"/>
      <c r="C831" s="79"/>
      <c r="D831" s="79"/>
      <c r="E831" s="79"/>
      <c r="F831" s="79"/>
      <c r="G831" s="79"/>
      <c r="H831" s="79"/>
      <c r="I831" s="79"/>
      <c r="J831" s="79"/>
      <c r="K831" s="79"/>
      <c r="L831" s="79"/>
      <c r="N831" s="102"/>
      <c r="O831" s="119"/>
    </row>
    <row r="832">
      <c r="A832" s="17"/>
      <c r="C832" s="79"/>
      <c r="D832" s="79"/>
      <c r="E832" s="79"/>
      <c r="F832" s="79"/>
      <c r="G832" s="79"/>
      <c r="H832" s="79"/>
      <c r="I832" s="79"/>
      <c r="J832" s="79"/>
      <c r="K832" s="79"/>
      <c r="L832" s="79"/>
      <c r="N832" s="102"/>
      <c r="O832" s="119"/>
    </row>
    <row r="833">
      <c r="A833" s="17"/>
      <c r="C833" s="79"/>
      <c r="D833" s="79"/>
      <c r="E833" s="79"/>
      <c r="F833" s="79"/>
      <c r="G833" s="79"/>
      <c r="H833" s="79"/>
      <c r="I833" s="79"/>
      <c r="J833" s="79"/>
      <c r="K833" s="79"/>
      <c r="L833" s="79"/>
      <c r="N833" s="102"/>
      <c r="O833" s="119"/>
    </row>
    <row r="834">
      <c r="A834" s="17"/>
      <c r="C834" s="79"/>
      <c r="D834" s="79"/>
      <c r="E834" s="79"/>
      <c r="F834" s="79"/>
      <c r="G834" s="79"/>
      <c r="H834" s="79"/>
      <c r="I834" s="79"/>
      <c r="J834" s="79"/>
      <c r="K834" s="79"/>
      <c r="L834" s="79"/>
      <c r="N834" s="102"/>
      <c r="O834" s="119"/>
    </row>
    <row r="835">
      <c r="A835" s="17"/>
      <c r="C835" s="79"/>
      <c r="D835" s="79"/>
      <c r="E835" s="79"/>
      <c r="F835" s="79"/>
      <c r="G835" s="79"/>
      <c r="H835" s="79"/>
      <c r="I835" s="79"/>
      <c r="J835" s="79"/>
      <c r="K835" s="79"/>
      <c r="L835" s="79"/>
      <c r="N835" s="102"/>
      <c r="O835" s="119"/>
    </row>
    <row r="836">
      <c r="A836" s="17"/>
      <c r="C836" s="79"/>
      <c r="D836" s="79"/>
      <c r="E836" s="79"/>
      <c r="F836" s="79"/>
      <c r="G836" s="79"/>
      <c r="H836" s="79"/>
      <c r="I836" s="79"/>
      <c r="J836" s="79"/>
      <c r="K836" s="79"/>
      <c r="L836" s="79"/>
      <c r="N836" s="102"/>
      <c r="O836" s="119"/>
    </row>
    <row r="837">
      <c r="A837" s="17"/>
      <c r="C837" s="79"/>
      <c r="D837" s="79"/>
      <c r="E837" s="79"/>
      <c r="F837" s="79"/>
      <c r="G837" s="79"/>
      <c r="H837" s="79"/>
      <c r="I837" s="79"/>
      <c r="J837" s="79"/>
      <c r="K837" s="79"/>
      <c r="L837" s="79"/>
      <c r="N837" s="102"/>
      <c r="O837" s="119"/>
    </row>
    <row r="838">
      <c r="A838" s="17"/>
      <c r="C838" s="79"/>
      <c r="D838" s="79"/>
      <c r="E838" s="79"/>
      <c r="F838" s="79"/>
      <c r="G838" s="79"/>
      <c r="H838" s="79"/>
      <c r="I838" s="79"/>
      <c r="J838" s="79"/>
      <c r="K838" s="79"/>
      <c r="L838" s="79"/>
      <c r="N838" s="102"/>
      <c r="O838" s="119"/>
    </row>
    <row r="839">
      <c r="A839" s="17"/>
      <c r="C839" s="79"/>
      <c r="D839" s="79"/>
      <c r="E839" s="79"/>
      <c r="F839" s="79"/>
      <c r="G839" s="79"/>
      <c r="H839" s="79"/>
      <c r="I839" s="79"/>
      <c r="J839" s="79"/>
      <c r="K839" s="79"/>
      <c r="L839" s="79"/>
      <c r="N839" s="102"/>
      <c r="O839" s="119"/>
    </row>
    <row r="840">
      <c r="A840" s="17"/>
      <c r="C840" s="79"/>
      <c r="D840" s="79"/>
      <c r="E840" s="79"/>
      <c r="F840" s="79"/>
      <c r="G840" s="79"/>
      <c r="H840" s="79"/>
      <c r="I840" s="79"/>
      <c r="J840" s="79"/>
      <c r="K840" s="79"/>
      <c r="L840" s="79"/>
      <c r="N840" s="102"/>
      <c r="O840" s="119"/>
    </row>
    <row r="841">
      <c r="A841" s="17"/>
      <c r="C841" s="79"/>
      <c r="D841" s="79"/>
      <c r="E841" s="79"/>
      <c r="F841" s="79"/>
      <c r="G841" s="79"/>
      <c r="H841" s="79"/>
      <c r="I841" s="79"/>
      <c r="J841" s="79"/>
      <c r="K841" s="79"/>
      <c r="L841" s="79"/>
      <c r="N841" s="102"/>
      <c r="O841" s="119"/>
    </row>
    <row r="842">
      <c r="A842" s="17"/>
      <c r="C842" s="79"/>
      <c r="D842" s="79"/>
      <c r="E842" s="79"/>
      <c r="F842" s="79"/>
      <c r="G842" s="79"/>
      <c r="H842" s="79"/>
      <c r="I842" s="79"/>
      <c r="J842" s="79"/>
      <c r="K842" s="79"/>
      <c r="L842" s="79"/>
      <c r="N842" s="102"/>
      <c r="O842" s="119"/>
    </row>
    <row r="843">
      <c r="A843" s="17"/>
      <c r="C843" s="79"/>
      <c r="D843" s="79"/>
      <c r="E843" s="79"/>
      <c r="F843" s="79"/>
      <c r="G843" s="79"/>
      <c r="H843" s="79"/>
      <c r="I843" s="79"/>
      <c r="J843" s="79"/>
      <c r="K843" s="79"/>
      <c r="L843" s="79"/>
      <c r="N843" s="102"/>
      <c r="O843" s="119"/>
    </row>
    <row r="844">
      <c r="A844" s="17"/>
      <c r="C844" s="79"/>
      <c r="D844" s="79"/>
      <c r="E844" s="79"/>
      <c r="F844" s="79"/>
      <c r="G844" s="79"/>
      <c r="H844" s="79"/>
      <c r="I844" s="79"/>
      <c r="J844" s="79"/>
      <c r="K844" s="79"/>
      <c r="L844" s="79"/>
      <c r="N844" s="102"/>
      <c r="O844" s="119"/>
    </row>
    <row r="845">
      <c r="A845" s="17"/>
      <c r="C845" s="79"/>
      <c r="D845" s="79"/>
      <c r="E845" s="79"/>
      <c r="F845" s="79"/>
      <c r="G845" s="79"/>
      <c r="H845" s="79"/>
      <c r="I845" s="79"/>
      <c r="J845" s="79"/>
      <c r="K845" s="79"/>
      <c r="L845" s="79"/>
      <c r="N845" s="102"/>
      <c r="O845" s="119"/>
    </row>
    <row r="846">
      <c r="A846" s="17"/>
      <c r="C846" s="79"/>
      <c r="D846" s="79"/>
      <c r="E846" s="79"/>
      <c r="F846" s="79"/>
      <c r="G846" s="79"/>
      <c r="H846" s="79"/>
      <c r="I846" s="79"/>
      <c r="J846" s="79"/>
      <c r="K846" s="79"/>
      <c r="L846" s="79"/>
      <c r="N846" s="102"/>
      <c r="O846" s="119"/>
    </row>
    <row r="847">
      <c r="A847" s="17"/>
      <c r="C847" s="79"/>
      <c r="D847" s="79"/>
      <c r="E847" s="79"/>
      <c r="F847" s="79"/>
      <c r="G847" s="79"/>
      <c r="H847" s="79"/>
      <c r="I847" s="79"/>
      <c r="J847" s="79"/>
      <c r="K847" s="79"/>
      <c r="L847" s="79"/>
      <c r="N847" s="102"/>
      <c r="O847" s="119"/>
    </row>
    <row r="848">
      <c r="A848" s="17"/>
      <c r="C848" s="79"/>
      <c r="D848" s="79"/>
      <c r="E848" s="79"/>
      <c r="F848" s="79"/>
      <c r="G848" s="79"/>
      <c r="H848" s="79"/>
      <c r="I848" s="79"/>
      <c r="J848" s="79"/>
      <c r="K848" s="79"/>
      <c r="L848" s="79"/>
      <c r="N848" s="102"/>
      <c r="O848" s="119"/>
    </row>
    <row r="849">
      <c r="A849" s="17"/>
      <c r="C849" s="79"/>
      <c r="D849" s="79"/>
      <c r="E849" s="79"/>
      <c r="F849" s="79"/>
      <c r="G849" s="79"/>
      <c r="H849" s="79"/>
      <c r="I849" s="79"/>
      <c r="J849" s="79"/>
      <c r="K849" s="79"/>
      <c r="L849" s="79"/>
      <c r="N849" s="102"/>
      <c r="O849" s="119"/>
    </row>
    <row r="850">
      <c r="A850" s="17"/>
      <c r="C850" s="79"/>
      <c r="D850" s="79"/>
      <c r="E850" s="79"/>
      <c r="F850" s="79"/>
      <c r="G850" s="79"/>
      <c r="H850" s="79"/>
      <c r="I850" s="79"/>
      <c r="J850" s="79"/>
      <c r="K850" s="79"/>
      <c r="L850" s="79"/>
      <c r="N850" s="102"/>
      <c r="O850" s="119"/>
    </row>
    <row r="851">
      <c r="A851" s="17"/>
      <c r="C851" s="79"/>
      <c r="D851" s="79"/>
      <c r="E851" s="79"/>
      <c r="F851" s="79"/>
      <c r="G851" s="79"/>
      <c r="H851" s="79"/>
      <c r="I851" s="79"/>
      <c r="J851" s="79"/>
      <c r="K851" s="79"/>
      <c r="L851" s="79"/>
      <c r="N851" s="102"/>
      <c r="O851" s="119"/>
    </row>
    <row r="852">
      <c r="A852" s="17"/>
      <c r="C852" s="79"/>
      <c r="D852" s="79"/>
      <c r="E852" s="79"/>
      <c r="F852" s="79"/>
      <c r="G852" s="79"/>
      <c r="H852" s="79"/>
      <c r="I852" s="79"/>
      <c r="J852" s="79"/>
      <c r="K852" s="79"/>
      <c r="L852" s="79"/>
      <c r="N852" s="102"/>
      <c r="O852" s="119"/>
    </row>
    <row r="853">
      <c r="A853" s="17"/>
      <c r="C853" s="79"/>
      <c r="D853" s="79"/>
      <c r="E853" s="79"/>
      <c r="F853" s="79"/>
      <c r="G853" s="79"/>
      <c r="H853" s="79"/>
      <c r="I853" s="79"/>
      <c r="J853" s="79"/>
      <c r="K853" s="79"/>
      <c r="L853" s="79"/>
      <c r="N853" s="102"/>
      <c r="O853" s="119"/>
    </row>
    <row r="854">
      <c r="A854" s="17"/>
      <c r="C854" s="79"/>
      <c r="D854" s="79"/>
      <c r="E854" s="79"/>
      <c r="F854" s="79"/>
      <c r="G854" s="79"/>
      <c r="H854" s="79"/>
      <c r="I854" s="79"/>
      <c r="J854" s="79"/>
      <c r="K854" s="79"/>
      <c r="L854" s="79"/>
      <c r="N854" s="102"/>
      <c r="O854" s="119"/>
    </row>
    <row r="855">
      <c r="A855" s="17"/>
      <c r="C855" s="79"/>
      <c r="D855" s="79"/>
      <c r="E855" s="79"/>
      <c r="F855" s="79"/>
      <c r="G855" s="79"/>
      <c r="H855" s="79"/>
      <c r="I855" s="79"/>
      <c r="J855" s="79"/>
      <c r="K855" s="79"/>
      <c r="L855" s="79"/>
      <c r="N855" s="102"/>
      <c r="O855" s="119"/>
    </row>
    <row r="856">
      <c r="A856" s="17"/>
      <c r="C856" s="79"/>
      <c r="D856" s="79"/>
      <c r="E856" s="79"/>
      <c r="F856" s="79"/>
      <c r="G856" s="79"/>
      <c r="H856" s="79"/>
      <c r="I856" s="79"/>
      <c r="J856" s="79"/>
      <c r="K856" s="79"/>
      <c r="L856" s="79"/>
      <c r="N856" s="102"/>
      <c r="O856" s="119"/>
    </row>
    <row r="857">
      <c r="A857" s="17"/>
      <c r="C857" s="79"/>
      <c r="D857" s="79"/>
      <c r="E857" s="79"/>
      <c r="F857" s="79"/>
      <c r="G857" s="79"/>
      <c r="H857" s="79"/>
      <c r="I857" s="79"/>
      <c r="J857" s="79"/>
      <c r="K857" s="79"/>
      <c r="L857" s="79"/>
      <c r="N857" s="102"/>
      <c r="O857" s="119"/>
    </row>
    <row r="858">
      <c r="A858" s="17"/>
      <c r="C858" s="79"/>
      <c r="D858" s="79"/>
      <c r="E858" s="79"/>
      <c r="F858" s="79"/>
      <c r="G858" s="79"/>
      <c r="H858" s="79"/>
      <c r="I858" s="79"/>
      <c r="J858" s="79"/>
      <c r="K858" s="79"/>
      <c r="L858" s="79"/>
      <c r="N858" s="102"/>
      <c r="O858" s="119"/>
    </row>
    <row r="859">
      <c r="A859" s="17"/>
      <c r="C859" s="79"/>
      <c r="D859" s="79"/>
      <c r="E859" s="79"/>
      <c r="F859" s="79"/>
      <c r="G859" s="79"/>
      <c r="H859" s="79"/>
      <c r="I859" s="79"/>
      <c r="J859" s="79"/>
      <c r="K859" s="79"/>
      <c r="L859" s="79"/>
      <c r="N859" s="102"/>
      <c r="O859" s="119"/>
    </row>
    <row r="860">
      <c r="A860" s="17"/>
      <c r="C860" s="79"/>
      <c r="D860" s="79"/>
      <c r="E860" s="79"/>
      <c r="F860" s="79"/>
      <c r="G860" s="79"/>
      <c r="H860" s="79"/>
      <c r="I860" s="79"/>
      <c r="J860" s="79"/>
      <c r="K860" s="79"/>
      <c r="L860" s="79"/>
      <c r="N860" s="102"/>
      <c r="O860" s="119"/>
    </row>
    <row r="861">
      <c r="A861" s="17"/>
      <c r="C861" s="79"/>
      <c r="D861" s="79"/>
      <c r="E861" s="79"/>
      <c r="F861" s="79"/>
      <c r="G861" s="79"/>
      <c r="H861" s="79"/>
      <c r="I861" s="79"/>
      <c r="J861" s="79"/>
      <c r="K861" s="79"/>
      <c r="L861" s="79"/>
      <c r="N861" s="102"/>
      <c r="O861" s="119"/>
    </row>
    <row r="862">
      <c r="A862" s="17"/>
      <c r="C862" s="79"/>
      <c r="D862" s="79"/>
      <c r="E862" s="79"/>
      <c r="F862" s="79"/>
      <c r="G862" s="79"/>
      <c r="H862" s="79"/>
      <c r="I862" s="79"/>
      <c r="J862" s="79"/>
      <c r="K862" s="79"/>
      <c r="L862" s="79"/>
      <c r="N862" s="102"/>
      <c r="O862" s="119"/>
    </row>
    <row r="863">
      <c r="A863" s="17"/>
      <c r="C863" s="79"/>
      <c r="D863" s="79"/>
      <c r="E863" s="79"/>
      <c r="F863" s="79"/>
      <c r="G863" s="79"/>
      <c r="H863" s="79"/>
      <c r="I863" s="79"/>
      <c r="J863" s="79"/>
      <c r="K863" s="79"/>
      <c r="L863" s="79"/>
      <c r="N863" s="102"/>
      <c r="O863" s="119"/>
    </row>
    <row r="864">
      <c r="A864" s="17"/>
      <c r="C864" s="79"/>
      <c r="D864" s="79"/>
      <c r="E864" s="79"/>
      <c r="F864" s="79"/>
      <c r="G864" s="79"/>
      <c r="H864" s="79"/>
      <c r="I864" s="79"/>
      <c r="J864" s="79"/>
      <c r="K864" s="79"/>
      <c r="L864" s="79"/>
      <c r="N864" s="102"/>
      <c r="O864" s="119"/>
    </row>
    <row r="865">
      <c r="A865" s="17"/>
      <c r="C865" s="79"/>
      <c r="D865" s="79"/>
      <c r="E865" s="79"/>
      <c r="F865" s="79"/>
      <c r="G865" s="79"/>
      <c r="H865" s="79"/>
      <c r="I865" s="79"/>
      <c r="J865" s="79"/>
      <c r="K865" s="79"/>
      <c r="L865" s="79"/>
      <c r="N865" s="102"/>
      <c r="O865" s="119"/>
    </row>
    <row r="866">
      <c r="A866" s="17"/>
      <c r="C866" s="79"/>
      <c r="D866" s="79"/>
      <c r="E866" s="79"/>
      <c r="F866" s="79"/>
      <c r="G866" s="79"/>
      <c r="H866" s="79"/>
      <c r="I866" s="79"/>
      <c r="J866" s="79"/>
      <c r="K866" s="79"/>
      <c r="L866" s="79"/>
      <c r="N866" s="102"/>
      <c r="O866" s="119"/>
    </row>
    <row r="867">
      <c r="A867" s="17"/>
      <c r="C867" s="79"/>
      <c r="D867" s="79"/>
      <c r="E867" s="79"/>
      <c r="F867" s="79"/>
      <c r="G867" s="79"/>
      <c r="H867" s="79"/>
      <c r="I867" s="79"/>
      <c r="J867" s="79"/>
      <c r="K867" s="79"/>
      <c r="L867" s="79"/>
      <c r="N867" s="102"/>
      <c r="O867" s="119"/>
    </row>
    <row r="868">
      <c r="A868" s="17"/>
      <c r="C868" s="79"/>
      <c r="D868" s="79"/>
      <c r="E868" s="79"/>
      <c r="F868" s="79"/>
      <c r="G868" s="79"/>
      <c r="H868" s="79"/>
      <c r="I868" s="79"/>
      <c r="J868" s="79"/>
      <c r="K868" s="79"/>
      <c r="L868" s="79"/>
      <c r="N868" s="102"/>
      <c r="O868" s="119"/>
    </row>
    <row r="869">
      <c r="A869" s="17"/>
      <c r="C869" s="79"/>
      <c r="D869" s="79"/>
      <c r="E869" s="79"/>
      <c r="F869" s="79"/>
      <c r="G869" s="79"/>
      <c r="H869" s="79"/>
      <c r="I869" s="79"/>
      <c r="J869" s="79"/>
      <c r="K869" s="79"/>
      <c r="L869" s="79"/>
      <c r="N869" s="102"/>
      <c r="O869" s="119"/>
    </row>
    <row r="870">
      <c r="A870" s="17"/>
      <c r="C870" s="79"/>
      <c r="D870" s="79"/>
      <c r="E870" s="79"/>
      <c r="F870" s="79"/>
      <c r="G870" s="79"/>
      <c r="H870" s="79"/>
      <c r="I870" s="79"/>
      <c r="J870" s="79"/>
      <c r="K870" s="79"/>
      <c r="L870" s="79"/>
      <c r="N870" s="102"/>
      <c r="O870" s="119"/>
    </row>
    <row r="871">
      <c r="A871" s="17"/>
      <c r="C871" s="79"/>
      <c r="D871" s="79"/>
      <c r="E871" s="79"/>
      <c r="F871" s="79"/>
      <c r="G871" s="79"/>
      <c r="H871" s="79"/>
      <c r="I871" s="79"/>
      <c r="J871" s="79"/>
      <c r="K871" s="79"/>
      <c r="L871" s="79"/>
      <c r="N871" s="102"/>
      <c r="O871" s="119"/>
    </row>
    <row r="872">
      <c r="A872" s="17"/>
      <c r="C872" s="79"/>
      <c r="D872" s="79"/>
      <c r="E872" s="79"/>
      <c r="F872" s="79"/>
      <c r="G872" s="79"/>
      <c r="H872" s="79"/>
      <c r="I872" s="79"/>
      <c r="J872" s="79"/>
      <c r="K872" s="79"/>
      <c r="L872" s="79"/>
      <c r="N872" s="102"/>
      <c r="O872" s="119"/>
    </row>
    <row r="873">
      <c r="A873" s="17"/>
      <c r="C873" s="79"/>
      <c r="D873" s="79"/>
      <c r="E873" s="79"/>
      <c r="F873" s="79"/>
      <c r="G873" s="79"/>
      <c r="H873" s="79"/>
      <c r="I873" s="79"/>
      <c r="J873" s="79"/>
      <c r="K873" s="79"/>
      <c r="L873" s="79"/>
      <c r="N873" s="102"/>
      <c r="O873" s="119"/>
    </row>
    <row r="874">
      <c r="A874" s="17"/>
      <c r="C874" s="79"/>
      <c r="D874" s="79"/>
      <c r="E874" s="79"/>
      <c r="F874" s="79"/>
      <c r="G874" s="79"/>
      <c r="H874" s="79"/>
      <c r="I874" s="79"/>
      <c r="J874" s="79"/>
      <c r="K874" s="79"/>
      <c r="L874" s="79"/>
      <c r="N874" s="102"/>
      <c r="O874" s="119"/>
    </row>
    <row r="875">
      <c r="A875" s="17"/>
      <c r="C875" s="79"/>
      <c r="D875" s="79"/>
      <c r="E875" s="79"/>
      <c r="F875" s="79"/>
      <c r="G875" s="79"/>
      <c r="H875" s="79"/>
      <c r="I875" s="79"/>
      <c r="J875" s="79"/>
      <c r="K875" s="79"/>
      <c r="L875" s="79"/>
      <c r="N875" s="102"/>
      <c r="O875" s="119"/>
    </row>
    <row r="876">
      <c r="A876" s="17"/>
      <c r="C876" s="79"/>
      <c r="D876" s="79"/>
      <c r="E876" s="79"/>
      <c r="F876" s="79"/>
      <c r="G876" s="79"/>
      <c r="H876" s="79"/>
      <c r="I876" s="79"/>
      <c r="J876" s="79"/>
      <c r="K876" s="79"/>
      <c r="L876" s="79"/>
      <c r="N876" s="102"/>
      <c r="O876" s="119"/>
    </row>
    <row r="877">
      <c r="A877" s="17"/>
      <c r="C877" s="79"/>
      <c r="D877" s="79"/>
      <c r="E877" s="79"/>
      <c r="F877" s="79"/>
      <c r="G877" s="79"/>
      <c r="H877" s="79"/>
      <c r="I877" s="79"/>
      <c r="J877" s="79"/>
      <c r="K877" s="79"/>
      <c r="L877" s="79"/>
      <c r="N877" s="102"/>
      <c r="O877" s="119"/>
    </row>
    <row r="878">
      <c r="A878" s="17"/>
      <c r="C878" s="79"/>
      <c r="D878" s="79"/>
      <c r="E878" s="79"/>
      <c r="F878" s="79"/>
      <c r="G878" s="79"/>
      <c r="H878" s="79"/>
      <c r="I878" s="79"/>
      <c r="J878" s="79"/>
      <c r="K878" s="79"/>
      <c r="L878" s="79"/>
      <c r="N878" s="102"/>
      <c r="O878" s="119"/>
    </row>
    <row r="879">
      <c r="A879" s="17"/>
      <c r="C879" s="79"/>
      <c r="D879" s="79"/>
      <c r="E879" s="79"/>
      <c r="F879" s="79"/>
      <c r="G879" s="79"/>
      <c r="H879" s="79"/>
      <c r="I879" s="79"/>
      <c r="J879" s="79"/>
      <c r="K879" s="79"/>
      <c r="L879" s="79"/>
      <c r="N879" s="102"/>
      <c r="O879" s="119"/>
    </row>
    <row r="880">
      <c r="A880" s="17"/>
      <c r="C880" s="79"/>
      <c r="D880" s="79"/>
      <c r="E880" s="79"/>
      <c r="F880" s="79"/>
      <c r="G880" s="79"/>
      <c r="H880" s="79"/>
      <c r="I880" s="79"/>
      <c r="J880" s="79"/>
      <c r="K880" s="79"/>
      <c r="L880" s="79"/>
      <c r="N880" s="102"/>
      <c r="O880" s="119"/>
    </row>
    <row r="881">
      <c r="A881" s="17"/>
      <c r="C881" s="79"/>
      <c r="D881" s="79"/>
      <c r="E881" s="79"/>
      <c r="F881" s="79"/>
      <c r="G881" s="79"/>
      <c r="H881" s="79"/>
      <c r="I881" s="79"/>
      <c r="J881" s="79"/>
      <c r="K881" s="79"/>
      <c r="L881" s="79"/>
      <c r="N881" s="102"/>
      <c r="O881" s="119"/>
    </row>
    <row r="882">
      <c r="A882" s="17"/>
      <c r="C882" s="79"/>
      <c r="D882" s="79"/>
      <c r="E882" s="79"/>
      <c r="F882" s="79"/>
      <c r="G882" s="79"/>
      <c r="H882" s="79"/>
      <c r="I882" s="79"/>
      <c r="J882" s="79"/>
      <c r="K882" s="79"/>
      <c r="L882" s="79"/>
      <c r="N882" s="102"/>
      <c r="O882" s="119"/>
    </row>
    <row r="883">
      <c r="A883" s="17"/>
      <c r="C883" s="79"/>
      <c r="D883" s="79"/>
      <c r="E883" s="79"/>
      <c r="F883" s="79"/>
      <c r="G883" s="79"/>
      <c r="H883" s="79"/>
      <c r="I883" s="79"/>
      <c r="J883" s="79"/>
      <c r="K883" s="79"/>
      <c r="L883" s="79"/>
      <c r="N883" s="102"/>
      <c r="O883" s="119"/>
    </row>
    <row r="884">
      <c r="A884" s="17"/>
      <c r="C884" s="79"/>
      <c r="D884" s="79"/>
      <c r="E884" s="79"/>
      <c r="F884" s="79"/>
      <c r="G884" s="79"/>
      <c r="H884" s="79"/>
      <c r="I884" s="79"/>
      <c r="J884" s="79"/>
      <c r="K884" s="79"/>
      <c r="L884" s="79"/>
      <c r="N884" s="102"/>
      <c r="O884" s="119"/>
    </row>
    <row r="885">
      <c r="A885" s="17"/>
      <c r="C885" s="79"/>
      <c r="D885" s="79"/>
      <c r="E885" s="79"/>
      <c r="F885" s="79"/>
      <c r="G885" s="79"/>
      <c r="H885" s="79"/>
      <c r="I885" s="79"/>
      <c r="J885" s="79"/>
      <c r="K885" s="79"/>
      <c r="L885" s="79"/>
      <c r="N885" s="102"/>
      <c r="O885" s="119"/>
    </row>
    <row r="886">
      <c r="A886" s="17"/>
      <c r="C886" s="79"/>
      <c r="D886" s="79"/>
      <c r="E886" s="79"/>
      <c r="F886" s="79"/>
      <c r="G886" s="79"/>
      <c r="H886" s="79"/>
      <c r="I886" s="79"/>
      <c r="J886" s="79"/>
      <c r="K886" s="79"/>
      <c r="L886" s="79"/>
      <c r="N886" s="102"/>
      <c r="O886" s="119"/>
    </row>
    <row r="887">
      <c r="A887" s="17"/>
      <c r="C887" s="79"/>
      <c r="D887" s="79"/>
      <c r="E887" s="79"/>
      <c r="F887" s="79"/>
      <c r="G887" s="79"/>
      <c r="H887" s="79"/>
      <c r="I887" s="79"/>
      <c r="J887" s="79"/>
      <c r="K887" s="79"/>
      <c r="L887" s="79"/>
      <c r="N887" s="102"/>
      <c r="O887" s="119"/>
    </row>
    <row r="888">
      <c r="A888" s="17"/>
      <c r="C888" s="79"/>
      <c r="D888" s="79"/>
      <c r="E888" s="79"/>
      <c r="F888" s="79"/>
      <c r="G888" s="79"/>
      <c r="H888" s="79"/>
      <c r="I888" s="79"/>
      <c r="J888" s="79"/>
      <c r="K888" s="79"/>
      <c r="L888" s="79"/>
      <c r="N888" s="102"/>
      <c r="O888" s="119"/>
    </row>
    <row r="889">
      <c r="A889" s="17"/>
      <c r="C889" s="79"/>
      <c r="D889" s="79"/>
      <c r="E889" s="79"/>
      <c r="F889" s="79"/>
      <c r="G889" s="79"/>
      <c r="H889" s="79"/>
      <c r="I889" s="79"/>
      <c r="J889" s="79"/>
      <c r="K889" s="79"/>
      <c r="L889" s="79"/>
      <c r="N889" s="102"/>
      <c r="O889" s="119"/>
    </row>
    <row r="890">
      <c r="A890" s="17"/>
      <c r="C890" s="79"/>
      <c r="D890" s="79"/>
      <c r="E890" s="79"/>
      <c r="F890" s="79"/>
      <c r="G890" s="79"/>
      <c r="H890" s="79"/>
      <c r="I890" s="79"/>
      <c r="J890" s="79"/>
      <c r="K890" s="79"/>
      <c r="L890" s="79"/>
      <c r="N890" s="102"/>
      <c r="O890" s="119"/>
    </row>
    <row r="891">
      <c r="A891" s="17"/>
      <c r="C891" s="79"/>
      <c r="D891" s="79"/>
      <c r="E891" s="79"/>
      <c r="F891" s="79"/>
      <c r="G891" s="79"/>
      <c r="H891" s="79"/>
      <c r="I891" s="79"/>
      <c r="J891" s="79"/>
      <c r="K891" s="79"/>
      <c r="L891" s="79"/>
      <c r="N891" s="102"/>
      <c r="O891" s="119"/>
    </row>
    <row r="892">
      <c r="A892" s="17"/>
      <c r="C892" s="79"/>
      <c r="D892" s="79"/>
      <c r="E892" s="79"/>
      <c r="F892" s="79"/>
      <c r="G892" s="79"/>
      <c r="H892" s="79"/>
      <c r="I892" s="79"/>
      <c r="J892" s="79"/>
      <c r="K892" s="79"/>
      <c r="L892" s="79"/>
      <c r="N892" s="102"/>
      <c r="O892" s="119"/>
    </row>
    <row r="893">
      <c r="A893" s="17"/>
      <c r="C893" s="79"/>
      <c r="D893" s="79"/>
      <c r="E893" s="79"/>
      <c r="F893" s="79"/>
      <c r="G893" s="79"/>
      <c r="H893" s="79"/>
      <c r="I893" s="79"/>
      <c r="J893" s="79"/>
      <c r="K893" s="79"/>
      <c r="L893" s="79"/>
      <c r="N893" s="102"/>
      <c r="O893" s="119"/>
    </row>
    <row r="894">
      <c r="A894" s="17"/>
      <c r="C894" s="79"/>
      <c r="D894" s="79"/>
      <c r="E894" s="79"/>
      <c r="F894" s="79"/>
      <c r="G894" s="79"/>
      <c r="H894" s="79"/>
      <c r="I894" s="79"/>
      <c r="J894" s="79"/>
      <c r="K894" s="79"/>
      <c r="L894" s="79"/>
      <c r="N894" s="102"/>
      <c r="O894" s="119"/>
    </row>
    <row r="895">
      <c r="A895" s="17"/>
      <c r="C895" s="79"/>
      <c r="D895" s="79"/>
      <c r="E895" s="79"/>
      <c r="F895" s="79"/>
      <c r="G895" s="79"/>
      <c r="H895" s="79"/>
      <c r="I895" s="79"/>
      <c r="J895" s="79"/>
      <c r="K895" s="79"/>
      <c r="L895" s="79"/>
      <c r="N895" s="102"/>
      <c r="O895" s="119"/>
    </row>
    <row r="896">
      <c r="A896" s="17"/>
      <c r="C896" s="79"/>
      <c r="D896" s="79"/>
      <c r="E896" s="79"/>
      <c r="F896" s="79"/>
      <c r="G896" s="79"/>
      <c r="H896" s="79"/>
      <c r="I896" s="79"/>
      <c r="J896" s="79"/>
      <c r="K896" s="79"/>
      <c r="L896" s="79"/>
      <c r="N896" s="102"/>
      <c r="O896" s="119"/>
    </row>
    <row r="897">
      <c r="A897" s="17"/>
      <c r="C897" s="79"/>
      <c r="D897" s="79"/>
      <c r="E897" s="79"/>
      <c r="F897" s="79"/>
      <c r="G897" s="79"/>
      <c r="H897" s="79"/>
      <c r="I897" s="79"/>
      <c r="J897" s="79"/>
      <c r="K897" s="79"/>
      <c r="L897" s="79"/>
      <c r="N897" s="102"/>
      <c r="O897" s="119"/>
    </row>
    <row r="898">
      <c r="A898" s="17"/>
      <c r="C898" s="79"/>
      <c r="D898" s="79"/>
      <c r="E898" s="79"/>
      <c r="F898" s="79"/>
      <c r="G898" s="79"/>
      <c r="H898" s="79"/>
      <c r="I898" s="79"/>
      <c r="J898" s="79"/>
      <c r="K898" s="79"/>
      <c r="L898" s="79"/>
      <c r="N898" s="102"/>
      <c r="O898" s="119"/>
    </row>
    <row r="899">
      <c r="A899" s="17"/>
      <c r="C899" s="79"/>
      <c r="D899" s="79"/>
      <c r="E899" s="79"/>
      <c r="F899" s="79"/>
      <c r="G899" s="79"/>
      <c r="H899" s="79"/>
      <c r="I899" s="79"/>
      <c r="J899" s="79"/>
      <c r="K899" s="79"/>
      <c r="L899" s="79"/>
      <c r="N899" s="102"/>
      <c r="O899" s="119"/>
    </row>
    <row r="900">
      <c r="A900" s="17"/>
      <c r="C900" s="79"/>
      <c r="D900" s="79"/>
      <c r="E900" s="79"/>
      <c r="F900" s="79"/>
      <c r="G900" s="79"/>
      <c r="H900" s="79"/>
      <c r="I900" s="79"/>
      <c r="J900" s="79"/>
      <c r="K900" s="79"/>
      <c r="L900" s="79"/>
      <c r="N900" s="102"/>
      <c r="O900" s="119"/>
    </row>
    <row r="901">
      <c r="A901" s="17"/>
      <c r="C901" s="79"/>
      <c r="D901" s="79"/>
      <c r="E901" s="79"/>
      <c r="F901" s="79"/>
      <c r="G901" s="79"/>
      <c r="H901" s="79"/>
      <c r="I901" s="79"/>
      <c r="J901" s="79"/>
      <c r="K901" s="79"/>
      <c r="L901" s="79"/>
      <c r="N901" s="102"/>
      <c r="O901" s="119"/>
    </row>
    <row r="902">
      <c r="A902" s="17"/>
      <c r="C902" s="79"/>
      <c r="D902" s="79"/>
      <c r="E902" s="79"/>
      <c r="F902" s="79"/>
      <c r="G902" s="79"/>
      <c r="H902" s="79"/>
      <c r="I902" s="79"/>
      <c r="J902" s="79"/>
      <c r="K902" s="79"/>
      <c r="L902" s="79"/>
      <c r="N902" s="102"/>
      <c r="O902" s="119"/>
    </row>
    <row r="903">
      <c r="A903" s="17"/>
      <c r="C903" s="79"/>
      <c r="D903" s="79"/>
      <c r="E903" s="79"/>
      <c r="F903" s="79"/>
      <c r="G903" s="79"/>
      <c r="H903" s="79"/>
      <c r="I903" s="79"/>
      <c r="J903" s="79"/>
      <c r="K903" s="79"/>
      <c r="L903" s="79"/>
      <c r="N903" s="102"/>
      <c r="O903" s="119"/>
    </row>
    <row r="904">
      <c r="A904" s="17"/>
      <c r="C904" s="79"/>
      <c r="D904" s="79"/>
      <c r="E904" s="79"/>
      <c r="F904" s="79"/>
      <c r="G904" s="79"/>
      <c r="H904" s="79"/>
      <c r="I904" s="79"/>
      <c r="J904" s="79"/>
      <c r="K904" s="79"/>
      <c r="L904" s="79"/>
      <c r="N904" s="102"/>
      <c r="O904" s="119"/>
    </row>
    <row r="905">
      <c r="A905" s="17"/>
      <c r="C905" s="79"/>
      <c r="D905" s="79"/>
      <c r="E905" s="79"/>
      <c r="F905" s="79"/>
      <c r="G905" s="79"/>
      <c r="H905" s="79"/>
      <c r="I905" s="79"/>
      <c r="J905" s="79"/>
      <c r="K905" s="79"/>
      <c r="L905" s="79"/>
      <c r="N905" s="102"/>
      <c r="O905" s="119"/>
    </row>
    <row r="906">
      <c r="A906" s="17"/>
      <c r="C906" s="79"/>
      <c r="D906" s="79"/>
      <c r="E906" s="79"/>
      <c r="F906" s="79"/>
      <c r="G906" s="79"/>
      <c r="H906" s="79"/>
      <c r="I906" s="79"/>
      <c r="J906" s="79"/>
      <c r="K906" s="79"/>
      <c r="L906" s="79"/>
      <c r="N906" s="102"/>
      <c r="O906" s="119"/>
    </row>
    <row r="907">
      <c r="A907" s="17"/>
      <c r="C907" s="79"/>
      <c r="D907" s="79"/>
      <c r="E907" s="79"/>
      <c r="F907" s="79"/>
      <c r="G907" s="79"/>
      <c r="H907" s="79"/>
      <c r="I907" s="79"/>
      <c r="J907" s="79"/>
      <c r="K907" s="79"/>
      <c r="L907" s="79"/>
      <c r="N907" s="102"/>
      <c r="O907" s="119"/>
    </row>
    <row r="908">
      <c r="A908" s="17"/>
      <c r="C908" s="79"/>
      <c r="D908" s="79"/>
      <c r="E908" s="79"/>
      <c r="F908" s="79"/>
      <c r="G908" s="79"/>
      <c r="H908" s="79"/>
      <c r="I908" s="79"/>
      <c r="J908" s="79"/>
      <c r="K908" s="79"/>
      <c r="L908" s="79"/>
      <c r="N908" s="102"/>
      <c r="O908" s="119"/>
    </row>
    <row r="909">
      <c r="A909" s="17"/>
      <c r="C909" s="79"/>
      <c r="D909" s="79"/>
      <c r="E909" s="79"/>
      <c r="F909" s="79"/>
      <c r="G909" s="79"/>
      <c r="H909" s="79"/>
      <c r="I909" s="79"/>
      <c r="J909" s="79"/>
      <c r="K909" s="79"/>
      <c r="L909" s="79"/>
      <c r="N909" s="102"/>
      <c r="O909" s="119"/>
    </row>
    <row r="910">
      <c r="A910" s="17"/>
      <c r="C910" s="79"/>
      <c r="D910" s="79"/>
      <c r="E910" s="79"/>
      <c r="F910" s="79"/>
      <c r="G910" s="79"/>
      <c r="H910" s="79"/>
      <c r="I910" s="79"/>
      <c r="J910" s="79"/>
      <c r="K910" s="79"/>
      <c r="L910" s="79"/>
      <c r="N910" s="102"/>
      <c r="O910" s="119"/>
    </row>
    <row r="911">
      <c r="A911" s="17"/>
      <c r="C911" s="79"/>
      <c r="D911" s="79"/>
      <c r="E911" s="79"/>
      <c r="F911" s="79"/>
      <c r="G911" s="79"/>
      <c r="H911" s="79"/>
      <c r="I911" s="79"/>
      <c r="J911" s="79"/>
      <c r="K911" s="79"/>
      <c r="L911" s="79"/>
      <c r="N911" s="102"/>
      <c r="O911" s="119"/>
    </row>
    <row r="912">
      <c r="A912" s="17"/>
      <c r="C912" s="79"/>
      <c r="D912" s="79"/>
      <c r="E912" s="79"/>
      <c r="F912" s="79"/>
      <c r="G912" s="79"/>
      <c r="H912" s="79"/>
      <c r="I912" s="79"/>
      <c r="J912" s="79"/>
      <c r="K912" s="79"/>
      <c r="L912" s="79"/>
      <c r="N912" s="102"/>
      <c r="O912" s="119"/>
    </row>
    <row r="913">
      <c r="A913" s="17"/>
      <c r="C913" s="79"/>
      <c r="D913" s="79"/>
      <c r="E913" s="79"/>
      <c r="F913" s="79"/>
      <c r="G913" s="79"/>
      <c r="H913" s="79"/>
      <c r="I913" s="79"/>
      <c r="J913" s="79"/>
      <c r="K913" s="79"/>
      <c r="L913" s="79"/>
      <c r="N913" s="102"/>
      <c r="O913" s="119"/>
    </row>
    <row r="914">
      <c r="A914" s="17"/>
      <c r="C914" s="79"/>
      <c r="D914" s="79"/>
      <c r="E914" s="79"/>
      <c r="F914" s="79"/>
      <c r="G914" s="79"/>
      <c r="H914" s="79"/>
      <c r="I914" s="79"/>
      <c r="J914" s="79"/>
      <c r="K914" s="79"/>
      <c r="L914" s="79"/>
      <c r="N914" s="102"/>
      <c r="O914" s="119"/>
    </row>
    <row r="915">
      <c r="A915" s="17"/>
      <c r="C915" s="79"/>
      <c r="D915" s="79"/>
      <c r="E915" s="79"/>
      <c r="F915" s="79"/>
      <c r="G915" s="79"/>
      <c r="H915" s="79"/>
      <c r="I915" s="79"/>
      <c r="J915" s="79"/>
      <c r="K915" s="79"/>
      <c r="L915" s="79"/>
      <c r="N915" s="102"/>
      <c r="O915" s="119"/>
    </row>
    <row r="916">
      <c r="A916" s="17"/>
      <c r="C916" s="79"/>
      <c r="D916" s="79"/>
      <c r="E916" s="79"/>
      <c r="F916" s="79"/>
      <c r="G916" s="79"/>
      <c r="H916" s="79"/>
      <c r="I916" s="79"/>
      <c r="J916" s="79"/>
      <c r="K916" s="79"/>
      <c r="L916" s="79"/>
      <c r="N916" s="102"/>
      <c r="O916" s="119"/>
    </row>
    <row r="917">
      <c r="A917" s="17"/>
      <c r="C917" s="79"/>
      <c r="D917" s="79"/>
      <c r="E917" s="79"/>
      <c r="F917" s="79"/>
      <c r="G917" s="79"/>
      <c r="H917" s="79"/>
      <c r="I917" s="79"/>
      <c r="J917" s="79"/>
      <c r="K917" s="79"/>
      <c r="L917" s="79"/>
      <c r="N917" s="102"/>
      <c r="O917" s="119"/>
    </row>
    <row r="918">
      <c r="A918" s="17"/>
      <c r="C918" s="79"/>
      <c r="D918" s="79"/>
      <c r="E918" s="79"/>
      <c r="F918" s="79"/>
      <c r="G918" s="79"/>
      <c r="H918" s="79"/>
      <c r="I918" s="79"/>
      <c r="J918" s="79"/>
      <c r="K918" s="79"/>
      <c r="L918" s="79"/>
      <c r="N918" s="102"/>
      <c r="O918" s="119"/>
    </row>
    <row r="919">
      <c r="A919" s="17"/>
      <c r="C919" s="79"/>
      <c r="D919" s="79"/>
      <c r="E919" s="79"/>
      <c r="F919" s="79"/>
      <c r="G919" s="79"/>
      <c r="H919" s="79"/>
      <c r="I919" s="79"/>
      <c r="J919" s="79"/>
      <c r="K919" s="79"/>
      <c r="L919" s="79"/>
      <c r="N919" s="102"/>
      <c r="O919" s="119"/>
    </row>
    <row r="920">
      <c r="A920" s="17"/>
      <c r="C920" s="79"/>
      <c r="D920" s="79"/>
      <c r="E920" s="79"/>
      <c r="F920" s="79"/>
      <c r="G920" s="79"/>
      <c r="H920" s="79"/>
      <c r="I920" s="79"/>
      <c r="J920" s="79"/>
      <c r="K920" s="79"/>
      <c r="L920" s="79"/>
      <c r="N920" s="102"/>
      <c r="O920" s="119"/>
    </row>
    <row r="921">
      <c r="A921" s="17"/>
      <c r="C921" s="79"/>
      <c r="D921" s="79"/>
      <c r="E921" s="79"/>
      <c r="F921" s="79"/>
      <c r="G921" s="79"/>
      <c r="H921" s="79"/>
      <c r="I921" s="79"/>
      <c r="J921" s="79"/>
      <c r="K921" s="79"/>
      <c r="L921" s="79"/>
      <c r="N921" s="102"/>
      <c r="O921" s="119"/>
    </row>
    <row r="922">
      <c r="A922" s="17"/>
      <c r="C922" s="79"/>
      <c r="D922" s="79"/>
      <c r="E922" s="79"/>
      <c r="F922" s="79"/>
      <c r="G922" s="79"/>
      <c r="H922" s="79"/>
      <c r="I922" s="79"/>
      <c r="J922" s="79"/>
      <c r="K922" s="79"/>
      <c r="L922" s="79"/>
      <c r="N922" s="102"/>
      <c r="O922" s="119"/>
    </row>
    <row r="923">
      <c r="A923" s="17"/>
      <c r="C923" s="79"/>
      <c r="D923" s="79"/>
      <c r="E923" s="79"/>
      <c r="F923" s="79"/>
      <c r="G923" s="79"/>
      <c r="H923" s="79"/>
      <c r="I923" s="79"/>
      <c r="J923" s="79"/>
      <c r="K923" s="79"/>
      <c r="L923" s="79"/>
      <c r="N923" s="102"/>
      <c r="O923" s="119"/>
    </row>
    <row r="924">
      <c r="A924" s="17"/>
      <c r="C924" s="79"/>
      <c r="D924" s="79"/>
      <c r="E924" s="79"/>
      <c r="F924" s="79"/>
      <c r="G924" s="79"/>
      <c r="H924" s="79"/>
      <c r="I924" s="79"/>
      <c r="J924" s="79"/>
      <c r="K924" s="79"/>
      <c r="L924" s="79"/>
      <c r="N924" s="102"/>
      <c r="O924" s="119"/>
    </row>
    <row r="925">
      <c r="A925" s="17"/>
      <c r="C925" s="79"/>
      <c r="D925" s="79"/>
      <c r="E925" s="79"/>
      <c r="F925" s="79"/>
      <c r="G925" s="79"/>
      <c r="H925" s="79"/>
      <c r="I925" s="79"/>
      <c r="J925" s="79"/>
      <c r="K925" s="79"/>
      <c r="L925" s="79"/>
      <c r="N925" s="102"/>
      <c r="O925" s="119"/>
    </row>
    <row r="926">
      <c r="A926" s="17"/>
      <c r="C926" s="79"/>
      <c r="D926" s="79"/>
      <c r="E926" s="79"/>
      <c r="F926" s="79"/>
      <c r="G926" s="79"/>
      <c r="H926" s="79"/>
      <c r="I926" s="79"/>
      <c r="J926" s="79"/>
      <c r="K926" s="79"/>
      <c r="L926" s="79"/>
      <c r="N926" s="102"/>
      <c r="O926" s="119"/>
    </row>
    <row r="927">
      <c r="A927" s="17"/>
      <c r="C927" s="79"/>
      <c r="D927" s="79"/>
      <c r="E927" s="79"/>
      <c r="F927" s="79"/>
      <c r="G927" s="79"/>
      <c r="H927" s="79"/>
      <c r="I927" s="79"/>
      <c r="J927" s="79"/>
      <c r="K927" s="79"/>
      <c r="L927" s="79"/>
      <c r="N927" s="102"/>
      <c r="O927" s="119"/>
    </row>
    <row r="928">
      <c r="A928" s="17"/>
      <c r="C928" s="79"/>
      <c r="D928" s="79"/>
      <c r="E928" s="79"/>
      <c r="F928" s="79"/>
      <c r="G928" s="79"/>
      <c r="H928" s="79"/>
      <c r="I928" s="79"/>
      <c r="J928" s="79"/>
      <c r="K928" s="79"/>
      <c r="L928" s="79"/>
      <c r="N928" s="102"/>
      <c r="O928" s="119"/>
    </row>
    <row r="929">
      <c r="A929" s="17"/>
      <c r="C929" s="79"/>
      <c r="D929" s="79"/>
      <c r="E929" s="79"/>
      <c r="F929" s="79"/>
      <c r="G929" s="79"/>
      <c r="H929" s="79"/>
      <c r="I929" s="79"/>
      <c r="J929" s="79"/>
      <c r="K929" s="79"/>
      <c r="L929" s="79"/>
      <c r="N929" s="102"/>
      <c r="O929" s="119"/>
    </row>
    <row r="930">
      <c r="A930" s="17"/>
      <c r="C930" s="79"/>
      <c r="D930" s="79"/>
      <c r="E930" s="79"/>
      <c r="F930" s="79"/>
      <c r="G930" s="79"/>
      <c r="H930" s="79"/>
      <c r="I930" s="79"/>
      <c r="J930" s="79"/>
      <c r="K930" s="79"/>
      <c r="L930" s="79"/>
      <c r="N930" s="102"/>
      <c r="O930" s="119"/>
    </row>
    <row r="931">
      <c r="A931" s="17"/>
      <c r="C931" s="79"/>
      <c r="D931" s="79"/>
      <c r="E931" s="79"/>
      <c r="F931" s="79"/>
      <c r="G931" s="79"/>
      <c r="H931" s="79"/>
      <c r="I931" s="79"/>
      <c r="J931" s="79"/>
      <c r="K931" s="79"/>
      <c r="L931" s="79"/>
      <c r="N931" s="102"/>
      <c r="O931" s="119"/>
    </row>
    <row r="932">
      <c r="A932" s="17"/>
      <c r="C932" s="79"/>
      <c r="D932" s="79"/>
      <c r="E932" s="79"/>
      <c r="F932" s="79"/>
      <c r="G932" s="79"/>
      <c r="H932" s="79"/>
      <c r="I932" s="79"/>
      <c r="J932" s="79"/>
      <c r="K932" s="79"/>
      <c r="L932" s="79"/>
      <c r="N932" s="102"/>
      <c r="O932" s="119"/>
    </row>
    <row r="933">
      <c r="A933" s="17"/>
      <c r="C933" s="79"/>
      <c r="D933" s="79"/>
      <c r="E933" s="79"/>
      <c r="F933" s="79"/>
      <c r="G933" s="79"/>
      <c r="H933" s="79"/>
      <c r="I933" s="79"/>
      <c r="J933" s="79"/>
      <c r="K933" s="79"/>
      <c r="L933" s="79"/>
      <c r="N933" s="102"/>
      <c r="O933" s="119"/>
    </row>
    <row r="934">
      <c r="A934" s="17"/>
      <c r="C934" s="79"/>
      <c r="D934" s="79"/>
      <c r="E934" s="79"/>
      <c r="F934" s="79"/>
      <c r="G934" s="79"/>
      <c r="H934" s="79"/>
      <c r="I934" s="79"/>
      <c r="J934" s="79"/>
      <c r="K934" s="79"/>
      <c r="L934" s="79"/>
      <c r="N934" s="102"/>
      <c r="O934" s="119"/>
    </row>
    <row r="935">
      <c r="A935" s="17"/>
      <c r="C935" s="79"/>
      <c r="D935" s="79"/>
      <c r="E935" s="79"/>
      <c r="F935" s="79"/>
      <c r="G935" s="79"/>
      <c r="H935" s="79"/>
      <c r="I935" s="79"/>
      <c r="J935" s="79"/>
      <c r="K935" s="79"/>
      <c r="L935" s="79"/>
      <c r="N935" s="102"/>
      <c r="O935" s="119"/>
    </row>
    <row r="936">
      <c r="A936" s="17"/>
      <c r="C936" s="79"/>
      <c r="D936" s="79"/>
      <c r="E936" s="79"/>
      <c r="F936" s="79"/>
      <c r="G936" s="79"/>
      <c r="H936" s="79"/>
      <c r="I936" s="79"/>
      <c r="J936" s="79"/>
      <c r="K936" s="79"/>
      <c r="L936" s="79"/>
      <c r="N936" s="102"/>
      <c r="O936" s="119"/>
    </row>
    <row r="937">
      <c r="A937" s="17"/>
      <c r="C937" s="79"/>
      <c r="D937" s="79"/>
      <c r="E937" s="79"/>
      <c r="F937" s="79"/>
      <c r="G937" s="79"/>
      <c r="H937" s="79"/>
      <c r="I937" s="79"/>
      <c r="J937" s="79"/>
      <c r="K937" s="79"/>
      <c r="L937" s="79"/>
      <c r="N937" s="102"/>
      <c r="O937" s="119"/>
    </row>
    <row r="938">
      <c r="A938" s="17"/>
      <c r="C938" s="79"/>
      <c r="D938" s="79"/>
      <c r="E938" s="79"/>
      <c r="F938" s="79"/>
      <c r="G938" s="79"/>
      <c r="H938" s="79"/>
      <c r="I938" s="79"/>
      <c r="J938" s="79"/>
      <c r="K938" s="79"/>
      <c r="L938" s="79"/>
      <c r="N938" s="102"/>
      <c r="O938" s="119"/>
    </row>
    <row r="939">
      <c r="A939" s="17"/>
      <c r="C939" s="79"/>
      <c r="D939" s="79"/>
      <c r="E939" s="79"/>
      <c r="F939" s="79"/>
      <c r="G939" s="79"/>
      <c r="H939" s="79"/>
      <c r="I939" s="79"/>
      <c r="J939" s="79"/>
      <c r="K939" s="79"/>
      <c r="L939" s="79"/>
      <c r="N939" s="102"/>
      <c r="O939" s="119"/>
    </row>
    <row r="940">
      <c r="A940" s="17"/>
      <c r="C940" s="79"/>
      <c r="D940" s="79"/>
      <c r="E940" s="79"/>
      <c r="F940" s="79"/>
      <c r="G940" s="79"/>
      <c r="H940" s="79"/>
      <c r="I940" s="79"/>
      <c r="J940" s="79"/>
      <c r="K940" s="79"/>
      <c r="L940" s="79"/>
      <c r="N940" s="102"/>
      <c r="O940" s="119"/>
    </row>
    <row r="941">
      <c r="A941" s="17"/>
      <c r="C941" s="79"/>
      <c r="D941" s="79"/>
      <c r="E941" s="79"/>
      <c r="F941" s="79"/>
      <c r="G941" s="79"/>
      <c r="H941" s="79"/>
      <c r="I941" s="79"/>
      <c r="J941" s="79"/>
      <c r="K941" s="79"/>
      <c r="L941" s="79"/>
      <c r="N941" s="102"/>
      <c r="O941" s="119"/>
    </row>
    <row r="942">
      <c r="A942" s="17"/>
      <c r="C942" s="79"/>
      <c r="D942" s="79"/>
      <c r="E942" s="79"/>
      <c r="F942" s="79"/>
      <c r="G942" s="79"/>
      <c r="H942" s="79"/>
      <c r="I942" s="79"/>
      <c r="J942" s="79"/>
      <c r="K942" s="79"/>
      <c r="L942" s="79"/>
      <c r="N942" s="102"/>
      <c r="O942" s="119"/>
    </row>
    <row r="943">
      <c r="A943" s="17"/>
      <c r="C943" s="79"/>
      <c r="D943" s="79"/>
      <c r="E943" s="79"/>
      <c r="F943" s="79"/>
      <c r="G943" s="79"/>
      <c r="H943" s="79"/>
      <c r="I943" s="79"/>
      <c r="J943" s="79"/>
      <c r="K943" s="79"/>
      <c r="L943" s="79"/>
      <c r="N943" s="102"/>
      <c r="O943" s="119"/>
    </row>
    <row r="944">
      <c r="A944" s="17"/>
      <c r="C944" s="79"/>
      <c r="D944" s="79"/>
      <c r="E944" s="79"/>
      <c r="F944" s="79"/>
      <c r="G944" s="79"/>
      <c r="H944" s="79"/>
      <c r="I944" s="79"/>
      <c r="J944" s="79"/>
      <c r="K944" s="79"/>
      <c r="L944" s="79"/>
      <c r="N944" s="102"/>
      <c r="O944" s="119"/>
    </row>
    <row r="945">
      <c r="A945" s="17"/>
      <c r="C945" s="79"/>
      <c r="D945" s="79"/>
      <c r="E945" s="79"/>
      <c r="F945" s="79"/>
      <c r="G945" s="79"/>
      <c r="H945" s="79"/>
      <c r="I945" s="79"/>
      <c r="J945" s="79"/>
      <c r="K945" s="79"/>
      <c r="L945" s="79"/>
      <c r="N945" s="102"/>
      <c r="O945" s="119"/>
    </row>
    <row r="946">
      <c r="A946" s="17"/>
      <c r="C946" s="79"/>
      <c r="D946" s="79"/>
      <c r="E946" s="79"/>
      <c r="F946" s="79"/>
      <c r="G946" s="79"/>
      <c r="H946" s="79"/>
      <c r="I946" s="79"/>
      <c r="J946" s="79"/>
      <c r="K946" s="79"/>
      <c r="L946" s="79"/>
      <c r="N946" s="102"/>
      <c r="O946" s="119"/>
    </row>
    <row r="947">
      <c r="A947" s="17"/>
      <c r="C947" s="79"/>
      <c r="D947" s="79"/>
      <c r="E947" s="79"/>
      <c r="F947" s="79"/>
      <c r="G947" s="79"/>
      <c r="H947" s="79"/>
      <c r="I947" s="79"/>
      <c r="J947" s="79"/>
      <c r="K947" s="79"/>
      <c r="L947" s="79"/>
      <c r="N947" s="102"/>
      <c r="O947" s="119"/>
    </row>
    <row r="948">
      <c r="A948" s="17"/>
      <c r="C948" s="79"/>
      <c r="D948" s="79"/>
      <c r="E948" s="79"/>
      <c r="F948" s="79"/>
      <c r="G948" s="79"/>
      <c r="H948" s="79"/>
      <c r="I948" s="79"/>
      <c r="J948" s="79"/>
      <c r="K948" s="79"/>
      <c r="L948" s="79"/>
      <c r="N948" s="102"/>
      <c r="O948" s="119"/>
    </row>
    <row r="949">
      <c r="A949" s="17"/>
      <c r="C949" s="79"/>
      <c r="D949" s="79"/>
      <c r="E949" s="79"/>
      <c r="F949" s="79"/>
      <c r="G949" s="79"/>
      <c r="H949" s="79"/>
      <c r="I949" s="79"/>
      <c r="J949" s="79"/>
      <c r="K949" s="79"/>
      <c r="L949" s="79"/>
      <c r="N949" s="102"/>
      <c r="O949" s="119"/>
    </row>
    <row r="950">
      <c r="A950" s="17"/>
      <c r="C950" s="79"/>
      <c r="D950" s="79"/>
      <c r="E950" s="79"/>
      <c r="F950" s="79"/>
      <c r="G950" s="79"/>
      <c r="H950" s="79"/>
      <c r="I950" s="79"/>
      <c r="J950" s="79"/>
      <c r="K950" s="79"/>
      <c r="L950" s="79"/>
      <c r="N950" s="102"/>
      <c r="O950" s="119"/>
    </row>
    <row r="951">
      <c r="A951" s="17"/>
      <c r="C951" s="79"/>
      <c r="D951" s="79"/>
      <c r="E951" s="79"/>
      <c r="F951" s="79"/>
      <c r="G951" s="79"/>
      <c r="H951" s="79"/>
      <c r="I951" s="79"/>
      <c r="J951" s="79"/>
      <c r="K951" s="79"/>
      <c r="L951" s="79"/>
      <c r="N951" s="102"/>
      <c r="O951" s="119"/>
    </row>
    <row r="952">
      <c r="A952" s="17"/>
      <c r="C952" s="79"/>
      <c r="D952" s="79"/>
      <c r="E952" s="79"/>
      <c r="F952" s="79"/>
      <c r="G952" s="79"/>
      <c r="H952" s="79"/>
      <c r="I952" s="79"/>
      <c r="J952" s="79"/>
      <c r="K952" s="79"/>
      <c r="L952" s="79"/>
      <c r="N952" s="102"/>
      <c r="O952" s="119"/>
    </row>
    <row r="953">
      <c r="A953" s="17"/>
      <c r="C953" s="79"/>
      <c r="D953" s="79"/>
      <c r="E953" s="79"/>
      <c r="F953" s="79"/>
      <c r="G953" s="79"/>
      <c r="H953" s="79"/>
      <c r="I953" s="79"/>
      <c r="J953" s="79"/>
      <c r="K953" s="79"/>
      <c r="L953" s="79"/>
      <c r="N953" s="102"/>
      <c r="O953" s="119"/>
    </row>
  </sheetData>
  <mergeCells count="26">
    <mergeCell ref="O2:O3"/>
    <mergeCell ref="P2:P3"/>
    <mergeCell ref="Q2:S2"/>
    <mergeCell ref="T2:V2"/>
    <mergeCell ref="W2:Y2"/>
    <mergeCell ref="O4:O6"/>
    <mergeCell ref="O7:O9"/>
    <mergeCell ref="O10:O12"/>
    <mergeCell ref="O13:O15"/>
    <mergeCell ref="O16:O18"/>
    <mergeCell ref="O19:O21"/>
    <mergeCell ref="O22:O24"/>
    <mergeCell ref="O25:O27"/>
    <mergeCell ref="O28:O30"/>
    <mergeCell ref="O59:O61"/>
    <mergeCell ref="O62:O64"/>
    <mergeCell ref="O67:O69"/>
    <mergeCell ref="O71:O72"/>
    <mergeCell ref="O73:O74"/>
    <mergeCell ref="O31:O33"/>
    <mergeCell ref="O35:O39"/>
    <mergeCell ref="O40:O44"/>
    <mergeCell ref="O45:O49"/>
    <mergeCell ref="O50:O52"/>
    <mergeCell ref="O53:O54"/>
    <mergeCell ref="O56:O58"/>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7.63"/>
    <col customWidth="1" min="4" max="12" width="5.88"/>
    <col customWidth="1" min="16" max="24" width="6.0"/>
  </cols>
  <sheetData>
    <row r="1">
      <c r="K1" s="79"/>
      <c r="L1" s="79"/>
      <c r="N1" s="102"/>
    </row>
    <row r="2">
      <c r="K2" s="79"/>
      <c r="L2" s="79"/>
      <c r="N2" s="127" t="s">
        <v>352</v>
      </c>
      <c r="O2" s="128" t="s">
        <v>353</v>
      </c>
      <c r="P2" s="129" t="str">
        <f>D2</f>
        <v/>
      </c>
      <c r="S2" s="129" t="str">
        <f>G2</f>
        <v/>
      </c>
      <c r="V2" s="79"/>
    </row>
    <row r="3">
      <c r="K3" s="79"/>
      <c r="L3" s="79"/>
      <c r="P3" s="130" t="s">
        <v>18</v>
      </c>
      <c r="Q3" s="130" t="s">
        <v>24</v>
      </c>
      <c r="R3" s="130" t="s">
        <v>32</v>
      </c>
      <c r="S3" s="130" t="s">
        <v>18</v>
      </c>
      <c r="T3" s="130" t="s">
        <v>24</v>
      </c>
      <c r="U3" s="130" t="s">
        <v>32</v>
      </c>
      <c r="V3" s="89"/>
      <c r="W3" s="89"/>
      <c r="X3" s="89"/>
    </row>
    <row r="4">
      <c r="K4" s="84"/>
      <c r="L4" s="79"/>
      <c r="N4" s="126" t="str">
        <f>B4</f>
        <v>501344</v>
      </c>
      <c r="O4" s="37" t="str">
        <f t="shared" ref="O4:O49" si="3">D4</f>
        <v>4 Primaria</v>
      </c>
      <c r="P4" s="103">
        <f t="shared" ref="P4:R4" si="1">E4/SUM($E4:$G4)</f>
        <v>0</v>
      </c>
      <c r="Q4" s="103">
        <f t="shared" si="1"/>
        <v>1</v>
      </c>
      <c r="R4" s="103">
        <f t="shared" si="1"/>
        <v>0</v>
      </c>
      <c r="S4" s="103">
        <f t="shared" ref="S4:U4" si="2">H4/SUM($H4:$J4)</f>
        <v>0.5</v>
      </c>
      <c r="T4" s="103">
        <f t="shared" si="2"/>
        <v>0.5</v>
      </c>
      <c r="U4" s="103">
        <f t="shared" si="2"/>
        <v>0</v>
      </c>
      <c r="V4" s="103"/>
      <c r="W4" s="103"/>
      <c r="X4" s="103"/>
    </row>
    <row r="5">
      <c r="K5" s="84"/>
      <c r="L5" s="79"/>
      <c r="O5" s="37" t="str">
        <f t="shared" si="3"/>
        <v>6 Primaria</v>
      </c>
      <c r="P5" s="103">
        <f t="shared" ref="P5:R5" si="4">E5/SUM($E5:$G5)</f>
        <v>0</v>
      </c>
      <c r="Q5" s="103">
        <f t="shared" si="4"/>
        <v>1</v>
      </c>
      <c r="R5" s="103">
        <f t="shared" si="4"/>
        <v>0</v>
      </c>
      <c r="S5" s="103">
        <f t="shared" ref="S5:U5" si="5">H5/SUM($H5:$J5)</f>
        <v>0</v>
      </c>
      <c r="T5" s="103">
        <f t="shared" si="5"/>
        <v>0</v>
      </c>
      <c r="U5" s="103">
        <f t="shared" si="5"/>
        <v>1</v>
      </c>
      <c r="V5" s="103"/>
      <c r="W5" s="103"/>
      <c r="X5" s="103"/>
    </row>
    <row r="6">
      <c r="K6" s="84"/>
      <c r="L6" s="79"/>
      <c r="N6" s="126" t="str">
        <f t="shared" ref="N6:N7" si="8">B6</f>
        <v>501432 PAPA FRANCISCO I</v>
      </c>
      <c r="O6" s="37" t="str">
        <f t="shared" si="3"/>
        <v>2 Secundaria</v>
      </c>
      <c r="P6" s="103">
        <f t="shared" ref="P6:R6" si="6">E6/SUM($E6:$G6)</f>
        <v>1</v>
      </c>
      <c r="Q6" s="103">
        <f t="shared" si="6"/>
        <v>0</v>
      </c>
      <c r="R6" s="103">
        <f t="shared" si="6"/>
        <v>0</v>
      </c>
      <c r="S6" s="103">
        <f t="shared" ref="S6:U6" si="7">H6/SUM($H6:$J6)</f>
        <v>1</v>
      </c>
      <c r="T6" s="103">
        <f t="shared" si="7"/>
        <v>0</v>
      </c>
      <c r="U6" s="103">
        <f t="shared" si="7"/>
        <v>0</v>
      </c>
      <c r="V6" s="103"/>
      <c r="W6" s="103"/>
      <c r="X6" s="103"/>
    </row>
    <row r="7">
      <c r="K7" s="84"/>
      <c r="L7" s="79"/>
      <c r="N7" s="126" t="str">
        <f t="shared" si="8"/>
        <v>50552 TUPAC AMARU II</v>
      </c>
      <c r="O7" s="37" t="str">
        <f t="shared" si="3"/>
        <v>2 Primaria</v>
      </c>
      <c r="P7" s="103">
        <f t="shared" ref="P7:R7" si="9">E7/SUM($E7:$G7)</f>
        <v>0.57</v>
      </c>
      <c r="Q7" s="103">
        <f t="shared" si="9"/>
        <v>0.43</v>
      </c>
      <c r="R7" s="103">
        <f t="shared" si="9"/>
        <v>0</v>
      </c>
      <c r="S7" s="103">
        <f t="shared" ref="S7:U7" si="10">H7/SUM($H7:$J7)</f>
        <v>0.5</v>
      </c>
      <c r="T7" s="103">
        <f t="shared" si="10"/>
        <v>0.5</v>
      </c>
      <c r="U7" s="103">
        <f t="shared" si="10"/>
        <v>0</v>
      </c>
      <c r="V7" s="103"/>
      <c r="W7" s="103"/>
      <c r="X7" s="103"/>
    </row>
    <row r="8">
      <c r="K8" s="84"/>
      <c r="L8" s="79"/>
      <c r="O8" s="37" t="str">
        <f t="shared" si="3"/>
        <v>4 Primaria</v>
      </c>
      <c r="P8" s="103">
        <f t="shared" ref="P8:R8" si="11">E8/SUM($E8:$G8)</f>
        <v>0.73</v>
      </c>
      <c r="Q8" s="103">
        <f t="shared" si="11"/>
        <v>0.27</v>
      </c>
      <c r="R8" s="103">
        <f t="shared" si="11"/>
        <v>0</v>
      </c>
      <c r="S8" s="103">
        <f t="shared" ref="S8:U8" si="12">H8/SUM($H8:$J8)</f>
        <v>0.375</v>
      </c>
      <c r="T8" s="103">
        <f t="shared" si="12"/>
        <v>0.375</v>
      </c>
      <c r="U8" s="103">
        <f t="shared" si="12"/>
        <v>0.25</v>
      </c>
      <c r="V8" s="103"/>
      <c r="W8" s="103"/>
      <c r="X8" s="103"/>
    </row>
    <row r="9">
      <c r="K9" s="79"/>
      <c r="L9" s="79"/>
      <c r="O9" s="37" t="str">
        <f t="shared" si="3"/>
        <v>6 Primaria</v>
      </c>
      <c r="P9" s="103">
        <f t="shared" ref="P9:R9" si="13">E9/SUM($E9:$G9)</f>
        <v>0.91</v>
      </c>
      <c r="Q9" s="103">
        <f t="shared" si="13"/>
        <v>0.09</v>
      </c>
      <c r="R9" s="103">
        <f t="shared" si="13"/>
        <v>0</v>
      </c>
      <c r="S9" s="103">
        <f t="shared" ref="S9:U9" si="14">H9/SUM($H9:$J9)</f>
        <v>0.2</v>
      </c>
      <c r="T9" s="103">
        <f t="shared" si="14"/>
        <v>0.6</v>
      </c>
      <c r="U9" s="103">
        <f t="shared" si="14"/>
        <v>0.2</v>
      </c>
      <c r="V9" s="103"/>
      <c r="W9" s="103"/>
      <c r="X9" s="103"/>
    </row>
    <row r="10">
      <c r="K10" s="79"/>
      <c r="L10" s="79"/>
      <c r="N10" s="126" t="str">
        <f>B10</f>
        <v>50558</v>
      </c>
      <c r="O10" s="37" t="str">
        <f t="shared" si="3"/>
        <v>4 Primaria</v>
      </c>
      <c r="P10" s="103">
        <f t="shared" ref="P10:R10" si="15">E10/SUM($E10:$G10)</f>
        <v>1</v>
      </c>
      <c r="Q10" s="103">
        <f t="shared" si="15"/>
        <v>0</v>
      </c>
      <c r="R10" s="103">
        <f t="shared" si="15"/>
        <v>0</v>
      </c>
      <c r="S10" s="103">
        <f t="shared" ref="S10:U10" si="16">H10/SUM($H10:$J10)</f>
        <v>0</v>
      </c>
      <c r="T10" s="103">
        <f t="shared" si="16"/>
        <v>1</v>
      </c>
      <c r="U10" s="103">
        <f t="shared" si="16"/>
        <v>0</v>
      </c>
      <c r="V10" s="103"/>
      <c r="W10" s="103"/>
      <c r="X10" s="103"/>
    </row>
    <row r="11">
      <c r="K11" s="79"/>
      <c r="L11" s="79"/>
      <c r="O11" s="37" t="str">
        <f t="shared" si="3"/>
        <v>6 Primaria</v>
      </c>
      <c r="P11" s="103">
        <f t="shared" ref="P11:R11" si="17">E11/SUM($E11:$G11)</f>
        <v>1</v>
      </c>
      <c r="Q11" s="103">
        <f t="shared" si="17"/>
        <v>0</v>
      </c>
      <c r="R11" s="103">
        <f t="shared" si="17"/>
        <v>0</v>
      </c>
      <c r="S11" s="103">
        <f t="shared" ref="S11:U11" si="18">H11/SUM($H11:$J11)</f>
        <v>0.25</v>
      </c>
      <c r="T11" s="103">
        <f t="shared" si="18"/>
        <v>0.25</v>
      </c>
      <c r="U11" s="103">
        <f t="shared" si="18"/>
        <v>0.5</v>
      </c>
      <c r="V11" s="103"/>
      <c r="W11" s="103"/>
      <c r="X11" s="103"/>
    </row>
    <row r="12">
      <c r="K12" s="79"/>
      <c r="L12" s="79"/>
      <c r="N12" s="126" t="str">
        <f>B12</f>
        <v>50719 VIRGEN DEL CARMEN</v>
      </c>
      <c r="O12" s="37" t="str">
        <f t="shared" si="3"/>
        <v>2 Primaria</v>
      </c>
      <c r="P12" s="103">
        <f t="shared" ref="P12:R12" si="19">E12/SUM($E12:$G12)</f>
        <v>1</v>
      </c>
      <c r="Q12" s="103">
        <f t="shared" si="19"/>
        <v>0</v>
      </c>
      <c r="R12" s="103">
        <f t="shared" si="19"/>
        <v>0</v>
      </c>
      <c r="S12" s="103">
        <f t="shared" ref="S12:U12" si="20">H12/SUM($H12:$J12)</f>
        <v>0.2142857143</v>
      </c>
      <c r="T12" s="103">
        <f t="shared" si="20"/>
        <v>0.3571428571</v>
      </c>
      <c r="U12" s="103">
        <f t="shared" si="20"/>
        <v>0.4285714286</v>
      </c>
      <c r="V12" s="103"/>
      <c r="W12" s="103"/>
      <c r="X12" s="103"/>
    </row>
    <row r="13">
      <c r="K13" s="79"/>
      <c r="L13" s="79"/>
      <c r="O13" s="37" t="str">
        <f t="shared" si="3"/>
        <v>4 Primaria</v>
      </c>
      <c r="P13" s="103">
        <f t="shared" ref="P13:R13" si="21">E13/SUM($E13:$G13)</f>
        <v>0.97</v>
      </c>
      <c r="Q13" s="103">
        <f t="shared" si="21"/>
        <v>0.03</v>
      </c>
      <c r="R13" s="103">
        <f t="shared" si="21"/>
        <v>0</v>
      </c>
      <c r="S13" s="103">
        <f t="shared" ref="S13:U13" si="22">H13/SUM($H13:$J13)</f>
        <v>0.5882352941</v>
      </c>
      <c r="T13" s="103">
        <f t="shared" si="22"/>
        <v>0.2352941176</v>
      </c>
      <c r="U13" s="103">
        <f t="shared" si="22"/>
        <v>0.1764705882</v>
      </c>
      <c r="V13" s="103"/>
      <c r="W13" s="103"/>
      <c r="X13" s="103"/>
    </row>
    <row r="14">
      <c r="K14" s="79"/>
      <c r="L14" s="79"/>
      <c r="O14" s="37" t="str">
        <f t="shared" si="3"/>
        <v>6 Primaria</v>
      </c>
      <c r="P14" s="103">
        <f t="shared" ref="P14:R14" si="23">E14/SUM($E14:$G14)</f>
        <v>0.73</v>
      </c>
      <c r="Q14" s="103">
        <f t="shared" si="23"/>
        <v>0.21</v>
      </c>
      <c r="R14" s="103">
        <f t="shared" si="23"/>
        <v>0.06</v>
      </c>
      <c r="S14" s="103">
        <f t="shared" ref="S14:U14" si="24">H14/SUM($H14:$J14)</f>
        <v>0.1428571429</v>
      </c>
      <c r="T14" s="103">
        <f t="shared" si="24"/>
        <v>0.5</v>
      </c>
      <c r="U14" s="103">
        <f t="shared" si="24"/>
        <v>0.3571428571</v>
      </c>
      <c r="V14" s="103"/>
      <c r="W14" s="103"/>
      <c r="X14" s="103"/>
    </row>
    <row r="15">
      <c r="K15" s="79"/>
      <c r="L15" s="79"/>
      <c r="N15" s="126" t="str">
        <f>B15</f>
        <v>50854</v>
      </c>
      <c r="O15" s="37" t="str">
        <f t="shared" si="3"/>
        <v>4 Primaria</v>
      </c>
      <c r="P15" s="103">
        <f t="shared" ref="P15:R15" si="25">E15/SUM($E15:$G15)</f>
        <v>1</v>
      </c>
      <c r="Q15" s="103">
        <f t="shared" si="25"/>
        <v>0</v>
      </c>
      <c r="R15" s="103">
        <f t="shared" si="25"/>
        <v>0</v>
      </c>
      <c r="S15" s="103">
        <f t="shared" ref="S15:U15" si="26">H15/SUM($H15:$J15)</f>
        <v>0</v>
      </c>
      <c r="T15" s="103">
        <f t="shared" si="26"/>
        <v>1</v>
      </c>
      <c r="U15" s="103">
        <f t="shared" si="26"/>
        <v>0</v>
      </c>
      <c r="V15" s="103"/>
      <c r="W15" s="103"/>
      <c r="X15" s="103"/>
    </row>
    <row r="16">
      <c r="K16" s="79"/>
      <c r="L16" s="79"/>
      <c r="O16" s="37" t="str">
        <f t="shared" si="3"/>
        <v>6 Primaria</v>
      </c>
      <c r="P16" s="103">
        <f t="shared" ref="P16:R16" si="27">E16/SUM($E16:$G16)</f>
        <v>1</v>
      </c>
      <c r="Q16" s="103">
        <f t="shared" si="27"/>
        <v>0</v>
      </c>
      <c r="R16" s="103">
        <f t="shared" si="27"/>
        <v>0</v>
      </c>
      <c r="S16" s="103">
        <f t="shared" ref="S16:U16" si="28">H16/SUM($H16:$J16)</f>
        <v>0</v>
      </c>
      <c r="T16" s="103">
        <f t="shared" si="28"/>
        <v>0</v>
      </c>
      <c r="U16" s="103">
        <f t="shared" si="28"/>
        <v>1</v>
      </c>
      <c r="V16" s="103"/>
      <c r="W16" s="103"/>
      <c r="X16" s="103"/>
    </row>
    <row r="17">
      <c r="K17" s="79"/>
      <c r="L17" s="79"/>
      <c r="N17" s="102" t="str">
        <f t="shared" ref="N17:N18" si="31">B17</f>
        <v/>
      </c>
      <c r="O17" s="37" t="str">
        <f t="shared" si="3"/>
        <v/>
      </c>
      <c r="P17" s="103">
        <f t="shared" ref="P17:R17" si="29">E17/SUM($E17:$G17)</f>
        <v>0.781496063</v>
      </c>
      <c r="Q17" s="103">
        <f t="shared" si="29"/>
        <v>0.2066929134</v>
      </c>
      <c r="R17" s="103">
        <f t="shared" si="29"/>
        <v>0.01181102362</v>
      </c>
      <c r="S17" s="103">
        <f t="shared" ref="S17:U17" si="30">H17/SUM($H17:$J17)</f>
        <v>0.4444444444</v>
      </c>
      <c r="T17" s="103">
        <f t="shared" si="30"/>
        <v>0.3222222222</v>
      </c>
      <c r="U17" s="103">
        <f t="shared" si="30"/>
        <v>0.2333333333</v>
      </c>
      <c r="V17" s="103"/>
      <c r="W17" s="103"/>
      <c r="X17" s="103"/>
    </row>
    <row r="18">
      <c r="K18" s="79"/>
      <c r="L18" s="79"/>
      <c r="N18" s="126" t="str">
        <f t="shared" si="31"/>
        <v>14894</v>
      </c>
      <c r="O18" s="37" t="str">
        <f t="shared" si="3"/>
        <v>2 Primaria</v>
      </c>
      <c r="P18" s="103">
        <f t="shared" ref="P18:R18" si="32">E18/SUM($E18:$G18)</f>
        <v>1</v>
      </c>
      <c r="Q18" s="103">
        <f t="shared" si="32"/>
        <v>0</v>
      </c>
      <c r="R18" s="103">
        <f t="shared" si="32"/>
        <v>0</v>
      </c>
      <c r="S18" s="103">
        <f t="shared" ref="S18:U18" si="33">H18/SUM($H18:$J18)</f>
        <v>0</v>
      </c>
      <c r="T18" s="103">
        <f t="shared" si="33"/>
        <v>1</v>
      </c>
      <c r="U18" s="103">
        <f t="shared" si="33"/>
        <v>0</v>
      </c>
      <c r="V18" s="103"/>
      <c r="W18" s="103"/>
      <c r="X18" s="103"/>
    </row>
    <row r="19">
      <c r="K19" s="79"/>
      <c r="L19" s="79"/>
      <c r="O19" s="37" t="str">
        <f t="shared" si="3"/>
        <v>4 Primaria</v>
      </c>
      <c r="P19" s="103">
        <f t="shared" ref="P19:R19" si="34">E19/SUM($E19:$G19)</f>
        <v>1</v>
      </c>
      <c r="Q19" s="103">
        <f t="shared" si="34"/>
        <v>0</v>
      </c>
      <c r="R19" s="103">
        <f t="shared" si="34"/>
        <v>0</v>
      </c>
      <c r="S19" s="103">
        <f t="shared" ref="S19:U19" si="35">H19/SUM($H19:$J19)</f>
        <v>0</v>
      </c>
      <c r="T19" s="103">
        <f t="shared" si="35"/>
        <v>1</v>
      </c>
      <c r="U19" s="103">
        <f t="shared" si="35"/>
        <v>0</v>
      </c>
      <c r="V19" s="103"/>
      <c r="W19" s="103"/>
      <c r="X19" s="103"/>
    </row>
    <row r="20">
      <c r="K20" s="79"/>
      <c r="L20" s="79"/>
      <c r="N20" s="102" t="str">
        <f t="shared" ref="N20:N21" si="38">B20</f>
        <v/>
      </c>
      <c r="O20" s="37" t="str">
        <f t="shared" si="3"/>
        <v/>
      </c>
      <c r="P20" s="103">
        <f t="shared" ref="P20:R20" si="36">E20/SUM($E20:$G20)</f>
        <v>1</v>
      </c>
      <c r="Q20" s="103">
        <f t="shared" si="36"/>
        <v>0</v>
      </c>
      <c r="R20" s="103">
        <f t="shared" si="36"/>
        <v>0</v>
      </c>
      <c r="S20" s="103">
        <f t="shared" ref="S20:U20" si="37">H20/SUM($H20:$J20)</f>
        <v>0</v>
      </c>
      <c r="T20" s="103">
        <f t="shared" si="37"/>
        <v>1</v>
      </c>
      <c r="U20" s="103">
        <f t="shared" si="37"/>
        <v>0</v>
      </c>
      <c r="V20" s="103"/>
      <c r="W20" s="103"/>
      <c r="X20" s="103"/>
    </row>
    <row r="21">
      <c r="K21" s="79"/>
      <c r="L21" s="79"/>
      <c r="N21" s="126" t="str">
        <f t="shared" si="38"/>
        <v>86548 JOSE MARIA VELAZ</v>
      </c>
      <c r="O21" s="37" t="str">
        <f t="shared" si="3"/>
        <v>2 Primaria</v>
      </c>
      <c r="P21" s="103">
        <f t="shared" ref="P21:R21" si="39">E21/SUM($E21:$G21)</f>
        <v>1</v>
      </c>
      <c r="Q21" s="103">
        <f t="shared" si="39"/>
        <v>0</v>
      </c>
      <c r="R21" s="103">
        <f t="shared" si="39"/>
        <v>0</v>
      </c>
      <c r="S21" s="103">
        <f t="shared" ref="S21:U21" si="40">H21/SUM($H21:$J21)</f>
        <v>0.25</v>
      </c>
      <c r="T21" s="103">
        <f t="shared" si="40"/>
        <v>0.75</v>
      </c>
      <c r="U21" s="103">
        <f t="shared" si="40"/>
        <v>0</v>
      </c>
      <c r="V21" s="103"/>
      <c r="W21" s="103"/>
      <c r="X21" s="103"/>
    </row>
    <row r="22">
      <c r="K22" s="79"/>
      <c r="L22" s="79"/>
      <c r="O22" s="37" t="str">
        <f t="shared" si="3"/>
        <v>2 Secundaria</v>
      </c>
      <c r="P22" s="103">
        <f t="shared" ref="P22:R22" si="41">E22/SUM($E22:$G22)</f>
        <v>1</v>
      </c>
      <c r="Q22" s="103">
        <f t="shared" si="41"/>
        <v>0</v>
      </c>
      <c r="R22" s="103">
        <f t="shared" si="41"/>
        <v>0</v>
      </c>
      <c r="S22" s="103">
        <f t="shared" ref="S22:U22" si="42">H22/SUM($H22:$J22)</f>
        <v>0.95</v>
      </c>
      <c r="T22" s="103">
        <f t="shared" si="42"/>
        <v>0.05</v>
      </c>
      <c r="U22" s="103">
        <f t="shared" si="42"/>
        <v>0</v>
      </c>
      <c r="V22" s="103"/>
      <c r="W22" s="103"/>
      <c r="X22" s="103"/>
    </row>
    <row r="23">
      <c r="K23" s="79"/>
      <c r="L23" s="79"/>
      <c r="O23" s="37" t="str">
        <f t="shared" si="3"/>
        <v>4 Secundaria</v>
      </c>
      <c r="P23" s="103">
        <f t="shared" ref="P23:R23" si="43">E23/SUM($E23:$G23)</f>
        <v>1</v>
      </c>
      <c r="Q23" s="103">
        <f t="shared" si="43"/>
        <v>0</v>
      </c>
      <c r="R23" s="103">
        <f t="shared" si="43"/>
        <v>0</v>
      </c>
      <c r="S23" s="103">
        <f t="shared" ref="S23:U23" si="44">H23/SUM($H23:$J23)</f>
        <v>0.9047619048</v>
      </c>
      <c r="T23" s="103">
        <f t="shared" si="44"/>
        <v>0.09523809524</v>
      </c>
      <c r="U23" s="103">
        <f t="shared" si="44"/>
        <v>0</v>
      </c>
      <c r="V23" s="103"/>
      <c r="W23" s="103"/>
      <c r="X23" s="103"/>
    </row>
    <row r="24">
      <c r="K24" s="79"/>
      <c r="L24" s="79"/>
      <c r="N24" s="126" t="str">
        <f>B24</f>
        <v>86769 ABRAHAM VALDELOMAR</v>
      </c>
      <c r="O24" s="37" t="str">
        <f t="shared" si="3"/>
        <v>2 Primaria</v>
      </c>
      <c r="P24" s="103">
        <f t="shared" ref="P24:R24" si="45">E24/SUM($E24:$G24)</f>
        <v>1</v>
      </c>
      <c r="Q24" s="103">
        <f t="shared" si="45"/>
        <v>0</v>
      </c>
      <c r="R24" s="103">
        <f t="shared" si="45"/>
        <v>0</v>
      </c>
      <c r="S24" s="103">
        <f t="shared" ref="S24:U24" si="46">H24/SUM($H24:$J24)</f>
        <v>0.5714285714</v>
      </c>
      <c r="T24" s="103">
        <f t="shared" si="46"/>
        <v>0.4285714286</v>
      </c>
      <c r="U24" s="103">
        <f t="shared" si="46"/>
        <v>0</v>
      </c>
      <c r="V24" s="103"/>
      <c r="W24" s="103"/>
      <c r="X24" s="103"/>
    </row>
    <row r="25">
      <c r="K25" s="79"/>
      <c r="L25" s="79"/>
      <c r="O25" s="37" t="str">
        <f t="shared" si="3"/>
        <v>4 Primaria</v>
      </c>
      <c r="P25" s="103">
        <f t="shared" ref="P25:R25" si="47">E25/SUM($E25:$G25)</f>
        <v>0.4</v>
      </c>
      <c r="Q25" s="103">
        <f t="shared" si="47"/>
        <v>0.6</v>
      </c>
      <c r="R25" s="103">
        <f t="shared" si="47"/>
        <v>0</v>
      </c>
      <c r="S25" s="103">
        <f t="shared" ref="S25:U25" si="48">H25/SUM($H25:$J25)</f>
        <v>0.4</v>
      </c>
      <c r="T25" s="103">
        <f t="shared" si="48"/>
        <v>0.6</v>
      </c>
      <c r="U25" s="103">
        <f t="shared" si="48"/>
        <v>0</v>
      </c>
      <c r="V25" s="103"/>
      <c r="W25" s="103"/>
      <c r="X25" s="103"/>
    </row>
    <row r="26">
      <c r="K26" s="79"/>
      <c r="L26" s="79"/>
      <c r="O26" s="37" t="str">
        <f t="shared" si="3"/>
        <v>6 Primaria</v>
      </c>
      <c r="P26" s="103">
        <f t="shared" ref="P26:R26" si="49">E26/SUM($E26:$G26)</f>
        <v>1</v>
      </c>
      <c r="Q26" s="103">
        <f t="shared" si="49"/>
        <v>0</v>
      </c>
      <c r="R26" s="103">
        <f t="shared" si="49"/>
        <v>0</v>
      </c>
      <c r="S26" s="103">
        <f t="shared" ref="S26:U26" si="50">H26/SUM($H26:$J26)</f>
        <v>0.2</v>
      </c>
      <c r="T26" s="103">
        <f t="shared" si="50"/>
        <v>0.8</v>
      </c>
      <c r="U26" s="103">
        <f t="shared" si="50"/>
        <v>0</v>
      </c>
      <c r="V26" s="103"/>
      <c r="W26" s="103"/>
      <c r="X26" s="103"/>
    </row>
    <row r="27">
      <c r="K27" s="79"/>
      <c r="L27" s="79"/>
      <c r="O27" s="37" t="str">
        <f t="shared" si="3"/>
        <v>2 Secundaria</v>
      </c>
      <c r="P27" s="103">
        <f t="shared" ref="P27:R27" si="51">E27/SUM($E27:$G27)</f>
        <v>1</v>
      </c>
      <c r="Q27" s="103">
        <f t="shared" si="51"/>
        <v>0</v>
      </c>
      <c r="R27" s="103">
        <f t="shared" si="51"/>
        <v>0</v>
      </c>
      <c r="S27" s="103">
        <f t="shared" ref="S27:U27" si="52">H27/SUM($H27:$J27)</f>
        <v>1</v>
      </c>
      <c r="T27" s="103">
        <f t="shared" si="52"/>
        <v>0</v>
      </c>
      <c r="U27" s="103">
        <f t="shared" si="52"/>
        <v>0</v>
      </c>
      <c r="V27" s="103"/>
      <c r="W27" s="103"/>
      <c r="X27" s="103"/>
    </row>
    <row r="28">
      <c r="K28" s="79"/>
      <c r="L28" s="79"/>
      <c r="O28" s="37" t="str">
        <f t="shared" si="3"/>
        <v>4 Secundaria</v>
      </c>
      <c r="P28" s="103">
        <f t="shared" ref="P28:R28" si="53">E28/SUM($E28:$G28)</f>
        <v>1</v>
      </c>
      <c r="Q28" s="103">
        <f t="shared" si="53"/>
        <v>0</v>
      </c>
      <c r="R28" s="103">
        <f t="shared" si="53"/>
        <v>0</v>
      </c>
      <c r="S28" s="103">
        <f t="shared" ref="S28:U28" si="54">H28/SUM($H28:$J28)</f>
        <v>1</v>
      </c>
      <c r="T28" s="103">
        <f t="shared" si="54"/>
        <v>0</v>
      </c>
      <c r="U28" s="103">
        <f t="shared" si="54"/>
        <v>0</v>
      </c>
      <c r="V28" s="103"/>
      <c r="W28" s="103"/>
      <c r="X28" s="103"/>
    </row>
    <row r="29">
      <c r="K29" s="79"/>
      <c r="L29" s="79"/>
      <c r="N29" s="126" t="str">
        <f>B29</f>
        <v>88327</v>
      </c>
      <c r="O29" s="37" t="str">
        <f t="shared" si="3"/>
        <v>2 Primaria</v>
      </c>
      <c r="P29" s="103">
        <f t="shared" ref="P29:R29" si="55">E29/SUM($E29:$G29)</f>
        <v>1</v>
      </c>
      <c r="Q29" s="103">
        <f t="shared" si="55"/>
        <v>0</v>
      </c>
      <c r="R29" s="103">
        <f t="shared" si="55"/>
        <v>0</v>
      </c>
      <c r="S29" s="103">
        <f t="shared" ref="S29:U29" si="56">H29/SUM($H29:$J29)</f>
        <v>0.4</v>
      </c>
      <c r="T29" s="103">
        <f t="shared" si="56"/>
        <v>0.6</v>
      </c>
      <c r="U29" s="103">
        <f t="shared" si="56"/>
        <v>0</v>
      </c>
      <c r="V29" s="103"/>
      <c r="W29" s="103"/>
      <c r="X29" s="103"/>
    </row>
    <row r="30">
      <c r="K30" s="79"/>
      <c r="L30" s="79"/>
      <c r="O30" s="37" t="str">
        <f t="shared" si="3"/>
        <v>4 Primaria</v>
      </c>
      <c r="P30" s="103">
        <f t="shared" ref="P30:R30" si="57">E30/SUM($E30:$G30)</f>
        <v>1</v>
      </c>
      <c r="Q30" s="103">
        <f t="shared" si="57"/>
        <v>0</v>
      </c>
      <c r="R30" s="103">
        <f t="shared" si="57"/>
        <v>0</v>
      </c>
      <c r="S30" s="103">
        <f t="shared" ref="S30:U30" si="58">H30/SUM($H30:$J30)</f>
        <v>0.2857142857</v>
      </c>
      <c r="T30" s="103">
        <f t="shared" si="58"/>
        <v>0.7142857143</v>
      </c>
      <c r="U30" s="103">
        <f t="shared" si="58"/>
        <v>0</v>
      </c>
      <c r="V30" s="103"/>
      <c r="W30" s="103"/>
      <c r="X30" s="103"/>
    </row>
    <row r="31">
      <c r="K31" s="79"/>
      <c r="L31" s="79"/>
      <c r="O31" s="37" t="str">
        <f t="shared" si="3"/>
        <v>6 Primaria</v>
      </c>
      <c r="P31" s="103">
        <f t="shared" ref="P31:R31" si="59">E31/SUM($E31:$G31)</f>
        <v>1</v>
      </c>
      <c r="Q31" s="103">
        <f t="shared" si="59"/>
        <v>0</v>
      </c>
      <c r="R31" s="103">
        <f t="shared" si="59"/>
        <v>0</v>
      </c>
      <c r="S31" s="103">
        <f t="shared" ref="S31:U31" si="60">H31/SUM($H31:$J31)</f>
        <v>0</v>
      </c>
      <c r="T31" s="103">
        <f t="shared" si="60"/>
        <v>1</v>
      </c>
      <c r="U31" s="103">
        <f t="shared" si="60"/>
        <v>0</v>
      </c>
      <c r="V31" s="103"/>
      <c r="W31" s="103"/>
      <c r="X31" s="103"/>
    </row>
    <row r="32">
      <c r="K32" s="79"/>
      <c r="L32" s="79"/>
      <c r="N32" s="102" t="str">
        <f t="shared" ref="N32:N33" si="63">B32</f>
        <v/>
      </c>
      <c r="O32" s="37" t="str">
        <f t="shared" si="3"/>
        <v/>
      </c>
      <c r="P32" s="103">
        <f t="shared" ref="P32:R32" si="61">E32/SUM($E32:$G32)</f>
        <v>0.9693877551</v>
      </c>
      <c r="Q32" s="103">
        <f t="shared" si="61"/>
        <v>0.0306122449</v>
      </c>
      <c r="R32" s="103">
        <f t="shared" si="61"/>
        <v>0</v>
      </c>
      <c r="S32" s="103">
        <f t="shared" ref="S32:U32" si="62">H32/SUM($H32:$J32)</f>
        <v>0.6326530612</v>
      </c>
      <c r="T32" s="103">
        <f t="shared" si="62"/>
        <v>0.3673469388</v>
      </c>
      <c r="U32" s="103">
        <f t="shared" si="62"/>
        <v>0</v>
      </c>
      <c r="V32" s="103"/>
      <c r="W32" s="103"/>
      <c r="X32" s="103"/>
    </row>
    <row r="33">
      <c r="K33" s="79"/>
      <c r="L33" s="79"/>
      <c r="N33" s="126" t="str">
        <f t="shared" si="63"/>
        <v>64028</v>
      </c>
      <c r="O33" s="37" t="str">
        <f t="shared" si="3"/>
        <v>6 Primaria</v>
      </c>
      <c r="P33" s="103">
        <f t="shared" ref="P33:R33" si="64">E33/SUM($E33:$G33)</f>
        <v>1</v>
      </c>
      <c r="Q33" s="103">
        <f t="shared" si="64"/>
        <v>0</v>
      </c>
      <c r="R33" s="103">
        <f t="shared" si="64"/>
        <v>0</v>
      </c>
      <c r="S33" s="103">
        <f t="shared" ref="S33:U33" si="65">H33/SUM($H33:$J33)</f>
        <v>0.5</v>
      </c>
      <c r="T33" s="103">
        <f t="shared" si="65"/>
        <v>0.5</v>
      </c>
      <c r="U33" s="103">
        <f t="shared" si="65"/>
        <v>0</v>
      </c>
      <c r="V33" s="103"/>
      <c r="W33" s="103"/>
      <c r="X33" s="103"/>
    </row>
    <row r="34">
      <c r="K34" s="79"/>
      <c r="L34" s="79"/>
      <c r="O34" s="37" t="str">
        <f t="shared" si="3"/>
        <v>4 Primaria</v>
      </c>
      <c r="P34" s="103">
        <f t="shared" ref="P34:R34" si="66">E34/SUM($E34:$G34)</f>
        <v>0</v>
      </c>
      <c r="Q34" s="103">
        <f t="shared" si="66"/>
        <v>1</v>
      </c>
      <c r="R34" s="103">
        <f t="shared" si="66"/>
        <v>0</v>
      </c>
      <c r="S34" s="103">
        <f t="shared" ref="S34:U34" si="67">H34/SUM($H34:$J34)</f>
        <v>0</v>
      </c>
      <c r="T34" s="103">
        <f t="shared" si="67"/>
        <v>1</v>
      </c>
      <c r="U34" s="103">
        <f t="shared" si="67"/>
        <v>0</v>
      </c>
      <c r="V34" s="103"/>
      <c r="W34" s="103"/>
      <c r="X34" s="103"/>
    </row>
    <row r="35">
      <c r="K35" s="79"/>
      <c r="L35" s="79"/>
      <c r="N35" s="102" t="str">
        <f>B35</f>
        <v/>
      </c>
      <c r="O35" s="37" t="str">
        <f t="shared" si="3"/>
        <v>6 Primaria</v>
      </c>
      <c r="P35" s="103">
        <f t="shared" ref="P35:R35" si="68">E35/SUM($E35:$G35)</f>
        <v>1</v>
      </c>
      <c r="Q35" s="103">
        <f t="shared" si="68"/>
        <v>0</v>
      </c>
      <c r="R35" s="103">
        <f t="shared" si="68"/>
        <v>0</v>
      </c>
      <c r="S35" s="103">
        <f t="shared" ref="S35:U35" si="69">H35/SUM($H35:$J35)</f>
        <v>1</v>
      </c>
      <c r="T35" s="103">
        <f t="shared" si="69"/>
        <v>0</v>
      </c>
      <c r="U35" s="103">
        <f t="shared" si="69"/>
        <v>0</v>
      </c>
      <c r="V35" s="103"/>
      <c r="W35" s="103"/>
      <c r="X35" s="103"/>
    </row>
    <row r="36">
      <c r="K36" s="79"/>
      <c r="L36" s="79"/>
      <c r="O36" s="37" t="str">
        <f t="shared" si="3"/>
        <v>2 Primaria</v>
      </c>
      <c r="P36" s="103">
        <f t="shared" ref="P36:R36" si="70">E36/SUM($E36:$G36)</f>
        <v>0.5</v>
      </c>
      <c r="Q36" s="103">
        <f t="shared" si="70"/>
        <v>0.5</v>
      </c>
      <c r="R36" s="103">
        <f t="shared" si="70"/>
        <v>0</v>
      </c>
      <c r="S36" s="103">
        <f t="shared" ref="S36:U36" si="71">H36/SUM($H36:$J36)</f>
        <v>0</v>
      </c>
      <c r="T36" s="103">
        <f t="shared" si="71"/>
        <v>1</v>
      </c>
      <c r="U36" s="103">
        <f t="shared" si="71"/>
        <v>0</v>
      </c>
      <c r="V36" s="103"/>
      <c r="W36" s="103"/>
      <c r="X36" s="103"/>
    </row>
    <row r="37">
      <c r="K37" s="79"/>
      <c r="L37" s="79"/>
      <c r="O37" s="37" t="str">
        <f t="shared" si="3"/>
        <v>4 Primaria</v>
      </c>
      <c r="P37" s="103">
        <f t="shared" ref="P37:R37" si="72">E37/SUM($E37:$G37)</f>
        <v>1</v>
      </c>
      <c r="Q37" s="103">
        <f t="shared" si="72"/>
        <v>0</v>
      </c>
      <c r="R37" s="103">
        <f t="shared" si="72"/>
        <v>0</v>
      </c>
      <c r="S37" s="103">
        <f t="shared" ref="S37:U37" si="73">H37/SUM($H37:$J37)</f>
        <v>0</v>
      </c>
      <c r="T37" s="103">
        <f t="shared" si="73"/>
        <v>0.5</v>
      </c>
      <c r="U37" s="103">
        <f t="shared" si="73"/>
        <v>0.5</v>
      </c>
      <c r="V37" s="103"/>
      <c r="W37" s="103"/>
      <c r="X37" s="103"/>
    </row>
    <row r="38">
      <c r="K38" s="79"/>
      <c r="L38" s="79"/>
      <c r="N38" s="102" t="str">
        <f t="shared" ref="N38:N39" si="76">B38</f>
        <v/>
      </c>
      <c r="O38" s="37" t="str">
        <f t="shared" si="3"/>
        <v>6 Primaria</v>
      </c>
      <c r="P38" s="103">
        <f t="shared" ref="P38:R38" si="74">E38/SUM($E38:$G38)</f>
        <v>1</v>
      </c>
      <c r="Q38" s="103">
        <f t="shared" si="74"/>
        <v>0</v>
      </c>
      <c r="R38" s="103">
        <f t="shared" si="74"/>
        <v>0</v>
      </c>
      <c r="S38" s="103">
        <f t="shared" ref="S38:U38" si="75">H38/SUM($H38:$J38)</f>
        <v>0</v>
      </c>
      <c r="T38" s="103">
        <f t="shared" si="75"/>
        <v>1</v>
      </c>
      <c r="U38" s="103">
        <f t="shared" si="75"/>
        <v>0</v>
      </c>
      <c r="V38" s="103"/>
      <c r="W38" s="103"/>
      <c r="X38" s="103"/>
    </row>
    <row r="39">
      <c r="K39" s="79"/>
      <c r="L39" s="79"/>
      <c r="N39" s="126" t="str">
        <f t="shared" si="76"/>
        <v>64346</v>
      </c>
      <c r="O39" s="37" t="str">
        <f t="shared" si="3"/>
        <v>4 Primaria</v>
      </c>
      <c r="P39" s="103">
        <f t="shared" ref="P39:R39" si="77">E39/SUM($E39:$G39)</f>
        <v>1</v>
      </c>
      <c r="Q39" s="103">
        <f t="shared" si="77"/>
        <v>0</v>
      </c>
      <c r="R39" s="103">
        <f t="shared" si="77"/>
        <v>0</v>
      </c>
      <c r="S39" s="103">
        <f t="shared" ref="S39:U39" si="78">H39/SUM($H39:$J39)</f>
        <v>0</v>
      </c>
      <c r="T39" s="103">
        <f t="shared" si="78"/>
        <v>1</v>
      </c>
      <c r="U39" s="103">
        <f t="shared" si="78"/>
        <v>0</v>
      </c>
      <c r="V39" s="103"/>
      <c r="W39" s="103"/>
      <c r="X39" s="103"/>
    </row>
    <row r="40">
      <c r="K40" s="79"/>
      <c r="L40" s="79"/>
      <c r="O40" s="37" t="str">
        <f t="shared" si="3"/>
        <v>4 Primaria</v>
      </c>
      <c r="P40" s="103">
        <f t="shared" ref="P40:R40" si="79">E40/SUM($E40:$G40)</f>
        <v>1</v>
      </c>
      <c r="Q40" s="103">
        <f t="shared" si="79"/>
        <v>0</v>
      </c>
      <c r="R40" s="103">
        <f t="shared" si="79"/>
        <v>0</v>
      </c>
      <c r="S40" s="103">
        <f t="shared" ref="S40:U40" si="80">H40/SUM($H40:$J40)</f>
        <v>0</v>
      </c>
      <c r="T40" s="103">
        <f t="shared" si="80"/>
        <v>1</v>
      </c>
      <c r="U40" s="103">
        <f t="shared" si="80"/>
        <v>0</v>
      </c>
      <c r="V40" s="103"/>
      <c r="W40" s="103"/>
      <c r="X40" s="103"/>
    </row>
    <row r="41">
      <c r="K41" s="79"/>
      <c r="L41" s="79"/>
      <c r="N41" s="102" t="str">
        <f>B41</f>
        <v/>
      </c>
      <c r="O41" s="37" t="str">
        <f t="shared" si="3"/>
        <v>6 Primaria</v>
      </c>
      <c r="P41" s="103">
        <f t="shared" ref="P41:R41" si="81">E41/SUM($E41:$G41)</f>
        <v>1</v>
      </c>
      <c r="Q41" s="103">
        <f t="shared" si="81"/>
        <v>0</v>
      </c>
      <c r="R41" s="103">
        <f t="shared" si="81"/>
        <v>0</v>
      </c>
      <c r="S41" s="103">
        <f t="shared" ref="S41:U41" si="82">H41/SUM($H41:$J41)</f>
        <v>0</v>
      </c>
      <c r="T41" s="103">
        <f t="shared" si="82"/>
        <v>1</v>
      </c>
      <c r="U41" s="103">
        <f t="shared" si="82"/>
        <v>0</v>
      </c>
      <c r="V41" s="103"/>
      <c r="W41" s="103"/>
      <c r="X41" s="103"/>
    </row>
    <row r="42">
      <c r="K42" s="79"/>
      <c r="L42" s="79"/>
      <c r="O42" s="37" t="str">
        <f t="shared" si="3"/>
        <v>4 Primaria</v>
      </c>
      <c r="P42" s="103">
        <f t="shared" ref="P42:R42" si="83">E42/SUM($E42:$G42)</f>
        <v>1</v>
      </c>
      <c r="Q42" s="103">
        <f t="shared" si="83"/>
        <v>0</v>
      </c>
      <c r="R42" s="103">
        <f t="shared" si="83"/>
        <v>0</v>
      </c>
      <c r="S42" s="103">
        <f t="shared" ref="S42:U42" si="84">H42/SUM($H42:$J42)</f>
        <v>1</v>
      </c>
      <c r="T42" s="103">
        <f t="shared" si="84"/>
        <v>0</v>
      </c>
      <c r="U42" s="103">
        <f t="shared" si="84"/>
        <v>0</v>
      </c>
      <c r="V42" s="103"/>
      <c r="W42" s="103"/>
      <c r="X42" s="103"/>
    </row>
    <row r="43">
      <c r="K43" s="79"/>
      <c r="L43" s="79"/>
      <c r="N43" s="102" t="str">
        <f t="shared" ref="N43:N44" si="87">B43</f>
        <v/>
      </c>
      <c r="O43" s="37" t="str">
        <f t="shared" si="3"/>
        <v>6 Primaria</v>
      </c>
      <c r="P43" s="103">
        <f t="shared" ref="P43:R43" si="85">E43/SUM($E43:$G43)</f>
        <v>1</v>
      </c>
      <c r="Q43" s="103">
        <f t="shared" si="85"/>
        <v>0</v>
      </c>
      <c r="R43" s="103">
        <f t="shared" si="85"/>
        <v>0</v>
      </c>
      <c r="S43" s="103">
        <f t="shared" ref="S43:U43" si="86">H43/SUM($H43:$J43)</f>
        <v>0</v>
      </c>
      <c r="T43" s="103">
        <f t="shared" si="86"/>
        <v>1</v>
      </c>
      <c r="U43" s="103">
        <f t="shared" si="86"/>
        <v>0</v>
      </c>
      <c r="V43" s="103"/>
      <c r="W43" s="103"/>
      <c r="X43" s="103"/>
    </row>
    <row r="44">
      <c r="K44" s="79"/>
      <c r="L44" s="79"/>
      <c r="N44" s="102" t="str">
        <f t="shared" si="87"/>
        <v/>
      </c>
      <c r="O44" s="37" t="str">
        <f t="shared" si="3"/>
        <v/>
      </c>
      <c r="P44" s="103">
        <f t="shared" ref="P44:R44" si="88">E44/SUM($E44:$G44)</f>
        <v>0.8974358974</v>
      </c>
      <c r="Q44" s="103">
        <f t="shared" si="88"/>
        <v>0.1025641026</v>
      </c>
      <c r="R44" s="103">
        <f t="shared" si="88"/>
        <v>0</v>
      </c>
      <c r="S44" s="103">
        <f t="shared" ref="S44:U44" si="89">H44/SUM($H44:$J44)</f>
        <v>0.2916666667</v>
      </c>
      <c r="T44" s="103">
        <f t="shared" si="89"/>
        <v>0.6666666667</v>
      </c>
      <c r="U44" s="103">
        <f t="shared" si="89"/>
        <v>0.04166666667</v>
      </c>
      <c r="V44" s="103"/>
      <c r="W44" s="103"/>
      <c r="X44" s="103"/>
    </row>
    <row r="45">
      <c r="K45" s="79"/>
      <c r="L45" s="79"/>
      <c r="O45" s="37" t="str">
        <f t="shared" si="3"/>
        <v>1 Primaria</v>
      </c>
      <c r="P45" s="103">
        <f t="shared" ref="P45:R45" si="90">E45/SUM($E45:$G45)</f>
        <v>1</v>
      </c>
      <c r="Q45" s="103">
        <f t="shared" si="90"/>
        <v>0</v>
      </c>
      <c r="R45" s="103">
        <f t="shared" si="90"/>
        <v>0</v>
      </c>
      <c r="S45" s="103">
        <f t="shared" ref="S45:U45" si="91">H45/SUM($H45:$J45)</f>
        <v>0.25</v>
      </c>
      <c r="T45" s="103">
        <f t="shared" si="91"/>
        <v>0.75</v>
      </c>
      <c r="U45" s="103">
        <f t="shared" si="91"/>
        <v>0</v>
      </c>
      <c r="V45" s="103"/>
      <c r="W45" s="103"/>
      <c r="X45" s="103"/>
    </row>
    <row r="46">
      <c r="K46" s="79"/>
      <c r="L46" s="79"/>
      <c r="O46" s="37" t="str">
        <f t="shared" si="3"/>
        <v>2 Primaria</v>
      </c>
      <c r="P46" s="103">
        <f t="shared" ref="P46:R46" si="92">E46/SUM($E46:$G46)</f>
        <v>0.6</v>
      </c>
      <c r="Q46" s="103">
        <f t="shared" si="92"/>
        <v>0.4</v>
      </c>
      <c r="R46" s="103">
        <f t="shared" si="92"/>
        <v>0</v>
      </c>
      <c r="S46" s="103">
        <f t="shared" ref="S46:U46" si="93">H46/SUM($H46:$J46)</f>
        <v>0.25</v>
      </c>
      <c r="T46" s="103">
        <f t="shared" si="93"/>
        <v>0.75</v>
      </c>
      <c r="U46" s="103">
        <f t="shared" si="93"/>
        <v>0</v>
      </c>
      <c r="V46" s="103"/>
      <c r="W46" s="103"/>
      <c r="X46" s="103"/>
    </row>
    <row r="47">
      <c r="K47" s="79"/>
      <c r="L47" s="79"/>
      <c r="O47" s="37" t="str">
        <f t="shared" si="3"/>
        <v>4 Primaria</v>
      </c>
      <c r="P47" s="103">
        <f t="shared" ref="P47:R47" si="94">E47/SUM($E47:$G47)</f>
        <v>0.6666666667</v>
      </c>
      <c r="Q47" s="103">
        <f t="shared" si="94"/>
        <v>0.3333333333</v>
      </c>
      <c r="R47" s="103">
        <f t="shared" si="94"/>
        <v>0</v>
      </c>
      <c r="S47" s="103">
        <f t="shared" ref="S47:U47" si="95">H47/SUM($H47:$J47)</f>
        <v>1</v>
      </c>
      <c r="T47" s="103">
        <f t="shared" si="95"/>
        <v>0</v>
      </c>
      <c r="U47" s="103">
        <f t="shared" si="95"/>
        <v>0</v>
      </c>
      <c r="V47" s="103"/>
      <c r="W47" s="103"/>
      <c r="X47" s="103"/>
    </row>
    <row r="48">
      <c r="K48" s="79"/>
      <c r="L48" s="79"/>
      <c r="N48" s="102" t="str">
        <f t="shared" ref="N48:N72" si="98">B48</f>
        <v/>
      </c>
      <c r="O48" s="37" t="str">
        <f t="shared" si="3"/>
        <v>6 Primaria</v>
      </c>
      <c r="P48" s="103">
        <f t="shared" ref="P48:R48" si="96">E48/SUM($E48:$G48)</f>
        <v>1</v>
      </c>
      <c r="Q48" s="103">
        <f t="shared" si="96"/>
        <v>0</v>
      </c>
      <c r="R48" s="103">
        <f t="shared" si="96"/>
        <v>0</v>
      </c>
      <c r="S48" s="103">
        <f t="shared" ref="S48:U48" si="97">H48/SUM($H48:$J48)</f>
        <v>1</v>
      </c>
      <c r="T48" s="103">
        <f t="shared" si="97"/>
        <v>0</v>
      </c>
      <c r="U48" s="103">
        <f t="shared" si="97"/>
        <v>0</v>
      </c>
      <c r="V48" s="103"/>
      <c r="W48" s="103"/>
      <c r="X48" s="103"/>
    </row>
    <row r="49">
      <c r="K49" s="79"/>
      <c r="L49" s="79"/>
      <c r="N49" s="102" t="str">
        <f t="shared" si="98"/>
        <v/>
      </c>
      <c r="O49" s="37" t="str">
        <f t="shared" si="3"/>
        <v/>
      </c>
      <c r="P49" s="103">
        <f t="shared" ref="P49:R49" si="99">E49/SUM($E49:$G49)</f>
        <v>0.8695652174</v>
      </c>
      <c r="Q49" s="103">
        <f t="shared" si="99"/>
        <v>0.1304347826</v>
      </c>
      <c r="R49" s="103">
        <f t="shared" si="99"/>
        <v>0</v>
      </c>
      <c r="S49" s="103">
        <f t="shared" ref="S49:U49" si="100">H49/SUM($H49:$J49)</f>
        <v>0.5</v>
      </c>
      <c r="T49" s="103">
        <f t="shared" si="100"/>
        <v>0.5</v>
      </c>
      <c r="U49" s="103">
        <f t="shared" si="100"/>
        <v>0</v>
      </c>
      <c r="V49" s="103"/>
      <c r="W49" s="103"/>
      <c r="X49" s="103"/>
    </row>
    <row r="50">
      <c r="A50" s="17"/>
      <c r="C50" s="79"/>
      <c r="D50" s="79"/>
      <c r="E50" s="79"/>
      <c r="F50" s="79"/>
      <c r="G50" s="79"/>
      <c r="H50" s="79"/>
      <c r="I50" s="79"/>
      <c r="J50" s="79"/>
      <c r="K50" s="79"/>
      <c r="L50" s="79"/>
      <c r="N50" s="102" t="str">
        <f t="shared" si="98"/>
        <v/>
      </c>
      <c r="P50" s="103"/>
      <c r="Q50" s="103"/>
      <c r="R50" s="103"/>
      <c r="S50" s="103"/>
      <c r="T50" s="103"/>
      <c r="U50" s="103"/>
      <c r="V50" s="103"/>
      <c r="W50" s="103"/>
      <c r="X50" s="103"/>
    </row>
    <row r="51">
      <c r="A51" s="17"/>
      <c r="C51" s="79"/>
      <c r="D51" s="79"/>
      <c r="E51" s="79"/>
      <c r="F51" s="79"/>
      <c r="G51" s="79"/>
      <c r="H51" s="79"/>
      <c r="I51" s="79"/>
      <c r="J51" s="79"/>
      <c r="K51" s="79"/>
      <c r="L51" s="79"/>
      <c r="N51" s="102" t="str">
        <f t="shared" si="98"/>
        <v/>
      </c>
      <c r="P51" s="103"/>
      <c r="Q51" s="103"/>
      <c r="R51" s="103"/>
      <c r="S51" s="103"/>
      <c r="T51" s="103"/>
      <c r="U51" s="103"/>
      <c r="V51" s="103"/>
      <c r="W51" s="103"/>
      <c r="X51" s="103"/>
    </row>
    <row r="52">
      <c r="A52" s="17"/>
      <c r="C52" s="79"/>
      <c r="D52" s="79"/>
      <c r="E52" s="79"/>
      <c r="F52" s="79"/>
      <c r="G52" s="79"/>
      <c r="H52" s="79"/>
      <c r="I52" s="79"/>
      <c r="J52" s="79"/>
      <c r="K52" s="79"/>
      <c r="L52" s="79"/>
      <c r="N52" s="102" t="str">
        <f t="shared" si="98"/>
        <v/>
      </c>
      <c r="P52" s="103"/>
      <c r="Q52" s="103"/>
      <c r="R52" s="103"/>
      <c r="S52" s="103"/>
      <c r="T52" s="103"/>
      <c r="U52" s="103"/>
      <c r="V52" s="103"/>
      <c r="W52" s="103"/>
      <c r="X52" s="103"/>
    </row>
    <row r="53">
      <c r="A53" s="17"/>
      <c r="C53" s="79"/>
      <c r="D53" s="79"/>
      <c r="E53" s="79"/>
      <c r="F53" s="79"/>
      <c r="G53" s="79"/>
      <c r="H53" s="79"/>
      <c r="I53" s="79"/>
      <c r="J53" s="79"/>
      <c r="K53" s="79"/>
      <c r="L53" s="79"/>
      <c r="N53" s="102" t="str">
        <f t="shared" si="98"/>
        <v/>
      </c>
      <c r="P53" s="103"/>
      <c r="Q53" s="103"/>
      <c r="R53" s="103"/>
      <c r="S53" s="103"/>
      <c r="T53" s="103"/>
      <c r="U53" s="103"/>
      <c r="V53" s="103"/>
      <c r="W53" s="103"/>
      <c r="X53" s="103"/>
    </row>
    <row r="54">
      <c r="A54" s="17"/>
      <c r="C54" s="79"/>
      <c r="D54" s="79"/>
      <c r="E54" s="79"/>
      <c r="F54" s="79"/>
      <c r="G54" s="79"/>
      <c r="H54" s="79"/>
      <c r="I54" s="79"/>
      <c r="J54" s="79"/>
      <c r="K54" s="79"/>
      <c r="L54" s="79"/>
      <c r="N54" s="102" t="str">
        <f t="shared" si="98"/>
        <v/>
      </c>
      <c r="P54" s="103"/>
      <c r="Q54" s="103"/>
      <c r="R54" s="103"/>
      <c r="S54" s="103"/>
      <c r="T54" s="103"/>
      <c r="U54" s="103"/>
      <c r="V54" s="103"/>
      <c r="W54" s="103"/>
      <c r="X54" s="103"/>
    </row>
    <row r="55">
      <c r="A55" s="17"/>
      <c r="C55" s="79"/>
      <c r="D55" s="79"/>
      <c r="E55" s="79"/>
      <c r="F55" s="79"/>
      <c r="G55" s="79"/>
      <c r="H55" s="79"/>
      <c r="I55" s="79"/>
      <c r="J55" s="79"/>
      <c r="K55" s="79"/>
      <c r="L55" s="79"/>
      <c r="N55" s="102" t="str">
        <f t="shared" si="98"/>
        <v/>
      </c>
      <c r="P55" s="103"/>
      <c r="Q55" s="103"/>
      <c r="R55" s="103"/>
      <c r="S55" s="103"/>
      <c r="T55" s="103"/>
      <c r="U55" s="103"/>
      <c r="V55" s="103"/>
      <c r="W55" s="103"/>
      <c r="X55" s="103"/>
    </row>
    <row r="56">
      <c r="A56" s="17"/>
      <c r="C56" s="79"/>
      <c r="D56" s="79"/>
      <c r="E56" s="79"/>
      <c r="F56" s="79"/>
      <c r="G56" s="79"/>
      <c r="H56" s="79"/>
      <c r="I56" s="79"/>
      <c r="J56" s="79"/>
      <c r="K56" s="79"/>
      <c r="L56" s="79"/>
      <c r="N56" s="102" t="str">
        <f t="shared" si="98"/>
        <v/>
      </c>
      <c r="P56" s="103"/>
      <c r="Q56" s="103"/>
      <c r="R56" s="103"/>
      <c r="S56" s="103"/>
      <c r="T56" s="103"/>
      <c r="U56" s="103"/>
      <c r="V56" s="103"/>
      <c r="W56" s="103"/>
      <c r="X56" s="103"/>
    </row>
    <row r="57">
      <c r="A57" s="17"/>
      <c r="C57" s="79"/>
      <c r="D57" s="79"/>
      <c r="E57" s="79"/>
      <c r="F57" s="79"/>
      <c r="G57" s="79"/>
      <c r="H57" s="79"/>
      <c r="I57" s="79"/>
      <c r="J57" s="79"/>
      <c r="K57" s="79"/>
      <c r="L57" s="79"/>
      <c r="N57" s="102" t="str">
        <f t="shared" si="98"/>
        <v/>
      </c>
      <c r="P57" s="103"/>
      <c r="Q57" s="103"/>
      <c r="R57" s="103"/>
      <c r="S57" s="103"/>
      <c r="T57" s="103"/>
      <c r="U57" s="103"/>
      <c r="V57" s="103"/>
      <c r="W57" s="103"/>
      <c r="X57" s="103"/>
    </row>
    <row r="58">
      <c r="A58" s="17"/>
      <c r="C58" s="79"/>
      <c r="D58" s="79"/>
      <c r="E58" s="79"/>
      <c r="F58" s="79"/>
      <c r="G58" s="79"/>
      <c r="H58" s="79"/>
      <c r="I58" s="79"/>
      <c r="J58" s="79"/>
      <c r="K58" s="79"/>
      <c r="L58" s="79"/>
      <c r="N58" s="102" t="str">
        <f t="shared" si="98"/>
        <v/>
      </c>
      <c r="P58" s="103"/>
      <c r="Q58" s="103"/>
      <c r="R58" s="103"/>
      <c r="S58" s="103"/>
      <c r="T58" s="103"/>
      <c r="U58" s="103"/>
      <c r="V58" s="103"/>
      <c r="W58" s="103"/>
      <c r="X58" s="103"/>
    </row>
    <row r="59">
      <c r="A59" s="17"/>
      <c r="C59" s="79"/>
      <c r="D59" s="79"/>
      <c r="E59" s="79"/>
      <c r="F59" s="79"/>
      <c r="G59" s="79"/>
      <c r="H59" s="79"/>
      <c r="I59" s="79"/>
      <c r="J59" s="79"/>
      <c r="K59" s="79"/>
      <c r="L59" s="79"/>
      <c r="N59" s="102" t="str">
        <f t="shared" si="98"/>
        <v/>
      </c>
      <c r="P59" s="103"/>
      <c r="Q59" s="103"/>
      <c r="R59" s="103"/>
      <c r="S59" s="103"/>
      <c r="T59" s="103"/>
      <c r="U59" s="103"/>
      <c r="V59" s="103"/>
      <c r="W59" s="103"/>
      <c r="X59" s="103"/>
    </row>
    <row r="60">
      <c r="A60" s="17"/>
      <c r="C60" s="79"/>
      <c r="D60" s="79"/>
      <c r="E60" s="79"/>
      <c r="F60" s="79"/>
      <c r="G60" s="79"/>
      <c r="H60" s="79"/>
      <c r="I60" s="79"/>
      <c r="J60" s="79"/>
      <c r="K60" s="79"/>
      <c r="L60" s="79"/>
      <c r="N60" s="102" t="str">
        <f t="shared" si="98"/>
        <v/>
      </c>
      <c r="P60" s="103"/>
      <c r="Q60" s="103"/>
      <c r="R60" s="103"/>
      <c r="S60" s="103"/>
      <c r="T60" s="103"/>
      <c r="U60" s="103"/>
      <c r="V60" s="103"/>
      <c r="W60" s="103"/>
      <c r="X60" s="103"/>
    </row>
    <row r="61">
      <c r="A61" s="17"/>
      <c r="C61" s="79"/>
      <c r="D61" s="79"/>
      <c r="E61" s="79"/>
      <c r="F61" s="79"/>
      <c r="G61" s="79"/>
      <c r="H61" s="79"/>
      <c r="I61" s="79"/>
      <c r="J61" s="79"/>
      <c r="K61" s="79"/>
      <c r="L61" s="79"/>
      <c r="N61" s="102" t="str">
        <f t="shared" si="98"/>
        <v/>
      </c>
      <c r="P61" s="103"/>
      <c r="Q61" s="103"/>
      <c r="R61" s="103"/>
      <c r="S61" s="103"/>
      <c r="T61" s="103"/>
      <c r="U61" s="103"/>
      <c r="V61" s="103"/>
      <c r="W61" s="103"/>
      <c r="X61" s="103"/>
    </row>
    <row r="62">
      <c r="A62" s="17"/>
      <c r="C62" s="79"/>
      <c r="D62" s="79"/>
      <c r="E62" s="79"/>
      <c r="F62" s="79"/>
      <c r="G62" s="79"/>
      <c r="H62" s="79"/>
      <c r="I62" s="79"/>
      <c r="J62" s="79"/>
      <c r="K62" s="79"/>
      <c r="L62" s="79"/>
      <c r="N62" s="102" t="str">
        <f t="shared" si="98"/>
        <v/>
      </c>
      <c r="P62" s="103"/>
      <c r="Q62" s="103"/>
      <c r="R62" s="103"/>
      <c r="S62" s="103"/>
      <c r="T62" s="103"/>
      <c r="U62" s="103"/>
      <c r="V62" s="103"/>
      <c r="W62" s="103"/>
      <c r="X62" s="103"/>
    </row>
    <row r="63">
      <c r="A63" s="17"/>
      <c r="C63" s="79"/>
      <c r="D63" s="79"/>
      <c r="E63" s="79"/>
      <c r="F63" s="79"/>
      <c r="G63" s="79"/>
      <c r="H63" s="79"/>
      <c r="I63" s="79"/>
      <c r="J63" s="79"/>
      <c r="K63" s="79"/>
      <c r="L63" s="79"/>
      <c r="N63" s="102" t="str">
        <f t="shared" si="98"/>
        <v/>
      </c>
      <c r="P63" s="103"/>
      <c r="Q63" s="103"/>
      <c r="R63" s="103"/>
      <c r="S63" s="103"/>
      <c r="T63" s="103"/>
      <c r="U63" s="103"/>
      <c r="V63" s="103"/>
      <c r="W63" s="103"/>
      <c r="X63" s="103"/>
    </row>
    <row r="64">
      <c r="A64" s="17"/>
      <c r="C64" s="79"/>
      <c r="D64" s="79"/>
      <c r="E64" s="79"/>
      <c r="F64" s="79"/>
      <c r="G64" s="79"/>
      <c r="H64" s="79"/>
      <c r="I64" s="79"/>
      <c r="J64" s="79"/>
      <c r="K64" s="79"/>
      <c r="L64" s="79"/>
      <c r="N64" s="102" t="str">
        <f t="shared" si="98"/>
        <v/>
      </c>
      <c r="P64" s="103"/>
      <c r="Q64" s="103"/>
      <c r="R64" s="103"/>
      <c r="S64" s="103"/>
      <c r="T64" s="103"/>
      <c r="U64" s="103"/>
      <c r="V64" s="103"/>
      <c r="W64" s="103"/>
      <c r="X64" s="103"/>
    </row>
    <row r="65">
      <c r="A65" s="17"/>
      <c r="C65" s="79"/>
      <c r="D65" s="79"/>
      <c r="E65" s="79"/>
      <c r="F65" s="79"/>
      <c r="G65" s="79"/>
      <c r="H65" s="79"/>
      <c r="I65" s="79"/>
      <c r="J65" s="79"/>
      <c r="K65" s="79"/>
      <c r="L65" s="79"/>
      <c r="N65" s="102" t="str">
        <f t="shared" si="98"/>
        <v/>
      </c>
      <c r="P65" s="103"/>
      <c r="Q65" s="103"/>
      <c r="R65" s="103"/>
      <c r="S65" s="103"/>
      <c r="T65" s="103"/>
      <c r="U65" s="103"/>
      <c r="V65" s="103"/>
      <c r="W65" s="103"/>
      <c r="X65" s="103"/>
    </row>
    <row r="66">
      <c r="A66" s="17"/>
      <c r="C66" s="79"/>
      <c r="D66" s="79"/>
      <c r="E66" s="79"/>
      <c r="F66" s="79"/>
      <c r="G66" s="79"/>
      <c r="H66" s="79"/>
      <c r="I66" s="79"/>
      <c r="J66" s="79"/>
      <c r="K66" s="79"/>
      <c r="L66" s="79"/>
      <c r="N66" s="102" t="str">
        <f t="shared" si="98"/>
        <v/>
      </c>
      <c r="P66" s="103"/>
      <c r="Q66" s="103"/>
      <c r="R66" s="103"/>
      <c r="S66" s="103"/>
      <c r="T66" s="103"/>
      <c r="U66" s="103"/>
      <c r="V66" s="103"/>
      <c r="W66" s="103"/>
      <c r="X66" s="103"/>
    </row>
    <row r="67">
      <c r="A67" s="17"/>
      <c r="C67" s="79"/>
      <c r="D67" s="79"/>
      <c r="E67" s="79"/>
      <c r="F67" s="79"/>
      <c r="G67" s="79"/>
      <c r="H67" s="79"/>
      <c r="I67" s="79"/>
      <c r="J67" s="79"/>
      <c r="K67" s="79"/>
      <c r="L67" s="79"/>
      <c r="N67" s="102" t="str">
        <f t="shared" si="98"/>
        <v/>
      </c>
      <c r="P67" s="103"/>
      <c r="Q67" s="103"/>
      <c r="R67" s="103"/>
      <c r="S67" s="103"/>
      <c r="T67" s="103"/>
      <c r="U67" s="103"/>
      <c r="V67" s="103"/>
      <c r="W67" s="103"/>
      <c r="X67" s="103"/>
    </row>
    <row r="68">
      <c r="A68" s="17"/>
      <c r="C68" s="79"/>
      <c r="D68" s="79"/>
      <c r="E68" s="79"/>
      <c r="F68" s="79"/>
      <c r="G68" s="79"/>
      <c r="H68" s="79"/>
      <c r="I68" s="79"/>
      <c r="J68" s="79"/>
      <c r="K68" s="79"/>
      <c r="L68" s="79"/>
      <c r="N68" s="102" t="str">
        <f t="shared" si="98"/>
        <v/>
      </c>
      <c r="P68" s="103"/>
      <c r="Q68" s="103"/>
      <c r="R68" s="103"/>
      <c r="S68" s="103"/>
      <c r="T68" s="103"/>
      <c r="U68" s="103"/>
      <c r="V68" s="103"/>
      <c r="W68" s="103"/>
      <c r="X68" s="103"/>
    </row>
    <row r="69">
      <c r="A69" s="17"/>
      <c r="C69" s="79"/>
      <c r="D69" s="79"/>
      <c r="E69" s="79"/>
      <c r="F69" s="79"/>
      <c r="G69" s="79"/>
      <c r="H69" s="79"/>
      <c r="I69" s="79"/>
      <c r="J69" s="79"/>
      <c r="K69" s="79"/>
      <c r="L69" s="79"/>
      <c r="N69" s="102" t="str">
        <f t="shared" si="98"/>
        <v/>
      </c>
      <c r="P69" s="103"/>
      <c r="Q69" s="103"/>
      <c r="R69" s="103"/>
      <c r="S69" s="103"/>
      <c r="T69" s="103"/>
      <c r="U69" s="103"/>
      <c r="V69" s="103"/>
      <c r="W69" s="103"/>
      <c r="X69" s="103"/>
    </row>
    <row r="70">
      <c r="A70" s="17"/>
      <c r="C70" s="79"/>
      <c r="D70" s="79"/>
      <c r="E70" s="79"/>
      <c r="F70" s="79"/>
      <c r="G70" s="79"/>
      <c r="H70" s="79"/>
      <c r="I70" s="79"/>
      <c r="J70" s="79"/>
      <c r="K70" s="79"/>
      <c r="L70" s="79"/>
      <c r="N70" s="102" t="str">
        <f t="shared" si="98"/>
        <v/>
      </c>
      <c r="P70" s="103"/>
      <c r="Q70" s="103"/>
      <c r="R70" s="103"/>
      <c r="S70" s="103"/>
      <c r="T70" s="103"/>
      <c r="U70" s="103"/>
      <c r="V70" s="103"/>
      <c r="W70" s="103"/>
      <c r="X70" s="103"/>
    </row>
    <row r="71">
      <c r="A71" s="17"/>
      <c r="C71" s="79"/>
      <c r="D71" s="79"/>
      <c r="E71" s="79"/>
      <c r="F71" s="79"/>
      <c r="G71" s="79"/>
      <c r="H71" s="79"/>
      <c r="I71" s="79"/>
      <c r="J71" s="79"/>
      <c r="K71" s="79"/>
      <c r="L71" s="79"/>
      <c r="N71" s="102" t="str">
        <f t="shared" si="98"/>
        <v/>
      </c>
      <c r="P71" s="103"/>
      <c r="Q71" s="103"/>
      <c r="R71" s="103"/>
      <c r="S71" s="103"/>
      <c r="T71" s="103"/>
      <c r="U71" s="103"/>
      <c r="V71" s="103"/>
      <c r="W71" s="103"/>
      <c r="X71" s="103"/>
    </row>
    <row r="72">
      <c r="A72" s="17"/>
      <c r="C72" s="102"/>
      <c r="D72" s="79"/>
      <c r="E72" s="79"/>
      <c r="F72" s="79"/>
      <c r="G72" s="79"/>
      <c r="H72" s="79"/>
      <c r="I72" s="79"/>
      <c r="J72" s="79"/>
      <c r="K72" s="79"/>
      <c r="L72" s="79"/>
      <c r="N72" s="102" t="str">
        <f t="shared" si="98"/>
        <v/>
      </c>
      <c r="P72" s="103"/>
      <c r="Q72" s="103"/>
      <c r="R72" s="103"/>
      <c r="S72" s="103"/>
      <c r="T72" s="103"/>
      <c r="U72" s="103"/>
      <c r="V72" s="103"/>
      <c r="W72" s="103"/>
      <c r="X72" s="103"/>
    </row>
    <row r="73">
      <c r="A73" s="17"/>
      <c r="C73" s="102"/>
      <c r="D73" s="89"/>
      <c r="E73" s="89"/>
      <c r="F73" s="89"/>
      <c r="G73" s="89"/>
      <c r="H73" s="89"/>
      <c r="I73" s="89"/>
      <c r="J73" s="89"/>
      <c r="K73" s="89"/>
      <c r="L73" s="89"/>
      <c r="N73" s="102"/>
      <c r="P73" s="103"/>
      <c r="Q73" s="103"/>
      <c r="R73" s="103"/>
      <c r="S73" s="103"/>
      <c r="T73" s="103"/>
      <c r="U73" s="103"/>
      <c r="V73" s="103"/>
      <c r="W73" s="103"/>
      <c r="X73" s="103"/>
    </row>
    <row r="74">
      <c r="A74" s="17"/>
      <c r="D74" s="103"/>
      <c r="E74" s="103"/>
      <c r="F74" s="103"/>
      <c r="G74" s="103"/>
      <c r="H74" s="103"/>
      <c r="I74" s="103"/>
      <c r="J74" s="103"/>
      <c r="K74" s="103"/>
      <c r="L74" s="103"/>
      <c r="N74" s="102"/>
    </row>
    <row r="75">
      <c r="A75" s="17"/>
      <c r="D75" s="103"/>
      <c r="E75" s="103"/>
      <c r="F75" s="103"/>
      <c r="G75" s="103"/>
      <c r="H75" s="103"/>
      <c r="I75" s="103"/>
      <c r="J75" s="103"/>
      <c r="K75" s="103"/>
      <c r="L75" s="103"/>
      <c r="N75" s="102"/>
    </row>
    <row r="76">
      <c r="A76" s="17"/>
      <c r="D76" s="103"/>
      <c r="E76" s="103"/>
      <c r="F76" s="103"/>
      <c r="G76" s="103"/>
      <c r="H76" s="103"/>
      <c r="I76" s="103"/>
      <c r="J76" s="103"/>
      <c r="K76" s="103"/>
      <c r="L76" s="103"/>
      <c r="N76" s="102"/>
    </row>
    <row r="77">
      <c r="A77" s="17"/>
      <c r="D77" s="103"/>
      <c r="E77" s="103"/>
      <c r="F77" s="103"/>
      <c r="G77" s="103"/>
      <c r="H77" s="103"/>
      <c r="I77" s="103"/>
      <c r="J77" s="103"/>
      <c r="K77" s="103"/>
      <c r="L77" s="103"/>
      <c r="N77" s="102"/>
    </row>
    <row r="78">
      <c r="A78" s="17"/>
      <c r="D78" s="103"/>
      <c r="E78" s="103"/>
      <c r="F78" s="103"/>
      <c r="G78" s="103"/>
      <c r="H78" s="103"/>
      <c r="I78" s="103"/>
      <c r="J78" s="103"/>
      <c r="K78" s="103"/>
      <c r="L78" s="103"/>
      <c r="N78" s="102"/>
    </row>
    <row r="79">
      <c r="A79" s="17"/>
      <c r="C79" s="79"/>
      <c r="D79" s="79"/>
      <c r="E79" s="79"/>
      <c r="F79" s="79"/>
      <c r="G79" s="79"/>
      <c r="H79" s="79"/>
      <c r="I79" s="79"/>
      <c r="J79" s="79"/>
      <c r="K79" s="79"/>
      <c r="L79" s="79"/>
      <c r="N79" s="102"/>
    </row>
    <row r="80">
      <c r="A80" s="17"/>
      <c r="C80" s="79"/>
      <c r="D80" s="79"/>
      <c r="E80" s="79"/>
      <c r="F80" s="79"/>
      <c r="G80" s="79"/>
      <c r="H80" s="79"/>
      <c r="I80" s="79"/>
      <c r="J80" s="79"/>
      <c r="K80" s="79"/>
      <c r="L80" s="79"/>
      <c r="N80" s="102"/>
    </row>
    <row r="81">
      <c r="A81" s="17"/>
      <c r="C81" s="79"/>
      <c r="D81" s="79"/>
      <c r="E81" s="79"/>
      <c r="F81" s="79"/>
      <c r="G81" s="79"/>
      <c r="H81" s="79"/>
      <c r="I81" s="79"/>
      <c r="J81" s="79"/>
      <c r="K81" s="79"/>
      <c r="L81" s="79"/>
      <c r="N81" s="102"/>
    </row>
    <row r="82">
      <c r="A82" s="17"/>
      <c r="C82" s="79"/>
      <c r="D82" s="79"/>
      <c r="E82" s="79"/>
      <c r="F82" s="79"/>
      <c r="G82" s="79"/>
      <c r="H82" s="79"/>
      <c r="I82" s="79"/>
      <c r="J82" s="79"/>
      <c r="K82" s="79"/>
      <c r="L82" s="79"/>
      <c r="N82" s="102"/>
    </row>
    <row r="83">
      <c r="A83" s="17"/>
      <c r="C83" s="79"/>
      <c r="D83" s="79"/>
      <c r="E83" s="79"/>
      <c r="F83" s="79"/>
      <c r="G83" s="79"/>
      <c r="H83" s="79"/>
      <c r="I83" s="79"/>
      <c r="J83" s="79"/>
      <c r="K83" s="79"/>
      <c r="L83" s="79"/>
      <c r="N83" s="102"/>
    </row>
    <row r="84">
      <c r="A84" s="17"/>
      <c r="C84" s="79"/>
      <c r="D84" s="79"/>
      <c r="E84" s="79"/>
      <c r="F84" s="79"/>
      <c r="G84" s="79"/>
      <c r="H84" s="79"/>
      <c r="I84" s="79"/>
      <c r="J84" s="79"/>
      <c r="K84" s="79"/>
      <c r="L84" s="79"/>
      <c r="N84" s="102"/>
    </row>
    <row r="85">
      <c r="A85" s="17"/>
      <c r="C85" s="79"/>
      <c r="D85" s="79"/>
      <c r="E85" s="79"/>
      <c r="F85" s="79"/>
      <c r="G85" s="79"/>
      <c r="H85" s="79"/>
      <c r="I85" s="79"/>
      <c r="J85" s="79"/>
      <c r="K85" s="79"/>
      <c r="L85" s="79"/>
      <c r="N85" s="102"/>
    </row>
    <row r="86">
      <c r="A86" s="17"/>
      <c r="C86" s="79"/>
      <c r="D86" s="79"/>
      <c r="E86" s="79"/>
      <c r="F86" s="79"/>
      <c r="G86" s="79"/>
      <c r="H86" s="79"/>
      <c r="I86" s="79"/>
      <c r="J86" s="79"/>
      <c r="K86" s="79"/>
      <c r="L86" s="79"/>
      <c r="N86" s="102"/>
    </row>
    <row r="87">
      <c r="A87" s="17"/>
      <c r="C87" s="79"/>
      <c r="D87" s="79"/>
      <c r="E87" s="79"/>
      <c r="F87" s="79"/>
      <c r="G87" s="79"/>
      <c r="H87" s="79"/>
      <c r="I87" s="79"/>
      <c r="J87" s="79"/>
      <c r="K87" s="79"/>
      <c r="L87" s="79"/>
      <c r="N87" s="102"/>
    </row>
    <row r="88">
      <c r="A88" s="17"/>
      <c r="C88" s="79"/>
      <c r="D88" s="79"/>
      <c r="E88" s="79"/>
      <c r="F88" s="79"/>
      <c r="G88" s="79"/>
      <c r="H88" s="79"/>
      <c r="I88" s="79"/>
      <c r="J88" s="79"/>
      <c r="K88" s="79"/>
      <c r="L88" s="79"/>
      <c r="N88" s="102"/>
    </row>
    <row r="89">
      <c r="A89" s="17"/>
      <c r="C89" s="79"/>
      <c r="D89" s="79"/>
      <c r="E89" s="79"/>
      <c r="F89" s="79"/>
      <c r="G89" s="79"/>
      <c r="H89" s="79"/>
      <c r="I89" s="79"/>
      <c r="J89" s="79"/>
      <c r="K89" s="79"/>
      <c r="L89" s="79"/>
      <c r="N89" s="102"/>
    </row>
    <row r="90">
      <c r="A90" s="17"/>
      <c r="C90" s="79"/>
      <c r="D90" s="79"/>
      <c r="E90" s="79"/>
      <c r="F90" s="79"/>
      <c r="G90" s="79"/>
      <c r="H90" s="79"/>
      <c r="I90" s="79"/>
      <c r="J90" s="79"/>
      <c r="K90" s="79"/>
      <c r="L90" s="79"/>
      <c r="N90" s="102"/>
    </row>
    <row r="91">
      <c r="A91" s="17"/>
      <c r="C91" s="79"/>
      <c r="D91" s="79"/>
      <c r="E91" s="79"/>
      <c r="F91" s="79"/>
      <c r="G91" s="79"/>
      <c r="H91" s="79"/>
      <c r="I91" s="79"/>
      <c r="J91" s="79"/>
      <c r="K91" s="79"/>
      <c r="L91" s="79"/>
      <c r="N91" s="102"/>
    </row>
    <row r="92">
      <c r="A92" s="17"/>
      <c r="C92" s="79"/>
      <c r="D92" s="79"/>
      <c r="E92" s="79"/>
      <c r="F92" s="79"/>
      <c r="G92" s="79"/>
      <c r="H92" s="79"/>
      <c r="I92" s="79"/>
      <c r="J92" s="79"/>
      <c r="K92" s="79"/>
      <c r="L92" s="79"/>
      <c r="N92" s="102"/>
    </row>
    <row r="93">
      <c r="A93" s="17"/>
      <c r="C93" s="79"/>
      <c r="D93" s="79"/>
      <c r="E93" s="79"/>
      <c r="F93" s="79"/>
      <c r="G93" s="79"/>
      <c r="H93" s="79"/>
      <c r="I93" s="79"/>
      <c r="J93" s="79"/>
      <c r="K93" s="79"/>
      <c r="L93" s="79"/>
      <c r="N93" s="102"/>
    </row>
    <row r="94">
      <c r="A94" s="17"/>
      <c r="C94" s="79"/>
      <c r="D94" s="79"/>
      <c r="E94" s="79"/>
      <c r="F94" s="79"/>
      <c r="G94" s="79"/>
      <c r="H94" s="79"/>
      <c r="I94" s="79"/>
      <c r="J94" s="79"/>
      <c r="K94" s="79"/>
      <c r="L94" s="79"/>
      <c r="N94" s="102"/>
    </row>
    <row r="95">
      <c r="A95" s="17"/>
      <c r="C95" s="79"/>
      <c r="D95" s="79"/>
      <c r="E95" s="79"/>
      <c r="F95" s="79"/>
      <c r="G95" s="79"/>
      <c r="H95" s="79"/>
      <c r="I95" s="79"/>
      <c r="J95" s="79"/>
      <c r="K95" s="79"/>
      <c r="L95" s="79"/>
      <c r="N95" s="102"/>
    </row>
    <row r="96">
      <c r="A96" s="17"/>
      <c r="C96" s="79"/>
      <c r="D96" s="79"/>
      <c r="E96" s="79"/>
      <c r="F96" s="79"/>
      <c r="G96" s="79"/>
      <c r="H96" s="79"/>
      <c r="I96" s="79"/>
      <c r="J96" s="79"/>
      <c r="K96" s="79"/>
      <c r="L96" s="79"/>
      <c r="N96" s="102"/>
    </row>
    <row r="97">
      <c r="A97" s="17"/>
      <c r="C97" s="79"/>
      <c r="D97" s="79"/>
      <c r="E97" s="79"/>
      <c r="F97" s="79"/>
      <c r="G97" s="79"/>
      <c r="H97" s="79"/>
      <c r="I97" s="79"/>
      <c r="J97" s="79"/>
      <c r="K97" s="79"/>
      <c r="L97" s="79"/>
      <c r="N97" s="102"/>
    </row>
    <row r="98">
      <c r="A98" s="17"/>
      <c r="C98" s="79"/>
      <c r="D98" s="79"/>
      <c r="E98" s="79"/>
      <c r="F98" s="79"/>
      <c r="G98" s="79"/>
      <c r="H98" s="79"/>
      <c r="I98" s="79"/>
      <c r="J98" s="79"/>
      <c r="K98" s="79"/>
      <c r="L98" s="79"/>
      <c r="N98" s="102"/>
    </row>
    <row r="99">
      <c r="A99" s="17"/>
      <c r="C99" s="79"/>
      <c r="D99" s="79"/>
      <c r="E99" s="79"/>
      <c r="F99" s="79"/>
      <c r="G99" s="79"/>
      <c r="H99" s="79"/>
      <c r="I99" s="79"/>
      <c r="J99" s="79"/>
      <c r="K99" s="79"/>
      <c r="L99" s="79"/>
      <c r="N99" s="102"/>
    </row>
    <row r="100">
      <c r="A100" s="17"/>
      <c r="C100" s="79"/>
      <c r="D100" s="79"/>
      <c r="E100" s="79"/>
      <c r="F100" s="79"/>
      <c r="G100" s="79"/>
      <c r="H100" s="79"/>
      <c r="I100" s="79"/>
      <c r="J100" s="79"/>
      <c r="K100" s="79"/>
      <c r="L100" s="79"/>
      <c r="N100" s="102"/>
    </row>
    <row r="101">
      <c r="A101" s="17"/>
      <c r="C101" s="79"/>
      <c r="D101" s="79"/>
      <c r="E101" s="79"/>
      <c r="F101" s="79"/>
      <c r="G101" s="79"/>
      <c r="H101" s="79"/>
      <c r="I101" s="79"/>
      <c r="J101" s="79"/>
      <c r="K101" s="79"/>
      <c r="L101" s="79"/>
      <c r="N101" s="102"/>
    </row>
    <row r="102">
      <c r="A102" s="17"/>
      <c r="C102" s="79"/>
      <c r="D102" s="79"/>
      <c r="E102" s="79"/>
      <c r="F102" s="79"/>
      <c r="G102" s="79"/>
      <c r="H102" s="79"/>
      <c r="I102" s="79"/>
      <c r="J102" s="79"/>
      <c r="K102" s="79"/>
      <c r="L102" s="79"/>
      <c r="N102" s="102"/>
    </row>
    <row r="103">
      <c r="A103" s="17"/>
      <c r="C103" s="79"/>
      <c r="D103" s="79"/>
      <c r="E103" s="79"/>
      <c r="F103" s="79"/>
      <c r="G103" s="79"/>
      <c r="H103" s="79"/>
      <c r="I103" s="79"/>
      <c r="J103" s="79"/>
      <c r="K103" s="79"/>
      <c r="L103" s="79"/>
      <c r="N103" s="102"/>
    </row>
    <row r="104">
      <c r="A104" s="17"/>
      <c r="C104" s="79"/>
      <c r="D104" s="79"/>
      <c r="E104" s="79"/>
      <c r="F104" s="79"/>
      <c r="G104" s="79"/>
      <c r="H104" s="79"/>
      <c r="I104" s="79"/>
      <c r="J104" s="79"/>
      <c r="K104" s="79"/>
      <c r="L104" s="79"/>
      <c r="N104" s="102"/>
    </row>
    <row r="105">
      <c r="A105" s="17"/>
      <c r="C105" s="79"/>
      <c r="D105" s="79"/>
      <c r="E105" s="79"/>
      <c r="F105" s="79"/>
      <c r="G105" s="79"/>
      <c r="H105" s="79"/>
      <c r="I105" s="79"/>
      <c r="J105" s="79"/>
      <c r="K105" s="79"/>
      <c r="L105" s="79"/>
      <c r="N105" s="102"/>
    </row>
    <row r="106">
      <c r="A106" s="17"/>
      <c r="C106" s="79"/>
      <c r="D106" s="79"/>
      <c r="E106" s="79"/>
      <c r="F106" s="79"/>
      <c r="G106" s="79"/>
      <c r="H106" s="79"/>
      <c r="I106" s="79"/>
      <c r="J106" s="79"/>
      <c r="K106" s="79"/>
      <c r="L106" s="79"/>
      <c r="N106" s="102"/>
    </row>
    <row r="107">
      <c r="A107" s="17"/>
      <c r="C107" s="79"/>
      <c r="D107" s="79"/>
      <c r="E107" s="79"/>
      <c r="F107" s="79"/>
      <c r="G107" s="79"/>
      <c r="H107" s="79"/>
      <c r="I107" s="79"/>
      <c r="J107" s="79"/>
      <c r="K107" s="79"/>
      <c r="L107" s="79"/>
      <c r="N107" s="102"/>
    </row>
    <row r="108">
      <c r="A108" s="17"/>
      <c r="C108" s="79"/>
      <c r="D108" s="79"/>
      <c r="E108" s="79"/>
      <c r="F108" s="79"/>
      <c r="G108" s="79"/>
      <c r="H108" s="79"/>
      <c r="I108" s="79"/>
      <c r="J108" s="79"/>
      <c r="K108" s="79"/>
      <c r="L108" s="79"/>
      <c r="N108" s="102"/>
    </row>
    <row r="109">
      <c r="A109" s="17"/>
      <c r="C109" s="79"/>
      <c r="D109" s="79"/>
      <c r="E109" s="79"/>
      <c r="F109" s="79"/>
      <c r="G109" s="79"/>
      <c r="H109" s="79"/>
      <c r="I109" s="79"/>
      <c r="J109" s="79"/>
      <c r="K109" s="79"/>
      <c r="L109" s="79"/>
      <c r="N109" s="102"/>
    </row>
    <row r="110">
      <c r="A110" s="17"/>
      <c r="C110" s="79"/>
      <c r="D110" s="79"/>
      <c r="E110" s="79"/>
      <c r="F110" s="79"/>
      <c r="G110" s="79"/>
      <c r="H110" s="79"/>
      <c r="I110" s="79"/>
      <c r="J110" s="79"/>
      <c r="K110" s="79"/>
      <c r="L110" s="79"/>
      <c r="N110" s="102"/>
    </row>
    <row r="111">
      <c r="A111" s="17"/>
      <c r="C111" s="79"/>
      <c r="D111" s="79"/>
      <c r="E111" s="79"/>
      <c r="F111" s="79"/>
      <c r="G111" s="79"/>
      <c r="H111" s="79"/>
      <c r="I111" s="79"/>
      <c r="J111" s="79"/>
      <c r="K111" s="79"/>
      <c r="L111" s="79"/>
      <c r="N111" s="102"/>
    </row>
    <row r="112">
      <c r="A112" s="17"/>
      <c r="C112" s="79"/>
      <c r="D112" s="79"/>
      <c r="E112" s="79"/>
      <c r="F112" s="79"/>
      <c r="G112" s="79"/>
      <c r="H112" s="79"/>
      <c r="I112" s="79"/>
      <c r="J112" s="79"/>
      <c r="K112" s="79"/>
      <c r="L112" s="79"/>
      <c r="N112" s="102"/>
    </row>
    <row r="113">
      <c r="A113" s="17"/>
      <c r="C113" s="79"/>
      <c r="D113" s="79"/>
      <c r="E113" s="79"/>
      <c r="F113" s="79"/>
      <c r="G113" s="79"/>
      <c r="H113" s="79"/>
      <c r="I113" s="79"/>
      <c r="J113" s="79"/>
      <c r="K113" s="79"/>
      <c r="L113" s="79"/>
      <c r="N113" s="102"/>
    </row>
    <row r="114">
      <c r="A114" s="17"/>
      <c r="C114" s="79"/>
      <c r="D114" s="79"/>
      <c r="E114" s="79"/>
      <c r="F114" s="79"/>
      <c r="G114" s="79"/>
      <c r="H114" s="79"/>
      <c r="I114" s="79"/>
      <c r="J114" s="79"/>
      <c r="K114" s="79"/>
      <c r="L114" s="79"/>
      <c r="N114" s="102"/>
    </row>
    <row r="115">
      <c r="A115" s="17"/>
      <c r="C115" s="79"/>
      <c r="D115" s="79"/>
      <c r="E115" s="79"/>
      <c r="F115" s="79"/>
      <c r="G115" s="79"/>
      <c r="H115" s="79"/>
      <c r="I115" s="79"/>
      <c r="J115" s="79"/>
      <c r="K115" s="79"/>
      <c r="L115" s="79"/>
      <c r="N115" s="102"/>
    </row>
    <row r="116">
      <c r="A116" s="17"/>
      <c r="C116" s="79"/>
      <c r="D116" s="79"/>
      <c r="E116" s="79"/>
      <c r="F116" s="79"/>
      <c r="G116" s="79"/>
      <c r="H116" s="79"/>
      <c r="I116" s="79"/>
      <c r="J116" s="79"/>
      <c r="K116" s="79"/>
      <c r="L116" s="79"/>
      <c r="N116" s="102"/>
    </row>
    <row r="117">
      <c r="A117" s="17"/>
      <c r="C117" s="79"/>
      <c r="D117" s="79"/>
      <c r="E117" s="79"/>
      <c r="F117" s="79"/>
      <c r="G117" s="79"/>
      <c r="H117" s="79"/>
      <c r="I117" s="79"/>
      <c r="J117" s="79"/>
      <c r="K117" s="79"/>
      <c r="L117" s="79"/>
      <c r="N117" s="102"/>
    </row>
    <row r="118">
      <c r="A118" s="17"/>
      <c r="C118" s="79"/>
      <c r="D118" s="79"/>
      <c r="E118" s="79"/>
      <c r="F118" s="79"/>
      <c r="G118" s="79"/>
      <c r="H118" s="79"/>
      <c r="I118" s="79"/>
      <c r="J118" s="79"/>
      <c r="K118" s="79"/>
      <c r="L118" s="79"/>
      <c r="N118" s="102"/>
    </row>
    <row r="119">
      <c r="A119" s="17"/>
      <c r="C119" s="79"/>
      <c r="D119" s="79"/>
      <c r="E119" s="79"/>
      <c r="F119" s="79"/>
      <c r="G119" s="79"/>
      <c r="H119" s="79"/>
      <c r="I119" s="79"/>
      <c r="J119" s="79"/>
      <c r="K119" s="79"/>
      <c r="L119" s="79"/>
      <c r="N119" s="102"/>
    </row>
    <row r="120">
      <c r="A120" s="17"/>
      <c r="C120" s="79"/>
      <c r="D120" s="79"/>
      <c r="E120" s="79"/>
      <c r="F120" s="79"/>
      <c r="G120" s="79"/>
      <c r="H120" s="79"/>
      <c r="I120" s="79"/>
      <c r="J120" s="79"/>
      <c r="K120" s="79"/>
      <c r="L120" s="79"/>
      <c r="N120" s="102"/>
    </row>
    <row r="121">
      <c r="A121" s="17"/>
      <c r="C121" s="79"/>
      <c r="D121" s="79"/>
      <c r="E121" s="79"/>
      <c r="F121" s="79"/>
      <c r="G121" s="79"/>
      <c r="H121" s="79"/>
      <c r="I121" s="79"/>
      <c r="J121" s="79"/>
      <c r="K121" s="79"/>
      <c r="L121" s="79"/>
      <c r="N121" s="102"/>
    </row>
    <row r="122">
      <c r="A122" s="17"/>
      <c r="C122" s="79"/>
      <c r="D122" s="79"/>
      <c r="E122" s="79"/>
      <c r="F122" s="79"/>
      <c r="G122" s="79"/>
      <c r="H122" s="79"/>
      <c r="I122" s="79"/>
      <c r="J122" s="79"/>
      <c r="K122" s="79"/>
      <c r="L122" s="79"/>
      <c r="N122" s="102"/>
    </row>
    <row r="123">
      <c r="A123" s="17"/>
      <c r="C123" s="79"/>
      <c r="D123" s="79"/>
      <c r="E123" s="79"/>
      <c r="F123" s="79"/>
      <c r="G123" s="79"/>
      <c r="H123" s="79"/>
      <c r="I123" s="79"/>
      <c r="J123" s="79"/>
      <c r="K123" s="79"/>
      <c r="L123" s="79"/>
      <c r="N123" s="102"/>
    </row>
    <row r="124">
      <c r="A124" s="17"/>
      <c r="C124" s="79"/>
      <c r="D124" s="79"/>
      <c r="E124" s="79"/>
      <c r="F124" s="79"/>
      <c r="G124" s="79"/>
      <c r="H124" s="79"/>
      <c r="I124" s="79"/>
      <c r="J124" s="79"/>
      <c r="K124" s="79"/>
      <c r="L124" s="79"/>
      <c r="N124" s="102"/>
    </row>
    <row r="125">
      <c r="A125" s="17"/>
      <c r="C125" s="79"/>
      <c r="D125" s="79"/>
      <c r="E125" s="79"/>
      <c r="F125" s="79"/>
      <c r="G125" s="79"/>
      <c r="H125" s="79"/>
      <c r="I125" s="79"/>
      <c r="J125" s="79"/>
      <c r="K125" s="79"/>
      <c r="L125" s="79"/>
      <c r="N125" s="102"/>
    </row>
    <row r="126">
      <c r="A126" s="17"/>
      <c r="C126" s="79"/>
      <c r="D126" s="79"/>
      <c r="E126" s="79"/>
      <c r="F126" s="79"/>
      <c r="G126" s="79"/>
      <c r="H126" s="79"/>
      <c r="I126" s="79"/>
      <c r="J126" s="79"/>
      <c r="K126" s="79"/>
      <c r="L126" s="79"/>
      <c r="N126" s="102"/>
    </row>
    <row r="127">
      <c r="A127" s="17"/>
      <c r="C127" s="79"/>
      <c r="D127" s="79"/>
      <c r="E127" s="79"/>
      <c r="F127" s="79"/>
      <c r="G127" s="79"/>
      <c r="H127" s="79"/>
      <c r="I127" s="79"/>
      <c r="J127" s="79"/>
      <c r="K127" s="79"/>
      <c r="L127" s="79"/>
      <c r="N127" s="102"/>
    </row>
    <row r="128">
      <c r="A128" s="17"/>
      <c r="C128" s="79"/>
      <c r="D128" s="79"/>
      <c r="E128" s="79"/>
      <c r="F128" s="79"/>
      <c r="G128" s="79"/>
      <c r="H128" s="79"/>
      <c r="I128" s="79"/>
      <c r="J128" s="79"/>
      <c r="K128" s="79"/>
      <c r="L128" s="79"/>
      <c r="N128" s="102"/>
    </row>
    <row r="129">
      <c r="A129" s="17"/>
      <c r="C129" s="79"/>
      <c r="D129" s="79"/>
      <c r="E129" s="79"/>
      <c r="F129" s="79"/>
      <c r="G129" s="79"/>
      <c r="H129" s="79"/>
      <c r="I129" s="79"/>
      <c r="J129" s="79"/>
      <c r="K129" s="79"/>
      <c r="L129" s="79"/>
      <c r="N129" s="102"/>
    </row>
    <row r="130">
      <c r="A130" s="17"/>
      <c r="C130" s="79"/>
      <c r="D130" s="79"/>
      <c r="E130" s="79"/>
      <c r="F130" s="79"/>
      <c r="G130" s="79"/>
      <c r="H130" s="79"/>
      <c r="I130" s="79"/>
      <c r="J130" s="79"/>
      <c r="K130" s="79"/>
      <c r="L130" s="79"/>
      <c r="N130" s="102"/>
    </row>
    <row r="131">
      <c r="A131" s="17"/>
      <c r="C131" s="79"/>
      <c r="D131" s="79"/>
      <c r="E131" s="79"/>
      <c r="F131" s="79"/>
      <c r="G131" s="79"/>
      <c r="H131" s="79"/>
      <c r="I131" s="79"/>
      <c r="J131" s="79"/>
      <c r="K131" s="79"/>
      <c r="L131" s="79"/>
      <c r="N131" s="102"/>
    </row>
    <row r="132">
      <c r="A132" s="17"/>
      <c r="C132" s="79"/>
      <c r="D132" s="79"/>
      <c r="E132" s="79"/>
      <c r="F132" s="79"/>
      <c r="G132" s="79"/>
      <c r="H132" s="79"/>
      <c r="I132" s="79"/>
      <c r="J132" s="79"/>
      <c r="K132" s="79"/>
      <c r="L132" s="79"/>
      <c r="N132" s="102"/>
    </row>
    <row r="133">
      <c r="A133" s="17"/>
      <c r="C133" s="79"/>
      <c r="D133" s="79"/>
      <c r="E133" s="79"/>
      <c r="F133" s="79"/>
      <c r="G133" s="79"/>
      <c r="H133" s="79"/>
      <c r="I133" s="79"/>
      <c r="J133" s="79"/>
      <c r="K133" s="79"/>
      <c r="L133" s="79"/>
      <c r="N133" s="102"/>
    </row>
    <row r="134">
      <c r="A134" s="17"/>
      <c r="C134" s="79"/>
      <c r="D134" s="79"/>
      <c r="E134" s="79"/>
      <c r="F134" s="79"/>
      <c r="G134" s="79"/>
      <c r="H134" s="79"/>
      <c r="I134" s="79"/>
      <c r="J134" s="79"/>
      <c r="K134" s="79"/>
      <c r="L134" s="79"/>
      <c r="N134" s="102"/>
    </row>
    <row r="135">
      <c r="A135" s="17"/>
      <c r="C135" s="79"/>
      <c r="D135" s="79"/>
      <c r="E135" s="79"/>
      <c r="F135" s="79"/>
      <c r="G135" s="79"/>
      <c r="H135" s="79"/>
      <c r="I135" s="79"/>
      <c r="J135" s="79"/>
      <c r="K135" s="79"/>
      <c r="L135" s="79"/>
      <c r="N135" s="102"/>
    </row>
    <row r="136">
      <c r="A136" s="17"/>
      <c r="C136" s="79"/>
      <c r="D136" s="79"/>
      <c r="E136" s="79"/>
      <c r="F136" s="79"/>
      <c r="G136" s="79"/>
      <c r="H136" s="79"/>
      <c r="I136" s="79"/>
      <c r="J136" s="79"/>
      <c r="K136" s="79"/>
      <c r="L136" s="79"/>
      <c r="N136" s="102"/>
    </row>
    <row r="137">
      <c r="A137" s="17"/>
      <c r="C137" s="79"/>
      <c r="D137" s="79"/>
      <c r="E137" s="79"/>
      <c r="F137" s="79"/>
      <c r="G137" s="79"/>
      <c r="H137" s="79"/>
      <c r="I137" s="79"/>
      <c r="J137" s="79"/>
      <c r="K137" s="79"/>
      <c r="L137" s="79"/>
      <c r="N137" s="102"/>
    </row>
    <row r="138">
      <c r="A138" s="17"/>
      <c r="C138" s="79"/>
      <c r="D138" s="79"/>
      <c r="E138" s="79"/>
      <c r="F138" s="79"/>
      <c r="G138" s="79"/>
      <c r="H138" s="79"/>
      <c r="I138" s="79"/>
      <c r="J138" s="79"/>
      <c r="K138" s="79"/>
      <c r="L138" s="79"/>
      <c r="N138" s="102"/>
    </row>
    <row r="139">
      <c r="A139" s="17"/>
      <c r="C139" s="79"/>
      <c r="D139" s="79"/>
      <c r="E139" s="79"/>
      <c r="F139" s="79"/>
      <c r="G139" s="79"/>
      <c r="H139" s="79"/>
      <c r="I139" s="79"/>
      <c r="J139" s="79"/>
      <c r="K139" s="79"/>
      <c r="L139" s="79"/>
      <c r="N139" s="102"/>
    </row>
    <row r="140">
      <c r="A140" s="17"/>
      <c r="C140" s="79"/>
      <c r="D140" s="79"/>
      <c r="E140" s="79"/>
      <c r="F140" s="79"/>
      <c r="G140" s="79"/>
      <c r="H140" s="79"/>
      <c r="I140" s="79"/>
      <c r="J140" s="79"/>
      <c r="K140" s="79"/>
      <c r="L140" s="79"/>
      <c r="N140" s="102"/>
    </row>
    <row r="141">
      <c r="A141" s="17"/>
      <c r="C141" s="79"/>
      <c r="D141" s="79"/>
      <c r="E141" s="79"/>
      <c r="F141" s="79"/>
      <c r="G141" s="79"/>
      <c r="H141" s="79"/>
      <c r="I141" s="79"/>
      <c r="J141" s="79"/>
      <c r="K141" s="79"/>
      <c r="L141" s="79"/>
      <c r="N141" s="102"/>
    </row>
    <row r="142">
      <c r="A142" s="17"/>
      <c r="C142" s="79"/>
      <c r="D142" s="79"/>
      <c r="E142" s="79"/>
      <c r="F142" s="79"/>
      <c r="G142" s="79"/>
      <c r="H142" s="79"/>
      <c r="I142" s="79"/>
      <c r="J142" s="79"/>
      <c r="K142" s="79"/>
      <c r="L142" s="79"/>
      <c r="N142" s="102"/>
    </row>
    <row r="143">
      <c r="A143" s="17"/>
      <c r="C143" s="79"/>
      <c r="D143" s="79"/>
      <c r="E143" s="79"/>
      <c r="F143" s="79"/>
      <c r="G143" s="79"/>
      <c r="H143" s="79"/>
      <c r="I143" s="79"/>
      <c r="J143" s="79"/>
      <c r="K143" s="79"/>
      <c r="L143" s="79"/>
      <c r="N143" s="102"/>
    </row>
    <row r="144">
      <c r="A144" s="17"/>
      <c r="C144" s="79"/>
      <c r="D144" s="79"/>
      <c r="E144" s="79"/>
      <c r="F144" s="79"/>
      <c r="G144" s="79"/>
      <c r="H144" s="79"/>
      <c r="I144" s="79"/>
      <c r="J144" s="79"/>
      <c r="K144" s="79"/>
      <c r="L144" s="79"/>
      <c r="N144" s="102"/>
    </row>
    <row r="145">
      <c r="A145" s="17"/>
      <c r="C145" s="79"/>
      <c r="D145" s="79"/>
      <c r="E145" s="79"/>
      <c r="F145" s="79"/>
      <c r="G145" s="79"/>
      <c r="H145" s="79"/>
      <c r="I145" s="79"/>
      <c r="J145" s="79"/>
      <c r="K145" s="79"/>
      <c r="L145" s="79"/>
      <c r="N145" s="102"/>
    </row>
    <row r="146">
      <c r="A146" s="17"/>
      <c r="C146" s="79"/>
      <c r="D146" s="79"/>
      <c r="E146" s="79"/>
      <c r="F146" s="79"/>
      <c r="G146" s="79"/>
      <c r="H146" s="79"/>
      <c r="I146" s="79"/>
      <c r="J146" s="79"/>
      <c r="K146" s="79"/>
      <c r="L146" s="79"/>
      <c r="N146" s="102"/>
    </row>
    <row r="147">
      <c r="A147" s="17"/>
      <c r="C147" s="79"/>
      <c r="D147" s="79"/>
      <c r="E147" s="79"/>
      <c r="F147" s="79"/>
      <c r="G147" s="79"/>
      <c r="H147" s="79"/>
      <c r="I147" s="79"/>
      <c r="J147" s="79"/>
      <c r="K147" s="79"/>
      <c r="L147" s="79"/>
      <c r="N147" s="102"/>
    </row>
    <row r="148">
      <c r="A148" s="17"/>
      <c r="C148" s="79"/>
      <c r="D148" s="79"/>
      <c r="E148" s="79"/>
      <c r="F148" s="79"/>
      <c r="G148" s="79"/>
      <c r="H148" s="79"/>
      <c r="I148" s="79"/>
      <c r="J148" s="79"/>
      <c r="K148" s="79"/>
      <c r="L148" s="79"/>
      <c r="N148" s="102"/>
    </row>
    <row r="149">
      <c r="A149" s="17"/>
      <c r="C149" s="79"/>
      <c r="D149" s="79"/>
      <c r="E149" s="79"/>
      <c r="F149" s="79"/>
      <c r="G149" s="79"/>
      <c r="H149" s="79"/>
      <c r="I149" s="79"/>
      <c r="J149" s="79"/>
      <c r="K149" s="79"/>
      <c r="L149" s="79"/>
      <c r="N149" s="102"/>
    </row>
    <row r="150">
      <c r="A150" s="17"/>
      <c r="C150" s="79"/>
      <c r="D150" s="79"/>
      <c r="E150" s="79"/>
      <c r="F150" s="79"/>
      <c r="G150" s="79"/>
      <c r="H150" s="79"/>
      <c r="I150" s="79"/>
      <c r="J150" s="79"/>
      <c r="K150" s="79"/>
      <c r="L150" s="79"/>
      <c r="N150" s="102"/>
    </row>
    <row r="151">
      <c r="A151" s="17"/>
      <c r="C151" s="79"/>
      <c r="D151" s="79"/>
      <c r="E151" s="79"/>
      <c r="F151" s="79"/>
      <c r="G151" s="79"/>
      <c r="H151" s="79"/>
      <c r="I151" s="79"/>
      <c r="J151" s="79"/>
      <c r="K151" s="79"/>
      <c r="L151" s="79"/>
      <c r="N151" s="102"/>
    </row>
    <row r="152">
      <c r="A152" s="17"/>
      <c r="C152" s="79"/>
      <c r="D152" s="79"/>
      <c r="E152" s="79"/>
      <c r="F152" s="79"/>
      <c r="G152" s="79"/>
      <c r="H152" s="79"/>
      <c r="I152" s="79"/>
      <c r="J152" s="79"/>
      <c r="K152" s="79"/>
      <c r="L152" s="79"/>
      <c r="N152" s="102"/>
    </row>
    <row r="153">
      <c r="A153" s="17"/>
      <c r="C153" s="79"/>
      <c r="D153" s="79"/>
      <c r="E153" s="79"/>
      <c r="F153" s="79"/>
      <c r="G153" s="79"/>
      <c r="H153" s="79"/>
      <c r="I153" s="79"/>
      <c r="J153" s="79"/>
      <c r="K153" s="79"/>
      <c r="L153" s="79"/>
      <c r="N153" s="102"/>
    </row>
    <row r="154">
      <c r="A154" s="17"/>
      <c r="C154" s="79"/>
      <c r="D154" s="79"/>
      <c r="E154" s="79"/>
      <c r="F154" s="79"/>
      <c r="G154" s="79"/>
      <c r="H154" s="79"/>
      <c r="I154" s="79"/>
      <c r="J154" s="79"/>
      <c r="K154" s="79"/>
      <c r="L154" s="79"/>
      <c r="N154" s="102"/>
    </row>
    <row r="155">
      <c r="A155" s="17"/>
      <c r="C155" s="79"/>
      <c r="D155" s="79"/>
      <c r="E155" s="79"/>
      <c r="F155" s="79"/>
      <c r="G155" s="79"/>
      <c r="H155" s="79"/>
      <c r="I155" s="79"/>
      <c r="J155" s="79"/>
      <c r="K155" s="79"/>
      <c r="L155" s="79"/>
      <c r="N155" s="102"/>
    </row>
    <row r="156">
      <c r="A156" s="17"/>
      <c r="C156" s="79"/>
      <c r="D156" s="79"/>
      <c r="E156" s="79"/>
      <c r="F156" s="79"/>
      <c r="G156" s="79"/>
      <c r="H156" s="79"/>
      <c r="I156" s="79"/>
      <c r="J156" s="79"/>
      <c r="K156" s="79"/>
      <c r="L156" s="79"/>
      <c r="N156" s="102"/>
    </row>
    <row r="157">
      <c r="A157" s="17"/>
      <c r="C157" s="79"/>
      <c r="D157" s="79"/>
      <c r="E157" s="79"/>
      <c r="F157" s="79"/>
      <c r="G157" s="79"/>
      <c r="H157" s="79"/>
      <c r="I157" s="79"/>
      <c r="J157" s="79"/>
      <c r="K157" s="79"/>
      <c r="L157" s="79"/>
      <c r="N157" s="102"/>
    </row>
    <row r="158">
      <c r="A158" s="17"/>
      <c r="C158" s="79"/>
      <c r="D158" s="79"/>
      <c r="E158" s="79"/>
      <c r="F158" s="79"/>
      <c r="G158" s="79"/>
      <c r="H158" s="79"/>
      <c r="I158" s="79"/>
      <c r="J158" s="79"/>
      <c r="K158" s="79"/>
      <c r="L158" s="79"/>
      <c r="N158" s="102"/>
    </row>
    <row r="159">
      <c r="A159" s="17"/>
      <c r="C159" s="79"/>
      <c r="D159" s="79"/>
      <c r="E159" s="79"/>
      <c r="F159" s="79"/>
      <c r="G159" s="79"/>
      <c r="H159" s="79"/>
      <c r="I159" s="79"/>
      <c r="J159" s="79"/>
      <c r="K159" s="79"/>
      <c r="L159" s="79"/>
      <c r="N159" s="102"/>
    </row>
    <row r="160">
      <c r="A160" s="17"/>
      <c r="C160" s="79"/>
      <c r="D160" s="79"/>
      <c r="E160" s="79"/>
      <c r="F160" s="79"/>
      <c r="G160" s="79"/>
      <c r="H160" s="79"/>
      <c r="I160" s="79"/>
      <c r="J160" s="79"/>
      <c r="K160" s="79"/>
      <c r="L160" s="79"/>
      <c r="N160" s="102"/>
    </row>
    <row r="161">
      <c r="A161" s="17"/>
      <c r="C161" s="79"/>
      <c r="D161" s="79"/>
      <c r="E161" s="79"/>
      <c r="F161" s="79"/>
      <c r="G161" s="79"/>
      <c r="H161" s="79"/>
      <c r="I161" s="79"/>
      <c r="J161" s="79"/>
      <c r="K161" s="79"/>
      <c r="L161" s="79"/>
      <c r="N161" s="102"/>
    </row>
    <row r="162">
      <c r="A162" s="17"/>
      <c r="C162" s="79"/>
      <c r="D162" s="79"/>
      <c r="E162" s="79"/>
      <c r="F162" s="79"/>
      <c r="G162" s="79"/>
      <c r="H162" s="79"/>
      <c r="I162" s="79"/>
      <c r="J162" s="79"/>
      <c r="K162" s="79"/>
      <c r="L162" s="79"/>
      <c r="N162" s="102"/>
    </row>
    <row r="163">
      <c r="A163" s="17"/>
      <c r="C163" s="79"/>
      <c r="D163" s="79"/>
      <c r="E163" s="79"/>
      <c r="F163" s="79"/>
      <c r="G163" s="79"/>
      <c r="H163" s="79"/>
      <c r="I163" s="79"/>
      <c r="J163" s="79"/>
      <c r="K163" s="79"/>
      <c r="L163" s="79"/>
      <c r="N163" s="102"/>
    </row>
    <row r="164">
      <c r="A164" s="17"/>
      <c r="C164" s="79"/>
      <c r="D164" s="79"/>
      <c r="E164" s="79"/>
      <c r="F164" s="79"/>
      <c r="G164" s="79"/>
      <c r="H164" s="79"/>
      <c r="I164" s="79"/>
      <c r="J164" s="79"/>
      <c r="K164" s="79"/>
      <c r="L164" s="79"/>
      <c r="N164" s="102"/>
    </row>
    <row r="165">
      <c r="A165" s="17"/>
      <c r="C165" s="79"/>
      <c r="D165" s="79"/>
      <c r="E165" s="79"/>
      <c r="F165" s="79"/>
      <c r="G165" s="79"/>
      <c r="H165" s="79"/>
      <c r="I165" s="79"/>
      <c r="J165" s="79"/>
      <c r="K165" s="79"/>
      <c r="L165" s="79"/>
      <c r="N165" s="102"/>
    </row>
    <row r="166">
      <c r="A166" s="17"/>
      <c r="C166" s="79"/>
      <c r="D166" s="79"/>
      <c r="E166" s="79"/>
      <c r="F166" s="79"/>
      <c r="G166" s="79"/>
      <c r="H166" s="79"/>
      <c r="I166" s="79"/>
      <c r="J166" s="79"/>
      <c r="K166" s="79"/>
      <c r="L166" s="79"/>
      <c r="N166" s="102"/>
    </row>
    <row r="167">
      <c r="A167" s="17"/>
      <c r="C167" s="79"/>
      <c r="D167" s="79"/>
      <c r="E167" s="79"/>
      <c r="F167" s="79"/>
      <c r="G167" s="79"/>
      <c r="H167" s="79"/>
      <c r="I167" s="79"/>
      <c r="J167" s="79"/>
      <c r="K167" s="79"/>
      <c r="L167" s="79"/>
      <c r="N167" s="102"/>
    </row>
    <row r="168">
      <c r="A168" s="17"/>
      <c r="C168" s="79"/>
      <c r="D168" s="79"/>
      <c r="E168" s="79"/>
      <c r="F168" s="79"/>
      <c r="G168" s="79"/>
      <c r="H168" s="79"/>
      <c r="I168" s="79"/>
      <c r="J168" s="79"/>
      <c r="K168" s="79"/>
      <c r="L168" s="79"/>
      <c r="N168" s="102"/>
    </row>
    <row r="169">
      <c r="A169" s="17"/>
      <c r="C169" s="79"/>
      <c r="D169" s="79"/>
      <c r="E169" s="79"/>
      <c r="F169" s="79"/>
      <c r="G169" s="79"/>
      <c r="H169" s="79"/>
      <c r="I169" s="79"/>
      <c r="J169" s="79"/>
      <c r="K169" s="79"/>
      <c r="L169" s="79"/>
      <c r="N169" s="102"/>
    </row>
    <row r="170">
      <c r="A170" s="17"/>
      <c r="C170" s="79"/>
      <c r="D170" s="79"/>
      <c r="E170" s="79"/>
      <c r="F170" s="79"/>
      <c r="G170" s="79"/>
      <c r="H170" s="79"/>
      <c r="I170" s="79"/>
      <c r="J170" s="79"/>
      <c r="K170" s="79"/>
      <c r="L170" s="79"/>
      <c r="N170" s="102"/>
    </row>
    <row r="171">
      <c r="A171" s="17"/>
      <c r="C171" s="79"/>
      <c r="D171" s="79"/>
      <c r="E171" s="79"/>
      <c r="F171" s="79"/>
      <c r="G171" s="79"/>
      <c r="H171" s="79"/>
      <c r="I171" s="79"/>
      <c r="J171" s="79"/>
      <c r="K171" s="79"/>
      <c r="L171" s="79"/>
      <c r="N171" s="102"/>
    </row>
    <row r="172">
      <c r="A172" s="17"/>
      <c r="C172" s="79"/>
      <c r="D172" s="79"/>
      <c r="E172" s="79"/>
      <c r="F172" s="79"/>
      <c r="G172" s="79"/>
      <c r="H172" s="79"/>
      <c r="I172" s="79"/>
      <c r="J172" s="79"/>
      <c r="K172" s="79"/>
      <c r="L172" s="79"/>
      <c r="N172" s="102"/>
    </row>
    <row r="173">
      <c r="A173" s="17"/>
      <c r="C173" s="79"/>
      <c r="D173" s="79"/>
      <c r="E173" s="79"/>
      <c r="F173" s="79"/>
      <c r="G173" s="79"/>
      <c r="H173" s="79"/>
      <c r="I173" s="79"/>
      <c r="J173" s="79"/>
      <c r="K173" s="79"/>
      <c r="L173" s="79"/>
      <c r="N173" s="102"/>
    </row>
    <row r="174">
      <c r="A174" s="17"/>
      <c r="C174" s="79"/>
      <c r="D174" s="79"/>
      <c r="E174" s="79"/>
      <c r="F174" s="79"/>
      <c r="G174" s="79"/>
      <c r="H174" s="79"/>
      <c r="I174" s="79"/>
      <c r="J174" s="79"/>
      <c r="K174" s="79"/>
      <c r="L174" s="79"/>
      <c r="N174" s="102"/>
    </row>
    <row r="175">
      <c r="A175" s="17"/>
      <c r="C175" s="79"/>
      <c r="D175" s="79"/>
      <c r="E175" s="79"/>
      <c r="F175" s="79"/>
      <c r="G175" s="79"/>
      <c r="H175" s="79"/>
      <c r="I175" s="79"/>
      <c r="J175" s="79"/>
      <c r="K175" s="79"/>
      <c r="L175" s="79"/>
      <c r="N175" s="102"/>
    </row>
    <row r="176">
      <c r="A176" s="17"/>
      <c r="C176" s="79"/>
      <c r="D176" s="79"/>
      <c r="E176" s="79"/>
      <c r="F176" s="79"/>
      <c r="G176" s="79"/>
      <c r="H176" s="79"/>
      <c r="I176" s="79"/>
      <c r="J176" s="79"/>
      <c r="K176" s="79"/>
      <c r="L176" s="79"/>
      <c r="N176" s="102"/>
    </row>
    <row r="177">
      <c r="A177" s="17"/>
      <c r="C177" s="79"/>
      <c r="D177" s="79"/>
      <c r="E177" s="79"/>
      <c r="F177" s="79"/>
      <c r="G177" s="79"/>
      <c r="H177" s="79"/>
      <c r="I177" s="79"/>
      <c r="J177" s="79"/>
      <c r="K177" s="79"/>
      <c r="L177" s="79"/>
      <c r="N177" s="102"/>
    </row>
    <row r="178">
      <c r="A178" s="17"/>
      <c r="C178" s="79"/>
      <c r="D178" s="79"/>
      <c r="E178" s="79"/>
      <c r="F178" s="79"/>
      <c r="G178" s="79"/>
      <c r="H178" s="79"/>
      <c r="I178" s="79"/>
      <c r="J178" s="79"/>
      <c r="K178" s="79"/>
      <c r="L178" s="79"/>
      <c r="N178" s="102"/>
    </row>
    <row r="179">
      <c r="A179" s="17"/>
      <c r="C179" s="79"/>
      <c r="D179" s="79"/>
      <c r="E179" s="79"/>
      <c r="F179" s="79"/>
      <c r="G179" s="79"/>
      <c r="H179" s="79"/>
      <c r="I179" s="79"/>
      <c r="J179" s="79"/>
      <c r="K179" s="79"/>
      <c r="L179" s="79"/>
      <c r="N179" s="102"/>
    </row>
    <row r="180">
      <c r="A180" s="17"/>
      <c r="C180" s="79"/>
      <c r="D180" s="79"/>
      <c r="E180" s="79"/>
      <c r="F180" s="79"/>
      <c r="G180" s="79"/>
      <c r="H180" s="79"/>
      <c r="I180" s="79"/>
      <c r="J180" s="79"/>
      <c r="K180" s="79"/>
      <c r="L180" s="79"/>
      <c r="N180" s="102"/>
    </row>
    <row r="181">
      <c r="A181" s="17"/>
      <c r="C181" s="79"/>
      <c r="D181" s="79"/>
      <c r="E181" s="79"/>
      <c r="F181" s="79"/>
      <c r="G181" s="79"/>
      <c r="H181" s="79"/>
      <c r="I181" s="79"/>
      <c r="J181" s="79"/>
      <c r="K181" s="79"/>
      <c r="L181" s="79"/>
      <c r="N181" s="102"/>
    </row>
    <row r="182">
      <c r="A182" s="17"/>
      <c r="C182" s="79"/>
      <c r="D182" s="79"/>
      <c r="E182" s="79"/>
      <c r="F182" s="79"/>
      <c r="G182" s="79"/>
      <c r="H182" s="79"/>
      <c r="I182" s="79"/>
      <c r="J182" s="79"/>
      <c r="K182" s="79"/>
      <c r="L182" s="79"/>
      <c r="N182" s="102"/>
    </row>
    <row r="183">
      <c r="A183" s="17"/>
      <c r="C183" s="79"/>
      <c r="D183" s="79"/>
      <c r="E183" s="79"/>
      <c r="F183" s="79"/>
      <c r="G183" s="79"/>
      <c r="H183" s="79"/>
      <c r="I183" s="79"/>
      <c r="J183" s="79"/>
      <c r="K183" s="79"/>
      <c r="L183" s="79"/>
      <c r="N183" s="102"/>
    </row>
    <row r="184">
      <c r="A184" s="17"/>
      <c r="C184" s="79"/>
      <c r="D184" s="79"/>
      <c r="E184" s="79"/>
      <c r="F184" s="79"/>
      <c r="G184" s="79"/>
      <c r="H184" s="79"/>
      <c r="I184" s="79"/>
      <c r="J184" s="79"/>
      <c r="K184" s="79"/>
      <c r="L184" s="79"/>
      <c r="N184" s="102"/>
    </row>
    <row r="185">
      <c r="A185" s="17"/>
      <c r="C185" s="79"/>
      <c r="D185" s="79"/>
      <c r="E185" s="79"/>
      <c r="F185" s="79"/>
      <c r="G185" s="79"/>
      <c r="H185" s="79"/>
      <c r="I185" s="79"/>
      <c r="J185" s="79"/>
      <c r="K185" s="79"/>
      <c r="L185" s="79"/>
      <c r="N185" s="102"/>
    </row>
    <row r="186">
      <c r="A186" s="17"/>
      <c r="C186" s="79"/>
      <c r="D186" s="79"/>
      <c r="E186" s="79"/>
      <c r="F186" s="79"/>
      <c r="G186" s="79"/>
      <c r="H186" s="79"/>
      <c r="I186" s="79"/>
      <c r="J186" s="79"/>
      <c r="K186" s="79"/>
      <c r="L186" s="79"/>
      <c r="N186" s="102"/>
    </row>
    <row r="187">
      <c r="A187" s="17"/>
      <c r="C187" s="79"/>
      <c r="D187" s="79"/>
      <c r="E187" s="79"/>
      <c r="F187" s="79"/>
      <c r="G187" s="79"/>
      <c r="H187" s="79"/>
      <c r="I187" s="79"/>
      <c r="J187" s="79"/>
      <c r="K187" s="79"/>
      <c r="L187" s="79"/>
      <c r="N187" s="102"/>
    </row>
    <row r="188">
      <c r="A188" s="17"/>
      <c r="C188" s="79"/>
      <c r="D188" s="79"/>
      <c r="E188" s="79"/>
      <c r="F188" s="79"/>
      <c r="G188" s="79"/>
      <c r="H188" s="79"/>
      <c r="I188" s="79"/>
      <c r="J188" s="79"/>
      <c r="K188" s="79"/>
      <c r="L188" s="79"/>
      <c r="N188" s="102"/>
    </row>
    <row r="189">
      <c r="A189" s="17"/>
      <c r="C189" s="79"/>
      <c r="D189" s="79"/>
      <c r="E189" s="79"/>
      <c r="F189" s="79"/>
      <c r="G189" s="79"/>
      <c r="H189" s="79"/>
      <c r="I189" s="79"/>
      <c r="J189" s="79"/>
      <c r="K189" s="79"/>
      <c r="L189" s="79"/>
      <c r="N189" s="102"/>
    </row>
    <row r="190">
      <c r="A190" s="17"/>
      <c r="C190" s="79"/>
      <c r="D190" s="79"/>
      <c r="E190" s="79"/>
      <c r="F190" s="79"/>
      <c r="G190" s="79"/>
      <c r="H190" s="79"/>
      <c r="I190" s="79"/>
      <c r="J190" s="79"/>
      <c r="K190" s="79"/>
      <c r="L190" s="79"/>
      <c r="N190" s="102"/>
    </row>
    <row r="191">
      <c r="A191" s="17"/>
      <c r="C191" s="79"/>
      <c r="D191" s="79"/>
      <c r="E191" s="79"/>
      <c r="F191" s="79"/>
      <c r="G191" s="79"/>
      <c r="H191" s="79"/>
      <c r="I191" s="79"/>
      <c r="J191" s="79"/>
      <c r="K191" s="79"/>
      <c r="L191" s="79"/>
      <c r="N191" s="102"/>
    </row>
    <row r="192">
      <c r="A192" s="17"/>
      <c r="C192" s="79"/>
      <c r="D192" s="79"/>
      <c r="E192" s="79"/>
      <c r="F192" s="79"/>
      <c r="G192" s="79"/>
      <c r="H192" s="79"/>
      <c r="I192" s="79"/>
      <c r="J192" s="79"/>
      <c r="K192" s="79"/>
      <c r="L192" s="79"/>
      <c r="N192" s="102"/>
    </row>
    <row r="193">
      <c r="A193" s="17"/>
      <c r="C193" s="79"/>
      <c r="D193" s="79"/>
      <c r="E193" s="79"/>
      <c r="F193" s="79"/>
      <c r="G193" s="79"/>
      <c r="H193" s="79"/>
      <c r="I193" s="79"/>
      <c r="J193" s="79"/>
      <c r="K193" s="79"/>
      <c r="L193" s="79"/>
      <c r="N193" s="102"/>
    </row>
    <row r="194">
      <c r="A194" s="17"/>
      <c r="C194" s="79"/>
      <c r="D194" s="79"/>
      <c r="E194" s="79"/>
      <c r="F194" s="79"/>
      <c r="G194" s="79"/>
      <c r="H194" s="79"/>
      <c r="I194" s="79"/>
      <c r="J194" s="79"/>
      <c r="K194" s="79"/>
      <c r="L194" s="79"/>
      <c r="N194" s="102"/>
    </row>
    <row r="195">
      <c r="A195" s="17"/>
      <c r="C195" s="79"/>
      <c r="D195" s="79"/>
      <c r="E195" s="79"/>
      <c r="F195" s="79"/>
      <c r="G195" s="79"/>
      <c r="H195" s="79"/>
      <c r="I195" s="79"/>
      <c r="J195" s="79"/>
      <c r="K195" s="79"/>
      <c r="L195" s="79"/>
      <c r="N195" s="102"/>
    </row>
    <row r="196">
      <c r="A196" s="17"/>
      <c r="C196" s="79"/>
      <c r="D196" s="79"/>
      <c r="E196" s="79"/>
      <c r="F196" s="79"/>
      <c r="G196" s="79"/>
      <c r="H196" s="79"/>
      <c r="I196" s="79"/>
      <c r="J196" s="79"/>
      <c r="K196" s="79"/>
      <c r="L196" s="79"/>
      <c r="N196" s="102"/>
    </row>
    <row r="197">
      <c r="A197" s="17"/>
      <c r="C197" s="79"/>
      <c r="D197" s="79"/>
      <c r="E197" s="79"/>
      <c r="F197" s="79"/>
      <c r="G197" s="79"/>
      <c r="H197" s="79"/>
      <c r="I197" s="79"/>
      <c r="J197" s="79"/>
      <c r="K197" s="79"/>
      <c r="L197" s="79"/>
      <c r="N197" s="102"/>
    </row>
    <row r="198">
      <c r="A198" s="17"/>
      <c r="C198" s="79"/>
      <c r="D198" s="79"/>
      <c r="E198" s="79"/>
      <c r="F198" s="79"/>
      <c r="G198" s="79"/>
      <c r="H198" s="79"/>
      <c r="I198" s="79"/>
      <c r="J198" s="79"/>
      <c r="K198" s="79"/>
      <c r="L198" s="79"/>
      <c r="N198" s="102"/>
    </row>
    <row r="199">
      <c r="A199" s="17"/>
      <c r="C199" s="79"/>
      <c r="D199" s="79"/>
      <c r="E199" s="79"/>
      <c r="F199" s="79"/>
      <c r="G199" s="79"/>
      <c r="H199" s="79"/>
      <c r="I199" s="79"/>
      <c r="J199" s="79"/>
      <c r="K199" s="79"/>
      <c r="L199" s="79"/>
      <c r="N199" s="102"/>
    </row>
    <row r="200">
      <c r="A200" s="17"/>
      <c r="C200" s="79"/>
      <c r="D200" s="79"/>
      <c r="E200" s="79"/>
      <c r="F200" s="79"/>
      <c r="G200" s="79"/>
      <c r="H200" s="79"/>
      <c r="I200" s="79"/>
      <c r="J200" s="79"/>
      <c r="K200" s="79"/>
      <c r="L200" s="79"/>
      <c r="N200" s="102"/>
    </row>
    <row r="201">
      <c r="A201" s="17"/>
      <c r="C201" s="79"/>
      <c r="D201" s="79"/>
      <c r="E201" s="79"/>
      <c r="F201" s="79"/>
      <c r="G201" s="79"/>
      <c r="H201" s="79"/>
      <c r="I201" s="79"/>
      <c r="J201" s="79"/>
      <c r="K201" s="79"/>
      <c r="L201" s="79"/>
      <c r="N201" s="102"/>
    </row>
    <row r="202">
      <c r="A202" s="17"/>
      <c r="C202" s="79"/>
      <c r="D202" s="79"/>
      <c r="E202" s="79"/>
      <c r="F202" s="79"/>
      <c r="G202" s="79"/>
      <c r="H202" s="79"/>
      <c r="I202" s="79"/>
      <c r="J202" s="79"/>
      <c r="K202" s="79"/>
      <c r="L202" s="79"/>
      <c r="N202" s="102"/>
    </row>
    <row r="203">
      <c r="A203" s="17"/>
      <c r="C203" s="79"/>
      <c r="D203" s="79"/>
      <c r="E203" s="79"/>
      <c r="F203" s="79"/>
      <c r="G203" s="79"/>
      <c r="H203" s="79"/>
      <c r="I203" s="79"/>
      <c r="J203" s="79"/>
      <c r="K203" s="79"/>
      <c r="L203" s="79"/>
      <c r="N203" s="102"/>
    </row>
    <row r="204">
      <c r="A204" s="17"/>
      <c r="C204" s="79"/>
      <c r="D204" s="79"/>
      <c r="E204" s="79"/>
      <c r="F204" s="79"/>
      <c r="G204" s="79"/>
      <c r="H204" s="79"/>
      <c r="I204" s="79"/>
      <c r="J204" s="79"/>
      <c r="K204" s="79"/>
      <c r="L204" s="79"/>
      <c r="N204" s="102"/>
    </row>
    <row r="205">
      <c r="A205" s="17"/>
      <c r="C205" s="79"/>
      <c r="D205" s="79"/>
      <c r="E205" s="79"/>
      <c r="F205" s="79"/>
      <c r="G205" s="79"/>
      <c r="H205" s="79"/>
      <c r="I205" s="79"/>
      <c r="J205" s="79"/>
      <c r="K205" s="79"/>
      <c r="L205" s="79"/>
      <c r="N205" s="102"/>
    </row>
    <row r="206">
      <c r="A206" s="17"/>
      <c r="C206" s="79"/>
      <c r="D206" s="79"/>
      <c r="E206" s="79"/>
      <c r="F206" s="79"/>
      <c r="G206" s="79"/>
      <c r="H206" s="79"/>
      <c r="I206" s="79"/>
      <c r="J206" s="79"/>
      <c r="K206" s="79"/>
      <c r="L206" s="79"/>
      <c r="N206" s="102"/>
    </row>
    <row r="207">
      <c r="A207" s="17"/>
      <c r="C207" s="79"/>
      <c r="D207" s="79"/>
      <c r="E207" s="79"/>
      <c r="F207" s="79"/>
      <c r="G207" s="79"/>
      <c r="H207" s="79"/>
      <c r="I207" s="79"/>
      <c r="J207" s="79"/>
      <c r="K207" s="79"/>
      <c r="L207" s="79"/>
      <c r="N207" s="102"/>
    </row>
    <row r="208">
      <c r="A208" s="17"/>
      <c r="C208" s="79"/>
      <c r="D208" s="79"/>
      <c r="E208" s="79"/>
      <c r="F208" s="79"/>
      <c r="G208" s="79"/>
      <c r="H208" s="79"/>
      <c r="I208" s="79"/>
      <c r="J208" s="79"/>
      <c r="K208" s="79"/>
      <c r="L208" s="79"/>
      <c r="N208" s="102"/>
    </row>
    <row r="209">
      <c r="A209" s="17"/>
      <c r="C209" s="79"/>
      <c r="D209" s="79"/>
      <c r="E209" s="79"/>
      <c r="F209" s="79"/>
      <c r="G209" s="79"/>
      <c r="H209" s="79"/>
      <c r="I209" s="79"/>
      <c r="J209" s="79"/>
      <c r="K209" s="79"/>
      <c r="L209" s="79"/>
      <c r="N209" s="102"/>
    </row>
    <row r="210">
      <c r="A210" s="17"/>
      <c r="C210" s="79"/>
      <c r="D210" s="79"/>
      <c r="E210" s="79"/>
      <c r="F210" s="79"/>
      <c r="G210" s="79"/>
      <c r="H210" s="79"/>
      <c r="I210" s="79"/>
      <c r="J210" s="79"/>
      <c r="K210" s="79"/>
      <c r="L210" s="79"/>
      <c r="N210" s="102"/>
    </row>
    <row r="211">
      <c r="A211" s="17"/>
      <c r="C211" s="79"/>
      <c r="D211" s="79"/>
      <c r="E211" s="79"/>
      <c r="F211" s="79"/>
      <c r="G211" s="79"/>
      <c r="H211" s="79"/>
      <c r="I211" s="79"/>
      <c r="J211" s="79"/>
      <c r="K211" s="79"/>
      <c r="L211" s="79"/>
      <c r="N211" s="102"/>
    </row>
    <row r="212">
      <c r="A212" s="17"/>
      <c r="C212" s="79"/>
      <c r="D212" s="79"/>
      <c r="E212" s="79"/>
      <c r="F212" s="79"/>
      <c r="G212" s="79"/>
      <c r="H212" s="79"/>
      <c r="I212" s="79"/>
      <c r="J212" s="79"/>
      <c r="K212" s="79"/>
      <c r="L212" s="79"/>
      <c r="N212" s="102"/>
    </row>
    <row r="213">
      <c r="A213" s="17"/>
      <c r="C213" s="79"/>
      <c r="D213" s="79"/>
      <c r="E213" s="79"/>
      <c r="F213" s="79"/>
      <c r="G213" s="79"/>
      <c r="H213" s="79"/>
      <c r="I213" s="79"/>
      <c r="J213" s="79"/>
      <c r="K213" s="79"/>
      <c r="L213" s="79"/>
      <c r="N213" s="102"/>
    </row>
    <row r="214">
      <c r="A214" s="17"/>
      <c r="C214" s="79"/>
      <c r="D214" s="79"/>
      <c r="E214" s="79"/>
      <c r="F214" s="79"/>
      <c r="G214" s="79"/>
      <c r="H214" s="79"/>
      <c r="I214" s="79"/>
      <c r="J214" s="79"/>
      <c r="K214" s="79"/>
      <c r="L214" s="79"/>
      <c r="N214" s="102"/>
    </row>
    <row r="215">
      <c r="A215" s="17"/>
      <c r="C215" s="79"/>
      <c r="D215" s="79"/>
      <c r="E215" s="79"/>
      <c r="F215" s="79"/>
      <c r="G215" s="79"/>
      <c r="H215" s="79"/>
      <c r="I215" s="79"/>
      <c r="J215" s="79"/>
      <c r="K215" s="79"/>
      <c r="L215" s="79"/>
      <c r="N215" s="102"/>
    </row>
    <row r="216">
      <c r="A216" s="17"/>
      <c r="C216" s="79"/>
      <c r="D216" s="79"/>
      <c r="E216" s="79"/>
      <c r="F216" s="79"/>
      <c r="G216" s="79"/>
      <c r="H216" s="79"/>
      <c r="I216" s="79"/>
      <c r="J216" s="79"/>
      <c r="K216" s="79"/>
      <c r="L216" s="79"/>
      <c r="N216" s="102"/>
    </row>
    <row r="217">
      <c r="A217" s="17"/>
      <c r="C217" s="79"/>
      <c r="D217" s="79"/>
      <c r="E217" s="79"/>
      <c r="F217" s="79"/>
      <c r="G217" s="79"/>
      <c r="H217" s="79"/>
      <c r="I217" s="79"/>
      <c r="J217" s="79"/>
      <c r="K217" s="79"/>
      <c r="L217" s="79"/>
      <c r="N217" s="102"/>
    </row>
    <row r="218">
      <c r="A218" s="17"/>
      <c r="C218" s="79"/>
      <c r="D218" s="79"/>
      <c r="E218" s="79"/>
      <c r="F218" s="79"/>
      <c r="G218" s="79"/>
      <c r="H218" s="79"/>
      <c r="I218" s="79"/>
      <c r="J218" s="79"/>
      <c r="K218" s="79"/>
      <c r="L218" s="79"/>
      <c r="N218" s="102"/>
    </row>
    <row r="219">
      <c r="A219" s="17"/>
      <c r="C219" s="79"/>
      <c r="D219" s="79"/>
      <c r="E219" s="79"/>
      <c r="F219" s="79"/>
      <c r="G219" s="79"/>
      <c r="H219" s="79"/>
      <c r="I219" s="79"/>
      <c r="J219" s="79"/>
      <c r="K219" s="79"/>
      <c r="L219" s="79"/>
      <c r="N219" s="102"/>
    </row>
    <row r="220">
      <c r="A220" s="17"/>
      <c r="C220" s="79"/>
      <c r="D220" s="79"/>
      <c r="E220" s="79"/>
      <c r="F220" s="79"/>
      <c r="G220" s="79"/>
      <c r="H220" s="79"/>
      <c r="I220" s="79"/>
      <c r="J220" s="79"/>
      <c r="K220" s="79"/>
      <c r="L220" s="79"/>
      <c r="N220" s="102"/>
    </row>
    <row r="221">
      <c r="A221" s="17"/>
      <c r="C221" s="79"/>
      <c r="D221" s="79"/>
      <c r="E221" s="79"/>
      <c r="F221" s="79"/>
      <c r="G221" s="79"/>
      <c r="H221" s="79"/>
      <c r="I221" s="79"/>
      <c r="J221" s="79"/>
      <c r="K221" s="79"/>
      <c r="L221" s="79"/>
      <c r="N221" s="102"/>
    </row>
    <row r="222">
      <c r="A222" s="17"/>
      <c r="C222" s="79"/>
      <c r="D222" s="79"/>
      <c r="E222" s="79"/>
      <c r="F222" s="79"/>
      <c r="G222" s="79"/>
      <c r="H222" s="79"/>
      <c r="I222" s="79"/>
      <c r="J222" s="79"/>
      <c r="K222" s="79"/>
      <c r="L222" s="79"/>
      <c r="N222" s="102"/>
    </row>
    <row r="223">
      <c r="A223" s="17"/>
      <c r="C223" s="79"/>
      <c r="D223" s="79"/>
      <c r="E223" s="79"/>
      <c r="F223" s="79"/>
      <c r="G223" s="79"/>
      <c r="H223" s="79"/>
      <c r="I223" s="79"/>
      <c r="J223" s="79"/>
      <c r="K223" s="79"/>
      <c r="L223" s="79"/>
      <c r="N223" s="102"/>
    </row>
    <row r="224">
      <c r="A224" s="17"/>
      <c r="C224" s="79"/>
      <c r="D224" s="79"/>
      <c r="E224" s="79"/>
      <c r="F224" s="79"/>
      <c r="G224" s="79"/>
      <c r="H224" s="79"/>
      <c r="I224" s="79"/>
      <c r="J224" s="79"/>
      <c r="K224" s="79"/>
      <c r="L224" s="79"/>
      <c r="N224" s="102"/>
    </row>
    <row r="225">
      <c r="A225" s="17"/>
      <c r="C225" s="79"/>
      <c r="D225" s="79"/>
      <c r="E225" s="79"/>
      <c r="F225" s="79"/>
      <c r="G225" s="79"/>
      <c r="H225" s="79"/>
      <c r="I225" s="79"/>
      <c r="J225" s="79"/>
      <c r="K225" s="79"/>
      <c r="L225" s="79"/>
      <c r="N225" s="102"/>
    </row>
    <row r="226">
      <c r="A226" s="17"/>
      <c r="C226" s="79"/>
      <c r="D226" s="79"/>
      <c r="E226" s="79"/>
      <c r="F226" s="79"/>
      <c r="G226" s="79"/>
      <c r="H226" s="79"/>
      <c r="I226" s="79"/>
      <c r="J226" s="79"/>
      <c r="K226" s="79"/>
      <c r="L226" s="79"/>
      <c r="N226" s="102"/>
    </row>
    <row r="227">
      <c r="A227" s="17"/>
      <c r="C227" s="79"/>
      <c r="D227" s="79"/>
      <c r="E227" s="79"/>
      <c r="F227" s="79"/>
      <c r="G227" s="79"/>
      <c r="H227" s="79"/>
      <c r="I227" s="79"/>
      <c r="J227" s="79"/>
      <c r="K227" s="79"/>
      <c r="L227" s="79"/>
      <c r="N227" s="102"/>
    </row>
    <row r="228">
      <c r="A228" s="17"/>
      <c r="C228" s="79"/>
      <c r="D228" s="79"/>
      <c r="E228" s="79"/>
      <c r="F228" s="79"/>
      <c r="G228" s="79"/>
      <c r="H228" s="79"/>
      <c r="I228" s="79"/>
      <c r="J228" s="79"/>
      <c r="K228" s="79"/>
      <c r="L228" s="79"/>
      <c r="N228" s="102"/>
    </row>
    <row r="229">
      <c r="A229" s="17"/>
      <c r="C229" s="79"/>
      <c r="D229" s="79"/>
      <c r="E229" s="79"/>
      <c r="F229" s="79"/>
      <c r="G229" s="79"/>
      <c r="H229" s="79"/>
      <c r="I229" s="79"/>
      <c r="J229" s="79"/>
      <c r="K229" s="79"/>
      <c r="L229" s="79"/>
      <c r="N229" s="102"/>
    </row>
    <row r="230">
      <c r="A230" s="17"/>
      <c r="C230" s="79"/>
      <c r="D230" s="79"/>
      <c r="E230" s="79"/>
      <c r="F230" s="79"/>
      <c r="G230" s="79"/>
      <c r="H230" s="79"/>
      <c r="I230" s="79"/>
      <c r="J230" s="79"/>
      <c r="K230" s="79"/>
      <c r="L230" s="79"/>
      <c r="N230" s="102"/>
    </row>
    <row r="231">
      <c r="A231" s="17"/>
      <c r="C231" s="79"/>
      <c r="D231" s="79"/>
      <c r="E231" s="79"/>
      <c r="F231" s="79"/>
      <c r="G231" s="79"/>
      <c r="H231" s="79"/>
      <c r="I231" s="79"/>
      <c r="J231" s="79"/>
      <c r="K231" s="79"/>
      <c r="L231" s="79"/>
      <c r="N231" s="102"/>
    </row>
    <row r="232">
      <c r="A232" s="17"/>
      <c r="C232" s="79"/>
      <c r="D232" s="79"/>
      <c r="E232" s="79"/>
      <c r="F232" s="79"/>
      <c r="G232" s="79"/>
      <c r="H232" s="79"/>
      <c r="I232" s="79"/>
      <c r="J232" s="79"/>
      <c r="K232" s="79"/>
      <c r="L232" s="79"/>
      <c r="N232" s="102"/>
    </row>
    <row r="233">
      <c r="A233" s="17"/>
      <c r="C233" s="79"/>
      <c r="D233" s="79"/>
      <c r="E233" s="79"/>
      <c r="F233" s="79"/>
      <c r="G233" s="79"/>
      <c r="H233" s="79"/>
      <c r="I233" s="79"/>
      <c r="J233" s="79"/>
      <c r="K233" s="79"/>
      <c r="L233" s="79"/>
      <c r="N233" s="102"/>
    </row>
    <row r="234">
      <c r="A234" s="17"/>
      <c r="C234" s="79"/>
      <c r="D234" s="79"/>
      <c r="E234" s="79"/>
      <c r="F234" s="79"/>
      <c r="G234" s="79"/>
      <c r="H234" s="79"/>
      <c r="I234" s="79"/>
      <c r="J234" s="79"/>
      <c r="K234" s="79"/>
      <c r="L234" s="79"/>
      <c r="N234" s="102"/>
    </row>
    <row r="235">
      <c r="A235" s="17"/>
      <c r="C235" s="79"/>
      <c r="D235" s="79"/>
      <c r="E235" s="79"/>
      <c r="F235" s="79"/>
      <c r="G235" s="79"/>
      <c r="H235" s="79"/>
      <c r="I235" s="79"/>
      <c r="J235" s="79"/>
      <c r="K235" s="79"/>
      <c r="L235" s="79"/>
      <c r="N235" s="102"/>
    </row>
    <row r="236">
      <c r="A236" s="17"/>
      <c r="C236" s="79"/>
      <c r="D236" s="79"/>
      <c r="E236" s="79"/>
      <c r="F236" s="79"/>
      <c r="G236" s="79"/>
      <c r="H236" s="79"/>
      <c r="I236" s="79"/>
      <c r="J236" s="79"/>
      <c r="K236" s="79"/>
      <c r="L236" s="79"/>
      <c r="N236" s="102"/>
    </row>
    <row r="237">
      <c r="A237" s="17"/>
      <c r="C237" s="79"/>
      <c r="D237" s="79"/>
      <c r="E237" s="79"/>
      <c r="F237" s="79"/>
      <c r="G237" s="79"/>
      <c r="H237" s="79"/>
      <c r="I237" s="79"/>
      <c r="J237" s="79"/>
      <c r="K237" s="79"/>
      <c r="L237" s="79"/>
      <c r="N237" s="102"/>
    </row>
    <row r="238">
      <c r="A238" s="17"/>
      <c r="C238" s="79"/>
      <c r="D238" s="79"/>
      <c r="E238" s="79"/>
      <c r="F238" s="79"/>
      <c r="G238" s="79"/>
      <c r="H238" s="79"/>
      <c r="I238" s="79"/>
      <c r="J238" s="79"/>
      <c r="K238" s="79"/>
      <c r="L238" s="79"/>
      <c r="N238" s="102"/>
    </row>
    <row r="239">
      <c r="A239" s="17"/>
      <c r="C239" s="79"/>
      <c r="D239" s="79"/>
      <c r="E239" s="79"/>
      <c r="F239" s="79"/>
      <c r="G239" s="79"/>
      <c r="H239" s="79"/>
      <c r="I239" s="79"/>
      <c r="J239" s="79"/>
      <c r="K239" s="79"/>
      <c r="L239" s="79"/>
      <c r="N239" s="102"/>
    </row>
    <row r="240">
      <c r="A240" s="17"/>
      <c r="C240" s="79"/>
      <c r="D240" s="79"/>
      <c r="E240" s="79"/>
      <c r="F240" s="79"/>
      <c r="G240" s="79"/>
      <c r="H240" s="79"/>
      <c r="I240" s="79"/>
      <c r="J240" s="79"/>
      <c r="K240" s="79"/>
      <c r="L240" s="79"/>
      <c r="N240" s="102"/>
    </row>
    <row r="241">
      <c r="A241" s="17"/>
      <c r="C241" s="79"/>
      <c r="D241" s="79"/>
      <c r="E241" s="79"/>
      <c r="F241" s="79"/>
      <c r="G241" s="79"/>
      <c r="H241" s="79"/>
      <c r="I241" s="79"/>
      <c r="J241" s="79"/>
      <c r="K241" s="79"/>
      <c r="L241" s="79"/>
      <c r="N241" s="102"/>
    </row>
    <row r="242">
      <c r="A242" s="17"/>
      <c r="C242" s="79"/>
      <c r="D242" s="79"/>
      <c r="E242" s="79"/>
      <c r="F242" s="79"/>
      <c r="G242" s="79"/>
      <c r="H242" s="79"/>
      <c r="I242" s="79"/>
      <c r="J242" s="79"/>
      <c r="K242" s="79"/>
      <c r="L242" s="79"/>
      <c r="N242" s="102"/>
    </row>
    <row r="243">
      <c r="A243" s="17"/>
      <c r="C243" s="79"/>
      <c r="D243" s="79"/>
      <c r="E243" s="79"/>
      <c r="F243" s="79"/>
      <c r="G243" s="79"/>
      <c r="H243" s="79"/>
      <c r="I243" s="79"/>
      <c r="J243" s="79"/>
      <c r="K243" s="79"/>
      <c r="L243" s="79"/>
      <c r="N243" s="102"/>
    </row>
    <row r="244">
      <c r="A244" s="17"/>
      <c r="C244" s="79"/>
      <c r="D244" s="79"/>
      <c r="E244" s="79"/>
      <c r="F244" s="79"/>
      <c r="G244" s="79"/>
      <c r="H244" s="79"/>
      <c r="I244" s="79"/>
      <c r="J244" s="79"/>
      <c r="K244" s="79"/>
      <c r="L244" s="79"/>
      <c r="N244" s="102"/>
    </row>
    <row r="245">
      <c r="A245" s="17"/>
      <c r="C245" s="79"/>
      <c r="D245" s="79"/>
      <c r="E245" s="79"/>
      <c r="F245" s="79"/>
      <c r="G245" s="79"/>
      <c r="H245" s="79"/>
      <c r="I245" s="79"/>
      <c r="J245" s="79"/>
      <c r="K245" s="79"/>
      <c r="L245" s="79"/>
      <c r="N245" s="102"/>
    </row>
    <row r="246">
      <c r="A246" s="17"/>
      <c r="C246" s="79"/>
      <c r="D246" s="79"/>
      <c r="E246" s="79"/>
      <c r="F246" s="79"/>
      <c r="G246" s="79"/>
      <c r="H246" s="79"/>
      <c r="I246" s="79"/>
      <c r="J246" s="79"/>
      <c r="K246" s="79"/>
      <c r="L246" s="79"/>
      <c r="N246" s="102"/>
    </row>
    <row r="247">
      <c r="A247" s="17"/>
      <c r="C247" s="79"/>
      <c r="D247" s="79"/>
      <c r="E247" s="79"/>
      <c r="F247" s="79"/>
      <c r="G247" s="79"/>
      <c r="H247" s="79"/>
      <c r="I247" s="79"/>
      <c r="J247" s="79"/>
      <c r="K247" s="79"/>
      <c r="L247" s="79"/>
      <c r="N247" s="102"/>
    </row>
    <row r="248">
      <c r="A248" s="17"/>
      <c r="C248" s="79"/>
      <c r="D248" s="79"/>
      <c r="E248" s="79"/>
      <c r="F248" s="79"/>
      <c r="G248" s="79"/>
      <c r="H248" s="79"/>
      <c r="I248" s="79"/>
      <c r="J248" s="79"/>
      <c r="K248" s="79"/>
      <c r="L248" s="79"/>
      <c r="N248" s="102"/>
    </row>
    <row r="249">
      <c r="A249" s="17"/>
      <c r="C249" s="79"/>
      <c r="D249" s="79"/>
      <c r="E249" s="79"/>
      <c r="F249" s="79"/>
      <c r="G249" s="79"/>
      <c r="H249" s="79"/>
      <c r="I249" s="79"/>
      <c r="J249" s="79"/>
      <c r="K249" s="79"/>
      <c r="L249" s="79"/>
      <c r="N249" s="102"/>
    </row>
    <row r="250">
      <c r="A250" s="17"/>
      <c r="C250" s="79"/>
      <c r="D250" s="79"/>
      <c r="E250" s="79"/>
      <c r="F250" s="79"/>
      <c r="G250" s="79"/>
      <c r="H250" s="79"/>
      <c r="I250" s="79"/>
      <c r="J250" s="79"/>
      <c r="K250" s="79"/>
      <c r="L250" s="79"/>
      <c r="N250" s="102"/>
    </row>
    <row r="251">
      <c r="A251" s="17"/>
      <c r="C251" s="79"/>
      <c r="D251" s="79"/>
      <c r="E251" s="79"/>
      <c r="F251" s="79"/>
      <c r="G251" s="79"/>
      <c r="H251" s="79"/>
      <c r="I251" s="79"/>
      <c r="J251" s="79"/>
      <c r="K251" s="79"/>
      <c r="L251" s="79"/>
      <c r="N251" s="102"/>
    </row>
    <row r="252">
      <c r="A252" s="17"/>
      <c r="C252" s="79"/>
      <c r="D252" s="79"/>
      <c r="E252" s="79"/>
      <c r="F252" s="79"/>
      <c r="G252" s="79"/>
      <c r="H252" s="79"/>
      <c r="I252" s="79"/>
      <c r="J252" s="79"/>
      <c r="K252" s="79"/>
      <c r="L252" s="79"/>
      <c r="N252" s="102"/>
    </row>
    <row r="253">
      <c r="A253" s="17"/>
      <c r="C253" s="79"/>
      <c r="D253" s="79"/>
      <c r="E253" s="79"/>
      <c r="F253" s="79"/>
      <c r="G253" s="79"/>
      <c r="H253" s="79"/>
      <c r="I253" s="79"/>
      <c r="J253" s="79"/>
      <c r="K253" s="79"/>
      <c r="L253" s="79"/>
      <c r="N253" s="102"/>
    </row>
    <row r="254">
      <c r="A254" s="17"/>
      <c r="C254" s="79"/>
      <c r="D254" s="79"/>
      <c r="E254" s="79"/>
      <c r="F254" s="79"/>
      <c r="G254" s="79"/>
      <c r="H254" s="79"/>
      <c r="I254" s="79"/>
      <c r="J254" s="79"/>
      <c r="K254" s="79"/>
      <c r="L254" s="79"/>
      <c r="N254" s="102"/>
    </row>
    <row r="255">
      <c r="A255" s="17"/>
      <c r="C255" s="79"/>
      <c r="D255" s="79"/>
      <c r="E255" s="79"/>
      <c r="F255" s="79"/>
      <c r="G255" s="79"/>
      <c r="H255" s="79"/>
      <c r="I255" s="79"/>
      <c r="J255" s="79"/>
      <c r="K255" s="79"/>
      <c r="L255" s="79"/>
      <c r="N255" s="102"/>
    </row>
    <row r="256">
      <c r="A256" s="17"/>
      <c r="C256" s="79"/>
      <c r="D256" s="79"/>
      <c r="E256" s="79"/>
      <c r="F256" s="79"/>
      <c r="G256" s="79"/>
      <c r="H256" s="79"/>
      <c r="I256" s="79"/>
      <c r="J256" s="79"/>
      <c r="K256" s="79"/>
      <c r="L256" s="79"/>
      <c r="N256" s="102"/>
    </row>
    <row r="257">
      <c r="A257" s="17"/>
      <c r="C257" s="79"/>
      <c r="D257" s="79"/>
      <c r="E257" s="79"/>
      <c r="F257" s="79"/>
      <c r="G257" s="79"/>
      <c r="H257" s="79"/>
      <c r="I257" s="79"/>
      <c r="J257" s="79"/>
      <c r="K257" s="79"/>
      <c r="L257" s="79"/>
      <c r="N257" s="102"/>
    </row>
    <row r="258">
      <c r="A258" s="17"/>
      <c r="C258" s="79"/>
      <c r="D258" s="79"/>
      <c r="E258" s="79"/>
      <c r="F258" s="79"/>
      <c r="G258" s="79"/>
      <c r="H258" s="79"/>
      <c r="I258" s="79"/>
      <c r="J258" s="79"/>
      <c r="K258" s="79"/>
      <c r="L258" s="79"/>
      <c r="N258" s="102"/>
    </row>
    <row r="259">
      <c r="A259" s="17"/>
      <c r="C259" s="79"/>
      <c r="D259" s="79"/>
      <c r="E259" s="79"/>
      <c r="F259" s="79"/>
      <c r="G259" s="79"/>
      <c r="H259" s="79"/>
      <c r="I259" s="79"/>
      <c r="J259" s="79"/>
      <c r="K259" s="79"/>
      <c r="L259" s="79"/>
      <c r="N259" s="102"/>
    </row>
    <row r="260">
      <c r="A260" s="17"/>
      <c r="C260" s="79"/>
      <c r="D260" s="79"/>
      <c r="E260" s="79"/>
      <c r="F260" s="79"/>
      <c r="G260" s="79"/>
      <c r="H260" s="79"/>
      <c r="I260" s="79"/>
      <c r="J260" s="79"/>
      <c r="K260" s="79"/>
      <c r="L260" s="79"/>
      <c r="N260" s="102"/>
    </row>
    <row r="261">
      <c r="A261" s="17"/>
      <c r="C261" s="79"/>
      <c r="D261" s="79"/>
      <c r="E261" s="79"/>
      <c r="F261" s="79"/>
      <c r="G261" s="79"/>
      <c r="H261" s="79"/>
      <c r="I261" s="79"/>
      <c r="J261" s="79"/>
      <c r="K261" s="79"/>
      <c r="L261" s="79"/>
      <c r="N261" s="102"/>
    </row>
    <row r="262">
      <c r="A262" s="17"/>
      <c r="C262" s="79"/>
      <c r="D262" s="79"/>
      <c r="E262" s="79"/>
      <c r="F262" s="79"/>
      <c r="G262" s="79"/>
      <c r="H262" s="79"/>
      <c r="I262" s="79"/>
      <c r="J262" s="79"/>
      <c r="K262" s="79"/>
      <c r="L262" s="79"/>
      <c r="N262" s="102"/>
    </row>
    <row r="263">
      <c r="A263" s="17"/>
      <c r="C263" s="79"/>
      <c r="D263" s="79"/>
      <c r="E263" s="79"/>
      <c r="F263" s="79"/>
      <c r="G263" s="79"/>
      <c r="H263" s="79"/>
      <c r="I263" s="79"/>
      <c r="J263" s="79"/>
      <c r="K263" s="79"/>
      <c r="L263" s="79"/>
      <c r="N263" s="102"/>
    </row>
    <row r="264">
      <c r="A264" s="17"/>
      <c r="C264" s="79"/>
      <c r="D264" s="79"/>
      <c r="E264" s="79"/>
      <c r="F264" s="79"/>
      <c r="G264" s="79"/>
      <c r="H264" s="79"/>
      <c r="I264" s="79"/>
      <c r="J264" s="79"/>
      <c r="K264" s="79"/>
      <c r="L264" s="79"/>
      <c r="N264" s="102"/>
    </row>
    <row r="265">
      <c r="A265" s="17"/>
      <c r="C265" s="79"/>
      <c r="D265" s="79"/>
      <c r="E265" s="79"/>
      <c r="F265" s="79"/>
      <c r="G265" s="79"/>
      <c r="H265" s="79"/>
      <c r="I265" s="79"/>
      <c r="J265" s="79"/>
      <c r="K265" s="79"/>
      <c r="L265" s="79"/>
      <c r="N265" s="102"/>
    </row>
    <row r="266">
      <c r="A266" s="17"/>
      <c r="C266" s="79"/>
      <c r="D266" s="79"/>
      <c r="E266" s="79"/>
      <c r="F266" s="79"/>
      <c r="G266" s="79"/>
      <c r="H266" s="79"/>
      <c r="I266" s="79"/>
      <c r="J266" s="79"/>
      <c r="K266" s="79"/>
      <c r="L266" s="79"/>
      <c r="N266" s="102"/>
    </row>
    <row r="267">
      <c r="A267" s="17"/>
      <c r="C267" s="79"/>
      <c r="D267" s="79"/>
      <c r="E267" s="79"/>
      <c r="F267" s="79"/>
      <c r="G267" s="79"/>
      <c r="H267" s="79"/>
      <c r="I267" s="79"/>
      <c r="J267" s="79"/>
      <c r="K267" s="79"/>
      <c r="L267" s="79"/>
      <c r="N267" s="102"/>
    </row>
    <row r="268">
      <c r="A268" s="17"/>
      <c r="C268" s="79"/>
      <c r="D268" s="79"/>
      <c r="E268" s="79"/>
      <c r="F268" s="79"/>
      <c r="G268" s="79"/>
      <c r="H268" s="79"/>
      <c r="I268" s="79"/>
      <c r="J268" s="79"/>
      <c r="K268" s="79"/>
      <c r="L268" s="79"/>
      <c r="N268" s="102"/>
    </row>
    <row r="269">
      <c r="A269" s="17"/>
      <c r="C269" s="79"/>
      <c r="D269" s="79"/>
      <c r="E269" s="79"/>
      <c r="F269" s="79"/>
      <c r="G269" s="79"/>
      <c r="H269" s="79"/>
      <c r="I269" s="79"/>
      <c r="J269" s="79"/>
      <c r="K269" s="79"/>
      <c r="L269" s="79"/>
      <c r="N269" s="102"/>
    </row>
    <row r="270">
      <c r="A270" s="17"/>
      <c r="C270" s="79"/>
      <c r="D270" s="79"/>
      <c r="E270" s="79"/>
      <c r="F270" s="79"/>
      <c r="G270" s="79"/>
      <c r="H270" s="79"/>
      <c r="I270" s="79"/>
      <c r="J270" s="79"/>
      <c r="K270" s="79"/>
      <c r="L270" s="79"/>
      <c r="N270" s="102"/>
    </row>
    <row r="271">
      <c r="A271" s="17"/>
      <c r="C271" s="79"/>
      <c r="D271" s="79"/>
      <c r="E271" s="79"/>
      <c r="F271" s="79"/>
      <c r="G271" s="79"/>
      <c r="H271" s="79"/>
      <c r="I271" s="79"/>
      <c r="J271" s="79"/>
      <c r="K271" s="79"/>
      <c r="L271" s="79"/>
      <c r="N271" s="102"/>
    </row>
    <row r="272">
      <c r="A272" s="17"/>
      <c r="C272" s="79"/>
      <c r="D272" s="79"/>
      <c r="E272" s="79"/>
      <c r="F272" s="79"/>
      <c r="G272" s="79"/>
      <c r="H272" s="79"/>
      <c r="I272" s="79"/>
      <c r="J272" s="79"/>
      <c r="K272" s="79"/>
      <c r="L272" s="79"/>
      <c r="N272" s="102"/>
    </row>
    <row r="273">
      <c r="A273" s="17"/>
      <c r="C273" s="79"/>
      <c r="D273" s="79"/>
      <c r="E273" s="79"/>
      <c r="F273" s="79"/>
      <c r="G273" s="79"/>
      <c r="H273" s="79"/>
      <c r="I273" s="79"/>
      <c r="J273" s="79"/>
      <c r="K273" s="79"/>
      <c r="L273" s="79"/>
      <c r="N273" s="102"/>
    </row>
    <row r="274">
      <c r="A274" s="17"/>
      <c r="C274" s="79"/>
      <c r="D274" s="79"/>
      <c r="E274" s="79"/>
      <c r="F274" s="79"/>
      <c r="G274" s="79"/>
      <c r="H274" s="79"/>
      <c r="I274" s="79"/>
      <c r="J274" s="79"/>
      <c r="K274" s="79"/>
      <c r="L274" s="79"/>
      <c r="N274" s="102"/>
    </row>
    <row r="275">
      <c r="A275" s="17"/>
      <c r="C275" s="79"/>
      <c r="D275" s="79"/>
      <c r="E275" s="79"/>
      <c r="F275" s="79"/>
      <c r="G275" s="79"/>
      <c r="H275" s="79"/>
      <c r="I275" s="79"/>
      <c r="J275" s="79"/>
      <c r="K275" s="79"/>
      <c r="L275" s="79"/>
      <c r="N275" s="102"/>
    </row>
    <row r="276">
      <c r="A276" s="17"/>
      <c r="C276" s="79"/>
      <c r="D276" s="79"/>
      <c r="E276" s="79"/>
      <c r="F276" s="79"/>
      <c r="G276" s="79"/>
      <c r="H276" s="79"/>
      <c r="I276" s="79"/>
      <c r="J276" s="79"/>
      <c r="K276" s="79"/>
      <c r="L276" s="79"/>
      <c r="N276" s="102"/>
    </row>
    <row r="277">
      <c r="A277" s="17"/>
      <c r="C277" s="79"/>
      <c r="D277" s="79"/>
      <c r="E277" s="79"/>
      <c r="F277" s="79"/>
      <c r="G277" s="79"/>
      <c r="H277" s="79"/>
      <c r="I277" s="79"/>
      <c r="J277" s="79"/>
      <c r="K277" s="79"/>
      <c r="L277" s="79"/>
      <c r="N277" s="102"/>
    </row>
    <row r="278">
      <c r="A278" s="17"/>
      <c r="C278" s="79"/>
      <c r="D278" s="79"/>
      <c r="E278" s="79"/>
      <c r="F278" s="79"/>
      <c r="G278" s="79"/>
      <c r="H278" s="79"/>
      <c r="I278" s="79"/>
      <c r="J278" s="79"/>
      <c r="K278" s="79"/>
      <c r="L278" s="79"/>
      <c r="N278" s="102"/>
    </row>
    <row r="279">
      <c r="A279" s="17"/>
      <c r="C279" s="79"/>
      <c r="D279" s="79"/>
      <c r="E279" s="79"/>
      <c r="F279" s="79"/>
      <c r="G279" s="79"/>
      <c r="H279" s="79"/>
      <c r="I279" s="79"/>
      <c r="J279" s="79"/>
      <c r="K279" s="79"/>
      <c r="L279" s="79"/>
      <c r="N279" s="102"/>
    </row>
    <row r="280">
      <c r="A280" s="17"/>
      <c r="C280" s="79"/>
      <c r="D280" s="79"/>
      <c r="E280" s="79"/>
      <c r="F280" s="79"/>
      <c r="G280" s="79"/>
      <c r="H280" s="79"/>
      <c r="I280" s="79"/>
      <c r="J280" s="79"/>
      <c r="K280" s="79"/>
      <c r="L280" s="79"/>
      <c r="N280" s="102"/>
    </row>
    <row r="281">
      <c r="A281" s="17"/>
      <c r="C281" s="79"/>
      <c r="D281" s="79"/>
      <c r="E281" s="79"/>
      <c r="F281" s="79"/>
      <c r="G281" s="79"/>
      <c r="H281" s="79"/>
      <c r="I281" s="79"/>
      <c r="J281" s="79"/>
      <c r="K281" s="79"/>
      <c r="L281" s="79"/>
      <c r="N281" s="102"/>
    </row>
    <row r="282">
      <c r="A282" s="17"/>
      <c r="C282" s="79"/>
      <c r="D282" s="79"/>
      <c r="E282" s="79"/>
      <c r="F282" s="79"/>
      <c r="G282" s="79"/>
      <c r="H282" s="79"/>
      <c r="I282" s="79"/>
      <c r="J282" s="79"/>
      <c r="K282" s="79"/>
      <c r="L282" s="79"/>
      <c r="N282" s="102"/>
    </row>
    <row r="283">
      <c r="A283" s="17"/>
      <c r="C283" s="79"/>
      <c r="D283" s="79"/>
      <c r="E283" s="79"/>
      <c r="F283" s="79"/>
      <c r="G283" s="79"/>
      <c r="H283" s="79"/>
      <c r="I283" s="79"/>
      <c r="J283" s="79"/>
      <c r="K283" s="79"/>
      <c r="L283" s="79"/>
      <c r="N283" s="102"/>
    </row>
    <row r="284">
      <c r="A284" s="17"/>
      <c r="C284" s="79"/>
      <c r="D284" s="79"/>
      <c r="E284" s="79"/>
      <c r="F284" s="79"/>
      <c r="G284" s="79"/>
      <c r="H284" s="79"/>
      <c r="I284" s="79"/>
      <c r="J284" s="79"/>
      <c r="K284" s="79"/>
      <c r="L284" s="79"/>
      <c r="N284" s="102"/>
    </row>
    <row r="285">
      <c r="A285" s="17"/>
      <c r="C285" s="79"/>
      <c r="D285" s="79"/>
      <c r="E285" s="79"/>
      <c r="F285" s="79"/>
      <c r="G285" s="79"/>
      <c r="H285" s="79"/>
      <c r="I285" s="79"/>
      <c r="J285" s="79"/>
      <c r="K285" s="79"/>
      <c r="L285" s="79"/>
      <c r="N285" s="102"/>
    </row>
    <row r="286">
      <c r="A286" s="17"/>
      <c r="C286" s="79"/>
      <c r="D286" s="79"/>
      <c r="E286" s="79"/>
      <c r="F286" s="79"/>
      <c r="G286" s="79"/>
      <c r="H286" s="79"/>
      <c r="I286" s="79"/>
      <c r="J286" s="79"/>
      <c r="K286" s="79"/>
      <c r="L286" s="79"/>
      <c r="N286" s="102"/>
    </row>
    <row r="287">
      <c r="A287" s="17"/>
      <c r="C287" s="79"/>
      <c r="D287" s="79"/>
      <c r="E287" s="79"/>
      <c r="F287" s="79"/>
      <c r="G287" s="79"/>
      <c r="H287" s="79"/>
      <c r="I287" s="79"/>
      <c r="J287" s="79"/>
      <c r="K287" s="79"/>
      <c r="L287" s="79"/>
      <c r="N287" s="102"/>
    </row>
    <row r="288">
      <c r="A288" s="17"/>
      <c r="C288" s="79"/>
      <c r="D288" s="79"/>
      <c r="E288" s="79"/>
      <c r="F288" s="79"/>
      <c r="G288" s="79"/>
      <c r="H288" s="79"/>
      <c r="I288" s="79"/>
      <c r="J288" s="79"/>
      <c r="K288" s="79"/>
      <c r="L288" s="79"/>
      <c r="N288" s="102"/>
    </row>
    <row r="289">
      <c r="A289" s="17"/>
      <c r="C289" s="79"/>
      <c r="D289" s="79"/>
      <c r="E289" s="79"/>
      <c r="F289" s="79"/>
      <c r="G289" s="79"/>
      <c r="H289" s="79"/>
      <c r="I289" s="79"/>
      <c r="J289" s="79"/>
      <c r="K289" s="79"/>
      <c r="L289" s="79"/>
      <c r="N289" s="102"/>
    </row>
    <row r="290">
      <c r="A290" s="17"/>
      <c r="C290" s="79"/>
      <c r="D290" s="79"/>
      <c r="E290" s="79"/>
      <c r="F290" s="79"/>
      <c r="G290" s="79"/>
      <c r="H290" s="79"/>
      <c r="I290" s="79"/>
      <c r="J290" s="79"/>
      <c r="K290" s="79"/>
      <c r="L290" s="79"/>
      <c r="N290" s="102"/>
    </row>
    <row r="291">
      <c r="A291" s="17"/>
      <c r="C291" s="79"/>
      <c r="D291" s="79"/>
      <c r="E291" s="79"/>
      <c r="F291" s="79"/>
      <c r="G291" s="79"/>
      <c r="H291" s="79"/>
      <c r="I291" s="79"/>
      <c r="J291" s="79"/>
      <c r="K291" s="79"/>
      <c r="L291" s="79"/>
      <c r="N291" s="102"/>
    </row>
    <row r="292">
      <c r="A292" s="17"/>
      <c r="C292" s="79"/>
      <c r="D292" s="79"/>
      <c r="E292" s="79"/>
      <c r="F292" s="79"/>
      <c r="G292" s="79"/>
      <c r="H292" s="79"/>
      <c r="I292" s="79"/>
      <c r="J292" s="79"/>
      <c r="K292" s="79"/>
      <c r="L292" s="79"/>
      <c r="N292" s="102"/>
    </row>
    <row r="293">
      <c r="A293" s="17"/>
      <c r="C293" s="79"/>
      <c r="D293" s="79"/>
      <c r="E293" s="79"/>
      <c r="F293" s="79"/>
      <c r="G293" s="79"/>
      <c r="H293" s="79"/>
      <c r="I293" s="79"/>
      <c r="J293" s="79"/>
      <c r="K293" s="79"/>
      <c r="L293" s="79"/>
      <c r="N293" s="102"/>
    </row>
    <row r="294">
      <c r="A294" s="17"/>
      <c r="C294" s="79"/>
      <c r="D294" s="79"/>
      <c r="E294" s="79"/>
      <c r="F294" s="79"/>
      <c r="G294" s="79"/>
      <c r="H294" s="79"/>
      <c r="I294" s="79"/>
      <c r="J294" s="79"/>
      <c r="K294" s="79"/>
      <c r="L294" s="79"/>
      <c r="N294" s="102"/>
    </row>
    <row r="295">
      <c r="A295" s="17"/>
      <c r="C295" s="79"/>
      <c r="D295" s="79"/>
      <c r="E295" s="79"/>
      <c r="F295" s="79"/>
      <c r="G295" s="79"/>
      <c r="H295" s="79"/>
      <c r="I295" s="79"/>
      <c r="J295" s="79"/>
      <c r="K295" s="79"/>
      <c r="L295" s="79"/>
      <c r="N295" s="102"/>
    </row>
    <row r="296">
      <c r="A296" s="17"/>
      <c r="C296" s="79"/>
      <c r="D296" s="79"/>
      <c r="E296" s="79"/>
      <c r="F296" s="79"/>
      <c r="G296" s="79"/>
      <c r="H296" s="79"/>
      <c r="I296" s="79"/>
      <c r="J296" s="79"/>
      <c r="K296" s="79"/>
      <c r="L296" s="79"/>
      <c r="N296" s="102"/>
    </row>
    <row r="297">
      <c r="A297" s="17"/>
      <c r="C297" s="79"/>
      <c r="D297" s="79"/>
      <c r="E297" s="79"/>
      <c r="F297" s="79"/>
      <c r="G297" s="79"/>
      <c r="H297" s="79"/>
      <c r="I297" s="79"/>
      <c r="J297" s="79"/>
      <c r="K297" s="79"/>
      <c r="L297" s="79"/>
      <c r="N297" s="102"/>
    </row>
    <row r="298">
      <c r="A298" s="17"/>
      <c r="C298" s="79"/>
      <c r="D298" s="79"/>
      <c r="E298" s="79"/>
      <c r="F298" s="79"/>
      <c r="G298" s="79"/>
      <c r="H298" s="79"/>
      <c r="I298" s="79"/>
      <c r="J298" s="79"/>
      <c r="K298" s="79"/>
      <c r="L298" s="79"/>
      <c r="N298" s="102"/>
    </row>
    <row r="299">
      <c r="A299" s="17"/>
      <c r="C299" s="79"/>
      <c r="D299" s="79"/>
      <c r="E299" s="79"/>
      <c r="F299" s="79"/>
      <c r="G299" s="79"/>
      <c r="H299" s="79"/>
      <c r="I299" s="79"/>
      <c r="J299" s="79"/>
      <c r="K299" s="79"/>
      <c r="L299" s="79"/>
      <c r="N299" s="102"/>
    </row>
    <row r="300">
      <c r="A300" s="17"/>
      <c r="C300" s="79"/>
      <c r="D300" s="79"/>
      <c r="E300" s="79"/>
      <c r="F300" s="79"/>
      <c r="G300" s="79"/>
      <c r="H300" s="79"/>
      <c r="I300" s="79"/>
      <c r="J300" s="79"/>
      <c r="K300" s="79"/>
      <c r="L300" s="79"/>
      <c r="N300" s="102"/>
    </row>
    <row r="301">
      <c r="A301" s="17"/>
      <c r="C301" s="79"/>
      <c r="D301" s="79"/>
      <c r="E301" s="79"/>
      <c r="F301" s="79"/>
      <c r="G301" s="79"/>
      <c r="H301" s="79"/>
      <c r="I301" s="79"/>
      <c r="J301" s="79"/>
      <c r="K301" s="79"/>
      <c r="L301" s="79"/>
      <c r="N301" s="102"/>
    </row>
    <row r="302">
      <c r="A302" s="17"/>
      <c r="C302" s="79"/>
      <c r="D302" s="79"/>
      <c r="E302" s="79"/>
      <c r="F302" s="79"/>
      <c r="G302" s="79"/>
      <c r="H302" s="79"/>
      <c r="I302" s="79"/>
      <c r="J302" s="79"/>
      <c r="K302" s="79"/>
      <c r="L302" s="79"/>
      <c r="N302" s="102"/>
    </row>
    <row r="303">
      <c r="A303" s="17"/>
      <c r="C303" s="79"/>
      <c r="D303" s="79"/>
      <c r="E303" s="79"/>
      <c r="F303" s="79"/>
      <c r="G303" s="79"/>
      <c r="H303" s="79"/>
      <c r="I303" s="79"/>
      <c r="J303" s="79"/>
      <c r="K303" s="79"/>
      <c r="L303" s="79"/>
      <c r="N303" s="102"/>
    </row>
    <row r="304">
      <c r="A304" s="17"/>
      <c r="C304" s="79"/>
      <c r="D304" s="79"/>
      <c r="E304" s="79"/>
      <c r="F304" s="79"/>
      <c r="G304" s="79"/>
      <c r="H304" s="79"/>
      <c r="I304" s="79"/>
      <c r="J304" s="79"/>
      <c r="K304" s="79"/>
      <c r="L304" s="79"/>
      <c r="N304" s="102"/>
    </row>
    <row r="305">
      <c r="A305" s="17"/>
      <c r="C305" s="79"/>
      <c r="D305" s="79"/>
      <c r="E305" s="79"/>
      <c r="F305" s="79"/>
      <c r="G305" s="79"/>
      <c r="H305" s="79"/>
      <c r="I305" s="79"/>
      <c r="J305" s="79"/>
      <c r="K305" s="79"/>
      <c r="L305" s="79"/>
      <c r="N305" s="102"/>
    </row>
    <row r="306">
      <c r="A306" s="17"/>
      <c r="C306" s="79"/>
      <c r="D306" s="79"/>
      <c r="E306" s="79"/>
      <c r="F306" s="79"/>
      <c r="G306" s="79"/>
      <c r="H306" s="79"/>
      <c r="I306" s="79"/>
      <c r="J306" s="79"/>
      <c r="K306" s="79"/>
      <c r="L306" s="79"/>
      <c r="N306" s="102"/>
    </row>
    <row r="307">
      <c r="A307" s="17"/>
      <c r="C307" s="79"/>
      <c r="D307" s="79"/>
      <c r="E307" s="79"/>
      <c r="F307" s="79"/>
      <c r="G307" s="79"/>
      <c r="H307" s="79"/>
      <c r="I307" s="79"/>
      <c r="J307" s="79"/>
      <c r="K307" s="79"/>
      <c r="L307" s="79"/>
      <c r="N307" s="102"/>
    </row>
    <row r="308">
      <c r="A308" s="17"/>
      <c r="C308" s="79"/>
      <c r="D308" s="79"/>
      <c r="E308" s="79"/>
      <c r="F308" s="79"/>
      <c r="G308" s="79"/>
      <c r="H308" s="79"/>
      <c r="I308" s="79"/>
      <c r="J308" s="79"/>
      <c r="K308" s="79"/>
      <c r="L308" s="79"/>
      <c r="N308" s="102"/>
    </row>
    <row r="309">
      <c r="A309" s="17"/>
      <c r="C309" s="79"/>
      <c r="D309" s="79"/>
      <c r="E309" s="79"/>
      <c r="F309" s="79"/>
      <c r="G309" s="79"/>
      <c r="H309" s="79"/>
      <c r="I309" s="79"/>
      <c r="J309" s="79"/>
      <c r="K309" s="79"/>
      <c r="L309" s="79"/>
      <c r="N309" s="102"/>
    </row>
    <row r="310">
      <c r="A310" s="17"/>
      <c r="C310" s="79"/>
      <c r="D310" s="79"/>
      <c r="E310" s="79"/>
      <c r="F310" s="79"/>
      <c r="G310" s="79"/>
      <c r="H310" s="79"/>
      <c r="I310" s="79"/>
      <c r="J310" s="79"/>
      <c r="K310" s="79"/>
      <c r="L310" s="79"/>
      <c r="N310" s="102"/>
    </row>
    <row r="311">
      <c r="A311" s="17"/>
      <c r="C311" s="79"/>
      <c r="D311" s="79"/>
      <c r="E311" s="79"/>
      <c r="F311" s="79"/>
      <c r="G311" s="79"/>
      <c r="H311" s="79"/>
      <c r="I311" s="79"/>
      <c r="J311" s="79"/>
      <c r="K311" s="79"/>
      <c r="L311" s="79"/>
      <c r="N311" s="102"/>
    </row>
    <row r="312">
      <c r="A312" s="17"/>
      <c r="C312" s="79"/>
      <c r="D312" s="79"/>
      <c r="E312" s="79"/>
      <c r="F312" s="79"/>
      <c r="G312" s="79"/>
      <c r="H312" s="79"/>
      <c r="I312" s="79"/>
      <c r="J312" s="79"/>
      <c r="K312" s="79"/>
      <c r="L312" s="79"/>
      <c r="N312" s="102"/>
    </row>
    <row r="313">
      <c r="A313" s="17"/>
      <c r="C313" s="79"/>
      <c r="D313" s="79"/>
      <c r="E313" s="79"/>
      <c r="F313" s="79"/>
      <c r="G313" s="79"/>
      <c r="H313" s="79"/>
      <c r="I313" s="79"/>
      <c r="J313" s="79"/>
      <c r="K313" s="79"/>
      <c r="L313" s="79"/>
      <c r="N313" s="102"/>
    </row>
    <row r="314">
      <c r="A314" s="17"/>
      <c r="C314" s="79"/>
      <c r="D314" s="79"/>
      <c r="E314" s="79"/>
      <c r="F314" s="79"/>
      <c r="G314" s="79"/>
      <c r="H314" s="79"/>
      <c r="I314" s="79"/>
      <c r="J314" s="79"/>
      <c r="K314" s="79"/>
      <c r="L314" s="79"/>
      <c r="N314" s="102"/>
    </row>
    <row r="315">
      <c r="A315" s="17"/>
      <c r="C315" s="79"/>
      <c r="D315" s="79"/>
      <c r="E315" s="79"/>
      <c r="F315" s="79"/>
      <c r="G315" s="79"/>
      <c r="H315" s="79"/>
      <c r="I315" s="79"/>
      <c r="J315" s="79"/>
      <c r="K315" s="79"/>
      <c r="L315" s="79"/>
      <c r="N315" s="102"/>
    </row>
    <row r="316">
      <c r="A316" s="17"/>
      <c r="C316" s="79"/>
      <c r="D316" s="79"/>
      <c r="E316" s="79"/>
      <c r="F316" s="79"/>
      <c r="G316" s="79"/>
      <c r="H316" s="79"/>
      <c r="I316" s="79"/>
      <c r="J316" s="79"/>
      <c r="K316" s="79"/>
      <c r="L316" s="79"/>
      <c r="N316" s="102"/>
    </row>
    <row r="317">
      <c r="A317" s="17"/>
      <c r="C317" s="79"/>
      <c r="D317" s="79"/>
      <c r="E317" s="79"/>
      <c r="F317" s="79"/>
      <c r="G317" s="79"/>
      <c r="H317" s="79"/>
      <c r="I317" s="79"/>
      <c r="J317" s="79"/>
      <c r="K317" s="79"/>
      <c r="L317" s="79"/>
      <c r="N317" s="102"/>
    </row>
    <row r="318">
      <c r="A318" s="17"/>
      <c r="C318" s="79"/>
      <c r="D318" s="79"/>
      <c r="E318" s="79"/>
      <c r="F318" s="79"/>
      <c r="G318" s="79"/>
      <c r="H318" s="79"/>
      <c r="I318" s="79"/>
      <c r="J318" s="79"/>
      <c r="K318" s="79"/>
      <c r="L318" s="79"/>
      <c r="N318" s="102"/>
    </row>
    <row r="319">
      <c r="A319" s="17"/>
      <c r="C319" s="79"/>
      <c r="D319" s="79"/>
      <c r="E319" s="79"/>
      <c r="F319" s="79"/>
      <c r="G319" s="79"/>
      <c r="H319" s="79"/>
      <c r="I319" s="79"/>
      <c r="J319" s="79"/>
      <c r="K319" s="79"/>
      <c r="L319" s="79"/>
      <c r="N319" s="102"/>
    </row>
    <row r="320">
      <c r="A320" s="17"/>
      <c r="C320" s="79"/>
      <c r="D320" s="79"/>
      <c r="E320" s="79"/>
      <c r="F320" s="79"/>
      <c r="G320" s="79"/>
      <c r="H320" s="79"/>
      <c r="I320" s="79"/>
      <c r="J320" s="79"/>
      <c r="K320" s="79"/>
      <c r="L320" s="79"/>
      <c r="N320" s="102"/>
    </row>
    <row r="321">
      <c r="A321" s="17"/>
      <c r="C321" s="79"/>
      <c r="D321" s="79"/>
      <c r="E321" s="79"/>
      <c r="F321" s="79"/>
      <c r="G321" s="79"/>
      <c r="H321" s="79"/>
      <c r="I321" s="79"/>
      <c r="J321" s="79"/>
      <c r="K321" s="79"/>
      <c r="L321" s="79"/>
      <c r="N321" s="102"/>
    </row>
    <row r="322">
      <c r="A322" s="17"/>
      <c r="C322" s="79"/>
      <c r="D322" s="79"/>
      <c r="E322" s="79"/>
      <c r="F322" s="79"/>
      <c r="G322" s="79"/>
      <c r="H322" s="79"/>
      <c r="I322" s="79"/>
      <c r="J322" s="79"/>
      <c r="K322" s="79"/>
      <c r="L322" s="79"/>
      <c r="N322" s="102"/>
    </row>
    <row r="323">
      <c r="A323" s="17"/>
      <c r="C323" s="79"/>
      <c r="D323" s="79"/>
      <c r="E323" s="79"/>
      <c r="F323" s="79"/>
      <c r="G323" s="79"/>
      <c r="H323" s="79"/>
      <c r="I323" s="79"/>
      <c r="J323" s="79"/>
      <c r="K323" s="79"/>
      <c r="L323" s="79"/>
      <c r="N323" s="102"/>
    </row>
    <row r="324">
      <c r="A324" s="17"/>
      <c r="C324" s="79"/>
      <c r="D324" s="79"/>
      <c r="E324" s="79"/>
      <c r="F324" s="79"/>
      <c r="G324" s="79"/>
      <c r="H324" s="79"/>
      <c r="I324" s="79"/>
      <c r="J324" s="79"/>
      <c r="K324" s="79"/>
      <c r="L324" s="79"/>
      <c r="N324" s="102"/>
    </row>
    <row r="325">
      <c r="A325" s="17"/>
      <c r="C325" s="79"/>
      <c r="D325" s="79"/>
      <c r="E325" s="79"/>
      <c r="F325" s="79"/>
      <c r="G325" s="79"/>
      <c r="H325" s="79"/>
      <c r="I325" s="79"/>
      <c r="J325" s="79"/>
      <c r="K325" s="79"/>
      <c r="L325" s="79"/>
      <c r="N325" s="102"/>
    </row>
    <row r="326">
      <c r="A326" s="17"/>
      <c r="C326" s="79"/>
      <c r="D326" s="79"/>
      <c r="E326" s="79"/>
      <c r="F326" s="79"/>
      <c r="G326" s="79"/>
      <c r="H326" s="79"/>
      <c r="I326" s="79"/>
      <c r="J326" s="79"/>
      <c r="K326" s="79"/>
      <c r="L326" s="79"/>
      <c r="N326" s="102"/>
    </row>
    <row r="327">
      <c r="A327" s="17"/>
      <c r="C327" s="79"/>
      <c r="D327" s="79"/>
      <c r="E327" s="79"/>
      <c r="F327" s="79"/>
      <c r="G327" s="79"/>
      <c r="H327" s="79"/>
      <c r="I327" s="79"/>
      <c r="J327" s="79"/>
      <c r="K327" s="79"/>
      <c r="L327" s="79"/>
      <c r="N327" s="102"/>
    </row>
    <row r="328">
      <c r="A328" s="17"/>
      <c r="C328" s="79"/>
      <c r="D328" s="79"/>
      <c r="E328" s="79"/>
      <c r="F328" s="79"/>
      <c r="G328" s="79"/>
      <c r="H328" s="79"/>
      <c r="I328" s="79"/>
      <c r="J328" s="79"/>
      <c r="K328" s="79"/>
      <c r="L328" s="79"/>
      <c r="N328" s="102"/>
    </row>
    <row r="329">
      <c r="A329" s="17"/>
      <c r="C329" s="79"/>
      <c r="D329" s="79"/>
      <c r="E329" s="79"/>
      <c r="F329" s="79"/>
      <c r="G329" s="79"/>
      <c r="H329" s="79"/>
      <c r="I329" s="79"/>
      <c r="J329" s="79"/>
      <c r="K329" s="79"/>
      <c r="L329" s="79"/>
      <c r="N329" s="102"/>
    </row>
    <row r="330">
      <c r="A330" s="17"/>
      <c r="C330" s="79"/>
      <c r="D330" s="79"/>
      <c r="E330" s="79"/>
      <c r="F330" s="79"/>
      <c r="G330" s="79"/>
      <c r="H330" s="79"/>
      <c r="I330" s="79"/>
      <c r="J330" s="79"/>
      <c r="K330" s="79"/>
      <c r="L330" s="79"/>
      <c r="N330" s="102"/>
    </row>
    <row r="331">
      <c r="A331" s="17"/>
      <c r="C331" s="79"/>
      <c r="D331" s="79"/>
      <c r="E331" s="79"/>
      <c r="F331" s="79"/>
      <c r="G331" s="79"/>
      <c r="H331" s="79"/>
      <c r="I331" s="79"/>
      <c r="J331" s="79"/>
      <c r="K331" s="79"/>
      <c r="L331" s="79"/>
      <c r="N331" s="102"/>
    </row>
    <row r="332">
      <c r="A332" s="17"/>
      <c r="C332" s="79"/>
      <c r="D332" s="79"/>
      <c r="E332" s="79"/>
      <c r="F332" s="79"/>
      <c r="G332" s="79"/>
      <c r="H332" s="79"/>
      <c r="I332" s="79"/>
      <c r="J332" s="79"/>
      <c r="K332" s="79"/>
      <c r="L332" s="79"/>
      <c r="N332" s="102"/>
    </row>
    <row r="333">
      <c r="A333" s="17"/>
      <c r="C333" s="79"/>
      <c r="D333" s="79"/>
      <c r="E333" s="79"/>
      <c r="F333" s="79"/>
      <c r="G333" s="79"/>
      <c r="H333" s="79"/>
      <c r="I333" s="79"/>
      <c r="J333" s="79"/>
      <c r="K333" s="79"/>
      <c r="L333" s="79"/>
      <c r="N333" s="102"/>
    </row>
    <row r="334">
      <c r="A334" s="17"/>
      <c r="C334" s="79"/>
      <c r="D334" s="79"/>
      <c r="E334" s="79"/>
      <c r="F334" s="79"/>
      <c r="G334" s="79"/>
      <c r="H334" s="79"/>
      <c r="I334" s="79"/>
      <c r="J334" s="79"/>
      <c r="K334" s="79"/>
      <c r="L334" s="79"/>
      <c r="N334" s="102"/>
    </row>
    <row r="335">
      <c r="A335" s="17"/>
      <c r="C335" s="79"/>
      <c r="D335" s="79"/>
      <c r="E335" s="79"/>
      <c r="F335" s="79"/>
      <c r="G335" s="79"/>
      <c r="H335" s="79"/>
      <c r="I335" s="79"/>
      <c r="J335" s="79"/>
      <c r="K335" s="79"/>
      <c r="L335" s="79"/>
      <c r="N335" s="102"/>
    </row>
    <row r="336">
      <c r="A336" s="17"/>
      <c r="C336" s="79"/>
      <c r="D336" s="79"/>
      <c r="E336" s="79"/>
      <c r="F336" s="79"/>
      <c r="G336" s="79"/>
      <c r="H336" s="79"/>
      <c r="I336" s="79"/>
      <c r="J336" s="79"/>
      <c r="K336" s="79"/>
      <c r="L336" s="79"/>
      <c r="N336" s="102"/>
    </row>
    <row r="337">
      <c r="A337" s="17"/>
      <c r="C337" s="79"/>
      <c r="D337" s="79"/>
      <c r="E337" s="79"/>
      <c r="F337" s="79"/>
      <c r="G337" s="79"/>
      <c r="H337" s="79"/>
      <c r="I337" s="79"/>
      <c r="J337" s="79"/>
      <c r="K337" s="79"/>
      <c r="L337" s="79"/>
      <c r="N337" s="102"/>
    </row>
    <row r="338">
      <c r="A338" s="17"/>
      <c r="C338" s="79"/>
      <c r="D338" s="79"/>
      <c r="E338" s="79"/>
      <c r="F338" s="79"/>
      <c r="G338" s="79"/>
      <c r="H338" s="79"/>
      <c r="I338" s="79"/>
      <c r="J338" s="79"/>
      <c r="K338" s="79"/>
      <c r="L338" s="79"/>
      <c r="N338" s="102"/>
    </row>
    <row r="339">
      <c r="A339" s="17"/>
      <c r="C339" s="79"/>
      <c r="D339" s="79"/>
      <c r="E339" s="79"/>
      <c r="F339" s="79"/>
      <c r="G339" s="79"/>
      <c r="H339" s="79"/>
      <c r="I339" s="79"/>
      <c r="J339" s="79"/>
      <c r="K339" s="79"/>
      <c r="L339" s="79"/>
      <c r="N339" s="102"/>
    </row>
    <row r="340">
      <c r="A340" s="17"/>
      <c r="C340" s="79"/>
      <c r="D340" s="79"/>
      <c r="E340" s="79"/>
      <c r="F340" s="79"/>
      <c r="G340" s="79"/>
      <c r="H340" s="79"/>
      <c r="I340" s="79"/>
      <c r="J340" s="79"/>
      <c r="K340" s="79"/>
      <c r="L340" s="79"/>
      <c r="N340" s="102"/>
    </row>
    <row r="341">
      <c r="A341" s="17"/>
      <c r="C341" s="79"/>
      <c r="D341" s="79"/>
      <c r="E341" s="79"/>
      <c r="F341" s="79"/>
      <c r="G341" s="79"/>
      <c r="H341" s="79"/>
      <c r="I341" s="79"/>
      <c r="J341" s="79"/>
      <c r="K341" s="79"/>
      <c r="L341" s="79"/>
      <c r="N341" s="102"/>
    </row>
    <row r="342">
      <c r="A342" s="17"/>
      <c r="C342" s="79"/>
      <c r="D342" s="79"/>
      <c r="E342" s="79"/>
      <c r="F342" s="79"/>
      <c r="G342" s="79"/>
      <c r="H342" s="79"/>
      <c r="I342" s="79"/>
      <c r="J342" s="79"/>
      <c r="K342" s="79"/>
      <c r="L342" s="79"/>
      <c r="N342" s="102"/>
    </row>
    <row r="343">
      <c r="A343" s="17"/>
      <c r="C343" s="79"/>
      <c r="D343" s="79"/>
      <c r="E343" s="79"/>
      <c r="F343" s="79"/>
      <c r="G343" s="79"/>
      <c r="H343" s="79"/>
      <c r="I343" s="79"/>
      <c r="J343" s="79"/>
      <c r="K343" s="79"/>
      <c r="L343" s="79"/>
      <c r="N343" s="102"/>
    </row>
    <row r="344">
      <c r="A344" s="17"/>
      <c r="C344" s="79"/>
      <c r="D344" s="79"/>
      <c r="E344" s="79"/>
      <c r="F344" s="79"/>
      <c r="G344" s="79"/>
      <c r="H344" s="79"/>
      <c r="I344" s="79"/>
      <c r="J344" s="79"/>
      <c r="K344" s="79"/>
      <c r="L344" s="79"/>
      <c r="N344" s="102"/>
    </row>
    <row r="345">
      <c r="A345" s="17"/>
      <c r="C345" s="79"/>
      <c r="D345" s="79"/>
      <c r="E345" s="79"/>
      <c r="F345" s="79"/>
      <c r="G345" s="79"/>
      <c r="H345" s="79"/>
      <c r="I345" s="79"/>
      <c r="J345" s="79"/>
      <c r="K345" s="79"/>
      <c r="L345" s="79"/>
      <c r="N345" s="102"/>
    </row>
    <row r="346">
      <c r="A346" s="17"/>
      <c r="C346" s="79"/>
      <c r="D346" s="79"/>
      <c r="E346" s="79"/>
      <c r="F346" s="79"/>
      <c r="G346" s="79"/>
      <c r="H346" s="79"/>
      <c r="I346" s="79"/>
      <c r="J346" s="79"/>
      <c r="K346" s="79"/>
      <c r="L346" s="79"/>
      <c r="N346" s="102"/>
    </row>
    <row r="347">
      <c r="A347" s="17"/>
      <c r="C347" s="79"/>
      <c r="D347" s="79"/>
      <c r="E347" s="79"/>
      <c r="F347" s="79"/>
      <c r="G347" s="79"/>
      <c r="H347" s="79"/>
      <c r="I347" s="79"/>
      <c r="J347" s="79"/>
      <c r="K347" s="79"/>
      <c r="L347" s="79"/>
      <c r="N347" s="102"/>
    </row>
    <row r="348">
      <c r="A348" s="17"/>
      <c r="C348" s="79"/>
      <c r="D348" s="79"/>
      <c r="E348" s="79"/>
      <c r="F348" s="79"/>
      <c r="G348" s="79"/>
      <c r="H348" s="79"/>
      <c r="I348" s="79"/>
      <c r="J348" s="79"/>
      <c r="K348" s="79"/>
      <c r="L348" s="79"/>
      <c r="N348" s="102"/>
    </row>
    <row r="349">
      <c r="A349" s="17"/>
      <c r="C349" s="79"/>
      <c r="D349" s="79"/>
      <c r="E349" s="79"/>
      <c r="F349" s="79"/>
      <c r="G349" s="79"/>
      <c r="H349" s="79"/>
      <c r="I349" s="79"/>
      <c r="J349" s="79"/>
      <c r="K349" s="79"/>
      <c r="L349" s="79"/>
      <c r="N349" s="102"/>
    </row>
    <row r="350">
      <c r="A350" s="17"/>
      <c r="C350" s="79"/>
      <c r="D350" s="79"/>
      <c r="E350" s="79"/>
      <c r="F350" s="79"/>
      <c r="G350" s="79"/>
      <c r="H350" s="79"/>
      <c r="I350" s="79"/>
      <c r="J350" s="79"/>
      <c r="K350" s="79"/>
      <c r="L350" s="79"/>
      <c r="N350" s="102"/>
    </row>
    <row r="351">
      <c r="A351" s="17"/>
      <c r="C351" s="79"/>
      <c r="D351" s="79"/>
      <c r="E351" s="79"/>
      <c r="F351" s="79"/>
      <c r="G351" s="79"/>
      <c r="H351" s="79"/>
      <c r="I351" s="79"/>
      <c r="J351" s="79"/>
      <c r="K351" s="79"/>
      <c r="L351" s="79"/>
      <c r="N351" s="102"/>
    </row>
    <row r="352">
      <c r="A352" s="17"/>
      <c r="C352" s="79"/>
      <c r="D352" s="79"/>
      <c r="E352" s="79"/>
      <c r="F352" s="79"/>
      <c r="G352" s="79"/>
      <c r="H352" s="79"/>
      <c r="I352" s="79"/>
      <c r="J352" s="79"/>
      <c r="K352" s="79"/>
      <c r="L352" s="79"/>
      <c r="N352" s="102"/>
    </row>
    <row r="353">
      <c r="A353" s="17"/>
      <c r="C353" s="79"/>
      <c r="D353" s="79"/>
      <c r="E353" s="79"/>
      <c r="F353" s="79"/>
      <c r="G353" s="79"/>
      <c r="H353" s="79"/>
      <c r="I353" s="79"/>
      <c r="J353" s="79"/>
      <c r="K353" s="79"/>
      <c r="L353" s="79"/>
      <c r="N353" s="102"/>
    </row>
    <row r="354">
      <c r="A354" s="17"/>
      <c r="C354" s="79"/>
      <c r="D354" s="79"/>
      <c r="E354" s="79"/>
      <c r="F354" s="79"/>
      <c r="G354" s="79"/>
      <c r="H354" s="79"/>
      <c r="I354" s="79"/>
      <c r="J354" s="79"/>
      <c r="K354" s="79"/>
      <c r="L354" s="79"/>
      <c r="N354" s="102"/>
    </row>
    <row r="355">
      <c r="A355" s="17"/>
      <c r="C355" s="79"/>
      <c r="D355" s="79"/>
      <c r="E355" s="79"/>
      <c r="F355" s="79"/>
      <c r="G355" s="79"/>
      <c r="H355" s="79"/>
      <c r="I355" s="79"/>
      <c r="J355" s="79"/>
      <c r="K355" s="79"/>
      <c r="L355" s="79"/>
      <c r="N355" s="102"/>
    </row>
    <row r="356">
      <c r="A356" s="17"/>
      <c r="C356" s="79"/>
      <c r="D356" s="79"/>
      <c r="E356" s="79"/>
      <c r="F356" s="79"/>
      <c r="G356" s="79"/>
      <c r="H356" s="79"/>
      <c r="I356" s="79"/>
      <c r="J356" s="79"/>
      <c r="K356" s="79"/>
      <c r="L356" s="79"/>
      <c r="N356" s="102"/>
    </row>
    <row r="357">
      <c r="A357" s="17"/>
      <c r="C357" s="79"/>
      <c r="D357" s="79"/>
      <c r="E357" s="79"/>
      <c r="F357" s="79"/>
      <c r="G357" s="79"/>
      <c r="H357" s="79"/>
      <c r="I357" s="79"/>
      <c r="J357" s="79"/>
      <c r="K357" s="79"/>
      <c r="L357" s="79"/>
      <c r="N357" s="102"/>
    </row>
    <row r="358">
      <c r="A358" s="17"/>
      <c r="C358" s="79"/>
      <c r="D358" s="79"/>
      <c r="E358" s="79"/>
      <c r="F358" s="79"/>
      <c r="G358" s="79"/>
      <c r="H358" s="79"/>
      <c r="I358" s="79"/>
      <c r="J358" s="79"/>
      <c r="K358" s="79"/>
      <c r="L358" s="79"/>
      <c r="N358" s="102"/>
    </row>
    <row r="359">
      <c r="A359" s="17"/>
      <c r="C359" s="79"/>
      <c r="D359" s="79"/>
      <c r="E359" s="79"/>
      <c r="F359" s="79"/>
      <c r="G359" s="79"/>
      <c r="H359" s="79"/>
      <c r="I359" s="79"/>
      <c r="J359" s="79"/>
      <c r="K359" s="79"/>
      <c r="L359" s="79"/>
      <c r="N359" s="102"/>
    </row>
    <row r="360">
      <c r="A360" s="17"/>
      <c r="C360" s="79"/>
      <c r="D360" s="79"/>
      <c r="E360" s="79"/>
      <c r="F360" s="79"/>
      <c r="G360" s="79"/>
      <c r="H360" s="79"/>
      <c r="I360" s="79"/>
      <c r="J360" s="79"/>
      <c r="K360" s="79"/>
      <c r="L360" s="79"/>
      <c r="N360" s="102"/>
    </row>
    <row r="361">
      <c r="A361" s="17"/>
      <c r="C361" s="79"/>
      <c r="D361" s="79"/>
      <c r="E361" s="79"/>
      <c r="F361" s="79"/>
      <c r="G361" s="79"/>
      <c r="H361" s="79"/>
      <c r="I361" s="79"/>
      <c r="J361" s="79"/>
      <c r="K361" s="79"/>
      <c r="L361" s="79"/>
      <c r="N361" s="102"/>
    </row>
    <row r="362">
      <c r="A362" s="17"/>
      <c r="C362" s="79"/>
      <c r="D362" s="79"/>
      <c r="E362" s="79"/>
      <c r="F362" s="79"/>
      <c r="G362" s="79"/>
      <c r="H362" s="79"/>
      <c r="I362" s="79"/>
      <c r="J362" s="79"/>
      <c r="K362" s="79"/>
      <c r="L362" s="79"/>
      <c r="N362" s="102"/>
    </row>
    <row r="363">
      <c r="A363" s="17"/>
      <c r="C363" s="79"/>
      <c r="D363" s="79"/>
      <c r="E363" s="79"/>
      <c r="F363" s="79"/>
      <c r="G363" s="79"/>
      <c r="H363" s="79"/>
      <c r="I363" s="79"/>
      <c r="J363" s="79"/>
      <c r="K363" s="79"/>
      <c r="L363" s="79"/>
      <c r="N363" s="102"/>
    </row>
    <row r="364">
      <c r="A364" s="17"/>
      <c r="C364" s="79"/>
      <c r="D364" s="79"/>
      <c r="E364" s="79"/>
      <c r="F364" s="79"/>
      <c r="G364" s="79"/>
      <c r="H364" s="79"/>
      <c r="I364" s="79"/>
      <c r="J364" s="79"/>
      <c r="K364" s="79"/>
      <c r="L364" s="79"/>
      <c r="N364" s="102"/>
    </row>
    <row r="365">
      <c r="A365" s="17"/>
      <c r="C365" s="79"/>
      <c r="D365" s="79"/>
      <c r="E365" s="79"/>
      <c r="F365" s="79"/>
      <c r="G365" s="79"/>
      <c r="H365" s="79"/>
      <c r="I365" s="79"/>
      <c r="J365" s="79"/>
      <c r="K365" s="79"/>
      <c r="L365" s="79"/>
      <c r="N365" s="102"/>
    </row>
    <row r="366">
      <c r="A366" s="17"/>
      <c r="C366" s="79"/>
      <c r="D366" s="79"/>
      <c r="E366" s="79"/>
      <c r="F366" s="79"/>
      <c r="G366" s="79"/>
      <c r="H366" s="79"/>
      <c r="I366" s="79"/>
      <c r="J366" s="79"/>
      <c r="K366" s="79"/>
      <c r="L366" s="79"/>
      <c r="N366" s="102"/>
    </row>
    <row r="367">
      <c r="A367" s="17"/>
      <c r="C367" s="79"/>
      <c r="D367" s="79"/>
      <c r="E367" s="79"/>
      <c r="F367" s="79"/>
      <c r="G367" s="79"/>
      <c r="H367" s="79"/>
      <c r="I367" s="79"/>
      <c r="J367" s="79"/>
      <c r="K367" s="79"/>
      <c r="L367" s="79"/>
      <c r="N367" s="102"/>
    </row>
    <row r="368">
      <c r="A368" s="17"/>
      <c r="C368" s="79"/>
      <c r="D368" s="79"/>
      <c r="E368" s="79"/>
      <c r="F368" s="79"/>
      <c r="G368" s="79"/>
      <c r="H368" s="79"/>
      <c r="I368" s="79"/>
      <c r="J368" s="79"/>
      <c r="K368" s="79"/>
      <c r="L368" s="79"/>
      <c r="N368" s="102"/>
    </row>
    <row r="369">
      <c r="A369" s="17"/>
      <c r="C369" s="79"/>
      <c r="D369" s="79"/>
      <c r="E369" s="79"/>
      <c r="F369" s="79"/>
      <c r="G369" s="79"/>
      <c r="H369" s="79"/>
      <c r="I369" s="79"/>
      <c r="J369" s="79"/>
      <c r="K369" s="79"/>
      <c r="L369" s="79"/>
      <c r="N369" s="102"/>
    </row>
    <row r="370">
      <c r="A370" s="17"/>
      <c r="C370" s="79"/>
      <c r="D370" s="79"/>
      <c r="E370" s="79"/>
      <c r="F370" s="79"/>
      <c r="G370" s="79"/>
      <c r="H370" s="79"/>
      <c r="I370" s="79"/>
      <c r="J370" s="79"/>
      <c r="K370" s="79"/>
      <c r="L370" s="79"/>
      <c r="N370" s="102"/>
    </row>
    <row r="371">
      <c r="A371" s="17"/>
      <c r="C371" s="79"/>
      <c r="D371" s="79"/>
      <c r="E371" s="79"/>
      <c r="F371" s="79"/>
      <c r="G371" s="79"/>
      <c r="H371" s="79"/>
      <c r="I371" s="79"/>
      <c r="J371" s="79"/>
      <c r="K371" s="79"/>
      <c r="L371" s="79"/>
      <c r="N371" s="102"/>
    </row>
    <row r="372">
      <c r="A372" s="17"/>
      <c r="C372" s="79"/>
      <c r="D372" s="79"/>
      <c r="E372" s="79"/>
      <c r="F372" s="79"/>
      <c r="G372" s="79"/>
      <c r="H372" s="79"/>
      <c r="I372" s="79"/>
      <c r="J372" s="79"/>
      <c r="K372" s="79"/>
      <c r="L372" s="79"/>
      <c r="N372" s="102"/>
    </row>
    <row r="373">
      <c r="A373" s="17"/>
      <c r="C373" s="79"/>
      <c r="D373" s="79"/>
      <c r="E373" s="79"/>
      <c r="F373" s="79"/>
      <c r="G373" s="79"/>
      <c r="H373" s="79"/>
      <c r="I373" s="79"/>
      <c r="J373" s="79"/>
      <c r="K373" s="79"/>
      <c r="L373" s="79"/>
      <c r="N373" s="102"/>
    </row>
    <row r="374">
      <c r="A374" s="17"/>
      <c r="C374" s="79"/>
      <c r="D374" s="79"/>
      <c r="E374" s="79"/>
      <c r="F374" s="79"/>
      <c r="G374" s="79"/>
      <c r="H374" s="79"/>
      <c r="I374" s="79"/>
      <c r="J374" s="79"/>
      <c r="K374" s="79"/>
      <c r="L374" s="79"/>
      <c r="N374" s="102"/>
    </row>
    <row r="375">
      <c r="A375" s="17"/>
      <c r="C375" s="79"/>
      <c r="D375" s="79"/>
      <c r="E375" s="79"/>
      <c r="F375" s="79"/>
      <c r="G375" s="79"/>
      <c r="H375" s="79"/>
      <c r="I375" s="79"/>
      <c r="J375" s="79"/>
      <c r="K375" s="79"/>
      <c r="L375" s="79"/>
      <c r="N375" s="102"/>
    </row>
    <row r="376">
      <c r="A376" s="17"/>
      <c r="C376" s="79"/>
      <c r="D376" s="79"/>
      <c r="E376" s="79"/>
      <c r="F376" s="79"/>
      <c r="G376" s="79"/>
      <c r="H376" s="79"/>
      <c r="I376" s="79"/>
      <c r="J376" s="79"/>
      <c r="K376" s="79"/>
      <c r="L376" s="79"/>
      <c r="N376" s="102"/>
    </row>
    <row r="377">
      <c r="A377" s="17"/>
      <c r="C377" s="79"/>
      <c r="D377" s="79"/>
      <c r="E377" s="79"/>
      <c r="F377" s="79"/>
      <c r="G377" s="79"/>
      <c r="H377" s="79"/>
      <c r="I377" s="79"/>
      <c r="J377" s="79"/>
      <c r="K377" s="79"/>
      <c r="L377" s="79"/>
      <c r="N377" s="102"/>
    </row>
    <row r="378">
      <c r="A378" s="17"/>
      <c r="C378" s="79"/>
      <c r="D378" s="79"/>
      <c r="E378" s="79"/>
      <c r="F378" s="79"/>
      <c r="G378" s="79"/>
      <c r="H378" s="79"/>
      <c r="I378" s="79"/>
      <c r="J378" s="79"/>
      <c r="K378" s="79"/>
      <c r="L378" s="79"/>
      <c r="N378" s="102"/>
    </row>
    <row r="379">
      <c r="A379" s="17"/>
      <c r="C379" s="79"/>
      <c r="D379" s="79"/>
      <c r="E379" s="79"/>
      <c r="F379" s="79"/>
      <c r="G379" s="79"/>
      <c r="H379" s="79"/>
      <c r="I379" s="79"/>
      <c r="J379" s="79"/>
      <c r="K379" s="79"/>
      <c r="L379" s="79"/>
      <c r="N379" s="102"/>
    </row>
    <row r="380">
      <c r="A380" s="17"/>
      <c r="C380" s="79"/>
      <c r="D380" s="79"/>
      <c r="E380" s="79"/>
      <c r="F380" s="79"/>
      <c r="G380" s="79"/>
      <c r="H380" s="79"/>
      <c r="I380" s="79"/>
      <c r="J380" s="79"/>
      <c r="K380" s="79"/>
      <c r="L380" s="79"/>
      <c r="N380" s="102"/>
    </row>
    <row r="381">
      <c r="A381" s="17"/>
      <c r="C381" s="79"/>
      <c r="D381" s="79"/>
      <c r="E381" s="79"/>
      <c r="F381" s="79"/>
      <c r="G381" s="79"/>
      <c r="H381" s="79"/>
      <c r="I381" s="79"/>
      <c r="J381" s="79"/>
      <c r="K381" s="79"/>
      <c r="L381" s="79"/>
      <c r="N381" s="102"/>
    </row>
    <row r="382">
      <c r="A382" s="17"/>
      <c r="C382" s="79"/>
      <c r="D382" s="79"/>
      <c r="E382" s="79"/>
      <c r="F382" s="79"/>
      <c r="G382" s="79"/>
      <c r="H382" s="79"/>
      <c r="I382" s="79"/>
      <c r="J382" s="79"/>
      <c r="K382" s="79"/>
      <c r="L382" s="79"/>
      <c r="N382" s="102"/>
    </row>
    <row r="383">
      <c r="A383" s="17"/>
      <c r="C383" s="79"/>
      <c r="D383" s="79"/>
      <c r="E383" s="79"/>
      <c r="F383" s="79"/>
      <c r="G383" s="79"/>
      <c r="H383" s="79"/>
      <c r="I383" s="79"/>
      <c r="J383" s="79"/>
      <c r="K383" s="79"/>
      <c r="L383" s="79"/>
      <c r="N383" s="102"/>
    </row>
    <row r="384">
      <c r="A384" s="17"/>
      <c r="C384" s="79"/>
      <c r="D384" s="79"/>
      <c r="E384" s="79"/>
      <c r="F384" s="79"/>
      <c r="G384" s="79"/>
      <c r="H384" s="79"/>
      <c r="I384" s="79"/>
      <c r="J384" s="79"/>
      <c r="K384" s="79"/>
      <c r="L384" s="79"/>
      <c r="N384" s="102"/>
    </row>
    <row r="385">
      <c r="A385" s="17"/>
      <c r="C385" s="79"/>
      <c r="D385" s="79"/>
      <c r="E385" s="79"/>
      <c r="F385" s="79"/>
      <c r="G385" s="79"/>
      <c r="H385" s="79"/>
      <c r="I385" s="79"/>
      <c r="J385" s="79"/>
      <c r="K385" s="79"/>
      <c r="L385" s="79"/>
      <c r="N385" s="102"/>
    </row>
    <row r="386">
      <c r="A386" s="17"/>
      <c r="C386" s="79"/>
      <c r="D386" s="79"/>
      <c r="E386" s="79"/>
      <c r="F386" s="79"/>
      <c r="G386" s="79"/>
      <c r="H386" s="79"/>
      <c r="I386" s="79"/>
      <c r="J386" s="79"/>
      <c r="K386" s="79"/>
      <c r="L386" s="79"/>
      <c r="N386" s="102"/>
    </row>
    <row r="387">
      <c r="A387" s="17"/>
      <c r="C387" s="79"/>
      <c r="D387" s="79"/>
      <c r="E387" s="79"/>
      <c r="F387" s="79"/>
      <c r="G387" s="79"/>
      <c r="H387" s="79"/>
      <c r="I387" s="79"/>
      <c r="J387" s="79"/>
      <c r="K387" s="79"/>
      <c r="L387" s="79"/>
      <c r="N387" s="102"/>
    </row>
    <row r="388">
      <c r="A388" s="17"/>
      <c r="C388" s="79"/>
      <c r="D388" s="79"/>
      <c r="E388" s="79"/>
      <c r="F388" s="79"/>
      <c r="G388" s="79"/>
      <c r="H388" s="79"/>
      <c r="I388" s="79"/>
      <c r="J388" s="79"/>
      <c r="K388" s="79"/>
      <c r="L388" s="79"/>
      <c r="N388" s="102"/>
    </row>
    <row r="389">
      <c r="A389" s="17"/>
      <c r="C389" s="79"/>
      <c r="D389" s="79"/>
      <c r="E389" s="79"/>
      <c r="F389" s="79"/>
      <c r="G389" s="79"/>
      <c r="H389" s="79"/>
      <c r="I389" s="79"/>
      <c r="J389" s="79"/>
      <c r="K389" s="79"/>
      <c r="L389" s="79"/>
      <c r="N389" s="102"/>
    </row>
    <row r="390">
      <c r="A390" s="17"/>
      <c r="C390" s="79"/>
      <c r="D390" s="79"/>
      <c r="E390" s="79"/>
      <c r="F390" s="79"/>
      <c r="G390" s="79"/>
      <c r="H390" s="79"/>
      <c r="I390" s="79"/>
      <c r="J390" s="79"/>
      <c r="K390" s="79"/>
      <c r="L390" s="79"/>
      <c r="N390" s="102"/>
    </row>
    <row r="391">
      <c r="A391" s="17"/>
      <c r="C391" s="79"/>
      <c r="D391" s="79"/>
      <c r="E391" s="79"/>
      <c r="F391" s="79"/>
      <c r="G391" s="79"/>
      <c r="H391" s="79"/>
      <c r="I391" s="79"/>
      <c r="J391" s="79"/>
      <c r="K391" s="79"/>
      <c r="L391" s="79"/>
      <c r="N391" s="102"/>
    </row>
    <row r="392">
      <c r="A392" s="17"/>
      <c r="C392" s="79"/>
      <c r="D392" s="79"/>
      <c r="E392" s="79"/>
      <c r="F392" s="79"/>
      <c r="G392" s="79"/>
      <c r="H392" s="79"/>
      <c r="I392" s="79"/>
      <c r="J392" s="79"/>
      <c r="K392" s="79"/>
      <c r="L392" s="79"/>
      <c r="N392" s="102"/>
    </row>
    <row r="393">
      <c r="A393" s="17"/>
      <c r="C393" s="79"/>
      <c r="D393" s="79"/>
      <c r="E393" s="79"/>
      <c r="F393" s="79"/>
      <c r="G393" s="79"/>
      <c r="H393" s="79"/>
      <c r="I393" s="79"/>
      <c r="J393" s="79"/>
      <c r="K393" s="79"/>
      <c r="L393" s="79"/>
      <c r="N393" s="102"/>
    </row>
    <row r="394">
      <c r="A394" s="17"/>
      <c r="C394" s="79"/>
      <c r="D394" s="79"/>
      <c r="E394" s="79"/>
      <c r="F394" s="79"/>
      <c r="G394" s="79"/>
      <c r="H394" s="79"/>
      <c r="I394" s="79"/>
      <c r="J394" s="79"/>
      <c r="K394" s="79"/>
      <c r="L394" s="79"/>
      <c r="N394" s="102"/>
    </row>
    <row r="395">
      <c r="A395" s="17"/>
      <c r="C395" s="79"/>
      <c r="D395" s="79"/>
      <c r="E395" s="79"/>
      <c r="F395" s="79"/>
      <c r="G395" s="79"/>
      <c r="H395" s="79"/>
      <c r="I395" s="79"/>
      <c r="J395" s="79"/>
      <c r="K395" s="79"/>
      <c r="L395" s="79"/>
      <c r="N395" s="102"/>
    </row>
    <row r="396">
      <c r="A396" s="17"/>
      <c r="C396" s="79"/>
      <c r="D396" s="79"/>
      <c r="E396" s="79"/>
      <c r="F396" s="79"/>
      <c r="G396" s="79"/>
      <c r="H396" s="79"/>
      <c r="I396" s="79"/>
      <c r="J396" s="79"/>
      <c r="K396" s="79"/>
      <c r="L396" s="79"/>
      <c r="N396" s="102"/>
    </row>
    <row r="397">
      <c r="A397" s="17"/>
      <c r="C397" s="79"/>
      <c r="D397" s="79"/>
      <c r="E397" s="79"/>
      <c r="F397" s="79"/>
      <c r="G397" s="79"/>
      <c r="H397" s="79"/>
      <c r="I397" s="79"/>
      <c r="J397" s="79"/>
      <c r="K397" s="79"/>
      <c r="L397" s="79"/>
      <c r="N397" s="102"/>
    </row>
    <row r="398">
      <c r="A398" s="17"/>
      <c r="C398" s="79"/>
      <c r="D398" s="79"/>
      <c r="E398" s="79"/>
      <c r="F398" s="79"/>
      <c r="G398" s="79"/>
      <c r="H398" s="79"/>
      <c r="I398" s="79"/>
      <c r="J398" s="79"/>
      <c r="K398" s="79"/>
      <c r="L398" s="79"/>
      <c r="N398" s="102"/>
    </row>
    <row r="399">
      <c r="A399" s="17"/>
      <c r="C399" s="79"/>
      <c r="D399" s="79"/>
      <c r="E399" s="79"/>
      <c r="F399" s="79"/>
      <c r="G399" s="79"/>
      <c r="H399" s="79"/>
      <c r="I399" s="79"/>
      <c r="J399" s="79"/>
      <c r="K399" s="79"/>
      <c r="L399" s="79"/>
      <c r="N399" s="102"/>
    </row>
    <row r="400">
      <c r="A400" s="17"/>
      <c r="C400" s="79"/>
      <c r="D400" s="79"/>
      <c r="E400" s="79"/>
      <c r="F400" s="79"/>
      <c r="G400" s="79"/>
      <c r="H400" s="79"/>
      <c r="I400" s="79"/>
      <c r="J400" s="79"/>
      <c r="K400" s="79"/>
      <c r="L400" s="79"/>
      <c r="N400" s="102"/>
    </row>
    <row r="401">
      <c r="A401" s="17"/>
      <c r="C401" s="79"/>
      <c r="D401" s="79"/>
      <c r="E401" s="79"/>
      <c r="F401" s="79"/>
      <c r="G401" s="79"/>
      <c r="H401" s="79"/>
      <c r="I401" s="79"/>
      <c r="J401" s="79"/>
      <c r="K401" s="79"/>
      <c r="L401" s="79"/>
      <c r="N401" s="102"/>
    </row>
    <row r="402">
      <c r="A402" s="17"/>
      <c r="C402" s="79"/>
      <c r="D402" s="79"/>
      <c r="E402" s="79"/>
      <c r="F402" s="79"/>
      <c r="G402" s="79"/>
      <c r="H402" s="79"/>
      <c r="I402" s="79"/>
      <c r="J402" s="79"/>
      <c r="K402" s="79"/>
      <c r="L402" s="79"/>
      <c r="N402" s="102"/>
    </row>
    <row r="403">
      <c r="A403" s="17"/>
      <c r="C403" s="79"/>
      <c r="D403" s="79"/>
      <c r="E403" s="79"/>
      <c r="F403" s="79"/>
      <c r="G403" s="79"/>
      <c r="H403" s="79"/>
      <c r="I403" s="79"/>
      <c r="J403" s="79"/>
      <c r="K403" s="79"/>
      <c r="L403" s="79"/>
      <c r="N403" s="102"/>
    </row>
    <row r="404">
      <c r="A404" s="17"/>
      <c r="C404" s="79"/>
      <c r="D404" s="79"/>
      <c r="E404" s="79"/>
      <c r="F404" s="79"/>
      <c r="G404" s="79"/>
      <c r="H404" s="79"/>
      <c r="I404" s="79"/>
      <c r="J404" s="79"/>
      <c r="K404" s="79"/>
      <c r="L404" s="79"/>
      <c r="N404" s="102"/>
    </row>
    <row r="405">
      <c r="A405" s="17"/>
      <c r="C405" s="79"/>
      <c r="D405" s="79"/>
      <c r="E405" s="79"/>
      <c r="F405" s="79"/>
      <c r="G405" s="79"/>
      <c r="H405" s="79"/>
      <c r="I405" s="79"/>
      <c r="J405" s="79"/>
      <c r="K405" s="79"/>
      <c r="L405" s="79"/>
      <c r="N405" s="102"/>
    </row>
    <row r="406">
      <c r="A406" s="17"/>
      <c r="C406" s="79"/>
      <c r="D406" s="79"/>
      <c r="E406" s="79"/>
      <c r="F406" s="79"/>
      <c r="G406" s="79"/>
      <c r="H406" s="79"/>
      <c r="I406" s="79"/>
      <c r="J406" s="79"/>
      <c r="K406" s="79"/>
      <c r="L406" s="79"/>
      <c r="N406" s="102"/>
    </row>
    <row r="407">
      <c r="A407" s="17"/>
      <c r="C407" s="79"/>
      <c r="D407" s="79"/>
      <c r="E407" s="79"/>
      <c r="F407" s="79"/>
      <c r="G407" s="79"/>
      <c r="H407" s="79"/>
      <c r="I407" s="79"/>
      <c r="J407" s="79"/>
      <c r="K407" s="79"/>
      <c r="L407" s="79"/>
      <c r="N407" s="102"/>
    </row>
    <row r="408">
      <c r="A408" s="17"/>
      <c r="C408" s="79"/>
      <c r="D408" s="79"/>
      <c r="E408" s="79"/>
      <c r="F408" s="79"/>
      <c r="G408" s="79"/>
      <c r="H408" s="79"/>
      <c r="I408" s="79"/>
      <c r="J408" s="79"/>
      <c r="K408" s="79"/>
      <c r="L408" s="79"/>
      <c r="N408" s="102"/>
    </row>
    <row r="409">
      <c r="A409" s="17"/>
      <c r="C409" s="79"/>
      <c r="D409" s="79"/>
      <c r="E409" s="79"/>
      <c r="F409" s="79"/>
      <c r="G409" s="79"/>
      <c r="H409" s="79"/>
      <c r="I409" s="79"/>
      <c r="J409" s="79"/>
      <c r="K409" s="79"/>
      <c r="L409" s="79"/>
      <c r="N409" s="102"/>
    </row>
    <row r="410">
      <c r="A410" s="17"/>
      <c r="C410" s="79"/>
      <c r="D410" s="79"/>
      <c r="E410" s="79"/>
      <c r="F410" s="79"/>
      <c r="G410" s="79"/>
      <c r="H410" s="79"/>
      <c r="I410" s="79"/>
      <c r="J410" s="79"/>
      <c r="K410" s="79"/>
      <c r="L410" s="79"/>
      <c r="N410" s="102"/>
    </row>
    <row r="411">
      <c r="A411" s="17"/>
      <c r="C411" s="79"/>
      <c r="D411" s="79"/>
      <c r="E411" s="79"/>
      <c r="F411" s="79"/>
      <c r="G411" s="79"/>
      <c r="H411" s="79"/>
      <c r="I411" s="79"/>
      <c r="J411" s="79"/>
      <c r="K411" s="79"/>
      <c r="L411" s="79"/>
      <c r="N411" s="102"/>
    </row>
    <row r="412">
      <c r="A412" s="17"/>
      <c r="C412" s="79"/>
      <c r="D412" s="79"/>
      <c r="E412" s="79"/>
      <c r="F412" s="79"/>
      <c r="G412" s="79"/>
      <c r="H412" s="79"/>
      <c r="I412" s="79"/>
      <c r="J412" s="79"/>
      <c r="K412" s="79"/>
      <c r="L412" s="79"/>
      <c r="N412" s="102"/>
    </row>
    <row r="413">
      <c r="A413" s="17"/>
      <c r="C413" s="79"/>
      <c r="D413" s="79"/>
      <c r="E413" s="79"/>
      <c r="F413" s="79"/>
      <c r="G413" s="79"/>
      <c r="H413" s="79"/>
      <c r="I413" s="79"/>
      <c r="J413" s="79"/>
      <c r="K413" s="79"/>
      <c r="L413" s="79"/>
      <c r="N413" s="102"/>
    </row>
    <row r="414">
      <c r="A414" s="17"/>
      <c r="C414" s="79"/>
      <c r="D414" s="79"/>
      <c r="E414" s="79"/>
      <c r="F414" s="79"/>
      <c r="G414" s="79"/>
      <c r="H414" s="79"/>
      <c r="I414" s="79"/>
      <c r="J414" s="79"/>
      <c r="K414" s="79"/>
      <c r="L414" s="79"/>
      <c r="N414" s="102"/>
    </row>
    <row r="415">
      <c r="A415" s="17"/>
      <c r="C415" s="79"/>
      <c r="D415" s="79"/>
      <c r="E415" s="79"/>
      <c r="F415" s="79"/>
      <c r="G415" s="79"/>
      <c r="H415" s="79"/>
      <c r="I415" s="79"/>
      <c r="J415" s="79"/>
      <c r="K415" s="79"/>
      <c r="L415" s="79"/>
      <c r="N415" s="102"/>
    </row>
    <row r="416">
      <c r="A416" s="17"/>
      <c r="C416" s="79"/>
      <c r="D416" s="79"/>
      <c r="E416" s="79"/>
      <c r="F416" s="79"/>
      <c r="G416" s="79"/>
      <c r="H416" s="79"/>
      <c r="I416" s="79"/>
      <c r="J416" s="79"/>
      <c r="K416" s="79"/>
      <c r="L416" s="79"/>
      <c r="N416" s="102"/>
    </row>
    <row r="417">
      <c r="A417" s="17"/>
      <c r="C417" s="79"/>
      <c r="D417" s="79"/>
      <c r="E417" s="79"/>
      <c r="F417" s="79"/>
      <c r="G417" s="79"/>
      <c r="H417" s="79"/>
      <c r="I417" s="79"/>
      <c r="J417" s="79"/>
      <c r="K417" s="79"/>
      <c r="L417" s="79"/>
      <c r="N417" s="102"/>
    </row>
    <row r="418">
      <c r="A418" s="17"/>
      <c r="C418" s="79"/>
      <c r="D418" s="79"/>
      <c r="E418" s="79"/>
      <c r="F418" s="79"/>
      <c r="G418" s="79"/>
      <c r="H418" s="79"/>
      <c r="I418" s="79"/>
      <c r="J418" s="79"/>
      <c r="K418" s="79"/>
      <c r="L418" s="79"/>
      <c r="N418" s="102"/>
    </row>
    <row r="419">
      <c r="A419" s="17"/>
      <c r="C419" s="79"/>
      <c r="D419" s="79"/>
      <c r="E419" s="79"/>
      <c r="F419" s="79"/>
      <c r="G419" s="79"/>
      <c r="H419" s="79"/>
      <c r="I419" s="79"/>
      <c r="J419" s="79"/>
      <c r="K419" s="79"/>
      <c r="L419" s="79"/>
      <c r="N419" s="102"/>
    </row>
    <row r="420">
      <c r="A420" s="17"/>
      <c r="C420" s="79"/>
      <c r="D420" s="79"/>
      <c r="E420" s="79"/>
      <c r="F420" s="79"/>
      <c r="G420" s="79"/>
      <c r="H420" s="79"/>
      <c r="I420" s="79"/>
      <c r="J420" s="79"/>
      <c r="K420" s="79"/>
      <c r="L420" s="79"/>
      <c r="N420" s="102"/>
    </row>
    <row r="421">
      <c r="A421" s="17"/>
      <c r="C421" s="79"/>
      <c r="D421" s="79"/>
      <c r="E421" s="79"/>
      <c r="F421" s="79"/>
      <c r="G421" s="79"/>
      <c r="H421" s="79"/>
      <c r="I421" s="79"/>
      <c r="J421" s="79"/>
      <c r="K421" s="79"/>
      <c r="L421" s="79"/>
      <c r="N421" s="102"/>
    </row>
    <row r="422">
      <c r="A422" s="17"/>
      <c r="C422" s="79"/>
      <c r="D422" s="79"/>
      <c r="E422" s="79"/>
      <c r="F422" s="79"/>
      <c r="G422" s="79"/>
      <c r="H422" s="79"/>
      <c r="I422" s="79"/>
      <c r="J422" s="79"/>
      <c r="K422" s="79"/>
      <c r="L422" s="79"/>
      <c r="N422" s="102"/>
    </row>
    <row r="423">
      <c r="A423" s="17"/>
      <c r="C423" s="79"/>
      <c r="D423" s="79"/>
      <c r="E423" s="79"/>
      <c r="F423" s="79"/>
      <c r="G423" s="79"/>
      <c r="H423" s="79"/>
      <c r="I423" s="79"/>
      <c r="J423" s="79"/>
      <c r="K423" s="79"/>
      <c r="L423" s="79"/>
      <c r="N423" s="102"/>
    </row>
    <row r="424">
      <c r="A424" s="17"/>
      <c r="C424" s="79"/>
      <c r="D424" s="79"/>
      <c r="E424" s="79"/>
      <c r="F424" s="79"/>
      <c r="G424" s="79"/>
      <c r="H424" s="79"/>
      <c r="I424" s="79"/>
      <c r="J424" s="79"/>
      <c r="K424" s="79"/>
      <c r="L424" s="79"/>
      <c r="N424" s="102"/>
    </row>
    <row r="425">
      <c r="A425" s="17"/>
      <c r="C425" s="79"/>
      <c r="D425" s="79"/>
      <c r="E425" s="79"/>
      <c r="F425" s="79"/>
      <c r="G425" s="79"/>
      <c r="H425" s="79"/>
      <c r="I425" s="79"/>
      <c r="J425" s="79"/>
      <c r="K425" s="79"/>
      <c r="L425" s="79"/>
      <c r="N425" s="102"/>
    </row>
    <row r="426">
      <c r="A426" s="17"/>
      <c r="C426" s="79"/>
      <c r="D426" s="79"/>
      <c r="E426" s="79"/>
      <c r="F426" s="79"/>
      <c r="G426" s="79"/>
      <c r="H426" s="79"/>
      <c r="I426" s="79"/>
      <c r="J426" s="79"/>
      <c r="K426" s="79"/>
      <c r="L426" s="79"/>
      <c r="N426" s="102"/>
    </row>
    <row r="427">
      <c r="A427" s="17"/>
      <c r="C427" s="79"/>
      <c r="D427" s="79"/>
      <c r="E427" s="79"/>
      <c r="F427" s="79"/>
      <c r="G427" s="79"/>
      <c r="H427" s="79"/>
      <c r="I427" s="79"/>
      <c r="J427" s="79"/>
      <c r="K427" s="79"/>
      <c r="L427" s="79"/>
      <c r="N427" s="102"/>
    </row>
    <row r="428">
      <c r="A428" s="17"/>
      <c r="C428" s="79"/>
      <c r="D428" s="79"/>
      <c r="E428" s="79"/>
      <c r="F428" s="79"/>
      <c r="G428" s="79"/>
      <c r="H428" s="79"/>
      <c r="I428" s="79"/>
      <c r="J428" s="79"/>
      <c r="K428" s="79"/>
      <c r="L428" s="79"/>
      <c r="N428" s="102"/>
    </row>
    <row r="429">
      <c r="A429" s="17"/>
      <c r="C429" s="79"/>
      <c r="D429" s="79"/>
      <c r="E429" s="79"/>
      <c r="F429" s="79"/>
      <c r="G429" s="79"/>
      <c r="H429" s="79"/>
      <c r="I429" s="79"/>
      <c r="J429" s="79"/>
      <c r="K429" s="79"/>
      <c r="L429" s="79"/>
      <c r="N429" s="102"/>
    </row>
    <row r="430">
      <c r="A430" s="17"/>
      <c r="C430" s="79"/>
      <c r="D430" s="79"/>
      <c r="E430" s="79"/>
      <c r="F430" s="79"/>
      <c r="G430" s="79"/>
      <c r="H430" s="79"/>
      <c r="I430" s="79"/>
      <c r="J430" s="79"/>
      <c r="K430" s="79"/>
      <c r="L430" s="79"/>
      <c r="N430" s="102"/>
    </row>
    <row r="431">
      <c r="A431" s="17"/>
      <c r="C431" s="79"/>
      <c r="D431" s="79"/>
      <c r="E431" s="79"/>
      <c r="F431" s="79"/>
      <c r="G431" s="79"/>
      <c r="H431" s="79"/>
      <c r="I431" s="79"/>
      <c r="J431" s="79"/>
      <c r="K431" s="79"/>
      <c r="L431" s="79"/>
      <c r="N431" s="102"/>
    </row>
    <row r="432">
      <c r="A432" s="17"/>
      <c r="C432" s="79"/>
      <c r="D432" s="79"/>
      <c r="E432" s="79"/>
      <c r="F432" s="79"/>
      <c r="G432" s="79"/>
      <c r="H432" s="79"/>
      <c r="I432" s="79"/>
      <c r="J432" s="79"/>
      <c r="K432" s="79"/>
      <c r="L432" s="79"/>
      <c r="N432" s="102"/>
    </row>
    <row r="433">
      <c r="A433" s="17"/>
      <c r="C433" s="79"/>
      <c r="D433" s="79"/>
      <c r="E433" s="79"/>
      <c r="F433" s="79"/>
      <c r="G433" s="79"/>
      <c r="H433" s="79"/>
      <c r="I433" s="79"/>
      <c r="J433" s="79"/>
      <c r="K433" s="79"/>
      <c r="L433" s="79"/>
      <c r="N433" s="102"/>
    </row>
    <row r="434">
      <c r="A434" s="17"/>
      <c r="C434" s="79"/>
      <c r="D434" s="79"/>
      <c r="E434" s="79"/>
      <c r="F434" s="79"/>
      <c r="G434" s="79"/>
      <c r="H434" s="79"/>
      <c r="I434" s="79"/>
      <c r="J434" s="79"/>
      <c r="K434" s="79"/>
      <c r="L434" s="79"/>
      <c r="N434" s="102"/>
    </row>
    <row r="435">
      <c r="A435" s="17"/>
      <c r="C435" s="79"/>
      <c r="D435" s="79"/>
      <c r="E435" s="79"/>
      <c r="F435" s="79"/>
      <c r="G435" s="79"/>
      <c r="H435" s="79"/>
      <c r="I435" s="79"/>
      <c r="J435" s="79"/>
      <c r="K435" s="79"/>
      <c r="L435" s="79"/>
      <c r="N435" s="102"/>
    </row>
    <row r="436">
      <c r="A436" s="17"/>
      <c r="C436" s="79"/>
      <c r="D436" s="79"/>
      <c r="E436" s="79"/>
      <c r="F436" s="79"/>
      <c r="G436" s="79"/>
      <c r="H436" s="79"/>
      <c r="I436" s="79"/>
      <c r="J436" s="79"/>
      <c r="K436" s="79"/>
      <c r="L436" s="79"/>
      <c r="N436" s="102"/>
    </row>
    <row r="437">
      <c r="A437" s="17"/>
      <c r="C437" s="79"/>
      <c r="D437" s="79"/>
      <c r="E437" s="79"/>
      <c r="F437" s="79"/>
      <c r="G437" s="79"/>
      <c r="H437" s="79"/>
      <c r="I437" s="79"/>
      <c r="J437" s="79"/>
      <c r="K437" s="79"/>
      <c r="L437" s="79"/>
      <c r="N437" s="102"/>
    </row>
    <row r="438">
      <c r="A438" s="17"/>
      <c r="C438" s="79"/>
      <c r="D438" s="79"/>
      <c r="E438" s="79"/>
      <c r="F438" s="79"/>
      <c r="G438" s="79"/>
      <c r="H438" s="79"/>
      <c r="I438" s="79"/>
      <c r="J438" s="79"/>
      <c r="K438" s="79"/>
      <c r="L438" s="79"/>
      <c r="N438" s="102"/>
    </row>
    <row r="439">
      <c r="A439" s="17"/>
      <c r="C439" s="79"/>
      <c r="D439" s="79"/>
      <c r="E439" s="79"/>
      <c r="F439" s="79"/>
      <c r="G439" s="79"/>
      <c r="H439" s="79"/>
      <c r="I439" s="79"/>
      <c r="J439" s="79"/>
      <c r="K439" s="79"/>
      <c r="L439" s="79"/>
      <c r="N439" s="102"/>
    </row>
    <row r="440">
      <c r="A440" s="17"/>
      <c r="C440" s="79"/>
      <c r="D440" s="79"/>
      <c r="E440" s="79"/>
      <c r="F440" s="79"/>
      <c r="G440" s="79"/>
      <c r="H440" s="79"/>
      <c r="I440" s="79"/>
      <c r="J440" s="79"/>
      <c r="K440" s="79"/>
      <c r="L440" s="79"/>
      <c r="N440" s="102"/>
    </row>
    <row r="441">
      <c r="A441" s="17"/>
      <c r="C441" s="79"/>
      <c r="D441" s="79"/>
      <c r="E441" s="79"/>
      <c r="F441" s="79"/>
      <c r="G441" s="79"/>
      <c r="H441" s="79"/>
      <c r="I441" s="79"/>
      <c r="J441" s="79"/>
      <c r="K441" s="79"/>
      <c r="L441" s="79"/>
      <c r="N441" s="102"/>
    </row>
    <row r="442">
      <c r="A442" s="17"/>
      <c r="C442" s="79"/>
      <c r="D442" s="79"/>
      <c r="E442" s="79"/>
      <c r="F442" s="79"/>
      <c r="G442" s="79"/>
      <c r="H442" s="79"/>
      <c r="I442" s="79"/>
      <c r="J442" s="79"/>
      <c r="K442" s="79"/>
      <c r="L442" s="79"/>
      <c r="N442" s="102"/>
    </row>
    <row r="443">
      <c r="A443" s="17"/>
      <c r="C443" s="79"/>
      <c r="D443" s="79"/>
      <c r="E443" s="79"/>
      <c r="F443" s="79"/>
      <c r="G443" s="79"/>
      <c r="H443" s="79"/>
      <c r="I443" s="79"/>
      <c r="J443" s="79"/>
      <c r="K443" s="79"/>
      <c r="L443" s="79"/>
      <c r="N443" s="102"/>
    </row>
    <row r="444">
      <c r="A444" s="17"/>
      <c r="C444" s="79"/>
      <c r="D444" s="79"/>
      <c r="E444" s="79"/>
      <c r="F444" s="79"/>
      <c r="G444" s="79"/>
      <c r="H444" s="79"/>
      <c r="I444" s="79"/>
      <c r="J444" s="79"/>
      <c r="K444" s="79"/>
      <c r="L444" s="79"/>
      <c r="N444" s="102"/>
    </row>
    <row r="445">
      <c r="A445" s="17"/>
      <c r="C445" s="79"/>
      <c r="D445" s="79"/>
      <c r="E445" s="79"/>
      <c r="F445" s="79"/>
      <c r="G445" s="79"/>
      <c r="H445" s="79"/>
      <c r="I445" s="79"/>
      <c r="J445" s="79"/>
      <c r="K445" s="79"/>
      <c r="L445" s="79"/>
      <c r="N445" s="102"/>
    </row>
    <row r="446">
      <c r="A446" s="17"/>
      <c r="C446" s="79"/>
      <c r="D446" s="79"/>
      <c r="E446" s="79"/>
      <c r="F446" s="79"/>
      <c r="G446" s="79"/>
      <c r="H446" s="79"/>
      <c r="I446" s="79"/>
      <c r="J446" s="79"/>
      <c r="K446" s="79"/>
      <c r="L446" s="79"/>
      <c r="N446" s="102"/>
    </row>
    <row r="447">
      <c r="A447" s="17"/>
      <c r="C447" s="79"/>
      <c r="D447" s="79"/>
      <c r="E447" s="79"/>
      <c r="F447" s="79"/>
      <c r="G447" s="79"/>
      <c r="H447" s="79"/>
      <c r="I447" s="79"/>
      <c r="J447" s="79"/>
      <c r="K447" s="79"/>
      <c r="L447" s="79"/>
      <c r="N447" s="102"/>
    </row>
    <row r="448">
      <c r="A448" s="17"/>
      <c r="C448" s="79"/>
      <c r="D448" s="79"/>
      <c r="E448" s="79"/>
      <c r="F448" s="79"/>
      <c r="G448" s="79"/>
      <c r="H448" s="79"/>
      <c r="I448" s="79"/>
      <c r="J448" s="79"/>
      <c r="K448" s="79"/>
      <c r="L448" s="79"/>
      <c r="N448" s="102"/>
    </row>
    <row r="449">
      <c r="A449" s="17"/>
      <c r="C449" s="79"/>
      <c r="D449" s="79"/>
      <c r="E449" s="79"/>
      <c r="F449" s="79"/>
      <c r="G449" s="79"/>
      <c r="H449" s="79"/>
      <c r="I449" s="79"/>
      <c r="J449" s="79"/>
      <c r="K449" s="79"/>
      <c r="L449" s="79"/>
      <c r="N449" s="102"/>
    </row>
    <row r="450">
      <c r="A450" s="17"/>
      <c r="C450" s="79"/>
      <c r="D450" s="79"/>
      <c r="E450" s="79"/>
      <c r="F450" s="79"/>
      <c r="G450" s="79"/>
      <c r="H450" s="79"/>
      <c r="I450" s="79"/>
      <c r="J450" s="79"/>
      <c r="K450" s="79"/>
      <c r="L450" s="79"/>
      <c r="N450" s="102"/>
    </row>
    <row r="451">
      <c r="A451" s="17"/>
      <c r="C451" s="79"/>
      <c r="D451" s="79"/>
      <c r="E451" s="79"/>
      <c r="F451" s="79"/>
      <c r="G451" s="79"/>
      <c r="H451" s="79"/>
      <c r="I451" s="79"/>
      <c r="J451" s="79"/>
      <c r="K451" s="79"/>
      <c r="L451" s="79"/>
      <c r="N451" s="102"/>
    </row>
    <row r="452">
      <c r="A452" s="17"/>
      <c r="C452" s="79"/>
      <c r="D452" s="79"/>
      <c r="E452" s="79"/>
      <c r="F452" s="79"/>
      <c r="G452" s="79"/>
      <c r="H452" s="79"/>
      <c r="I452" s="79"/>
      <c r="J452" s="79"/>
      <c r="K452" s="79"/>
      <c r="L452" s="79"/>
      <c r="N452" s="102"/>
    </row>
    <row r="453">
      <c r="A453" s="17"/>
      <c r="C453" s="79"/>
      <c r="D453" s="79"/>
      <c r="E453" s="79"/>
      <c r="F453" s="79"/>
      <c r="G453" s="79"/>
      <c r="H453" s="79"/>
      <c r="I453" s="79"/>
      <c r="J453" s="79"/>
      <c r="K453" s="79"/>
      <c r="L453" s="79"/>
      <c r="N453" s="102"/>
    </row>
    <row r="454">
      <c r="A454" s="17"/>
      <c r="C454" s="79"/>
      <c r="D454" s="79"/>
      <c r="E454" s="79"/>
      <c r="F454" s="79"/>
      <c r="G454" s="79"/>
      <c r="H454" s="79"/>
      <c r="I454" s="79"/>
      <c r="J454" s="79"/>
      <c r="K454" s="79"/>
      <c r="L454" s="79"/>
      <c r="N454" s="102"/>
    </row>
    <row r="455">
      <c r="A455" s="17"/>
      <c r="C455" s="79"/>
      <c r="D455" s="79"/>
      <c r="E455" s="79"/>
      <c r="F455" s="79"/>
      <c r="G455" s="79"/>
      <c r="H455" s="79"/>
      <c r="I455" s="79"/>
      <c r="J455" s="79"/>
      <c r="K455" s="79"/>
      <c r="L455" s="79"/>
      <c r="N455" s="102"/>
    </row>
    <row r="456">
      <c r="A456" s="17"/>
      <c r="C456" s="79"/>
      <c r="D456" s="79"/>
      <c r="E456" s="79"/>
      <c r="F456" s="79"/>
      <c r="G456" s="79"/>
      <c r="H456" s="79"/>
      <c r="I456" s="79"/>
      <c r="J456" s="79"/>
      <c r="K456" s="79"/>
      <c r="L456" s="79"/>
      <c r="N456" s="102"/>
    </row>
    <row r="457">
      <c r="A457" s="17"/>
      <c r="C457" s="79"/>
      <c r="D457" s="79"/>
      <c r="E457" s="79"/>
      <c r="F457" s="79"/>
      <c r="G457" s="79"/>
      <c r="H457" s="79"/>
      <c r="I457" s="79"/>
      <c r="J457" s="79"/>
      <c r="K457" s="79"/>
      <c r="L457" s="79"/>
      <c r="N457" s="102"/>
    </row>
    <row r="458">
      <c r="A458" s="17"/>
      <c r="C458" s="79"/>
      <c r="D458" s="79"/>
      <c r="E458" s="79"/>
      <c r="F458" s="79"/>
      <c r="G458" s="79"/>
      <c r="H458" s="79"/>
      <c r="I458" s="79"/>
      <c r="J458" s="79"/>
      <c r="K458" s="79"/>
      <c r="L458" s="79"/>
      <c r="N458" s="102"/>
    </row>
    <row r="459">
      <c r="A459" s="17"/>
      <c r="C459" s="79"/>
      <c r="D459" s="79"/>
      <c r="E459" s="79"/>
      <c r="F459" s="79"/>
      <c r="G459" s="79"/>
      <c r="H459" s="79"/>
      <c r="I459" s="79"/>
      <c r="J459" s="79"/>
      <c r="K459" s="79"/>
      <c r="L459" s="79"/>
      <c r="N459" s="102"/>
    </row>
    <row r="460">
      <c r="A460" s="17"/>
      <c r="C460" s="79"/>
      <c r="D460" s="79"/>
      <c r="E460" s="79"/>
      <c r="F460" s="79"/>
      <c r="G460" s="79"/>
      <c r="H460" s="79"/>
      <c r="I460" s="79"/>
      <c r="J460" s="79"/>
      <c r="K460" s="79"/>
      <c r="L460" s="79"/>
      <c r="N460" s="102"/>
    </row>
    <row r="461">
      <c r="A461" s="17"/>
      <c r="C461" s="79"/>
      <c r="D461" s="79"/>
      <c r="E461" s="79"/>
      <c r="F461" s="79"/>
      <c r="G461" s="79"/>
      <c r="H461" s="79"/>
      <c r="I461" s="79"/>
      <c r="J461" s="79"/>
      <c r="K461" s="79"/>
      <c r="L461" s="79"/>
      <c r="N461" s="102"/>
    </row>
    <row r="462">
      <c r="A462" s="17"/>
      <c r="C462" s="79"/>
      <c r="D462" s="79"/>
      <c r="E462" s="79"/>
      <c r="F462" s="79"/>
      <c r="G462" s="79"/>
      <c r="H462" s="79"/>
      <c r="I462" s="79"/>
      <c r="J462" s="79"/>
      <c r="K462" s="79"/>
      <c r="L462" s="79"/>
      <c r="N462" s="102"/>
    </row>
    <row r="463">
      <c r="A463" s="17"/>
      <c r="C463" s="79"/>
      <c r="D463" s="79"/>
      <c r="E463" s="79"/>
      <c r="F463" s="79"/>
      <c r="G463" s="79"/>
      <c r="H463" s="79"/>
      <c r="I463" s="79"/>
      <c r="J463" s="79"/>
      <c r="K463" s="79"/>
      <c r="L463" s="79"/>
      <c r="N463" s="102"/>
    </row>
    <row r="464">
      <c r="A464" s="17"/>
      <c r="C464" s="79"/>
      <c r="D464" s="79"/>
      <c r="E464" s="79"/>
      <c r="F464" s="79"/>
      <c r="G464" s="79"/>
      <c r="H464" s="79"/>
      <c r="I464" s="79"/>
      <c r="J464" s="79"/>
      <c r="K464" s="79"/>
      <c r="L464" s="79"/>
      <c r="N464" s="102"/>
    </row>
    <row r="465">
      <c r="A465" s="17"/>
      <c r="C465" s="79"/>
      <c r="D465" s="79"/>
      <c r="E465" s="79"/>
      <c r="F465" s="79"/>
      <c r="G465" s="79"/>
      <c r="H465" s="79"/>
      <c r="I465" s="79"/>
      <c r="J465" s="79"/>
      <c r="K465" s="79"/>
      <c r="L465" s="79"/>
      <c r="N465" s="102"/>
    </row>
    <row r="466">
      <c r="A466" s="17"/>
      <c r="C466" s="79"/>
      <c r="D466" s="79"/>
      <c r="E466" s="79"/>
      <c r="F466" s="79"/>
      <c r="G466" s="79"/>
      <c r="H466" s="79"/>
      <c r="I466" s="79"/>
      <c r="J466" s="79"/>
      <c r="K466" s="79"/>
      <c r="L466" s="79"/>
      <c r="N466" s="102"/>
    </row>
    <row r="467">
      <c r="A467" s="17"/>
      <c r="C467" s="79"/>
      <c r="D467" s="79"/>
      <c r="E467" s="79"/>
      <c r="F467" s="79"/>
      <c r="G467" s="79"/>
      <c r="H467" s="79"/>
      <c r="I467" s="79"/>
      <c r="J467" s="79"/>
      <c r="K467" s="79"/>
      <c r="L467" s="79"/>
      <c r="N467" s="102"/>
    </row>
    <row r="468">
      <c r="A468" s="17"/>
      <c r="C468" s="79"/>
      <c r="D468" s="79"/>
      <c r="E468" s="79"/>
      <c r="F468" s="79"/>
      <c r="G468" s="79"/>
      <c r="H468" s="79"/>
      <c r="I468" s="79"/>
      <c r="J468" s="79"/>
      <c r="K468" s="79"/>
      <c r="L468" s="79"/>
      <c r="N468" s="102"/>
    </row>
    <row r="469">
      <c r="A469" s="17"/>
      <c r="C469" s="79"/>
      <c r="D469" s="79"/>
      <c r="E469" s="79"/>
      <c r="F469" s="79"/>
      <c r="G469" s="79"/>
      <c r="H469" s="79"/>
      <c r="I469" s="79"/>
      <c r="J469" s="79"/>
      <c r="K469" s="79"/>
      <c r="L469" s="79"/>
      <c r="N469" s="102"/>
    </row>
    <row r="470">
      <c r="A470" s="17"/>
      <c r="C470" s="79"/>
      <c r="D470" s="79"/>
      <c r="E470" s="79"/>
      <c r="F470" s="79"/>
      <c r="G470" s="79"/>
      <c r="H470" s="79"/>
      <c r="I470" s="79"/>
      <c r="J470" s="79"/>
      <c r="K470" s="79"/>
      <c r="L470" s="79"/>
      <c r="N470" s="102"/>
    </row>
    <row r="471">
      <c r="A471" s="17"/>
      <c r="C471" s="79"/>
      <c r="D471" s="79"/>
      <c r="E471" s="79"/>
      <c r="F471" s="79"/>
      <c r="G471" s="79"/>
      <c r="H471" s="79"/>
      <c r="I471" s="79"/>
      <c r="J471" s="79"/>
      <c r="K471" s="79"/>
      <c r="L471" s="79"/>
      <c r="N471" s="102"/>
    </row>
    <row r="472">
      <c r="A472" s="17"/>
      <c r="C472" s="79"/>
      <c r="D472" s="79"/>
      <c r="E472" s="79"/>
      <c r="F472" s="79"/>
      <c r="G472" s="79"/>
      <c r="H472" s="79"/>
      <c r="I472" s="79"/>
      <c r="J472" s="79"/>
      <c r="K472" s="79"/>
      <c r="L472" s="79"/>
      <c r="N472" s="102"/>
    </row>
    <row r="473">
      <c r="A473" s="17"/>
      <c r="C473" s="79"/>
      <c r="D473" s="79"/>
      <c r="E473" s="79"/>
      <c r="F473" s="79"/>
      <c r="G473" s="79"/>
      <c r="H473" s="79"/>
      <c r="I473" s="79"/>
      <c r="J473" s="79"/>
      <c r="K473" s="79"/>
      <c r="L473" s="79"/>
      <c r="N473" s="102"/>
    </row>
    <row r="474">
      <c r="A474" s="17"/>
      <c r="C474" s="79"/>
      <c r="D474" s="79"/>
      <c r="E474" s="79"/>
      <c r="F474" s="79"/>
      <c r="G474" s="79"/>
      <c r="H474" s="79"/>
      <c r="I474" s="79"/>
      <c r="J474" s="79"/>
      <c r="K474" s="79"/>
      <c r="L474" s="79"/>
      <c r="N474" s="102"/>
    </row>
    <row r="475">
      <c r="A475" s="17"/>
      <c r="C475" s="79"/>
      <c r="D475" s="79"/>
      <c r="E475" s="79"/>
      <c r="F475" s="79"/>
      <c r="G475" s="79"/>
      <c r="H475" s="79"/>
      <c r="I475" s="79"/>
      <c r="J475" s="79"/>
      <c r="K475" s="79"/>
      <c r="L475" s="79"/>
      <c r="N475" s="102"/>
    </row>
    <row r="476">
      <c r="A476" s="17"/>
      <c r="C476" s="79"/>
      <c r="D476" s="79"/>
      <c r="E476" s="79"/>
      <c r="F476" s="79"/>
      <c r="G476" s="79"/>
      <c r="H476" s="79"/>
      <c r="I476" s="79"/>
      <c r="J476" s="79"/>
      <c r="K476" s="79"/>
      <c r="L476" s="79"/>
      <c r="N476" s="102"/>
    </row>
    <row r="477">
      <c r="A477" s="17"/>
      <c r="C477" s="79"/>
      <c r="D477" s="79"/>
      <c r="E477" s="79"/>
      <c r="F477" s="79"/>
      <c r="G477" s="79"/>
      <c r="H477" s="79"/>
      <c r="I477" s="79"/>
      <c r="J477" s="79"/>
      <c r="K477" s="79"/>
      <c r="L477" s="79"/>
      <c r="N477" s="102"/>
    </row>
    <row r="478">
      <c r="A478" s="17"/>
      <c r="C478" s="79"/>
      <c r="D478" s="79"/>
      <c r="E478" s="79"/>
      <c r="F478" s="79"/>
      <c r="G478" s="79"/>
      <c r="H478" s="79"/>
      <c r="I478" s="79"/>
      <c r="J478" s="79"/>
      <c r="K478" s="79"/>
      <c r="L478" s="79"/>
      <c r="N478" s="102"/>
    </row>
    <row r="479">
      <c r="A479" s="17"/>
      <c r="C479" s="79"/>
      <c r="D479" s="79"/>
      <c r="E479" s="79"/>
      <c r="F479" s="79"/>
      <c r="G479" s="79"/>
      <c r="H479" s="79"/>
      <c r="I479" s="79"/>
      <c r="J479" s="79"/>
      <c r="K479" s="79"/>
      <c r="L479" s="79"/>
      <c r="N479" s="102"/>
    </row>
    <row r="480">
      <c r="A480" s="17"/>
      <c r="C480" s="79"/>
      <c r="D480" s="79"/>
      <c r="E480" s="79"/>
      <c r="F480" s="79"/>
      <c r="G480" s="79"/>
      <c r="H480" s="79"/>
      <c r="I480" s="79"/>
      <c r="J480" s="79"/>
      <c r="K480" s="79"/>
      <c r="L480" s="79"/>
      <c r="N480" s="102"/>
    </row>
    <row r="481">
      <c r="A481" s="17"/>
      <c r="C481" s="79"/>
      <c r="D481" s="79"/>
      <c r="E481" s="79"/>
      <c r="F481" s="79"/>
      <c r="G481" s="79"/>
      <c r="H481" s="79"/>
      <c r="I481" s="79"/>
      <c r="J481" s="79"/>
      <c r="K481" s="79"/>
      <c r="L481" s="79"/>
      <c r="N481" s="102"/>
    </row>
    <row r="482">
      <c r="A482" s="17"/>
      <c r="C482" s="79"/>
      <c r="D482" s="79"/>
      <c r="E482" s="79"/>
      <c r="F482" s="79"/>
      <c r="G482" s="79"/>
      <c r="H482" s="79"/>
      <c r="I482" s="79"/>
      <c r="J482" s="79"/>
      <c r="K482" s="79"/>
      <c r="L482" s="79"/>
      <c r="N482" s="102"/>
    </row>
    <row r="483">
      <c r="A483" s="17"/>
      <c r="C483" s="79"/>
      <c r="D483" s="79"/>
      <c r="E483" s="79"/>
      <c r="F483" s="79"/>
      <c r="G483" s="79"/>
      <c r="H483" s="79"/>
      <c r="I483" s="79"/>
      <c r="J483" s="79"/>
      <c r="K483" s="79"/>
      <c r="L483" s="79"/>
      <c r="N483" s="102"/>
    </row>
    <row r="484">
      <c r="A484" s="17"/>
      <c r="C484" s="79"/>
      <c r="D484" s="79"/>
      <c r="E484" s="79"/>
      <c r="F484" s="79"/>
      <c r="G484" s="79"/>
      <c r="H484" s="79"/>
      <c r="I484" s="79"/>
      <c r="J484" s="79"/>
      <c r="K484" s="79"/>
      <c r="L484" s="79"/>
      <c r="N484" s="102"/>
    </row>
    <row r="485">
      <c r="A485" s="17"/>
      <c r="C485" s="79"/>
      <c r="D485" s="79"/>
      <c r="E485" s="79"/>
      <c r="F485" s="79"/>
      <c r="G485" s="79"/>
      <c r="H485" s="79"/>
      <c r="I485" s="79"/>
      <c r="J485" s="79"/>
      <c r="K485" s="79"/>
      <c r="L485" s="79"/>
      <c r="N485" s="102"/>
    </row>
    <row r="486">
      <c r="A486" s="17"/>
      <c r="C486" s="79"/>
      <c r="D486" s="79"/>
      <c r="E486" s="79"/>
      <c r="F486" s="79"/>
      <c r="G486" s="79"/>
      <c r="H486" s="79"/>
      <c r="I486" s="79"/>
      <c r="J486" s="79"/>
      <c r="K486" s="79"/>
      <c r="L486" s="79"/>
      <c r="N486" s="102"/>
    </row>
    <row r="487">
      <c r="A487" s="17"/>
      <c r="C487" s="79"/>
      <c r="D487" s="79"/>
      <c r="E487" s="79"/>
      <c r="F487" s="79"/>
      <c r="G487" s="79"/>
      <c r="H487" s="79"/>
      <c r="I487" s="79"/>
      <c r="J487" s="79"/>
      <c r="K487" s="79"/>
      <c r="L487" s="79"/>
      <c r="N487" s="102"/>
    </row>
    <row r="488">
      <c r="A488" s="17"/>
      <c r="C488" s="79"/>
      <c r="D488" s="79"/>
      <c r="E488" s="79"/>
      <c r="F488" s="79"/>
      <c r="G488" s="79"/>
      <c r="H488" s="79"/>
      <c r="I488" s="79"/>
      <c r="J488" s="79"/>
      <c r="K488" s="79"/>
      <c r="L488" s="79"/>
      <c r="N488" s="102"/>
    </row>
    <row r="489">
      <c r="A489" s="17"/>
      <c r="C489" s="79"/>
      <c r="D489" s="79"/>
      <c r="E489" s="79"/>
      <c r="F489" s="79"/>
      <c r="G489" s="79"/>
      <c r="H489" s="79"/>
      <c r="I489" s="79"/>
      <c r="J489" s="79"/>
      <c r="K489" s="79"/>
      <c r="L489" s="79"/>
      <c r="N489" s="102"/>
    </row>
    <row r="490">
      <c r="A490" s="17"/>
      <c r="C490" s="79"/>
      <c r="D490" s="79"/>
      <c r="E490" s="79"/>
      <c r="F490" s="79"/>
      <c r="G490" s="79"/>
      <c r="H490" s="79"/>
      <c r="I490" s="79"/>
      <c r="J490" s="79"/>
      <c r="K490" s="79"/>
      <c r="L490" s="79"/>
      <c r="N490" s="102"/>
    </row>
    <row r="491">
      <c r="A491" s="17"/>
      <c r="C491" s="79"/>
      <c r="D491" s="79"/>
      <c r="E491" s="79"/>
      <c r="F491" s="79"/>
      <c r="G491" s="79"/>
      <c r="H491" s="79"/>
      <c r="I491" s="79"/>
      <c r="J491" s="79"/>
      <c r="K491" s="79"/>
      <c r="L491" s="79"/>
      <c r="N491" s="102"/>
    </row>
    <row r="492">
      <c r="A492" s="17"/>
      <c r="C492" s="79"/>
      <c r="D492" s="79"/>
      <c r="E492" s="79"/>
      <c r="F492" s="79"/>
      <c r="G492" s="79"/>
      <c r="H492" s="79"/>
      <c r="I492" s="79"/>
      <c r="J492" s="79"/>
      <c r="K492" s="79"/>
      <c r="L492" s="79"/>
      <c r="N492" s="102"/>
    </row>
    <row r="493">
      <c r="A493" s="17"/>
      <c r="C493" s="79"/>
      <c r="D493" s="79"/>
      <c r="E493" s="79"/>
      <c r="F493" s="79"/>
      <c r="G493" s="79"/>
      <c r="H493" s="79"/>
      <c r="I493" s="79"/>
      <c r="J493" s="79"/>
      <c r="K493" s="79"/>
      <c r="L493" s="79"/>
      <c r="N493" s="102"/>
    </row>
    <row r="494">
      <c r="A494" s="17"/>
      <c r="C494" s="79"/>
      <c r="D494" s="79"/>
      <c r="E494" s="79"/>
      <c r="F494" s="79"/>
      <c r="G494" s="79"/>
      <c r="H494" s="79"/>
      <c r="I494" s="79"/>
      <c r="J494" s="79"/>
      <c r="K494" s="79"/>
      <c r="L494" s="79"/>
      <c r="N494" s="102"/>
    </row>
    <row r="495">
      <c r="A495" s="17"/>
      <c r="C495" s="79"/>
      <c r="D495" s="79"/>
      <c r="E495" s="79"/>
      <c r="F495" s="79"/>
      <c r="G495" s="79"/>
      <c r="H495" s="79"/>
      <c r="I495" s="79"/>
      <c r="J495" s="79"/>
      <c r="K495" s="79"/>
      <c r="L495" s="79"/>
      <c r="N495" s="102"/>
    </row>
    <row r="496">
      <c r="A496" s="17"/>
      <c r="C496" s="79"/>
      <c r="D496" s="79"/>
      <c r="E496" s="79"/>
      <c r="F496" s="79"/>
      <c r="G496" s="79"/>
      <c r="H496" s="79"/>
      <c r="I496" s="79"/>
      <c r="J496" s="79"/>
      <c r="K496" s="79"/>
      <c r="L496" s="79"/>
      <c r="N496" s="102"/>
    </row>
    <row r="497">
      <c r="A497" s="17"/>
      <c r="C497" s="79"/>
      <c r="D497" s="79"/>
      <c r="E497" s="79"/>
      <c r="F497" s="79"/>
      <c r="G497" s="79"/>
      <c r="H497" s="79"/>
      <c r="I497" s="79"/>
      <c r="J497" s="79"/>
      <c r="K497" s="79"/>
      <c r="L497" s="79"/>
      <c r="N497" s="102"/>
    </row>
    <row r="498">
      <c r="A498" s="17"/>
      <c r="C498" s="79"/>
      <c r="D498" s="79"/>
      <c r="E498" s="79"/>
      <c r="F498" s="79"/>
      <c r="G498" s="79"/>
      <c r="H498" s="79"/>
      <c r="I498" s="79"/>
      <c r="J498" s="79"/>
      <c r="K498" s="79"/>
      <c r="L498" s="79"/>
      <c r="N498" s="102"/>
    </row>
    <row r="499">
      <c r="A499" s="17"/>
      <c r="C499" s="79"/>
      <c r="D499" s="79"/>
      <c r="E499" s="79"/>
      <c r="F499" s="79"/>
      <c r="G499" s="79"/>
      <c r="H499" s="79"/>
      <c r="I499" s="79"/>
      <c r="J499" s="79"/>
      <c r="K499" s="79"/>
      <c r="L499" s="79"/>
      <c r="N499" s="102"/>
    </row>
    <row r="500">
      <c r="A500" s="17"/>
      <c r="C500" s="79"/>
      <c r="D500" s="79"/>
      <c r="E500" s="79"/>
      <c r="F500" s="79"/>
      <c r="G500" s="79"/>
      <c r="H500" s="79"/>
      <c r="I500" s="79"/>
      <c r="J500" s="79"/>
      <c r="K500" s="79"/>
      <c r="L500" s="79"/>
      <c r="N500" s="102"/>
    </row>
    <row r="501">
      <c r="A501" s="17"/>
      <c r="C501" s="79"/>
      <c r="D501" s="79"/>
      <c r="E501" s="79"/>
      <c r="F501" s="79"/>
      <c r="G501" s="79"/>
      <c r="H501" s="79"/>
      <c r="I501" s="79"/>
      <c r="J501" s="79"/>
      <c r="K501" s="79"/>
      <c r="L501" s="79"/>
      <c r="N501" s="102"/>
    </row>
    <row r="502">
      <c r="A502" s="17"/>
      <c r="C502" s="79"/>
      <c r="D502" s="79"/>
      <c r="E502" s="79"/>
      <c r="F502" s="79"/>
      <c r="G502" s="79"/>
      <c r="H502" s="79"/>
      <c r="I502" s="79"/>
      <c r="J502" s="79"/>
      <c r="K502" s="79"/>
      <c r="L502" s="79"/>
      <c r="N502" s="102"/>
    </row>
    <row r="503">
      <c r="A503" s="17"/>
      <c r="C503" s="79"/>
      <c r="D503" s="79"/>
      <c r="E503" s="79"/>
      <c r="F503" s="79"/>
      <c r="G503" s="79"/>
      <c r="H503" s="79"/>
      <c r="I503" s="79"/>
      <c r="J503" s="79"/>
      <c r="K503" s="79"/>
      <c r="L503" s="79"/>
      <c r="N503" s="102"/>
    </row>
    <row r="504">
      <c r="A504" s="17"/>
      <c r="C504" s="79"/>
      <c r="D504" s="79"/>
      <c r="E504" s="79"/>
      <c r="F504" s="79"/>
      <c r="G504" s="79"/>
      <c r="H504" s="79"/>
      <c r="I504" s="79"/>
      <c r="J504" s="79"/>
      <c r="K504" s="79"/>
      <c r="L504" s="79"/>
      <c r="N504" s="102"/>
    </row>
    <row r="505">
      <c r="A505" s="17"/>
      <c r="C505" s="79"/>
      <c r="D505" s="79"/>
      <c r="E505" s="79"/>
      <c r="F505" s="79"/>
      <c r="G505" s="79"/>
      <c r="H505" s="79"/>
      <c r="I505" s="79"/>
      <c r="J505" s="79"/>
      <c r="K505" s="79"/>
      <c r="L505" s="79"/>
      <c r="N505" s="102"/>
    </row>
    <row r="506">
      <c r="A506" s="17"/>
      <c r="C506" s="79"/>
      <c r="D506" s="79"/>
      <c r="E506" s="79"/>
      <c r="F506" s="79"/>
      <c r="G506" s="79"/>
      <c r="H506" s="79"/>
      <c r="I506" s="79"/>
      <c r="J506" s="79"/>
      <c r="K506" s="79"/>
      <c r="L506" s="79"/>
      <c r="N506" s="102"/>
    </row>
    <row r="507">
      <c r="A507" s="17"/>
      <c r="C507" s="79"/>
      <c r="D507" s="79"/>
      <c r="E507" s="79"/>
      <c r="F507" s="79"/>
      <c r="G507" s="79"/>
      <c r="H507" s="79"/>
      <c r="I507" s="79"/>
      <c r="J507" s="79"/>
      <c r="K507" s="79"/>
      <c r="L507" s="79"/>
      <c r="N507" s="102"/>
    </row>
    <row r="508">
      <c r="A508" s="17"/>
      <c r="C508" s="79"/>
      <c r="D508" s="79"/>
      <c r="E508" s="79"/>
      <c r="F508" s="79"/>
      <c r="G508" s="79"/>
      <c r="H508" s="79"/>
      <c r="I508" s="79"/>
      <c r="J508" s="79"/>
      <c r="K508" s="79"/>
      <c r="L508" s="79"/>
      <c r="N508" s="102"/>
    </row>
    <row r="509">
      <c r="A509" s="17"/>
      <c r="C509" s="79"/>
      <c r="D509" s="79"/>
      <c r="E509" s="79"/>
      <c r="F509" s="79"/>
      <c r="G509" s="79"/>
      <c r="H509" s="79"/>
      <c r="I509" s="79"/>
      <c r="J509" s="79"/>
      <c r="K509" s="79"/>
      <c r="L509" s="79"/>
      <c r="N509" s="102"/>
    </row>
    <row r="510">
      <c r="A510" s="17"/>
      <c r="C510" s="79"/>
      <c r="D510" s="79"/>
      <c r="E510" s="79"/>
      <c r="F510" s="79"/>
      <c r="G510" s="79"/>
      <c r="H510" s="79"/>
      <c r="I510" s="79"/>
      <c r="J510" s="79"/>
      <c r="K510" s="79"/>
      <c r="L510" s="79"/>
      <c r="N510" s="102"/>
    </row>
    <row r="511">
      <c r="A511" s="17"/>
      <c r="C511" s="79"/>
      <c r="D511" s="79"/>
      <c r="E511" s="79"/>
      <c r="F511" s="79"/>
      <c r="G511" s="79"/>
      <c r="H511" s="79"/>
      <c r="I511" s="79"/>
      <c r="J511" s="79"/>
      <c r="K511" s="79"/>
      <c r="L511" s="79"/>
      <c r="N511" s="102"/>
    </row>
    <row r="512">
      <c r="A512" s="17"/>
      <c r="C512" s="79"/>
      <c r="D512" s="79"/>
      <c r="E512" s="79"/>
      <c r="F512" s="79"/>
      <c r="G512" s="79"/>
      <c r="H512" s="79"/>
      <c r="I512" s="79"/>
      <c r="J512" s="79"/>
      <c r="K512" s="79"/>
      <c r="L512" s="79"/>
      <c r="N512" s="102"/>
    </row>
    <row r="513">
      <c r="A513" s="17"/>
      <c r="C513" s="79"/>
      <c r="D513" s="79"/>
      <c r="E513" s="79"/>
      <c r="F513" s="79"/>
      <c r="G513" s="79"/>
      <c r="H513" s="79"/>
      <c r="I513" s="79"/>
      <c r="J513" s="79"/>
      <c r="K513" s="79"/>
      <c r="L513" s="79"/>
      <c r="N513" s="102"/>
    </row>
    <row r="514">
      <c r="A514" s="17"/>
      <c r="C514" s="79"/>
      <c r="D514" s="79"/>
      <c r="E514" s="79"/>
      <c r="F514" s="79"/>
      <c r="G514" s="79"/>
      <c r="H514" s="79"/>
      <c r="I514" s="79"/>
      <c r="J514" s="79"/>
      <c r="K514" s="79"/>
      <c r="L514" s="79"/>
      <c r="N514" s="102"/>
    </row>
    <row r="515">
      <c r="A515" s="17"/>
      <c r="C515" s="79"/>
      <c r="D515" s="79"/>
      <c r="E515" s="79"/>
      <c r="F515" s="79"/>
      <c r="G515" s="79"/>
      <c r="H515" s="79"/>
      <c r="I515" s="79"/>
      <c r="J515" s="79"/>
      <c r="K515" s="79"/>
      <c r="L515" s="79"/>
      <c r="N515" s="102"/>
    </row>
    <row r="516">
      <c r="A516" s="17"/>
      <c r="C516" s="79"/>
      <c r="D516" s="79"/>
      <c r="E516" s="79"/>
      <c r="F516" s="79"/>
      <c r="G516" s="79"/>
      <c r="H516" s="79"/>
      <c r="I516" s="79"/>
      <c r="J516" s="79"/>
      <c r="K516" s="79"/>
      <c r="L516" s="79"/>
      <c r="N516" s="102"/>
    </row>
    <row r="517">
      <c r="A517" s="17"/>
      <c r="C517" s="79"/>
      <c r="D517" s="79"/>
      <c r="E517" s="79"/>
      <c r="F517" s="79"/>
      <c r="G517" s="79"/>
      <c r="H517" s="79"/>
      <c r="I517" s="79"/>
      <c r="J517" s="79"/>
      <c r="K517" s="79"/>
      <c r="L517" s="79"/>
      <c r="N517" s="102"/>
    </row>
    <row r="518">
      <c r="A518" s="17"/>
      <c r="C518" s="79"/>
      <c r="D518" s="79"/>
      <c r="E518" s="79"/>
      <c r="F518" s="79"/>
      <c r="G518" s="79"/>
      <c r="H518" s="79"/>
      <c r="I518" s="79"/>
      <c r="J518" s="79"/>
      <c r="K518" s="79"/>
      <c r="L518" s="79"/>
      <c r="N518" s="102"/>
    </row>
    <row r="519">
      <c r="A519" s="17"/>
      <c r="C519" s="79"/>
      <c r="D519" s="79"/>
      <c r="E519" s="79"/>
      <c r="F519" s="79"/>
      <c r="G519" s="79"/>
      <c r="H519" s="79"/>
      <c r="I519" s="79"/>
      <c r="J519" s="79"/>
      <c r="K519" s="79"/>
      <c r="L519" s="79"/>
      <c r="N519" s="102"/>
    </row>
    <row r="520">
      <c r="A520" s="17"/>
      <c r="C520" s="79"/>
      <c r="D520" s="79"/>
      <c r="E520" s="79"/>
      <c r="F520" s="79"/>
      <c r="G520" s="79"/>
      <c r="H520" s="79"/>
      <c r="I520" s="79"/>
      <c r="J520" s="79"/>
      <c r="K520" s="79"/>
      <c r="L520" s="79"/>
      <c r="N520" s="102"/>
    </row>
    <row r="521">
      <c r="A521" s="17"/>
      <c r="C521" s="79"/>
      <c r="D521" s="79"/>
      <c r="E521" s="79"/>
      <c r="F521" s="79"/>
      <c r="G521" s="79"/>
      <c r="H521" s="79"/>
      <c r="I521" s="79"/>
      <c r="J521" s="79"/>
      <c r="K521" s="79"/>
      <c r="L521" s="79"/>
      <c r="N521" s="102"/>
    </row>
    <row r="522">
      <c r="A522" s="17"/>
      <c r="C522" s="79"/>
      <c r="D522" s="79"/>
      <c r="E522" s="79"/>
      <c r="F522" s="79"/>
      <c r="G522" s="79"/>
      <c r="H522" s="79"/>
      <c r="I522" s="79"/>
      <c r="J522" s="79"/>
      <c r="K522" s="79"/>
      <c r="L522" s="79"/>
      <c r="N522" s="102"/>
    </row>
    <row r="523">
      <c r="A523" s="17"/>
      <c r="C523" s="79"/>
      <c r="D523" s="79"/>
      <c r="E523" s="79"/>
      <c r="F523" s="79"/>
      <c r="G523" s="79"/>
      <c r="H523" s="79"/>
      <c r="I523" s="79"/>
      <c r="J523" s="79"/>
      <c r="K523" s="79"/>
      <c r="L523" s="79"/>
      <c r="N523" s="102"/>
    </row>
    <row r="524">
      <c r="A524" s="17"/>
      <c r="C524" s="79"/>
      <c r="D524" s="79"/>
      <c r="E524" s="79"/>
      <c r="F524" s="79"/>
      <c r="G524" s="79"/>
      <c r="H524" s="79"/>
      <c r="I524" s="79"/>
      <c r="J524" s="79"/>
      <c r="K524" s="79"/>
      <c r="L524" s="79"/>
      <c r="N524" s="102"/>
    </row>
    <row r="525">
      <c r="A525" s="17"/>
      <c r="C525" s="79"/>
      <c r="D525" s="79"/>
      <c r="E525" s="79"/>
      <c r="F525" s="79"/>
      <c r="G525" s="79"/>
      <c r="H525" s="79"/>
      <c r="I525" s="79"/>
      <c r="J525" s="79"/>
      <c r="K525" s="79"/>
      <c r="L525" s="79"/>
      <c r="N525" s="102"/>
    </row>
    <row r="526">
      <c r="A526" s="17"/>
      <c r="C526" s="79"/>
      <c r="D526" s="79"/>
      <c r="E526" s="79"/>
      <c r="F526" s="79"/>
      <c r="G526" s="79"/>
      <c r="H526" s="79"/>
      <c r="I526" s="79"/>
      <c r="J526" s="79"/>
      <c r="K526" s="79"/>
      <c r="L526" s="79"/>
      <c r="N526" s="102"/>
    </row>
    <row r="527">
      <c r="A527" s="17"/>
      <c r="C527" s="79"/>
      <c r="D527" s="79"/>
      <c r="E527" s="79"/>
      <c r="F527" s="79"/>
      <c r="G527" s="79"/>
      <c r="H527" s="79"/>
      <c r="I527" s="79"/>
      <c r="J527" s="79"/>
      <c r="K527" s="79"/>
      <c r="L527" s="79"/>
      <c r="N527" s="102"/>
    </row>
    <row r="528">
      <c r="A528" s="17"/>
      <c r="C528" s="79"/>
      <c r="D528" s="79"/>
      <c r="E528" s="79"/>
      <c r="F528" s="79"/>
      <c r="G528" s="79"/>
      <c r="H528" s="79"/>
      <c r="I528" s="79"/>
      <c r="J528" s="79"/>
      <c r="K528" s="79"/>
      <c r="L528" s="79"/>
      <c r="N528" s="102"/>
    </row>
    <row r="529">
      <c r="A529" s="17"/>
      <c r="C529" s="79"/>
      <c r="D529" s="79"/>
      <c r="E529" s="79"/>
      <c r="F529" s="79"/>
      <c r="G529" s="79"/>
      <c r="H529" s="79"/>
      <c r="I529" s="79"/>
      <c r="J529" s="79"/>
      <c r="K529" s="79"/>
      <c r="L529" s="79"/>
      <c r="N529" s="102"/>
    </row>
    <row r="530">
      <c r="A530" s="17"/>
      <c r="C530" s="79"/>
      <c r="D530" s="79"/>
      <c r="E530" s="79"/>
      <c r="F530" s="79"/>
      <c r="G530" s="79"/>
      <c r="H530" s="79"/>
      <c r="I530" s="79"/>
      <c r="J530" s="79"/>
      <c r="K530" s="79"/>
      <c r="L530" s="79"/>
      <c r="N530" s="102"/>
    </row>
    <row r="531">
      <c r="A531" s="17"/>
      <c r="C531" s="79"/>
      <c r="D531" s="79"/>
      <c r="E531" s="79"/>
      <c r="F531" s="79"/>
      <c r="G531" s="79"/>
      <c r="H531" s="79"/>
      <c r="I531" s="79"/>
      <c r="J531" s="79"/>
      <c r="K531" s="79"/>
      <c r="L531" s="79"/>
      <c r="N531" s="102"/>
    </row>
    <row r="532">
      <c r="A532" s="17"/>
      <c r="C532" s="79"/>
      <c r="D532" s="79"/>
      <c r="E532" s="79"/>
      <c r="F532" s="79"/>
      <c r="G532" s="79"/>
      <c r="H532" s="79"/>
      <c r="I532" s="79"/>
      <c r="J532" s="79"/>
      <c r="K532" s="79"/>
      <c r="L532" s="79"/>
      <c r="N532" s="102"/>
    </row>
    <row r="533">
      <c r="A533" s="17"/>
      <c r="C533" s="79"/>
      <c r="D533" s="79"/>
      <c r="E533" s="79"/>
      <c r="F533" s="79"/>
      <c r="G533" s="79"/>
      <c r="H533" s="79"/>
      <c r="I533" s="79"/>
      <c r="J533" s="79"/>
      <c r="K533" s="79"/>
      <c r="L533" s="79"/>
      <c r="N533" s="102"/>
    </row>
    <row r="534">
      <c r="A534" s="17"/>
      <c r="C534" s="79"/>
      <c r="D534" s="79"/>
      <c r="E534" s="79"/>
      <c r="F534" s="79"/>
      <c r="G534" s="79"/>
      <c r="H534" s="79"/>
      <c r="I534" s="79"/>
      <c r="J534" s="79"/>
      <c r="K534" s="79"/>
      <c r="L534" s="79"/>
      <c r="N534" s="102"/>
    </row>
    <row r="535">
      <c r="A535" s="17"/>
      <c r="C535" s="79"/>
      <c r="D535" s="79"/>
      <c r="E535" s="79"/>
      <c r="F535" s="79"/>
      <c r="G535" s="79"/>
      <c r="H535" s="79"/>
      <c r="I535" s="79"/>
      <c r="J535" s="79"/>
      <c r="K535" s="79"/>
      <c r="L535" s="79"/>
      <c r="N535" s="102"/>
    </row>
    <row r="536">
      <c r="A536" s="17"/>
      <c r="C536" s="79"/>
      <c r="D536" s="79"/>
      <c r="E536" s="79"/>
      <c r="F536" s="79"/>
      <c r="G536" s="79"/>
      <c r="H536" s="79"/>
      <c r="I536" s="79"/>
      <c r="J536" s="79"/>
      <c r="K536" s="79"/>
      <c r="L536" s="79"/>
      <c r="N536" s="102"/>
    </row>
    <row r="537">
      <c r="A537" s="17"/>
      <c r="C537" s="79"/>
      <c r="D537" s="79"/>
      <c r="E537" s="79"/>
      <c r="F537" s="79"/>
      <c r="G537" s="79"/>
      <c r="H537" s="79"/>
      <c r="I537" s="79"/>
      <c r="J537" s="79"/>
      <c r="K537" s="79"/>
      <c r="L537" s="79"/>
      <c r="N537" s="102"/>
    </row>
    <row r="538">
      <c r="A538" s="17"/>
      <c r="C538" s="79"/>
      <c r="D538" s="79"/>
      <c r="E538" s="79"/>
      <c r="F538" s="79"/>
      <c r="G538" s="79"/>
      <c r="H538" s="79"/>
      <c r="I538" s="79"/>
      <c r="J538" s="79"/>
      <c r="K538" s="79"/>
      <c r="L538" s="79"/>
      <c r="N538" s="102"/>
    </row>
    <row r="539">
      <c r="A539" s="17"/>
      <c r="C539" s="79"/>
      <c r="D539" s="79"/>
      <c r="E539" s="79"/>
      <c r="F539" s="79"/>
      <c r="G539" s="79"/>
      <c r="H539" s="79"/>
      <c r="I539" s="79"/>
      <c r="J539" s="79"/>
      <c r="K539" s="79"/>
      <c r="L539" s="79"/>
      <c r="N539" s="102"/>
    </row>
    <row r="540">
      <c r="A540" s="17"/>
      <c r="C540" s="79"/>
      <c r="D540" s="79"/>
      <c r="E540" s="79"/>
      <c r="F540" s="79"/>
      <c r="G540" s="79"/>
      <c r="H540" s="79"/>
      <c r="I540" s="79"/>
      <c r="J540" s="79"/>
      <c r="K540" s="79"/>
      <c r="L540" s="79"/>
      <c r="N540" s="102"/>
    </row>
    <row r="541">
      <c r="A541" s="17"/>
      <c r="C541" s="79"/>
      <c r="D541" s="79"/>
      <c r="E541" s="79"/>
      <c r="F541" s="79"/>
      <c r="G541" s="79"/>
      <c r="H541" s="79"/>
      <c r="I541" s="79"/>
      <c r="J541" s="79"/>
      <c r="K541" s="79"/>
      <c r="L541" s="79"/>
      <c r="N541" s="102"/>
    </row>
    <row r="542">
      <c r="A542" s="17"/>
      <c r="C542" s="79"/>
      <c r="D542" s="79"/>
      <c r="E542" s="79"/>
      <c r="F542" s="79"/>
      <c r="G542" s="79"/>
      <c r="H542" s="79"/>
      <c r="I542" s="79"/>
      <c r="J542" s="79"/>
      <c r="K542" s="79"/>
      <c r="L542" s="79"/>
      <c r="N542" s="102"/>
    </row>
    <row r="543">
      <c r="A543" s="17"/>
      <c r="C543" s="79"/>
      <c r="D543" s="79"/>
      <c r="E543" s="79"/>
      <c r="F543" s="79"/>
      <c r="G543" s="79"/>
      <c r="H543" s="79"/>
      <c r="I543" s="79"/>
      <c r="J543" s="79"/>
      <c r="K543" s="79"/>
      <c r="L543" s="79"/>
      <c r="N543" s="102"/>
    </row>
    <row r="544">
      <c r="A544" s="17"/>
      <c r="C544" s="79"/>
      <c r="D544" s="79"/>
      <c r="E544" s="79"/>
      <c r="F544" s="79"/>
      <c r="G544" s="79"/>
      <c r="H544" s="79"/>
      <c r="I544" s="79"/>
      <c r="J544" s="79"/>
      <c r="K544" s="79"/>
      <c r="L544" s="79"/>
      <c r="N544" s="102"/>
    </row>
    <row r="545">
      <c r="A545" s="17"/>
      <c r="C545" s="79"/>
      <c r="D545" s="79"/>
      <c r="E545" s="79"/>
      <c r="F545" s="79"/>
      <c r="G545" s="79"/>
      <c r="H545" s="79"/>
      <c r="I545" s="79"/>
      <c r="J545" s="79"/>
      <c r="K545" s="79"/>
      <c r="L545" s="79"/>
      <c r="N545" s="102"/>
    </row>
    <row r="546">
      <c r="A546" s="17"/>
      <c r="C546" s="79"/>
      <c r="D546" s="79"/>
      <c r="E546" s="79"/>
      <c r="F546" s="79"/>
      <c r="G546" s="79"/>
      <c r="H546" s="79"/>
      <c r="I546" s="79"/>
      <c r="J546" s="79"/>
      <c r="K546" s="79"/>
      <c r="L546" s="79"/>
      <c r="N546" s="102"/>
    </row>
    <row r="547">
      <c r="A547" s="17"/>
      <c r="C547" s="79"/>
      <c r="D547" s="79"/>
      <c r="E547" s="79"/>
      <c r="F547" s="79"/>
      <c r="G547" s="79"/>
      <c r="H547" s="79"/>
      <c r="I547" s="79"/>
      <c r="J547" s="79"/>
      <c r="K547" s="79"/>
      <c r="L547" s="79"/>
      <c r="N547" s="102"/>
    </row>
    <row r="548">
      <c r="A548" s="17"/>
      <c r="C548" s="79"/>
      <c r="D548" s="79"/>
      <c r="E548" s="79"/>
      <c r="F548" s="79"/>
      <c r="G548" s="79"/>
      <c r="H548" s="79"/>
      <c r="I548" s="79"/>
      <c r="J548" s="79"/>
      <c r="K548" s="79"/>
      <c r="L548" s="79"/>
      <c r="N548" s="102"/>
    </row>
    <row r="549">
      <c r="A549" s="17"/>
      <c r="C549" s="79"/>
      <c r="D549" s="79"/>
      <c r="E549" s="79"/>
      <c r="F549" s="79"/>
      <c r="G549" s="79"/>
      <c r="H549" s="79"/>
      <c r="I549" s="79"/>
      <c r="J549" s="79"/>
      <c r="K549" s="79"/>
      <c r="L549" s="79"/>
      <c r="N549" s="102"/>
    </row>
    <row r="550">
      <c r="A550" s="17"/>
      <c r="C550" s="79"/>
      <c r="D550" s="79"/>
      <c r="E550" s="79"/>
      <c r="F550" s="79"/>
      <c r="G550" s="79"/>
      <c r="H550" s="79"/>
      <c r="I550" s="79"/>
      <c r="J550" s="79"/>
      <c r="K550" s="79"/>
      <c r="L550" s="79"/>
      <c r="N550" s="102"/>
    </row>
    <row r="551">
      <c r="A551" s="17"/>
      <c r="C551" s="79"/>
      <c r="D551" s="79"/>
      <c r="E551" s="79"/>
      <c r="F551" s="79"/>
      <c r="G551" s="79"/>
      <c r="H551" s="79"/>
      <c r="I551" s="79"/>
      <c r="J551" s="79"/>
      <c r="K551" s="79"/>
      <c r="L551" s="79"/>
      <c r="N551" s="102"/>
    </row>
    <row r="552">
      <c r="A552" s="17"/>
      <c r="C552" s="79"/>
      <c r="D552" s="79"/>
      <c r="E552" s="79"/>
      <c r="F552" s="79"/>
      <c r="G552" s="79"/>
      <c r="H552" s="79"/>
      <c r="I552" s="79"/>
      <c r="J552" s="79"/>
      <c r="K552" s="79"/>
      <c r="L552" s="79"/>
      <c r="N552" s="102"/>
    </row>
    <row r="553">
      <c r="A553" s="17"/>
      <c r="C553" s="79"/>
      <c r="D553" s="79"/>
      <c r="E553" s="79"/>
      <c r="F553" s="79"/>
      <c r="G553" s="79"/>
      <c r="H553" s="79"/>
      <c r="I553" s="79"/>
      <c r="J553" s="79"/>
      <c r="K553" s="79"/>
      <c r="L553" s="79"/>
      <c r="N553" s="102"/>
    </row>
    <row r="554">
      <c r="A554" s="17"/>
      <c r="C554" s="79"/>
      <c r="D554" s="79"/>
      <c r="E554" s="79"/>
      <c r="F554" s="79"/>
      <c r="G554" s="79"/>
      <c r="H554" s="79"/>
      <c r="I554" s="79"/>
      <c r="J554" s="79"/>
      <c r="K554" s="79"/>
      <c r="L554" s="79"/>
      <c r="N554" s="102"/>
    </row>
    <row r="555">
      <c r="A555" s="17"/>
      <c r="C555" s="79"/>
      <c r="D555" s="79"/>
      <c r="E555" s="79"/>
      <c r="F555" s="79"/>
      <c r="G555" s="79"/>
      <c r="H555" s="79"/>
      <c r="I555" s="79"/>
      <c r="J555" s="79"/>
      <c r="K555" s="79"/>
      <c r="L555" s="79"/>
      <c r="N555" s="102"/>
    </row>
    <row r="556">
      <c r="A556" s="17"/>
      <c r="C556" s="79"/>
      <c r="D556" s="79"/>
      <c r="E556" s="79"/>
      <c r="F556" s="79"/>
      <c r="G556" s="79"/>
      <c r="H556" s="79"/>
      <c r="I556" s="79"/>
      <c r="J556" s="79"/>
      <c r="K556" s="79"/>
      <c r="L556" s="79"/>
      <c r="N556" s="102"/>
    </row>
    <row r="557">
      <c r="A557" s="17"/>
      <c r="C557" s="79"/>
      <c r="D557" s="79"/>
      <c r="E557" s="79"/>
      <c r="F557" s="79"/>
      <c r="G557" s="79"/>
      <c r="H557" s="79"/>
      <c r="I557" s="79"/>
      <c r="J557" s="79"/>
      <c r="K557" s="79"/>
      <c r="L557" s="79"/>
      <c r="N557" s="102"/>
    </row>
    <row r="558">
      <c r="A558" s="17"/>
      <c r="C558" s="79"/>
      <c r="D558" s="79"/>
      <c r="E558" s="79"/>
      <c r="F558" s="79"/>
      <c r="G558" s="79"/>
      <c r="H558" s="79"/>
      <c r="I558" s="79"/>
      <c r="J558" s="79"/>
      <c r="K558" s="79"/>
      <c r="L558" s="79"/>
      <c r="N558" s="102"/>
    </row>
    <row r="559">
      <c r="A559" s="17"/>
      <c r="C559" s="79"/>
      <c r="D559" s="79"/>
      <c r="E559" s="79"/>
      <c r="F559" s="79"/>
      <c r="G559" s="79"/>
      <c r="H559" s="79"/>
      <c r="I559" s="79"/>
      <c r="J559" s="79"/>
      <c r="K559" s="79"/>
      <c r="L559" s="79"/>
      <c r="N559" s="102"/>
    </row>
    <row r="560">
      <c r="A560" s="17"/>
      <c r="C560" s="79"/>
      <c r="D560" s="79"/>
      <c r="E560" s="79"/>
      <c r="F560" s="79"/>
      <c r="G560" s="79"/>
      <c r="H560" s="79"/>
      <c r="I560" s="79"/>
      <c r="J560" s="79"/>
      <c r="K560" s="79"/>
      <c r="L560" s="79"/>
      <c r="N560" s="102"/>
    </row>
    <row r="561">
      <c r="A561" s="17"/>
      <c r="C561" s="79"/>
      <c r="D561" s="79"/>
      <c r="E561" s="79"/>
      <c r="F561" s="79"/>
      <c r="G561" s="79"/>
      <c r="H561" s="79"/>
      <c r="I561" s="79"/>
      <c r="J561" s="79"/>
      <c r="K561" s="79"/>
      <c r="L561" s="79"/>
      <c r="N561" s="102"/>
    </row>
    <row r="562">
      <c r="A562" s="17"/>
      <c r="C562" s="79"/>
      <c r="D562" s="79"/>
      <c r="E562" s="79"/>
      <c r="F562" s="79"/>
      <c r="G562" s="79"/>
      <c r="H562" s="79"/>
      <c r="I562" s="79"/>
      <c r="J562" s="79"/>
      <c r="K562" s="79"/>
      <c r="L562" s="79"/>
      <c r="N562" s="102"/>
    </row>
    <row r="563">
      <c r="A563" s="17"/>
      <c r="C563" s="79"/>
      <c r="D563" s="79"/>
      <c r="E563" s="79"/>
      <c r="F563" s="79"/>
      <c r="G563" s="79"/>
      <c r="H563" s="79"/>
      <c r="I563" s="79"/>
      <c r="J563" s="79"/>
      <c r="K563" s="79"/>
      <c r="L563" s="79"/>
      <c r="N563" s="102"/>
    </row>
    <row r="564">
      <c r="A564" s="17"/>
      <c r="C564" s="79"/>
      <c r="D564" s="79"/>
      <c r="E564" s="79"/>
      <c r="F564" s="79"/>
      <c r="G564" s="79"/>
      <c r="H564" s="79"/>
      <c r="I564" s="79"/>
      <c r="J564" s="79"/>
      <c r="K564" s="79"/>
      <c r="L564" s="79"/>
      <c r="N564" s="102"/>
    </row>
    <row r="565">
      <c r="A565" s="17"/>
      <c r="C565" s="79"/>
      <c r="D565" s="79"/>
      <c r="E565" s="79"/>
      <c r="F565" s="79"/>
      <c r="G565" s="79"/>
      <c r="H565" s="79"/>
      <c r="I565" s="79"/>
      <c r="J565" s="79"/>
      <c r="K565" s="79"/>
      <c r="L565" s="79"/>
      <c r="N565" s="102"/>
    </row>
    <row r="566">
      <c r="A566" s="17"/>
      <c r="C566" s="79"/>
      <c r="D566" s="79"/>
      <c r="E566" s="79"/>
      <c r="F566" s="79"/>
      <c r="G566" s="79"/>
      <c r="H566" s="79"/>
      <c r="I566" s="79"/>
      <c r="J566" s="79"/>
      <c r="K566" s="79"/>
      <c r="L566" s="79"/>
      <c r="N566" s="102"/>
    </row>
    <row r="567">
      <c r="A567" s="17"/>
      <c r="C567" s="79"/>
      <c r="D567" s="79"/>
      <c r="E567" s="79"/>
      <c r="F567" s="79"/>
      <c r="G567" s="79"/>
      <c r="H567" s="79"/>
      <c r="I567" s="79"/>
      <c r="J567" s="79"/>
      <c r="K567" s="79"/>
      <c r="L567" s="79"/>
      <c r="N567" s="102"/>
    </row>
    <row r="568">
      <c r="A568" s="17"/>
      <c r="C568" s="79"/>
      <c r="D568" s="79"/>
      <c r="E568" s="79"/>
      <c r="F568" s="79"/>
      <c r="G568" s="79"/>
      <c r="H568" s="79"/>
      <c r="I568" s="79"/>
      <c r="J568" s="79"/>
      <c r="K568" s="79"/>
      <c r="L568" s="79"/>
      <c r="N568" s="102"/>
    </row>
    <row r="569">
      <c r="A569" s="17"/>
      <c r="C569" s="79"/>
      <c r="D569" s="79"/>
      <c r="E569" s="79"/>
      <c r="F569" s="79"/>
      <c r="G569" s="79"/>
      <c r="H569" s="79"/>
      <c r="I569" s="79"/>
      <c r="J569" s="79"/>
      <c r="K569" s="79"/>
      <c r="L569" s="79"/>
      <c r="N569" s="102"/>
    </row>
    <row r="570">
      <c r="A570" s="17"/>
      <c r="C570" s="79"/>
      <c r="D570" s="79"/>
      <c r="E570" s="79"/>
      <c r="F570" s="79"/>
      <c r="G570" s="79"/>
      <c r="H570" s="79"/>
      <c r="I570" s="79"/>
      <c r="J570" s="79"/>
      <c r="K570" s="79"/>
      <c r="L570" s="79"/>
      <c r="N570" s="102"/>
    </row>
    <row r="571">
      <c r="A571" s="17"/>
      <c r="C571" s="79"/>
      <c r="D571" s="79"/>
      <c r="E571" s="79"/>
      <c r="F571" s="79"/>
      <c r="G571" s="79"/>
      <c r="H571" s="79"/>
      <c r="I571" s="79"/>
      <c r="J571" s="79"/>
      <c r="K571" s="79"/>
      <c r="L571" s="79"/>
      <c r="N571" s="102"/>
    </row>
    <row r="572">
      <c r="A572" s="17"/>
      <c r="C572" s="79"/>
      <c r="D572" s="79"/>
      <c r="E572" s="79"/>
      <c r="F572" s="79"/>
      <c r="G572" s="79"/>
      <c r="H572" s="79"/>
      <c r="I572" s="79"/>
      <c r="J572" s="79"/>
      <c r="K572" s="79"/>
      <c r="L572" s="79"/>
      <c r="N572" s="102"/>
    </row>
    <row r="573">
      <c r="A573" s="17"/>
      <c r="C573" s="79"/>
      <c r="D573" s="79"/>
      <c r="E573" s="79"/>
      <c r="F573" s="79"/>
      <c r="G573" s="79"/>
      <c r="H573" s="79"/>
      <c r="I573" s="79"/>
      <c r="J573" s="79"/>
      <c r="K573" s="79"/>
      <c r="L573" s="79"/>
      <c r="N573" s="102"/>
    </row>
    <row r="574">
      <c r="A574" s="17"/>
      <c r="C574" s="79"/>
      <c r="D574" s="79"/>
      <c r="E574" s="79"/>
      <c r="F574" s="79"/>
      <c r="G574" s="79"/>
      <c r="H574" s="79"/>
      <c r="I574" s="79"/>
      <c r="J574" s="79"/>
      <c r="K574" s="79"/>
      <c r="L574" s="79"/>
      <c r="N574" s="102"/>
    </row>
    <row r="575">
      <c r="A575" s="17"/>
      <c r="C575" s="79"/>
      <c r="D575" s="79"/>
      <c r="E575" s="79"/>
      <c r="F575" s="79"/>
      <c r="G575" s="79"/>
      <c r="H575" s="79"/>
      <c r="I575" s="79"/>
      <c r="J575" s="79"/>
      <c r="K575" s="79"/>
      <c r="L575" s="79"/>
      <c r="N575" s="102"/>
    </row>
    <row r="576">
      <c r="A576" s="17"/>
      <c r="C576" s="79"/>
      <c r="D576" s="79"/>
      <c r="E576" s="79"/>
      <c r="F576" s="79"/>
      <c r="G576" s="79"/>
      <c r="H576" s="79"/>
      <c r="I576" s="79"/>
      <c r="J576" s="79"/>
      <c r="K576" s="79"/>
      <c r="L576" s="79"/>
      <c r="N576" s="102"/>
    </row>
    <row r="577">
      <c r="A577" s="17"/>
      <c r="C577" s="79"/>
      <c r="D577" s="79"/>
      <c r="E577" s="79"/>
      <c r="F577" s="79"/>
      <c r="G577" s="79"/>
      <c r="H577" s="79"/>
      <c r="I577" s="79"/>
      <c r="J577" s="79"/>
      <c r="K577" s="79"/>
      <c r="L577" s="79"/>
      <c r="N577" s="102"/>
    </row>
    <row r="578">
      <c r="A578" s="17"/>
      <c r="C578" s="79"/>
      <c r="D578" s="79"/>
      <c r="E578" s="79"/>
      <c r="F578" s="79"/>
      <c r="G578" s="79"/>
      <c r="H578" s="79"/>
      <c r="I578" s="79"/>
      <c r="J578" s="79"/>
      <c r="K578" s="79"/>
      <c r="L578" s="79"/>
      <c r="N578" s="102"/>
    </row>
    <row r="579">
      <c r="A579" s="17"/>
      <c r="C579" s="79"/>
      <c r="D579" s="79"/>
      <c r="E579" s="79"/>
      <c r="F579" s="79"/>
      <c r="G579" s="79"/>
      <c r="H579" s="79"/>
      <c r="I579" s="79"/>
      <c r="J579" s="79"/>
      <c r="K579" s="79"/>
      <c r="L579" s="79"/>
      <c r="N579" s="102"/>
    </row>
    <row r="580">
      <c r="A580" s="17"/>
      <c r="C580" s="79"/>
      <c r="D580" s="79"/>
      <c r="E580" s="79"/>
      <c r="F580" s="79"/>
      <c r="G580" s="79"/>
      <c r="H580" s="79"/>
      <c r="I580" s="79"/>
      <c r="J580" s="79"/>
      <c r="K580" s="79"/>
      <c r="L580" s="79"/>
      <c r="N580" s="102"/>
    </row>
    <row r="581">
      <c r="A581" s="17"/>
      <c r="C581" s="79"/>
      <c r="D581" s="79"/>
      <c r="E581" s="79"/>
      <c r="F581" s="79"/>
      <c r="G581" s="79"/>
      <c r="H581" s="79"/>
      <c r="I581" s="79"/>
      <c r="J581" s="79"/>
      <c r="K581" s="79"/>
      <c r="L581" s="79"/>
      <c r="N581" s="102"/>
    </row>
    <row r="582">
      <c r="A582" s="17"/>
      <c r="C582" s="79"/>
      <c r="D582" s="79"/>
      <c r="E582" s="79"/>
      <c r="F582" s="79"/>
      <c r="G582" s="79"/>
      <c r="H582" s="79"/>
      <c r="I582" s="79"/>
      <c r="J582" s="79"/>
      <c r="K582" s="79"/>
      <c r="L582" s="79"/>
      <c r="N582" s="102"/>
    </row>
    <row r="583">
      <c r="A583" s="17"/>
      <c r="C583" s="79"/>
      <c r="D583" s="79"/>
      <c r="E583" s="79"/>
      <c r="F583" s="79"/>
      <c r="G583" s="79"/>
      <c r="H583" s="79"/>
      <c r="I583" s="79"/>
      <c r="J583" s="79"/>
      <c r="K583" s="79"/>
      <c r="L583" s="79"/>
      <c r="N583" s="102"/>
    </row>
    <row r="584">
      <c r="A584" s="17"/>
      <c r="C584" s="79"/>
      <c r="D584" s="79"/>
      <c r="E584" s="79"/>
      <c r="F584" s="79"/>
      <c r="G584" s="79"/>
      <c r="H584" s="79"/>
      <c r="I584" s="79"/>
      <c r="J584" s="79"/>
      <c r="K584" s="79"/>
      <c r="L584" s="79"/>
      <c r="N584" s="102"/>
    </row>
    <row r="585">
      <c r="A585" s="17"/>
      <c r="C585" s="79"/>
      <c r="D585" s="79"/>
      <c r="E585" s="79"/>
      <c r="F585" s="79"/>
      <c r="G585" s="79"/>
      <c r="H585" s="79"/>
      <c r="I585" s="79"/>
      <c r="J585" s="79"/>
      <c r="K585" s="79"/>
      <c r="L585" s="79"/>
      <c r="N585" s="102"/>
    </row>
    <row r="586">
      <c r="A586" s="17"/>
      <c r="C586" s="79"/>
      <c r="D586" s="79"/>
      <c r="E586" s="79"/>
      <c r="F586" s="79"/>
      <c r="G586" s="79"/>
      <c r="H586" s="79"/>
      <c r="I586" s="79"/>
      <c r="J586" s="79"/>
      <c r="K586" s="79"/>
      <c r="L586" s="79"/>
      <c r="N586" s="102"/>
    </row>
    <row r="587">
      <c r="A587" s="17"/>
      <c r="C587" s="79"/>
      <c r="D587" s="79"/>
      <c r="E587" s="79"/>
      <c r="F587" s="79"/>
      <c r="G587" s="79"/>
      <c r="H587" s="79"/>
      <c r="I587" s="79"/>
      <c r="J587" s="79"/>
      <c r="K587" s="79"/>
      <c r="L587" s="79"/>
      <c r="N587" s="102"/>
    </row>
    <row r="588">
      <c r="A588" s="17"/>
      <c r="C588" s="79"/>
      <c r="D588" s="79"/>
      <c r="E588" s="79"/>
      <c r="F588" s="79"/>
      <c r="G588" s="79"/>
      <c r="H588" s="79"/>
      <c r="I588" s="79"/>
      <c r="J588" s="79"/>
      <c r="K588" s="79"/>
      <c r="L588" s="79"/>
      <c r="N588" s="102"/>
    </row>
    <row r="589">
      <c r="A589" s="17"/>
      <c r="C589" s="79"/>
      <c r="D589" s="79"/>
      <c r="E589" s="79"/>
      <c r="F589" s="79"/>
      <c r="G589" s="79"/>
      <c r="H589" s="79"/>
      <c r="I589" s="79"/>
      <c r="J589" s="79"/>
      <c r="K589" s="79"/>
      <c r="L589" s="79"/>
      <c r="N589" s="102"/>
    </row>
    <row r="590">
      <c r="A590" s="17"/>
      <c r="C590" s="79"/>
      <c r="D590" s="79"/>
      <c r="E590" s="79"/>
      <c r="F590" s="79"/>
      <c r="G590" s="79"/>
      <c r="H590" s="79"/>
      <c r="I590" s="79"/>
      <c r="J590" s="79"/>
      <c r="K590" s="79"/>
      <c r="L590" s="79"/>
      <c r="N590" s="102"/>
    </row>
    <row r="591">
      <c r="A591" s="17"/>
      <c r="C591" s="79"/>
      <c r="D591" s="79"/>
      <c r="E591" s="79"/>
      <c r="F591" s="79"/>
      <c r="G591" s="79"/>
      <c r="H591" s="79"/>
      <c r="I591" s="79"/>
      <c r="J591" s="79"/>
      <c r="K591" s="79"/>
      <c r="L591" s="79"/>
      <c r="N591" s="102"/>
    </row>
    <row r="592">
      <c r="A592" s="17"/>
      <c r="C592" s="79"/>
      <c r="D592" s="79"/>
      <c r="E592" s="79"/>
      <c r="F592" s="79"/>
      <c r="G592" s="79"/>
      <c r="H592" s="79"/>
      <c r="I592" s="79"/>
      <c r="J592" s="79"/>
      <c r="K592" s="79"/>
      <c r="L592" s="79"/>
      <c r="N592" s="102"/>
    </row>
    <row r="593">
      <c r="A593" s="17"/>
      <c r="C593" s="79"/>
      <c r="D593" s="79"/>
      <c r="E593" s="79"/>
      <c r="F593" s="79"/>
      <c r="G593" s="79"/>
      <c r="H593" s="79"/>
      <c r="I593" s="79"/>
      <c r="J593" s="79"/>
      <c r="K593" s="79"/>
      <c r="L593" s="79"/>
      <c r="N593" s="102"/>
    </row>
    <row r="594">
      <c r="A594" s="17"/>
      <c r="C594" s="79"/>
      <c r="D594" s="79"/>
      <c r="E594" s="79"/>
      <c r="F594" s="79"/>
      <c r="G594" s="79"/>
      <c r="H594" s="79"/>
      <c r="I594" s="79"/>
      <c r="J594" s="79"/>
      <c r="K594" s="79"/>
      <c r="L594" s="79"/>
      <c r="N594" s="102"/>
    </row>
    <row r="595">
      <c r="A595" s="17"/>
      <c r="C595" s="79"/>
      <c r="D595" s="79"/>
      <c r="E595" s="79"/>
      <c r="F595" s="79"/>
      <c r="G595" s="79"/>
      <c r="H595" s="79"/>
      <c r="I595" s="79"/>
      <c r="J595" s="79"/>
      <c r="K595" s="79"/>
      <c r="L595" s="79"/>
      <c r="N595" s="102"/>
    </row>
    <row r="596">
      <c r="A596" s="17"/>
      <c r="C596" s="79"/>
      <c r="D596" s="79"/>
      <c r="E596" s="79"/>
      <c r="F596" s="79"/>
      <c r="G596" s="79"/>
      <c r="H596" s="79"/>
      <c r="I596" s="79"/>
      <c r="J596" s="79"/>
      <c r="K596" s="79"/>
      <c r="L596" s="79"/>
      <c r="N596" s="102"/>
    </row>
    <row r="597">
      <c r="A597" s="17"/>
      <c r="C597" s="79"/>
      <c r="D597" s="79"/>
      <c r="E597" s="79"/>
      <c r="F597" s="79"/>
      <c r="G597" s="79"/>
      <c r="H597" s="79"/>
      <c r="I597" s="79"/>
      <c r="J597" s="79"/>
      <c r="K597" s="79"/>
      <c r="L597" s="79"/>
      <c r="N597" s="102"/>
    </row>
    <row r="598">
      <c r="A598" s="17"/>
      <c r="C598" s="79"/>
      <c r="D598" s="79"/>
      <c r="E598" s="79"/>
      <c r="F598" s="79"/>
      <c r="G598" s="79"/>
      <c r="H598" s="79"/>
      <c r="I598" s="79"/>
      <c r="J598" s="79"/>
      <c r="K598" s="79"/>
      <c r="L598" s="79"/>
      <c r="N598" s="102"/>
    </row>
    <row r="599">
      <c r="A599" s="17"/>
      <c r="C599" s="79"/>
      <c r="D599" s="79"/>
      <c r="E599" s="79"/>
      <c r="F599" s="79"/>
      <c r="G599" s="79"/>
      <c r="H599" s="79"/>
      <c r="I599" s="79"/>
      <c r="J599" s="79"/>
      <c r="K599" s="79"/>
      <c r="L599" s="79"/>
      <c r="N599" s="102"/>
    </row>
    <row r="600">
      <c r="A600" s="17"/>
      <c r="C600" s="79"/>
      <c r="D600" s="79"/>
      <c r="E600" s="79"/>
      <c r="F600" s="79"/>
      <c r="G600" s="79"/>
      <c r="H600" s="79"/>
      <c r="I600" s="79"/>
      <c r="J600" s="79"/>
      <c r="K600" s="79"/>
      <c r="L600" s="79"/>
      <c r="N600" s="102"/>
    </row>
    <row r="601">
      <c r="A601" s="17"/>
      <c r="C601" s="79"/>
      <c r="D601" s="79"/>
      <c r="E601" s="79"/>
      <c r="F601" s="79"/>
      <c r="G601" s="79"/>
      <c r="H601" s="79"/>
      <c r="I601" s="79"/>
      <c r="J601" s="79"/>
      <c r="K601" s="79"/>
      <c r="L601" s="79"/>
      <c r="N601" s="102"/>
    </row>
    <row r="602">
      <c r="A602" s="17"/>
      <c r="C602" s="79"/>
      <c r="D602" s="79"/>
      <c r="E602" s="79"/>
      <c r="F602" s="79"/>
      <c r="G602" s="79"/>
      <c r="H602" s="79"/>
      <c r="I602" s="79"/>
      <c r="J602" s="79"/>
      <c r="K602" s="79"/>
      <c r="L602" s="79"/>
      <c r="N602" s="102"/>
    </row>
    <row r="603">
      <c r="A603" s="17"/>
      <c r="C603" s="79"/>
      <c r="D603" s="79"/>
      <c r="E603" s="79"/>
      <c r="F603" s="79"/>
      <c r="G603" s="79"/>
      <c r="H603" s="79"/>
      <c r="I603" s="79"/>
      <c r="J603" s="79"/>
      <c r="K603" s="79"/>
      <c r="L603" s="79"/>
      <c r="N603" s="102"/>
    </row>
    <row r="604">
      <c r="A604" s="17"/>
      <c r="C604" s="79"/>
      <c r="D604" s="79"/>
      <c r="E604" s="79"/>
      <c r="F604" s="79"/>
      <c r="G604" s="79"/>
      <c r="H604" s="79"/>
      <c r="I604" s="79"/>
      <c r="J604" s="79"/>
      <c r="K604" s="79"/>
      <c r="L604" s="79"/>
      <c r="N604" s="102"/>
    </row>
    <row r="605">
      <c r="A605" s="17"/>
      <c r="C605" s="79"/>
      <c r="D605" s="79"/>
      <c r="E605" s="79"/>
      <c r="F605" s="79"/>
      <c r="G605" s="79"/>
      <c r="H605" s="79"/>
      <c r="I605" s="79"/>
      <c r="J605" s="79"/>
      <c r="K605" s="79"/>
      <c r="L605" s="79"/>
      <c r="N605" s="102"/>
    </row>
    <row r="606">
      <c r="A606" s="17"/>
      <c r="C606" s="79"/>
      <c r="D606" s="79"/>
      <c r="E606" s="79"/>
      <c r="F606" s="79"/>
      <c r="G606" s="79"/>
      <c r="H606" s="79"/>
      <c r="I606" s="79"/>
      <c r="J606" s="79"/>
      <c r="K606" s="79"/>
      <c r="L606" s="79"/>
      <c r="N606" s="102"/>
    </row>
    <row r="607">
      <c r="A607" s="17"/>
      <c r="C607" s="79"/>
      <c r="D607" s="79"/>
      <c r="E607" s="79"/>
      <c r="F607" s="79"/>
      <c r="G607" s="79"/>
      <c r="H607" s="79"/>
      <c r="I607" s="79"/>
      <c r="J607" s="79"/>
      <c r="K607" s="79"/>
      <c r="L607" s="79"/>
      <c r="N607" s="102"/>
    </row>
    <row r="608">
      <c r="A608" s="17"/>
      <c r="C608" s="79"/>
      <c r="D608" s="79"/>
      <c r="E608" s="79"/>
      <c r="F608" s="79"/>
      <c r="G608" s="79"/>
      <c r="H608" s="79"/>
      <c r="I608" s="79"/>
      <c r="J608" s="79"/>
      <c r="K608" s="79"/>
      <c r="L608" s="79"/>
      <c r="N608" s="102"/>
    </row>
    <row r="609">
      <c r="A609" s="17"/>
      <c r="C609" s="79"/>
      <c r="D609" s="79"/>
      <c r="E609" s="79"/>
      <c r="F609" s="79"/>
      <c r="G609" s="79"/>
      <c r="H609" s="79"/>
      <c r="I609" s="79"/>
      <c r="J609" s="79"/>
      <c r="K609" s="79"/>
      <c r="L609" s="79"/>
      <c r="N609" s="102"/>
    </row>
    <row r="610">
      <c r="A610" s="17"/>
      <c r="C610" s="79"/>
      <c r="D610" s="79"/>
      <c r="E610" s="79"/>
      <c r="F610" s="79"/>
      <c r="G610" s="79"/>
      <c r="H610" s="79"/>
      <c r="I610" s="79"/>
      <c r="J610" s="79"/>
      <c r="K610" s="79"/>
      <c r="L610" s="79"/>
      <c r="N610" s="102"/>
    </row>
    <row r="611">
      <c r="A611" s="17"/>
      <c r="C611" s="79"/>
      <c r="D611" s="79"/>
      <c r="E611" s="79"/>
      <c r="F611" s="79"/>
      <c r="G611" s="79"/>
      <c r="H611" s="79"/>
      <c r="I611" s="79"/>
      <c r="J611" s="79"/>
      <c r="K611" s="79"/>
      <c r="L611" s="79"/>
      <c r="N611" s="102"/>
    </row>
    <row r="612">
      <c r="A612" s="17"/>
      <c r="C612" s="79"/>
      <c r="D612" s="79"/>
      <c r="E612" s="79"/>
      <c r="F612" s="79"/>
      <c r="G612" s="79"/>
      <c r="H612" s="79"/>
      <c r="I612" s="79"/>
      <c r="J612" s="79"/>
      <c r="K612" s="79"/>
      <c r="L612" s="79"/>
      <c r="N612" s="102"/>
    </row>
    <row r="613">
      <c r="A613" s="17"/>
      <c r="C613" s="79"/>
      <c r="D613" s="79"/>
      <c r="E613" s="79"/>
      <c r="F613" s="79"/>
      <c r="G613" s="79"/>
      <c r="H613" s="79"/>
      <c r="I613" s="79"/>
      <c r="J613" s="79"/>
      <c r="K613" s="79"/>
      <c r="L613" s="79"/>
      <c r="N613" s="102"/>
    </row>
    <row r="614">
      <c r="A614" s="17"/>
      <c r="C614" s="79"/>
      <c r="D614" s="79"/>
      <c r="E614" s="79"/>
      <c r="F614" s="79"/>
      <c r="G614" s="79"/>
      <c r="H614" s="79"/>
      <c r="I614" s="79"/>
      <c r="J614" s="79"/>
      <c r="K614" s="79"/>
      <c r="L614" s="79"/>
      <c r="N614" s="102"/>
    </row>
    <row r="615">
      <c r="A615" s="17"/>
      <c r="C615" s="79"/>
      <c r="D615" s="79"/>
      <c r="E615" s="79"/>
      <c r="F615" s="79"/>
      <c r="G615" s="79"/>
      <c r="H615" s="79"/>
      <c r="I615" s="79"/>
      <c r="J615" s="79"/>
      <c r="K615" s="79"/>
      <c r="L615" s="79"/>
      <c r="N615" s="102"/>
    </row>
    <row r="616">
      <c r="A616" s="17"/>
      <c r="C616" s="79"/>
      <c r="D616" s="79"/>
      <c r="E616" s="79"/>
      <c r="F616" s="79"/>
      <c r="G616" s="79"/>
      <c r="H616" s="79"/>
      <c r="I616" s="79"/>
      <c r="J616" s="79"/>
      <c r="K616" s="79"/>
      <c r="L616" s="79"/>
      <c r="N616" s="102"/>
    </row>
    <row r="617">
      <c r="A617" s="17"/>
      <c r="C617" s="79"/>
      <c r="D617" s="79"/>
      <c r="E617" s="79"/>
      <c r="F617" s="79"/>
      <c r="G617" s="79"/>
      <c r="H617" s="79"/>
      <c r="I617" s="79"/>
      <c r="J617" s="79"/>
      <c r="K617" s="79"/>
      <c r="L617" s="79"/>
      <c r="N617" s="102"/>
    </row>
    <row r="618">
      <c r="A618" s="17"/>
      <c r="C618" s="79"/>
      <c r="D618" s="79"/>
      <c r="E618" s="79"/>
      <c r="F618" s="79"/>
      <c r="G618" s="79"/>
      <c r="H618" s="79"/>
      <c r="I618" s="79"/>
      <c r="J618" s="79"/>
      <c r="K618" s="79"/>
      <c r="L618" s="79"/>
      <c r="N618" s="102"/>
    </row>
    <row r="619">
      <c r="A619" s="17"/>
      <c r="C619" s="79"/>
      <c r="D619" s="79"/>
      <c r="E619" s="79"/>
      <c r="F619" s="79"/>
      <c r="G619" s="79"/>
      <c r="H619" s="79"/>
      <c r="I619" s="79"/>
      <c r="J619" s="79"/>
      <c r="K619" s="79"/>
      <c r="L619" s="79"/>
      <c r="N619" s="102"/>
    </row>
    <row r="620">
      <c r="A620" s="17"/>
      <c r="C620" s="79"/>
      <c r="D620" s="79"/>
      <c r="E620" s="79"/>
      <c r="F620" s="79"/>
      <c r="G620" s="79"/>
      <c r="H620" s="79"/>
      <c r="I620" s="79"/>
      <c r="J620" s="79"/>
      <c r="K620" s="79"/>
      <c r="L620" s="79"/>
      <c r="N620" s="102"/>
    </row>
    <row r="621">
      <c r="A621" s="17"/>
      <c r="C621" s="79"/>
      <c r="D621" s="79"/>
      <c r="E621" s="79"/>
      <c r="F621" s="79"/>
      <c r="G621" s="79"/>
      <c r="H621" s="79"/>
      <c r="I621" s="79"/>
      <c r="J621" s="79"/>
      <c r="K621" s="79"/>
      <c r="L621" s="79"/>
      <c r="N621" s="102"/>
    </row>
    <row r="622">
      <c r="A622" s="17"/>
      <c r="C622" s="79"/>
      <c r="D622" s="79"/>
      <c r="E622" s="79"/>
      <c r="F622" s="79"/>
      <c r="G622" s="79"/>
      <c r="H622" s="79"/>
      <c r="I622" s="79"/>
      <c r="J622" s="79"/>
      <c r="K622" s="79"/>
      <c r="L622" s="79"/>
      <c r="N622" s="102"/>
    </row>
    <row r="623">
      <c r="A623" s="17"/>
      <c r="C623" s="79"/>
      <c r="D623" s="79"/>
      <c r="E623" s="79"/>
      <c r="F623" s="79"/>
      <c r="G623" s="79"/>
      <c r="H623" s="79"/>
      <c r="I623" s="79"/>
      <c r="J623" s="79"/>
      <c r="K623" s="79"/>
      <c r="L623" s="79"/>
      <c r="N623" s="102"/>
    </row>
    <row r="624">
      <c r="A624" s="17"/>
      <c r="C624" s="79"/>
      <c r="D624" s="79"/>
      <c r="E624" s="79"/>
      <c r="F624" s="79"/>
      <c r="G624" s="79"/>
      <c r="H624" s="79"/>
      <c r="I624" s="79"/>
      <c r="J624" s="79"/>
      <c r="K624" s="79"/>
      <c r="L624" s="79"/>
      <c r="N624" s="102"/>
    </row>
    <row r="625">
      <c r="A625" s="17"/>
      <c r="C625" s="79"/>
      <c r="D625" s="79"/>
      <c r="E625" s="79"/>
      <c r="F625" s="79"/>
      <c r="G625" s="79"/>
      <c r="H625" s="79"/>
      <c r="I625" s="79"/>
      <c r="J625" s="79"/>
      <c r="K625" s="79"/>
      <c r="L625" s="79"/>
      <c r="N625" s="102"/>
    </row>
    <row r="626">
      <c r="A626" s="17"/>
      <c r="C626" s="79"/>
      <c r="D626" s="79"/>
      <c r="E626" s="79"/>
      <c r="F626" s="79"/>
      <c r="G626" s="79"/>
      <c r="H626" s="79"/>
      <c r="I626" s="79"/>
      <c r="J626" s="79"/>
      <c r="K626" s="79"/>
      <c r="L626" s="79"/>
      <c r="N626" s="102"/>
    </row>
    <row r="627">
      <c r="A627" s="17"/>
      <c r="C627" s="79"/>
      <c r="D627" s="79"/>
      <c r="E627" s="79"/>
      <c r="F627" s="79"/>
      <c r="G627" s="79"/>
      <c r="H627" s="79"/>
      <c r="I627" s="79"/>
      <c r="J627" s="79"/>
      <c r="K627" s="79"/>
      <c r="L627" s="79"/>
      <c r="N627" s="102"/>
    </row>
    <row r="628">
      <c r="A628" s="17"/>
      <c r="C628" s="79"/>
      <c r="D628" s="79"/>
      <c r="E628" s="79"/>
      <c r="F628" s="79"/>
      <c r="G628" s="79"/>
      <c r="H628" s="79"/>
      <c r="I628" s="79"/>
      <c r="J628" s="79"/>
      <c r="K628" s="79"/>
      <c r="L628" s="79"/>
      <c r="N628" s="102"/>
    </row>
    <row r="629">
      <c r="A629" s="17"/>
      <c r="C629" s="79"/>
      <c r="D629" s="79"/>
      <c r="E629" s="79"/>
      <c r="F629" s="79"/>
      <c r="G629" s="79"/>
      <c r="H629" s="79"/>
      <c r="I629" s="79"/>
      <c r="J629" s="79"/>
      <c r="K629" s="79"/>
      <c r="L629" s="79"/>
      <c r="N629" s="102"/>
    </row>
    <row r="630">
      <c r="A630" s="17"/>
      <c r="C630" s="79"/>
      <c r="D630" s="79"/>
      <c r="E630" s="79"/>
      <c r="F630" s="79"/>
      <c r="G630" s="79"/>
      <c r="H630" s="79"/>
      <c r="I630" s="79"/>
      <c r="J630" s="79"/>
      <c r="K630" s="79"/>
      <c r="L630" s="79"/>
      <c r="N630" s="102"/>
    </row>
    <row r="631">
      <c r="A631" s="17"/>
      <c r="C631" s="79"/>
      <c r="D631" s="79"/>
      <c r="E631" s="79"/>
      <c r="F631" s="79"/>
      <c r="G631" s="79"/>
      <c r="H631" s="79"/>
      <c r="I631" s="79"/>
      <c r="J631" s="79"/>
      <c r="K631" s="79"/>
      <c r="L631" s="79"/>
      <c r="N631" s="102"/>
    </row>
    <row r="632">
      <c r="A632" s="17"/>
      <c r="C632" s="79"/>
      <c r="D632" s="79"/>
      <c r="E632" s="79"/>
      <c r="F632" s="79"/>
      <c r="G632" s="79"/>
      <c r="H632" s="79"/>
      <c r="I632" s="79"/>
      <c r="J632" s="79"/>
      <c r="K632" s="79"/>
      <c r="L632" s="79"/>
      <c r="N632" s="102"/>
    </row>
    <row r="633">
      <c r="A633" s="17"/>
      <c r="C633" s="79"/>
      <c r="D633" s="79"/>
      <c r="E633" s="79"/>
      <c r="F633" s="79"/>
      <c r="G633" s="79"/>
      <c r="H633" s="79"/>
      <c r="I633" s="79"/>
      <c r="J633" s="79"/>
      <c r="K633" s="79"/>
      <c r="L633" s="79"/>
      <c r="N633" s="102"/>
    </row>
    <row r="634">
      <c r="A634" s="17"/>
      <c r="C634" s="79"/>
      <c r="D634" s="79"/>
      <c r="E634" s="79"/>
      <c r="F634" s="79"/>
      <c r="G634" s="79"/>
      <c r="H634" s="79"/>
      <c r="I634" s="79"/>
      <c r="J634" s="79"/>
      <c r="K634" s="79"/>
      <c r="L634" s="79"/>
      <c r="N634" s="102"/>
    </row>
    <row r="635">
      <c r="A635" s="17"/>
      <c r="C635" s="79"/>
      <c r="D635" s="79"/>
      <c r="E635" s="79"/>
      <c r="F635" s="79"/>
      <c r="G635" s="79"/>
      <c r="H635" s="79"/>
      <c r="I635" s="79"/>
      <c r="J635" s="79"/>
      <c r="K635" s="79"/>
      <c r="L635" s="79"/>
      <c r="N635" s="102"/>
    </row>
    <row r="636">
      <c r="A636" s="17"/>
      <c r="C636" s="79"/>
      <c r="D636" s="79"/>
      <c r="E636" s="79"/>
      <c r="F636" s="79"/>
      <c r="G636" s="79"/>
      <c r="H636" s="79"/>
      <c r="I636" s="79"/>
      <c r="J636" s="79"/>
      <c r="K636" s="79"/>
      <c r="L636" s="79"/>
      <c r="N636" s="102"/>
    </row>
    <row r="637">
      <c r="A637" s="17"/>
      <c r="C637" s="79"/>
      <c r="D637" s="79"/>
      <c r="E637" s="79"/>
      <c r="F637" s="79"/>
      <c r="G637" s="79"/>
      <c r="H637" s="79"/>
      <c r="I637" s="79"/>
      <c r="J637" s="79"/>
      <c r="K637" s="79"/>
      <c r="L637" s="79"/>
      <c r="N637" s="102"/>
    </row>
    <row r="638">
      <c r="A638" s="17"/>
      <c r="C638" s="79"/>
      <c r="D638" s="79"/>
      <c r="E638" s="79"/>
      <c r="F638" s="79"/>
      <c r="G638" s="79"/>
      <c r="H638" s="79"/>
      <c r="I638" s="79"/>
      <c r="J638" s="79"/>
      <c r="K638" s="79"/>
      <c r="L638" s="79"/>
      <c r="N638" s="102"/>
    </row>
    <row r="639">
      <c r="A639" s="17"/>
      <c r="C639" s="79"/>
      <c r="D639" s="79"/>
      <c r="E639" s="79"/>
      <c r="F639" s="79"/>
      <c r="G639" s="79"/>
      <c r="H639" s="79"/>
      <c r="I639" s="79"/>
      <c r="J639" s="79"/>
      <c r="K639" s="79"/>
      <c r="L639" s="79"/>
      <c r="N639" s="102"/>
    </row>
    <row r="640">
      <c r="A640" s="17"/>
      <c r="C640" s="79"/>
      <c r="D640" s="79"/>
      <c r="E640" s="79"/>
      <c r="F640" s="79"/>
      <c r="G640" s="79"/>
      <c r="H640" s="79"/>
      <c r="I640" s="79"/>
      <c r="J640" s="79"/>
      <c r="K640" s="79"/>
      <c r="L640" s="79"/>
      <c r="N640" s="102"/>
    </row>
    <row r="641">
      <c r="A641" s="17"/>
      <c r="C641" s="79"/>
      <c r="D641" s="79"/>
      <c r="E641" s="79"/>
      <c r="F641" s="79"/>
      <c r="G641" s="79"/>
      <c r="H641" s="79"/>
      <c r="I641" s="79"/>
      <c r="J641" s="79"/>
      <c r="K641" s="79"/>
      <c r="L641" s="79"/>
      <c r="N641" s="102"/>
    </row>
    <row r="642">
      <c r="A642" s="17"/>
      <c r="C642" s="79"/>
      <c r="D642" s="79"/>
      <c r="E642" s="79"/>
      <c r="F642" s="79"/>
      <c r="G642" s="79"/>
      <c r="H642" s="79"/>
      <c r="I642" s="79"/>
      <c r="J642" s="79"/>
      <c r="K642" s="79"/>
      <c r="L642" s="79"/>
      <c r="N642" s="102"/>
    </row>
    <row r="643">
      <c r="A643" s="17"/>
      <c r="C643" s="79"/>
      <c r="D643" s="79"/>
      <c r="E643" s="79"/>
      <c r="F643" s="79"/>
      <c r="G643" s="79"/>
      <c r="H643" s="79"/>
      <c r="I643" s="79"/>
      <c r="J643" s="79"/>
      <c r="K643" s="79"/>
      <c r="L643" s="79"/>
      <c r="N643" s="102"/>
    </row>
    <row r="644">
      <c r="A644" s="17"/>
      <c r="C644" s="79"/>
      <c r="D644" s="79"/>
      <c r="E644" s="79"/>
      <c r="F644" s="79"/>
      <c r="G644" s="79"/>
      <c r="H644" s="79"/>
      <c r="I644" s="79"/>
      <c r="J644" s="79"/>
      <c r="K644" s="79"/>
      <c r="L644" s="79"/>
      <c r="N644" s="102"/>
    </row>
    <row r="645">
      <c r="A645" s="17"/>
      <c r="C645" s="79"/>
      <c r="D645" s="79"/>
      <c r="E645" s="79"/>
      <c r="F645" s="79"/>
      <c r="G645" s="79"/>
      <c r="H645" s="79"/>
      <c r="I645" s="79"/>
      <c r="J645" s="79"/>
      <c r="K645" s="79"/>
      <c r="L645" s="79"/>
      <c r="N645" s="102"/>
    </row>
    <row r="646">
      <c r="A646" s="17"/>
      <c r="C646" s="79"/>
      <c r="D646" s="79"/>
      <c r="E646" s="79"/>
      <c r="F646" s="79"/>
      <c r="G646" s="79"/>
      <c r="H646" s="79"/>
      <c r="I646" s="79"/>
      <c r="J646" s="79"/>
      <c r="K646" s="79"/>
      <c r="L646" s="79"/>
      <c r="N646" s="102"/>
    </row>
    <row r="647">
      <c r="A647" s="17"/>
      <c r="C647" s="79"/>
      <c r="D647" s="79"/>
      <c r="E647" s="79"/>
      <c r="F647" s="79"/>
      <c r="G647" s="79"/>
      <c r="H647" s="79"/>
      <c r="I647" s="79"/>
      <c r="J647" s="79"/>
      <c r="K647" s="79"/>
      <c r="L647" s="79"/>
      <c r="N647" s="102"/>
    </row>
    <row r="648">
      <c r="A648" s="17"/>
      <c r="C648" s="79"/>
      <c r="D648" s="79"/>
      <c r="E648" s="79"/>
      <c r="F648" s="79"/>
      <c r="G648" s="79"/>
      <c r="H648" s="79"/>
      <c r="I648" s="79"/>
      <c r="J648" s="79"/>
      <c r="K648" s="79"/>
      <c r="L648" s="79"/>
      <c r="N648" s="102"/>
    </row>
    <row r="649">
      <c r="A649" s="17"/>
      <c r="C649" s="79"/>
      <c r="D649" s="79"/>
      <c r="E649" s="79"/>
      <c r="F649" s="79"/>
      <c r="G649" s="79"/>
      <c r="H649" s="79"/>
      <c r="I649" s="79"/>
      <c r="J649" s="79"/>
      <c r="K649" s="79"/>
      <c r="L649" s="79"/>
      <c r="N649" s="102"/>
    </row>
    <row r="650">
      <c r="A650" s="17"/>
      <c r="C650" s="79"/>
      <c r="D650" s="79"/>
      <c r="E650" s="79"/>
      <c r="F650" s="79"/>
      <c r="G650" s="79"/>
      <c r="H650" s="79"/>
      <c r="I650" s="79"/>
      <c r="J650" s="79"/>
      <c r="K650" s="79"/>
      <c r="L650" s="79"/>
      <c r="N650" s="102"/>
    </row>
    <row r="651">
      <c r="A651" s="17"/>
      <c r="C651" s="79"/>
      <c r="D651" s="79"/>
      <c r="E651" s="79"/>
      <c r="F651" s="79"/>
      <c r="G651" s="79"/>
      <c r="H651" s="79"/>
      <c r="I651" s="79"/>
      <c r="J651" s="79"/>
      <c r="K651" s="79"/>
      <c r="L651" s="79"/>
      <c r="N651" s="102"/>
    </row>
    <row r="652">
      <c r="A652" s="17"/>
      <c r="C652" s="79"/>
      <c r="D652" s="79"/>
      <c r="E652" s="79"/>
      <c r="F652" s="79"/>
      <c r="G652" s="79"/>
      <c r="H652" s="79"/>
      <c r="I652" s="79"/>
      <c r="J652" s="79"/>
      <c r="K652" s="79"/>
      <c r="L652" s="79"/>
      <c r="N652" s="102"/>
    </row>
    <row r="653">
      <c r="A653" s="17"/>
      <c r="C653" s="79"/>
      <c r="D653" s="79"/>
      <c r="E653" s="79"/>
      <c r="F653" s="79"/>
      <c r="G653" s="79"/>
      <c r="H653" s="79"/>
      <c r="I653" s="79"/>
      <c r="J653" s="79"/>
      <c r="K653" s="79"/>
      <c r="L653" s="79"/>
      <c r="N653" s="102"/>
    </row>
    <row r="654">
      <c r="A654" s="17"/>
      <c r="C654" s="79"/>
      <c r="D654" s="79"/>
      <c r="E654" s="79"/>
      <c r="F654" s="79"/>
      <c r="G654" s="79"/>
      <c r="H654" s="79"/>
      <c r="I654" s="79"/>
      <c r="J654" s="79"/>
      <c r="K654" s="79"/>
      <c r="L654" s="79"/>
      <c r="N654" s="102"/>
    </row>
    <row r="655">
      <c r="A655" s="17"/>
      <c r="C655" s="79"/>
      <c r="D655" s="79"/>
      <c r="E655" s="79"/>
      <c r="F655" s="79"/>
      <c r="G655" s="79"/>
      <c r="H655" s="79"/>
      <c r="I655" s="79"/>
      <c r="J655" s="79"/>
      <c r="K655" s="79"/>
      <c r="L655" s="79"/>
      <c r="N655" s="102"/>
    </row>
    <row r="656">
      <c r="A656" s="17"/>
      <c r="C656" s="79"/>
      <c r="D656" s="79"/>
      <c r="E656" s="79"/>
      <c r="F656" s="79"/>
      <c r="G656" s="79"/>
      <c r="H656" s="79"/>
      <c r="I656" s="79"/>
      <c r="J656" s="79"/>
      <c r="K656" s="79"/>
      <c r="L656" s="79"/>
      <c r="N656" s="102"/>
    </row>
    <row r="657">
      <c r="A657" s="17"/>
      <c r="C657" s="79"/>
      <c r="D657" s="79"/>
      <c r="E657" s="79"/>
      <c r="F657" s="79"/>
      <c r="G657" s="79"/>
      <c r="H657" s="79"/>
      <c r="I657" s="79"/>
      <c r="J657" s="79"/>
      <c r="K657" s="79"/>
      <c r="L657" s="79"/>
      <c r="N657" s="102"/>
    </row>
    <row r="658">
      <c r="A658" s="17"/>
      <c r="C658" s="79"/>
      <c r="D658" s="79"/>
      <c r="E658" s="79"/>
      <c r="F658" s="79"/>
      <c r="G658" s="79"/>
      <c r="H658" s="79"/>
      <c r="I658" s="79"/>
      <c r="J658" s="79"/>
      <c r="K658" s="79"/>
      <c r="L658" s="79"/>
      <c r="N658" s="102"/>
    </row>
    <row r="659">
      <c r="A659" s="17"/>
      <c r="C659" s="79"/>
      <c r="D659" s="79"/>
      <c r="E659" s="79"/>
      <c r="F659" s="79"/>
      <c r="G659" s="79"/>
      <c r="H659" s="79"/>
      <c r="I659" s="79"/>
      <c r="J659" s="79"/>
      <c r="K659" s="79"/>
      <c r="L659" s="79"/>
      <c r="N659" s="102"/>
    </row>
    <row r="660">
      <c r="A660" s="17"/>
      <c r="C660" s="79"/>
      <c r="D660" s="79"/>
      <c r="E660" s="79"/>
      <c r="F660" s="79"/>
      <c r="G660" s="79"/>
      <c r="H660" s="79"/>
      <c r="I660" s="79"/>
      <c r="J660" s="79"/>
      <c r="K660" s="79"/>
      <c r="L660" s="79"/>
      <c r="N660" s="102"/>
    </row>
    <row r="661">
      <c r="A661" s="17"/>
      <c r="C661" s="79"/>
      <c r="D661" s="79"/>
      <c r="E661" s="79"/>
      <c r="F661" s="79"/>
      <c r="G661" s="79"/>
      <c r="H661" s="79"/>
      <c r="I661" s="79"/>
      <c r="J661" s="79"/>
      <c r="K661" s="79"/>
      <c r="L661" s="79"/>
      <c r="N661" s="102"/>
    </row>
    <row r="662">
      <c r="A662" s="17"/>
      <c r="C662" s="79"/>
      <c r="D662" s="79"/>
      <c r="E662" s="79"/>
      <c r="F662" s="79"/>
      <c r="G662" s="79"/>
      <c r="H662" s="79"/>
      <c r="I662" s="79"/>
      <c r="J662" s="79"/>
      <c r="K662" s="79"/>
      <c r="L662" s="79"/>
      <c r="N662" s="102"/>
    </row>
    <row r="663">
      <c r="A663" s="17"/>
      <c r="C663" s="79"/>
      <c r="D663" s="79"/>
      <c r="E663" s="79"/>
      <c r="F663" s="79"/>
      <c r="G663" s="79"/>
      <c r="H663" s="79"/>
      <c r="I663" s="79"/>
      <c r="J663" s="79"/>
      <c r="K663" s="79"/>
      <c r="L663" s="79"/>
      <c r="N663" s="102"/>
    </row>
    <row r="664">
      <c r="A664" s="17"/>
      <c r="C664" s="79"/>
      <c r="D664" s="79"/>
      <c r="E664" s="79"/>
      <c r="F664" s="79"/>
      <c r="G664" s="79"/>
      <c r="H664" s="79"/>
      <c r="I664" s="79"/>
      <c r="J664" s="79"/>
      <c r="K664" s="79"/>
      <c r="L664" s="79"/>
      <c r="N664" s="102"/>
    </row>
    <row r="665">
      <c r="A665" s="17"/>
      <c r="C665" s="79"/>
      <c r="D665" s="79"/>
      <c r="E665" s="79"/>
      <c r="F665" s="79"/>
      <c r="G665" s="79"/>
      <c r="H665" s="79"/>
      <c r="I665" s="79"/>
      <c r="J665" s="79"/>
      <c r="K665" s="79"/>
      <c r="L665" s="79"/>
      <c r="N665" s="102"/>
    </row>
    <row r="666">
      <c r="A666" s="17"/>
      <c r="C666" s="79"/>
      <c r="D666" s="79"/>
      <c r="E666" s="79"/>
      <c r="F666" s="79"/>
      <c r="G666" s="79"/>
      <c r="H666" s="79"/>
      <c r="I666" s="79"/>
      <c r="J666" s="79"/>
      <c r="K666" s="79"/>
      <c r="L666" s="79"/>
      <c r="N666" s="102"/>
    </row>
    <row r="667">
      <c r="A667" s="17"/>
      <c r="C667" s="79"/>
      <c r="D667" s="79"/>
      <c r="E667" s="79"/>
      <c r="F667" s="79"/>
      <c r="G667" s="79"/>
      <c r="H667" s="79"/>
      <c r="I667" s="79"/>
      <c r="J667" s="79"/>
      <c r="K667" s="79"/>
      <c r="L667" s="79"/>
      <c r="N667" s="102"/>
    </row>
    <row r="668">
      <c r="A668" s="17"/>
      <c r="C668" s="79"/>
      <c r="D668" s="79"/>
      <c r="E668" s="79"/>
      <c r="F668" s="79"/>
      <c r="G668" s="79"/>
      <c r="H668" s="79"/>
      <c r="I668" s="79"/>
      <c r="J668" s="79"/>
      <c r="K668" s="79"/>
      <c r="L668" s="79"/>
      <c r="N668" s="102"/>
    </row>
    <row r="669">
      <c r="A669" s="17"/>
      <c r="C669" s="79"/>
      <c r="D669" s="79"/>
      <c r="E669" s="79"/>
      <c r="F669" s="79"/>
      <c r="G669" s="79"/>
      <c r="H669" s="79"/>
      <c r="I669" s="79"/>
      <c r="J669" s="79"/>
      <c r="K669" s="79"/>
      <c r="L669" s="79"/>
      <c r="N669" s="102"/>
    </row>
    <row r="670">
      <c r="A670" s="17"/>
      <c r="C670" s="79"/>
      <c r="D670" s="79"/>
      <c r="E670" s="79"/>
      <c r="F670" s="79"/>
      <c r="G670" s="79"/>
      <c r="H670" s="79"/>
      <c r="I670" s="79"/>
      <c r="J670" s="79"/>
      <c r="K670" s="79"/>
      <c r="L670" s="79"/>
      <c r="N670" s="102"/>
    </row>
    <row r="671">
      <c r="A671" s="17"/>
      <c r="C671" s="79"/>
      <c r="D671" s="79"/>
      <c r="E671" s="79"/>
      <c r="F671" s="79"/>
      <c r="G671" s="79"/>
      <c r="H671" s="79"/>
      <c r="I671" s="79"/>
      <c r="J671" s="79"/>
      <c r="K671" s="79"/>
      <c r="L671" s="79"/>
      <c r="N671" s="102"/>
    </row>
    <row r="672">
      <c r="A672" s="17"/>
      <c r="C672" s="79"/>
      <c r="D672" s="79"/>
      <c r="E672" s="79"/>
      <c r="F672" s="79"/>
      <c r="G672" s="79"/>
      <c r="H672" s="79"/>
      <c r="I672" s="79"/>
      <c r="J672" s="79"/>
      <c r="K672" s="79"/>
      <c r="L672" s="79"/>
      <c r="N672" s="102"/>
    </row>
    <row r="673">
      <c r="A673" s="17"/>
      <c r="C673" s="79"/>
      <c r="D673" s="79"/>
      <c r="E673" s="79"/>
      <c r="F673" s="79"/>
      <c r="G673" s="79"/>
      <c r="H673" s="79"/>
      <c r="I673" s="79"/>
      <c r="J673" s="79"/>
      <c r="K673" s="79"/>
      <c r="L673" s="79"/>
      <c r="N673" s="102"/>
    </row>
    <row r="674">
      <c r="A674" s="17"/>
      <c r="C674" s="79"/>
      <c r="D674" s="79"/>
      <c r="E674" s="79"/>
      <c r="F674" s="79"/>
      <c r="G674" s="79"/>
      <c r="H674" s="79"/>
      <c r="I674" s="79"/>
      <c r="J674" s="79"/>
      <c r="K674" s="79"/>
      <c r="L674" s="79"/>
      <c r="N674" s="102"/>
    </row>
    <row r="675">
      <c r="A675" s="17"/>
      <c r="C675" s="79"/>
      <c r="D675" s="79"/>
      <c r="E675" s="79"/>
      <c r="F675" s="79"/>
      <c r="G675" s="79"/>
      <c r="H675" s="79"/>
      <c r="I675" s="79"/>
      <c r="J675" s="79"/>
      <c r="K675" s="79"/>
      <c r="L675" s="79"/>
      <c r="N675" s="102"/>
    </row>
    <row r="676">
      <c r="A676" s="17"/>
      <c r="C676" s="79"/>
      <c r="D676" s="79"/>
      <c r="E676" s="79"/>
      <c r="F676" s="79"/>
      <c r="G676" s="79"/>
      <c r="H676" s="79"/>
      <c r="I676" s="79"/>
      <c r="J676" s="79"/>
      <c r="K676" s="79"/>
      <c r="L676" s="79"/>
      <c r="N676" s="102"/>
    </row>
    <row r="677">
      <c r="A677" s="17"/>
      <c r="C677" s="79"/>
      <c r="D677" s="79"/>
      <c r="E677" s="79"/>
      <c r="F677" s="79"/>
      <c r="G677" s="79"/>
      <c r="H677" s="79"/>
      <c r="I677" s="79"/>
      <c r="J677" s="79"/>
      <c r="K677" s="79"/>
      <c r="L677" s="79"/>
      <c r="N677" s="102"/>
    </row>
    <row r="678">
      <c r="A678" s="17"/>
      <c r="C678" s="79"/>
      <c r="D678" s="79"/>
      <c r="E678" s="79"/>
      <c r="F678" s="79"/>
      <c r="G678" s="79"/>
      <c r="H678" s="79"/>
      <c r="I678" s="79"/>
      <c r="J678" s="79"/>
      <c r="K678" s="79"/>
      <c r="L678" s="79"/>
      <c r="N678" s="102"/>
    </row>
    <row r="679">
      <c r="A679" s="17"/>
      <c r="C679" s="79"/>
      <c r="D679" s="79"/>
      <c r="E679" s="79"/>
      <c r="F679" s="79"/>
      <c r="G679" s="79"/>
      <c r="H679" s="79"/>
      <c r="I679" s="79"/>
      <c r="J679" s="79"/>
      <c r="K679" s="79"/>
      <c r="L679" s="79"/>
      <c r="N679" s="102"/>
    </row>
    <row r="680">
      <c r="A680" s="17"/>
      <c r="C680" s="79"/>
      <c r="D680" s="79"/>
      <c r="E680" s="79"/>
      <c r="F680" s="79"/>
      <c r="G680" s="79"/>
      <c r="H680" s="79"/>
      <c r="I680" s="79"/>
      <c r="J680" s="79"/>
      <c r="K680" s="79"/>
      <c r="L680" s="79"/>
      <c r="N680" s="102"/>
    </row>
    <row r="681">
      <c r="A681" s="17"/>
      <c r="C681" s="79"/>
      <c r="D681" s="79"/>
      <c r="E681" s="79"/>
      <c r="F681" s="79"/>
      <c r="G681" s="79"/>
      <c r="H681" s="79"/>
      <c r="I681" s="79"/>
      <c r="J681" s="79"/>
      <c r="K681" s="79"/>
      <c r="L681" s="79"/>
      <c r="N681" s="102"/>
    </row>
    <row r="682">
      <c r="A682" s="17"/>
      <c r="C682" s="79"/>
      <c r="D682" s="79"/>
      <c r="E682" s="79"/>
      <c r="F682" s="79"/>
      <c r="G682" s="79"/>
      <c r="H682" s="79"/>
      <c r="I682" s="79"/>
      <c r="J682" s="79"/>
      <c r="K682" s="79"/>
      <c r="L682" s="79"/>
      <c r="N682" s="102"/>
    </row>
    <row r="683">
      <c r="A683" s="17"/>
      <c r="C683" s="79"/>
      <c r="D683" s="79"/>
      <c r="E683" s="79"/>
      <c r="F683" s="79"/>
      <c r="G683" s="79"/>
      <c r="H683" s="79"/>
      <c r="I683" s="79"/>
      <c r="J683" s="79"/>
      <c r="K683" s="79"/>
      <c r="L683" s="79"/>
      <c r="N683" s="102"/>
    </row>
    <row r="684">
      <c r="A684" s="17"/>
      <c r="C684" s="79"/>
      <c r="D684" s="79"/>
      <c r="E684" s="79"/>
      <c r="F684" s="79"/>
      <c r="G684" s="79"/>
      <c r="H684" s="79"/>
      <c r="I684" s="79"/>
      <c r="J684" s="79"/>
      <c r="K684" s="79"/>
      <c r="L684" s="79"/>
      <c r="N684" s="102"/>
    </row>
    <row r="685">
      <c r="A685" s="17"/>
      <c r="C685" s="79"/>
      <c r="D685" s="79"/>
      <c r="E685" s="79"/>
      <c r="F685" s="79"/>
      <c r="G685" s="79"/>
      <c r="H685" s="79"/>
      <c r="I685" s="79"/>
      <c r="J685" s="79"/>
      <c r="K685" s="79"/>
      <c r="L685" s="79"/>
      <c r="N685" s="102"/>
    </row>
    <row r="686">
      <c r="A686" s="17"/>
      <c r="C686" s="79"/>
      <c r="D686" s="79"/>
      <c r="E686" s="79"/>
      <c r="F686" s="79"/>
      <c r="G686" s="79"/>
      <c r="H686" s="79"/>
      <c r="I686" s="79"/>
      <c r="J686" s="79"/>
      <c r="K686" s="79"/>
      <c r="L686" s="79"/>
      <c r="N686" s="102"/>
    </row>
    <row r="687">
      <c r="A687" s="17"/>
      <c r="C687" s="79"/>
      <c r="D687" s="79"/>
      <c r="E687" s="79"/>
      <c r="F687" s="79"/>
      <c r="G687" s="79"/>
      <c r="H687" s="79"/>
      <c r="I687" s="79"/>
      <c r="J687" s="79"/>
      <c r="K687" s="79"/>
      <c r="L687" s="79"/>
      <c r="N687" s="102"/>
    </row>
    <row r="688">
      <c r="A688" s="17"/>
      <c r="C688" s="79"/>
      <c r="D688" s="79"/>
      <c r="E688" s="79"/>
      <c r="F688" s="79"/>
      <c r="G688" s="79"/>
      <c r="H688" s="79"/>
      <c r="I688" s="79"/>
      <c r="J688" s="79"/>
      <c r="K688" s="79"/>
      <c r="L688" s="79"/>
      <c r="N688" s="102"/>
    </row>
    <row r="689">
      <c r="A689" s="17"/>
      <c r="C689" s="79"/>
      <c r="D689" s="79"/>
      <c r="E689" s="79"/>
      <c r="F689" s="79"/>
      <c r="G689" s="79"/>
      <c r="H689" s="79"/>
      <c r="I689" s="79"/>
      <c r="J689" s="79"/>
      <c r="K689" s="79"/>
      <c r="L689" s="79"/>
      <c r="N689" s="102"/>
    </row>
    <row r="690">
      <c r="A690" s="17"/>
      <c r="C690" s="79"/>
      <c r="D690" s="79"/>
      <c r="E690" s="79"/>
      <c r="F690" s="79"/>
      <c r="G690" s="79"/>
      <c r="H690" s="79"/>
      <c r="I690" s="79"/>
      <c r="J690" s="79"/>
      <c r="K690" s="79"/>
      <c r="L690" s="79"/>
      <c r="N690" s="102"/>
    </row>
    <row r="691">
      <c r="A691" s="17"/>
      <c r="C691" s="79"/>
      <c r="D691" s="79"/>
      <c r="E691" s="79"/>
      <c r="F691" s="79"/>
      <c r="G691" s="79"/>
      <c r="H691" s="79"/>
      <c r="I691" s="79"/>
      <c r="J691" s="79"/>
      <c r="K691" s="79"/>
      <c r="L691" s="79"/>
      <c r="N691" s="102"/>
    </row>
    <row r="692">
      <c r="A692" s="17"/>
      <c r="C692" s="79"/>
      <c r="D692" s="79"/>
      <c r="E692" s="79"/>
      <c r="F692" s="79"/>
      <c r="G692" s="79"/>
      <c r="H692" s="79"/>
      <c r="I692" s="79"/>
      <c r="J692" s="79"/>
      <c r="K692" s="79"/>
      <c r="L692" s="79"/>
      <c r="N692" s="102"/>
    </row>
    <row r="693">
      <c r="A693" s="17"/>
      <c r="C693" s="79"/>
      <c r="D693" s="79"/>
      <c r="E693" s="79"/>
      <c r="F693" s="79"/>
      <c r="G693" s="79"/>
      <c r="H693" s="79"/>
      <c r="I693" s="79"/>
      <c r="J693" s="79"/>
      <c r="K693" s="79"/>
      <c r="L693" s="79"/>
      <c r="N693" s="102"/>
    </row>
    <row r="694">
      <c r="A694" s="17"/>
      <c r="C694" s="79"/>
      <c r="D694" s="79"/>
      <c r="E694" s="79"/>
      <c r="F694" s="79"/>
      <c r="G694" s="79"/>
      <c r="H694" s="79"/>
      <c r="I694" s="79"/>
      <c r="J694" s="79"/>
      <c r="K694" s="79"/>
      <c r="L694" s="79"/>
      <c r="N694" s="102"/>
    </row>
    <row r="695">
      <c r="A695" s="17"/>
      <c r="C695" s="79"/>
      <c r="D695" s="79"/>
      <c r="E695" s="79"/>
      <c r="F695" s="79"/>
      <c r="G695" s="79"/>
      <c r="H695" s="79"/>
      <c r="I695" s="79"/>
      <c r="J695" s="79"/>
      <c r="K695" s="79"/>
      <c r="L695" s="79"/>
      <c r="N695" s="102"/>
    </row>
    <row r="696">
      <c r="A696" s="17"/>
      <c r="C696" s="79"/>
      <c r="D696" s="79"/>
      <c r="E696" s="79"/>
      <c r="F696" s="79"/>
      <c r="G696" s="79"/>
      <c r="H696" s="79"/>
      <c r="I696" s="79"/>
      <c r="J696" s="79"/>
      <c r="K696" s="79"/>
      <c r="L696" s="79"/>
      <c r="N696" s="102"/>
    </row>
    <row r="697">
      <c r="A697" s="17"/>
      <c r="C697" s="79"/>
      <c r="D697" s="79"/>
      <c r="E697" s="79"/>
      <c r="F697" s="79"/>
      <c r="G697" s="79"/>
      <c r="H697" s="79"/>
      <c r="I697" s="79"/>
      <c r="J697" s="79"/>
      <c r="K697" s="79"/>
      <c r="L697" s="79"/>
      <c r="N697" s="102"/>
    </row>
    <row r="698">
      <c r="A698" s="17"/>
      <c r="C698" s="79"/>
      <c r="D698" s="79"/>
      <c r="E698" s="79"/>
      <c r="F698" s="79"/>
      <c r="G698" s="79"/>
      <c r="H698" s="79"/>
      <c r="I698" s="79"/>
      <c r="J698" s="79"/>
      <c r="K698" s="79"/>
      <c r="L698" s="79"/>
      <c r="N698" s="102"/>
    </row>
    <row r="699">
      <c r="A699" s="17"/>
      <c r="C699" s="79"/>
      <c r="D699" s="79"/>
      <c r="E699" s="79"/>
      <c r="F699" s="79"/>
      <c r="G699" s="79"/>
      <c r="H699" s="79"/>
      <c r="I699" s="79"/>
      <c r="J699" s="79"/>
      <c r="K699" s="79"/>
      <c r="L699" s="79"/>
      <c r="N699" s="102"/>
    </row>
    <row r="700">
      <c r="A700" s="17"/>
      <c r="C700" s="79"/>
      <c r="D700" s="79"/>
      <c r="E700" s="79"/>
      <c r="F700" s="79"/>
      <c r="G700" s="79"/>
      <c r="H700" s="79"/>
      <c r="I700" s="79"/>
      <c r="J700" s="79"/>
      <c r="K700" s="79"/>
      <c r="L700" s="79"/>
      <c r="N700" s="102"/>
    </row>
    <row r="701">
      <c r="A701" s="17"/>
      <c r="C701" s="79"/>
      <c r="D701" s="79"/>
      <c r="E701" s="79"/>
      <c r="F701" s="79"/>
      <c r="G701" s="79"/>
      <c r="H701" s="79"/>
      <c r="I701" s="79"/>
      <c r="J701" s="79"/>
      <c r="K701" s="79"/>
      <c r="L701" s="79"/>
      <c r="N701" s="102"/>
    </row>
    <row r="702">
      <c r="A702" s="17"/>
      <c r="C702" s="79"/>
      <c r="D702" s="79"/>
      <c r="E702" s="79"/>
      <c r="F702" s="79"/>
      <c r="G702" s="79"/>
      <c r="H702" s="79"/>
      <c r="I702" s="79"/>
      <c r="J702" s="79"/>
      <c r="K702" s="79"/>
      <c r="L702" s="79"/>
      <c r="N702" s="102"/>
    </row>
    <row r="703">
      <c r="A703" s="17"/>
      <c r="C703" s="79"/>
      <c r="D703" s="79"/>
      <c r="E703" s="79"/>
      <c r="F703" s="79"/>
      <c r="G703" s="79"/>
      <c r="H703" s="79"/>
      <c r="I703" s="79"/>
      <c r="J703" s="79"/>
      <c r="K703" s="79"/>
      <c r="L703" s="79"/>
      <c r="N703" s="102"/>
    </row>
    <row r="704">
      <c r="A704" s="17"/>
      <c r="C704" s="79"/>
      <c r="D704" s="79"/>
      <c r="E704" s="79"/>
      <c r="F704" s="79"/>
      <c r="G704" s="79"/>
      <c r="H704" s="79"/>
      <c r="I704" s="79"/>
      <c r="J704" s="79"/>
      <c r="K704" s="79"/>
      <c r="L704" s="79"/>
      <c r="N704" s="102"/>
    </row>
    <row r="705">
      <c r="A705" s="17"/>
      <c r="C705" s="79"/>
      <c r="D705" s="79"/>
      <c r="E705" s="79"/>
      <c r="F705" s="79"/>
      <c r="G705" s="79"/>
      <c r="H705" s="79"/>
      <c r="I705" s="79"/>
      <c r="J705" s="79"/>
      <c r="K705" s="79"/>
      <c r="L705" s="79"/>
      <c r="N705" s="102"/>
    </row>
    <row r="706">
      <c r="A706" s="17"/>
      <c r="C706" s="79"/>
      <c r="D706" s="79"/>
      <c r="E706" s="79"/>
      <c r="F706" s="79"/>
      <c r="G706" s="79"/>
      <c r="H706" s="79"/>
      <c r="I706" s="79"/>
      <c r="J706" s="79"/>
      <c r="K706" s="79"/>
      <c r="L706" s="79"/>
      <c r="N706" s="102"/>
    </row>
    <row r="707">
      <c r="A707" s="17"/>
      <c r="C707" s="79"/>
      <c r="D707" s="79"/>
      <c r="E707" s="79"/>
      <c r="F707" s="79"/>
      <c r="G707" s="79"/>
      <c r="H707" s="79"/>
      <c r="I707" s="79"/>
      <c r="J707" s="79"/>
      <c r="K707" s="79"/>
      <c r="L707" s="79"/>
      <c r="N707" s="102"/>
    </row>
    <row r="708">
      <c r="A708" s="17"/>
      <c r="C708" s="79"/>
      <c r="D708" s="79"/>
      <c r="E708" s="79"/>
      <c r="F708" s="79"/>
      <c r="G708" s="79"/>
      <c r="H708" s="79"/>
      <c r="I708" s="79"/>
      <c r="J708" s="79"/>
      <c r="K708" s="79"/>
      <c r="L708" s="79"/>
      <c r="N708" s="102"/>
    </row>
    <row r="709">
      <c r="A709" s="17"/>
      <c r="C709" s="79"/>
      <c r="D709" s="79"/>
      <c r="E709" s="79"/>
      <c r="F709" s="79"/>
      <c r="G709" s="79"/>
      <c r="H709" s="79"/>
      <c r="I709" s="79"/>
      <c r="J709" s="79"/>
      <c r="K709" s="79"/>
      <c r="L709" s="79"/>
      <c r="N709" s="102"/>
    </row>
    <row r="710">
      <c r="A710" s="17"/>
      <c r="C710" s="79"/>
      <c r="D710" s="79"/>
      <c r="E710" s="79"/>
      <c r="F710" s="79"/>
      <c r="G710" s="79"/>
      <c r="H710" s="79"/>
      <c r="I710" s="79"/>
      <c r="J710" s="79"/>
      <c r="K710" s="79"/>
      <c r="L710" s="79"/>
      <c r="N710" s="102"/>
    </row>
    <row r="711">
      <c r="A711" s="17"/>
      <c r="C711" s="79"/>
      <c r="D711" s="79"/>
      <c r="E711" s="79"/>
      <c r="F711" s="79"/>
      <c r="G711" s="79"/>
      <c r="H711" s="79"/>
      <c r="I711" s="79"/>
      <c r="J711" s="79"/>
      <c r="K711" s="79"/>
      <c r="L711" s="79"/>
      <c r="N711" s="102"/>
    </row>
    <row r="712">
      <c r="A712" s="17"/>
      <c r="C712" s="79"/>
      <c r="D712" s="79"/>
      <c r="E712" s="79"/>
      <c r="F712" s="79"/>
      <c r="G712" s="79"/>
      <c r="H712" s="79"/>
      <c r="I712" s="79"/>
      <c r="J712" s="79"/>
      <c r="K712" s="79"/>
      <c r="L712" s="79"/>
      <c r="N712" s="102"/>
    </row>
    <row r="713">
      <c r="A713" s="17"/>
      <c r="C713" s="79"/>
      <c r="D713" s="79"/>
      <c r="E713" s="79"/>
      <c r="F713" s="79"/>
      <c r="G713" s="79"/>
      <c r="H713" s="79"/>
      <c r="I713" s="79"/>
      <c r="J713" s="79"/>
      <c r="K713" s="79"/>
      <c r="L713" s="79"/>
      <c r="N713" s="102"/>
    </row>
    <row r="714">
      <c r="A714" s="17"/>
      <c r="C714" s="79"/>
      <c r="D714" s="79"/>
      <c r="E714" s="79"/>
      <c r="F714" s="79"/>
      <c r="G714" s="79"/>
      <c r="H714" s="79"/>
      <c r="I714" s="79"/>
      <c r="J714" s="79"/>
      <c r="K714" s="79"/>
      <c r="L714" s="79"/>
      <c r="N714" s="102"/>
    </row>
    <row r="715">
      <c r="A715" s="17"/>
      <c r="C715" s="79"/>
      <c r="D715" s="79"/>
      <c r="E715" s="79"/>
      <c r="F715" s="79"/>
      <c r="G715" s="79"/>
      <c r="H715" s="79"/>
      <c r="I715" s="79"/>
      <c r="J715" s="79"/>
      <c r="K715" s="79"/>
      <c r="L715" s="79"/>
      <c r="N715" s="102"/>
    </row>
    <row r="716">
      <c r="A716" s="17"/>
      <c r="C716" s="79"/>
      <c r="D716" s="79"/>
      <c r="E716" s="79"/>
      <c r="F716" s="79"/>
      <c r="G716" s="79"/>
      <c r="H716" s="79"/>
      <c r="I716" s="79"/>
      <c r="J716" s="79"/>
      <c r="K716" s="79"/>
      <c r="L716" s="79"/>
      <c r="N716" s="102"/>
    </row>
    <row r="717">
      <c r="A717" s="17"/>
      <c r="C717" s="79"/>
      <c r="D717" s="79"/>
      <c r="E717" s="79"/>
      <c r="F717" s="79"/>
      <c r="G717" s="79"/>
      <c r="H717" s="79"/>
      <c r="I717" s="79"/>
      <c r="J717" s="79"/>
      <c r="K717" s="79"/>
      <c r="L717" s="79"/>
      <c r="N717" s="102"/>
    </row>
    <row r="718">
      <c r="A718" s="17"/>
      <c r="C718" s="79"/>
      <c r="D718" s="79"/>
      <c r="E718" s="79"/>
      <c r="F718" s="79"/>
      <c r="G718" s="79"/>
      <c r="H718" s="79"/>
      <c r="I718" s="79"/>
      <c r="J718" s="79"/>
      <c r="K718" s="79"/>
      <c r="L718" s="79"/>
      <c r="N718" s="102"/>
    </row>
    <row r="719">
      <c r="A719" s="17"/>
      <c r="C719" s="79"/>
      <c r="D719" s="79"/>
      <c r="E719" s="79"/>
      <c r="F719" s="79"/>
      <c r="G719" s="79"/>
      <c r="H719" s="79"/>
      <c r="I719" s="79"/>
      <c r="J719" s="79"/>
      <c r="K719" s="79"/>
      <c r="L719" s="79"/>
      <c r="N719" s="102"/>
    </row>
    <row r="720">
      <c r="A720" s="17"/>
      <c r="C720" s="79"/>
      <c r="D720" s="79"/>
      <c r="E720" s="79"/>
      <c r="F720" s="79"/>
      <c r="G720" s="79"/>
      <c r="H720" s="79"/>
      <c r="I720" s="79"/>
      <c r="J720" s="79"/>
      <c r="K720" s="79"/>
      <c r="L720" s="79"/>
      <c r="N720" s="102"/>
    </row>
    <row r="721">
      <c r="A721" s="17"/>
      <c r="C721" s="79"/>
      <c r="D721" s="79"/>
      <c r="E721" s="79"/>
      <c r="F721" s="79"/>
      <c r="G721" s="79"/>
      <c r="H721" s="79"/>
      <c r="I721" s="79"/>
      <c r="J721" s="79"/>
      <c r="K721" s="79"/>
      <c r="L721" s="79"/>
      <c r="N721" s="102"/>
    </row>
    <row r="722">
      <c r="A722" s="17"/>
      <c r="C722" s="79"/>
      <c r="D722" s="79"/>
      <c r="E722" s="79"/>
      <c r="F722" s="79"/>
      <c r="G722" s="79"/>
      <c r="H722" s="79"/>
      <c r="I722" s="79"/>
      <c r="J722" s="79"/>
      <c r="K722" s="79"/>
      <c r="L722" s="79"/>
      <c r="N722" s="102"/>
    </row>
    <row r="723">
      <c r="A723" s="17"/>
      <c r="C723" s="79"/>
      <c r="D723" s="79"/>
      <c r="E723" s="79"/>
      <c r="F723" s="79"/>
      <c r="G723" s="79"/>
      <c r="H723" s="79"/>
      <c r="I723" s="79"/>
      <c r="J723" s="79"/>
      <c r="K723" s="79"/>
      <c r="L723" s="79"/>
      <c r="N723" s="102"/>
    </row>
    <row r="724">
      <c r="A724" s="17"/>
      <c r="C724" s="79"/>
      <c r="D724" s="79"/>
      <c r="E724" s="79"/>
      <c r="F724" s="79"/>
      <c r="G724" s="79"/>
      <c r="H724" s="79"/>
      <c r="I724" s="79"/>
      <c r="J724" s="79"/>
      <c r="K724" s="79"/>
      <c r="L724" s="79"/>
      <c r="N724" s="102"/>
    </row>
    <row r="725">
      <c r="A725" s="17"/>
      <c r="C725" s="79"/>
      <c r="D725" s="79"/>
      <c r="E725" s="79"/>
      <c r="F725" s="79"/>
      <c r="G725" s="79"/>
      <c r="H725" s="79"/>
      <c r="I725" s="79"/>
      <c r="J725" s="79"/>
      <c r="K725" s="79"/>
      <c r="L725" s="79"/>
      <c r="N725" s="102"/>
    </row>
    <row r="726">
      <c r="A726" s="17"/>
      <c r="C726" s="79"/>
      <c r="D726" s="79"/>
      <c r="E726" s="79"/>
      <c r="F726" s="79"/>
      <c r="G726" s="79"/>
      <c r="H726" s="79"/>
      <c r="I726" s="79"/>
      <c r="J726" s="79"/>
      <c r="K726" s="79"/>
      <c r="L726" s="79"/>
      <c r="N726" s="102"/>
    </row>
    <row r="727">
      <c r="A727" s="17"/>
      <c r="C727" s="79"/>
      <c r="D727" s="79"/>
      <c r="E727" s="79"/>
      <c r="F727" s="79"/>
      <c r="G727" s="79"/>
      <c r="H727" s="79"/>
      <c r="I727" s="79"/>
      <c r="J727" s="79"/>
      <c r="K727" s="79"/>
      <c r="L727" s="79"/>
      <c r="N727" s="102"/>
    </row>
    <row r="728">
      <c r="A728" s="17"/>
      <c r="C728" s="79"/>
      <c r="D728" s="79"/>
      <c r="E728" s="79"/>
      <c r="F728" s="79"/>
      <c r="G728" s="79"/>
      <c r="H728" s="79"/>
      <c r="I728" s="79"/>
      <c r="J728" s="79"/>
      <c r="K728" s="79"/>
      <c r="L728" s="79"/>
      <c r="N728" s="102"/>
    </row>
    <row r="729">
      <c r="A729" s="17"/>
      <c r="C729" s="79"/>
      <c r="D729" s="79"/>
      <c r="E729" s="79"/>
      <c r="F729" s="79"/>
      <c r="G729" s="79"/>
      <c r="H729" s="79"/>
      <c r="I729" s="79"/>
      <c r="J729" s="79"/>
      <c r="K729" s="79"/>
      <c r="L729" s="79"/>
      <c r="N729" s="102"/>
    </row>
    <row r="730">
      <c r="A730" s="17"/>
      <c r="C730" s="79"/>
      <c r="D730" s="79"/>
      <c r="E730" s="79"/>
      <c r="F730" s="79"/>
      <c r="G730" s="79"/>
      <c r="H730" s="79"/>
      <c r="I730" s="79"/>
      <c r="J730" s="79"/>
      <c r="K730" s="79"/>
      <c r="L730" s="79"/>
      <c r="N730" s="102"/>
    </row>
    <row r="731">
      <c r="A731" s="17"/>
      <c r="C731" s="79"/>
      <c r="D731" s="79"/>
      <c r="E731" s="79"/>
      <c r="F731" s="79"/>
      <c r="G731" s="79"/>
      <c r="H731" s="79"/>
      <c r="I731" s="79"/>
      <c r="J731" s="79"/>
      <c r="K731" s="79"/>
      <c r="L731" s="79"/>
      <c r="N731" s="102"/>
    </row>
    <row r="732">
      <c r="A732" s="17"/>
      <c r="C732" s="79"/>
      <c r="D732" s="79"/>
      <c r="E732" s="79"/>
      <c r="F732" s="79"/>
      <c r="G732" s="79"/>
      <c r="H732" s="79"/>
      <c r="I732" s="79"/>
      <c r="J732" s="79"/>
      <c r="K732" s="79"/>
      <c r="L732" s="79"/>
      <c r="N732" s="102"/>
    </row>
    <row r="733">
      <c r="A733" s="17"/>
      <c r="C733" s="79"/>
      <c r="D733" s="79"/>
      <c r="E733" s="79"/>
      <c r="F733" s="79"/>
      <c r="G733" s="79"/>
      <c r="H733" s="79"/>
      <c r="I733" s="79"/>
      <c r="J733" s="79"/>
      <c r="K733" s="79"/>
      <c r="L733" s="79"/>
      <c r="N733" s="102"/>
    </row>
    <row r="734">
      <c r="A734" s="17"/>
      <c r="C734" s="79"/>
      <c r="D734" s="79"/>
      <c r="E734" s="79"/>
      <c r="F734" s="79"/>
      <c r="G734" s="79"/>
      <c r="H734" s="79"/>
      <c r="I734" s="79"/>
      <c r="J734" s="79"/>
      <c r="K734" s="79"/>
      <c r="L734" s="79"/>
      <c r="N734" s="102"/>
    </row>
    <row r="735">
      <c r="A735" s="17"/>
      <c r="C735" s="79"/>
      <c r="D735" s="79"/>
      <c r="E735" s="79"/>
      <c r="F735" s="79"/>
      <c r="G735" s="79"/>
      <c r="H735" s="79"/>
      <c r="I735" s="79"/>
      <c r="J735" s="79"/>
      <c r="K735" s="79"/>
      <c r="L735" s="79"/>
      <c r="N735" s="102"/>
    </row>
    <row r="736">
      <c r="A736" s="17"/>
      <c r="C736" s="79"/>
      <c r="D736" s="79"/>
      <c r="E736" s="79"/>
      <c r="F736" s="79"/>
      <c r="G736" s="79"/>
      <c r="H736" s="79"/>
      <c r="I736" s="79"/>
      <c r="J736" s="79"/>
      <c r="K736" s="79"/>
      <c r="L736" s="79"/>
      <c r="N736" s="102"/>
    </row>
    <row r="737">
      <c r="A737" s="17"/>
      <c r="C737" s="79"/>
      <c r="D737" s="79"/>
      <c r="E737" s="79"/>
      <c r="F737" s="79"/>
      <c r="G737" s="79"/>
      <c r="H737" s="79"/>
      <c r="I737" s="79"/>
      <c r="J737" s="79"/>
      <c r="K737" s="79"/>
      <c r="L737" s="79"/>
      <c r="N737" s="102"/>
    </row>
    <row r="738">
      <c r="A738" s="17"/>
      <c r="C738" s="79"/>
      <c r="D738" s="79"/>
      <c r="E738" s="79"/>
      <c r="F738" s="79"/>
      <c r="G738" s="79"/>
      <c r="H738" s="79"/>
      <c r="I738" s="79"/>
      <c r="J738" s="79"/>
      <c r="K738" s="79"/>
      <c r="L738" s="79"/>
      <c r="N738" s="102"/>
    </row>
    <row r="739">
      <c r="A739" s="17"/>
      <c r="C739" s="79"/>
      <c r="D739" s="79"/>
      <c r="E739" s="79"/>
      <c r="F739" s="79"/>
      <c r="G739" s="79"/>
      <c r="H739" s="79"/>
      <c r="I739" s="79"/>
      <c r="J739" s="79"/>
      <c r="K739" s="79"/>
      <c r="L739" s="79"/>
      <c r="N739" s="102"/>
    </row>
    <row r="740">
      <c r="A740" s="17"/>
      <c r="C740" s="79"/>
      <c r="D740" s="79"/>
      <c r="E740" s="79"/>
      <c r="F740" s="79"/>
      <c r="G740" s="79"/>
      <c r="H740" s="79"/>
      <c r="I740" s="79"/>
      <c r="J740" s="79"/>
      <c r="K740" s="79"/>
      <c r="L740" s="79"/>
      <c r="N740" s="102"/>
    </row>
    <row r="741">
      <c r="A741" s="17"/>
      <c r="C741" s="79"/>
      <c r="D741" s="79"/>
      <c r="E741" s="79"/>
      <c r="F741" s="79"/>
      <c r="G741" s="79"/>
      <c r="H741" s="79"/>
      <c r="I741" s="79"/>
      <c r="J741" s="79"/>
      <c r="K741" s="79"/>
      <c r="L741" s="79"/>
      <c r="N741" s="102"/>
    </row>
    <row r="742">
      <c r="A742" s="17"/>
      <c r="C742" s="79"/>
      <c r="D742" s="79"/>
      <c r="E742" s="79"/>
      <c r="F742" s="79"/>
      <c r="G742" s="79"/>
      <c r="H742" s="79"/>
      <c r="I742" s="79"/>
      <c r="J742" s="79"/>
      <c r="K742" s="79"/>
      <c r="L742" s="79"/>
      <c r="N742" s="102"/>
    </row>
    <row r="743">
      <c r="A743" s="17"/>
      <c r="C743" s="79"/>
      <c r="D743" s="79"/>
      <c r="E743" s="79"/>
      <c r="F743" s="79"/>
      <c r="G743" s="79"/>
      <c r="H743" s="79"/>
      <c r="I743" s="79"/>
      <c r="J743" s="79"/>
      <c r="K743" s="79"/>
      <c r="L743" s="79"/>
      <c r="N743" s="102"/>
    </row>
    <row r="744">
      <c r="A744" s="17"/>
      <c r="C744" s="79"/>
      <c r="D744" s="79"/>
      <c r="E744" s="79"/>
      <c r="F744" s="79"/>
      <c r="G744" s="79"/>
      <c r="H744" s="79"/>
      <c r="I744" s="79"/>
      <c r="J744" s="79"/>
      <c r="K744" s="79"/>
      <c r="L744" s="79"/>
      <c r="N744" s="102"/>
    </row>
    <row r="745">
      <c r="A745" s="17"/>
      <c r="C745" s="79"/>
      <c r="D745" s="79"/>
      <c r="E745" s="79"/>
      <c r="F745" s="79"/>
      <c r="G745" s="79"/>
      <c r="H745" s="79"/>
      <c r="I745" s="79"/>
      <c r="J745" s="79"/>
      <c r="K745" s="79"/>
      <c r="L745" s="79"/>
      <c r="N745" s="102"/>
    </row>
    <row r="746">
      <c r="A746" s="17"/>
      <c r="C746" s="79"/>
      <c r="D746" s="79"/>
      <c r="E746" s="79"/>
      <c r="F746" s="79"/>
      <c r="G746" s="79"/>
      <c r="H746" s="79"/>
      <c r="I746" s="79"/>
      <c r="J746" s="79"/>
      <c r="K746" s="79"/>
      <c r="L746" s="79"/>
      <c r="N746" s="102"/>
    </row>
    <row r="747">
      <c r="A747" s="17"/>
      <c r="C747" s="79"/>
      <c r="D747" s="79"/>
      <c r="E747" s="79"/>
      <c r="F747" s="79"/>
      <c r="G747" s="79"/>
      <c r="H747" s="79"/>
      <c r="I747" s="79"/>
      <c r="J747" s="79"/>
      <c r="K747" s="79"/>
      <c r="L747" s="79"/>
      <c r="N747" s="102"/>
    </row>
    <row r="748">
      <c r="A748" s="17"/>
      <c r="C748" s="79"/>
      <c r="D748" s="79"/>
      <c r="E748" s="79"/>
      <c r="F748" s="79"/>
      <c r="G748" s="79"/>
      <c r="H748" s="79"/>
      <c r="I748" s="79"/>
      <c r="J748" s="79"/>
      <c r="K748" s="79"/>
      <c r="L748" s="79"/>
      <c r="N748" s="102"/>
    </row>
    <row r="749">
      <c r="A749" s="17"/>
      <c r="C749" s="79"/>
      <c r="D749" s="79"/>
      <c r="E749" s="79"/>
      <c r="F749" s="79"/>
      <c r="G749" s="79"/>
      <c r="H749" s="79"/>
      <c r="I749" s="79"/>
      <c r="J749" s="79"/>
      <c r="K749" s="79"/>
      <c r="L749" s="79"/>
      <c r="N749" s="102"/>
    </row>
    <row r="750">
      <c r="A750" s="17"/>
      <c r="C750" s="79"/>
      <c r="D750" s="79"/>
      <c r="E750" s="79"/>
      <c r="F750" s="79"/>
      <c r="G750" s="79"/>
      <c r="H750" s="79"/>
      <c r="I750" s="79"/>
      <c r="J750" s="79"/>
      <c r="K750" s="79"/>
      <c r="L750" s="79"/>
      <c r="N750" s="102"/>
    </row>
    <row r="751">
      <c r="A751" s="17"/>
      <c r="C751" s="79"/>
      <c r="D751" s="79"/>
      <c r="E751" s="79"/>
      <c r="F751" s="79"/>
      <c r="G751" s="79"/>
      <c r="H751" s="79"/>
      <c r="I751" s="79"/>
      <c r="J751" s="79"/>
      <c r="K751" s="79"/>
      <c r="L751" s="79"/>
      <c r="N751" s="102"/>
    </row>
    <row r="752">
      <c r="A752" s="17"/>
      <c r="C752" s="79"/>
      <c r="D752" s="79"/>
      <c r="E752" s="79"/>
      <c r="F752" s="79"/>
      <c r="G752" s="79"/>
      <c r="H752" s="79"/>
      <c r="I752" s="79"/>
      <c r="J752" s="79"/>
      <c r="K752" s="79"/>
      <c r="L752" s="79"/>
      <c r="N752" s="102"/>
    </row>
    <row r="753">
      <c r="A753" s="17"/>
      <c r="C753" s="79"/>
      <c r="D753" s="79"/>
      <c r="E753" s="79"/>
      <c r="F753" s="79"/>
      <c r="G753" s="79"/>
      <c r="H753" s="79"/>
      <c r="I753" s="79"/>
      <c r="J753" s="79"/>
      <c r="K753" s="79"/>
      <c r="L753" s="79"/>
      <c r="N753" s="102"/>
    </row>
    <row r="754">
      <c r="A754" s="17"/>
      <c r="C754" s="79"/>
      <c r="D754" s="79"/>
      <c r="E754" s="79"/>
      <c r="F754" s="79"/>
      <c r="G754" s="79"/>
      <c r="H754" s="79"/>
      <c r="I754" s="79"/>
      <c r="J754" s="79"/>
      <c r="K754" s="79"/>
      <c r="L754" s="79"/>
      <c r="N754" s="102"/>
    </row>
    <row r="755">
      <c r="A755" s="17"/>
      <c r="C755" s="79"/>
      <c r="D755" s="79"/>
      <c r="E755" s="79"/>
      <c r="F755" s="79"/>
      <c r="G755" s="79"/>
      <c r="H755" s="79"/>
      <c r="I755" s="79"/>
      <c r="J755" s="79"/>
      <c r="K755" s="79"/>
      <c r="L755" s="79"/>
      <c r="N755" s="102"/>
    </row>
    <row r="756">
      <c r="A756" s="17"/>
      <c r="C756" s="79"/>
      <c r="D756" s="79"/>
      <c r="E756" s="79"/>
      <c r="F756" s="79"/>
      <c r="G756" s="79"/>
      <c r="H756" s="79"/>
      <c r="I756" s="79"/>
      <c r="J756" s="79"/>
      <c r="K756" s="79"/>
      <c r="L756" s="79"/>
      <c r="N756" s="102"/>
    </row>
    <row r="757">
      <c r="A757" s="17"/>
      <c r="C757" s="79"/>
      <c r="D757" s="79"/>
      <c r="E757" s="79"/>
      <c r="F757" s="79"/>
      <c r="G757" s="79"/>
      <c r="H757" s="79"/>
      <c r="I757" s="79"/>
      <c r="J757" s="79"/>
      <c r="K757" s="79"/>
      <c r="L757" s="79"/>
      <c r="N757" s="102"/>
    </row>
    <row r="758">
      <c r="A758" s="17"/>
      <c r="C758" s="79"/>
      <c r="D758" s="79"/>
      <c r="E758" s="79"/>
      <c r="F758" s="79"/>
      <c r="G758" s="79"/>
      <c r="H758" s="79"/>
      <c r="I758" s="79"/>
      <c r="J758" s="79"/>
      <c r="K758" s="79"/>
      <c r="L758" s="79"/>
      <c r="N758" s="102"/>
    </row>
    <row r="759">
      <c r="A759" s="17"/>
      <c r="C759" s="79"/>
      <c r="D759" s="79"/>
      <c r="E759" s="79"/>
      <c r="F759" s="79"/>
      <c r="G759" s="79"/>
      <c r="H759" s="79"/>
      <c r="I759" s="79"/>
      <c r="J759" s="79"/>
      <c r="K759" s="79"/>
      <c r="L759" s="79"/>
      <c r="N759" s="102"/>
    </row>
    <row r="760">
      <c r="A760" s="17"/>
      <c r="C760" s="79"/>
      <c r="D760" s="79"/>
      <c r="E760" s="79"/>
      <c r="F760" s="79"/>
      <c r="G760" s="79"/>
      <c r="H760" s="79"/>
      <c r="I760" s="79"/>
      <c r="J760" s="79"/>
      <c r="K760" s="79"/>
      <c r="L760" s="79"/>
      <c r="N760" s="102"/>
    </row>
    <row r="761">
      <c r="A761" s="17"/>
      <c r="C761" s="79"/>
      <c r="D761" s="79"/>
      <c r="E761" s="79"/>
      <c r="F761" s="79"/>
      <c r="G761" s="79"/>
      <c r="H761" s="79"/>
      <c r="I761" s="79"/>
      <c r="J761" s="79"/>
      <c r="K761" s="79"/>
      <c r="L761" s="79"/>
      <c r="N761" s="102"/>
    </row>
    <row r="762">
      <c r="A762" s="17"/>
      <c r="C762" s="79"/>
      <c r="D762" s="79"/>
      <c r="E762" s="79"/>
      <c r="F762" s="79"/>
      <c r="G762" s="79"/>
      <c r="H762" s="79"/>
      <c r="I762" s="79"/>
      <c r="J762" s="79"/>
      <c r="K762" s="79"/>
      <c r="L762" s="79"/>
      <c r="N762" s="102"/>
    </row>
    <row r="763">
      <c r="A763" s="17"/>
      <c r="C763" s="79"/>
      <c r="D763" s="79"/>
      <c r="E763" s="79"/>
      <c r="F763" s="79"/>
      <c r="G763" s="79"/>
      <c r="H763" s="79"/>
      <c r="I763" s="79"/>
      <c r="J763" s="79"/>
      <c r="K763" s="79"/>
      <c r="L763" s="79"/>
      <c r="N763" s="102"/>
    </row>
    <row r="764">
      <c r="A764" s="17"/>
      <c r="C764" s="79"/>
      <c r="D764" s="79"/>
      <c r="E764" s="79"/>
      <c r="F764" s="79"/>
      <c r="G764" s="79"/>
      <c r="H764" s="79"/>
      <c r="I764" s="79"/>
      <c r="J764" s="79"/>
      <c r="K764" s="79"/>
      <c r="L764" s="79"/>
      <c r="N764" s="102"/>
    </row>
    <row r="765">
      <c r="A765" s="17"/>
      <c r="C765" s="79"/>
      <c r="D765" s="79"/>
      <c r="E765" s="79"/>
      <c r="F765" s="79"/>
      <c r="G765" s="79"/>
      <c r="H765" s="79"/>
      <c r="I765" s="79"/>
      <c r="J765" s="79"/>
      <c r="K765" s="79"/>
      <c r="L765" s="79"/>
      <c r="N765" s="102"/>
    </row>
    <row r="766">
      <c r="A766" s="17"/>
      <c r="C766" s="79"/>
      <c r="D766" s="79"/>
      <c r="E766" s="79"/>
      <c r="F766" s="79"/>
      <c r="G766" s="79"/>
      <c r="H766" s="79"/>
      <c r="I766" s="79"/>
      <c r="J766" s="79"/>
      <c r="K766" s="79"/>
      <c r="L766" s="79"/>
      <c r="N766" s="102"/>
    </row>
    <row r="767">
      <c r="A767" s="17"/>
      <c r="C767" s="79"/>
      <c r="D767" s="79"/>
      <c r="E767" s="79"/>
      <c r="F767" s="79"/>
      <c r="G767" s="79"/>
      <c r="H767" s="79"/>
      <c r="I767" s="79"/>
      <c r="J767" s="79"/>
      <c r="K767" s="79"/>
      <c r="L767" s="79"/>
      <c r="N767" s="102"/>
    </row>
    <row r="768">
      <c r="A768" s="17"/>
      <c r="C768" s="79"/>
      <c r="D768" s="79"/>
      <c r="E768" s="79"/>
      <c r="F768" s="79"/>
      <c r="G768" s="79"/>
      <c r="H768" s="79"/>
      <c r="I768" s="79"/>
      <c r="J768" s="79"/>
      <c r="K768" s="79"/>
      <c r="L768" s="79"/>
      <c r="N768" s="102"/>
    </row>
    <row r="769">
      <c r="A769" s="17"/>
      <c r="C769" s="79"/>
      <c r="D769" s="79"/>
      <c r="E769" s="79"/>
      <c r="F769" s="79"/>
      <c r="G769" s="79"/>
      <c r="H769" s="79"/>
      <c r="I769" s="79"/>
      <c r="J769" s="79"/>
      <c r="K769" s="79"/>
      <c r="L769" s="79"/>
      <c r="N769" s="102"/>
    </row>
    <row r="770">
      <c r="A770" s="17"/>
      <c r="C770" s="79"/>
      <c r="D770" s="79"/>
      <c r="E770" s="79"/>
      <c r="F770" s="79"/>
      <c r="G770" s="79"/>
      <c r="H770" s="79"/>
      <c r="I770" s="79"/>
      <c r="J770" s="79"/>
      <c r="K770" s="79"/>
      <c r="L770" s="79"/>
      <c r="N770" s="102"/>
    </row>
    <row r="771">
      <c r="A771" s="17"/>
      <c r="C771" s="79"/>
      <c r="D771" s="79"/>
      <c r="E771" s="79"/>
      <c r="F771" s="79"/>
      <c r="G771" s="79"/>
      <c r="H771" s="79"/>
      <c r="I771" s="79"/>
      <c r="J771" s="79"/>
      <c r="K771" s="79"/>
      <c r="L771" s="79"/>
      <c r="N771" s="102"/>
    </row>
    <row r="772">
      <c r="A772" s="17"/>
      <c r="C772" s="79"/>
      <c r="D772" s="79"/>
      <c r="E772" s="79"/>
      <c r="F772" s="79"/>
      <c r="G772" s="79"/>
      <c r="H772" s="79"/>
      <c r="I772" s="79"/>
      <c r="J772" s="79"/>
      <c r="K772" s="79"/>
      <c r="L772" s="79"/>
      <c r="N772" s="102"/>
    </row>
    <row r="773">
      <c r="A773" s="17"/>
      <c r="C773" s="79"/>
      <c r="D773" s="79"/>
      <c r="E773" s="79"/>
      <c r="F773" s="79"/>
      <c r="G773" s="79"/>
      <c r="H773" s="79"/>
      <c r="I773" s="79"/>
      <c r="J773" s="79"/>
      <c r="K773" s="79"/>
      <c r="L773" s="79"/>
      <c r="N773" s="102"/>
    </row>
    <row r="774">
      <c r="A774" s="17"/>
      <c r="C774" s="79"/>
      <c r="D774" s="79"/>
      <c r="E774" s="79"/>
      <c r="F774" s="79"/>
      <c r="G774" s="79"/>
      <c r="H774" s="79"/>
      <c r="I774" s="79"/>
      <c r="J774" s="79"/>
      <c r="K774" s="79"/>
      <c r="L774" s="79"/>
      <c r="N774" s="102"/>
    </row>
    <row r="775">
      <c r="A775" s="17"/>
      <c r="C775" s="79"/>
      <c r="D775" s="79"/>
      <c r="E775" s="79"/>
      <c r="F775" s="79"/>
      <c r="G775" s="79"/>
      <c r="H775" s="79"/>
      <c r="I775" s="79"/>
      <c r="J775" s="79"/>
      <c r="K775" s="79"/>
      <c r="L775" s="79"/>
      <c r="N775" s="102"/>
    </row>
    <row r="776">
      <c r="A776" s="17"/>
      <c r="C776" s="79"/>
      <c r="D776" s="79"/>
      <c r="E776" s="79"/>
      <c r="F776" s="79"/>
      <c r="G776" s="79"/>
      <c r="H776" s="79"/>
      <c r="I776" s="79"/>
      <c r="J776" s="79"/>
      <c r="K776" s="79"/>
      <c r="L776" s="79"/>
      <c r="N776" s="102"/>
    </row>
    <row r="777">
      <c r="A777" s="17"/>
      <c r="C777" s="79"/>
      <c r="D777" s="79"/>
      <c r="E777" s="79"/>
      <c r="F777" s="79"/>
      <c r="G777" s="79"/>
      <c r="H777" s="79"/>
      <c r="I777" s="79"/>
      <c r="J777" s="79"/>
      <c r="K777" s="79"/>
      <c r="L777" s="79"/>
      <c r="N777" s="102"/>
    </row>
    <row r="778">
      <c r="A778" s="17"/>
      <c r="C778" s="79"/>
      <c r="D778" s="79"/>
      <c r="E778" s="79"/>
      <c r="F778" s="79"/>
      <c r="G778" s="79"/>
      <c r="H778" s="79"/>
      <c r="I778" s="79"/>
      <c r="J778" s="79"/>
      <c r="K778" s="79"/>
      <c r="L778" s="79"/>
      <c r="N778" s="102"/>
    </row>
    <row r="779">
      <c r="A779" s="17"/>
      <c r="C779" s="79"/>
      <c r="D779" s="79"/>
      <c r="E779" s="79"/>
      <c r="F779" s="79"/>
      <c r="G779" s="79"/>
      <c r="H779" s="79"/>
      <c r="I779" s="79"/>
      <c r="J779" s="79"/>
      <c r="K779" s="79"/>
      <c r="L779" s="79"/>
      <c r="N779" s="102"/>
    </row>
    <row r="780">
      <c r="A780" s="17"/>
      <c r="C780" s="79"/>
      <c r="D780" s="79"/>
      <c r="E780" s="79"/>
      <c r="F780" s="79"/>
      <c r="G780" s="79"/>
      <c r="H780" s="79"/>
      <c r="I780" s="79"/>
      <c r="J780" s="79"/>
      <c r="K780" s="79"/>
      <c r="L780" s="79"/>
      <c r="N780" s="102"/>
    </row>
    <row r="781">
      <c r="A781" s="17"/>
      <c r="C781" s="79"/>
      <c r="D781" s="79"/>
      <c r="E781" s="79"/>
      <c r="F781" s="79"/>
      <c r="G781" s="79"/>
      <c r="H781" s="79"/>
      <c r="I781" s="79"/>
      <c r="J781" s="79"/>
      <c r="K781" s="79"/>
      <c r="L781" s="79"/>
      <c r="N781" s="102"/>
    </row>
    <row r="782">
      <c r="A782" s="17"/>
      <c r="C782" s="79"/>
      <c r="D782" s="79"/>
      <c r="E782" s="79"/>
      <c r="F782" s="79"/>
      <c r="G782" s="79"/>
      <c r="H782" s="79"/>
      <c r="I782" s="79"/>
      <c r="J782" s="79"/>
      <c r="K782" s="79"/>
      <c r="L782" s="79"/>
      <c r="N782" s="102"/>
    </row>
    <row r="783">
      <c r="A783" s="17"/>
      <c r="C783" s="79"/>
      <c r="D783" s="79"/>
      <c r="E783" s="79"/>
      <c r="F783" s="79"/>
      <c r="G783" s="79"/>
      <c r="H783" s="79"/>
      <c r="I783" s="79"/>
      <c r="J783" s="79"/>
      <c r="K783" s="79"/>
      <c r="L783" s="79"/>
      <c r="N783" s="102"/>
    </row>
    <row r="784">
      <c r="A784" s="17"/>
      <c r="C784" s="79"/>
      <c r="D784" s="79"/>
      <c r="E784" s="79"/>
      <c r="F784" s="79"/>
      <c r="G784" s="79"/>
      <c r="H784" s="79"/>
      <c r="I784" s="79"/>
      <c r="J784" s="79"/>
      <c r="K784" s="79"/>
      <c r="L784" s="79"/>
      <c r="N784" s="102"/>
    </row>
    <row r="785">
      <c r="A785" s="17"/>
      <c r="C785" s="79"/>
      <c r="D785" s="79"/>
      <c r="E785" s="79"/>
      <c r="F785" s="79"/>
      <c r="G785" s="79"/>
      <c r="H785" s="79"/>
      <c r="I785" s="79"/>
      <c r="J785" s="79"/>
      <c r="K785" s="79"/>
      <c r="L785" s="79"/>
      <c r="N785" s="102"/>
    </row>
    <row r="786">
      <c r="A786" s="17"/>
      <c r="C786" s="79"/>
      <c r="D786" s="79"/>
      <c r="E786" s="79"/>
      <c r="F786" s="79"/>
      <c r="G786" s="79"/>
      <c r="H786" s="79"/>
      <c r="I786" s="79"/>
      <c r="J786" s="79"/>
      <c r="K786" s="79"/>
      <c r="L786" s="79"/>
      <c r="N786" s="102"/>
    </row>
    <row r="787">
      <c r="A787" s="17"/>
      <c r="C787" s="79"/>
      <c r="D787" s="79"/>
      <c r="E787" s="79"/>
      <c r="F787" s="79"/>
      <c r="G787" s="79"/>
      <c r="H787" s="79"/>
      <c r="I787" s="79"/>
      <c r="J787" s="79"/>
      <c r="K787" s="79"/>
      <c r="L787" s="79"/>
      <c r="N787" s="102"/>
    </row>
    <row r="788">
      <c r="A788" s="17"/>
      <c r="C788" s="79"/>
      <c r="D788" s="79"/>
      <c r="E788" s="79"/>
      <c r="F788" s="79"/>
      <c r="G788" s="79"/>
      <c r="H788" s="79"/>
      <c r="I788" s="79"/>
      <c r="J788" s="79"/>
      <c r="K788" s="79"/>
      <c r="L788" s="79"/>
      <c r="N788" s="102"/>
    </row>
    <row r="789">
      <c r="A789" s="17"/>
      <c r="C789" s="79"/>
      <c r="D789" s="79"/>
      <c r="E789" s="79"/>
      <c r="F789" s="79"/>
      <c r="G789" s="79"/>
      <c r="H789" s="79"/>
      <c r="I789" s="79"/>
      <c r="J789" s="79"/>
      <c r="K789" s="79"/>
      <c r="L789" s="79"/>
      <c r="N789" s="102"/>
    </row>
    <row r="790">
      <c r="A790" s="17"/>
      <c r="C790" s="79"/>
      <c r="D790" s="79"/>
      <c r="E790" s="79"/>
      <c r="F790" s="79"/>
      <c r="G790" s="79"/>
      <c r="H790" s="79"/>
      <c r="I790" s="79"/>
      <c r="J790" s="79"/>
      <c r="K790" s="79"/>
      <c r="L790" s="79"/>
      <c r="N790" s="102"/>
    </row>
    <row r="791">
      <c r="A791" s="17"/>
      <c r="C791" s="79"/>
      <c r="D791" s="79"/>
      <c r="E791" s="79"/>
      <c r="F791" s="79"/>
      <c r="G791" s="79"/>
      <c r="H791" s="79"/>
      <c r="I791" s="79"/>
      <c r="J791" s="79"/>
      <c r="K791" s="79"/>
      <c r="L791" s="79"/>
      <c r="N791" s="102"/>
    </row>
    <row r="792">
      <c r="A792" s="17"/>
      <c r="C792" s="79"/>
      <c r="D792" s="79"/>
      <c r="E792" s="79"/>
      <c r="F792" s="79"/>
      <c r="G792" s="79"/>
      <c r="H792" s="79"/>
      <c r="I792" s="79"/>
      <c r="J792" s="79"/>
      <c r="K792" s="79"/>
      <c r="L792" s="79"/>
      <c r="N792" s="102"/>
    </row>
    <row r="793">
      <c r="A793" s="17"/>
      <c r="C793" s="79"/>
      <c r="D793" s="79"/>
      <c r="E793" s="79"/>
      <c r="F793" s="79"/>
      <c r="G793" s="79"/>
      <c r="H793" s="79"/>
      <c r="I793" s="79"/>
      <c r="J793" s="79"/>
      <c r="K793" s="79"/>
      <c r="L793" s="79"/>
      <c r="N793" s="102"/>
    </row>
    <row r="794">
      <c r="A794" s="17"/>
      <c r="C794" s="79"/>
      <c r="D794" s="79"/>
      <c r="E794" s="79"/>
      <c r="F794" s="79"/>
      <c r="G794" s="79"/>
      <c r="H794" s="79"/>
      <c r="I794" s="79"/>
      <c r="J794" s="79"/>
      <c r="K794" s="79"/>
      <c r="L794" s="79"/>
      <c r="N794" s="102"/>
    </row>
    <row r="795">
      <c r="A795" s="17"/>
      <c r="C795" s="79"/>
      <c r="D795" s="79"/>
      <c r="E795" s="79"/>
      <c r="F795" s="79"/>
      <c r="G795" s="79"/>
      <c r="H795" s="79"/>
      <c r="I795" s="79"/>
      <c r="J795" s="79"/>
      <c r="K795" s="79"/>
      <c r="L795" s="79"/>
      <c r="N795" s="102"/>
    </row>
    <row r="796">
      <c r="A796" s="17"/>
      <c r="C796" s="79"/>
      <c r="D796" s="79"/>
      <c r="E796" s="79"/>
      <c r="F796" s="79"/>
      <c r="G796" s="79"/>
      <c r="H796" s="79"/>
      <c r="I796" s="79"/>
      <c r="J796" s="79"/>
      <c r="K796" s="79"/>
      <c r="L796" s="79"/>
      <c r="N796" s="102"/>
    </row>
    <row r="797">
      <c r="A797" s="17"/>
      <c r="C797" s="79"/>
      <c r="D797" s="79"/>
      <c r="E797" s="79"/>
      <c r="F797" s="79"/>
      <c r="G797" s="79"/>
      <c r="H797" s="79"/>
      <c r="I797" s="79"/>
      <c r="J797" s="79"/>
      <c r="K797" s="79"/>
      <c r="L797" s="79"/>
      <c r="N797" s="102"/>
    </row>
    <row r="798">
      <c r="A798" s="17"/>
      <c r="C798" s="79"/>
      <c r="D798" s="79"/>
      <c r="E798" s="79"/>
      <c r="F798" s="79"/>
      <c r="G798" s="79"/>
      <c r="H798" s="79"/>
      <c r="I798" s="79"/>
      <c r="J798" s="79"/>
      <c r="K798" s="79"/>
      <c r="L798" s="79"/>
      <c r="N798" s="102"/>
    </row>
    <row r="799">
      <c r="A799" s="17"/>
      <c r="C799" s="79"/>
      <c r="D799" s="79"/>
      <c r="E799" s="79"/>
      <c r="F799" s="79"/>
      <c r="G799" s="79"/>
      <c r="H799" s="79"/>
      <c r="I799" s="79"/>
      <c r="J799" s="79"/>
      <c r="K799" s="79"/>
      <c r="L799" s="79"/>
      <c r="N799" s="102"/>
    </row>
    <row r="800">
      <c r="A800" s="17"/>
      <c r="C800" s="79"/>
      <c r="D800" s="79"/>
      <c r="E800" s="79"/>
      <c r="F800" s="79"/>
      <c r="G800" s="79"/>
      <c r="H800" s="79"/>
      <c r="I800" s="79"/>
      <c r="J800" s="79"/>
      <c r="K800" s="79"/>
      <c r="L800" s="79"/>
      <c r="N800" s="102"/>
    </row>
    <row r="801">
      <c r="A801" s="17"/>
      <c r="C801" s="79"/>
      <c r="D801" s="79"/>
      <c r="E801" s="79"/>
      <c r="F801" s="79"/>
      <c r="G801" s="79"/>
      <c r="H801" s="79"/>
      <c r="I801" s="79"/>
      <c r="J801" s="79"/>
      <c r="K801" s="79"/>
      <c r="L801" s="79"/>
      <c r="N801" s="102"/>
    </row>
    <row r="802">
      <c r="A802" s="17"/>
      <c r="C802" s="79"/>
      <c r="D802" s="79"/>
      <c r="E802" s="79"/>
      <c r="F802" s="79"/>
      <c r="G802" s="79"/>
      <c r="H802" s="79"/>
      <c r="I802" s="79"/>
      <c r="J802" s="79"/>
      <c r="K802" s="79"/>
      <c r="L802" s="79"/>
      <c r="N802" s="102"/>
    </row>
    <row r="803">
      <c r="A803" s="17"/>
      <c r="C803" s="79"/>
      <c r="D803" s="79"/>
      <c r="E803" s="79"/>
      <c r="F803" s="79"/>
      <c r="G803" s="79"/>
      <c r="H803" s="79"/>
      <c r="I803" s="79"/>
      <c r="J803" s="79"/>
      <c r="K803" s="79"/>
      <c r="L803" s="79"/>
      <c r="N803" s="102"/>
    </row>
    <row r="804">
      <c r="A804" s="17"/>
      <c r="C804" s="79"/>
      <c r="D804" s="79"/>
      <c r="E804" s="79"/>
      <c r="F804" s="79"/>
      <c r="G804" s="79"/>
      <c r="H804" s="79"/>
      <c r="I804" s="79"/>
      <c r="J804" s="79"/>
      <c r="K804" s="79"/>
      <c r="L804" s="79"/>
      <c r="N804" s="102"/>
    </row>
    <row r="805">
      <c r="A805" s="17"/>
      <c r="C805" s="79"/>
      <c r="D805" s="79"/>
      <c r="E805" s="79"/>
      <c r="F805" s="79"/>
      <c r="G805" s="79"/>
      <c r="H805" s="79"/>
      <c r="I805" s="79"/>
      <c r="J805" s="79"/>
      <c r="K805" s="79"/>
      <c r="L805" s="79"/>
      <c r="N805" s="102"/>
    </row>
    <row r="806">
      <c r="A806" s="17"/>
      <c r="C806" s="79"/>
      <c r="D806" s="79"/>
      <c r="E806" s="79"/>
      <c r="F806" s="79"/>
      <c r="G806" s="79"/>
      <c r="H806" s="79"/>
      <c r="I806" s="79"/>
      <c r="J806" s="79"/>
      <c r="K806" s="79"/>
      <c r="L806" s="79"/>
      <c r="N806" s="102"/>
    </row>
    <row r="807">
      <c r="A807" s="17"/>
      <c r="C807" s="79"/>
      <c r="D807" s="79"/>
      <c r="E807" s="79"/>
      <c r="F807" s="79"/>
      <c r="G807" s="79"/>
      <c r="H807" s="79"/>
      <c r="I807" s="79"/>
      <c r="J807" s="79"/>
      <c r="K807" s="79"/>
      <c r="L807" s="79"/>
      <c r="N807" s="102"/>
    </row>
    <row r="808">
      <c r="A808" s="17"/>
      <c r="C808" s="79"/>
      <c r="D808" s="79"/>
      <c r="E808" s="79"/>
      <c r="F808" s="79"/>
      <c r="G808" s="79"/>
      <c r="H808" s="79"/>
      <c r="I808" s="79"/>
      <c r="J808" s="79"/>
      <c r="K808" s="79"/>
      <c r="L808" s="79"/>
      <c r="N808" s="102"/>
    </row>
    <row r="809">
      <c r="A809" s="17"/>
      <c r="C809" s="79"/>
      <c r="D809" s="79"/>
      <c r="E809" s="79"/>
      <c r="F809" s="79"/>
      <c r="G809" s="79"/>
      <c r="H809" s="79"/>
      <c r="I809" s="79"/>
      <c r="J809" s="79"/>
      <c r="K809" s="79"/>
      <c r="L809" s="79"/>
      <c r="N809" s="102"/>
    </row>
    <row r="810">
      <c r="A810" s="17"/>
      <c r="C810" s="79"/>
      <c r="D810" s="79"/>
      <c r="E810" s="79"/>
      <c r="F810" s="79"/>
      <c r="G810" s="79"/>
      <c r="H810" s="79"/>
      <c r="I810" s="79"/>
      <c r="J810" s="79"/>
      <c r="K810" s="79"/>
      <c r="L810" s="79"/>
      <c r="N810" s="102"/>
    </row>
    <row r="811">
      <c r="A811" s="17"/>
      <c r="C811" s="79"/>
      <c r="D811" s="79"/>
      <c r="E811" s="79"/>
      <c r="F811" s="79"/>
      <c r="G811" s="79"/>
      <c r="H811" s="79"/>
      <c r="I811" s="79"/>
      <c r="J811" s="79"/>
      <c r="K811" s="79"/>
      <c r="L811" s="79"/>
      <c r="N811" s="102"/>
    </row>
    <row r="812">
      <c r="A812" s="17"/>
      <c r="C812" s="79"/>
      <c r="D812" s="79"/>
      <c r="E812" s="79"/>
      <c r="F812" s="79"/>
      <c r="G812" s="79"/>
      <c r="H812" s="79"/>
      <c r="I812" s="79"/>
      <c r="J812" s="79"/>
      <c r="K812" s="79"/>
      <c r="L812" s="79"/>
      <c r="N812" s="102"/>
    </row>
    <row r="813">
      <c r="A813" s="17"/>
      <c r="C813" s="79"/>
      <c r="D813" s="79"/>
      <c r="E813" s="79"/>
      <c r="F813" s="79"/>
      <c r="G813" s="79"/>
      <c r="H813" s="79"/>
      <c r="I813" s="79"/>
      <c r="J813" s="79"/>
      <c r="K813" s="79"/>
      <c r="L813" s="79"/>
      <c r="N813" s="102"/>
    </row>
    <row r="814">
      <c r="A814" s="17"/>
      <c r="C814" s="79"/>
      <c r="D814" s="79"/>
      <c r="E814" s="79"/>
      <c r="F814" s="79"/>
      <c r="G814" s="79"/>
      <c r="H814" s="79"/>
      <c r="I814" s="79"/>
      <c r="J814" s="79"/>
      <c r="K814" s="79"/>
      <c r="L814" s="79"/>
      <c r="N814" s="102"/>
    </row>
    <row r="815">
      <c r="A815" s="17"/>
      <c r="C815" s="79"/>
      <c r="D815" s="79"/>
      <c r="E815" s="79"/>
      <c r="F815" s="79"/>
      <c r="G815" s="79"/>
      <c r="H815" s="79"/>
      <c r="I815" s="79"/>
      <c r="J815" s="79"/>
      <c r="K815" s="79"/>
      <c r="L815" s="79"/>
      <c r="N815" s="102"/>
    </row>
    <row r="816">
      <c r="A816" s="17"/>
      <c r="C816" s="79"/>
      <c r="D816" s="79"/>
      <c r="E816" s="79"/>
      <c r="F816" s="79"/>
      <c r="G816" s="79"/>
      <c r="H816" s="79"/>
      <c r="I816" s="79"/>
      <c r="J816" s="79"/>
      <c r="K816" s="79"/>
      <c r="L816" s="79"/>
      <c r="N816" s="102"/>
    </row>
    <row r="817">
      <c r="A817" s="17"/>
      <c r="C817" s="79"/>
      <c r="D817" s="79"/>
      <c r="E817" s="79"/>
      <c r="F817" s="79"/>
      <c r="G817" s="79"/>
      <c r="H817" s="79"/>
      <c r="I817" s="79"/>
      <c r="J817" s="79"/>
      <c r="K817" s="79"/>
      <c r="L817" s="79"/>
      <c r="N817" s="102"/>
    </row>
    <row r="818">
      <c r="A818" s="17"/>
      <c r="C818" s="79"/>
      <c r="D818" s="79"/>
      <c r="E818" s="79"/>
      <c r="F818" s="79"/>
      <c r="G818" s="79"/>
      <c r="H818" s="79"/>
      <c r="I818" s="79"/>
      <c r="J818" s="79"/>
      <c r="K818" s="79"/>
      <c r="L818" s="79"/>
      <c r="N818" s="102"/>
    </row>
    <row r="819">
      <c r="A819" s="17"/>
      <c r="C819" s="79"/>
      <c r="D819" s="79"/>
      <c r="E819" s="79"/>
      <c r="F819" s="79"/>
      <c r="G819" s="79"/>
      <c r="H819" s="79"/>
      <c r="I819" s="79"/>
      <c r="J819" s="79"/>
      <c r="K819" s="79"/>
      <c r="L819" s="79"/>
      <c r="N819" s="102"/>
    </row>
    <row r="820">
      <c r="A820" s="17"/>
      <c r="C820" s="79"/>
      <c r="D820" s="79"/>
      <c r="E820" s="79"/>
      <c r="F820" s="79"/>
      <c r="G820" s="79"/>
      <c r="H820" s="79"/>
      <c r="I820" s="79"/>
      <c r="J820" s="79"/>
      <c r="K820" s="79"/>
      <c r="L820" s="79"/>
      <c r="N820" s="102"/>
    </row>
    <row r="821">
      <c r="A821" s="17"/>
      <c r="C821" s="79"/>
      <c r="D821" s="79"/>
      <c r="E821" s="79"/>
      <c r="F821" s="79"/>
      <c r="G821" s="79"/>
      <c r="H821" s="79"/>
      <c r="I821" s="79"/>
      <c r="J821" s="79"/>
      <c r="K821" s="79"/>
      <c r="L821" s="79"/>
      <c r="N821" s="102"/>
    </row>
    <row r="822">
      <c r="A822" s="17"/>
      <c r="C822" s="79"/>
      <c r="D822" s="79"/>
      <c r="E822" s="79"/>
      <c r="F822" s="79"/>
      <c r="G822" s="79"/>
      <c r="H822" s="79"/>
      <c r="I822" s="79"/>
      <c r="J822" s="79"/>
      <c r="K822" s="79"/>
      <c r="L822" s="79"/>
      <c r="N822" s="102"/>
    </row>
    <row r="823">
      <c r="A823" s="17"/>
      <c r="C823" s="79"/>
      <c r="D823" s="79"/>
      <c r="E823" s="79"/>
      <c r="F823" s="79"/>
      <c r="G823" s="79"/>
      <c r="H823" s="79"/>
      <c r="I823" s="79"/>
      <c r="J823" s="79"/>
      <c r="K823" s="79"/>
      <c r="L823" s="79"/>
      <c r="N823" s="102"/>
    </row>
    <row r="824">
      <c r="A824" s="17"/>
      <c r="C824" s="79"/>
      <c r="D824" s="79"/>
      <c r="E824" s="79"/>
      <c r="F824" s="79"/>
      <c r="G824" s="79"/>
      <c r="H824" s="79"/>
      <c r="I824" s="79"/>
      <c r="J824" s="79"/>
      <c r="K824" s="79"/>
      <c r="L824" s="79"/>
      <c r="N824" s="102"/>
    </row>
    <row r="825">
      <c r="A825" s="17"/>
      <c r="C825" s="79"/>
      <c r="D825" s="79"/>
      <c r="E825" s="79"/>
      <c r="F825" s="79"/>
      <c r="G825" s="79"/>
      <c r="H825" s="79"/>
      <c r="I825" s="79"/>
      <c r="J825" s="79"/>
      <c r="K825" s="79"/>
      <c r="L825" s="79"/>
      <c r="N825" s="102"/>
    </row>
    <row r="826">
      <c r="A826" s="17"/>
      <c r="C826" s="79"/>
      <c r="D826" s="79"/>
      <c r="E826" s="79"/>
      <c r="F826" s="79"/>
      <c r="G826" s="79"/>
      <c r="H826" s="79"/>
      <c r="I826" s="79"/>
      <c r="J826" s="79"/>
      <c r="K826" s="79"/>
      <c r="L826" s="79"/>
      <c r="N826" s="102"/>
    </row>
    <row r="827">
      <c r="A827" s="17"/>
      <c r="C827" s="79"/>
      <c r="D827" s="79"/>
      <c r="E827" s="79"/>
      <c r="F827" s="79"/>
      <c r="G827" s="79"/>
      <c r="H827" s="79"/>
      <c r="I827" s="79"/>
      <c r="J827" s="79"/>
      <c r="K827" s="79"/>
      <c r="L827" s="79"/>
      <c r="N827" s="102"/>
    </row>
    <row r="828">
      <c r="A828" s="17"/>
      <c r="C828" s="79"/>
      <c r="D828" s="79"/>
      <c r="E828" s="79"/>
      <c r="F828" s="79"/>
      <c r="G828" s="79"/>
      <c r="H828" s="79"/>
      <c r="I828" s="79"/>
      <c r="J828" s="79"/>
      <c r="K828" s="79"/>
      <c r="L828" s="79"/>
      <c r="N828" s="102"/>
    </row>
    <row r="829">
      <c r="A829" s="17"/>
      <c r="C829" s="79"/>
      <c r="D829" s="79"/>
      <c r="E829" s="79"/>
      <c r="F829" s="79"/>
      <c r="G829" s="79"/>
      <c r="H829" s="79"/>
      <c r="I829" s="79"/>
      <c r="J829" s="79"/>
      <c r="K829" s="79"/>
      <c r="L829" s="79"/>
      <c r="N829" s="102"/>
    </row>
    <row r="830">
      <c r="A830" s="17"/>
      <c r="C830" s="79"/>
      <c r="D830" s="79"/>
      <c r="E830" s="79"/>
      <c r="F830" s="79"/>
      <c r="G830" s="79"/>
      <c r="H830" s="79"/>
      <c r="I830" s="79"/>
      <c r="J830" s="79"/>
      <c r="K830" s="79"/>
      <c r="L830" s="79"/>
      <c r="N830" s="102"/>
    </row>
    <row r="831">
      <c r="A831" s="17"/>
      <c r="C831" s="79"/>
      <c r="D831" s="79"/>
      <c r="E831" s="79"/>
      <c r="F831" s="79"/>
      <c r="G831" s="79"/>
      <c r="H831" s="79"/>
      <c r="I831" s="79"/>
      <c r="J831" s="79"/>
      <c r="K831" s="79"/>
      <c r="L831" s="79"/>
      <c r="N831" s="102"/>
    </row>
    <row r="832">
      <c r="A832" s="17"/>
      <c r="C832" s="79"/>
      <c r="D832" s="79"/>
      <c r="E832" s="79"/>
      <c r="F832" s="79"/>
      <c r="G832" s="79"/>
      <c r="H832" s="79"/>
      <c r="I832" s="79"/>
      <c r="J832" s="79"/>
      <c r="K832" s="79"/>
      <c r="L832" s="79"/>
      <c r="N832" s="102"/>
    </row>
    <row r="833">
      <c r="A833" s="17"/>
      <c r="C833" s="79"/>
      <c r="D833" s="79"/>
      <c r="E833" s="79"/>
      <c r="F833" s="79"/>
      <c r="G833" s="79"/>
      <c r="H833" s="79"/>
      <c r="I833" s="79"/>
      <c r="J833" s="79"/>
      <c r="K833" s="79"/>
      <c r="L833" s="79"/>
      <c r="N833" s="102"/>
    </row>
    <row r="834">
      <c r="A834" s="17"/>
      <c r="C834" s="79"/>
      <c r="D834" s="79"/>
      <c r="E834" s="79"/>
      <c r="F834" s="79"/>
      <c r="G834" s="79"/>
      <c r="H834" s="79"/>
      <c r="I834" s="79"/>
      <c r="J834" s="79"/>
      <c r="K834" s="79"/>
      <c r="L834" s="79"/>
      <c r="N834" s="102"/>
    </row>
    <row r="835">
      <c r="A835" s="17"/>
      <c r="C835" s="79"/>
      <c r="D835" s="79"/>
      <c r="E835" s="79"/>
      <c r="F835" s="79"/>
      <c r="G835" s="79"/>
      <c r="H835" s="79"/>
      <c r="I835" s="79"/>
      <c r="J835" s="79"/>
      <c r="K835" s="79"/>
      <c r="L835" s="79"/>
      <c r="N835" s="102"/>
    </row>
    <row r="836">
      <c r="A836" s="17"/>
      <c r="C836" s="79"/>
      <c r="D836" s="79"/>
      <c r="E836" s="79"/>
      <c r="F836" s="79"/>
      <c r="G836" s="79"/>
      <c r="H836" s="79"/>
      <c r="I836" s="79"/>
      <c r="J836" s="79"/>
      <c r="K836" s="79"/>
      <c r="L836" s="79"/>
      <c r="N836" s="102"/>
    </row>
    <row r="837">
      <c r="A837" s="17"/>
      <c r="C837" s="79"/>
      <c r="D837" s="79"/>
      <c r="E837" s="79"/>
      <c r="F837" s="79"/>
      <c r="G837" s="79"/>
      <c r="H837" s="79"/>
      <c r="I837" s="79"/>
      <c r="J837" s="79"/>
      <c r="K837" s="79"/>
      <c r="L837" s="79"/>
      <c r="N837" s="102"/>
    </row>
    <row r="838">
      <c r="A838" s="17"/>
      <c r="C838" s="79"/>
      <c r="D838" s="79"/>
      <c r="E838" s="79"/>
      <c r="F838" s="79"/>
      <c r="G838" s="79"/>
      <c r="H838" s="79"/>
      <c r="I838" s="79"/>
      <c r="J838" s="79"/>
      <c r="K838" s="79"/>
      <c r="L838" s="79"/>
      <c r="N838" s="102"/>
    </row>
    <row r="839">
      <c r="A839" s="17"/>
      <c r="C839" s="79"/>
      <c r="D839" s="79"/>
      <c r="E839" s="79"/>
      <c r="F839" s="79"/>
      <c r="G839" s="79"/>
      <c r="H839" s="79"/>
      <c r="I839" s="79"/>
      <c r="J839" s="79"/>
      <c r="K839" s="79"/>
      <c r="L839" s="79"/>
      <c r="N839" s="102"/>
    </row>
    <row r="840">
      <c r="A840" s="17"/>
      <c r="C840" s="79"/>
      <c r="D840" s="79"/>
      <c r="E840" s="79"/>
      <c r="F840" s="79"/>
      <c r="G840" s="79"/>
      <c r="H840" s="79"/>
      <c r="I840" s="79"/>
      <c r="J840" s="79"/>
      <c r="K840" s="79"/>
      <c r="L840" s="79"/>
      <c r="N840" s="102"/>
    </row>
    <row r="841">
      <c r="A841" s="17"/>
      <c r="C841" s="79"/>
      <c r="D841" s="79"/>
      <c r="E841" s="79"/>
      <c r="F841" s="79"/>
      <c r="G841" s="79"/>
      <c r="H841" s="79"/>
      <c r="I841" s="79"/>
      <c r="J841" s="79"/>
      <c r="K841" s="79"/>
      <c r="L841" s="79"/>
      <c r="N841" s="102"/>
    </row>
    <row r="842">
      <c r="A842" s="17"/>
      <c r="C842" s="79"/>
      <c r="D842" s="79"/>
      <c r="E842" s="79"/>
      <c r="F842" s="79"/>
      <c r="G842" s="79"/>
      <c r="H842" s="79"/>
      <c r="I842" s="79"/>
      <c r="J842" s="79"/>
      <c r="K842" s="79"/>
      <c r="L842" s="79"/>
      <c r="N842" s="102"/>
    </row>
    <row r="843">
      <c r="A843" s="17"/>
      <c r="C843" s="79"/>
      <c r="D843" s="79"/>
      <c r="E843" s="79"/>
      <c r="F843" s="79"/>
      <c r="G843" s="79"/>
      <c r="H843" s="79"/>
      <c r="I843" s="79"/>
      <c r="J843" s="79"/>
      <c r="K843" s="79"/>
      <c r="L843" s="79"/>
      <c r="N843" s="102"/>
    </row>
    <row r="844">
      <c r="A844" s="17"/>
      <c r="C844" s="79"/>
      <c r="D844" s="79"/>
      <c r="E844" s="79"/>
      <c r="F844" s="79"/>
      <c r="G844" s="79"/>
      <c r="H844" s="79"/>
      <c r="I844" s="79"/>
      <c r="J844" s="79"/>
      <c r="K844" s="79"/>
      <c r="L844" s="79"/>
      <c r="N844" s="102"/>
    </row>
    <row r="845">
      <c r="A845" s="17"/>
      <c r="C845" s="79"/>
      <c r="D845" s="79"/>
      <c r="E845" s="79"/>
      <c r="F845" s="79"/>
      <c r="G845" s="79"/>
      <c r="H845" s="79"/>
      <c r="I845" s="79"/>
      <c r="J845" s="79"/>
      <c r="K845" s="79"/>
      <c r="L845" s="79"/>
      <c r="N845" s="102"/>
    </row>
    <row r="846">
      <c r="A846" s="17"/>
      <c r="C846" s="79"/>
      <c r="D846" s="79"/>
      <c r="E846" s="79"/>
      <c r="F846" s="79"/>
      <c r="G846" s="79"/>
      <c r="H846" s="79"/>
      <c r="I846" s="79"/>
      <c r="J846" s="79"/>
      <c r="K846" s="79"/>
      <c r="L846" s="79"/>
      <c r="N846" s="102"/>
    </row>
    <row r="847">
      <c r="A847" s="17"/>
      <c r="C847" s="79"/>
      <c r="D847" s="79"/>
      <c r="E847" s="79"/>
      <c r="F847" s="79"/>
      <c r="G847" s="79"/>
      <c r="H847" s="79"/>
      <c r="I847" s="79"/>
      <c r="J847" s="79"/>
      <c r="K847" s="79"/>
      <c r="L847" s="79"/>
      <c r="N847" s="102"/>
    </row>
    <row r="848">
      <c r="A848" s="17"/>
      <c r="C848" s="79"/>
      <c r="D848" s="79"/>
      <c r="E848" s="79"/>
      <c r="F848" s="79"/>
      <c r="G848" s="79"/>
      <c r="H848" s="79"/>
      <c r="I848" s="79"/>
      <c r="J848" s="79"/>
      <c r="K848" s="79"/>
      <c r="L848" s="79"/>
      <c r="N848" s="102"/>
    </row>
    <row r="849">
      <c r="A849" s="17"/>
      <c r="C849" s="79"/>
      <c r="D849" s="79"/>
      <c r="E849" s="79"/>
      <c r="F849" s="79"/>
      <c r="G849" s="79"/>
      <c r="H849" s="79"/>
      <c r="I849" s="79"/>
      <c r="J849" s="79"/>
      <c r="K849" s="79"/>
      <c r="L849" s="79"/>
      <c r="N849" s="102"/>
    </row>
    <row r="850">
      <c r="A850" s="17"/>
      <c r="C850" s="79"/>
      <c r="D850" s="79"/>
      <c r="E850" s="79"/>
      <c r="F850" s="79"/>
      <c r="G850" s="79"/>
      <c r="H850" s="79"/>
      <c r="I850" s="79"/>
      <c r="J850" s="79"/>
      <c r="K850" s="79"/>
      <c r="L850" s="79"/>
      <c r="N850" s="102"/>
    </row>
    <row r="851">
      <c r="A851" s="17"/>
      <c r="C851" s="79"/>
      <c r="D851" s="79"/>
      <c r="E851" s="79"/>
      <c r="F851" s="79"/>
      <c r="G851" s="79"/>
      <c r="H851" s="79"/>
      <c r="I851" s="79"/>
      <c r="J851" s="79"/>
      <c r="K851" s="79"/>
      <c r="L851" s="79"/>
      <c r="N851" s="102"/>
    </row>
    <row r="852">
      <c r="A852" s="17"/>
      <c r="C852" s="79"/>
      <c r="D852" s="79"/>
      <c r="E852" s="79"/>
      <c r="F852" s="79"/>
      <c r="G852" s="79"/>
      <c r="H852" s="79"/>
      <c r="I852" s="79"/>
      <c r="J852" s="79"/>
      <c r="K852" s="79"/>
      <c r="L852" s="79"/>
      <c r="N852" s="102"/>
    </row>
    <row r="853">
      <c r="A853" s="17"/>
      <c r="C853" s="79"/>
      <c r="D853" s="79"/>
      <c r="E853" s="79"/>
      <c r="F853" s="79"/>
      <c r="G853" s="79"/>
      <c r="H853" s="79"/>
      <c r="I853" s="79"/>
      <c r="J853" s="79"/>
      <c r="K853" s="79"/>
      <c r="L853" s="79"/>
      <c r="N853" s="102"/>
    </row>
    <row r="854">
      <c r="A854" s="17"/>
      <c r="C854" s="79"/>
      <c r="D854" s="79"/>
      <c r="E854" s="79"/>
      <c r="F854" s="79"/>
      <c r="G854" s="79"/>
      <c r="H854" s="79"/>
      <c r="I854" s="79"/>
      <c r="J854" s="79"/>
      <c r="K854" s="79"/>
      <c r="L854" s="79"/>
      <c r="N854" s="102"/>
    </row>
    <row r="855">
      <c r="A855" s="17"/>
      <c r="C855" s="79"/>
      <c r="D855" s="79"/>
      <c r="E855" s="79"/>
      <c r="F855" s="79"/>
      <c r="G855" s="79"/>
      <c r="H855" s="79"/>
      <c r="I855" s="79"/>
      <c r="J855" s="79"/>
      <c r="K855" s="79"/>
      <c r="L855" s="79"/>
      <c r="N855" s="102"/>
    </row>
    <row r="856">
      <c r="A856" s="17"/>
      <c r="C856" s="79"/>
      <c r="D856" s="79"/>
      <c r="E856" s="79"/>
      <c r="F856" s="79"/>
      <c r="G856" s="79"/>
      <c r="H856" s="79"/>
      <c r="I856" s="79"/>
      <c r="J856" s="79"/>
      <c r="K856" s="79"/>
      <c r="L856" s="79"/>
      <c r="N856" s="102"/>
    </row>
    <row r="857">
      <c r="A857" s="17"/>
      <c r="C857" s="79"/>
      <c r="D857" s="79"/>
      <c r="E857" s="79"/>
      <c r="F857" s="79"/>
      <c r="G857" s="79"/>
      <c r="H857" s="79"/>
      <c r="I857" s="79"/>
      <c r="J857" s="79"/>
      <c r="K857" s="79"/>
      <c r="L857" s="79"/>
      <c r="N857" s="102"/>
    </row>
    <row r="858">
      <c r="A858" s="17"/>
      <c r="C858" s="79"/>
      <c r="D858" s="79"/>
      <c r="E858" s="79"/>
      <c r="F858" s="79"/>
      <c r="G858" s="79"/>
      <c r="H858" s="79"/>
      <c r="I858" s="79"/>
      <c r="J858" s="79"/>
      <c r="K858" s="79"/>
      <c r="L858" s="79"/>
      <c r="N858" s="102"/>
    </row>
    <row r="859">
      <c r="A859" s="17"/>
      <c r="C859" s="79"/>
      <c r="D859" s="79"/>
      <c r="E859" s="79"/>
      <c r="F859" s="79"/>
      <c r="G859" s="79"/>
      <c r="H859" s="79"/>
      <c r="I859" s="79"/>
      <c r="J859" s="79"/>
      <c r="K859" s="79"/>
      <c r="L859" s="79"/>
      <c r="N859" s="102"/>
    </row>
    <row r="860">
      <c r="A860" s="17"/>
      <c r="C860" s="79"/>
      <c r="D860" s="79"/>
      <c r="E860" s="79"/>
      <c r="F860" s="79"/>
      <c r="G860" s="79"/>
      <c r="H860" s="79"/>
      <c r="I860" s="79"/>
      <c r="J860" s="79"/>
      <c r="K860" s="79"/>
      <c r="L860" s="79"/>
      <c r="N860" s="102"/>
    </row>
    <row r="861">
      <c r="A861" s="17"/>
      <c r="C861" s="79"/>
      <c r="D861" s="79"/>
      <c r="E861" s="79"/>
      <c r="F861" s="79"/>
      <c r="G861" s="79"/>
      <c r="H861" s="79"/>
      <c r="I861" s="79"/>
      <c r="J861" s="79"/>
      <c r="K861" s="79"/>
      <c r="L861" s="79"/>
      <c r="N861" s="102"/>
    </row>
    <row r="862">
      <c r="A862" s="17"/>
      <c r="C862" s="79"/>
      <c r="D862" s="79"/>
      <c r="E862" s="79"/>
      <c r="F862" s="79"/>
      <c r="G862" s="79"/>
      <c r="H862" s="79"/>
      <c r="I862" s="79"/>
      <c r="J862" s="79"/>
      <c r="K862" s="79"/>
      <c r="L862" s="79"/>
      <c r="N862" s="102"/>
    </row>
    <row r="863">
      <c r="A863" s="17"/>
      <c r="C863" s="79"/>
      <c r="D863" s="79"/>
      <c r="E863" s="79"/>
      <c r="F863" s="79"/>
      <c r="G863" s="79"/>
      <c r="H863" s="79"/>
      <c r="I863" s="79"/>
      <c r="J863" s="79"/>
      <c r="K863" s="79"/>
      <c r="L863" s="79"/>
      <c r="N863" s="102"/>
    </row>
    <row r="864">
      <c r="A864" s="17"/>
      <c r="C864" s="79"/>
      <c r="D864" s="79"/>
      <c r="E864" s="79"/>
      <c r="F864" s="79"/>
      <c r="G864" s="79"/>
      <c r="H864" s="79"/>
      <c r="I864" s="79"/>
      <c r="J864" s="79"/>
      <c r="K864" s="79"/>
      <c r="L864" s="79"/>
      <c r="N864" s="102"/>
    </row>
    <row r="865">
      <c r="A865" s="17"/>
      <c r="C865" s="79"/>
      <c r="D865" s="79"/>
      <c r="E865" s="79"/>
      <c r="F865" s="79"/>
      <c r="G865" s="79"/>
      <c r="H865" s="79"/>
      <c r="I865" s="79"/>
      <c r="J865" s="79"/>
      <c r="K865" s="79"/>
      <c r="L865" s="79"/>
      <c r="N865" s="102"/>
    </row>
    <row r="866">
      <c r="A866" s="17"/>
      <c r="C866" s="79"/>
      <c r="D866" s="79"/>
      <c r="E866" s="79"/>
      <c r="F866" s="79"/>
      <c r="G866" s="79"/>
      <c r="H866" s="79"/>
      <c r="I866" s="79"/>
      <c r="J866" s="79"/>
      <c r="K866" s="79"/>
      <c r="L866" s="79"/>
      <c r="N866" s="102"/>
    </row>
    <row r="867">
      <c r="A867" s="17"/>
      <c r="C867" s="79"/>
      <c r="D867" s="79"/>
      <c r="E867" s="79"/>
      <c r="F867" s="79"/>
      <c r="G867" s="79"/>
      <c r="H867" s="79"/>
      <c r="I867" s="79"/>
      <c r="J867" s="79"/>
      <c r="K867" s="79"/>
      <c r="L867" s="79"/>
      <c r="N867" s="102"/>
    </row>
    <row r="868">
      <c r="A868" s="17"/>
      <c r="C868" s="79"/>
      <c r="D868" s="79"/>
      <c r="E868" s="79"/>
      <c r="F868" s="79"/>
      <c r="G868" s="79"/>
      <c r="H868" s="79"/>
      <c r="I868" s="79"/>
      <c r="J868" s="79"/>
      <c r="K868" s="79"/>
      <c r="L868" s="79"/>
      <c r="N868" s="102"/>
    </row>
    <row r="869">
      <c r="A869" s="17"/>
      <c r="C869" s="79"/>
      <c r="D869" s="79"/>
      <c r="E869" s="79"/>
      <c r="F869" s="79"/>
      <c r="G869" s="79"/>
      <c r="H869" s="79"/>
      <c r="I869" s="79"/>
      <c r="J869" s="79"/>
      <c r="K869" s="79"/>
      <c r="L869" s="79"/>
      <c r="N869" s="102"/>
    </row>
    <row r="870">
      <c r="A870" s="17"/>
      <c r="C870" s="79"/>
      <c r="D870" s="79"/>
      <c r="E870" s="79"/>
      <c r="F870" s="79"/>
      <c r="G870" s="79"/>
      <c r="H870" s="79"/>
      <c r="I870" s="79"/>
      <c r="J870" s="79"/>
      <c r="K870" s="79"/>
      <c r="L870" s="79"/>
      <c r="N870" s="102"/>
    </row>
    <row r="871">
      <c r="A871" s="17"/>
      <c r="C871" s="79"/>
      <c r="D871" s="79"/>
      <c r="E871" s="79"/>
      <c r="F871" s="79"/>
      <c r="G871" s="79"/>
      <c r="H871" s="79"/>
      <c r="I871" s="79"/>
      <c r="J871" s="79"/>
      <c r="K871" s="79"/>
      <c r="L871" s="79"/>
      <c r="N871" s="102"/>
    </row>
    <row r="872">
      <c r="A872" s="17"/>
      <c r="C872" s="79"/>
      <c r="D872" s="79"/>
      <c r="E872" s="79"/>
      <c r="F872" s="79"/>
      <c r="G872" s="79"/>
      <c r="H872" s="79"/>
      <c r="I872" s="79"/>
      <c r="J872" s="79"/>
      <c r="K872" s="79"/>
      <c r="L872" s="79"/>
      <c r="N872" s="102"/>
    </row>
    <row r="873">
      <c r="A873" s="17"/>
      <c r="C873" s="79"/>
      <c r="D873" s="79"/>
      <c r="E873" s="79"/>
      <c r="F873" s="79"/>
      <c r="G873" s="79"/>
      <c r="H873" s="79"/>
      <c r="I873" s="79"/>
      <c r="J873" s="79"/>
      <c r="K873" s="79"/>
      <c r="L873" s="79"/>
      <c r="N873" s="102"/>
    </row>
    <row r="874">
      <c r="A874" s="17"/>
      <c r="C874" s="79"/>
      <c r="D874" s="79"/>
      <c r="E874" s="79"/>
      <c r="F874" s="79"/>
      <c r="G874" s="79"/>
      <c r="H874" s="79"/>
      <c r="I874" s="79"/>
      <c r="J874" s="79"/>
      <c r="K874" s="79"/>
      <c r="L874" s="79"/>
      <c r="N874" s="102"/>
    </row>
    <row r="875">
      <c r="A875" s="17"/>
      <c r="C875" s="79"/>
      <c r="D875" s="79"/>
      <c r="E875" s="79"/>
      <c r="F875" s="79"/>
      <c r="G875" s="79"/>
      <c r="H875" s="79"/>
      <c r="I875" s="79"/>
      <c r="J875" s="79"/>
      <c r="K875" s="79"/>
      <c r="L875" s="79"/>
      <c r="N875" s="102"/>
    </row>
    <row r="876">
      <c r="A876" s="17"/>
      <c r="C876" s="79"/>
      <c r="D876" s="79"/>
      <c r="E876" s="79"/>
      <c r="F876" s="79"/>
      <c r="G876" s="79"/>
      <c r="H876" s="79"/>
      <c r="I876" s="79"/>
      <c r="J876" s="79"/>
      <c r="K876" s="79"/>
      <c r="L876" s="79"/>
      <c r="N876" s="102"/>
    </row>
    <row r="877">
      <c r="A877" s="17"/>
      <c r="C877" s="79"/>
      <c r="D877" s="79"/>
      <c r="E877" s="79"/>
      <c r="F877" s="79"/>
      <c r="G877" s="79"/>
      <c r="H877" s="79"/>
      <c r="I877" s="79"/>
      <c r="J877" s="79"/>
      <c r="K877" s="79"/>
      <c r="L877" s="79"/>
      <c r="N877" s="102"/>
    </row>
    <row r="878">
      <c r="A878" s="17"/>
      <c r="C878" s="79"/>
      <c r="D878" s="79"/>
      <c r="E878" s="79"/>
      <c r="F878" s="79"/>
      <c r="G878" s="79"/>
      <c r="H878" s="79"/>
      <c r="I878" s="79"/>
      <c r="J878" s="79"/>
      <c r="K878" s="79"/>
      <c r="L878" s="79"/>
      <c r="N878" s="102"/>
    </row>
    <row r="879">
      <c r="A879" s="17"/>
      <c r="C879" s="79"/>
      <c r="D879" s="79"/>
      <c r="E879" s="79"/>
      <c r="F879" s="79"/>
      <c r="G879" s="79"/>
      <c r="H879" s="79"/>
      <c r="I879" s="79"/>
      <c r="J879" s="79"/>
      <c r="K879" s="79"/>
      <c r="L879" s="79"/>
      <c r="N879" s="102"/>
    </row>
    <row r="880">
      <c r="A880" s="17"/>
      <c r="C880" s="79"/>
      <c r="D880" s="79"/>
      <c r="E880" s="79"/>
      <c r="F880" s="79"/>
      <c r="G880" s="79"/>
      <c r="H880" s="79"/>
      <c r="I880" s="79"/>
      <c r="J880" s="79"/>
      <c r="K880" s="79"/>
      <c r="L880" s="79"/>
      <c r="N880" s="102"/>
    </row>
    <row r="881">
      <c r="A881" s="17"/>
      <c r="C881" s="79"/>
      <c r="D881" s="79"/>
      <c r="E881" s="79"/>
      <c r="F881" s="79"/>
      <c r="G881" s="79"/>
      <c r="H881" s="79"/>
      <c r="I881" s="79"/>
      <c r="J881" s="79"/>
      <c r="K881" s="79"/>
      <c r="L881" s="79"/>
      <c r="N881" s="102"/>
    </row>
    <row r="882">
      <c r="A882" s="17"/>
      <c r="C882" s="79"/>
      <c r="D882" s="79"/>
      <c r="E882" s="79"/>
      <c r="F882" s="79"/>
      <c r="G882" s="79"/>
      <c r="H882" s="79"/>
      <c r="I882" s="79"/>
      <c r="J882" s="79"/>
      <c r="K882" s="79"/>
      <c r="L882" s="79"/>
      <c r="N882" s="102"/>
    </row>
    <row r="883">
      <c r="A883" s="17"/>
      <c r="C883" s="79"/>
      <c r="D883" s="79"/>
      <c r="E883" s="79"/>
      <c r="F883" s="79"/>
      <c r="G883" s="79"/>
      <c r="H883" s="79"/>
      <c r="I883" s="79"/>
      <c r="J883" s="79"/>
      <c r="K883" s="79"/>
      <c r="L883" s="79"/>
      <c r="N883" s="102"/>
    </row>
    <row r="884">
      <c r="A884" s="17"/>
      <c r="C884" s="79"/>
      <c r="D884" s="79"/>
      <c r="E884" s="79"/>
      <c r="F884" s="79"/>
      <c r="G884" s="79"/>
      <c r="H884" s="79"/>
      <c r="I884" s="79"/>
      <c r="J884" s="79"/>
      <c r="K884" s="79"/>
      <c r="L884" s="79"/>
      <c r="N884" s="102"/>
    </row>
    <row r="885">
      <c r="A885" s="17"/>
      <c r="C885" s="79"/>
      <c r="D885" s="79"/>
      <c r="E885" s="79"/>
      <c r="F885" s="79"/>
      <c r="G885" s="79"/>
      <c r="H885" s="79"/>
      <c r="I885" s="79"/>
      <c r="J885" s="79"/>
      <c r="K885" s="79"/>
      <c r="L885" s="79"/>
      <c r="N885" s="102"/>
    </row>
    <row r="886">
      <c r="A886" s="17"/>
      <c r="C886" s="79"/>
      <c r="D886" s="79"/>
      <c r="E886" s="79"/>
      <c r="F886" s="79"/>
      <c r="G886" s="79"/>
      <c r="H886" s="79"/>
      <c r="I886" s="79"/>
      <c r="J886" s="79"/>
      <c r="K886" s="79"/>
      <c r="L886" s="79"/>
      <c r="N886" s="102"/>
    </row>
    <row r="887">
      <c r="A887" s="17"/>
      <c r="C887" s="79"/>
      <c r="D887" s="79"/>
      <c r="E887" s="79"/>
      <c r="F887" s="79"/>
      <c r="G887" s="79"/>
      <c r="H887" s="79"/>
      <c r="I887" s="79"/>
      <c r="J887" s="79"/>
      <c r="K887" s="79"/>
      <c r="L887" s="79"/>
      <c r="N887" s="102"/>
    </row>
    <row r="888">
      <c r="A888" s="17"/>
      <c r="C888" s="79"/>
      <c r="D888" s="79"/>
      <c r="E888" s="79"/>
      <c r="F888" s="79"/>
      <c r="G888" s="79"/>
      <c r="H888" s="79"/>
      <c r="I888" s="79"/>
      <c r="J888" s="79"/>
      <c r="K888" s="79"/>
      <c r="L888" s="79"/>
      <c r="N888" s="102"/>
    </row>
    <row r="889">
      <c r="A889" s="17"/>
      <c r="C889" s="79"/>
      <c r="D889" s="79"/>
      <c r="E889" s="79"/>
      <c r="F889" s="79"/>
      <c r="G889" s="79"/>
      <c r="H889" s="79"/>
      <c r="I889" s="79"/>
      <c r="J889" s="79"/>
      <c r="K889" s="79"/>
      <c r="L889" s="79"/>
      <c r="N889" s="102"/>
    </row>
    <row r="890">
      <c r="A890" s="17"/>
      <c r="C890" s="79"/>
      <c r="D890" s="79"/>
      <c r="E890" s="79"/>
      <c r="F890" s="79"/>
      <c r="G890" s="79"/>
      <c r="H890" s="79"/>
      <c r="I890" s="79"/>
      <c r="J890" s="79"/>
      <c r="K890" s="79"/>
      <c r="L890" s="79"/>
      <c r="N890" s="102"/>
    </row>
    <row r="891">
      <c r="A891" s="17"/>
      <c r="C891" s="79"/>
      <c r="D891" s="79"/>
      <c r="E891" s="79"/>
      <c r="F891" s="79"/>
      <c r="G891" s="79"/>
      <c r="H891" s="79"/>
      <c r="I891" s="79"/>
      <c r="J891" s="79"/>
      <c r="K891" s="79"/>
      <c r="L891" s="79"/>
      <c r="N891" s="102"/>
    </row>
    <row r="892">
      <c r="A892" s="17"/>
      <c r="C892" s="79"/>
      <c r="D892" s="79"/>
      <c r="E892" s="79"/>
      <c r="F892" s="79"/>
      <c r="G892" s="79"/>
      <c r="H892" s="79"/>
      <c r="I892" s="79"/>
      <c r="J892" s="79"/>
      <c r="K892" s="79"/>
      <c r="L892" s="79"/>
      <c r="N892" s="102"/>
    </row>
    <row r="893">
      <c r="A893" s="17"/>
      <c r="C893" s="79"/>
      <c r="D893" s="79"/>
      <c r="E893" s="79"/>
      <c r="F893" s="79"/>
      <c r="G893" s="79"/>
      <c r="H893" s="79"/>
      <c r="I893" s="79"/>
      <c r="J893" s="79"/>
      <c r="K893" s="79"/>
      <c r="L893" s="79"/>
      <c r="N893" s="102"/>
    </row>
    <row r="894">
      <c r="A894" s="17"/>
      <c r="C894" s="79"/>
      <c r="D894" s="79"/>
      <c r="E894" s="79"/>
      <c r="F894" s="79"/>
      <c r="G894" s="79"/>
      <c r="H894" s="79"/>
      <c r="I894" s="79"/>
      <c r="J894" s="79"/>
      <c r="K894" s="79"/>
      <c r="L894" s="79"/>
      <c r="N894" s="102"/>
    </row>
    <row r="895">
      <c r="A895" s="17"/>
      <c r="C895" s="79"/>
      <c r="D895" s="79"/>
      <c r="E895" s="79"/>
      <c r="F895" s="79"/>
      <c r="G895" s="79"/>
      <c r="H895" s="79"/>
      <c r="I895" s="79"/>
      <c r="J895" s="79"/>
      <c r="K895" s="79"/>
      <c r="L895" s="79"/>
      <c r="N895" s="102"/>
    </row>
    <row r="896">
      <c r="A896" s="17"/>
      <c r="C896" s="79"/>
      <c r="D896" s="79"/>
      <c r="E896" s="79"/>
      <c r="F896" s="79"/>
      <c r="G896" s="79"/>
      <c r="H896" s="79"/>
      <c r="I896" s="79"/>
      <c r="J896" s="79"/>
      <c r="K896" s="79"/>
      <c r="L896" s="79"/>
      <c r="N896" s="102"/>
    </row>
    <row r="897">
      <c r="A897" s="17"/>
      <c r="C897" s="79"/>
      <c r="D897" s="79"/>
      <c r="E897" s="79"/>
      <c r="F897" s="79"/>
      <c r="G897" s="79"/>
      <c r="H897" s="79"/>
      <c r="I897" s="79"/>
      <c r="J897" s="79"/>
      <c r="K897" s="79"/>
      <c r="L897" s="79"/>
      <c r="N897" s="102"/>
    </row>
    <row r="898">
      <c r="A898" s="17"/>
      <c r="C898" s="79"/>
      <c r="D898" s="79"/>
      <c r="E898" s="79"/>
      <c r="F898" s="79"/>
      <c r="G898" s="79"/>
      <c r="H898" s="79"/>
      <c r="I898" s="79"/>
      <c r="J898" s="79"/>
      <c r="K898" s="79"/>
      <c r="L898" s="79"/>
      <c r="N898" s="102"/>
    </row>
    <row r="899">
      <c r="A899" s="17"/>
      <c r="C899" s="79"/>
      <c r="D899" s="79"/>
      <c r="E899" s="79"/>
      <c r="F899" s="79"/>
      <c r="G899" s="79"/>
      <c r="H899" s="79"/>
      <c r="I899" s="79"/>
      <c r="J899" s="79"/>
      <c r="K899" s="79"/>
      <c r="L899" s="79"/>
      <c r="N899" s="102"/>
    </row>
    <row r="900">
      <c r="A900" s="17"/>
      <c r="C900" s="79"/>
      <c r="D900" s="79"/>
      <c r="E900" s="79"/>
      <c r="F900" s="79"/>
      <c r="G900" s="79"/>
      <c r="H900" s="79"/>
      <c r="I900" s="79"/>
      <c r="J900" s="79"/>
      <c r="K900" s="79"/>
      <c r="L900" s="79"/>
      <c r="N900" s="102"/>
    </row>
    <row r="901">
      <c r="A901" s="17"/>
      <c r="C901" s="79"/>
      <c r="D901" s="79"/>
      <c r="E901" s="79"/>
      <c r="F901" s="79"/>
      <c r="G901" s="79"/>
      <c r="H901" s="79"/>
      <c r="I901" s="79"/>
      <c r="J901" s="79"/>
      <c r="K901" s="79"/>
      <c r="L901" s="79"/>
      <c r="N901" s="102"/>
    </row>
    <row r="902">
      <c r="A902" s="17"/>
      <c r="C902" s="79"/>
      <c r="D902" s="79"/>
      <c r="E902" s="79"/>
      <c r="F902" s="79"/>
      <c r="G902" s="79"/>
      <c r="H902" s="79"/>
      <c r="I902" s="79"/>
      <c r="J902" s="79"/>
      <c r="K902" s="79"/>
      <c r="L902" s="79"/>
      <c r="N902" s="102"/>
    </row>
    <row r="903">
      <c r="A903" s="17"/>
      <c r="C903" s="79"/>
      <c r="D903" s="79"/>
      <c r="E903" s="79"/>
      <c r="F903" s="79"/>
      <c r="G903" s="79"/>
      <c r="H903" s="79"/>
      <c r="I903" s="79"/>
      <c r="J903" s="79"/>
      <c r="K903" s="79"/>
      <c r="L903" s="79"/>
      <c r="N903" s="102"/>
    </row>
    <row r="904">
      <c r="A904" s="17"/>
      <c r="C904" s="79"/>
      <c r="D904" s="79"/>
      <c r="E904" s="79"/>
      <c r="F904" s="79"/>
      <c r="G904" s="79"/>
      <c r="H904" s="79"/>
      <c r="I904" s="79"/>
      <c r="J904" s="79"/>
      <c r="K904" s="79"/>
      <c r="L904" s="79"/>
      <c r="N904" s="102"/>
    </row>
    <row r="905">
      <c r="A905" s="17"/>
      <c r="C905" s="79"/>
      <c r="D905" s="79"/>
      <c r="E905" s="79"/>
      <c r="F905" s="79"/>
      <c r="G905" s="79"/>
      <c r="H905" s="79"/>
      <c r="I905" s="79"/>
      <c r="J905" s="79"/>
      <c r="K905" s="79"/>
      <c r="L905" s="79"/>
      <c r="N905" s="102"/>
    </row>
    <row r="906">
      <c r="A906" s="17"/>
      <c r="C906" s="79"/>
      <c r="D906" s="79"/>
      <c r="E906" s="79"/>
      <c r="F906" s="79"/>
      <c r="G906" s="79"/>
      <c r="H906" s="79"/>
      <c r="I906" s="79"/>
      <c r="J906" s="79"/>
      <c r="K906" s="79"/>
      <c r="L906" s="79"/>
      <c r="N906" s="102"/>
    </row>
    <row r="907">
      <c r="A907" s="17"/>
      <c r="C907" s="79"/>
      <c r="D907" s="79"/>
      <c r="E907" s="79"/>
      <c r="F907" s="79"/>
      <c r="G907" s="79"/>
      <c r="H907" s="79"/>
      <c r="I907" s="79"/>
      <c r="J907" s="79"/>
      <c r="K907" s="79"/>
      <c r="L907" s="79"/>
      <c r="N907" s="102"/>
    </row>
    <row r="908">
      <c r="A908" s="17"/>
      <c r="C908" s="79"/>
      <c r="D908" s="79"/>
      <c r="E908" s="79"/>
      <c r="F908" s="79"/>
      <c r="G908" s="79"/>
      <c r="H908" s="79"/>
      <c r="I908" s="79"/>
      <c r="J908" s="79"/>
      <c r="K908" s="79"/>
      <c r="L908" s="79"/>
      <c r="N908" s="102"/>
    </row>
    <row r="909">
      <c r="A909" s="17"/>
      <c r="C909" s="79"/>
      <c r="D909" s="79"/>
      <c r="E909" s="79"/>
      <c r="F909" s="79"/>
      <c r="G909" s="79"/>
      <c r="H909" s="79"/>
      <c r="I909" s="79"/>
      <c r="J909" s="79"/>
      <c r="K909" s="79"/>
      <c r="L909" s="79"/>
      <c r="N909" s="102"/>
    </row>
    <row r="910">
      <c r="A910" s="17"/>
      <c r="C910" s="79"/>
      <c r="D910" s="79"/>
      <c r="E910" s="79"/>
      <c r="F910" s="79"/>
      <c r="G910" s="79"/>
      <c r="H910" s="79"/>
      <c r="I910" s="79"/>
      <c r="J910" s="79"/>
      <c r="K910" s="79"/>
      <c r="L910" s="79"/>
      <c r="N910" s="102"/>
    </row>
    <row r="911">
      <c r="A911" s="17"/>
      <c r="C911" s="79"/>
      <c r="D911" s="79"/>
      <c r="E911" s="79"/>
      <c r="F911" s="79"/>
      <c r="G911" s="79"/>
      <c r="H911" s="79"/>
      <c r="I911" s="79"/>
      <c r="J911" s="79"/>
      <c r="K911" s="79"/>
      <c r="L911" s="79"/>
      <c r="N911" s="102"/>
    </row>
    <row r="912">
      <c r="A912" s="17"/>
      <c r="C912" s="79"/>
      <c r="D912" s="79"/>
      <c r="E912" s="79"/>
      <c r="F912" s="79"/>
      <c r="G912" s="79"/>
      <c r="H912" s="79"/>
      <c r="I912" s="79"/>
      <c r="J912" s="79"/>
      <c r="K912" s="79"/>
      <c r="L912" s="79"/>
      <c r="N912" s="102"/>
    </row>
    <row r="913">
      <c r="A913" s="17"/>
      <c r="C913" s="79"/>
      <c r="D913" s="79"/>
      <c r="E913" s="79"/>
      <c r="F913" s="79"/>
      <c r="G913" s="79"/>
      <c r="H913" s="79"/>
      <c r="I913" s="79"/>
      <c r="J913" s="79"/>
      <c r="K913" s="79"/>
      <c r="L913" s="79"/>
      <c r="N913" s="102"/>
    </row>
    <row r="914">
      <c r="A914" s="17"/>
      <c r="C914" s="79"/>
      <c r="D914" s="79"/>
      <c r="E914" s="79"/>
      <c r="F914" s="79"/>
      <c r="G914" s="79"/>
      <c r="H914" s="79"/>
      <c r="I914" s="79"/>
      <c r="J914" s="79"/>
      <c r="K914" s="79"/>
      <c r="L914" s="79"/>
      <c r="N914" s="102"/>
    </row>
    <row r="915">
      <c r="A915" s="17"/>
      <c r="C915" s="79"/>
      <c r="D915" s="79"/>
      <c r="E915" s="79"/>
      <c r="F915" s="79"/>
      <c r="G915" s="79"/>
      <c r="H915" s="79"/>
      <c r="I915" s="79"/>
      <c r="J915" s="79"/>
      <c r="K915" s="79"/>
      <c r="L915" s="79"/>
      <c r="N915" s="102"/>
    </row>
    <row r="916">
      <c r="A916" s="17"/>
      <c r="C916" s="79"/>
      <c r="D916" s="79"/>
      <c r="E916" s="79"/>
      <c r="F916" s="79"/>
      <c r="G916" s="79"/>
      <c r="H916" s="79"/>
      <c r="I916" s="79"/>
      <c r="J916" s="79"/>
      <c r="K916" s="79"/>
      <c r="L916" s="79"/>
      <c r="N916" s="102"/>
    </row>
    <row r="917">
      <c r="A917" s="17"/>
      <c r="C917" s="79"/>
      <c r="D917" s="79"/>
      <c r="E917" s="79"/>
      <c r="F917" s="79"/>
      <c r="G917" s="79"/>
      <c r="H917" s="79"/>
      <c r="I917" s="79"/>
      <c r="J917" s="79"/>
      <c r="K917" s="79"/>
      <c r="L917" s="79"/>
      <c r="N917" s="102"/>
    </row>
    <row r="918">
      <c r="A918" s="17"/>
      <c r="C918" s="79"/>
      <c r="D918" s="79"/>
      <c r="E918" s="79"/>
      <c r="F918" s="79"/>
      <c r="G918" s="79"/>
      <c r="H918" s="79"/>
      <c r="I918" s="79"/>
      <c r="J918" s="79"/>
      <c r="K918" s="79"/>
      <c r="L918" s="79"/>
      <c r="N918" s="102"/>
    </row>
    <row r="919">
      <c r="A919" s="17"/>
      <c r="C919" s="79"/>
      <c r="D919" s="79"/>
      <c r="E919" s="79"/>
      <c r="F919" s="79"/>
      <c r="G919" s="79"/>
      <c r="H919" s="79"/>
      <c r="I919" s="79"/>
      <c r="J919" s="79"/>
      <c r="K919" s="79"/>
      <c r="L919" s="79"/>
      <c r="N919" s="102"/>
    </row>
    <row r="920">
      <c r="A920" s="17"/>
      <c r="C920" s="79"/>
      <c r="D920" s="79"/>
      <c r="E920" s="79"/>
      <c r="F920" s="79"/>
      <c r="G920" s="79"/>
      <c r="H920" s="79"/>
      <c r="I920" s="79"/>
      <c r="J920" s="79"/>
      <c r="K920" s="79"/>
      <c r="L920" s="79"/>
      <c r="N920" s="102"/>
    </row>
    <row r="921">
      <c r="A921" s="17"/>
      <c r="C921" s="79"/>
      <c r="D921" s="79"/>
      <c r="E921" s="79"/>
      <c r="F921" s="79"/>
      <c r="G921" s="79"/>
      <c r="H921" s="79"/>
      <c r="I921" s="79"/>
      <c r="J921" s="79"/>
      <c r="K921" s="79"/>
      <c r="L921" s="79"/>
      <c r="N921" s="102"/>
    </row>
    <row r="922">
      <c r="A922" s="17"/>
      <c r="C922" s="79"/>
      <c r="D922" s="79"/>
      <c r="E922" s="79"/>
      <c r="F922" s="79"/>
      <c r="G922" s="79"/>
      <c r="H922" s="79"/>
      <c r="I922" s="79"/>
      <c r="J922" s="79"/>
      <c r="K922" s="79"/>
      <c r="L922" s="79"/>
      <c r="N922" s="102"/>
    </row>
    <row r="923">
      <c r="A923" s="17"/>
      <c r="C923" s="79"/>
      <c r="D923" s="79"/>
      <c r="E923" s="79"/>
      <c r="F923" s="79"/>
      <c r="G923" s="79"/>
      <c r="H923" s="79"/>
      <c r="I923" s="79"/>
      <c r="J923" s="79"/>
      <c r="K923" s="79"/>
      <c r="L923" s="79"/>
      <c r="N923" s="102"/>
    </row>
    <row r="924">
      <c r="A924" s="17"/>
      <c r="C924" s="79"/>
      <c r="D924" s="79"/>
      <c r="E924" s="79"/>
      <c r="F924" s="79"/>
      <c r="G924" s="79"/>
      <c r="H924" s="79"/>
      <c r="I924" s="79"/>
      <c r="J924" s="79"/>
      <c r="K924" s="79"/>
      <c r="L924" s="79"/>
      <c r="N924" s="102"/>
    </row>
    <row r="925">
      <c r="A925" s="17"/>
      <c r="C925" s="79"/>
      <c r="D925" s="79"/>
      <c r="E925" s="79"/>
      <c r="F925" s="79"/>
      <c r="G925" s="79"/>
      <c r="H925" s="79"/>
      <c r="I925" s="79"/>
      <c r="J925" s="79"/>
      <c r="K925" s="79"/>
      <c r="L925" s="79"/>
      <c r="N925" s="102"/>
    </row>
    <row r="926">
      <c r="A926" s="17"/>
      <c r="C926" s="79"/>
      <c r="D926" s="79"/>
      <c r="E926" s="79"/>
      <c r="F926" s="79"/>
      <c r="G926" s="79"/>
      <c r="H926" s="79"/>
      <c r="I926" s="79"/>
      <c r="J926" s="79"/>
      <c r="K926" s="79"/>
      <c r="L926" s="79"/>
      <c r="N926" s="102"/>
    </row>
    <row r="927">
      <c r="A927" s="17"/>
      <c r="C927" s="79"/>
      <c r="D927" s="79"/>
      <c r="E927" s="79"/>
      <c r="F927" s="79"/>
      <c r="G927" s="79"/>
      <c r="H927" s="79"/>
      <c r="I927" s="79"/>
      <c r="J927" s="79"/>
      <c r="K927" s="79"/>
      <c r="L927" s="79"/>
      <c r="N927" s="102"/>
    </row>
    <row r="928">
      <c r="A928" s="17"/>
      <c r="C928" s="79"/>
      <c r="D928" s="79"/>
      <c r="E928" s="79"/>
      <c r="F928" s="79"/>
      <c r="G928" s="79"/>
      <c r="H928" s="79"/>
      <c r="I928" s="79"/>
      <c r="J928" s="79"/>
      <c r="K928" s="79"/>
      <c r="L928" s="79"/>
      <c r="N928" s="102"/>
    </row>
    <row r="929">
      <c r="A929" s="17"/>
      <c r="C929" s="79"/>
      <c r="D929" s="79"/>
      <c r="E929" s="79"/>
      <c r="F929" s="79"/>
      <c r="G929" s="79"/>
      <c r="H929" s="79"/>
      <c r="I929" s="79"/>
      <c r="J929" s="79"/>
      <c r="K929" s="79"/>
      <c r="L929" s="79"/>
      <c r="N929" s="102"/>
    </row>
    <row r="930">
      <c r="A930" s="17"/>
      <c r="C930" s="79"/>
      <c r="D930" s="79"/>
      <c r="E930" s="79"/>
      <c r="F930" s="79"/>
      <c r="G930" s="79"/>
      <c r="H930" s="79"/>
      <c r="I930" s="79"/>
      <c r="J930" s="79"/>
      <c r="K930" s="79"/>
      <c r="L930" s="79"/>
      <c r="N930" s="102"/>
    </row>
    <row r="931">
      <c r="A931" s="17"/>
      <c r="C931" s="79"/>
      <c r="D931" s="79"/>
      <c r="E931" s="79"/>
      <c r="F931" s="79"/>
      <c r="G931" s="79"/>
      <c r="H931" s="79"/>
      <c r="I931" s="79"/>
      <c r="J931" s="79"/>
      <c r="K931" s="79"/>
      <c r="L931" s="79"/>
      <c r="N931" s="102"/>
    </row>
    <row r="932">
      <c r="A932" s="17"/>
      <c r="C932" s="79"/>
      <c r="D932" s="79"/>
      <c r="E932" s="79"/>
      <c r="F932" s="79"/>
      <c r="G932" s="79"/>
      <c r="H932" s="79"/>
      <c r="I932" s="79"/>
      <c r="J932" s="79"/>
      <c r="K932" s="79"/>
      <c r="L932" s="79"/>
      <c r="N932" s="102"/>
    </row>
    <row r="933">
      <c r="A933" s="17"/>
      <c r="C933" s="79"/>
      <c r="D933" s="79"/>
      <c r="E933" s="79"/>
      <c r="F933" s="79"/>
      <c r="G933" s="79"/>
      <c r="H933" s="79"/>
      <c r="I933" s="79"/>
      <c r="J933" s="79"/>
      <c r="K933" s="79"/>
      <c r="L933" s="79"/>
      <c r="N933" s="102"/>
    </row>
    <row r="934">
      <c r="A934" s="17"/>
      <c r="C934" s="79"/>
      <c r="D934" s="79"/>
      <c r="E934" s="79"/>
      <c r="F934" s="79"/>
      <c r="G934" s="79"/>
      <c r="H934" s="79"/>
      <c r="I934" s="79"/>
      <c r="J934" s="79"/>
      <c r="K934" s="79"/>
      <c r="L934" s="79"/>
      <c r="N934" s="102"/>
    </row>
    <row r="935">
      <c r="A935" s="17"/>
      <c r="C935" s="79"/>
      <c r="D935" s="79"/>
      <c r="E935" s="79"/>
      <c r="F935" s="79"/>
      <c r="G935" s="79"/>
      <c r="H935" s="79"/>
      <c r="I935" s="79"/>
      <c r="J935" s="79"/>
      <c r="K935" s="79"/>
      <c r="L935" s="79"/>
      <c r="N935" s="102"/>
    </row>
    <row r="936">
      <c r="A936" s="17"/>
      <c r="C936" s="79"/>
      <c r="D936" s="79"/>
      <c r="E936" s="79"/>
      <c r="F936" s="79"/>
      <c r="G936" s="79"/>
      <c r="H936" s="79"/>
      <c r="I936" s="79"/>
      <c r="J936" s="79"/>
      <c r="K936" s="79"/>
      <c r="L936" s="79"/>
      <c r="N936" s="102"/>
    </row>
    <row r="937">
      <c r="A937" s="17"/>
      <c r="C937" s="79"/>
      <c r="D937" s="79"/>
      <c r="E937" s="79"/>
      <c r="F937" s="79"/>
      <c r="G937" s="79"/>
      <c r="H937" s="79"/>
      <c r="I937" s="79"/>
      <c r="J937" s="79"/>
      <c r="K937" s="79"/>
      <c r="L937" s="79"/>
      <c r="N937" s="102"/>
    </row>
    <row r="938">
      <c r="A938" s="17"/>
      <c r="C938" s="79"/>
      <c r="D938" s="79"/>
      <c r="E938" s="79"/>
      <c r="F938" s="79"/>
      <c r="G938" s="79"/>
      <c r="H938" s="79"/>
      <c r="I938" s="79"/>
      <c r="J938" s="79"/>
      <c r="K938" s="79"/>
      <c r="L938" s="79"/>
      <c r="N938" s="102"/>
    </row>
    <row r="939">
      <c r="A939" s="17"/>
      <c r="C939" s="79"/>
      <c r="D939" s="79"/>
      <c r="E939" s="79"/>
      <c r="F939" s="79"/>
      <c r="G939" s="79"/>
      <c r="H939" s="79"/>
      <c r="I939" s="79"/>
      <c r="J939" s="79"/>
      <c r="K939" s="79"/>
      <c r="L939" s="79"/>
      <c r="N939" s="102"/>
    </row>
    <row r="940">
      <c r="A940" s="17"/>
      <c r="C940" s="79"/>
      <c r="D940" s="79"/>
      <c r="E940" s="79"/>
      <c r="F940" s="79"/>
      <c r="G940" s="79"/>
      <c r="H940" s="79"/>
      <c r="I940" s="79"/>
      <c r="J940" s="79"/>
      <c r="K940" s="79"/>
      <c r="L940" s="79"/>
      <c r="N940" s="102"/>
    </row>
    <row r="941">
      <c r="A941" s="17"/>
      <c r="C941" s="79"/>
      <c r="D941" s="79"/>
      <c r="E941" s="79"/>
      <c r="F941" s="79"/>
      <c r="G941" s="79"/>
      <c r="H941" s="79"/>
      <c r="I941" s="79"/>
      <c r="J941" s="79"/>
      <c r="K941" s="79"/>
      <c r="L941" s="79"/>
      <c r="N941" s="102"/>
    </row>
    <row r="942">
      <c r="A942" s="17"/>
      <c r="C942" s="79"/>
      <c r="D942" s="79"/>
      <c r="E942" s="79"/>
      <c r="F942" s="79"/>
      <c r="G942" s="79"/>
      <c r="H942" s="79"/>
      <c r="I942" s="79"/>
      <c r="J942" s="79"/>
      <c r="K942" s="79"/>
      <c r="L942" s="79"/>
      <c r="N942" s="102"/>
    </row>
    <row r="943">
      <c r="A943" s="17"/>
      <c r="C943" s="79"/>
      <c r="D943" s="79"/>
      <c r="E943" s="79"/>
      <c r="F943" s="79"/>
      <c r="G943" s="79"/>
      <c r="H943" s="79"/>
      <c r="I943" s="79"/>
      <c r="J943" s="79"/>
      <c r="K943" s="79"/>
      <c r="L943" s="79"/>
      <c r="N943" s="102"/>
    </row>
    <row r="944">
      <c r="A944" s="17"/>
      <c r="C944" s="79"/>
      <c r="D944" s="79"/>
      <c r="E944" s="79"/>
      <c r="F944" s="79"/>
      <c r="G944" s="79"/>
      <c r="H944" s="79"/>
      <c r="I944" s="79"/>
      <c r="J944" s="79"/>
      <c r="K944" s="79"/>
      <c r="L944" s="79"/>
      <c r="N944" s="102"/>
    </row>
    <row r="945">
      <c r="A945" s="17"/>
      <c r="C945" s="79"/>
      <c r="D945" s="79"/>
      <c r="E945" s="79"/>
      <c r="F945" s="79"/>
      <c r="G945" s="79"/>
      <c r="H945" s="79"/>
      <c r="I945" s="79"/>
      <c r="J945" s="79"/>
      <c r="K945" s="79"/>
      <c r="L945" s="79"/>
      <c r="N945" s="102"/>
    </row>
    <row r="946">
      <c r="A946" s="17"/>
      <c r="C946" s="79"/>
      <c r="D946" s="79"/>
      <c r="E946" s="79"/>
      <c r="F946" s="79"/>
      <c r="G946" s="79"/>
      <c r="H946" s="79"/>
      <c r="I946" s="79"/>
      <c r="J946" s="79"/>
      <c r="K946" s="79"/>
      <c r="L946" s="79"/>
      <c r="N946" s="102"/>
    </row>
    <row r="947">
      <c r="A947" s="17"/>
      <c r="C947" s="79"/>
      <c r="D947" s="79"/>
      <c r="E947" s="79"/>
      <c r="F947" s="79"/>
      <c r="G947" s="79"/>
      <c r="H947" s="79"/>
      <c r="I947" s="79"/>
      <c r="J947" s="79"/>
      <c r="K947" s="79"/>
      <c r="L947" s="79"/>
      <c r="N947" s="102"/>
    </row>
    <row r="948">
      <c r="A948" s="17"/>
      <c r="C948" s="79"/>
      <c r="D948" s="79"/>
      <c r="E948" s="79"/>
      <c r="F948" s="79"/>
      <c r="G948" s="79"/>
      <c r="H948" s="79"/>
      <c r="I948" s="79"/>
      <c r="J948" s="79"/>
      <c r="K948" s="79"/>
      <c r="L948" s="79"/>
      <c r="N948" s="102"/>
    </row>
    <row r="949">
      <c r="A949" s="17"/>
      <c r="C949" s="79"/>
      <c r="D949" s="79"/>
      <c r="E949" s="79"/>
      <c r="F949" s="79"/>
      <c r="G949" s="79"/>
      <c r="H949" s="79"/>
      <c r="I949" s="79"/>
      <c r="J949" s="79"/>
      <c r="K949" s="79"/>
      <c r="L949" s="79"/>
      <c r="N949" s="102"/>
    </row>
    <row r="950">
      <c r="A950" s="17"/>
      <c r="C950" s="79"/>
      <c r="D950" s="79"/>
      <c r="E950" s="79"/>
      <c r="F950" s="79"/>
      <c r="G950" s="79"/>
      <c r="H950" s="79"/>
      <c r="I950" s="79"/>
      <c r="J950" s="79"/>
      <c r="K950" s="79"/>
      <c r="L950" s="79"/>
      <c r="N950" s="102"/>
    </row>
    <row r="951">
      <c r="A951" s="17"/>
      <c r="C951" s="79"/>
      <c r="D951" s="79"/>
      <c r="E951" s="79"/>
      <c r="F951" s="79"/>
      <c r="G951" s="79"/>
      <c r="H951" s="79"/>
      <c r="I951" s="79"/>
      <c r="J951" s="79"/>
      <c r="K951" s="79"/>
      <c r="L951" s="79"/>
      <c r="N951" s="102"/>
    </row>
    <row r="952">
      <c r="A952" s="17"/>
      <c r="C952" s="79"/>
      <c r="D952" s="79"/>
      <c r="E952" s="79"/>
      <c r="F952" s="79"/>
      <c r="G952" s="79"/>
      <c r="H952" s="79"/>
      <c r="I952" s="79"/>
      <c r="J952" s="79"/>
      <c r="K952" s="79"/>
      <c r="L952" s="79"/>
      <c r="N952" s="102"/>
    </row>
    <row r="953">
      <c r="A953" s="17"/>
      <c r="C953" s="79"/>
      <c r="D953" s="79"/>
      <c r="E953" s="79"/>
      <c r="F953" s="79"/>
      <c r="G953" s="79"/>
      <c r="H953" s="79"/>
      <c r="I953" s="79"/>
      <c r="J953" s="79"/>
      <c r="K953" s="79"/>
      <c r="L953" s="79"/>
      <c r="N953" s="102"/>
    </row>
  </sheetData>
  <mergeCells count="19">
    <mergeCell ref="N2:N3"/>
    <mergeCell ref="O2:O3"/>
    <mergeCell ref="P2:R2"/>
    <mergeCell ref="S2:U2"/>
    <mergeCell ref="V2:X2"/>
    <mergeCell ref="N4:N5"/>
    <mergeCell ref="N7:N9"/>
    <mergeCell ref="N33:N34"/>
    <mergeCell ref="N35:N37"/>
    <mergeCell ref="N39:N40"/>
    <mergeCell ref="N41:N42"/>
    <mergeCell ref="N44:N47"/>
    <mergeCell ref="N10:N11"/>
    <mergeCell ref="N12:N14"/>
    <mergeCell ref="N15:N16"/>
    <mergeCell ref="N18:N19"/>
    <mergeCell ref="N21:N23"/>
    <mergeCell ref="N24:N28"/>
    <mergeCell ref="N29:N31"/>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7.63"/>
    <col customWidth="1" min="4" max="12" width="5.88"/>
    <col customWidth="1" min="16" max="24" width="6.0"/>
  </cols>
  <sheetData>
    <row r="1">
      <c r="K1" s="79"/>
      <c r="L1" s="79"/>
      <c r="N1" s="102"/>
    </row>
    <row r="2">
      <c r="K2" s="79"/>
      <c r="L2" s="79"/>
      <c r="N2" s="127" t="s">
        <v>352</v>
      </c>
      <c r="O2" s="128" t="s">
        <v>353</v>
      </c>
      <c r="P2" s="129" t="str">
        <f>D2</f>
        <v/>
      </c>
      <c r="S2" s="129" t="str">
        <f>G2</f>
        <v/>
      </c>
      <c r="V2" s="79"/>
    </row>
    <row r="3">
      <c r="K3" s="79"/>
      <c r="L3" s="79"/>
      <c r="P3" s="130" t="s">
        <v>18</v>
      </c>
      <c r="Q3" s="130" t="s">
        <v>24</v>
      </c>
      <c r="R3" s="130" t="s">
        <v>32</v>
      </c>
      <c r="S3" s="130" t="s">
        <v>18</v>
      </c>
      <c r="T3" s="130" t="s">
        <v>24</v>
      </c>
      <c r="U3" s="130" t="s">
        <v>32</v>
      </c>
      <c r="V3" s="89"/>
      <c r="W3" s="89"/>
      <c r="X3" s="89"/>
    </row>
    <row r="4">
      <c r="K4" s="84"/>
      <c r="L4" s="79"/>
      <c r="N4" s="126" t="str">
        <f t="shared" ref="N4:N49" si="3">IF(MID(A4,1,5)="Total",A4,B4)</f>
        <v>50696 YANACANCHA</v>
      </c>
      <c r="O4" s="37" t="str">
        <f t="shared" ref="O4:O49" si="4">D4</f>
        <v>2 Primaria</v>
      </c>
      <c r="P4" s="103">
        <f t="shared" ref="P4:R4" si="1">E4/SUM($E4:$G4)</f>
        <v>0.3333333333</v>
      </c>
      <c r="Q4" s="103">
        <f t="shared" si="1"/>
        <v>0.6666666667</v>
      </c>
      <c r="R4" s="103">
        <f t="shared" si="1"/>
        <v>0</v>
      </c>
      <c r="S4" s="103">
        <f t="shared" ref="S4:U4" si="2">H4/SUM($H4:$J4)</f>
        <v>0</v>
      </c>
      <c r="T4" s="103">
        <f t="shared" si="2"/>
        <v>1</v>
      </c>
      <c r="U4" s="103">
        <f t="shared" si="2"/>
        <v>0</v>
      </c>
      <c r="V4" s="103"/>
      <c r="W4" s="103"/>
      <c r="X4" s="103"/>
    </row>
    <row r="5">
      <c r="K5" s="84"/>
      <c r="L5" s="79"/>
      <c r="N5" s="102" t="str">
        <f t="shared" si="3"/>
        <v/>
      </c>
      <c r="O5" s="37" t="str">
        <f t="shared" si="4"/>
        <v>4 Primaria</v>
      </c>
      <c r="P5" s="103">
        <f t="shared" ref="P5:R5" si="5">E5/SUM($E5:$G5)</f>
        <v>0.6666666667</v>
      </c>
      <c r="Q5" s="103">
        <f t="shared" si="5"/>
        <v>0.3333333333</v>
      </c>
      <c r="R5" s="103">
        <f t="shared" si="5"/>
        <v>0</v>
      </c>
      <c r="S5" s="103">
        <f t="shared" ref="S5:U5" si="6">H5/SUM($H5:$J5)</f>
        <v>1</v>
      </c>
      <c r="T5" s="103">
        <f t="shared" si="6"/>
        <v>0</v>
      </c>
      <c r="U5" s="103">
        <f t="shared" si="6"/>
        <v>0</v>
      </c>
      <c r="V5" s="103"/>
      <c r="W5" s="103"/>
      <c r="X5" s="103"/>
    </row>
    <row r="6">
      <c r="K6" s="84"/>
      <c r="L6" s="79"/>
      <c r="N6" s="102" t="str">
        <f t="shared" si="3"/>
        <v/>
      </c>
      <c r="O6" s="37" t="str">
        <f t="shared" si="4"/>
        <v>6 Primaria</v>
      </c>
      <c r="P6" s="103">
        <f t="shared" ref="P6:R6" si="7">E6/SUM($E6:$G6)</f>
        <v>0.6666666667</v>
      </c>
      <c r="Q6" s="103">
        <f t="shared" si="7"/>
        <v>0.3333333333</v>
      </c>
      <c r="R6" s="103">
        <f t="shared" si="7"/>
        <v>0</v>
      </c>
      <c r="S6" s="103">
        <f t="shared" ref="S6:U6" si="8">H6/SUM($H6:$J6)</f>
        <v>1</v>
      </c>
      <c r="T6" s="103">
        <f t="shared" si="8"/>
        <v>0</v>
      </c>
      <c r="U6" s="103">
        <f t="shared" si="8"/>
        <v>0</v>
      </c>
      <c r="V6" s="103"/>
      <c r="W6" s="103"/>
      <c r="X6" s="103"/>
    </row>
    <row r="7">
      <c r="K7" s="84"/>
      <c r="L7" s="79"/>
      <c r="N7" s="126" t="str">
        <f t="shared" si="3"/>
        <v>Total 44. Cusco</v>
      </c>
      <c r="O7" s="37" t="str">
        <f t="shared" si="4"/>
        <v/>
      </c>
      <c r="P7" s="103">
        <f t="shared" ref="P7:R7" si="9">E7/SUM($E7:$G7)</f>
        <v>0.5833333333</v>
      </c>
      <c r="Q7" s="103">
        <f t="shared" si="9"/>
        <v>0.4166666667</v>
      </c>
      <c r="R7" s="103">
        <f t="shared" si="9"/>
        <v>0</v>
      </c>
      <c r="S7" s="103">
        <f t="shared" ref="S7:U7" si="10">H7/SUM($H7:$J7)</f>
        <v>0.75</v>
      </c>
      <c r="T7" s="103">
        <f t="shared" si="10"/>
        <v>0.25</v>
      </c>
      <c r="U7" s="103">
        <f t="shared" si="10"/>
        <v>0</v>
      </c>
      <c r="V7" s="103"/>
      <c r="W7" s="103"/>
      <c r="X7" s="103"/>
    </row>
    <row r="8">
      <c r="K8" s="84"/>
      <c r="L8" s="79"/>
      <c r="N8" s="126" t="str">
        <f t="shared" si="3"/>
        <v>601514</v>
      </c>
      <c r="O8" s="37" t="str">
        <f t="shared" si="4"/>
        <v>2 Primaria</v>
      </c>
      <c r="P8" s="103">
        <f t="shared" ref="P8:R8" si="11">E8/SUM($E8:$G8)</f>
        <v>0.5</v>
      </c>
      <c r="Q8" s="103">
        <f t="shared" si="11"/>
        <v>0.5</v>
      </c>
      <c r="R8" s="103">
        <f t="shared" si="11"/>
        <v>0</v>
      </c>
      <c r="S8" s="103">
        <f t="shared" ref="S8:U8" si="12">H8/SUM($H8:$J8)</f>
        <v>0</v>
      </c>
      <c r="T8" s="103">
        <f t="shared" si="12"/>
        <v>1</v>
      </c>
      <c r="U8" s="103">
        <f t="shared" si="12"/>
        <v>0</v>
      </c>
      <c r="V8" s="103"/>
      <c r="W8" s="103"/>
      <c r="X8" s="103"/>
    </row>
    <row r="9">
      <c r="K9" s="79"/>
      <c r="L9" s="79"/>
      <c r="N9" s="102" t="str">
        <f t="shared" si="3"/>
        <v/>
      </c>
      <c r="O9" s="37" t="str">
        <f t="shared" si="4"/>
        <v>4 Primaria</v>
      </c>
      <c r="P9" s="103">
        <f t="shared" ref="P9:R9" si="13">E9/SUM($E9:$G9)</f>
        <v>0.5</v>
      </c>
      <c r="Q9" s="103">
        <f t="shared" si="13"/>
        <v>0.5</v>
      </c>
      <c r="R9" s="103">
        <f t="shared" si="13"/>
        <v>0</v>
      </c>
      <c r="S9" s="103">
        <f t="shared" ref="S9:U9" si="14">H9/SUM($H9:$J9)</f>
        <v>0</v>
      </c>
      <c r="T9" s="103">
        <f t="shared" si="14"/>
        <v>0</v>
      </c>
      <c r="U9" s="103">
        <f t="shared" si="14"/>
        <v>1</v>
      </c>
      <c r="V9" s="103"/>
      <c r="W9" s="103"/>
      <c r="X9" s="103"/>
    </row>
    <row r="10">
      <c r="K10" s="79"/>
      <c r="L10" s="79"/>
      <c r="N10" s="102" t="str">
        <f t="shared" si="3"/>
        <v/>
      </c>
      <c r="O10" s="37" t="str">
        <f t="shared" si="4"/>
        <v>6 Primaria</v>
      </c>
      <c r="P10" s="103">
        <f t="shared" ref="P10:R10" si="15">E10/SUM($E10:$G10)</f>
        <v>0.8888888889</v>
      </c>
      <c r="Q10" s="103">
        <f t="shared" si="15"/>
        <v>0.1111111111</v>
      </c>
      <c r="R10" s="103">
        <f t="shared" si="15"/>
        <v>0</v>
      </c>
      <c r="S10" s="103">
        <f t="shared" ref="S10:U10" si="16">H10/SUM($H10:$J10)</f>
        <v>0</v>
      </c>
      <c r="T10" s="103">
        <f t="shared" si="16"/>
        <v>1</v>
      </c>
      <c r="U10" s="103">
        <f t="shared" si="16"/>
        <v>0</v>
      </c>
      <c r="V10" s="103"/>
      <c r="W10" s="103"/>
      <c r="X10" s="103"/>
    </row>
    <row r="11">
      <c r="K11" s="79"/>
      <c r="L11" s="79"/>
      <c r="N11" s="126" t="str">
        <f t="shared" si="3"/>
        <v>601614</v>
      </c>
      <c r="O11" s="37" t="str">
        <f t="shared" si="4"/>
        <v>4 Primaria</v>
      </c>
      <c r="P11" s="103">
        <f t="shared" ref="P11:R11" si="17">E11/SUM($E11:$G11)</f>
        <v>0</v>
      </c>
      <c r="Q11" s="103">
        <f t="shared" si="17"/>
        <v>1</v>
      </c>
      <c r="R11" s="103">
        <f t="shared" si="17"/>
        <v>0</v>
      </c>
      <c r="S11" s="103">
        <f t="shared" ref="S11:U11" si="18">H11/SUM($H11:$J11)</f>
        <v>0</v>
      </c>
      <c r="T11" s="103">
        <f t="shared" si="18"/>
        <v>1</v>
      </c>
      <c r="U11" s="103">
        <f t="shared" si="18"/>
        <v>0</v>
      </c>
      <c r="V11" s="103"/>
      <c r="W11" s="103"/>
      <c r="X11" s="103"/>
    </row>
    <row r="12">
      <c r="K12" s="79"/>
      <c r="L12" s="79"/>
      <c r="N12" s="126" t="str">
        <f t="shared" si="3"/>
        <v>Total 47. Loreto</v>
      </c>
      <c r="O12" s="37" t="str">
        <f t="shared" si="4"/>
        <v/>
      </c>
      <c r="P12" s="103">
        <f t="shared" ref="P12:R12" si="19">E12/SUM($E12:$G12)</f>
        <v>0.6363636364</v>
      </c>
      <c r="Q12" s="103">
        <f t="shared" si="19"/>
        <v>0.3636363636</v>
      </c>
      <c r="R12" s="103">
        <f t="shared" si="19"/>
        <v>0</v>
      </c>
      <c r="S12" s="103">
        <f t="shared" ref="S12:U12" si="20">H12/SUM($H12:$J12)</f>
        <v>0</v>
      </c>
      <c r="T12" s="103">
        <f t="shared" si="20"/>
        <v>0.8</v>
      </c>
      <c r="U12" s="103">
        <f t="shared" si="20"/>
        <v>0.2</v>
      </c>
      <c r="V12" s="103"/>
      <c r="W12" s="103"/>
      <c r="X12" s="103"/>
    </row>
    <row r="13">
      <c r="K13" s="79"/>
      <c r="L13" s="79"/>
      <c r="N13" s="126" t="str">
        <f t="shared" si="3"/>
        <v>14045</v>
      </c>
      <c r="O13" s="37" t="str">
        <f t="shared" si="4"/>
        <v>2 Primaria</v>
      </c>
      <c r="P13" s="103">
        <f t="shared" ref="P13:R13" si="21">E13/SUM($E13:$G13)</f>
        <v>0.8333333333</v>
      </c>
      <c r="Q13" s="103">
        <f t="shared" si="21"/>
        <v>0.1666666667</v>
      </c>
      <c r="R13" s="103">
        <f t="shared" si="21"/>
        <v>0</v>
      </c>
      <c r="S13" s="103">
        <f t="shared" ref="S13:U13" si="22">H13/SUM($H13:$J13)</f>
        <v>0</v>
      </c>
      <c r="T13" s="103">
        <f t="shared" si="22"/>
        <v>1</v>
      </c>
      <c r="U13" s="103">
        <f t="shared" si="22"/>
        <v>0</v>
      </c>
      <c r="V13" s="103"/>
      <c r="W13" s="103"/>
      <c r="X13" s="103"/>
    </row>
    <row r="14">
      <c r="K14" s="79"/>
      <c r="L14" s="79"/>
      <c r="N14" s="102" t="str">
        <f t="shared" si="3"/>
        <v/>
      </c>
      <c r="O14" s="37" t="str">
        <f t="shared" si="4"/>
        <v>4 Primaria</v>
      </c>
      <c r="P14" s="103">
        <f t="shared" ref="P14:R14" si="23">E14/SUM($E14:$G14)</f>
        <v>1</v>
      </c>
      <c r="Q14" s="103">
        <f t="shared" si="23"/>
        <v>0</v>
      </c>
      <c r="R14" s="103">
        <f t="shared" si="23"/>
        <v>0</v>
      </c>
      <c r="S14" s="103">
        <f t="shared" ref="S14:U14" si="24">H14/SUM($H14:$J14)</f>
        <v>0</v>
      </c>
      <c r="T14" s="103">
        <f t="shared" si="24"/>
        <v>1</v>
      </c>
      <c r="U14" s="103">
        <f t="shared" si="24"/>
        <v>0</v>
      </c>
      <c r="V14" s="103"/>
      <c r="W14" s="103"/>
      <c r="X14" s="103"/>
    </row>
    <row r="15">
      <c r="K15" s="79"/>
      <c r="L15" s="79"/>
      <c r="N15" s="102" t="str">
        <f t="shared" si="3"/>
        <v/>
      </c>
      <c r="O15" s="37" t="str">
        <f t="shared" si="4"/>
        <v>6 Primaria</v>
      </c>
      <c r="P15" s="103">
        <f t="shared" ref="P15:R15" si="25">E15/SUM($E15:$G15)</f>
        <v>0</v>
      </c>
      <c r="Q15" s="103">
        <f t="shared" si="25"/>
        <v>1</v>
      </c>
      <c r="R15" s="103">
        <f t="shared" si="25"/>
        <v>0</v>
      </c>
      <c r="S15" s="103">
        <f t="shared" ref="S15:U15" si="26">H15/SUM($H15:$J15)</f>
        <v>0</v>
      </c>
      <c r="T15" s="103">
        <f t="shared" si="26"/>
        <v>1</v>
      </c>
      <c r="U15" s="103">
        <f t="shared" si="26"/>
        <v>0</v>
      </c>
      <c r="V15" s="103"/>
      <c r="W15" s="103"/>
      <c r="X15" s="103"/>
    </row>
    <row r="16">
      <c r="K16" s="79"/>
      <c r="L16" s="79"/>
      <c r="N16" s="126" t="str">
        <f t="shared" si="3"/>
        <v>14141</v>
      </c>
      <c r="O16" s="37" t="str">
        <f t="shared" si="4"/>
        <v>4 Primaria</v>
      </c>
      <c r="P16" s="103">
        <f t="shared" ref="P16:R16" si="27">E16/SUM($E16:$G16)</f>
        <v>0.875</v>
      </c>
      <c r="Q16" s="103">
        <f t="shared" si="27"/>
        <v>0.125</v>
      </c>
      <c r="R16" s="103">
        <f t="shared" si="27"/>
        <v>0</v>
      </c>
      <c r="S16" s="103">
        <f t="shared" ref="S16:U16" si="28">H16/SUM($H16:$J16)</f>
        <v>0</v>
      </c>
      <c r="T16" s="103">
        <f t="shared" si="28"/>
        <v>1</v>
      </c>
      <c r="U16" s="103">
        <f t="shared" si="28"/>
        <v>0</v>
      </c>
      <c r="V16" s="103"/>
      <c r="W16" s="103"/>
      <c r="X16" s="103"/>
    </row>
    <row r="17">
      <c r="K17" s="79"/>
      <c r="L17" s="79"/>
      <c r="N17" s="102" t="str">
        <f t="shared" si="3"/>
        <v/>
      </c>
      <c r="O17" s="37" t="str">
        <f t="shared" si="4"/>
        <v>6 Primaria</v>
      </c>
      <c r="P17" s="103">
        <f t="shared" ref="P17:R17" si="29">E17/SUM($E17:$G17)</f>
        <v>0.8</v>
      </c>
      <c r="Q17" s="103">
        <f t="shared" si="29"/>
        <v>0.2</v>
      </c>
      <c r="R17" s="103">
        <f t="shared" si="29"/>
        <v>0</v>
      </c>
      <c r="S17" s="103">
        <f t="shared" ref="S17:U17" si="30">H17/SUM($H17:$J17)</f>
        <v>1</v>
      </c>
      <c r="T17" s="103">
        <f t="shared" si="30"/>
        <v>0</v>
      </c>
      <c r="U17" s="103">
        <f t="shared" si="30"/>
        <v>0</v>
      </c>
      <c r="V17" s="103"/>
      <c r="W17" s="103"/>
      <c r="X17" s="103"/>
    </row>
    <row r="18">
      <c r="K18" s="79"/>
      <c r="L18" s="79"/>
      <c r="N18" s="126" t="str">
        <f t="shared" si="3"/>
        <v>14924 DANIEL ALCIDES CARRION</v>
      </c>
      <c r="O18" s="37" t="str">
        <f t="shared" si="4"/>
        <v>2 Primaria</v>
      </c>
      <c r="P18" s="103">
        <f t="shared" ref="P18:R18" si="31">E18/SUM($E18:$G18)</f>
        <v>0.1016949153</v>
      </c>
      <c r="Q18" s="103">
        <f t="shared" si="31"/>
        <v>0.8813559322</v>
      </c>
      <c r="R18" s="103">
        <f t="shared" si="31"/>
        <v>0.01694915254</v>
      </c>
      <c r="S18" s="103">
        <f t="shared" ref="S18:U18" si="32">H18/SUM($H18:$J18)</f>
        <v>0.2380952381</v>
      </c>
      <c r="T18" s="103">
        <f t="shared" si="32"/>
        <v>0.7619047619</v>
      </c>
      <c r="U18" s="103">
        <f t="shared" si="32"/>
        <v>0</v>
      </c>
      <c r="V18" s="103"/>
      <c r="W18" s="103"/>
      <c r="X18" s="103"/>
    </row>
    <row r="19">
      <c r="K19" s="79"/>
      <c r="L19" s="79"/>
      <c r="N19" s="126" t="str">
        <f t="shared" si="3"/>
        <v>14975</v>
      </c>
      <c r="O19" s="37" t="str">
        <f t="shared" si="4"/>
        <v>2 Primaria</v>
      </c>
      <c r="P19" s="103">
        <f t="shared" ref="P19:R19" si="33">E19/SUM($E19:$G19)</f>
        <v>0.8888888889</v>
      </c>
      <c r="Q19" s="103">
        <f t="shared" si="33"/>
        <v>0.1111111111</v>
      </c>
      <c r="R19" s="103">
        <f t="shared" si="33"/>
        <v>0</v>
      </c>
      <c r="S19" s="103">
        <f t="shared" ref="S19:U19" si="34">H19/SUM($H19:$J19)</f>
        <v>0</v>
      </c>
      <c r="T19" s="103">
        <f t="shared" si="34"/>
        <v>1</v>
      </c>
      <c r="U19" s="103">
        <f t="shared" si="34"/>
        <v>0</v>
      </c>
      <c r="V19" s="103"/>
      <c r="W19" s="103"/>
      <c r="X19" s="103"/>
    </row>
    <row r="20">
      <c r="K20" s="79"/>
      <c r="L20" s="79"/>
      <c r="N20" s="102" t="str">
        <f t="shared" si="3"/>
        <v/>
      </c>
      <c r="O20" s="37" t="str">
        <f t="shared" si="4"/>
        <v>6 Primaria</v>
      </c>
      <c r="P20" s="103">
        <f t="shared" ref="P20:R20" si="35">E20/SUM($E20:$G20)</f>
        <v>0.5</v>
      </c>
      <c r="Q20" s="103">
        <f t="shared" si="35"/>
        <v>0.5</v>
      </c>
      <c r="R20" s="103">
        <f t="shared" si="35"/>
        <v>0</v>
      </c>
      <c r="S20" s="103">
        <f t="shared" ref="S20:U20" si="36">H20/SUM($H20:$J20)</f>
        <v>0.8</v>
      </c>
      <c r="T20" s="103">
        <f t="shared" si="36"/>
        <v>0.2</v>
      </c>
      <c r="U20" s="103">
        <f t="shared" si="36"/>
        <v>0</v>
      </c>
      <c r="V20" s="103"/>
      <c r="W20" s="103"/>
      <c r="X20" s="103"/>
    </row>
    <row r="21">
      <c r="K21" s="79"/>
      <c r="L21" s="79"/>
      <c r="N21" s="126" t="str">
        <f t="shared" si="3"/>
        <v>15219</v>
      </c>
      <c r="O21" s="37" t="str">
        <f t="shared" si="4"/>
        <v>2 Primaria</v>
      </c>
      <c r="P21" s="103">
        <f t="shared" ref="P21:R21" si="37">E21/SUM($E21:$G21)</f>
        <v>0</v>
      </c>
      <c r="Q21" s="103">
        <f t="shared" si="37"/>
        <v>1</v>
      </c>
      <c r="R21" s="103">
        <f t="shared" si="37"/>
        <v>0</v>
      </c>
      <c r="S21" s="103">
        <f t="shared" ref="S21:U21" si="38">H21/SUM($H21:$J21)</f>
        <v>0</v>
      </c>
      <c r="T21" s="103">
        <f t="shared" si="38"/>
        <v>1</v>
      </c>
      <c r="U21" s="103">
        <f t="shared" si="38"/>
        <v>0</v>
      </c>
      <c r="V21" s="103"/>
      <c r="W21" s="103"/>
      <c r="X21" s="103"/>
    </row>
    <row r="22">
      <c r="K22" s="79"/>
      <c r="L22" s="79"/>
      <c r="N22" s="102" t="str">
        <f t="shared" si="3"/>
        <v/>
      </c>
      <c r="O22" s="37" t="str">
        <f t="shared" si="4"/>
        <v>6 Primaria</v>
      </c>
      <c r="P22" s="103">
        <f t="shared" ref="P22:R22" si="39">E22/SUM($E22:$G22)</f>
        <v>1</v>
      </c>
      <c r="Q22" s="103">
        <f t="shared" si="39"/>
        <v>0</v>
      </c>
      <c r="R22" s="103">
        <f t="shared" si="39"/>
        <v>0</v>
      </c>
      <c r="S22" s="103">
        <f t="shared" ref="S22:U22" si="40">H22/SUM($H22:$J22)</f>
        <v>0</v>
      </c>
      <c r="T22" s="103">
        <f t="shared" si="40"/>
        <v>1</v>
      </c>
      <c r="U22" s="103">
        <f t="shared" si="40"/>
        <v>0</v>
      </c>
      <c r="V22" s="103"/>
      <c r="W22" s="103"/>
      <c r="X22" s="103"/>
    </row>
    <row r="23">
      <c r="K23" s="79"/>
      <c r="L23" s="79"/>
      <c r="N23" s="126" t="str">
        <f t="shared" si="3"/>
        <v>15220</v>
      </c>
      <c r="O23" s="37" t="str">
        <f t="shared" si="4"/>
        <v>6 Primaria</v>
      </c>
      <c r="P23" s="103">
        <f t="shared" ref="P23:R23" si="41">E23/SUM($E23:$G23)</f>
        <v>1</v>
      </c>
      <c r="Q23" s="103">
        <f t="shared" si="41"/>
        <v>0</v>
      </c>
      <c r="R23" s="103">
        <f t="shared" si="41"/>
        <v>0</v>
      </c>
      <c r="S23" s="103">
        <f t="shared" ref="S23:U23" si="42">H23/SUM($H23:$J23)</f>
        <v>0</v>
      </c>
      <c r="T23" s="103">
        <f t="shared" si="42"/>
        <v>1</v>
      </c>
      <c r="U23" s="103">
        <f t="shared" si="42"/>
        <v>0</v>
      </c>
      <c r="V23" s="103"/>
      <c r="W23" s="103"/>
      <c r="X23" s="103"/>
    </row>
    <row r="24">
      <c r="K24" s="79"/>
      <c r="L24" s="79"/>
      <c r="N24" s="126" t="str">
        <f t="shared" si="3"/>
        <v>15304</v>
      </c>
      <c r="O24" s="37" t="str">
        <f t="shared" si="4"/>
        <v>2 Primaria</v>
      </c>
      <c r="P24" s="103">
        <f t="shared" ref="P24:R24" si="43">E24/SUM($E24:$G24)</f>
        <v>0.3333333333</v>
      </c>
      <c r="Q24" s="103">
        <f t="shared" si="43"/>
        <v>0.6666666667</v>
      </c>
      <c r="R24" s="103">
        <f t="shared" si="43"/>
        <v>0</v>
      </c>
      <c r="S24" s="103">
        <f t="shared" ref="S24:U24" si="44">H24/SUM($H24:$J24)</f>
        <v>0.25</v>
      </c>
      <c r="T24" s="103">
        <f t="shared" si="44"/>
        <v>0.75</v>
      </c>
      <c r="U24" s="103">
        <f t="shared" si="44"/>
        <v>0</v>
      </c>
      <c r="V24" s="103"/>
      <c r="W24" s="103"/>
      <c r="X24" s="103"/>
    </row>
    <row r="25">
      <c r="K25" s="79"/>
      <c r="L25" s="79"/>
      <c r="N25" s="102" t="str">
        <f t="shared" si="3"/>
        <v/>
      </c>
      <c r="O25" s="37" t="str">
        <f t="shared" si="4"/>
        <v>4 Primaria</v>
      </c>
      <c r="P25" s="103">
        <f t="shared" ref="P25:R25" si="45">E25/SUM($E25:$G25)</f>
        <v>0.4285714286</v>
      </c>
      <c r="Q25" s="103">
        <f t="shared" si="45"/>
        <v>0.5714285714</v>
      </c>
      <c r="R25" s="103">
        <f t="shared" si="45"/>
        <v>0</v>
      </c>
      <c r="S25" s="103">
        <f t="shared" ref="S25:U25" si="46">H25/SUM($H25:$J25)</f>
        <v>0</v>
      </c>
      <c r="T25" s="103">
        <f t="shared" si="46"/>
        <v>1</v>
      </c>
      <c r="U25" s="103">
        <f t="shared" si="46"/>
        <v>0</v>
      </c>
      <c r="V25" s="103"/>
      <c r="W25" s="103"/>
      <c r="X25" s="103"/>
    </row>
    <row r="26">
      <c r="K26" s="79"/>
      <c r="L26" s="79"/>
      <c r="N26" s="102" t="str">
        <f t="shared" si="3"/>
        <v/>
      </c>
      <c r="O26" s="37" t="str">
        <f t="shared" si="4"/>
        <v>6 Primaria</v>
      </c>
      <c r="P26" s="103">
        <f t="shared" ref="P26:R26" si="47">E26/SUM($E26:$G26)</f>
        <v>1</v>
      </c>
      <c r="Q26" s="103">
        <f t="shared" si="47"/>
        <v>0</v>
      </c>
      <c r="R26" s="103">
        <f t="shared" si="47"/>
        <v>0</v>
      </c>
      <c r="S26" s="103">
        <f t="shared" ref="S26:U26" si="48">H26/SUM($H26:$J26)</f>
        <v>0.3333333333</v>
      </c>
      <c r="T26" s="103">
        <f t="shared" si="48"/>
        <v>0.6666666667</v>
      </c>
      <c r="U26" s="103">
        <f t="shared" si="48"/>
        <v>0</v>
      </c>
      <c r="V26" s="103"/>
      <c r="W26" s="103"/>
      <c r="X26" s="103"/>
    </row>
    <row r="27">
      <c r="K27" s="79"/>
      <c r="L27" s="79"/>
      <c r="N27" s="126" t="str">
        <f t="shared" si="3"/>
        <v>15383</v>
      </c>
      <c r="O27" s="37" t="str">
        <f t="shared" si="4"/>
        <v>4 Primaria</v>
      </c>
      <c r="P27" s="103">
        <f t="shared" ref="P27:R27" si="49">E27/SUM($E27:$G27)</f>
        <v>0</v>
      </c>
      <c r="Q27" s="103">
        <f t="shared" si="49"/>
        <v>0.75</v>
      </c>
      <c r="R27" s="103">
        <f t="shared" si="49"/>
        <v>0.25</v>
      </c>
      <c r="S27" s="103">
        <f t="shared" ref="S27:U27" si="50">H27/SUM($H27:$J27)</f>
        <v>0</v>
      </c>
      <c r="T27" s="103">
        <f t="shared" si="50"/>
        <v>1</v>
      </c>
      <c r="U27" s="103">
        <f t="shared" si="50"/>
        <v>0</v>
      </c>
      <c r="V27" s="103"/>
      <c r="W27" s="103"/>
      <c r="X27" s="103"/>
    </row>
    <row r="28">
      <c r="K28" s="79"/>
      <c r="L28" s="79"/>
      <c r="N28" s="126" t="str">
        <f t="shared" si="3"/>
        <v>15478</v>
      </c>
      <c r="O28" s="37" t="str">
        <f t="shared" si="4"/>
        <v>2 Primaria</v>
      </c>
      <c r="P28" s="103">
        <f t="shared" ref="P28:R28" si="51">E28/SUM($E28:$G28)</f>
        <v>0</v>
      </c>
      <c r="Q28" s="103">
        <f t="shared" si="51"/>
        <v>1</v>
      </c>
      <c r="R28" s="103">
        <f t="shared" si="51"/>
        <v>0</v>
      </c>
      <c r="S28" s="103">
        <f t="shared" ref="S28:U28" si="52">H28/SUM($H28:$J28)</f>
        <v>0</v>
      </c>
      <c r="T28" s="103">
        <f t="shared" si="52"/>
        <v>1</v>
      </c>
      <c r="U28" s="103">
        <f t="shared" si="52"/>
        <v>0</v>
      </c>
      <c r="V28" s="103"/>
      <c r="W28" s="103"/>
      <c r="X28" s="103"/>
    </row>
    <row r="29">
      <c r="K29" s="79"/>
      <c r="L29" s="79"/>
      <c r="N29" s="102" t="str">
        <f t="shared" si="3"/>
        <v/>
      </c>
      <c r="O29" s="37" t="str">
        <f t="shared" si="4"/>
        <v>4 Primaria</v>
      </c>
      <c r="P29" s="103">
        <f t="shared" ref="P29:R29" si="53">E29/SUM($E29:$G29)</f>
        <v>0</v>
      </c>
      <c r="Q29" s="103">
        <f t="shared" si="53"/>
        <v>1</v>
      </c>
      <c r="R29" s="103">
        <f t="shared" si="53"/>
        <v>0</v>
      </c>
      <c r="S29" s="103">
        <f t="shared" ref="S29:U29" si="54">H29/SUM($H29:$J29)</f>
        <v>0</v>
      </c>
      <c r="T29" s="103">
        <f t="shared" si="54"/>
        <v>1</v>
      </c>
      <c r="U29" s="103">
        <f t="shared" si="54"/>
        <v>0</v>
      </c>
      <c r="V29" s="103"/>
      <c r="W29" s="103"/>
      <c r="X29" s="103"/>
    </row>
    <row r="30">
      <c r="K30" s="79"/>
      <c r="L30" s="79"/>
      <c r="N30" s="102" t="str">
        <f t="shared" si="3"/>
        <v/>
      </c>
      <c r="O30" s="37" t="str">
        <f t="shared" si="4"/>
        <v>6 Primaria</v>
      </c>
      <c r="P30" s="103">
        <f t="shared" ref="P30:R30" si="55">E30/SUM($E30:$G30)</f>
        <v>0.5</v>
      </c>
      <c r="Q30" s="103">
        <f t="shared" si="55"/>
        <v>0.5</v>
      </c>
      <c r="R30" s="103">
        <f t="shared" si="55"/>
        <v>0</v>
      </c>
      <c r="S30" s="103">
        <f t="shared" ref="S30:U30" si="56">H30/SUM($H30:$J30)</f>
        <v>0.5</v>
      </c>
      <c r="T30" s="103">
        <f t="shared" si="56"/>
        <v>0.5</v>
      </c>
      <c r="U30" s="103">
        <f t="shared" si="56"/>
        <v>0</v>
      </c>
      <c r="V30" s="103"/>
      <c r="W30" s="103"/>
      <c r="X30" s="103"/>
    </row>
    <row r="31">
      <c r="K31" s="79"/>
      <c r="L31" s="79"/>
      <c r="N31" s="126" t="str">
        <f t="shared" si="3"/>
        <v>20104</v>
      </c>
      <c r="O31" s="37" t="str">
        <f t="shared" si="4"/>
        <v>2 Primaria</v>
      </c>
      <c r="P31" s="103">
        <f t="shared" ref="P31:R31" si="57">E31/SUM($E31:$G31)</f>
        <v>1</v>
      </c>
      <c r="Q31" s="103">
        <f t="shared" si="57"/>
        <v>0</v>
      </c>
      <c r="R31" s="103">
        <f t="shared" si="57"/>
        <v>0</v>
      </c>
      <c r="S31" s="103">
        <f t="shared" ref="S31:U31" si="58">H31/SUM($H31:$J31)</f>
        <v>0.8</v>
      </c>
      <c r="T31" s="103">
        <f t="shared" si="58"/>
        <v>0.2</v>
      </c>
      <c r="U31" s="103">
        <f t="shared" si="58"/>
        <v>0</v>
      </c>
      <c r="V31" s="103"/>
      <c r="W31" s="103"/>
      <c r="X31" s="103"/>
    </row>
    <row r="32">
      <c r="K32" s="79"/>
      <c r="L32" s="79"/>
      <c r="N32" s="102" t="str">
        <f t="shared" si="3"/>
        <v/>
      </c>
      <c r="O32" s="37" t="str">
        <f t="shared" si="4"/>
        <v>4 Primaria</v>
      </c>
      <c r="P32" s="103">
        <f t="shared" ref="P32:R32" si="59">E32/SUM($E32:$G32)</f>
        <v>0.6315789474</v>
      </c>
      <c r="Q32" s="103">
        <f t="shared" si="59"/>
        <v>0.3684210526</v>
      </c>
      <c r="R32" s="103">
        <f t="shared" si="59"/>
        <v>0</v>
      </c>
      <c r="S32" s="103">
        <f t="shared" ref="S32:U32" si="60">H32/SUM($H32:$J32)</f>
        <v>0.5714285714</v>
      </c>
      <c r="T32" s="103">
        <f t="shared" si="60"/>
        <v>0.4285714286</v>
      </c>
      <c r="U32" s="103">
        <f t="shared" si="60"/>
        <v>0</v>
      </c>
      <c r="V32" s="103"/>
      <c r="W32" s="103"/>
      <c r="X32" s="103"/>
    </row>
    <row r="33">
      <c r="K33" s="79"/>
      <c r="L33" s="79"/>
      <c r="N33" s="102" t="str">
        <f t="shared" si="3"/>
        <v/>
      </c>
      <c r="O33" s="37" t="str">
        <f t="shared" si="4"/>
        <v>6 Primaria</v>
      </c>
      <c r="P33" s="103">
        <f t="shared" ref="P33:R33" si="61">E33/SUM($E33:$G33)</f>
        <v>0.8947368421</v>
      </c>
      <c r="Q33" s="103">
        <f t="shared" si="61"/>
        <v>0.1052631579</v>
      </c>
      <c r="R33" s="103">
        <f t="shared" si="61"/>
        <v>0</v>
      </c>
      <c r="S33" s="103">
        <f t="shared" ref="S33:U33" si="62">H33/SUM($H33:$J33)</f>
        <v>0.5</v>
      </c>
      <c r="T33" s="103">
        <f t="shared" si="62"/>
        <v>0.5</v>
      </c>
      <c r="U33" s="103">
        <f t="shared" si="62"/>
        <v>0</v>
      </c>
      <c r="V33" s="103"/>
      <c r="W33" s="103"/>
      <c r="X33" s="103"/>
    </row>
    <row r="34">
      <c r="K34" s="79"/>
      <c r="L34" s="79"/>
      <c r="N34" s="126" t="str">
        <f t="shared" si="3"/>
        <v>20123</v>
      </c>
      <c r="O34" s="37" t="str">
        <f t="shared" si="4"/>
        <v>2 Primaria</v>
      </c>
      <c r="P34" s="103">
        <f t="shared" ref="P34:R34" si="63">E34/SUM($E34:$G34)</f>
        <v>0.2222222222</v>
      </c>
      <c r="Q34" s="103">
        <f t="shared" si="63"/>
        <v>0.7777777778</v>
      </c>
      <c r="R34" s="103">
        <f t="shared" si="63"/>
        <v>0</v>
      </c>
      <c r="S34" s="103">
        <f t="shared" ref="S34:U34" si="64">H34/SUM($H34:$J34)</f>
        <v>0</v>
      </c>
      <c r="T34" s="103">
        <f t="shared" si="64"/>
        <v>1</v>
      </c>
      <c r="U34" s="103">
        <f t="shared" si="64"/>
        <v>0</v>
      </c>
      <c r="V34" s="103"/>
      <c r="W34" s="103"/>
      <c r="X34" s="103"/>
    </row>
    <row r="35">
      <c r="K35" s="79"/>
      <c r="L35" s="79"/>
      <c r="N35" s="126" t="str">
        <f t="shared" si="3"/>
        <v>Total 48. Piura</v>
      </c>
      <c r="O35" s="37" t="str">
        <f t="shared" si="4"/>
        <v/>
      </c>
      <c r="P35" s="103">
        <f t="shared" ref="P35:R35" si="65">E35/SUM($E35:$G35)</f>
        <v>0.5</v>
      </c>
      <c r="Q35" s="103">
        <f t="shared" si="65"/>
        <v>0.4903846154</v>
      </c>
      <c r="R35" s="103">
        <f t="shared" si="65"/>
        <v>0.009615384615</v>
      </c>
      <c r="S35" s="103">
        <f t="shared" ref="S35:U35" si="66">H35/SUM($H35:$J35)</f>
        <v>0.3108108108</v>
      </c>
      <c r="T35" s="103">
        <f t="shared" si="66"/>
        <v>0.6891891892</v>
      </c>
      <c r="U35" s="103">
        <f t="shared" si="66"/>
        <v>0</v>
      </c>
      <c r="V35" s="103"/>
      <c r="W35" s="103"/>
      <c r="X35" s="103"/>
    </row>
    <row r="36">
      <c r="K36" s="79"/>
      <c r="L36" s="79"/>
      <c r="N36" s="126" t="str">
        <f t="shared" si="3"/>
        <v>86548 JOSE MARIA VELAZ</v>
      </c>
      <c r="O36" s="37" t="str">
        <f t="shared" si="4"/>
        <v>4 Primaria</v>
      </c>
      <c r="P36" s="103">
        <f t="shared" ref="P36:R36" si="67">E36/SUM($E36:$G36)</f>
        <v>0.1538461538</v>
      </c>
      <c r="Q36" s="103">
        <f t="shared" si="67"/>
        <v>0.8461538462</v>
      </c>
      <c r="R36" s="103">
        <f t="shared" si="67"/>
        <v>0</v>
      </c>
      <c r="S36" s="103">
        <f t="shared" ref="S36:U36" si="68">H36/SUM($H36:$J36)</f>
        <v>0.5</v>
      </c>
      <c r="T36" s="103">
        <f t="shared" si="68"/>
        <v>0.5</v>
      </c>
      <c r="U36" s="103">
        <f t="shared" si="68"/>
        <v>0</v>
      </c>
      <c r="V36" s="103"/>
      <c r="W36" s="103"/>
      <c r="X36" s="103"/>
    </row>
    <row r="37">
      <c r="K37" s="79"/>
      <c r="L37" s="79"/>
      <c r="N37" s="126" t="str">
        <f t="shared" si="3"/>
        <v>88247 SAN ENRIQUE</v>
      </c>
      <c r="O37" s="37" t="str">
        <f t="shared" si="4"/>
        <v>2 Primaria</v>
      </c>
      <c r="P37" s="103">
        <f t="shared" ref="P37:R37" si="69">E37/SUM($E37:$G37)</f>
        <v>0</v>
      </c>
      <c r="Q37" s="103">
        <f t="shared" si="69"/>
        <v>1</v>
      </c>
      <c r="R37" s="103">
        <f t="shared" si="69"/>
        <v>0</v>
      </c>
      <c r="S37" s="103">
        <f t="shared" ref="S37:U37" si="70">H37/SUM($H37:$J37)</f>
        <v>0</v>
      </c>
      <c r="T37" s="103">
        <f t="shared" si="70"/>
        <v>0.5</v>
      </c>
      <c r="U37" s="103">
        <f t="shared" si="70"/>
        <v>0.5</v>
      </c>
      <c r="V37" s="103"/>
      <c r="W37" s="103"/>
      <c r="X37" s="103"/>
    </row>
    <row r="38">
      <c r="K38" s="79"/>
      <c r="L38" s="79"/>
      <c r="N38" s="102" t="str">
        <f t="shared" si="3"/>
        <v/>
      </c>
      <c r="O38" s="37" t="str">
        <f t="shared" si="4"/>
        <v>4 Primaria</v>
      </c>
      <c r="P38" s="103">
        <f t="shared" ref="P38:R38" si="71">E38/SUM($E38:$G38)</f>
        <v>0</v>
      </c>
      <c r="Q38" s="103">
        <f t="shared" si="71"/>
        <v>1</v>
      </c>
      <c r="R38" s="103">
        <f t="shared" si="71"/>
        <v>0</v>
      </c>
      <c r="S38" s="103">
        <f t="shared" ref="S38:U38" si="72">H38/SUM($H38:$J38)</f>
        <v>0.8571428571</v>
      </c>
      <c r="T38" s="103">
        <f t="shared" si="72"/>
        <v>0.1428571429</v>
      </c>
      <c r="U38" s="103">
        <f t="shared" si="72"/>
        <v>0</v>
      </c>
      <c r="V38" s="103"/>
      <c r="W38" s="103"/>
      <c r="X38" s="103"/>
    </row>
    <row r="39">
      <c r="K39" s="79"/>
      <c r="L39" s="79"/>
      <c r="N39" s="102" t="str">
        <f t="shared" si="3"/>
        <v/>
      </c>
      <c r="O39" s="37" t="str">
        <f t="shared" si="4"/>
        <v>6 Primaria</v>
      </c>
      <c r="P39" s="103">
        <f t="shared" ref="P39:R39" si="73">E39/SUM($E39:$G39)</f>
        <v>0.5</v>
      </c>
      <c r="Q39" s="103">
        <f t="shared" si="73"/>
        <v>0.5</v>
      </c>
      <c r="R39" s="103">
        <f t="shared" si="73"/>
        <v>0</v>
      </c>
      <c r="S39" s="103">
        <f t="shared" ref="S39:U39" si="74">H39/SUM($H39:$J39)</f>
        <v>0.1666666667</v>
      </c>
      <c r="T39" s="103">
        <f t="shared" si="74"/>
        <v>0.8333333333</v>
      </c>
      <c r="U39" s="103">
        <f t="shared" si="74"/>
        <v>0</v>
      </c>
      <c r="V39" s="103"/>
      <c r="W39" s="103"/>
      <c r="X39" s="103"/>
    </row>
    <row r="40">
      <c r="K40" s="79"/>
      <c r="L40" s="79"/>
      <c r="N40" s="126" t="str">
        <f t="shared" si="3"/>
        <v>Total 54. Ancash</v>
      </c>
      <c r="O40" s="37" t="str">
        <f t="shared" si="4"/>
        <v/>
      </c>
      <c r="P40" s="103">
        <f t="shared" ref="P40:R40" si="75">E40/SUM($E40:$G40)</f>
        <v>0.16</v>
      </c>
      <c r="Q40" s="103">
        <f t="shared" si="75"/>
        <v>0.84</v>
      </c>
      <c r="R40" s="103">
        <f t="shared" si="75"/>
        <v>0</v>
      </c>
      <c r="S40" s="103">
        <f t="shared" ref="S40:U40" si="76">H40/SUM($H40:$J40)</f>
        <v>0.4</v>
      </c>
      <c r="T40" s="103">
        <f t="shared" si="76"/>
        <v>0.48</v>
      </c>
      <c r="U40" s="103">
        <f t="shared" si="76"/>
        <v>0.12</v>
      </c>
      <c r="V40" s="103"/>
      <c r="W40" s="103"/>
      <c r="X40" s="103"/>
    </row>
    <row r="41">
      <c r="K41" s="79"/>
      <c r="L41" s="79"/>
      <c r="N41" s="126" t="str">
        <f t="shared" si="3"/>
        <v>64641</v>
      </c>
      <c r="O41" s="37" t="str">
        <f t="shared" si="4"/>
        <v>4 Primaria</v>
      </c>
      <c r="P41" s="103">
        <f t="shared" ref="P41:R41" si="77">E41/SUM($E41:$G41)</f>
        <v>1</v>
      </c>
      <c r="Q41" s="103">
        <f t="shared" si="77"/>
        <v>0</v>
      </c>
      <c r="R41" s="103">
        <f t="shared" si="77"/>
        <v>0</v>
      </c>
      <c r="S41" s="103">
        <f t="shared" ref="S41:U41" si="78">H41/SUM($H41:$J41)</f>
        <v>1</v>
      </c>
      <c r="T41" s="103">
        <f t="shared" si="78"/>
        <v>0</v>
      </c>
      <c r="U41" s="103">
        <f t="shared" si="78"/>
        <v>0</v>
      </c>
      <c r="V41" s="103"/>
      <c r="W41" s="103"/>
      <c r="X41" s="103"/>
    </row>
    <row r="42">
      <c r="K42" s="79"/>
      <c r="L42" s="79"/>
      <c r="N42" s="126" t="str">
        <f t="shared" si="3"/>
        <v>64871-B</v>
      </c>
      <c r="O42" s="37" t="str">
        <f t="shared" si="4"/>
        <v>4 Primaria</v>
      </c>
      <c r="P42" s="103">
        <f t="shared" ref="P42:R42" si="79">E42/SUM($E42:$G42)</f>
        <v>0.2352941176</v>
      </c>
      <c r="Q42" s="103">
        <f t="shared" si="79"/>
        <v>0.7647058824</v>
      </c>
      <c r="R42" s="103">
        <f t="shared" si="79"/>
        <v>0</v>
      </c>
      <c r="S42" s="103">
        <f t="shared" ref="S42:U42" si="80">H42/SUM($H42:$J42)</f>
        <v>0.1</v>
      </c>
      <c r="T42" s="103">
        <f t="shared" si="80"/>
        <v>0.9</v>
      </c>
      <c r="U42" s="103">
        <f t="shared" si="80"/>
        <v>0</v>
      </c>
      <c r="V42" s="103"/>
      <c r="W42" s="103"/>
      <c r="X42" s="103"/>
    </row>
    <row r="43">
      <c r="K43" s="79"/>
      <c r="L43" s="79"/>
      <c r="N43" s="126" t="str">
        <f t="shared" si="3"/>
        <v>64996</v>
      </c>
      <c r="O43" s="37" t="str">
        <f t="shared" si="4"/>
        <v>2 Primaria</v>
      </c>
      <c r="P43" s="103">
        <f t="shared" ref="P43:R43" si="81">E43/SUM($E43:$G43)</f>
        <v>0</v>
      </c>
      <c r="Q43" s="103">
        <f t="shared" si="81"/>
        <v>1</v>
      </c>
      <c r="R43" s="103">
        <f t="shared" si="81"/>
        <v>0</v>
      </c>
      <c r="S43" s="103">
        <f t="shared" ref="S43:U43" si="82">H43/SUM($H43:$J43)</f>
        <v>0</v>
      </c>
      <c r="T43" s="103">
        <f t="shared" si="82"/>
        <v>1</v>
      </c>
      <c r="U43" s="103">
        <f t="shared" si="82"/>
        <v>0</v>
      </c>
      <c r="V43" s="103"/>
      <c r="W43" s="103"/>
      <c r="X43" s="103"/>
    </row>
    <row r="44">
      <c r="K44" s="79"/>
      <c r="L44" s="79"/>
      <c r="N44" s="102" t="str">
        <f t="shared" si="3"/>
        <v/>
      </c>
      <c r="O44" s="37" t="str">
        <f t="shared" si="4"/>
        <v>4 Primaria</v>
      </c>
      <c r="P44" s="103">
        <f t="shared" ref="P44:R44" si="83">E44/SUM($E44:$G44)</f>
        <v>0</v>
      </c>
      <c r="Q44" s="103">
        <f t="shared" si="83"/>
        <v>1</v>
      </c>
      <c r="R44" s="103">
        <f t="shared" si="83"/>
        <v>0</v>
      </c>
      <c r="S44" s="103">
        <f t="shared" ref="S44:U44" si="84">H44/SUM($H44:$J44)</f>
        <v>0</v>
      </c>
      <c r="T44" s="103">
        <f t="shared" si="84"/>
        <v>0</v>
      </c>
      <c r="U44" s="103">
        <f t="shared" si="84"/>
        <v>1</v>
      </c>
      <c r="V44" s="103"/>
      <c r="W44" s="103"/>
      <c r="X44" s="103"/>
    </row>
    <row r="45">
      <c r="K45" s="79"/>
      <c r="L45" s="79"/>
      <c r="N45" s="102" t="str">
        <f t="shared" si="3"/>
        <v/>
      </c>
      <c r="O45" s="37" t="str">
        <f t="shared" si="4"/>
        <v>6 Primaria</v>
      </c>
      <c r="P45" s="103">
        <f t="shared" ref="P45:R45" si="85">E45/SUM($E45:$G45)</f>
        <v>0</v>
      </c>
      <c r="Q45" s="103">
        <f t="shared" si="85"/>
        <v>1</v>
      </c>
      <c r="R45" s="103">
        <f t="shared" si="85"/>
        <v>0</v>
      </c>
      <c r="S45" s="103">
        <f t="shared" ref="S45:U45" si="86">H45/SUM($H45:$J45)</f>
        <v>0</v>
      </c>
      <c r="T45" s="103">
        <f t="shared" si="86"/>
        <v>1</v>
      </c>
      <c r="U45" s="103">
        <f t="shared" si="86"/>
        <v>0</v>
      </c>
      <c r="V45" s="103"/>
      <c r="W45" s="103"/>
      <c r="X45" s="103"/>
    </row>
    <row r="46">
      <c r="K46" s="79"/>
      <c r="L46" s="79"/>
      <c r="N46" s="126" t="str">
        <f t="shared" si="3"/>
        <v>Total 72. Ucayali</v>
      </c>
      <c r="O46" s="37" t="str">
        <f t="shared" si="4"/>
        <v/>
      </c>
      <c r="P46" s="103">
        <f t="shared" ref="P46:R46" si="87">E46/SUM($E46:$G46)</f>
        <v>0.25</v>
      </c>
      <c r="Q46" s="103">
        <f t="shared" si="87"/>
        <v>0.75</v>
      </c>
      <c r="R46" s="103">
        <f t="shared" si="87"/>
        <v>0</v>
      </c>
      <c r="S46" s="103">
        <f t="shared" ref="S46:U46" si="88">H46/SUM($H46:$J46)</f>
        <v>0.1428571429</v>
      </c>
      <c r="T46" s="103">
        <f t="shared" si="88"/>
        <v>0.7857142857</v>
      </c>
      <c r="U46" s="103">
        <f t="shared" si="88"/>
        <v>0.07142857143</v>
      </c>
      <c r="V46" s="103"/>
      <c r="W46" s="103"/>
      <c r="X46" s="103"/>
    </row>
    <row r="47">
      <c r="K47" s="79"/>
      <c r="L47" s="79"/>
      <c r="N47" s="126" t="str">
        <f t="shared" si="3"/>
        <v>NUESTRA SEÑORA DE LA CANDELARIA</v>
      </c>
      <c r="O47" s="37" t="str">
        <f t="shared" si="4"/>
        <v>2 Secundaria</v>
      </c>
      <c r="P47" s="103">
        <f t="shared" ref="P47:R47" si="89">E47/SUM($E47:$G47)</f>
        <v>0.25</v>
      </c>
      <c r="Q47" s="103">
        <f t="shared" si="89"/>
        <v>0.7321428571</v>
      </c>
      <c r="R47" s="103">
        <f t="shared" si="89"/>
        <v>0.01785714286</v>
      </c>
      <c r="S47" s="103">
        <f t="shared" ref="S47:U47" si="90">H47/SUM($H47:$J47)</f>
        <v>0.756097561</v>
      </c>
      <c r="T47" s="103">
        <f t="shared" si="90"/>
        <v>0.243902439</v>
      </c>
      <c r="U47" s="103">
        <f t="shared" si="90"/>
        <v>0</v>
      </c>
      <c r="V47" s="103"/>
      <c r="W47" s="103"/>
      <c r="X47" s="103"/>
    </row>
    <row r="48">
      <c r="K48" s="79"/>
      <c r="L48" s="79"/>
      <c r="N48" s="102" t="str">
        <f t="shared" si="3"/>
        <v/>
      </c>
      <c r="O48" s="37" t="str">
        <f t="shared" si="4"/>
        <v>4 Secundaria</v>
      </c>
      <c r="P48" s="103">
        <f t="shared" ref="P48:R48" si="91">E48/SUM($E48:$G48)</f>
        <v>0.9565217391</v>
      </c>
      <c r="Q48" s="103">
        <f t="shared" si="91"/>
        <v>0.04347826087</v>
      </c>
      <c r="R48" s="103">
        <f t="shared" si="91"/>
        <v>0</v>
      </c>
      <c r="S48" s="103">
        <f t="shared" ref="S48:U48" si="92">H48/SUM($H48:$J48)</f>
        <v>0.78</v>
      </c>
      <c r="T48" s="103">
        <f t="shared" si="92"/>
        <v>0.22</v>
      </c>
      <c r="U48" s="103">
        <f t="shared" si="92"/>
        <v>0</v>
      </c>
      <c r="V48" s="103"/>
      <c r="W48" s="103"/>
      <c r="X48" s="103"/>
    </row>
    <row r="49">
      <c r="K49" s="79"/>
      <c r="L49" s="79"/>
      <c r="N49" s="126" t="str">
        <f t="shared" si="3"/>
        <v>Total 79. Huancavelica</v>
      </c>
      <c r="O49" s="37" t="str">
        <f t="shared" si="4"/>
        <v/>
      </c>
      <c r="P49" s="103">
        <f t="shared" ref="P49:R49" si="93">E49/SUM($E49:$G49)</f>
        <v>0.568627451</v>
      </c>
      <c r="Q49" s="103">
        <f t="shared" si="93"/>
        <v>0.4215686275</v>
      </c>
      <c r="R49" s="103">
        <f t="shared" si="93"/>
        <v>0.009803921569</v>
      </c>
      <c r="S49" s="103">
        <f t="shared" ref="S49:U49" si="94">H49/SUM($H49:$J49)</f>
        <v>0.7692307692</v>
      </c>
      <c r="T49" s="103">
        <f t="shared" si="94"/>
        <v>0.2307692308</v>
      </c>
      <c r="U49" s="103">
        <f t="shared" si="94"/>
        <v>0</v>
      </c>
      <c r="V49" s="103"/>
      <c r="W49" s="103"/>
      <c r="X49" s="103"/>
    </row>
    <row r="50">
      <c r="A50" s="17"/>
      <c r="C50" s="79"/>
      <c r="D50" s="79"/>
      <c r="E50" s="79"/>
      <c r="F50" s="79"/>
      <c r="G50" s="79"/>
      <c r="H50" s="79"/>
      <c r="I50" s="79"/>
      <c r="J50" s="79"/>
      <c r="K50" s="79"/>
      <c r="L50" s="79"/>
      <c r="N50" s="102" t="str">
        <f t="shared" ref="N50:N72" si="95">B50</f>
        <v/>
      </c>
      <c r="P50" s="103"/>
      <c r="Q50" s="103"/>
      <c r="R50" s="103"/>
      <c r="S50" s="103"/>
      <c r="T50" s="103"/>
      <c r="U50" s="103"/>
      <c r="V50" s="103"/>
      <c r="W50" s="103"/>
      <c r="X50" s="103"/>
    </row>
    <row r="51">
      <c r="A51" s="17"/>
      <c r="C51" s="79"/>
      <c r="D51" s="79"/>
      <c r="E51" s="79"/>
      <c r="F51" s="79"/>
      <c r="G51" s="79"/>
      <c r="H51" s="79"/>
      <c r="I51" s="79"/>
      <c r="J51" s="79"/>
      <c r="K51" s="79"/>
      <c r="L51" s="79"/>
      <c r="N51" s="102" t="str">
        <f t="shared" si="95"/>
        <v/>
      </c>
      <c r="P51" s="103"/>
      <c r="Q51" s="103"/>
      <c r="R51" s="103"/>
      <c r="S51" s="103"/>
      <c r="T51" s="103"/>
      <c r="U51" s="103"/>
      <c r="V51" s="103"/>
      <c r="W51" s="103"/>
      <c r="X51" s="103"/>
    </row>
    <row r="52">
      <c r="A52" s="17"/>
      <c r="C52" s="79"/>
      <c r="D52" s="79"/>
      <c r="E52" s="79"/>
      <c r="F52" s="79"/>
      <c r="G52" s="79"/>
      <c r="H52" s="79"/>
      <c r="I52" s="79"/>
      <c r="J52" s="79"/>
      <c r="K52" s="79"/>
      <c r="L52" s="79"/>
      <c r="N52" s="102" t="str">
        <f t="shared" si="95"/>
        <v/>
      </c>
      <c r="P52" s="103"/>
      <c r="Q52" s="103"/>
      <c r="R52" s="103"/>
      <c r="S52" s="103"/>
      <c r="T52" s="103"/>
      <c r="U52" s="103"/>
      <c r="V52" s="103"/>
      <c r="W52" s="103"/>
      <c r="X52" s="103"/>
    </row>
    <row r="53">
      <c r="A53" s="17"/>
      <c r="C53" s="79"/>
      <c r="D53" s="79"/>
      <c r="E53" s="79"/>
      <c r="F53" s="79"/>
      <c r="G53" s="79"/>
      <c r="H53" s="79"/>
      <c r="I53" s="79"/>
      <c r="J53" s="79"/>
      <c r="K53" s="79"/>
      <c r="L53" s="79"/>
      <c r="N53" s="102" t="str">
        <f t="shared" si="95"/>
        <v/>
      </c>
      <c r="P53" s="103"/>
      <c r="Q53" s="103"/>
      <c r="R53" s="103"/>
      <c r="S53" s="103"/>
      <c r="T53" s="103"/>
      <c r="U53" s="103"/>
      <c r="V53" s="103"/>
      <c r="W53" s="103"/>
      <c r="X53" s="103"/>
    </row>
    <row r="54">
      <c r="A54" s="17"/>
      <c r="C54" s="79"/>
      <c r="D54" s="79"/>
      <c r="E54" s="79"/>
      <c r="F54" s="79"/>
      <c r="G54" s="79"/>
      <c r="H54" s="79"/>
      <c r="I54" s="79"/>
      <c r="J54" s="79"/>
      <c r="K54" s="79"/>
      <c r="L54" s="79"/>
      <c r="N54" s="102" t="str">
        <f t="shared" si="95"/>
        <v/>
      </c>
      <c r="P54" s="103"/>
      <c r="Q54" s="103"/>
      <c r="R54" s="103"/>
      <c r="S54" s="103"/>
      <c r="T54" s="103"/>
      <c r="U54" s="103"/>
      <c r="V54" s="103"/>
      <c r="W54" s="103"/>
      <c r="X54" s="103"/>
    </row>
    <row r="55">
      <c r="A55" s="17"/>
      <c r="C55" s="79"/>
      <c r="D55" s="79"/>
      <c r="E55" s="79"/>
      <c r="F55" s="79"/>
      <c r="G55" s="79"/>
      <c r="H55" s="79"/>
      <c r="I55" s="79"/>
      <c r="J55" s="79"/>
      <c r="K55" s="79"/>
      <c r="L55" s="79"/>
      <c r="N55" s="102" t="str">
        <f t="shared" si="95"/>
        <v/>
      </c>
      <c r="P55" s="103"/>
      <c r="Q55" s="103"/>
      <c r="R55" s="103"/>
      <c r="S55" s="103"/>
      <c r="T55" s="103"/>
      <c r="U55" s="103"/>
      <c r="V55" s="103"/>
      <c r="W55" s="103"/>
      <c r="X55" s="103"/>
    </row>
    <row r="56">
      <c r="A56" s="17"/>
      <c r="C56" s="79"/>
      <c r="D56" s="79"/>
      <c r="E56" s="79"/>
      <c r="F56" s="79"/>
      <c r="G56" s="79"/>
      <c r="H56" s="79"/>
      <c r="I56" s="79"/>
      <c r="J56" s="79"/>
      <c r="K56" s="79"/>
      <c r="L56" s="79"/>
      <c r="N56" s="102" t="str">
        <f t="shared" si="95"/>
        <v/>
      </c>
      <c r="P56" s="103"/>
      <c r="Q56" s="103"/>
      <c r="R56" s="103"/>
      <c r="S56" s="103"/>
      <c r="T56" s="103"/>
      <c r="U56" s="103"/>
      <c r="V56" s="103"/>
      <c r="W56" s="103"/>
      <c r="X56" s="103"/>
    </row>
    <row r="57">
      <c r="A57" s="17"/>
      <c r="C57" s="79"/>
      <c r="D57" s="79"/>
      <c r="E57" s="79"/>
      <c r="F57" s="79"/>
      <c r="G57" s="79"/>
      <c r="H57" s="79"/>
      <c r="I57" s="79"/>
      <c r="J57" s="79"/>
      <c r="K57" s="79"/>
      <c r="L57" s="79"/>
      <c r="N57" s="102" t="str">
        <f t="shared" si="95"/>
        <v/>
      </c>
      <c r="P57" s="103"/>
      <c r="Q57" s="103"/>
      <c r="R57" s="103"/>
      <c r="S57" s="103"/>
      <c r="T57" s="103"/>
      <c r="U57" s="103"/>
      <c r="V57" s="103"/>
      <c r="W57" s="103"/>
      <c r="X57" s="103"/>
    </row>
    <row r="58">
      <c r="A58" s="17"/>
      <c r="C58" s="79"/>
      <c r="D58" s="79"/>
      <c r="E58" s="79"/>
      <c r="F58" s="79"/>
      <c r="G58" s="79"/>
      <c r="H58" s="79"/>
      <c r="I58" s="79"/>
      <c r="J58" s="79"/>
      <c r="K58" s="79"/>
      <c r="L58" s="79"/>
      <c r="N58" s="102" t="str">
        <f t="shared" si="95"/>
        <v/>
      </c>
      <c r="P58" s="103"/>
      <c r="Q58" s="103"/>
      <c r="R58" s="103"/>
      <c r="S58" s="103"/>
      <c r="T58" s="103"/>
      <c r="U58" s="103"/>
      <c r="V58" s="103"/>
      <c r="W58" s="103"/>
      <c r="X58" s="103"/>
    </row>
    <row r="59">
      <c r="A59" s="17"/>
      <c r="C59" s="79"/>
      <c r="D59" s="79"/>
      <c r="E59" s="79"/>
      <c r="F59" s="79"/>
      <c r="G59" s="79"/>
      <c r="H59" s="79"/>
      <c r="I59" s="79"/>
      <c r="J59" s="79"/>
      <c r="K59" s="79"/>
      <c r="L59" s="79"/>
      <c r="N59" s="102" t="str">
        <f t="shared" si="95"/>
        <v/>
      </c>
      <c r="P59" s="103"/>
      <c r="Q59" s="103"/>
      <c r="R59" s="103"/>
      <c r="S59" s="103"/>
      <c r="T59" s="103"/>
      <c r="U59" s="103"/>
      <c r="V59" s="103"/>
      <c r="W59" s="103"/>
      <c r="X59" s="103"/>
    </row>
    <row r="60">
      <c r="A60" s="17"/>
      <c r="C60" s="79"/>
      <c r="D60" s="79"/>
      <c r="E60" s="79"/>
      <c r="F60" s="79"/>
      <c r="G60" s="79"/>
      <c r="H60" s="79"/>
      <c r="I60" s="79"/>
      <c r="J60" s="79"/>
      <c r="K60" s="79"/>
      <c r="L60" s="79"/>
      <c r="N60" s="102" t="str">
        <f t="shared" si="95"/>
        <v/>
      </c>
      <c r="P60" s="103"/>
      <c r="Q60" s="103"/>
      <c r="R60" s="103"/>
      <c r="S60" s="103"/>
      <c r="T60" s="103"/>
      <c r="U60" s="103"/>
      <c r="V60" s="103"/>
      <c r="W60" s="103"/>
      <c r="X60" s="103"/>
    </row>
    <row r="61">
      <c r="A61" s="17"/>
      <c r="C61" s="79"/>
      <c r="D61" s="79"/>
      <c r="E61" s="79"/>
      <c r="F61" s="79"/>
      <c r="G61" s="79"/>
      <c r="H61" s="79"/>
      <c r="I61" s="79"/>
      <c r="J61" s="79"/>
      <c r="K61" s="79"/>
      <c r="L61" s="79"/>
      <c r="N61" s="102" t="str">
        <f t="shared" si="95"/>
        <v/>
      </c>
      <c r="P61" s="103"/>
      <c r="Q61" s="103"/>
      <c r="R61" s="103"/>
      <c r="S61" s="103"/>
      <c r="T61" s="103"/>
      <c r="U61" s="103"/>
      <c r="V61" s="103"/>
      <c r="W61" s="103"/>
      <c r="X61" s="103"/>
    </row>
    <row r="62">
      <c r="A62" s="17"/>
      <c r="C62" s="79"/>
      <c r="D62" s="79"/>
      <c r="E62" s="79"/>
      <c r="F62" s="79"/>
      <c r="G62" s="79"/>
      <c r="H62" s="79"/>
      <c r="I62" s="79"/>
      <c r="J62" s="79"/>
      <c r="K62" s="79"/>
      <c r="L62" s="79"/>
      <c r="N62" s="102" t="str">
        <f t="shared" si="95"/>
        <v/>
      </c>
      <c r="P62" s="103"/>
      <c r="Q62" s="103"/>
      <c r="R62" s="103"/>
      <c r="S62" s="103"/>
      <c r="T62" s="103"/>
      <c r="U62" s="103"/>
      <c r="V62" s="103"/>
      <c r="W62" s="103"/>
      <c r="X62" s="103"/>
    </row>
    <row r="63">
      <c r="A63" s="17"/>
      <c r="C63" s="79"/>
      <c r="D63" s="79"/>
      <c r="E63" s="79"/>
      <c r="F63" s="79"/>
      <c r="G63" s="79"/>
      <c r="H63" s="79"/>
      <c r="I63" s="79"/>
      <c r="J63" s="79"/>
      <c r="K63" s="79"/>
      <c r="L63" s="79"/>
      <c r="N63" s="102" t="str">
        <f t="shared" si="95"/>
        <v/>
      </c>
      <c r="P63" s="103"/>
      <c r="Q63" s="103"/>
      <c r="R63" s="103"/>
      <c r="S63" s="103"/>
      <c r="T63" s="103"/>
      <c r="U63" s="103"/>
      <c r="V63" s="103"/>
      <c r="W63" s="103"/>
      <c r="X63" s="103"/>
    </row>
    <row r="64">
      <c r="A64" s="17"/>
      <c r="C64" s="79"/>
      <c r="D64" s="79"/>
      <c r="E64" s="79"/>
      <c r="F64" s="79"/>
      <c r="G64" s="79"/>
      <c r="H64" s="79"/>
      <c r="I64" s="79"/>
      <c r="J64" s="79"/>
      <c r="K64" s="79"/>
      <c r="L64" s="79"/>
      <c r="N64" s="102" t="str">
        <f t="shared" si="95"/>
        <v/>
      </c>
      <c r="P64" s="103"/>
      <c r="Q64" s="103"/>
      <c r="R64" s="103"/>
      <c r="S64" s="103"/>
      <c r="T64" s="103"/>
      <c r="U64" s="103"/>
      <c r="V64" s="103"/>
      <c r="W64" s="103"/>
      <c r="X64" s="103"/>
    </row>
    <row r="65">
      <c r="A65" s="17"/>
      <c r="C65" s="79"/>
      <c r="D65" s="79"/>
      <c r="E65" s="79"/>
      <c r="F65" s="79"/>
      <c r="G65" s="79"/>
      <c r="H65" s="79"/>
      <c r="I65" s="79"/>
      <c r="J65" s="79"/>
      <c r="K65" s="79"/>
      <c r="L65" s="79"/>
      <c r="N65" s="102" t="str">
        <f t="shared" si="95"/>
        <v/>
      </c>
      <c r="P65" s="103"/>
      <c r="Q65" s="103"/>
      <c r="R65" s="103"/>
      <c r="S65" s="103"/>
      <c r="T65" s="103"/>
      <c r="U65" s="103"/>
      <c r="V65" s="103"/>
      <c r="W65" s="103"/>
      <c r="X65" s="103"/>
    </row>
    <row r="66">
      <c r="A66" s="17"/>
      <c r="C66" s="79"/>
      <c r="D66" s="79"/>
      <c r="E66" s="79"/>
      <c r="F66" s="79"/>
      <c r="G66" s="79"/>
      <c r="H66" s="79"/>
      <c r="I66" s="79"/>
      <c r="J66" s="79"/>
      <c r="K66" s="79"/>
      <c r="L66" s="79"/>
      <c r="N66" s="102" t="str">
        <f t="shared" si="95"/>
        <v/>
      </c>
      <c r="P66" s="103"/>
      <c r="Q66" s="103"/>
      <c r="R66" s="103"/>
      <c r="S66" s="103"/>
      <c r="T66" s="103"/>
      <c r="U66" s="103"/>
      <c r="V66" s="103"/>
      <c r="W66" s="103"/>
      <c r="X66" s="103"/>
    </row>
    <row r="67">
      <c r="A67" s="17"/>
      <c r="C67" s="79"/>
      <c r="D67" s="79"/>
      <c r="E67" s="79"/>
      <c r="F67" s="79"/>
      <c r="G67" s="79"/>
      <c r="H67" s="79"/>
      <c r="I67" s="79"/>
      <c r="J67" s="79"/>
      <c r="K67" s="79"/>
      <c r="L67" s="79"/>
      <c r="N67" s="102" t="str">
        <f t="shared" si="95"/>
        <v/>
      </c>
      <c r="P67" s="103"/>
      <c r="Q67" s="103"/>
      <c r="R67" s="103"/>
      <c r="S67" s="103"/>
      <c r="T67" s="103"/>
      <c r="U67" s="103"/>
      <c r="V67" s="103"/>
      <c r="W67" s="103"/>
      <c r="X67" s="103"/>
    </row>
    <row r="68">
      <c r="A68" s="17"/>
      <c r="C68" s="79"/>
      <c r="D68" s="79"/>
      <c r="E68" s="79"/>
      <c r="F68" s="79"/>
      <c r="G68" s="79"/>
      <c r="H68" s="79"/>
      <c r="I68" s="79"/>
      <c r="J68" s="79"/>
      <c r="K68" s="79"/>
      <c r="L68" s="79"/>
      <c r="N68" s="102" t="str">
        <f t="shared" si="95"/>
        <v/>
      </c>
      <c r="P68" s="103"/>
      <c r="Q68" s="103"/>
      <c r="R68" s="103"/>
      <c r="S68" s="103"/>
      <c r="T68" s="103"/>
      <c r="U68" s="103"/>
      <c r="V68" s="103"/>
      <c r="W68" s="103"/>
      <c r="X68" s="103"/>
    </row>
    <row r="69">
      <c r="A69" s="17"/>
      <c r="C69" s="79"/>
      <c r="D69" s="79"/>
      <c r="E69" s="79"/>
      <c r="F69" s="79"/>
      <c r="G69" s="79"/>
      <c r="H69" s="79"/>
      <c r="I69" s="79"/>
      <c r="J69" s="79"/>
      <c r="K69" s="79"/>
      <c r="L69" s="79"/>
      <c r="N69" s="102" t="str">
        <f t="shared" si="95"/>
        <v/>
      </c>
      <c r="P69" s="103"/>
      <c r="Q69" s="103"/>
      <c r="R69" s="103"/>
      <c r="S69" s="103"/>
      <c r="T69" s="103"/>
      <c r="U69" s="103"/>
      <c r="V69" s="103"/>
      <c r="W69" s="103"/>
      <c r="X69" s="103"/>
    </row>
    <row r="70">
      <c r="A70" s="17"/>
      <c r="C70" s="79"/>
      <c r="D70" s="79"/>
      <c r="E70" s="79"/>
      <c r="F70" s="79"/>
      <c r="G70" s="79"/>
      <c r="H70" s="79"/>
      <c r="I70" s="79"/>
      <c r="J70" s="79"/>
      <c r="K70" s="79"/>
      <c r="L70" s="79"/>
      <c r="N70" s="102" t="str">
        <f t="shared" si="95"/>
        <v/>
      </c>
      <c r="P70" s="103"/>
      <c r="Q70" s="103"/>
      <c r="R70" s="103"/>
      <c r="S70" s="103"/>
      <c r="T70" s="103"/>
      <c r="U70" s="103"/>
      <c r="V70" s="103"/>
      <c r="W70" s="103"/>
      <c r="X70" s="103"/>
    </row>
    <row r="71">
      <c r="A71" s="17"/>
      <c r="C71" s="79"/>
      <c r="D71" s="79"/>
      <c r="E71" s="79"/>
      <c r="F71" s="79"/>
      <c r="G71" s="79"/>
      <c r="H71" s="79"/>
      <c r="I71" s="79"/>
      <c r="J71" s="79"/>
      <c r="K71" s="79"/>
      <c r="L71" s="79"/>
      <c r="N71" s="102" t="str">
        <f t="shared" si="95"/>
        <v/>
      </c>
      <c r="P71" s="103"/>
      <c r="Q71" s="103"/>
      <c r="R71" s="103"/>
      <c r="S71" s="103"/>
      <c r="T71" s="103"/>
      <c r="U71" s="103"/>
      <c r="V71" s="103"/>
      <c r="W71" s="103"/>
      <c r="X71" s="103"/>
    </row>
    <row r="72">
      <c r="A72" s="17"/>
      <c r="C72" s="102"/>
      <c r="D72" s="79"/>
      <c r="E72" s="79"/>
      <c r="F72" s="79"/>
      <c r="G72" s="79"/>
      <c r="H72" s="79"/>
      <c r="I72" s="79"/>
      <c r="J72" s="79"/>
      <c r="K72" s="79"/>
      <c r="L72" s="79"/>
      <c r="N72" s="102" t="str">
        <f t="shared" si="95"/>
        <v/>
      </c>
      <c r="P72" s="103"/>
      <c r="Q72" s="103"/>
      <c r="R72" s="103"/>
      <c r="S72" s="103"/>
      <c r="T72" s="103"/>
      <c r="U72" s="103"/>
      <c r="V72" s="103"/>
      <c r="W72" s="103"/>
      <c r="X72" s="103"/>
    </row>
    <row r="73">
      <c r="A73" s="17"/>
      <c r="C73" s="102"/>
      <c r="D73" s="89"/>
      <c r="E73" s="89"/>
      <c r="F73" s="89"/>
      <c r="G73" s="89"/>
      <c r="H73" s="89"/>
      <c r="I73" s="89"/>
      <c r="J73" s="89"/>
      <c r="K73" s="89"/>
      <c r="L73" s="89"/>
      <c r="N73" s="102"/>
      <c r="P73" s="103"/>
      <c r="Q73" s="103"/>
      <c r="R73" s="103"/>
      <c r="S73" s="103"/>
      <c r="T73" s="103"/>
      <c r="U73" s="103"/>
      <c r="V73" s="103"/>
      <c r="W73" s="103"/>
      <c r="X73" s="103"/>
    </row>
    <row r="74">
      <c r="A74" s="17"/>
      <c r="D74" s="103"/>
      <c r="E74" s="103"/>
      <c r="F74" s="103"/>
      <c r="G74" s="103"/>
      <c r="H74" s="103"/>
      <c r="I74" s="103"/>
      <c r="J74" s="103"/>
      <c r="K74" s="103"/>
      <c r="L74" s="103"/>
      <c r="N74" s="102"/>
    </row>
    <row r="75">
      <c r="A75" s="17"/>
      <c r="D75" s="103"/>
      <c r="E75" s="103"/>
      <c r="F75" s="103"/>
      <c r="G75" s="103"/>
      <c r="H75" s="103"/>
      <c r="I75" s="103"/>
      <c r="J75" s="103"/>
      <c r="K75" s="103"/>
      <c r="L75" s="103"/>
      <c r="N75" s="102"/>
    </row>
    <row r="76">
      <c r="A76" s="17"/>
      <c r="D76" s="103"/>
      <c r="E76" s="103"/>
      <c r="F76" s="103"/>
      <c r="G76" s="103"/>
      <c r="H76" s="103"/>
      <c r="I76" s="103"/>
      <c r="J76" s="103"/>
      <c r="K76" s="103"/>
      <c r="L76" s="103"/>
      <c r="N76" s="102"/>
    </row>
    <row r="77">
      <c r="A77" s="17"/>
      <c r="D77" s="103"/>
      <c r="E77" s="103"/>
      <c r="F77" s="103"/>
      <c r="G77" s="103"/>
      <c r="H77" s="103"/>
      <c r="I77" s="103"/>
      <c r="J77" s="103"/>
      <c r="K77" s="103"/>
      <c r="L77" s="103"/>
      <c r="N77" s="102"/>
    </row>
    <row r="78">
      <c r="A78" s="17"/>
      <c r="D78" s="103"/>
      <c r="E78" s="103"/>
      <c r="F78" s="103"/>
      <c r="G78" s="103"/>
      <c r="H78" s="103"/>
      <c r="I78" s="103"/>
      <c r="J78" s="103"/>
      <c r="K78" s="103"/>
      <c r="L78" s="103"/>
      <c r="N78" s="102"/>
    </row>
    <row r="79">
      <c r="A79" s="17"/>
      <c r="C79" s="79"/>
      <c r="D79" s="79"/>
      <c r="E79" s="79"/>
      <c r="F79" s="79"/>
      <c r="G79" s="79"/>
      <c r="H79" s="79"/>
      <c r="I79" s="79"/>
      <c r="J79" s="79"/>
      <c r="K79" s="79"/>
      <c r="L79" s="79"/>
      <c r="N79" s="102"/>
    </row>
    <row r="80">
      <c r="A80" s="17"/>
      <c r="C80" s="79"/>
      <c r="D80" s="79"/>
      <c r="E80" s="79"/>
      <c r="F80" s="79"/>
      <c r="G80" s="79"/>
      <c r="H80" s="79"/>
      <c r="I80" s="79"/>
      <c r="J80" s="79"/>
      <c r="K80" s="79"/>
      <c r="L80" s="79"/>
      <c r="N80" s="102"/>
    </row>
    <row r="81">
      <c r="A81" s="17"/>
      <c r="C81" s="79"/>
      <c r="D81" s="79"/>
      <c r="E81" s="79"/>
      <c r="F81" s="79"/>
      <c r="G81" s="79"/>
      <c r="H81" s="79"/>
      <c r="I81" s="79"/>
      <c r="J81" s="79"/>
      <c r="K81" s="79"/>
      <c r="L81" s="79"/>
      <c r="N81" s="102"/>
    </row>
    <row r="82">
      <c r="A82" s="17"/>
      <c r="C82" s="79"/>
      <c r="D82" s="79"/>
      <c r="E82" s="79"/>
      <c r="F82" s="79"/>
      <c r="G82" s="79"/>
      <c r="H82" s="79"/>
      <c r="I82" s="79"/>
      <c r="J82" s="79"/>
      <c r="K82" s="79"/>
      <c r="L82" s="79"/>
      <c r="N82" s="102"/>
    </row>
    <row r="83">
      <c r="A83" s="17"/>
      <c r="C83" s="79"/>
      <c r="D83" s="79"/>
      <c r="E83" s="79"/>
      <c r="F83" s="79"/>
      <c r="G83" s="79"/>
      <c r="H83" s="79"/>
      <c r="I83" s="79"/>
      <c r="J83" s="79"/>
      <c r="K83" s="79"/>
      <c r="L83" s="79"/>
      <c r="N83" s="102"/>
    </row>
    <row r="84">
      <c r="A84" s="17"/>
      <c r="C84" s="79"/>
      <c r="D84" s="79"/>
      <c r="E84" s="79"/>
      <c r="F84" s="79"/>
      <c r="G84" s="79"/>
      <c r="H84" s="79"/>
      <c r="I84" s="79"/>
      <c r="J84" s="79"/>
      <c r="K84" s="79"/>
      <c r="L84" s="79"/>
      <c r="N84" s="102"/>
    </row>
    <row r="85">
      <c r="A85" s="17"/>
      <c r="C85" s="79"/>
      <c r="D85" s="79"/>
      <c r="E85" s="79"/>
      <c r="F85" s="79"/>
      <c r="G85" s="79"/>
      <c r="H85" s="79"/>
      <c r="I85" s="79"/>
      <c r="J85" s="79"/>
      <c r="K85" s="79"/>
      <c r="L85" s="79"/>
      <c r="N85" s="102"/>
    </row>
    <row r="86">
      <c r="A86" s="17"/>
      <c r="C86" s="79"/>
      <c r="D86" s="79"/>
      <c r="E86" s="79"/>
      <c r="F86" s="79"/>
      <c r="G86" s="79"/>
      <c r="H86" s="79"/>
      <c r="I86" s="79"/>
      <c r="J86" s="79"/>
      <c r="K86" s="79"/>
      <c r="L86" s="79"/>
      <c r="N86" s="102"/>
    </row>
    <row r="87">
      <c r="A87" s="17"/>
      <c r="C87" s="79"/>
      <c r="D87" s="79"/>
      <c r="E87" s="79"/>
      <c r="F87" s="79"/>
      <c r="G87" s="79"/>
      <c r="H87" s="79"/>
      <c r="I87" s="79"/>
      <c r="J87" s="79"/>
      <c r="K87" s="79"/>
      <c r="L87" s="79"/>
      <c r="N87" s="102"/>
    </row>
    <row r="88">
      <c r="A88" s="17"/>
      <c r="C88" s="79"/>
      <c r="D88" s="79"/>
      <c r="E88" s="79"/>
      <c r="F88" s="79"/>
      <c r="G88" s="79"/>
      <c r="H88" s="79"/>
      <c r="I88" s="79"/>
      <c r="J88" s="79"/>
      <c r="K88" s="79"/>
      <c r="L88" s="79"/>
      <c r="N88" s="102"/>
    </row>
    <row r="89">
      <c r="A89" s="17"/>
      <c r="C89" s="79"/>
      <c r="D89" s="79"/>
      <c r="E89" s="79"/>
      <c r="F89" s="79"/>
      <c r="G89" s="79"/>
      <c r="H89" s="79"/>
      <c r="I89" s="79"/>
      <c r="J89" s="79"/>
      <c r="K89" s="79"/>
      <c r="L89" s="79"/>
      <c r="N89" s="102"/>
    </row>
    <row r="90">
      <c r="A90" s="17"/>
      <c r="C90" s="79"/>
      <c r="D90" s="79"/>
      <c r="E90" s="79"/>
      <c r="F90" s="79"/>
      <c r="G90" s="79"/>
      <c r="H90" s="79"/>
      <c r="I90" s="79"/>
      <c r="J90" s="79"/>
      <c r="K90" s="79"/>
      <c r="L90" s="79"/>
      <c r="N90" s="102"/>
    </row>
    <row r="91">
      <c r="A91" s="17"/>
      <c r="C91" s="79"/>
      <c r="D91" s="79"/>
      <c r="E91" s="79"/>
      <c r="F91" s="79"/>
      <c r="G91" s="79"/>
      <c r="H91" s="79"/>
      <c r="I91" s="79"/>
      <c r="J91" s="79"/>
      <c r="K91" s="79"/>
      <c r="L91" s="79"/>
      <c r="N91" s="102"/>
    </row>
    <row r="92">
      <c r="A92" s="17"/>
      <c r="C92" s="79"/>
      <c r="D92" s="79"/>
      <c r="E92" s="79"/>
      <c r="F92" s="79"/>
      <c r="G92" s="79"/>
      <c r="H92" s="79"/>
      <c r="I92" s="79"/>
      <c r="J92" s="79"/>
      <c r="K92" s="79"/>
      <c r="L92" s="79"/>
      <c r="N92" s="102"/>
    </row>
    <row r="93">
      <c r="A93" s="17"/>
      <c r="C93" s="79"/>
      <c r="D93" s="79"/>
      <c r="E93" s="79"/>
      <c r="F93" s="79"/>
      <c r="G93" s="79"/>
      <c r="H93" s="79"/>
      <c r="I93" s="79"/>
      <c r="J93" s="79"/>
      <c r="K93" s="79"/>
      <c r="L93" s="79"/>
      <c r="N93" s="102"/>
    </row>
    <row r="94">
      <c r="A94" s="17"/>
      <c r="C94" s="79"/>
      <c r="D94" s="79"/>
      <c r="E94" s="79"/>
      <c r="F94" s="79"/>
      <c r="G94" s="79"/>
      <c r="H94" s="79"/>
      <c r="I94" s="79"/>
      <c r="J94" s="79"/>
      <c r="K94" s="79"/>
      <c r="L94" s="79"/>
      <c r="N94" s="102"/>
    </row>
    <row r="95">
      <c r="A95" s="17"/>
      <c r="C95" s="79"/>
      <c r="D95" s="79"/>
      <c r="E95" s="79"/>
      <c r="F95" s="79"/>
      <c r="G95" s="79"/>
      <c r="H95" s="79"/>
      <c r="I95" s="79"/>
      <c r="J95" s="79"/>
      <c r="K95" s="79"/>
      <c r="L95" s="79"/>
      <c r="N95" s="102"/>
    </row>
    <row r="96">
      <c r="A96" s="17"/>
      <c r="C96" s="79"/>
      <c r="D96" s="79"/>
      <c r="E96" s="79"/>
      <c r="F96" s="79"/>
      <c r="G96" s="79"/>
      <c r="H96" s="79"/>
      <c r="I96" s="79"/>
      <c r="J96" s="79"/>
      <c r="K96" s="79"/>
      <c r="L96" s="79"/>
      <c r="N96" s="102"/>
    </row>
    <row r="97">
      <c r="A97" s="17"/>
      <c r="C97" s="79"/>
      <c r="D97" s="79"/>
      <c r="E97" s="79"/>
      <c r="F97" s="79"/>
      <c r="G97" s="79"/>
      <c r="H97" s="79"/>
      <c r="I97" s="79"/>
      <c r="J97" s="79"/>
      <c r="K97" s="79"/>
      <c r="L97" s="79"/>
      <c r="N97" s="102"/>
    </row>
    <row r="98">
      <c r="A98" s="17"/>
      <c r="C98" s="79"/>
      <c r="D98" s="79"/>
      <c r="E98" s="79"/>
      <c r="F98" s="79"/>
      <c r="G98" s="79"/>
      <c r="H98" s="79"/>
      <c r="I98" s="79"/>
      <c r="J98" s="79"/>
      <c r="K98" s="79"/>
      <c r="L98" s="79"/>
      <c r="N98" s="102"/>
    </row>
    <row r="99">
      <c r="A99" s="17"/>
      <c r="C99" s="79"/>
      <c r="D99" s="79"/>
      <c r="E99" s="79"/>
      <c r="F99" s="79"/>
      <c r="G99" s="79"/>
      <c r="H99" s="79"/>
      <c r="I99" s="79"/>
      <c r="J99" s="79"/>
      <c r="K99" s="79"/>
      <c r="L99" s="79"/>
      <c r="N99" s="102"/>
    </row>
    <row r="100">
      <c r="A100" s="17"/>
      <c r="C100" s="79"/>
      <c r="D100" s="79"/>
      <c r="E100" s="79"/>
      <c r="F100" s="79"/>
      <c r="G100" s="79"/>
      <c r="H100" s="79"/>
      <c r="I100" s="79"/>
      <c r="J100" s="79"/>
      <c r="K100" s="79"/>
      <c r="L100" s="79"/>
      <c r="N100" s="102"/>
    </row>
    <row r="101">
      <c r="A101" s="17"/>
      <c r="C101" s="79"/>
      <c r="D101" s="79"/>
      <c r="E101" s="79"/>
      <c r="F101" s="79"/>
      <c r="G101" s="79"/>
      <c r="H101" s="79"/>
      <c r="I101" s="79"/>
      <c r="J101" s="79"/>
      <c r="K101" s="79"/>
      <c r="L101" s="79"/>
      <c r="N101" s="102"/>
    </row>
    <row r="102">
      <c r="A102" s="17"/>
      <c r="C102" s="79"/>
      <c r="D102" s="79"/>
      <c r="E102" s="79"/>
      <c r="F102" s="79"/>
      <c r="G102" s="79"/>
      <c r="H102" s="79"/>
      <c r="I102" s="79"/>
      <c r="J102" s="79"/>
      <c r="K102" s="79"/>
      <c r="L102" s="79"/>
      <c r="N102" s="102"/>
    </row>
    <row r="103">
      <c r="A103" s="17"/>
      <c r="C103" s="79"/>
      <c r="D103" s="79"/>
      <c r="E103" s="79"/>
      <c r="F103" s="79"/>
      <c r="G103" s="79"/>
      <c r="H103" s="79"/>
      <c r="I103" s="79"/>
      <c r="J103" s="79"/>
      <c r="K103" s="79"/>
      <c r="L103" s="79"/>
      <c r="N103" s="102"/>
    </row>
    <row r="104">
      <c r="A104" s="17"/>
      <c r="C104" s="79"/>
      <c r="D104" s="79"/>
      <c r="E104" s="79"/>
      <c r="F104" s="79"/>
      <c r="G104" s="79"/>
      <c r="H104" s="79"/>
      <c r="I104" s="79"/>
      <c r="J104" s="79"/>
      <c r="K104" s="79"/>
      <c r="L104" s="79"/>
      <c r="N104" s="102"/>
    </row>
    <row r="105">
      <c r="A105" s="17"/>
      <c r="C105" s="79"/>
      <c r="D105" s="79"/>
      <c r="E105" s="79"/>
      <c r="F105" s="79"/>
      <c r="G105" s="79"/>
      <c r="H105" s="79"/>
      <c r="I105" s="79"/>
      <c r="J105" s="79"/>
      <c r="K105" s="79"/>
      <c r="L105" s="79"/>
      <c r="N105" s="102"/>
    </row>
    <row r="106">
      <c r="A106" s="17"/>
      <c r="C106" s="79"/>
      <c r="D106" s="79"/>
      <c r="E106" s="79"/>
      <c r="F106" s="79"/>
      <c r="G106" s="79"/>
      <c r="H106" s="79"/>
      <c r="I106" s="79"/>
      <c r="J106" s="79"/>
      <c r="K106" s="79"/>
      <c r="L106" s="79"/>
      <c r="N106" s="102"/>
    </row>
    <row r="107">
      <c r="A107" s="17"/>
      <c r="C107" s="79"/>
      <c r="D107" s="79"/>
      <c r="E107" s="79"/>
      <c r="F107" s="79"/>
      <c r="G107" s="79"/>
      <c r="H107" s="79"/>
      <c r="I107" s="79"/>
      <c r="J107" s="79"/>
      <c r="K107" s="79"/>
      <c r="L107" s="79"/>
      <c r="N107" s="102"/>
    </row>
    <row r="108">
      <c r="A108" s="17"/>
      <c r="C108" s="79"/>
      <c r="D108" s="79"/>
      <c r="E108" s="79"/>
      <c r="F108" s="79"/>
      <c r="G108" s="79"/>
      <c r="H108" s="79"/>
      <c r="I108" s="79"/>
      <c r="J108" s="79"/>
      <c r="K108" s="79"/>
      <c r="L108" s="79"/>
      <c r="N108" s="102"/>
    </row>
    <row r="109">
      <c r="A109" s="17"/>
      <c r="C109" s="79"/>
      <c r="D109" s="79"/>
      <c r="E109" s="79"/>
      <c r="F109" s="79"/>
      <c r="G109" s="79"/>
      <c r="H109" s="79"/>
      <c r="I109" s="79"/>
      <c r="J109" s="79"/>
      <c r="K109" s="79"/>
      <c r="L109" s="79"/>
      <c r="N109" s="102"/>
    </row>
    <row r="110">
      <c r="A110" s="17"/>
      <c r="C110" s="79"/>
      <c r="D110" s="79"/>
      <c r="E110" s="79"/>
      <c r="F110" s="79"/>
      <c r="G110" s="79"/>
      <c r="H110" s="79"/>
      <c r="I110" s="79"/>
      <c r="J110" s="79"/>
      <c r="K110" s="79"/>
      <c r="L110" s="79"/>
      <c r="N110" s="102"/>
    </row>
    <row r="111">
      <c r="A111" s="17"/>
      <c r="C111" s="79"/>
      <c r="D111" s="79"/>
      <c r="E111" s="79"/>
      <c r="F111" s="79"/>
      <c r="G111" s="79"/>
      <c r="H111" s="79"/>
      <c r="I111" s="79"/>
      <c r="J111" s="79"/>
      <c r="K111" s="79"/>
      <c r="L111" s="79"/>
      <c r="N111" s="102"/>
    </row>
    <row r="112">
      <c r="A112" s="17"/>
      <c r="C112" s="79"/>
      <c r="D112" s="79"/>
      <c r="E112" s="79"/>
      <c r="F112" s="79"/>
      <c r="G112" s="79"/>
      <c r="H112" s="79"/>
      <c r="I112" s="79"/>
      <c r="J112" s="79"/>
      <c r="K112" s="79"/>
      <c r="L112" s="79"/>
      <c r="N112" s="102"/>
    </row>
    <row r="113">
      <c r="A113" s="17"/>
      <c r="C113" s="79"/>
      <c r="D113" s="79"/>
      <c r="E113" s="79"/>
      <c r="F113" s="79"/>
      <c r="G113" s="79"/>
      <c r="H113" s="79"/>
      <c r="I113" s="79"/>
      <c r="J113" s="79"/>
      <c r="K113" s="79"/>
      <c r="L113" s="79"/>
      <c r="N113" s="102"/>
    </row>
    <row r="114">
      <c r="A114" s="17"/>
      <c r="C114" s="79"/>
      <c r="D114" s="79"/>
      <c r="E114" s="79"/>
      <c r="F114" s="79"/>
      <c r="G114" s="79"/>
      <c r="H114" s="79"/>
      <c r="I114" s="79"/>
      <c r="J114" s="79"/>
      <c r="K114" s="79"/>
      <c r="L114" s="79"/>
      <c r="N114" s="102"/>
    </row>
    <row r="115">
      <c r="A115" s="17"/>
      <c r="C115" s="79"/>
      <c r="D115" s="79"/>
      <c r="E115" s="79"/>
      <c r="F115" s="79"/>
      <c r="G115" s="79"/>
      <c r="H115" s="79"/>
      <c r="I115" s="79"/>
      <c r="J115" s="79"/>
      <c r="K115" s="79"/>
      <c r="L115" s="79"/>
      <c r="N115" s="102"/>
    </row>
    <row r="116">
      <c r="A116" s="17"/>
      <c r="C116" s="79"/>
      <c r="D116" s="79"/>
      <c r="E116" s="79"/>
      <c r="F116" s="79"/>
      <c r="G116" s="79"/>
      <c r="H116" s="79"/>
      <c r="I116" s="79"/>
      <c r="J116" s="79"/>
      <c r="K116" s="79"/>
      <c r="L116" s="79"/>
      <c r="N116" s="102"/>
    </row>
    <row r="117">
      <c r="A117" s="17"/>
      <c r="C117" s="79"/>
      <c r="D117" s="79"/>
      <c r="E117" s="79"/>
      <c r="F117" s="79"/>
      <c r="G117" s="79"/>
      <c r="H117" s="79"/>
      <c r="I117" s="79"/>
      <c r="J117" s="79"/>
      <c r="K117" s="79"/>
      <c r="L117" s="79"/>
      <c r="N117" s="102"/>
    </row>
    <row r="118">
      <c r="A118" s="17"/>
      <c r="C118" s="79"/>
      <c r="D118" s="79"/>
      <c r="E118" s="79"/>
      <c r="F118" s="79"/>
      <c r="G118" s="79"/>
      <c r="H118" s="79"/>
      <c r="I118" s="79"/>
      <c r="J118" s="79"/>
      <c r="K118" s="79"/>
      <c r="L118" s="79"/>
      <c r="N118" s="102"/>
    </row>
    <row r="119">
      <c r="A119" s="17"/>
      <c r="C119" s="79"/>
      <c r="D119" s="79"/>
      <c r="E119" s="79"/>
      <c r="F119" s="79"/>
      <c r="G119" s="79"/>
      <c r="H119" s="79"/>
      <c r="I119" s="79"/>
      <c r="J119" s="79"/>
      <c r="K119" s="79"/>
      <c r="L119" s="79"/>
      <c r="N119" s="102"/>
    </row>
    <row r="120">
      <c r="A120" s="17"/>
      <c r="C120" s="79"/>
      <c r="D120" s="79"/>
      <c r="E120" s="79"/>
      <c r="F120" s="79"/>
      <c r="G120" s="79"/>
      <c r="H120" s="79"/>
      <c r="I120" s="79"/>
      <c r="J120" s="79"/>
      <c r="K120" s="79"/>
      <c r="L120" s="79"/>
      <c r="N120" s="102"/>
    </row>
    <row r="121">
      <c r="A121" s="17"/>
      <c r="C121" s="79"/>
      <c r="D121" s="79"/>
      <c r="E121" s="79"/>
      <c r="F121" s="79"/>
      <c r="G121" s="79"/>
      <c r="H121" s="79"/>
      <c r="I121" s="79"/>
      <c r="J121" s="79"/>
      <c r="K121" s="79"/>
      <c r="L121" s="79"/>
      <c r="N121" s="102"/>
    </row>
    <row r="122">
      <c r="A122" s="17"/>
      <c r="C122" s="79"/>
      <c r="D122" s="79"/>
      <c r="E122" s="79"/>
      <c r="F122" s="79"/>
      <c r="G122" s="79"/>
      <c r="H122" s="79"/>
      <c r="I122" s="79"/>
      <c r="J122" s="79"/>
      <c r="K122" s="79"/>
      <c r="L122" s="79"/>
      <c r="N122" s="102"/>
    </row>
    <row r="123">
      <c r="A123" s="17"/>
      <c r="C123" s="79"/>
      <c r="D123" s="79"/>
      <c r="E123" s="79"/>
      <c r="F123" s="79"/>
      <c r="G123" s="79"/>
      <c r="H123" s="79"/>
      <c r="I123" s="79"/>
      <c r="J123" s="79"/>
      <c r="K123" s="79"/>
      <c r="L123" s="79"/>
      <c r="N123" s="102"/>
    </row>
    <row r="124">
      <c r="A124" s="17"/>
      <c r="C124" s="79"/>
      <c r="D124" s="79"/>
      <c r="E124" s="79"/>
      <c r="F124" s="79"/>
      <c r="G124" s="79"/>
      <c r="H124" s="79"/>
      <c r="I124" s="79"/>
      <c r="J124" s="79"/>
      <c r="K124" s="79"/>
      <c r="L124" s="79"/>
      <c r="N124" s="102"/>
    </row>
    <row r="125">
      <c r="A125" s="17"/>
      <c r="C125" s="79"/>
      <c r="D125" s="79"/>
      <c r="E125" s="79"/>
      <c r="F125" s="79"/>
      <c r="G125" s="79"/>
      <c r="H125" s="79"/>
      <c r="I125" s="79"/>
      <c r="J125" s="79"/>
      <c r="K125" s="79"/>
      <c r="L125" s="79"/>
      <c r="N125" s="102"/>
    </row>
    <row r="126">
      <c r="A126" s="17"/>
      <c r="C126" s="79"/>
      <c r="D126" s="79"/>
      <c r="E126" s="79"/>
      <c r="F126" s="79"/>
      <c r="G126" s="79"/>
      <c r="H126" s="79"/>
      <c r="I126" s="79"/>
      <c r="J126" s="79"/>
      <c r="K126" s="79"/>
      <c r="L126" s="79"/>
      <c r="N126" s="102"/>
    </row>
    <row r="127">
      <c r="A127" s="17"/>
      <c r="C127" s="79"/>
      <c r="D127" s="79"/>
      <c r="E127" s="79"/>
      <c r="F127" s="79"/>
      <c r="G127" s="79"/>
      <c r="H127" s="79"/>
      <c r="I127" s="79"/>
      <c r="J127" s="79"/>
      <c r="K127" s="79"/>
      <c r="L127" s="79"/>
      <c r="N127" s="102"/>
    </row>
    <row r="128">
      <c r="A128" s="17"/>
      <c r="C128" s="79"/>
      <c r="D128" s="79"/>
      <c r="E128" s="79"/>
      <c r="F128" s="79"/>
      <c r="G128" s="79"/>
      <c r="H128" s="79"/>
      <c r="I128" s="79"/>
      <c r="J128" s="79"/>
      <c r="K128" s="79"/>
      <c r="L128" s="79"/>
      <c r="N128" s="102"/>
    </row>
    <row r="129">
      <c r="A129" s="17"/>
      <c r="C129" s="79"/>
      <c r="D129" s="79"/>
      <c r="E129" s="79"/>
      <c r="F129" s="79"/>
      <c r="G129" s="79"/>
      <c r="H129" s="79"/>
      <c r="I129" s="79"/>
      <c r="J129" s="79"/>
      <c r="K129" s="79"/>
      <c r="L129" s="79"/>
      <c r="N129" s="102"/>
    </row>
    <row r="130">
      <c r="A130" s="17"/>
      <c r="C130" s="79"/>
      <c r="D130" s="79"/>
      <c r="E130" s="79"/>
      <c r="F130" s="79"/>
      <c r="G130" s="79"/>
      <c r="H130" s="79"/>
      <c r="I130" s="79"/>
      <c r="J130" s="79"/>
      <c r="K130" s="79"/>
      <c r="L130" s="79"/>
      <c r="N130" s="102"/>
    </row>
    <row r="131">
      <c r="A131" s="17"/>
      <c r="C131" s="79"/>
      <c r="D131" s="79"/>
      <c r="E131" s="79"/>
      <c r="F131" s="79"/>
      <c r="G131" s="79"/>
      <c r="H131" s="79"/>
      <c r="I131" s="79"/>
      <c r="J131" s="79"/>
      <c r="K131" s="79"/>
      <c r="L131" s="79"/>
      <c r="N131" s="102"/>
    </row>
    <row r="132">
      <c r="A132" s="17"/>
      <c r="C132" s="79"/>
      <c r="D132" s="79"/>
      <c r="E132" s="79"/>
      <c r="F132" s="79"/>
      <c r="G132" s="79"/>
      <c r="H132" s="79"/>
      <c r="I132" s="79"/>
      <c r="J132" s="79"/>
      <c r="K132" s="79"/>
      <c r="L132" s="79"/>
      <c r="N132" s="102"/>
    </row>
    <row r="133">
      <c r="A133" s="17"/>
      <c r="C133" s="79"/>
      <c r="D133" s="79"/>
      <c r="E133" s="79"/>
      <c r="F133" s="79"/>
      <c r="G133" s="79"/>
      <c r="H133" s="79"/>
      <c r="I133" s="79"/>
      <c r="J133" s="79"/>
      <c r="K133" s="79"/>
      <c r="L133" s="79"/>
      <c r="N133" s="102"/>
    </row>
    <row r="134">
      <c r="A134" s="17"/>
      <c r="C134" s="79"/>
      <c r="D134" s="79"/>
      <c r="E134" s="79"/>
      <c r="F134" s="79"/>
      <c r="G134" s="79"/>
      <c r="H134" s="79"/>
      <c r="I134" s="79"/>
      <c r="J134" s="79"/>
      <c r="K134" s="79"/>
      <c r="L134" s="79"/>
      <c r="N134" s="102"/>
    </row>
    <row r="135">
      <c r="A135" s="17"/>
      <c r="C135" s="79"/>
      <c r="D135" s="79"/>
      <c r="E135" s="79"/>
      <c r="F135" s="79"/>
      <c r="G135" s="79"/>
      <c r="H135" s="79"/>
      <c r="I135" s="79"/>
      <c r="J135" s="79"/>
      <c r="K135" s="79"/>
      <c r="L135" s="79"/>
      <c r="N135" s="102"/>
    </row>
    <row r="136">
      <c r="A136" s="17"/>
      <c r="C136" s="79"/>
      <c r="D136" s="79"/>
      <c r="E136" s="79"/>
      <c r="F136" s="79"/>
      <c r="G136" s="79"/>
      <c r="H136" s="79"/>
      <c r="I136" s="79"/>
      <c r="J136" s="79"/>
      <c r="K136" s="79"/>
      <c r="L136" s="79"/>
      <c r="N136" s="102"/>
    </row>
    <row r="137">
      <c r="A137" s="17"/>
      <c r="C137" s="79"/>
      <c r="D137" s="79"/>
      <c r="E137" s="79"/>
      <c r="F137" s="79"/>
      <c r="G137" s="79"/>
      <c r="H137" s="79"/>
      <c r="I137" s="79"/>
      <c r="J137" s="79"/>
      <c r="K137" s="79"/>
      <c r="L137" s="79"/>
      <c r="N137" s="102"/>
    </row>
    <row r="138">
      <c r="A138" s="17"/>
      <c r="C138" s="79"/>
      <c r="D138" s="79"/>
      <c r="E138" s="79"/>
      <c r="F138" s="79"/>
      <c r="G138" s="79"/>
      <c r="H138" s="79"/>
      <c r="I138" s="79"/>
      <c r="J138" s="79"/>
      <c r="K138" s="79"/>
      <c r="L138" s="79"/>
      <c r="N138" s="102"/>
    </row>
    <row r="139">
      <c r="A139" s="17"/>
      <c r="C139" s="79"/>
      <c r="D139" s="79"/>
      <c r="E139" s="79"/>
      <c r="F139" s="79"/>
      <c r="G139" s="79"/>
      <c r="H139" s="79"/>
      <c r="I139" s="79"/>
      <c r="J139" s="79"/>
      <c r="K139" s="79"/>
      <c r="L139" s="79"/>
      <c r="N139" s="102"/>
    </row>
    <row r="140">
      <c r="A140" s="17"/>
      <c r="C140" s="79"/>
      <c r="D140" s="79"/>
      <c r="E140" s="79"/>
      <c r="F140" s="79"/>
      <c r="G140" s="79"/>
      <c r="H140" s="79"/>
      <c r="I140" s="79"/>
      <c r="J140" s="79"/>
      <c r="K140" s="79"/>
      <c r="L140" s="79"/>
      <c r="N140" s="102"/>
    </row>
    <row r="141">
      <c r="A141" s="17"/>
      <c r="C141" s="79"/>
      <c r="D141" s="79"/>
      <c r="E141" s="79"/>
      <c r="F141" s="79"/>
      <c r="G141" s="79"/>
      <c r="H141" s="79"/>
      <c r="I141" s="79"/>
      <c r="J141" s="79"/>
      <c r="K141" s="79"/>
      <c r="L141" s="79"/>
      <c r="N141" s="102"/>
    </row>
    <row r="142">
      <c r="A142" s="17"/>
      <c r="C142" s="79"/>
      <c r="D142" s="79"/>
      <c r="E142" s="79"/>
      <c r="F142" s="79"/>
      <c r="G142" s="79"/>
      <c r="H142" s="79"/>
      <c r="I142" s="79"/>
      <c r="J142" s="79"/>
      <c r="K142" s="79"/>
      <c r="L142" s="79"/>
      <c r="N142" s="102"/>
    </row>
    <row r="143">
      <c r="A143" s="17"/>
      <c r="C143" s="79"/>
      <c r="D143" s="79"/>
      <c r="E143" s="79"/>
      <c r="F143" s="79"/>
      <c r="G143" s="79"/>
      <c r="H143" s="79"/>
      <c r="I143" s="79"/>
      <c r="J143" s="79"/>
      <c r="K143" s="79"/>
      <c r="L143" s="79"/>
      <c r="N143" s="102"/>
    </row>
    <row r="144">
      <c r="A144" s="17"/>
      <c r="C144" s="79"/>
      <c r="D144" s="79"/>
      <c r="E144" s="79"/>
      <c r="F144" s="79"/>
      <c r="G144" s="79"/>
      <c r="H144" s="79"/>
      <c r="I144" s="79"/>
      <c r="J144" s="79"/>
      <c r="K144" s="79"/>
      <c r="L144" s="79"/>
      <c r="N144" s="102"/>
    </row>
    <row r="145">
      <c r="A145" s="17"/>
      <c r="C145" s="79"/>
      <c r="D145" s="79"/>
      <c r="E145" s="79"/>
      <c r="F145" s="79"/>
      <c r="G145" s="79"/>
      <c r="H145" s="79"/>
      <c r="I145" s="79"/>
      <c r="J145" s="79"/>
      <c r="K145" s="79"/>
      <c r="L145" s="79"/>
      <c r="N145" s="102"/>
    </row>
    <row r="146">
      <c r="A146" s="17"/>
      <c r="C146" s="79"/>
      <c r="D146" s="79"/>
      <c r="E146" s="79"/>
      <c r="F146" s="79"/>
      <c r="G146" s="79"/>
      <c r="H146" s="79"/>
      <c r="I146" s="79"/>
      <c r="J146" s="79"/>
      <c r="K146" s="79"/>
      <c r="L146" s="79"/>
      <c r="N146" s="102"/>
    </row>
    <row r="147">
      <c r="A147" s="17"/>
      <c r="C147" s="79"/>
      <c r="D147" s="79"/>
      <c r="E147" s="79"/>
      <c r="F147" s="79"/>
      <c r="G147" s="79"/>
      <c r="H147" s="79"/>
      <c r="I147" s="79"/>
      <c r="J147" s="79"/>
      <c r="K147" s="79"/>
      <c r="L147" s="79"/>
      <c r="N147" s="102"/>
    </row>
    <row r="148">
      <c r="A148" s="17"/>
      <c r="C148" s="79"/>
      <c r="D148" s="79"/>
      <c r="E148" s="79"/>
      <c r="F148" s="79"/>
      <c r="G148" s="79"/>
      <c r="H148" s="79"/>
      <c r="I148" s="79"/>
      <c r="J148" s="79"/>
      <c r="K148" s="79"/>
      <c r="L148" s="79"/>
      <c r="N148" s="102"/>
    </row>
    <row r="149">
      <c r="A149" s="17"/>
      <c r="C149" s="79"/>
      <c r="D149" s="79"/>
      <c r="E149" s="79"/>
      <c r="F149" s="79"/>
      <c r="G149" s="79"/>
      <c r="H149" s="79"/>
      <c r="I149" s="79"/>
      <c r="J149" s="79"/>
      <c r="K149" s="79"/>
      <c r="L149" s="79"/>
      <c r="N149" s="102"/>
    </row>
    <row r="150">
      <c r="A150" s="17"/>
      <c r="C150" s="79"/>
      <c r="D150" s="79"/>
      <c r="E150" s="79"/>
      <c r="F150" s="79"/>
      <c r="G150" s="79"/>
      <c r="H150" s="79"/>
      <c r="I150" s="79"/>
      <c r="J150" s="79"/>
      <c r="K150" s="79"/>
      <c r="L150" s="79"/>
      <c r="N150" s="102"/>
    </row>
    <row r="151">
      <c r="A151" s="17"/>
      <c r="C151" s="79"/>
      <c r="D151" s="79"/>
      <c r="E151" s="79"/>
      <c r="F151" s="79"/>
      <c r="G151" s="79"/>
      <c r="H151" s="79"/>
      <c r="I151" s="79"/>
      <c r="J151" s="79"/>
      <c r="K151" s="79"/>
      <c r="L151" s="79"/>
      <c r="N151" s="102"/>
    </row>
    <row r="152">
      <c r="A152" s="17"/>
      <c r="C152" s="79"/>
      <c r="D152" s="79"/>
      <c r="E152" s="79"/>
      <c r="F152" s="79"/>
      <c r="G152" s="79"/>
      <c r="H152" s="79"/>
      <c r="I152" s="79"/>
      <c r="J152" s="79"/>
      <c r="K152" s="79"/>
      <c r="L152" s="79"/>
      <c r="N152" s="102"/>
    </row>
    <row r="153">
      <c r="A153" s="17"/>
      <c r="C153" s="79"/>
      <c r="D153" s="79"/>
      <c r="E153" s="79"/>
      <c r="F153" s="79"/>
      <c r="G153" s="79"/>
      <c r="H153" s="79"/>
      <c r="I153" s="79"/>
      <c r="J153" s="79"/>
      <c r="K153" s="79"/>
      <c r="L153" s="79"/>
      <c r="N153" s="102"/>
    </row>
    <row r="154">
      <c r="A154" s="17"/>
      <c r="C154" s="79"/>
      <c r="D154" s="79"/>
      <c r="E154" s="79"/>
      <c r="F154" s="79"/>
      <c r="G154" s="79"/>
      <c r="H154" s="79"/>
      <c r="I154" s="79"/>
      <c r="J154" s="79"/>
      <c r="K154" s="79"/>
      <c r="L154" s="79"/>
      <c r="N154" s="102"/>
    </row>
    <row r="155">
      <c r="A155" s="17"/>
      <c r="C155" s="79"/>
      <c r="D155" s="79"/>
      <c r="E155" s="79"/>
      <c r="F155" s="79"/>
      <c r="G155" s="79"/>
      <c r="H155" s="79"/>
      <c r="I155" s="79"/>
      <c r="J155" s="79"/>
      <c r="K155" s="79"/>
      <c r="L155" s="79"/>
      <c r="N155" s="102"/>
    </row>
    <row r="156">
      <c r="A156" s="17"/>
      <c r="C156" s="79"/>
      <c r="D156" s="79"/>
      <c r="E156" s="79"/>
      <c r="F156" s="79"/>
      <c r="G156" s="79"/>
      <c r="H156" s="79"/>
      <c r="I156" s="79"/>
      <c r="J156" s="79"/>
      <c r="K156" s="79"/>
      <c r="L156" s="79"/>
      <c r="N156" s="102"/>
    </row>
    <row r="157">
      <c r="A157" s="17"/>
      <c r="C157" s="79"/>
      <c r="D157" s="79"/>
      <c r="E157" s="79"/>
      <c r="F157" s="79"/>
      <c r="G157" s="79"/>
      <c r="H157" s="79"/>
      <c r="I157" s="79"/>
      <c r="J157" s="79"/>
      <c r="K157" s="79"/>
      <c r="L157" s="79"/>
      <c r="N157" s="102"/>
    </row>
    <row r="158">
      <c r="A158" s="17"/>
      <c r="C158" s="79"/>
      <c r="D158" s="79"/>
      <c r="E158" s="79"/>
      <c r="F158" s="79"/>
      <c r="G158" s="79"/>
      <c r="H158" s="79"/>
      <c r="I158" s="79"/>
      <c r="J158" s="79"/>
      <c r="K158" s="79"/>
      <c r="L158" s="79"/>
      <c r="N158" s="102"/>
    </row>
    <row r="159">
      <c r="A159" s="17"/>
      <c r="C159" s="79"/>
      <c r="D159" s="79"/>
      <c r="E159" s="79"/>
      <c r="F159" s="79"/>
      <c r="G159" s="79"/>
      <c r="H159" s="79"/>
      <c r="I159" s="79"/>
      <c r="J159" s="79"/>
      <c r="K159" s="79"/>
      <c r="L159" s="79"/>
      <c r="N159" s="102"/>
    </row>
    <row r="160">
      <c r="A160" s="17"/>
      <c r="C160" s="79"/>
      <c r="D160" s="79"/>
      <c r="E160" s="79"/>
      <c r="F160" s="79"/>
      <c r="G160" s="79"/>
      <c r="H160" s="79"/>
      <c r="I160" s="79"/>
      <c r="J160" s="79"/>
      <c r="K160" s="79"/>
      <c r="L160" s="79"/>
      <c r="N160" s="102"/>
    </row>
    <row r="161">
      <c r="A161" s="17"/>
      <c r="C161" s="79"/>
      <c r="D161" s="79"/>
      <c r="E161" s="79"/>
      <c r="F161" s="79"/>
      <c r="G161" s="79"/>
      <c r="H161" s="79"/>
      <c r="I161" s="79"/>
      <c r="J161" s="79"/>
      <c r="K161" s="79"/>
      <c r="L161" s="79"/>
      <c r="N161" s="102"/>
    </row>
    <row r="162">
      <c r="A162" s="17"/>
      <c r="C162" s="79"/>
      <c r="D162" s="79"/>
      <c r="E162" s="79"/>
      <c r="F162" s="79"/>
      <c r="G162" s="79"/>
      <c r="H162" s="79"/>
      <c r="I162" s="79"/>
      <c r="J162" s="79"/>
      <c r="K162" s="79"/>
      <c r="L162" s="79"/>
      <c r="N162" s="102"/>
    </row>
    <row r="163">
      <c r="A163" s="17"/>
      <c r="C163" s="79"/>
      <c r="D163" s="79"/>
      <c r="E163" s="79"/>
      <c r="F163" s="79"/>
      <c r="G163" s="79"/>
      <c r="H163" s="79"/>
      <c r="I163" s="79"/>
      <c r="J163" s="79"/>
      <c r="K163" s="79"/>
      <c r="L163" s="79"/>
      <c r="N163" s="102"/>
    </row>
    <row r="164">
      <c r="A164" s="17"/>
      <c r="C164" s="79"/>
      <c r="D164" s="79"/>
      <c r="E164" s="79"/>
      <c r="F164" s="79"/>
      <c r="G164" s="79"/>
      <c r="H164" s="79"/>
      <c r="I164" s="79"/>
      <c r="J164" s="79"/>
      <c r="K164" s="79"/>
      <c r="L164" s="79"/>
      <c r="N164" s="102"/>
    </row>
    <row r="165">
      <c r="A165" s="17"/>
      <c r="C165" s="79"/>
      <c r="D165" s="79"/>
      <c r="E165" s="79"/>
      <c r="F165" s="79"/>
      <c r="G165" s="79"/>
      <c r="H165" s="79"/>
      <c r="I165" s="79"/>
      <c r="J165" s="79"/>
      <c r="K165" s="79"/>
      <c r="L165" s="79"/>
      <c r="N165" s="102"/>
    </row>
    <row r="166">
      <c r="A166" s="17"/>
      <c r="C166" s="79"/>
      <c r="D166" s="79"/>
      <c r="E166" s="79"/>
      <c r="F166" s="79"/>
      <c r="G166" s="79"/>
      <c r="H166" s="79"/>
      <c r="I166" s="79"/>
      <c r="J166" s="79"/>
      <c r="K166" s="79"/>
      <c r="L166" s="79"/>
      <c r="N166" s="102"/>
    </row>
    <row r="167">
      <c r="A167" s="17"/>
      <c r="C167" s="79"/>
      <c r="D167" s="79"/>
      <c r="E167" s="79"/>
      <c r="F167" s="79"/>
      <c r="G167" s="79"/>
      <c r="H167" s="79"/>
      <c r="I167" s="79"/>
      <c r="J167" s="79"/>
      <c r="K167" s="79"/>
      <c r="L167" s="79"/>
      <c r="N167" s="102"/>
    </row>
    <row r="168">
      <c r="A168" s="17"/>
      <c r="C168" s="79"/>
      <c r="D168" s="79"/>
      <c r="E168" s="79"/>
      <c r="F168" s="79"/>
      <c r="G168" s="79"/>
      <c r="H168" s="79"/>
      <c r="I168" s="79"/>
      <c r="J168" s="79"/>
      <c r="K168" s="79"/>
      <c r="L168" s="79"/>
      <c r="N168" s="102"/>
    </row>
    <row r="169">
      <c r="A169" s="17"/>
      <c r="C169" s="79"/>
      <c r="D169" s="79"/>
      <c r="E169" s="79"/>
      <c r="F169" s="79"/>
      <c r="G169" s="79"/>
      <c r="H169" s="79"/>
      <c r="I169" s="79"/>
      <c r="J169" s="79"/>
      <c r="K169" s="79"/>
      <c r="L169" s="79"/>
      <c r="N169" s="102"/>
    </row>
    <row r="170">
      <c r="A170" s="17"/>
      <c r="C170" s="79"/>
      <c r="D170" s="79"/>
      <c r="E170" s="79"/>
      <c r="F170" s="79"/>
      <c r="G170" s="79"/>
      <c r="H170" s="79"/>
      <c r="I170" s="79"/>
      <c r="J170" s="79"/>
      <c r="K170" s="79"/>
      <c r="L170" s="79"/>
      <c r="N170" s="102"/>
    </row>
    <row r="171">
      <c r="A171" s="17"/>
      <c r="C171" s="79"/>
      <c r="D171" s="79"/>
      <c r="E171" s="79"/>
      <c r="F171" s="79"/>
      <c r="G171" s="79"/>
      <c r="H171" s="79"/>
      <c r="I171" s="79"/>
      <c r="J171" s="79"/>
      <c r="K171" s="79"/>
      <c r="L171" s="79"/>
      <c r="N171" s="102"/>
    </row>
    <row r="172">
      <c r="A172" s="17"/>
      <c r="C172" s="79"/>
      <c r="D172" s="79"/>
      <c r="E172" s="79"/>
      <c r="F172" s="79"/>
      <c r="G172" s="79"/>
      <c r="H172" s="79"/>
      <c r="I172" s="79"/>
      <c r="J172" s="79"/>
      <c r="K172" s="79"/>
      <c r="L172" s="79"/>
      <c r="N172" s="102"/>
    </row>
    <row r="173">
      <c r="A173" s="17"/>
      <c r="C173" s="79"/>
      <c r="D173" s="79"/>
      <c r="E173" s="79"/>
      <c r="F173" s="79"/>
      <c r="G173" s="79"/>
      <c r="H173" s="79"/>
      <c r="I173" s="79"/>
      <c r="J173" s="79"/>
      <c r="K173" s="79"/>
      <c r="L173" s="79"/>
      <c r="N173" s="102"/>
    </row>
    <row r="174">
      <c r="A174" s="17"/>
      <c r="C174" s="79"/>
      <c r="D174" s="79"/>
      <c r="E174" s="79"/>
      <c r="F174" s="79"/>
      <c r="G174" s="79"/>
      <c r="H174" s="79"/>
      <c r="I174" s="79"/>
      <c r="J174" s="79"/>
      <c r="K174" s="79"/>
      <c r="L174" s="79"/>
      <c r="N174" s="102"/>
    </row>
    <row r="175">
      <c r="A175" s="17"/>
      <c r="C175" s="79"/>
      <c r="D175" s="79"/>
      <c r="E175" s="79"/>
      <c r="F175" s="79"/>
      <c r="G175" s="79"/>
      <c r="H175" s="79"/>
      <c r="I175" s="79"/>
      <c r="J175" s="79"/>
      <c r="K175" s="79"/>
      <c r="L175" s="79"/>
      <c r="N175" s="102"/>
    </row>
    <row r="176">
      <c r="A176" s="17"/>
      <c r="C176" s="79"/>
      <c r="D176" s="79"/>
      <c r="E176" s="79"/>
      <c r="F176" s="79"/>
      <c r="G176" s="79"/>
      <c r="H176" s="79"/>
      <c r="I176" s="79"/>
      <c r="J176" s="79"/>
      <c r="K176" s="79"/>
      <c r="L176" s="79"/>
      <c r="N176" s="102"/>
    </row>
    <row r="177">
      <c r="A177" s="17"/>
      <c r="C177" s="79"/>
      <c r="D177" s="79"/>
      <c r="E177" s="79"/>
      <c r="F177" s="79"/>
      <c r="G177" s="79"/>
      <c r="H177" s="79"/>
      <c r="I177" s="79"/>
      <c r="J177" s="79"/>
      <c r="K177" s="79"/>
      <c r="L177" s="79"/>
      <c r="N177" s="102"/>
    </row>
    <row r="178">
      <c r="A178" s="17"/>
      <c r="C178" s="79"/>
      <c r="D178" s="79"/>
      <c r="E178" s="79"/>
      <c r="F178" s="79"/>
      <c r="G178" s="79"/>
      <c r="H178" s="79"/>
      <c r="I178" s="79"/>
      <c r="J178" s="79"/>
      <c r="K178" s="79"/>
      <c r="L178" s="79"/>
      <c r="N178" s="102"/>
    </row>
    <row r="179">
      <c r="A179" s="17"/>
      <c r="C179" s="79"/>
      <c r="D179" s="79"/>
      <c r="E179" s="79"/>
      <c r="F179" s="79"/>
      <c r="G179" s="79"/>
      <c r="H179" s="79"/>
      <c r="I179" s="79"/>
      <c r="J179" s="79"/>
      <c r="K179" s="79"/>
      <c r="L179" s="79"/>
      <c r="N179" s="102"/>
    </row>
    <row r="180">
      <c r="A180" s="17"/>
      <c r="C180" s="79"/>
      <c r="D180" s="79"/>
      <c r="E180" s="79"/>
      <c r="F180" s="79"/>
      <c r="G180" s="79"/>
      <c r="H180" s="79"/>
      <c r="I180" s="79"/>
      <c r="J180" s="79"/>
      <c r="K180" s="79"/>
      <c r="L180" s="79"/>
      <c r="N180" s="102"/>
    </row>
    <row r="181">
      <c r="A181" s="17"/>
      <c r="C181" s="79"/>
      <c r="D181" s="79"/>
      <c r="E181" s="79"/>
      <c r="F181" s="79"/>
      <c r="G181" s="79"/>
      <c r="H181" s="79"/>
      <c r="I181" s="79"/>
      <c r="J181" s="79"/>
      <c r="K181" s="79"/>
      <c r="L181" s="79"/>
      <c r="N181" s="102"/>
    </row>
    <row r="182">
      <c r="A182" s="17"/>
      <c r="C182" s="79"/>
      <c r="D182" s="79"/>
      <c r="E182" s="79"/>
      <c r="F182" s="79"/>
      <c r="G182" s="79"/>
      <c r="H182" s="79"/>
      <c r="I182" s="79"/>
      <c r="J182" s="79"/>
      <c r="K182" s="79"/>
      <c r="L182" s="79"/>
      <c r="N182" s="102"/>
    </row>
    <row r="183">
      <c r="A183" s="17"/>
      <c r="C183" s="79"/>
      <c r="D183" s="79"/>
      <c r="E183" s="79"/>
      <c r="F183" s="79"/>
      <c r="G183" s="79"/>
      <c r="H183" s="79"/>
      <c r="I183" s="79"/>
      <c r="J183" s="79"/>
      <c r="K183" s="79"/>
      <c r="L183" s="79"/>
      <c r="N183" s="102"/>
    </row>
    <row r="184">
      <c r="A184" s="17"/>
      <c r="C184" s="79"/>
      <c r="D184" s="79"/>
      <c r="E184" s="79"/>
      <c r="F184" s="79"/>
      <c r="G184" s="79"/>
      <c r="H184" s="79"/>
      <c r="I184" s="79"/>
      <c r="J184" s="79"/>
      <c r="K184" s="79"/>
      <c r="L184" s="79"/>
      <c r="N184" s="102"/>
    </row>
    <row r="185">
      <c r="A185" s="17"/>
      <c r="C185" s="79"/>
      <c r="D185" s="79"/>
      <c r="E185" s="79"/>
      <c r="F185" s="79"/>
      <c r="G185" s="79"/>
      <c r="H185" s="79"/>
      <c r="I185" s="79"/>
      <c r="J185" s="79"/>
      <c r="K185" s="79"/>
      <c r="L185" s="79"/>
      <c r="N185" s="102"/>
    </row>
    <row r="186">
      <c r="A186" s="17"/>
      <c r="C186" s="79"/>
      <c r="D186" s="79"/>
      <c r="E186" s="79"/>
      <c r="F186" s="79"/>
      <c r="G186" s="79"/>
      <c r="H186" s="79"/>
      <c r="I186" s="79"/>
      <c r="J186" s="79"/>
      <c r="K186" s="79"/>
      <c r="L186" s="79"/>
      <c r="N186" s="102"/>
    </row>
    <row r="187">
      <c r="A187" s="17"/>
      <c r="C187" s="79"/>
      <c r="D187" s="79"/>
      <c r="E187" s="79"/>
      <c r="F187" s="79"/>
      <c r="G187" s="79"/>
      <c r="H187" s="79"/>
      <c r="I187" s="79"/>
      <c r="J187" s="79"/>
      <c r="K187" s="79"/>
      <c r="L187" s="79"/>
      <c r="N187" s="102"/>
    </row>
    <row r="188">
      <c r="A188" s="17"/>
      <c r="C188" s="79"/>
      <c r="D188" s="79"/>
      <c r="E188" s="79"/>
      <c r="F188" s="79"/>
      <c r="G188" s="79"/>
      <c r="H188" s="79"/>
      <c r="I188" s="79"/>
      <c r="J188" s="79"/>
      <c r="K188" s="79"/>
      <c r="L188" s="79"/>
      <c r="N188" s="102"/>
    </row>
    <row r="189">
      <c r="A189" s="17"/>
      <c r="C189" s="79"/>
      <c r="D189" s="79"/>
      <c r="E189" s="79"/>
      <c r="F189" s="79"/>
      <c r="G189" s="79"/>
      <c r="H189" s="79"/>
      <c r="I189" s="79"/>
      <c r="J189" s="79"/>
      <c r="K189" s="79"/>
      <c r="L189" s="79"/>
      <c r="N189" s="102"/>
    </row>
    <row r="190">
      <c r="A190" s="17"/>
      <c r="C190" s="79"/>
      <c r="D190" s="79"/>
      <c r="E190" s="79"/>
      <c r="F190" s="79"/>
      <c r="G190" s="79"/>
      <c r="H190" s="79"/>
      <c r="I190" s="79"/>
      <c r="J190" s="79"/>
      <c r="K190" s="79"/>
      <c r="L190" s="79"/>
      <c r="N190" s="102"/>
    </row>
    <row r="191">
      <c r="A191" s="17"/>
      <c r="C191" s="79"/>
      <c r="D191" s="79"/>
      <c r="E191" s="79"/>
      <c r="F191" s="79"/>
      <c r="G191" s="79"/>
      <c r="H191" s="79"/>
      <c r="I191" s="79"/>
      <c r="J191" s="79"/>
      <c r="K191" s="79"/>
      <c r="L191" s="79"/>
      <c r="N191" s="102"/>
    </row>
    <row r="192">
      <c r="A192" s="17"/>
      <c r="C192" s="79"/>
      <c r="D192" s="79"/>
      <c r="E192" s="79"/>
      <c r="F192" s="79"/>
      <c r="G192" s="79"/>
      <c r="H192" s="79"/>
      <c r="I192" s="79"/>
      <c r="J192" s="79"/>
      <c r="K192" s="79"/>
      <c r="L192" s="79"/>
      <c r="N192" s="102"/>
    </row>
    <row r="193">
      <c r="A193" s="17"/>
      <c r="C193" s="79"/>
      <c r="D193" s="79"/>
      <c r="E193" s="79"/>
      <c r="F193" s="79"/>
      <c r="G193" s="79"/>
      <c r="H193" s="79"/>
      <c r="I193" s="79"/>
      <c r="J193" s="79"/>
      <c r="K193" s="79"/>
      <c r="L193" s="79"/>
      <c r="N193" s="102"/>
    </row>
    <row r="194">
      <c r="A194" s="17"/>
      <c r="C194" s="79"/>
      <c r="D194" s="79"/>
      <c r="E194" s="79"/>
      <c r="F194" s="79"/>
      <c r="G194" s="79"/>
      <c r="H194" s="79"/>
      <c r="I194" s="79"/>
      <c r="J194" s="79"/>
      <c r="K194" s="79"/>
      <c r="L194" s="79"/>
      <c r="N194" s="102"/>
    </row>
    <row r="195">
      <c r="A195" s="17"/>
      <c r="C195" s="79"/>
      <c r="D195" s="79"/>
      <c r="E195" s="79"/>
      <c r="F195" s="79"/>
      <c r="G195" s="79"/>
      <c r="H195" s="79"/>
      <c r="I195" s="79"/>
      <c r="J195" s="79"/>
      <c r="K195" s="79"/>
      <c r="L195" s="79"/>
      <c r="N195" s="102"/>
    </row>
    <row r="196">
      <c r="A196" s="17"/>
      <c r="C196" s="79"/>
      <c r="D196" s="79"/>
      <c r="E196" s="79"/>
      <c r="F196" s="79"/>
      <c r="G196" s="79"/>
      <c r="H196" s="79"/>
      <c r="I196" s="79"/>
      <c r="J196" s="79"/>
      <c r="K196" s="79"/>
      <c r="L196" s="79"/>
      <c r="N196" s="102"/>
    </row>
    <row r="197">
      <c r="A197" s="17"/>
      <c r="C197" s="79"/>
      <c r="D197" s="79"/>
      <c r="E197" s="79"/>
      <c r="F197" s="79"/>
      <c r="G197" s="79"/>
      <c r="H197" s="79"/>
      <c r="I197" s="79"/>
      <c r="J197" s="79"/>
      <c r="K197" s="79"/>
      <c r="L197" s="79"/>
      <c r="N197" s="102"/>
    </row>
    <row r="198">
      <c r="A198" s="17"/>
      <c r="C198" s="79"/>
      <c r="D198" s="79"/>
      <c r="E198" s="79"/>
      <c r="F198" s="79"/>
      <c r="G198" s="79"/>
      <c r="H198" s="79"/>
      <c r="I198" s="79"/>
      <c r="J198" s="79"/>
      <c r="K198" s="79"/>
      <c r="L198" s="79"/>
      <c r="N198" s="102"/>
    </row>
    <row r="199">
      <c r="A199" s="17"/>
      <c r="C199" s="79"/>
      <c r="D199" s="79"/>
      <c r="E199" s="79"/>
      <c r="F199" s="79"/>
      <c r="G199" s="79"/>
      <c r="H199" s="79"/>
      <c r="I199" s="79"/>
      <c r="J199" s="79"/>
      <c r="K199" s="79"/>
      <c r="L199" s="79"/>
      <c r="N199" s="102"/>
    </row>
    <row r="200">
      <c r="A200" s="17"/>
      <c r="C200" s="79"/>
      <c r="D200" s="79"/>
      <c r="E200" s="79"/>
      <c r="F200" s="79"/>
      <c r="G200" s="79"/>
      <c r="H200" s="79"/>
      <c r="I200" s="79"/>
      <c r="J200" s="79"/>
      <c r="K200" s="79"/>
      <c r="L200" s="79"/>
      <c r="N200" s="102"/>
    </row>
    <row r="201">
      <c r="A201" s="17"/>
      <c r="C201" s="79"/>
      <c r="D201" s="79"/>
      <c r="E201" s="79"/>
      <c r="F201" s="79"/>
      <c r="G201" s="79"/>
      <c r="H201" s="79"/>
      <c r="I201" s="79"/>
      <c r="J201" s="79"/>
      <c r="K201" s="79"/>
      <c r="L201" s="79"/>
      <c r="N201" s="102"/>
    </row>
    <row r="202">
      <c r="A202" s="17"/>
      <c r="C202" s="79"/>
      <c r="D202" s="79"/>
      <c r="E202" s="79"/>
      <c r="F202" s="79"/>
      <c r="G202" s="79"/>
      <c r="H202" s="79"/>
      <c r="I202" s="79"/>
      <c r="J202" s="79"/>
      <c r="K202" s="79"/>
      <c r="L202" s="79"/>
      <c r="N202" s="102"/>
    </row>
    <row r="203">
      <c r="A203" s="17"/>
      <c r="C203" s="79"/>
      <c r="D203" s="79"/>
      <c r="E203" s="79"/>
      <c r="F203" s="79"/>
      <c r="G203" s="79"/>
      <c r="H203" s="79"/>
      <c r="I203" s="79"/>
      <c r="J203" s="79"/>
      <c r="K203" s="79"/>
      <c r="L203" s="79"/>
      <c r="N203" s="102"/>
    </row>
    <row r="204">
      <c r="A204" s="17"/>
      <c r="C204" s="79"/>
      <c r="D204" s="79"/>
      <c r="E204" s="79"/>
      <c r="F204" s="79"/>
      <c r="G204" s="79"/>
      <c r="H204" s="79"/>
      <c r="I204" s="79"/>
      <c r="J204" s="79"/>
      <c r="K204" s="79"/>
      <c r="L204" s="79"/>
      <c r="N204" s="102"/>
    </row>
    <row r="205">
      <c r="A205" s="17"/>
      <c r="C205" s="79"/>
      <c r="D205" s="79"/>
      <c r="E205" s="79"/>
      <c r="F205" s="79"/>
      <c r="G205" s="79"/>
      <c r="H205" s="79"/>
      <c r="I205" s="79"/>
      <c r="J205" s="79"/>
      <c r="K205" s="79"/>
      <c r="L205" s="79"/>
      <c r="N205" s="102"/>
    </row>
    <row r="206">
      <c r="A206" s="17"/>
      <c r="C206" s="79"/>
      <c r="D206" s="79"/>
      <c r="E206" s="79"/>
      <c r="F206" s="79"/>
      <c r="G206" s="79"/>
      <c r="H206" s="79"/>
      <c r="I206" s="79"/>
      <c r="J206" s="79"/>
      <c r="K206" s="79"/>
      <c r="L206" s="79"/>
      <c r="N206" s="102"/>
    </row>
    <row r="207">
      <c r="A207" s="17"/>
      <c r="C207" s="79"/>
      <c r="D207" s="79"/>
      <c r="E207" s="79"/>
      <c r="F207" s="79"/>
      <c r="G207" s="79"/>
      <c r="H207" s="79"/>
      <c r="I207" s="79"/>
      <c r="J207" s="79"/>
      <c r="K207" s="79"/>
      <c r="L207" s="79"/>
      <c r="N207" s="102"/>
    </row>
    <row r="208">
      <c r="A208" s="17"/>
      <c r="C208" s="79"/>
      <c r="D208" s="79"/>
      <c r="E208" s="79"/>
      <c r="F208" s="79"/>
      <c r="G208" s="79"/>
      <c r="H208" s="79"/>
      <c r="I208" s="79"/>
      <c r="J208" s="79"/>
      <c r="K208" s="79"/>
      <c r="L208" s="79"/>
      <c r="N208" s="102"/>
    </row>
    <row r="209">
      <c r="A209" s="17"/>
      <c r="C209" s="79"/>
      <c r="D209" s="79"/>
      <c r="E209" s="79"/>
      <c r="F209" s="79"/>
      <c r="G209" s="79"/>
      <c r="H209" s="79"/>
      <c r="I209" s="79"/>
      <c r="J209" s="79"/>
      <c r="K209" s="79"/>
      <c r="L209" s="79"/>
      <c r="N209" s="102"/>
    </row>
    <row r="210">
      <c r="A210" s="17"/>
      <c r="C210" s="79"/>
      <c r="D210" s="79"/>
      <c r="E210" s="79"/>
      <c r="F210" s="79"/>
      <c r="G210" s="79"/>
      <c r="H210" s="79"/>
      <c r="I210" s="79"/>
      <c r="J210" s="79"/>
      <c r="K210" s="79"/>
      <c r="L210" s="79"/>
      <c r="N210" s="102"/>
    </row>
    <row r="211">
      <c r="A211" s="17"/>
      <c r="C211" s="79"/>
      <c r="D211" s="79"/>
      <c r="E211" s="79"/>
      <c r="F211" s="79"/>
      <c r="G211" s="79"/>
      <c r="H211" s="79"/>
      <c r="I211" s="79"/>
      <c r="J211" s="79"/>
      <c r="K211" s="79"/>
      <c r="L211" s="79"/>
      <c r="N211" s="102"/>
    </row>
    <row r="212">
      <c r="A212" s="17"/>
      <c r="C212" s="79"/>
      <c r="D212" s="79"/>
      <c r="E212" s="79"/>
      <c r="F212" s="79"/>
      <c r="G212" s="79"/>
      <c r="H212" s="79"/>
      <c r="I212" s="79"/>
      <c r="J212" s="79"/>
      <c r="K212" s="79"/>
      <c r="L212" s="79"/>
      <c r="N212" s="102"/>
    </row>
    <row r="213">
      <c r="A213" s="17"/>
      <c r="C213" s="79"/>
      <c r="D213" s="79"/>
      <c r="E213" s="79"/>
      <c r="F213" s="79"/>
      <c r="G213" s="79"/>
      <c r="H213" s="79"/>
      <c r="I213" s="79"/>
      <c r="J213" s="79"/>
      <c r="K213" s="79"/>
      <c r="L213" s="79"/>
      <c r="N213" s="102"/>
    </row>
    <row r="214">
      <c r="A214" s="17"/>
      <c r="C214" s="79"/>
      <c r="D214" s="79"/>
      <c r="E214" s="79"/>
      <c r="F214" s="79"/>
      <c r="G214" s="79"/>
      <c r="H214" s="79"/>
      <c r="I214" s="79"/>
      <c r="J214" s="79"/>
      <c r="K214" s="79"/>
      <c r="L214" s="79"/>
      <c r="N214" s="102"/>
    </row>
    <row r="215">
      <c r="A215" s="17"/>
      <c r="C215" s="79"/>
      <c r="D215" s="79"/>
      <c r="E215" s="79"/>
      <c r="F215" s="79"/>
      <c r="G215" s="79"/>
      <c r="H215" s="79"/>
      <c r="I215" s="79"/>
      <c r="J215" s="79"/>
      <c r="K215" s="79"/>
      <c r="L215" s="79"/>
      <c r="N215" s="102"/>
    </row>
    <row r="216">
      <c r="A216" s="17"/>
      <c r="C216" s="79"/>
      <c r="D216" s="79"/>
      <c r="E216" s="79"/>
      <c r="F216" s="79"/>
      <c r="G216" s="79"/>
      <c r="H216" s="79"/>
      <c r="I216" s="79"/>
      <c r="J216" s="79"/>
      <c r="K216" s="79"/>
      <c r="L216" s="79"/>
      <c r="N216" s="102"/>
    </row>
    <row r="217">
      <c r="A217" s="17"/>
      <c r="C217" s="79"/>
      <c r="D217" s="79"/>
      <c r="E217" s="79"/>
      <c r="F217" s="79"/>
      <c r="G217" s="79"/>
      <c r="H217" s="79"/>
      <c r="I217" s="79"/>
      <c r="J217" s="79"/>
      <c r="K217" s="79"/>
      <c r="L217" s="79"/>
      <c r="N217" s="102"/>
    </row>
    <row r="218">
      <c r="A218" s="17"/>
      <c r="C218" s="79"/>
      <c r="D218" s="79"/>
      <c r="E218" s="79"/>
      <c r="F218" s="79"/>
      <c r="G218" s="79"/>
      <c r="H218" s="79"/>
      <c r="I218" s="79"/>
      <c r="J218" s="79"/>
      <c r="K218" s="79"/>
      <c r="L218" s="79"/>
      <c r="N218" s="102"/>
    </row>
    <row r="219">
      <c r="A219" s="17"/>
      <c r="C219" s="79"/>
      <c r="D219" s="79"/>
      <c r="E219" s="79"/>
      <c r="F219" s="79"/>
      <c r="G219" s="79"/>
      <c r="H219" s="79"/>
      <c r="I219" s="79"/>
      <c r="J219" s="79"/>
      <c r="K219" s="79"/>
      <c r="L219" s="79"/>
      <c r="N219" s="102"/>
    </row>
    <row r="220">
      <c r="A220" s="17"/>
      <c r="C220" s="79"/>
      <c r="D220" s="79"/>
      <c r="E220" s="79"/>
      <c r="F220" s="79"/>
      <c r="G220" s="79"/>
      <c r="H220" s="79"/>
      <c r="I220" s="79"/>
      <c r="J220" s="79"/>
      <c r="K220" s="79"/>
      <c r="L220" s="79"/>
      <c r="N220" s="102"/>
    </row>
    <row r="221">
      <c r="A221" s="17"/>
      <c r="C221" s="79"/>
      <c r="D221" s="79"/>
      <c r="E221" s="79"/>
      <c r="F221" s="79"/>
      <c r="G221" s="79"/>
      <c r="H221" s="79"/>
      <c r="I221" s="79"/>
      <c r="J221" s="79"/>
      <c r="K221" s="79"/>
      <c r="L221" s="79"/>
      <c r="N221" s="102"/>
    </row>
    <row r="222">
      <c r="A222" s="17"/>
      <c r="C222" s="79"/>
      <c r="D222" s="79"/>
      <c r="E222" s="79"/>
      <c r="F222" s="79"/>
      <c r="G222" s="79"/>
      <c r="H222" s="79"/>
      <c r="I222" s="79"/>
      <c r="J222" s="79"/>
      <c r="K222" s="79"/>
      <c r="L222" s="79"/>
      <c r="N222" s="102"/>
    </row>
    <row r="223">
      <c r="A223" s="17"/>
      <c r="C223" s="79"/>
      <c r="D223" s="79"/>
      <c r="E223" s="79"/>
      <c r="F223" s="79"/>
      <c r="G223" s="79"/>
      <c r="H223" s="79"/>
      <c r="I223" s="79"/>
      <c r="J223" s="79"/>
      <c r="K223" s="79"/>
      <c r="L223" s="79"/>
      <c r="N223" s="102"/>
    </row>
    <row r="224">
      <c r="A224" s="17"/>
      <c r="C224" s="79"/>
      <c r="D224" s="79"/>
      <c r="E224" s="79"/>
      <c r="F224" s="79"/>
      <c r="G224" s="79"/>
      <c r="H224" s="79"/>
      <c r="I224" s="79"/>
      <c r="J224" s="79"/>
      <c r="K224" s="79"/>
      <c r="L224" s="79"/>
      <c r="N224" s="102"/>
    </row>
    <row r="225">
      <c r="A225" s="17"/>
      <c r="C225" s="79"/>
      <c r="D225" s="79"/>
      <c r="E225" s="79"/>
      <c r="F225" s="79"/>
      <c r="G225" s="79"/>
      <c r="H225" s="79"/>
      <c r="I225" s="79"/>
      <c r="J225" s="79"/>
      <c r="K225" s="79"/>
      <c r="L225" s="79"/>
      <c r="N225" s="102"/>
    </row>
    <row r="226">
      <c r="A226" s="17"/>
      <c r="C226" s="79"/>
      <c r="D226" s="79"/>
      <c r="E226" s="79"/>
      <c r="F226" s="79"/>
      <c r="G226" s="79"/>
      <c r="H226" s="79"/>
      <c r="I226" s="79"/>
      <c r="J226" s="79"/>
      <c r="K226" s="79"/>
      <c r="L226" s="79"/>
      <c r="N226" s="102"/>
    </row>
    <row r="227">
      <c r="A227" s="17"/>
      <c r="C227" s="79"/>
      <c r="D227" s="79"/>
      <c r="E227" s="79"/>
      <c r="F227" s="79"/>
      <c r="G227" s="79"/>
      <c r="H227" s="79"/>
      <c r="I227" s="79"/>
      <c r="J227" s="79"/>
      <c r="K227" s="79"/>
      <c r="L227" s="79"/>
      <c r="N227" s="102"/>
    </row>
    <row r="228">
      <c r="A228" s="17"/>
      <c r="C228" s="79"/>
      <c r="D228" s="79"/>
      <c r="E228" s="79"/>
      <c r="F228" s="79"/>
      <c r="G228" s="79"/>
      <c r="H228" s="79"/>
      <c r="I228" s="79"/>
      <c r="J228" s="79"/>
      <c r="K228" s="79"/>
      <c r="L228" s="79"/>
      <c r="N228" s="102"/>
    </row>
    <row r="229">
      <c r="A229" s="17"/>
      <c r="C229" s="79"/>
      <c r="D229" s="79"/>
      <c r="E229" s="79"/>
      <c r="F229" s="79"/>
      <c r="G229" s="79"/>
      <c r="H229" s="79"/>
      <c r="I229" s="79"/>
      <c r="J229" s="79"/>
      <c r="K229" s="79"/>
      <c r="L229" s="79"/>
      <c r="N229" s="102"/>
    </row>
    <row r="230">
      <c r="A230" s="17"/>
      <c r="C230" s="79"/>
      <c r="D230" s="79"/>
      <c r="E230" s="79"/>
      <c r="F230" s="79"/>
      <c r="G230" s="79"/>
      <c r="H230" s="79"/>
      <c r="I230" s="79"/>
      <c r="J230" s="79"/>
      <c r="K230" s="79"/>
      <c r="L230" s="79"/>
      <c r="N230" s="102"/>
    </row>
    <row r="231">
      <c r="A231" s="17"/>
      <c r="C231" s="79"/>
      <c r="D231" s="79"/>
      <c r="E231" s="79"/>
      <c r="F231" s="79"/>
      <c r="G231" s="79"/>
      <c r="H231" s="79"/>
      <c r="I231" s="79"/>
      <c r="J231" s="79"/>
      <c r="K231" s="79"/>
      <c r="L231" s="79"/>
      <c r="N231" s="102"/>
    </row>
    <row r="232">
      <c r="A232" s="17"/>
      <c r="C232" s="79"/>
      <c r="D232" s="79"/>
      <c r="E232" s="79"/>
      <c r="F232" s="79"/>
      <c r="G232" s="79"/>
      <c r="H232" s="79"/>
      <c r="I232" s="79"/>
      <c r="J232" s="79"/>
      <c r="K232" s="79"/>
      <c r="L232" s="79"/>
      <c r="N232" s="102"/>
    </row>
    <row r="233">
      <c r="A233" s="17"/>
      <c r="C233" s="79"/>
      <c r="D233" s="79"/>
      <c r="E233" s="79"/>
      <c r="F233" s="79"/>
      <c r="G233" s="79"/>
      <c r="H233" s="79"/>
      <c r="I233" s="79"/>
      <c r="J233" s="79"/>
      <c r="K233" s="79"/>
      <c r="L233" s="79"/>
      <c r="N233" s="102"/>
    </row>
    <row r="234">
      <c r="A234" s="17"/>
      <c r="C234" s="79"/>
      <c r="D234" s="79"/>
      <c r="E234" s="79"/>
      <c r="F234" s="79"/>
      <c r="G234" s="79"/>
      <c r="H234" s="79"/>
      <c r="I234" s="79"/>
      <c r="J234" s="79"/>
      <c r="K234" s="79"/>
      <c r="L234" s="79"/>
      <c r="N234" s="102"/>
    </row>
    <row r="235">
      <c r="A235" s="17"/>
      <c r="C235" s="79"/>
      <c r="D235" s="79"/>
      <c r="E235" s="79"/>
      <c r="F235" s="79"/>
      <c r="G235" s="79"/>
      <c r="H235" s="79"/>
      <c r="I235" s="79"/>
      <c r="J235" s="79"/>
      <c r="K235" s="79"/>
      <c r="L235" s="79"/>
      <c r="N235" s="102"/>
    </row>
    <row r="236">
      <c r="A236" s="17"/>
      <c r="C236" s="79"/>
      <c r="D236" s="79"/>
      <c r="E236" s="79"/>
      <c r="F236" s="79"/>
      <c r="G236" s="79"/>
      <c r="H236" s="79"/>
      <c r="I236" s="79"/>
      <c r="J236" s="79"/>
      <c r="K236" s="79"/>
      <c r="L236" s="79"/>
      <c r="N236" s="102"/>
    </row>
    <row r="237">
      <c r="A237" s="17"/>
      <c r="C237" s="79"/>
      <c r="D237" s="79"/>
      <c r="E237" s="79"/>
      <c r="F237" s="79"/>
      <c r="G237" s="79"/>
      <c r="H237" s="79"/>
      <c r="I237" s="79"/>
      <c r="J237" s="79"/>
      <c r="K237" s="79"/>
      <c r="L237" s="79"/>
      <c r="N237" s="102"/>
    </row>
    <row r="238">
      <c r="A238" s="17"/>
      <c r="C238" s="79"/>
      <c r="D238" s="79"/>
      <c r="E238" s="79"/>
      <c r="F238" s="79"/>
      <c r="G238" s="79"/>
      <c r="H238" s="79"/>
      <c r="I238" s="79"/>
      <c r="J238" s="79"/>
      <c r="K238" s="79"/>
      <c r="L238" s="79"/>
      <c r="N238" s="102"/>
    </row>
    <row r="239">
      <c r="A239" s="17"/>
      <c r="C239" s="79"/>
      <c r="D239" s="79"/>
      <c r="E239" s="79"/>
      <c r="F239" s="79"/>
      <c r="G239" s="79"/>
      <c r="H239" s="79"/>
      <c r="I239" s="79"/>
      <c r="J239" s="79"/>
      <c r="K239" s="79"/>
      <c r="L239" s="79"/>
      <c r="N239" s="102"/>
    </row>
    <row r="240">
      <c r="A240" s="17"/>
      <c r="C240" s="79"/>
      <c r="D240" s="79"/>
      <c r="E240" s="79"/>
      <c r="F240" s="79"/>
      <c r="G240" s="79"/>
      <c r="H240" s="79"/>
      <c r="I240" s="79"/>
      <c r="J240" s="79"/>
      <c r="K240" s="79"/>
      <c r="L240" s="79"/>
      <c r="N240" s="102"/>
    </row>
    <row r="241">
      <c r="A241" s="17"/>
      <c r="C241" s="79"/>
      <c r="D241" s="79"/>
      <c r="E241" s="79"/>
      <c r="F241" s="79"/>
      <c r="G241" s="79"/>
      <c r="H241" s="79"/>
      <c r="I241" s="79"/>
      <c r="J241" s="79"/>
      <c r="K241" s="79"/>
      <c r="L241" s="79"/>
      <c r="N241" s="102"/>
    </row>
    <row r="242">
      <c r="A242" s="17"/>
      <c r="C242" s="79"/>
      <c r="D242" s="79"/>
      <c r="E242" s="79"/>
      <c r="F242" s="79"/>
      <c r="G242" s="79"/>
      <c r="H242" s="79"/>
      <c r="I242" s="79"/>
      <c r="J242" s="79"/>
      <c r="K242" s="79"/>
      <c r="L242" s="79"/>
      <c r="N242" s="102"/>
    </row>
    <row r="243">
      <c r="A243" s="17"/>
      <c r="C243" s="79"/>
      <c r="D243" s="79"/>
      <c r="E243" s="79"/>
      <c r="F243" s="79"/>
      <c r="G243" s="79"/>
      <c r="H243" s="79"/>
      <c r="I243" s="79"/>
      <c r="J243" s="79"/>
      <c r="K243" s="79"/>
      <c r="L243" s="79"/>
      <c r="N243" s="102"/>
    </row>
    <row r="244">
      <c r="A244" s="17"/>
      <c r="C244" s="79"/>
      <c r="D244" s="79"/>
      <c r="E244" s="79"/>
      <c r="F244" s="79"/>
      <c r="G244" s="79"/>
      <c r="H244" s="79"/>
      <c r="I244" s="79"/>
      <c r="J244" s="79"/>
      <c r="K244" s="79"/>
      <c r="L244" s="79"/>
      <c r="N244" s="102"/>
    </row>
    <row r="245">
      <c r="A245" s="17"/>
      <c r="C245" s="79"/>
      <c r="D245" s="79"/>
      <c r="E245" s="79"/>
      <c r="F245" s="79"/>
      <c r="G245" s="79"/>
      <c r="H245" s="79"/>
      <c r="I245" s="79"/>
      <c r="J245" s="79"/>
      <c r="K245" s="79"/>
      <c r="L245" s="79"/>
      <c r="N245" s="102"/>
    </row>
    <row r="246">
      <c r="A246" s="17"/>
      <c r="C246" s="79"/>
      <c r="D246" s="79"/>
      <c r="E246" s="79"/>
      <c r="F246" s="79"/>
      <c r="G246" s="79"/>
      <c r="H246" s="79"/>
      <c r="I246" s="79"/>
      <c r="J246" s="79"/>
      <c r="K246" s="79"/>
      <c r="L246" s="79"/>
      <c r="N246" s="102"/>
    </row>
    <row r="247">
      <c r="A247" s="17"/>
      <c r="C247" s="79"/>
      <c r="D247" s="79"/>
      <c r="E247" s="79"/>
      <c r="F247" s="79"/>
      <c r="G247" s="79"/>
      <c r="H247" s="79"/>
      <c r="I247" s="79"/>
      <c r="J247" s="79"/>
      <c r="K247" s="79"/>
      <c r="L247" s="79"/>
      <c r="N247" s="102"/>
    </row>
    <row r="248">
      <c r="A248" s="17"/>
      <c r="C248" s="79"/>
      <c r="D248" s="79"/>
      <c r="E248" s="79"/>
      <c r="F248" s="79"/>
      <c r="G248" s="79"/>
      <c r="H248" s="79"/>
      <c r="I248" s="79"/>
      <c r="J248" s="79"/>
      <c r="K248" s="79"/>
      <c r="L248" s="79"/>
      <c r="N248" s="102"/>
    </row>
    <row r="249">
      <c r="A249" s="17"/>
      <c r="C249" s="79"/>
      <c r="D249" s="79"/>
      <c r="E249" s="79"/>
      <c r="F249" s="79"/>
      <c r="G249" s="79"/>
      <c r="H249" s="79"/>
      <c r="I249" s="79"/>
      <c r="J249" s="79"/>
      <c r="K249" s="79"/>
      <c r="L249" s="79"/>
      <c r="N249" s="102"/>
    </row>
    <row r="250">
      <c r="A250" s="17"/>
      <c r="C250" s="79"/>
      <c r="D250" s="79"/>
      <c r="E250" s="79"/>
      <c r="F250" s="79"/>
      <c r="G250" s="79"/>
      <c r="H250" s="79"/>
      <c r="I250" s="79"/>
      <c r="J250" s="79"/>
      <c r="K250" s="79"/>
      <c r="L250" s="79"/>
      <c r="N250" s="102"/>
    </row>
    <row r="251">
      <c r="A251" s="17"/>
      <c r="C251" s="79"/>
      <c r="D251" s="79"/>
      <c r="E251" s="79"/>
      <c r="F251" s="79"/>
      <c r="G251" s="79"/>
      <c r="H251" s="79"/>
      <c r="I251" s="79"/>
      <c r="J251" s="79"/>
      <c r="K251" s="79"/>
      <c r="L251" s="79"/>
      <c r="N251" s="102"/>
    </row>
    <row r="252">
      <c r="A252" s="17"/>
      <c r="C252" s="79"/>
      <c r="D252" s="79"/>
      <c r="E252" s="79"/>
      <c r="F252" s="79"/>
      <c r="G252" s="79"/>
      <c r="H252" s="79"/>
      <c r="I252" s="79"/>
      <c r="J252" s="79"/>
      <c r="K252" s="79"/>
      <c r="L252" s="79"/>
      <c r="N252" s="102"/>
    </row>
    <row r="253">
      <c r="A253" s="17"/>
      <c r="C253" s="79"/>
      <c r="D253" s="79"/>
      <c r="E253" s="79"/>
      <c r="F253" s="79"/>
      <c r="G253" s="79"/>
      <c r="H253" s="79"/>
      <c r="I253" s="79"/>
      <c r="J253" s="79"/>
      <c r="K253" s="79"/>
      <c r="L253" s="79"/>
      <c r="N253" s="102"/>
    </row>
    <row r="254">
      <c r="A254" s="17"/>
      <c r="C254" s="79"/>
      <c r="D254" s="79"/>
      <c r="E254" s="79"/>
      <c r="F254" s="79"/>
      <c r="G254" s="79"/>
      <c r="H254" s="79"/>
      <c r="I254" s="79"/>
      <c r="J254" s="79"/>
      <c r="K254" s="79"/>
      <c r="L254" s="79"/>
      <c r="N254" s="102"/>
    </row>
    <row r="255">
      <c r="A255" s="17"/>
      <c r="C255" s="79"/>
      <c r="D255" s="79"/>
      <c r="E255" s="79"/>
      <c r="F255" s="79"/>
      <c r="G255" s="79"/>
      <c r="H255" s="79"/>
      <c r="I255" s="79"/>
      <c r="J255" s="79"/>
      <c r="K255" s="79"/>
      <c r="L255" s="79"/>
      <c r="N255" s="102"/>
    </row>
    <row r="256">
      <c r="A256" s="17"/>
      <c r="C256" s="79"/>
      <c r="D256" s="79"/>
      <c r="E256" s="79"/>
      <c r="F256" s="79"/>
      <c r="G256" s="79"/>
      <c r="H256" s="79"/>
      <c r="I256" s="79"/>
      <c r="J256" s="79"/>
      <c r="K256" s="79"/>
      <c r="L256" s="79"/>
      <c r="N256" s="102"/>
    </row>
    <row r="257">
      <c r="A257" s="17"/>
      <c r="C257" s="79"/>
      <c r="D257" s="79"/>
      <c r="E257" s="79"/>
      <c r="F257" s="79"/>
      <c r="G257" s="79"/>
      <c r="H257" s="79"/>
      <c r="I257" s="79"/>
      <c r="J257" s="79"/>
      <c r="K257" s="79"/>
      <c r="L257" s="79"/>
      <c r="N257" s="102"/>
    </row>
    <row r="258">
      <c r="A258" s="17"/>
      <c r="C258" s="79"/>
      <c r="D258" s="79"/>
      <c r="E258" s="79"/>
      <c r="F258" s="79"/>
      <c r="G258" s="79"/>
      <c r="H258" s="79"/>
      <c r="I258" s="79"/>
      <c r="J258" s="79"/>
      <c r="K258" s="79"/>
      <c r="L258" s="79"/>
      <c r="N258" s="102"/>
    </row>
    <row r="259">
      <c r="A259" s="17"/>
      <c r="C259" s="79"/>
      <c r="D259" s="79"/>
      <c r="E259" s="79"/>
      <c r="F259" s="79"/>
      <c r="G259" s="79"/>
      <c r="H259" s="79"/>
      <c r="I259" s="79"/>
      <c r="J259" s="79"/>
      <c r="K259" s="79"/>
      <c r="L259" s="79"/>
      <c r="N259" s="102"/>
    </row>
    <row r="260">
      <c r="A260" s="17"/>
      <c r="C260" s="79"/>
      <c r="D260" s="79"/>
      <c r="E260" s="79"/>
      <c r="F260" s="79"/>
      <c r="G260" s="79"/>
      <c r="H260" s="79"/>
      <c r="I260" s="79"/>
      <c r="J260" s="79"/>
      <c r="K260" s="79"/>
      <c r="L260" s="79"/>
      <c r="N260" s="102"/>
    </row>
    <row r="261">
      <c r="A261" s="17"/>
      <c r="C261" s="79"/>
      <c r="D261" s="79"/>
      <c r="E261" s="79"/>
      <c r="F261" s="79"/>
      <c r="G261" s="79"/>
      <c r="H261" s="79"/>
      <c r="I261" s="79"/>
      <c r="J261" s="79"/>
      <c r="K261" s="79"/>
      <c r="L261" s="79"/>
      <c r="N261" s="102"/>
    </row>
    <row r="262">
      <c r="A262" s="17"/>
      <c r="C262" s="79"/>
      <c r="D262" s="79"/>
      <c r="E262" s="79"/>
      <c r="F262" s="79"/>
      <c r="G262" s="79"/>
      <c r="H262" s="79"/>
      <c r="I262" s="79"/>
      <c r="J262" s="79"/>
      <c r="K262" s="79"/>
      <c r="L262" s="79"/>
      <c r="N262" s="102"/>
    </row>
    <row r="263">
      <c r="A263" s="17"/>
      <c r="C263" s="79"/>
      <c r="D263" s="79"/>
      <c r="E263" s="79"/>
      <c r="F263" s="79"/>
      <c r="G263" s="79"/>
      <c r="H263" s="79"/>
      <c r="I263" s="79"/>
      <c r="J263" s="79"/>
      <c r="K263" s="79"/>
      <c r="L263" s="79"/>
      <c r="N263" s="102"/>
    </row>
    <row r="264">
      <c r="A264" s="17"/>
      <c r="C264" s="79"/>
      <c r="D264" s="79"/>
      <c r="E264" s="79"/>
      <c r="F264" s="79"/>
      <c r="G264" s="79"/>
      <c r="H264" s="79"/>
      <c r="I264" s="79"/>
      <c r="J264" s="79"/>
      <c r="K264" s="79"/>
      <c r="L264" s="79"/>
      <c r="N264" s="102"/>
    </row>
    <row r="265">
      <c r="A265" s="17"/>
      <c r="C265" s="79"/>
      <c r="D265" s="79"/>
      <c r="E265" s="79"/>
      <c r="F265" s="79"/>
      <c r="G265" s="79"/>
      <c r="H265" s="79"/>
      <c r="I265" s="79"/>
      <c r="J265" s="79"/>
      <c r="K265" s="79"/>
      <c r="L265" s="79"/>
      <c r="N265" s="102"/>
    </row>
    <row r="266">
      <c r="A266" s="17"/>
      <c r="C266" s="79"/>
      <c r="D266" s="79"/>
      <c r="E266" s="79"/>
      <c r="F266" s="79"/>
      <c r="G266" s="79"/>
      <c r="H266" s="79"/>
      <c r="I266" s="79"/>
      <c r="J266" s="79"/>
      <c r="K266" s="79"/>
      <c r="L266" s="79"/>
      <c r="N266" s="102"/>
    </row>
    <row r="267">
      <c r="A267" s="17"/>
      <c r="C267" s="79"/>
      <c r="D267" s="79"/>
      <c r="E267" s="79"/>
      <c r="F267" s="79"/>
      <c r="G267" s="79"/>
      <c r="H267" s="79"/>
      <c r="I267" s="79"/>
      <c r="J267" s="79"/>
      <c r="K267" s="79"/>
      <c r="L267" s="79"/>
      <c r="N267" s="102"/>
    </row>
    <row r="268">
      <c r="A268" s="17"/>
      <c r="C268" s="79"/>
      <c r="D268" s="79"/>
      <c r="E268" s="79"/>
      <c r="F268" s="79"/>
      <c r="G268" s="79"/>
      <c r="H268" s="79"/>
      <c r="I268" s="79"/>
      <c r="J268" s="79"/>
      <c r="K268" s="79"/>
      <c r="L268" s="79"/>
      <c r="N268" s="102"/>
    </row>
    <row r="269">
      <c r="A269" s="17"/>
      <c r="C269" s="79"/>
      <c r="D269" s="79"/>
      <c r="E269" s="79"/>
      <c r="F269" s="79"/>
      <c r="G269" s="79"/>
      <c r="H269" s="79"/>
      <c r="I269" s="79"/>
      <c r="J269" s="79"/>
      <c r="K269" s="79"/>
      <c r="L269" s="79"/>
      <c r="N269" s="102"/>
    </row>
    <row r="270">
      <c r="A270" s="17"/>
      <c r="C270" s="79"/>
      <c r="D270" s="79"/>
      <c r="E270" s="79"/>
      <c r="F270" s="79"/>
      <c r="G270" s="79"/>
      <c r="H270" s="79"/>
      <c r="I270" s="79"/>
      <c r="J270" s="79"/>
      <c r="K270" s="79"/>
      <c r="L270" s="79"/>
      <c r="N270" s="102"/>
    </row>
    <row r="271">
      <c r="A271" s="17"/>
      <c r="C271" s="79"/>
      <c r="D271" s="79"/>
      <c r="E271" s="79"/>
      <c r="F271" s="79"/>
      <c r="G271" s="79"/>
      <c r="H271" s="79"/>
      <c r="I271" s="79"/>
      <c r="J271" s="79"/>
      <c r="K271" s="79"/>
      <c r="L271" s="79"/>
      <c r="N271" s="102"/>
    </row>
    <row r="272">
      <c r="A272" s="17"/>
      <c r="C272" s="79"/>
      <c r="D272" s="79"/>
      <c r="E272" s="79"/>
      <c r="F272" s="79"/>
      <c r="G272" s="79"/>
      <c r="H272" s="79"/>
      <c r="I272" s="79"/>
      <c r="J272" s="79"/>
      <c r="K272" s="79"/>
      <c r="L272" s="79"/>
      <c r="N272" s="102"/>
    </row>
    <row r="273">
      <c r="A273" s="17"/>
      <c r="C273" s="79"/>
      <c r="D273" s="79"/>
      <c r="E273" s="79"/>
      <c r="F273" s="79"/>
      <c r="G273" s="79"/>
      <c r="H273" s="79"/>
      <c r="I273" s="79"/>
      <c r="J273" s="79"/>
      <c r="K273" s="79"/>
      <c r="L273" s="79"/>
      <c r="N273" s="102"/>
    </row>
    <row r="274">
      <c r="A274" s="17"/>
      <c r="C274" s="79"/>
      <c r="D274" s="79"/>
      <c r="E274" s="79"/>
      <c r="F274" s="79"/>
      <c r="G274" s="79"/>
      <c r="H274" s="79"/>
      <c r="I274" s="79"/>
      <c r="J274" s="79"/>
      <c r="K274" s="79"/>
      <c r="L274" s="79"/>
      <c r="N274" s="102"/>
    </row>
    <row r="275">
      <c r="A275" s="17"/>
      <c r="C275" s="79"/>
      <c r="D275" s="79"/>
      <c r="E275" s="79"/>
      <c r="F275" s="79"/>
      <c r="G275" s="79"/>
      <c r="H275" s="79"/>
      <c r="I275" s="79"/>
      <c r="J275" s="79"/>
      <c r="K275" s="79"/>
      <c r="L275" s="79"/>
      <c r="N275" s="102"/>
    </row>
    <row r="276">
      <c r="A276" s="17"/>
      <c r="C276" s="79"/>
      <c r="D276" s="79"/>
      <c r="E276" s="79"/>
      <c r="F276" s="79"/>
      <c r="G276" s="79"/>
      <c r="H276" s="79"/>
      <c r="I276" s="79"/>
      <c r="J276" s="79"/>
      <c r="K276" s="79"/>
      <c r="L276" s="79"/>
      <c r="N276" s="102"/>
    </row>
    <row r="277">
      <c r="A277" s="17"/>
      <c r="C277" s="79"/>
      <c r="D277" s="79"/>
      <c r="E277" s="79"/>
      <c r="F277" s="79"/>
      <c r="G277" s="79"/>
      <c r="H277" s="79"/>
      <c r="I277" s="79"/>
      <c r="J277" s="79"/>
      <c r="K277" s="79"/>
      <c r="L277" s="79"/>
      <c r="N277" s="102"/>
    </row>
    <row r="278">
      <c r="A278" s="17"/>
      <c r="C278" s="79"/>
      <c r="D278" s="79"/>
      <c r="E278" s="79"/>
      <c r="F278" s="79"/>
      <c r="G278" s="79"/>
      <c r="H278" s="79"/>
      <c r="I278" s="79"/>
      <c r="J278" s="79"/>
      <c r="K278" s="79"/>
      <c r="L278" s="79"/>
      <c r="N278" s="102"/>
    </row>
    <row r="279">
      <c r="A279" s="17"/>
      <c r="C279" s="79"/>
      <c r="D279" s="79"/>
      <c r="E279" s="79"/>
      <c r="F279" s="79"/>
      <c r="G279" s="79"/>
      <c r="H279" s="79"/>
      <c r="I279" s="79"/>
      <c r="J279" s="79"/>
      <c r="K279" s="79"/>
      <c r="L279" s="79"/>
      <c r="N279" s="102"/>
    </row>
    <row r="280">
      <c r="A280" s="17"/>
      <c r="C280" s="79"/>
      <c r="D280" s="79"/>
      <c r="E280" s="79"/>
      <c r="F280" s="79"/>
      <c r="G280" s="79"/>
      <c r="H280" s="79"/>
      <c r="I280" s="79"/>
      <c r="J280" s="79"/>
      <c r="K280" s="79"/>
      <c r="L280" s="79"/>
      <c r="N280" s="102"/>
    </row>
    <row r="281">
      <c r="A281" s="17"/>
      <c r="C281" s="79"/>
      <c r="D281" s="79"/>
      <c r="E281" s="79"/>
      <c r="F281" s="79"/>
      <c r="G281" s="79"/>
      <c r="H281" s="79"/>
      <c r="I281" s="79"/>
      <c r="J281" s="79"/>
      <c r="K281" s="79"/>
      <c r="L281" s="79"/>
      <c r="N281" s="102"/>
    </row>
    <row r="282">
      <c r="A282" s="17"/>
      <c r="C282" s="79"/>
      <c r="D282" s="79"/>
      <c r="E282" s="79"/>
      <c r="F282" s="79"/>
      <c r="G282" s="79"/>
      <c r="H282" s="79"/>
      <c r="I282" s="79"/>
      <c r="J282" s="79"/>
      <c r="K282" s="79"/>
      <c r="L282" s="79"/>
      <c r="N282" s="102"/>
    </row>
    <row r="283">
      <c r="A283" s="17"/>
      <c r="C283" s="79"/>
      <c r="D283" s="79"/>
      <c r="E283" s="79"/>
      <c r="F283" s="79"/>
      <c r="G283" s="79"/>
      <c r="H283" s="79"/>
      <c r="I283" s="79"/>
      <c r="J283" s="79"/>
      <c r="K283" s="79"/>
      <c r="L283" s="79"/>
      <c r="N283" s="102"/>
    </row>
    <row r="284">
      <c r="A284" s="17"/>
      <c r="C284" s="79"/>
      <c r="D284" s="79"/>
      <c r="E284" s="79"/>
      <c r="F284" s="79"/>
      <c r="G284" s="79"/>
      <c r="H284" s="79"/>
      <c r="I284" s="79"/>
      <c r="J284" s="79"/>
      <c r="K284" s="79"/>
      <c r="L284" s="79"/>
      <c r="N284" s="102"/>
    </row>
    <row r="285">
      <c r="A285" s="17"/>
      <c r="C285" s="79"/>
      <c r="D285" s="79"/>
      <c r="E285" s="79"/>
      <c r="F285" s="79"/>
      <c r="G285" s="79"/>
      <c r="H285" s="79"/>
      <c r="I285" s="79"/>
      <c r="J285" s="79"/>
      <c r="K285" s="79"/>
      <c r="L285" s="79"/>
      <c r="N285" s="102"/>
    </row>
    <row r="286">
      <c r="A286" s="17"/>
      <c r="C286" s="79"/>
      <c r="D286" s="79"/>
      <c r="E286" s="79"/>
      <c r="F286" s="79"/>
      <c r="G286" s="79"/>
      <c r="H286" s="79"/>
      <c r="I286" s="79"/>
      <c r="J286" s="79"/>
      <c r="K286" s="79"/>
      <c r="L286" s="79"/>
      <c r="N286" s="102"/>
    </row>
    <row r="287">
      <c r="A287" s="17"/>
      <c r="C287" s="79"/>
      <c r="D287" s="79"/>
      <c r="E287" s="79"/>
      <c r="F287" s="79"/>
      <c r="G287" s="79"/>
      <c r="H287" s="79"/>
      <c r="I287" s="79"/>
      <c r="J287" s="79"/>
      <c r="K287" s="79"/>
      <c r="L287" s="79"/>
      <c r="N287" s="102"/>
    </row>
    <row r="288">
      <c r="A288" s="17"/>
      <c r="C288" s="79"/>
      <c r="D288" s="79"/>
      <c r="E288" s="79"/>
      <c r="F288" s="79"/>
      <c r="G288" s="79"/>
      <c r="H288" s="79"/>
      <c r="I288" s="79"/>
      <c r="J288" s="79"/>
      <c r="K288" s="79"/>
      <c r="L288" s="79"/>
      <c r="N288" s="102"/>
    </row>
    <row r="289">
      <c r="A289" s="17"/>
      <c r="C289" s="79"/>
      <c r="D289" s="79"/>
      <c r="E289" s="79"/>
      <c r="F289" s="79"/>
      <c r="G289" s="79"/>
      <c r="H289" s="79"/>
      <c r="I289" s="79"/>
      <c r="J289" s="79"/>
      <c r="K289" s="79"/>
      <c r="L289" s="79"/>
      <c r="N289" s="102"/>
    </row>
    <row r="290">
      <c r="A290" s="17"/>
      <c r="C290" s="79"/>
      <c r="D290" s="79"/>
      <c r="E290" s="79"/>
      <c r="F290" s="79"/>
      <c r="G290" s="79"/>
      <c r="H290" s="79"/>
      <c r="I290" s="79"/>
      <c r="J290" s="79"/>
      <c r="K290" s="79"/>
      <c r="L290" s="79"/>
      <c r="N290" s="102"/>
    </row>
    <row r="291">
      <c r="A291" s="17"/>
      <c r="C291" s="79"/>
      <c r="D291" s="79"/>
      <c r="E291" s="79"/>
      <c r="F291" s="79"/>
      <c r="G291" s="79"/>
      <c r="H291" s="79"/>
      <c r="I291" s="79"/>
      <c r="J291" s="79"/>
      <c r="K291" s="79"/>
      <c r="L291" s="79"/>
      <c r="N291" s="102"/>
    </row>
    <row r="292">
      <c r="A292" s="17"/>
      <c r="C292" s="79"/>
      <c r="D292" s="79"/>
      <c r="E292" s="79"/>
      <c r="F292" s="79"/>
      <c r="G292" s="79"/>
      <c r="H292" s="79"/>
      <c r="I292" s="79"/>
      <c r="J292" s="79"/>
      <c r="K292" s="79"/>
      <c r="L292" s="79"/>
      <c r="N292" s="102"/>
    </row>
    <row r="293">
      <c r="A293" s="17"/>
      <c r="C293" s="79"/>
      <c r="D293" s="79"/>
      <c r="E293" s="79"/>
      <c r="F293" s="79"/>
      <c r="G293" s="79"/>
      <c r="H293" s="79"/>
      <c r="I293" s="79"/>
      <c r="J293" s="79"/>
      <c r="K293" s="79"/>
      <c r="L293" s="79"/>
      <c r="N293" s="102"/>
    </row>
    <row r="294">
      <c r="A294" s="17"/>
      <c r="C294" s="79"/>
      <c r="D294" s="79"/>
      <c r="E294" s="79"/>
      <c r="F294" s="79"/>
      <c r="G294" s="79"/>
      <c r="H294" s="79"/>
      <c r="I294" s="79"/>
      <c r="J294" s="79"/>
      <c r="K294" s="79"/>
      <c r="L294" s="79"/>
      <c r="N294" s="102"/>
    </row>
    <row r="295">
      <c r="A295" s="17"/>
      <c r="C295" s="79"/>
      <c r="D295" s="79"/>
      <c r="E295" s="79"/>
      <c r="F295" s="79"/>
      <c r="G295" s="79"/>
      <c r="H295" s="79"/>
      <c r="I295" s="79"/>
      <c r="J295" s="79"/>
      <c r="K295" s="79"/>
      <c r="L295" s="79"/>
      <c r="N295" s="102"/>
    </row>
    <row r="296">
      <c r="A296" s="17"/>
      <c r="C296" s="79"/>
      <c r="D296" s="79"/>
      <c r="E296" s="79"/>
      <c r="F296" s="79"/>
      <c r="G296" s="79"/>
      <c r="H296" s="79"/>
      <c r="I296" s="79"/>
      <c r="J296" s="79"/>
      <c r="K296" s="79"/>
      <c r="L296" s="79"/>
      <c r="N296" s="102"/>
    </row>
    <row r="297">
      <c r="A297" s="17"/>
      <c r="C297" s="79"/>
      <c r="D297" s="79"/>
      <c r="E297" s="79"/>
      <c r="F297" s="79"/>
      <c r="G297" s="79"/>
      <c r="H297" s="79"/>
      <c r="I297" s="79"/>
      <c r="J297" s="79"/>
      <c r="K297" s="79"/>
      <c r="L297" s="79"/>
      <c r="N297" s="102"/>
    </row>
    <row r="298">
      <c r="A298" s="17"/>
      <c r="C298" s="79"/>
      <c r="D298" s="79"/>
      <c r="E298" s="79"/>
      <c r="F298" s="79"/>
      <c r="G298" s="79"/>
      <c r="H298" s="79"/>
      <c r="I298" s="79"/>
      <c r="J298" s="79"/>
      <c r="K298" s="79"/>
      <c r="L298" s="79"/>
      <c r="N298" s="102"/>
    </row>
    <row r="299">
      <c r="A299" s="17"/>
      <c r="C299" s="79"/>
      <c r="D299" s="79"/>
      <c r="E299" s="79"/>
      <c r="F299" s="79"/>
      <c r="G299" s="79"/>
      <c r="H299" s="79"/>
      <c r="I299" s="79"/>
      <c r="J299" s="79"/>
      <c r="K299" s="79"/>
      <c r="L299" s="79"/>
      <c r="N299" s="102"/>
    </row>
    <row r="300">
      <c r="A300" s="17"/>
      <c r="C300" s="79"/>
      <c r="D300" s="79"/>
      <c r="E300" s="79"/>
      <c r="F300" s="79"/>
      <c r="G300" s="79"/>
      <c r="H300" s="79"/>
      <c r="I300" s="79"/>
      <c r="J300" s="79"/>
      <c r="K300" s="79"/>
      <c r="L300" s="79"/>
      <c r="N300" s="102"/>
    </row>
    <row r="301">
      <c r="A301" s="17"/>
      <c r="C301" s="79"/>
      <c r="D301" s="79"/>
      <c r="E301" s="79"/>
      <c r="F301" s="79"/>
      <c r="G301" s="79"/>
      <c r="H301" s="79"/>
      <c r="I301" s="79"/>
      <c r="J301" s="79"/>
      <c r="K301" s="79"/>
      <c r="L301" s="79"/>
      <c r="N301" s="102"/>
    </row>
    <row r="302">
      <c r="A302" s="17"/>
      <c r="C302" s="79"/>
      <c r="D302" s="79"/>
      <c r="E302" s="79"/>
      <c r="F302" s="79"/>
      <c r="G302" s="79"/>
      <c r="H302" s="79"/>
      <c r="I302" s="79"/>
      <c r="J302" s="79"/>
      <c r="K302" s="79"/>
      <c r="L302" s="79"/>
      <c r="N302" s="102"/>
    </row>
    <row r="303">
      <c r="A303" s="17"/>
      <c r="C303" s="79"/>
      <c r="D303" s="79"/>
      <c r="E303" s="79"/>
      <c r="F303" s="79"/>
      <c r="G303" s="79"/>
      <c r="H303" s="79"/>
      <c r="I303" s="79"/>
      <c r="J303" s="79"/>
      <c r="K303" s="79"/>
      <c r="L303" s="79"/>
      <c r="N303" s="102"/>
    </row>
    <row r="304">
      <c r="A304" s="17"/>
      <c r="C304" s="79"/>
      <c r="D304" s="79"/>
      <c r="E304" s="79"/>
      <c r="F304" s="79"/>
      <c r="G304" s="79"/>
      <c r="H304" s="79"/>
      <c r="I304" s="79"/>
      <c r="J304" s="79"/>
      <c r="K304" s="79"/>
      <c r="L304" s="79"/>
      <c r="N304" s="102"/>
    </row>
    <row r="305">
      <c r="A305" s="17"/>
      <c r="C305" s="79"/>
      <c r="D305" s="79"/>
      <c r="E305" s="79"/>
      <c r="F305" s="79"/>
      <c r="G305" s="79"/>
      <c r="H305" s="79"/>
      <c r="I305" s="79"/>
      <c r="J305" s="79"/>
      <c r="K305" s="79"/>
      <c r="L305" s="79"/>
      <c r="N305" s="102"/>
    </row>
    <row r="306">
      <c r="A306" s="17"/>
      <c r="C306" s="79"/>
      <c r="D306" s="79"/>
      <c r="E306" s="79"/>
      <c r="F306" s="79"/>
      <c r="G306" s="79"/>
      <c r="H306" s="79"/>
      <c r="I306" s="79"/>
      <c r="J306" s="79"/>
      <c r="K306" s="79"/>
      <c r="L306" s="79"/>
      <c r="N306" s="102"/>
    </row>
    <row r="307">
      <c r="A307" s="17"/>
      <c r="C307" s="79"/>
      <c r="D307" s="79"/>
      <c r="E307" s="79"/>
      <c r="F307" s="79"/>
      <c r="G307" s="79"/>
      <c r="H307" s="79"/>
      <c r="I307" s="79"/>
      <c r="J307" s="79"/>
      <c r="K307" s="79"/>
      <c r="L307" s="79"/>
      <c r="N307" s="102"/>
    </row>
    <row r="308">
      <c r="A308" s="17"/>
      <c r="C308" s="79"/>
      <c r="D308" s="79"/>
      <c r="E308" s="79"/>
      <c r="F308" s="79"/>
      <c r="G308" s="79"/>
      <c r="H308" s="79"/>
      <c r="I308" s="79"/>
      <c r="J308" s="79"/>
      <c r="K308" s="79"/>
      <c r="L308" s="79"/>
      <c r="N308" s="102"/>
    </row>
    <row r="309">
      <c r="A309" s="17"/>
      <c r="C309" s="79"/>
      <c r="D309" s="79"/>
      <c r="E309" s="79"/>
      <c r="F309" s="79"/>
      <c r="G309" s="79"/>
      <c r="H309" s="79"/>
      <c r="I309" s="79"/>
      <c r="J309" s="79"/>
      <c r="K309" s="79"/>
      <c r="L309" s="79"/>
      <c r="N309" s="102"/>
    </row>
    <row r="310">
      <c r="A310" s="17"/>
      <c r="C310" s="79"/>
      <c r="D310" s="79"/>
      <c r="E310" s="79"/>
      <c r="F310" s="79"/>
      <c r="G310" s="79"/>
      <c r="H310" s="79"/>
      <c r="I310" s="79"/>
      <c r="J310" s="79"/>
      <c r="K310" s="79"/>
      <c r="L310" s="79"/>
      <c r="N310" s="102"/>
    </row>
    <row r="311">
      <c r="A311" s="17"/>
      <c r="C311" s="79"/>
      <c r="D311" s="79"/>
      <c r="E311" s="79"/>
      <c r="F311" s="79"/>
      <c r="G311" s="79"/>
      <c r="H311" s="79"/>
      <c r="I311" s="79"/>
      <c r="J311" s="79"/>
      <c r="K311" s="79"/>
      <c r="L311" s="79"/>
      <c r="N311" s="102"/>
    </row>
    <row r="312">
      <c r="A312" s="17"/>
      <c r="C312" s="79"/>
      <c r="D312" s="79"/>
      <c r="E312" s="79"/>
      <c r="F312" s="79"/>
      <c r="G312" s="79"/>
      <c r="H312" s="79"/>
      <c r="I312" s="79"/>
      <c r="J312" s="79"/>
      <c r="K312" s="79"/>
      <c r="L312" s="79"/>
      <c r="N312" s="102"/>
    </row>
    <row r="313">
      <c r="A313" s="17"/>
      <c r="C313" s="79"/>
      <c r="D313" s="79"/>
      <c r="E313" s="79"/>
      <c r="F313" s="79"/>
      <c r="G313" s="79"/>
      <c r="H313" s="79"/>
      <c r="I313" s="79"/>
      <c r="J313" s="79"/>
      <c r="K313" s="79"/>
      <c r="L313" s="79"/>
      <c r="N313" s="102"/>
    </row>
    <row r="314">
      <c r="A314" s="17"/>
      <c r="C314" s="79"/>
      <c r="D314" s="79"/>
      <c r="E314" s="79"/>
      <c r="F314" s="79"/>
      <c r="G314" s="79"/>
      <c r="H314" s="79"/>
      <c r="I314" s="79"/>
      <c r="J314" s="79"/>
      <c r="K314" s="79"/>
      <c r="L314" s="79"/>
      <c r="N314" s="102"/>
    </row>
    <row r="315">
      <c r="A315" s="17"/>
      <c r="C315" s="79"/>
      <c r="D315" s="79"/>
      <c r="E315" s="79"/>
      <c r="F315" s="79"/>
      <c r="G315" s="79"/>
      <c r="H315" s="79"/>
      <c r="I315" s="79"/>
      <c r="J315" s="79"/>
      <c r="K315" s="79"/>
      <c r="L315" s="79"/>
      <c r="N315" s="102"/>
    </row>
    <row r="316">
      <c r="A316" s="17"/>
      <c r="C316" s="79"/>
      <c r="D316" s="79"/>
      <c r="E316" s="79"/>
      <c r="F316" s="79"/>
      <c r="G316" s="79"/>
      <c r="H316" s="79"/>
      <c r="I316" s="79"/>
      <c r="J316" s="79"/>
      <c r="K316" s="79"/>
      <c r="L316" s="79"/>
      <c r="N316" s="102"/>
    </row>
    <row r="317">
      <c r="A317" s="17"/>
      <c r="C317" s="79"/>
      <c r="D317" s="79"/>
      <c r="E317" s="79"/>
      <c r="F317" s="79"/>
      <c r="G317" s="79"/>
      <c r="H317" s="79"/>
      <c r="I317" s="79"/>
      <c r="J317" s="79"/>
      <c r="K317" s="79"/>
      <c r="L317" s="79"/>
      <c r="N317" s="102"/>
    </row>
    <row r="318">
      <c r="A318" s="17"/>
      <c r="C318" s="79"/>
      <c r="D318" s="79"/>
      <c r="E318" s="79"/>
      <c r="F318" s="79"/>
      <c r="G318" s="79"/>
      <c r="H318" s="79"/>
      <c r="I318" s="79"/>
      <c r="J318" s="79"/>
      <c r="K318" s="79"/>
      <c r="L318" s="79"/>
      <c r="N318" s="102"/>
    </row>
    <row r="319">
      <c r="A319" s="17"/>
      <c r="C319" s="79"/>
      <c r="D319" s="79"/>
      <c r="E319" s="79"/>
      <c r="F319" s="79"/>
      <c r="G319" s="79"/>
      <c r="H319" s="79"/>
      <c r="I319" s="79"/>
      <c r="J319" s="79"/>
      <c r="K319" s="79"/>
      <c r="L319" s="79"/>
      <c r="N319" s="102"/>
    </row>
    <row r="320">
      <c r="A320" s="17"/>
      <c r="C320" s="79"/>
      <c r="D320" s="79"/>
      <c r="E320" s="79"/>
      <c r="F320" s="79"/>
      <c r="G320" s="79"/>
      <c r="H320" s="79"/>
      <c r="I320" s="79"/>
      <c r="J320" s="79"/>
      <c r="K320" s="79"/>
      <c r="L320" s="79"/>
      <c r="N320" s="102"/>
    </row>
    <row r="321">
      <c r="A321" s="17"/>
      <c r="C321" s="79"/>
      <c r="D321" s="79"/>
      <c r="E321" s="79"/>
      <c r="F321" s="79"/>
      <c r="G321" s="79"/>
      <c r="H321" s="79"/>
      <c r="I321" s="79"/>
      <c r="J321" s="79"/>
      <c r="K321" s="79"/>
      <c r="L321" s="79"/>
      <c r="N321" s="102"/>
    </row>
    <row r="322">
      <c r="A322" s="17"/>
      <c r="C322" s="79"/>
      <c r="D322" s="79"/>
      <c r="E322" s="79"/>
      <c r="F322" s="79"/>
      <c r="G322" s="79"/>
      <c r="H322" s="79"/>
      <c r="I322" s="79"/>
      <c r="J322" s="79"/>
      <c r="K322" s="79"/>
      <c r="L322" s="79"/>
      <c r="N322" s="102"/>
    </row>
    <row r="323">
      <c r="A323" s="17"/>
      <c r="C323" s="79"/>
      <c r="D323" s="79"/>
      <c r="E323" s="79"/>
      <c r="F323" s="79"/>
      <c r="G323" s="79"/>
      <c r="H323" s="79"/>
      <c r="I323" s="79"/>
      <c r="J323" s="79"/>
      <c r="K323" s="79"/>
      <c r="L323" s="79"/>
      <c r="N323" s="102"/>
    </row>
    <row r="324">
      <c r="A324" s="17"/>
      <c r="C324" s="79"/>
      <c r="D324" s="79"/>
      <c r="E324" s="79"/>
      <c r="F324" s="79"/>
      <c r="G324" s="79"/>
      <c r="H324" s="79"/>
      <c r="I324" s="79"/>
      <c r="J324" s="79"/>
      <c r="K324" s="79"/>
      <c r="L324" s="79"/>
      <c r="N324" s="102"/>
    </row>
    <row r="325">
      <c r="A325" s="17"/>
      <c r="C325" s="79"/>
      <c r="D325" s="79"/>
      <c r="E325" s="79"/>
      <c r="F325" s="79"/>
      <c r="G325" s="79"/>
      <c r="H325" s="79"/>
      <c r="I325" s="79"/>
      <c r="J325" s="79"/>
      <c r="K325" s="79"/>
      <c r="L325" s="79"/>
      <c r="N325" s="102"/>
    </row>
    <row r="326">
      <c r="A326" s="17"/>
      <c r="C326" s="79"/>
      <c r="D326" s="79"/>
      <c r="E326" s="79"/>
      <c r="F326" s="79"/>
      <c r="G326" s="79"/>
      <c r="H326" s="79"/>
      <c r="I326" s="79"/>
      <c r="J326" s="79"/>
      <c r="K326" s="79"/>
      <c r="L326" s="79"/>
      <c r="N326" s="102"/>
    </row>
    <row r="327">
      <c r="A327" s="17"/>
      <c r="C327" s="79"/>
      <c r="D327" s="79"/>
      <c r="E327" s="79"/>
      <c r="F327" s="79"/>
      <c r="G327" s="79"/>
      <c r="H327" s="79"/>
      <c r="I327" s="79"/>
      <c r="J327" s="79"/>
      <c r="K327" s="79"/>
      <c r="L327" s="79"/>
      <c r="N327" s="102"/>
    </row>
    <row r="328">
      <c r="A328" s="17"/>
      <c r="C328" s="79"/>
      <c r="D328" s="79"/>
      <c r="E328" s="79"/>
      <c r="F328" s="79"/>
      <c r="G328" s="79"/>
      <c r="H328" s="79"/>
      <c r="I328" s="79"/>
      <c r="J328" s="79"/>
      <c r="K328" s="79"/>
      <c r="L328" s="79"/>
      <c r="N328" s="102"/>
    </row>
    <row r="329">
      <c r="A329" s="17"/>
      <c r="C329" s="79"/>
      <c r="D329" s="79"/>
      <c r="E329" s="79"/>
      <c r="F329" s="79"/>
      <c r="G329" s="79"/>
      <c r="H329" s="79"/>
      <c r="I329" s="79"/>
      <c r="J329" s="79"/>
      <c r="K329" s="79"/>
      <c r="L329" s="79"/>
      <c r="N329" s="102"/>
    </row>
    <row r="330">
      <c r="A330" s="17"/>
      <c r="C330" s="79"/>
      <c r="D330" s="79"/>
      <c r="E330" s="79"/>
      <c r="F330" s="79"/>
      <c r="G330" s="79"/>
      <c r="H330" s="79"/>
      <c r="I330" s="79"/>
      <c r="J330" s="79"/>
      <c r="K330" s="79"/>
      <c r="L330" s="79"/>
      <c r="N330" s="102"/>
    </row>
    <row r="331">
      <c r="A331" s="17"/>
      <c r="C331" s="79"/>
      <c r="D331" s="79"/>
      <c r="E331" s="79"/>
      <c r="F331" s="79"/>
      <c r="G331" s="79"/>
      <c r="H331" s="79"/>
      <c r="I331" s="79"/>
      <c r="J331" s="79"/>
      <c r="K331" s="79"/>
      <c r="L331" s="79"/>
      <c r="N331" s="102"/>
    </row>
    <row r="332">
      <c r="A332" s="17"/>
      <c r="C332" s="79"/>
      <c r="D332" s="79"/>
      <c r="E332" s="79"/>
      <c r="F332" s="79"/>
      <c r="G332" s="79"/>
      <c r="H332" s="79"/>
      <c r="I332" s="79"/>
      <c r="J332" s="79"/>
      <c r="K332" s="79"/>
      <c r="L332" s="79"/>
      <c r="N332" s="102"/>
    </row>
    <row r="333">
      <c r="A333" s="17"/>
      <c r="C333" s="79"/>
      <c r="D333" s="79"/>
      <c r="E333" s="79"/>
      <c r="F333" s="79"/>
      <c r="G333" s="79"/>
      <c r="H333" s="79"/>
      <c r="I333" s="79"/>
      <c r="J333" s="79"/>
      <c r="K333" s="79"/>
      <c r="L333" s="79"/>
      <c r="N333" s="102"/>
    </row>
    <row r="334">
      <c r="A334" s="17"/>
      <c r="C334" s="79"/>
      <c r="D334" s="79"/>
      <c r="E334" s="79"/>
      <c r="F334" s="79"/>
      <c r="G334" s="79"/>
      <c r="H334" s="79"/>
      <c r="I334" s="79"/>
      <c r="J334" s="79"/>
      <c r="K334" s="79"/>
      <c r="L334" s="79"/>
      <c r="N334" s="102"/>
    </row>
    <row r="335">
      <c r="A335" s="17"/>
      <c r="C335" s="79"/>
      <c r="D335" s="79"/>
      <c r="E335" s="79"/>
      <c r="F335" s="79"/>
      <c r="G335" s="79"/>
      <c r="H335" s="79"/>
      <c r="I335" s="79"/>
      <c r="J335" s="79"/>
      <c r="K335" s="79"/>
      <c r="L335" s="79"/>
      <c r="N335" s="102"/>
    </row>
    <row r="336">
      <c r="A336" s="17"/>
      <c r="C336" s="79"/>
      <c r="D336" s="79"/>
      <c r="E336" s="79"/>
      <c r="F336" s="79"/>
      <c r="G336" s="79"/>
      <c r="H336" s="79"/>
      <c r="I336" s="79"/>
      <c r="J336" s="79"/>
      <c r="K336" s="79"/>
      <c r="L336" s="79"/>
      <c r="N336" s="102"/>
    </row>
    <row r="337">
      <c r="A337" s="17"/>
      <c r="C337" s="79"/>
      <c r="D337" s="79"/>
      <c r="E337" s="79"/>
      <c r="F337" s="79"/>
      <c r="G337" s="79"/>
      <c r="H337" s="79"/>
      <c r="I337" s="79"/>
      <c r="J337" s="79"/>
      <c r="K337" s="79"/>
      <c r="L337" s="79"/>
      <c r="N337" s="102"/>
    </row>
    <row r="338">
      <c r="A338" s="17"/>
      <c r="C338" s="79"/>
      <c r="D338" s="79"/>
      <c r="E338" s="79"/>
      <c r="F338" s="79"/>
      <c r="G338" s="79"/>
      <c r="H338" s="79"/>
      <c r="I338" s="79"/>
      <c r="J338" s="79"/>
      <c r="K338" s="79"/>
      <c r="L338" s="79"/>
      <c r="N338" s="102"/>
    </row>
    <row r="339">
      <c r="A339" s="17"/>
      <c r="C339" s="79"/>
      <c r="D339" s="79"/>
      <c r="E339" s="79"/>
      <c r="F339" s="79"/>
      <c r="G339" s="79"/>
      <c r="H339" s="79"/>
      <c r="I339" s="79"/>
      <c r="J339" s="79"/>
      <c r="K339" s="79"/>
      <c r="L339" s="79"/>
      <c r="N339" s="102"/>
    </row>
    <row r="340">
      <c r="A340" s="17"/>
      <c r="C340" s="79"/>
      <c r="D340" s="79"/>
      <c r="E340" s="79"/>
      <c r="F340" s="79"/>
      <c r="G340" s="79"/>
      <c r="H340" s="79"/>
      <c r="I340" s="79"/>
      <c r="J340" s="79"/>
      <c r="K340" s="79"/>
      <c r="L340" s="79"/>
      <c r="N340" s="102"/>
    </row>
    <row r="341">
      <c r="A341" s="17"/>
      <c r="C341" s="79"/>
      <c r="D341" s="79"/>
      <c r="E341" s="79"/>
      <c r="F341" s="79"/>
      <c r="G341" s="79"/>
      <c r="H341" s="79"/>
      <c r="I341" s="79"/>
      <c r="J341" s="79"/>
      <c r="K341" s="79"/>
      <c r="L341" s="79"/>
      <c r="N341" s="102"/>
    </row>
    <row r="342">
      <c r="A342" s="17"/>
      <c r="C342" s="79"/>
      <c r="D342" s="79"/>
      <c r="E342" s="79"/>
      <c r="F342" s="79"/>
      <c r="G342" s="79"/>
      <c r="H342" s="79"/>
      <c r="I342" s="79"/>
      <c r="J342" s="79"/>
      <c r="K342" s="79"/>
      <c r="L342" s="79"/>
      <c r="N342" s="102"/>
    </row>
    <row r="343">
      <c r="A343" s="17"/>
      <c r="C343" s="79"/>
      <c r="D343" s="79"/>
      <c r="E343" s="79"/>
      <c r="F343" s="79"/>
      <c r="G343" s="79"/>
      <c r="H343" s="79"/>
      <c r="I343" s="79"/>
      <c r="J343" s="79"/>
      <c r="K343" s="79"/>
      <c r="L343" s="79"/>
      <c r="N343" s="102"/>
    </row>
    <row r="344">
      <c r="A344" s="17"/>
      <c r="C344" s="79"/>
      <c r="D344" s="79"/>
      <c r="E344" s="79"/>
      <c r="F344" s="79"/>
      <c r="G344" s="79"/>
      <c r="H344" s="79"/>
      <c r="I344" s="79"/>
      <c r="J344" s="79"/>
      <c r="K344" s="79"/>
      <c r="L344" s="79"/>
      <c r="N344" s="102"/>
    </row>
    <row r="345">
      <c r="A345" s="17"/>
      <c r="C345" s="79"/>
      <c r="D345" s="79"/>
      <c r="E345" s="79"/>
      <c r="F345" s="79"/>
      <c r="G345" s="79"/>
      <c r="H345" s="79"/>
      <c r="I345" s="79"/>
      <c r="J345" s="79"/>
      <c r="K345" s="79"/>
      <c r="L345" s="79"/>
      <c r="N345" s="102"/>
    </row>
    <row r="346">
      <c r="A346" s="17"/>
      <c r="C346" s="79"/>
      <c r="D346" s="79"/>
      <c r="E346" s="79"/>
      <c r="F346" s="79"/>
      <c r="G346" s="79"/>
      <c r="H346" s="79"/>
      <c r="I346" s="79"/>
      <c r="J346" s="79"/>
      <c r="K346" s="79"/>
      <c r="L346" s="79"/>
      <c r="N346" s="102"/>
    </row>
    <row r="347">
      <c r="A347" s="17"/>
      <c r="C347" s="79"/>
      <c r="D347" s="79"/>
      <c r="E347" s="79"/>
      <c r="F347" s="79"/>
      <c r="G347" s="79"/>
      <c r="H347" s="79"/>
      <c r="I347" s="79"/>
      <c r="J347" s="79"/>
      <c r="K347" s="79"/>
      <c r="L347" s="79"/>
      <c r="N347" s="102"/>
    </row>
    <row r="348">
      <c r="A348" s="17"/>
      <c r="C348" s="79"/>
      <c r="D348" s="79"/>
      <c r="E348" s="79"/>
      <c r="F348" s="79"/>
      <c r="G348" s="79"/>
      <c r="H348" s="79"/>
      <c r="I348" s="79"/>
      <c r="J348" s="79"/>
      <c r="K348" s="79"/>
      <c r="L348" s="79"/>
      <c r="N348" s="102"/>
    </row>
    <row r="349">
      <c r="A349" s="17"/>
      <c r="C349" s="79"/>
      <c r="D349" s="79"/>
      <c r="E349" s="79"/>
      <c r="F349" s="79"/>
      <c r="G349" s="79"/>
      <c r="H349" s="79"/>
      <c r="I349" s="79"/>
      <c r="J349" s="79"/>
      <c r="K349" s="79"/>
      <c r="L349" s="79"/>
      <c r="N349" s="102"/>
    </row>
    <row r="350">
      <c r="A350" s="17"/>
      <c r="C350" s="79"/>
      <c r="D350" s="79"/>
      <c r="E350" s="79"/>
      <c r="F350" s="79"/>
      <c r="G350" s="79"/>
      <c r="H350" s="79"/>
      <c r="I350" s="79"/>
      <c r="J350" s="79"/>
      <c r="K350" s="79"/>
      <c r="L350" s="79"/>
      <c r="N350" s="102"/>
    </row>
    <row r="351">
      <c r="A351" s="17"/>
      <c r="C351" s="79"/>
      <c r="D351" s="79"/>
      <c r="E351" s="79"/>
      <c r="F351" s="79"/>
      <c r="G351" s="79"/>
      <c r="H351" s="79"/>
      <c r="I351" s="79"/>
      <c r="J351" s="79"/>
      <c r="K351" s="79"/>
      <c r="L351" s="79"/>
      <c r="N351" s="102"/>
    </row>
    <row r="352">
      <c r="A352" s="17"/>
      <c r="C352" s="79"/>
      <c r="D352" s="79"/>
      <c r="E352" s="79"/>
      <c r="F352" s="79"/>
      <c r="G352" s="79"/>
      <c r="H352" s="79"/>
      <c r="I352" s="79"/>
      <c r="J352" s="79"/>
      <c r="K352" s="79"/>
      <c r="L352" s="79"/>
      <c r="N352" s="102"/>
    </row>
    <row r="353">
      <c r="A353" s="17"/>
      <c r="C353" s="79"/>
      <c r="D353" s="79"/>
      <c r="E353" s="79"/>
      <c r="F353" s="79"/>
      <c r="G353" s="79"/>
      <c r="H353" s="79"/>
      <c r="I353" s="79"/>
      <c r="J353" s="79"/>
      <c r="K353" s="79"/>
      <c r="L353" s="79"/>
      <c r="N353" s="102"/>
    </row>
    <row r="354">
      <c r="A354" s="17"/>
      <c r="C354" s="79"/>
      <c r="D354" s="79"/>
      <c r="E354" s="79"/>
      <c r="F354" s="79"/>
      <c r="G354" s="79"/>
      <c r="H354" s="79"/>
      <c r="I354" s="79"/>
      <c r="J354" s="79"/>
      <c r="K354" s="79"/>
      <c r="L354" s="79"/>
      <c r="N354" s="102"/>
    </row>
    <row r="355">
      <c r="A355" s="17"/>
      <c r="C355" s="79"/>
      <c r="D355" s="79"/>
      <c r="E355" s="79"/>
      <c r="F355" s="79"/>
      <c r="G355" s="79"/>
      <c r="H355" s="79"/>
      <c r="I355" s="79"/>
      <c r="J355" s="79"/>
      <c r="K355" s="79"/>
      <c r="L355" s="79"/>
      <c r="N355" s="102"/>
    </row>
    <row r="356">
      <c r="A356" s="17"/>
      <c r="C356" s="79"/>
      <c r="D356" s="79"/>
      <c r="E356" s="79"/>
      <c r="F356" s="79"/>
      <c r="G356" s="79"/>
      <c r="H356" s="79"/>
      <c r="I356" s="79"/>
      <c r="J356" s="79"/>
      <c r="K356" s="79"/>
      <c r="L356" s="79"/>
      <c r="N356" s="102"/>
    </row>
    <row r="357">
      <c r="A357" s="17"/>
      <c r="C357" s="79"/>
      <c r="D357" s="79"/>
      <c r="E357" s="79"/>
      <c r="F357" s="79"/>
      <c r="G357" s="79"/>
      <c r="H357" s="79"/>
      <c r="I357" s="79"/>
      <c r="J357" s="79"/>
      <c r="K357" s="79"/>
      <c r="L357" s="79"/>
      <c r="N357" s="102"/>
    </row>
    <row r="358">
      <c r="A358" s="17"/>
      <c r="C358" s="79"/>
      <c r="D358" s="79"/>
      <c r="E358" s="79"/>
      <c r="F358" s="79"/>
      <c r="G358" s="79"/>
      <c r="H358" s="79"/>
      <c r="I358" s="79"/>
      <c r="J358" s="79"/>
      <c r="K358" s="79"/>
      <c r="L358" s="79"/>
      <c r="N358" s="102"/>
    </row>
    <row r="359">
      <c r="A359" s="17"/>
      <c r="C359" s="79"/>
      <c r="D359" s="79"/>
      <c r="E359" s="79"/>
      <c r="F359" s="79"/>
      <c r="G359" s="79"/>
      <c r="H359" s="79"/>
      <c r="I359" s="79"/>
      <c r="J359" s="79"/>
      <c r="K359" s="79"/>
      <c r="L359" s="79"/>
      <c r="N359" s="102"/>
    </row>
    <row r="360">
      <c r="A360" s="17"/>
      <c r="C360" s="79"/>
      <c r="D360" s="79"/>
      <c r="E360" s="79"/>
      <c r="F360" s="79"/>
      <c r="G360" s="79"/>
      <c r="H360" s="79"/>
      <c r="I360" s="79"/>
      <c r="J360" s="79"/>
      <c r="K360" s="79"/>
      <c r="L360" s="79"/>
      <c r="N360" s="102"/>
    </row>
    <row r="361">
      <c r="A361" s="17"/>
      <c r="C361" s="79"/>
      <c r="D361" s="79"/>
      <c r="E361" s="79"/>
      <c r="F361" s="79"/>
      <c r="G361" s="79"/>
      <c r="H361" s="79"/>
      <c r="I361" s="79"/>
      <c r="J361" s="79"/>
      <c r="K361" s="79"/>
      <c r="L361" s="79"/>
      <c r="N361" s="102"/>
    </row>
    <row r="362">
      <c r="A362" s="17"/>
      <c r="C362" s="79"/>
      <c r="D362" s="79"/>
      <c r="E362" s="79"/>
      <c r="F362" s="79"/>
      <c r="G362" s="79"/>
      <c r="H362" s="79"/>
      <c r="I362" s="79"/>
      <c r="J362" s="79"/>
      <c r="K362" s="79"/>
      <c r="L362" s="79"/>
      <c r="N362" s="102"/>
    </row>
    <row r="363">
      <c r="A363" s="17"/>
      <c r="C363" s="79"/>
      <c r="D363" s="79"/>
      <c r="E363" s="79"/>
      <c r="F363" s="79"/>
      <c r="G363" s="79"/>
      <c r="H363" s="79"/>
      <c r="I363" s="79"/>
      <c r="J363" s="79"/>
      <c r="K363" s="79"/>
      <c r="L363" s="79"/>
      <c r="N363" s="102"/>
    </row>
    <row r="364">
      <c r="A364" s="17"/>
      <c r="C364" s="79"/>
      <c r="D364" s="79"/>
      <c r="E364" s="79"/>
      <c r="F364" s="79"/>
      <c r="G364" s="79"/>
      <c r="H364" s="79"/>
      <c r="I364" s="79"/>
      <c r="J364" s="79"/>
      <c r="K364" s="79"/>
      <c r="L364" s="79"/>
      <c r="N364" s="102"/>
    </row>
    <row r="365">
      <c r="A365" s="17"/>
      <c r="C365" s="79"/>
      <c r="D365" s="79"/>
      <c r="E365" s="79"/>
      <c r="F365" s="79"/>
      <c r="G365" s="79"/>
      <c r="H365" s="79"/>
      <c r="I365" s="79"/>
      <c r="J365" s="79"/>
      <c r="K365" s="79"/>
      <c r="L365" s="79"/>
      <c r="N365" s="102"/>
    </row>
    <row r="366">
      <c r="A366" s="17"/>
      <c r="C366" s="79"/>
      <c r="D366" s="79"/>
      <c r="E366" s="79"/>
      <c r="F366" s="79"/>
      <c r="G366" s="79"/>
      <c r="H366" s="79"/>
      <c r="I366" s="79"/>
      <c r="J366" s="79"/>
      <c r="K366" s="79"/>
      <c r="L366" s="79"/>
      <c r="N366" s="102"/>
    </row>
    <row r="367">
      <c r="A367" s="17"/>
      <c r="C367" s="79"/>
      <c r="D367" s="79"/>
      <c r="E367" s="79"/>
      <c r="F367" s="79"/>
      <c r="G367" s="79"/>
      <c r="H367" s="79"/>
      <c r="I367" s="79"/>
      <c r="J367" s="79"/>
      <c r="K367" s="79"/>
      <c r="L367" s="79"/>
      <c r="N367" s="102"/>
    </row>
    <row r="368">
      <c r="A368" s="17"/>
      <c r="C368" s="79"/>
      <c r="D368" s="79"/>
      <c r="E368" s="79"/>
      <c r="F368" s="79"/>
      <c r="G368" s="79"/>
      <c r="H368" s="79"/>
      <c r="I368" s="79"/>
      <c r="J368" s="79"/>
      <c r="K368" s="79"/>
      <c r="L368" s="79"/>
      <c r="N368" s="102"/>
    </row>
    <row r="369">
      <c r="A369" s="17"/>
      <c r="C369" s="79"/>
      <c r="D369" s="79"/>
      <c r="E369" s="79"/>
      <c r="F369" s="79"/>
      <c r="G369" s="79"/>
      <c r="H369" s="79"/>
      <c r="I369" s="79"/>
      <c r="J369" s="79"/>
      <c r="K369" s="79"/>
      <c r="L369" s="79"/>
      <c r="N369" s="102"/>
    </row>
    <row r="370">
      <c r="A370" s="17"/>
      <c r="C370" s="79"/>
      <c r="D370" s="79"/>
      <c r="E370" s="79"/>
      <c r="F370" s="79"/>
      <c r="G370" s="79"/>
      <c r="H370" s="79"/>
      <c r="I370" s="79"/>
      <c r="J370" s="79"/>
      <c r="K370" s="79"/>
      <c r="L370" s="79"/>
      <c r="N370" s="102"/>
    </row>
    <row r="371">
      <c r="A371" s="17"/>
      <c r="C371" s="79"/>
      <c r="D371" s="79"/>
      <c r="E371" s="79"/>
      <c r="F371" s="79"/>
      <c r="G371" s="79"/>
      <c r="H371" s="79"/>
      <c r="I371" s="79"/>
      <c r="J371" s="79"/>
      <c r="K371" s="79"/>
      <c r="L371" s="79"/>
      <c r="N371" s="102"/>
    </row>
    <row r="372">
      <c r="A372" s="17"/>
      <c r="C372" s="79"/>
      <c r="D372" s="79"/>
      <c r="E372" s="79"/>
      <c r="F372" s="79"/>
      <c r="G372" s="79"/>
      <c r="H372" s="79"/>
      <c r="I372" s="79"/>
      <c r="J372" s="79"/>
      <c r="K372" s="79"/>
      <c r="L372" s="79"/>
      <c r="N372" s="102"/>
    </row>
    <row r="373">
      <c r="A373" s="17"/>
      <c r="C373" s="79"/>
      <c r="D373" s="79"/>
      <c r="E373" s="79"/>
      <c r="F373" s="79"/>
      <c r="G373" s="79"/>
      <c r="H373" s="79"/>
      <c r="I373" s="79"/>
      <c r="J373" s="79"/>
      <c r="K373" s="79"/>
      <c r="L373" s="79"/>
      <c r="N373" s="102"/>
    </row>
    <row r="374">
      <c r="A374" s="17"/>
      <c r="C374" s="79"/>
      <c r="D374" s="79"/>
      <c r="E374" s="79"/>
      <c r="F374" s="79"/>
      <c r="G374" s="79"/>
      <c r="H374" s="79"/>
      <c r="I374" s="79"/>
      <c r="J374" s="79"/>
      <c r="K374" s="79"/>
      <c r="L374" s="79"/>
      <c r="N374" s="102"/>
    </row>
    <row r="375">
      <c r="A375" s="17"/>
      <c r="C375" s="79"/>
      <c r="D375" s="79"/>
      <c r="E375" s="79"/>
      <c r="F375" s="79"/>
      <c r="G375" s="79"/>
      <c r="H375" s="79"/>
      <c r="I375" s="79"/>
      <c r="J375" s="79"/>
      <c r="K375" s="79"/>
      <c r="L375" s="79"/>
      <c r="N375" s="102"/>
    </row>
    <row r="376">
      <c r="A376" s="17"/>
      <c r="C376" s="79"/>
      <c r="D376" s="79"/>
      <c r="E376" s="79"/>
      <c r="F376" s="79"/>
      <c r="G376" s="79"/>
      <c r="H376" s="79"/>
      <c r="I376" s="79"/>
      <c r="J376" s="79"/>
      <c r="K376" s="79"/>
      <c r="L376" s="79"/>
      <c r="N376" s="102"/>
    </row>
    <row r="377">
      <c r="A377" s="17"/>
      <c r="C377" s="79"/>
      <c r="D377" s="79"/>
      <c r="E377" s="79"/>
      <c r="F377" s="79"/>
      <c r="G377" s="79"/>
      <c r="H377" s="79"/>
      <c r="I377" s="79"/>
      <c r="J377" s="79"/>
      <c r="K377" s="79"/>
      <c r="L377" s="79"/>
      <c r="N377" s="102"/>
    </row>
    <row r="378">
      <c r="A378" s="17"/>
      <c r="C378" s="79"/>
      <c r="D378" s="79"/>
      <c r="E378" s="79"/>
      <c r="F378" s="79"/>
      <c r="G378" s="79"/>
      <c r="H378" s="79"/>
      <c r="I378" s="79"/>
      <c r="J378" s="79"/>
      <c r="K378" s="79"/>
      <c r="L378" s="79"/>
      <c r="N378" s="102"/>
    </row>
    <row r="379">
      <c r="A379" s="17"/>
      <c r="C379" s="79"/>
      <c r="D379" s="79"/>
      <c r="E379" s="79"/>
      <c r="F379" s="79"/>
      <c r="G379" s="79"/>
      <c r="H379" s="79"/>
      <c r="I379" s="79"/>
      <c r="J379" s="79"/>
      <c r="K379" s="79"/>
      <c r="L379" s="79"/>
      <c r="N379" s="102"/>
    </row>
    <row r="380">
      <c r="A380" s="17"/>
      <c r="C380" s="79"/>
      <c r="D380" s="79"/>
      <c r="E380" s="79"/>
      <c r="F380" s="79"/>
      <c r="G380" s="79"/>
      <c r="H380" s="79"/>
      <c r="I380" s="79"/>
      <c r="J380" s="79"/>
      <c r="K380" s="79"/>
      <c r="L380" s="79"/>
      <c r="N380" s="102"/>
    </row>
    <row r="381">
      <c r="A381" s="17"/>
      <c r="C381" s="79"/>
      <c r="D381" s="79"/>
      <c r="E381" s="79"/>
      <c r="F381" s="79"/>
      <c r="G381" s="79"/>
      <c r="H381" s="79"/>
      <c r="I381" s="79"/>
      <c r="J381" s="79"/>
      <c r="K381" s="79"/>
      <c r="L381" s="79"/>
      <c r="N381" s="102"/>
    </row>
    <row r="382">
      <c r="A382" s="17"/>
      <c r="C382" s="79"/>
      <c r="D382" s="79"/>
      <c r="E382" s="79"/>
      <c r="F382" s="79"/>
      <c r="G382" s="79"/>
      <c r="H382" s="79"/>
      <c r="I382" s="79"/>
      <c r="J382" s="79"/>
      <c r="K382" s="79"/>
      <c r="L382" s="79"/>
      <c r="N382" s="102"/>
    </row>
    <row r="383">
      <c r="A383" s="17"/>
      <c r="C383" s="79"/>
      <c r="D383" s="79"/>
      <c r="E383" s="79"/>
      <c r="F383" s="79"/>
      <c r="G383" s="79"/>
      <c r="H383" s="79"/>
      <c r="I383" s="79"/>
      <c r="J383" s="79"/>
      <c r="K383" s="79"/>
      <c r="L383" s="79"/>
      <c r="N383" s="102"/>
    </row>
    <row r="384">
      <c r="A384" s="17"/>
      <c r="C384" s="79"/>
      <c r="D384" s="79"/>
      <c r="E384" s="79"/>
      <c r="F384" s="79"/>
      <c r="G384" s="79"/>
      <c r="H384" s="79"/>
      <c r="I384" s="79"/>
      <c r="J384" s="79"/>
      <c r="K384" s="79"/>
      <c r="L384" s="79"/>
      <c r="N384" s="102"/>
    </row>
    <row r="385">
      <c r="A385" s="17"/>
      <c r="C385" s="79"/>
      <c r="D385" s="79"/>
      <c r="E385" s="79"/>
      <c r="F385" s="79"/>
      <c r="G385" s="79"/>
      <c r="H385" s="79"/>
      <c r="I385" s="79"/>
      <c r="J385" s="79"/>
      <c r="K385" s="79"/>
      <c r="L385" s="79"/>
      <c r="N385" s="102"/>
    </row>
    <row r="386">
      <c r="A386" s="17"/>
      <c r="C386" s="79"/>
      <c r="D386" s="79"/>
      <c r="E386" s="79"/>
      <c r="F386" s="79"/>
      <c r="G386" s="79"/>
      <c r="H386" s="79"/>
      <c r="I386" s="79"/>
      <c r="J386" s="79"/>
      <c r="K386" s="79"/>
      <c r="L386" s="79"/>
      <c r="N386" s="102"/>
    </row>
    <row r="387">
      <c r="A387" s="17"/>
      <c r="C387" s="79"/>
      <c r="D387" s="79"/>
      <c r="E387" s="79"/>
      <c r="F387" s="79"/>
      <c r="G387" s="79"/>
      <c r="H387" s="79"/>
      <c r="I387" s="79"/>
      <c r="J387" s="79"/>
      <c r="K387" s="79"/>
      <c r="L387" s="79"/>
      <c r="N387" s="102"/>
    </row>
    <row r="388">
      <c r="A388" s="17"/>
      <c r="C388" s="79"/>
      <c r="D388" s="79"/>
      <c r="E388" s="79"/>
      <c r="F388" s="79"/>
      <c r="G388" s="79"/>
      <c r="H388" s="79"/>
      <c r="I388" s="79"/>
      <c r="J388" s="79"/>
      <c r="K388" s="79"/>
      <c r="L388" s="79"/>
      <c r="N388" s="102"/>
    </row>
    <row r="389">
      <c r="A389" s="17"/>
      <c r="C389" s="79"/>
      <c r="D389" s="79"/>
      <c r="E389" s="79"/>
      <c r="F389" s="79"/>
      <c r="G389" s="79"/>
      <c r="H389" s="79"/>
      <c r="I389" s="79"/>
      <c r="J389" s="79"/>
      <c r="K389" s="79"/>
      <c r="L389" s="79"/>
      <c r="N389" s="102"/>
    </row>
    <row r="390">
      <c r="A390" s="17"/>
      <c r="C390" s="79"/>
      <c r="D390" s="79"/>
      <c r="E390" s="79"/>
      <c r="F390" s="79"/>
      <c r="G390" s="79"/>
      <c r="H390" s="79"/>
      <c r="I390" s="79"/>
      <c r="J390" s="79"/>
      <c r="K390" s="79"/>
      <c r="L390" s="79"/>
      <c r="N390" s="102"/>
    </row>
    <row r="391">
      <c r="A391" s="17"/>
      <c r="C391" s="79"/>
      <c r="D391" s="79"/>
      <c r="E391" s="79"/>
      <c r="F391" s="79"/>
      <c r="G391" s="79"/>
      <c r="H391" s="79"/>
      <c r="I391" s="79"/>
      <c r="J391" s="79"/>
      <c r="K391" s="79"/>
      <c r="L391" s="79"/>
      <c r="N391" s="102"/>
    </row>
    <row r="392">
      <c r="A392" s="17"/>
      <c r="C392" s="79"/>
      <c r="D392" s="79"/>
      <c r="E392" s="79"/>
      <c r="F392" s="79"/>
      <c r="G392" s="79"/>
      <c r="H392" s="79"/>
      <c r="I392" s="79"/>
      <c r="J392" s="79"/>
      <c r="K392" s="79"/>
      <c r="L392" s="79"/>
      <c r="N392" s="102"/>
    </row>
    <row r="393">
      <c r="A393" s="17"/>
      <c r="C393" s="79"/>
      <c r="D393" s="79"/>
      <c r="E393" s="79"/>
      <c r="F393" s="79"/>
      <c r="G393" s="79"/>
      <c r="H393" s="79"/>
      <c r="I393" s="79"/>
      <c r="J393" s="79"/>
      <c r="K393" s="79"/>
      <c r="L393" s="79"/>
      <c r="N393" s="102"/>
    </row>
    <row r="394">
      <c r="A394" s="17"/>
      <c r="C394" s="79"/>
      <c r="D394" s="79"/>
      <c r="E394" s="79"/>
      <c r="F394" s="79"/>
      <c r="G394" s="79"/>
      <c r="H394" s="79"/>
      <c r="I394" s="79"/>
      <c r="J394" s="79"/>
      <c r="K394" s="79"/>
      <c r="L394" s="79"/>
      <c r="N394" s="102"/>
    </row>
    <row r="395">
      <c r="A395" s="17"/>
      <c r="C395" s="79"/>
      <c r="D395" s="79"/>
      <c r="E395" s="79"/>
      <c r="F395" s="79"/>
      <c r="G395" s="79"/>
      <c r="H395" s="79"/>
      <c r="I395" s="79"/>
      <c r="J395" s="79"/>
      <c r="K395" s="79"/>
      <c r="L395" s="79"/>
      <c r="N395" s="102"/>
    </row>
    <row r="396">
      <c r="A396" s="17"/>
      <c r="C396" s="79"/>
      <c r="D396" s="79"/>
      <c r="E396" s="79"/>
      <c r="F396" s="79"/>
      <c r="G396" s="79"/>
      <c r="H396" s="79"/>
      <c r="I396" s="79"/>
      <c r="J396" s="79"/>
      <c r="K396" s="79"/>
      <c r="L396" s="79"/>
      <c r="N396" s="102"/>
    </row>
    <row r="397">
      <c r="A397" s="17"/>
      <c r="C397" s="79"/>
      <c r="D397" s="79"/>
      <c r="E397" s="79"/>
      <c r="F397" s="79"/>
      <c r="G397" s="79"/>
      <c r="H397" s="79"/>
      <c r="I397" s="79"/>
      <c r="J397" s="79"/>
      <c r="K397" s="79"/>
      <c r="L397" s="79"/>
      <c r="N397" s="102"/>
    </row>
    <row r="398">
      <c r="A398" s="17"/>
      <c r="C398" s="79"/>
      <c r="D398" s="79"/>
      <c r="E398" s="79"/>
      <c r="F398" s="79"/>
      <c r="G398" s="79"/>
      <c r="H398" s="79"/>
      <c r="I398" s="79"/>
      <c r="J398" s="79"/>
      <c r="K398" s="79"/>
      <c r="L398" s="79"/>
      <c r="N398" s="102"/>
    </row>
    <row r="399">
      <c r="A399" s="17"/>
      <c r="C399" s="79"/>
      <c r="D399" s="79"/>
      <c r="E399" s="79"/>
      <c r="F399" s="79"/>
      <c r="G399" s="79"/>
      <c r="H399" s="79"/>
      <c r="I399" s="79"/>
      <c r="J399" s="79"/>
      <c r="K399" s="79"/>
      <c r="L399" s="79"/>
      <c r="N399" s="102"/>
    </row>
    <row r="400">
      <c r="A400" s="17"/>
      <c r="C400" s="79"/>
      <c r="D400" s="79"/>
      <c r="E400" s="79"/>
      <c r="F400" s="79"/>
      <c r="G400" s="79"/>
      <c r="H400" s="79"/>
      <c r="I400" s="79"/>
      <c r="J400" s="79"/>
      <c r="K400" s="79"/>
      <c r="L400" s="79"/>
      <c r="N400" s="102"/>
    </row>
    <row r="401">
      <c r="A401" s="17"/>
      <c r="C401" s="79"/>
      <c r="D401" s="79"/>
      <c r="E401" s="79"/>
      <c r="F401" s="79"/>
      <c r="G401" s="79"/>
      <c r="H401" s="79"/>
      <c r="I401" s="79"/>
      <c r="J401" s="79"/>
      <c r="K401" s="79"/>
      <c r="L401" s="79"/>
      <c r="N401" s="102"/>
    </row>
    <row r="402">
      <c r="A402" s="17"/>
      <c r="C402" s="79"/>
      <c r="D402" s="79"/>
      <c r="E402" s="79"/>
      <c r="F402" s="79"/>
      <c r="G402" s="79"/>
      <c r="H402" s="79"/>
      <c r="I402" s="79"/>
      <c r="J402" s="79"/>
      <c r="K402" s="79"/>
      <c r="L402" s="79"/>
      <c r="N402" s="102"/>
    </row>
    <row r="403">
      <c r="A403" s="17"/>
      <c r="C403" s="79"/>
      <c r="D403" s="79"/>
      <c r="E403" s="79"/>
      <c r="F403" s="79"/>
      <c r="G403" s="79"/>
      <c r="H403" s="79"/>
      <c r="I403" s="79"/>
      <c r="J403" s="79"/>
      <c r="K403" s="79"/>
      <c r="L403" s="79"/>
      <c r="N403" s="102"/>
    </row>
    <row r="404">
      <c r="A404" s="17"/>
      <c r="C404" s="79"/>
      <c r="D404" s="79"/>
      <c r="E404" s="79"/>
      <c r="F404" s="79"/>
      <c r="G404" s="79"/>
      <c r="H404" s="79"/>
      <c r="I404" s="79"/>
      <c r="J404" s="79"/>
      <c r="K404" s="79"/>
      <c r="L404" s="79"/>
      <c r="N404" s="102"/>
    </row>
    <row r="405">
      <c r="A405" s="17"/>
      <c r="C405" s="79"/>
      <c r="D405" s="79"/>
      <c r="E405" s="79"/>
      <c r="F405" s="79"/>
      <c r="G405" s="79"/>
      <c r="H405" s="79"/>
      <c r="I405" s="79"/>
      <c r="J405" s="79"/>
      <c r="K405" s="79"/>
      <c r="L405" s="79"/>
      <c r="N405" s="102"/>
    </row>
    <row r="406">
      <c r="A406" s="17"/>
      <c r="C406" s="79"/>
      <c r="D406" s="79"/>
      <c r="E406" s="79"/>
      <c r="F406" s="79"/>
      <c r="G406" s="79"/>
      <c r="H406" s="79"/>
      <c r="I406" s="79"/>
      <c r="J406" s="79"/>
      <c r="K406" s="79"/>
      <c r="L406" s="79"/>
      <c r="N406" s="102"/>
    </row>
    <row r="407">
      <c r="A407" s="17"/>
      <c r="C407" s="79"/>
      <c r="D407" s="79"/>
      <c r="E407" s="79"/>
      <c r="F407" s="79"/>
      <c r="G407" s="79"/>
      <c r="H407" s="79"/>
      <c r="I407" s="79"/>
      <c r="J407" s="79"/>
      <c r="K407" s="79"/>
      <c r="L407" s="79"/>
      <c r="N407" s="102"/>
    </row>
    <row r="408">
      <c r="A408" s="17"/>
      <c r="C408" s="79"/>
      <c r="D408" s="79"/>
      <c r="E408" s="79"/>
      <c r="F408" s="79"/>
      <c r="G408" s="79"/>
      <c r="H408" s="79"/>
      <c r="I408" s="79"/>
      <c r="J408" s="79"/>
      <c r="K408" s="79"/>
      <c r="L408" s="79"/>
      <c r="N408" s="102"/>
    </row>
    <row r="409">
      <c r="A409" s="17"/>
      <c r="C409" s="79"/>
      <c r="D409" s="79"/>
      <c r="E409" s="79"/>
      <c r="F409" s="79"/>
      <c r="G409" s="79"/>
      <c r="H409" s="79"/>
      <c r="I409" s="79"/>
      <c r="J409" s="79"/>
      <c r="K409" s="79"/>
      <c r="L409" s="79"/>
      <c r="N409" s="102"/>
    </row>
    <row r="410">
      <c r="A410" s="17"/>
      <c r="C410" s="79"/>
      <c r="D410" s="79"/>
      <c r="E410" s="79"/>
      <c r="F410" s="79"/>
      <c r="G410" s="79"/>
      <c r="H410" s="79"/>
      <c r="I410" s="79"/>
      <c r="J410" s="79"/>
      <c r="K410" s="79"/>
      <c r="L410" s="79"/>
      <c r="N410" s="102"/>
    </row>
    <row r="411">
      <c r="A411" s="17"/>
      <c r="C411" s="79"/>
      <c r="D411" s="79"/>
      <c r="E411" s="79"/>
      <c r="F411" s="79"/>
      <c r="G411" s="79"/>
      <c r="H411" s="79"/>
      <c r="I411" s="79"/>
      <c r="J411" s="79"/>
      <c r="K411" s="79"/>
      <c r="L411" s="79"/>
      <c r="N411" s="102"/>
    </row>
    <row r="412">
      <c r="A412" s="17"/>
      <c r="C412" s="79"/>
      <c r="D412" s="79"/>
      <c r="E412" s="79"/>
      <c r="F412" s="79"/>
      <c r="G412" s="79"/>
      <c r="H412" s="79"/>
      <c r="I412" s="79"/>
      <c r="J412" s="79"/>
      <c r="K412" s="79"/>
      <c r="L412" s="79"/>
      <c r="N412" s="102"/>
    </row>
    <row r="413">
      <c r="A413" s="17"/>
      <c r="C413" s="79"/>
      <c r="D413" s="79"/>
      <c r="E413" s="79"/>
      <c r="F413" s="79"/>
      <c r="G413" s="79"/>
      <c r="H413" s="79"/>
      <c r="I413" s="79"/>
      <c r="J413" s="79"/>
      <c r="K413" s="79"/>
      <c r="L413" s="79"/>
      <c r="N413" s="102"/>
    </row>
    <row r="414">
      <c r="A414" s="17"/>
      <c r="C414" s="79"/>
      <c r="D414" s="79"/>
      <c r="E414" s="79"/>
      <c r="F414" s="79"/>
      <c r="G414" s="79"/>
      <c r="H414" s="79"/>
      <c r="I414" s="79"/>
      <c r="J414" s="79"/>
      <c r="K414" s="79"/>
      <c r="L414" s="79"/>
      <c r="N414" s="102"/>
    </row>
    <row r="415">
      <c r="A415" s="17"/>
      <c r="C415" s="79"/>
      <c r="D415" s="79"/>
      <c r="E415" s="79"/>
      <c r="F415" s="79"/>
      <c r="G415" s="79"/>
      <c r="H415" s="79"/>
      <c r="I415" s="79"/>
      <c r="J415" s="79"/>
      <c r="K415" s="79"/>
      <c r="L415" s="79"/>
      <c r="N415" s="102"/>
    </row>
    <row r="416">
      <c r="A416" s="17"/>
      <c r="C416" s="79"/>
      <c r="D416" s="79"/>
      <c r="E416" s="79"/>
      <c r="F416" s="79"/>
      <c r="G416" s="79"/>
      <c r="H416" s="79"/>
      <c r="I416" s="79"/>
      <c r="J416" s="79"/>
      <c r="K416" s="79"/>
      <c r="L416" s="79"/>
      <c r="N416" s="102"/>
    </row>
    <row r="417">
      <c r="A417" s="17"/>
      <c r="C417" s="79"/>
      <c r="D417" s="79"/>
      <c r="E417" s="79"/>
      <c r="F417" s="79"/>
      <c r="G417" s="79"/>
      <c r="H417" s="79"/>
      <c r="I417" s="79"/>
      <c r="J417" s="79"/>
      <c r="K417" s="79"/>
      <c r="L417" s="79"/>
      <c r="N417" s="102"/>
    </row>
    <row r="418">
      <c r="A418" s="17"/>
      <c r="C418" s="79"/>
      <c r="D418" s="79"/>
      <c r="E418" s="79"/>
      <c r="F418" s="79"/>
      <c r="G418" s="79"/>
      <c r="H418" s="79"/>
      <c r="I418" s="79"/>
      <c r="J418" s="79"/>
      <c r="K418" s="79"/>
      <c r="L418" s="79"/>
      <c r="N418" s="102"/>
    </row>
    <row r="419">
      <c r="A419" s="17"/>
      <c r="C419" s="79"/>
      <c r="D419" s="79"/>
      <c r="E419" s="79"/>
      <c r="F419" s="79"/>
      <c r="G419" s="79"/>
      <c r="H419" s="79"/>
      <c r="I419" s="79"/>
      <c r="J419" s="79"/>
      <c r="K419" s="79"/>
      <c r="L419" s="79"/>
      <c r="N419" s="102"/>
    </row>
    <row r="420">
      <c r="A420" s="17"/>
      <c r="C420" s="79"/>
      <c r="D420" s="79"/>
      <c r="E420" s="79"/>
      <c r="F420" s="79"/>
      <c r="G420" s="79"/>
      <c r="H420" s="79"/>
      <c r="I420" s="79"/>
      <c r="J420" s="79"/>
      <c r="K420" s="79"/>
      <c r="L420" s="79"/>
      <c r="N420" s="102"/>
    </row>
    <row r="421">
      <c r="A421" s="17"/>
      <c r="C421" s="79"/>
      <c r="D421" s="79"/>
      <c r="E421" s="79"/>
      <c r="F421" s="79"/>
      <c r="G421" s="79"/>
      <c r="H421" s="79"/>
      <c r="I421" s="79"/>
      <c r="J421" s="79"/>
      <c r="K421" s="79"/>
      <c r="L421" s="79"/>
      <c r="N421" s="102"/>
    </row>
    <row r="422">
      <c r="A422" s="17"/>
      <c r="C422" s="79"/>
      <c r="D422" s="79"/>
      <c r="E422" s="79"/>
      <c r="F422" s="79"/>
      <c r="G422" s="79"/>
      <c r="H422" s="79"/>
      <c r="I422" s="79"/>
      <c r="J422" s="79"/>
      <c r="K422" s="79"/>
      <c r="L422" s="79"/>
      <c r="N422" s="102"/>
    </row>
    <row r="423">
      <c r="A423" s="17"/>
      <c r="C423" s="79"/>
      <c r="D423" s="79"/>
      <c r="E423" s="79"/>
      <c r="F423" s="79"/>
      <c r="G423" s="79"/>
      <c r="H423" s="79"/>
      <c r="I423" s="79"/>
      <c r="J423" s="79"/>
      <c r="K423" s="79"/>
      <c r="L423" s="79"/>
      <c r="N423" s="102"/>
    </row>
    <row r="424">
      <c r="A424" s="17"/>
      <c r="C424" s="79"/>
      <c r="D424" s="79"/>
      <c r="E424" s="79"/>
      <c r="F424" s="79"/>
      <c r="G424" s="79"/>
      <c r="H424" s="79"/>
      <c r="I424" s="79"/>
      <c r="J424" s="79"/>
      <c r="K424" s="79"/>
      <c r="L424" s="79"/>
      <c r="N424" s="102"/>
    </row>
    <row r="425">
      <c r="A425" s="17"/>
      <c r="C425" s="79"/>
      <c r="D425" s="79"/>
      <c r="E425" s="79"/>
      <c r="F425" s="79"/>
      <c r="G425" s="79"/>
      <c r="H425" s="79"/>
      <c r="I425" s="79"/>
      <c r="J425" s="79"/>
      <c r="K425" s="79"/>
      <c r="L425" s="79"/>
      <c r="N425" s="102"/>
    </row>
    <row r="426">
      <c r="A426" s="17"/>
      <c r="C426" s="79"/>
      <c r="D426" s="79"/>
      <c r="E426" s="79"/>
      <c r="F426" s="79"/>
      <c r="G426" s="79"/>
      <c r="H426" s="79"/>
      <c r="I426" s="79"/>
      <c r="J426" s="79"/>
      <c r="K426" s="79"/>
      <c r="L426" s="79"/>
      <c r="N426" s="102"/>
    </row>
    <row r="427">
      <c r="A427" s="17"/>
      <c r="C427" s="79"/>
      <c r="D427" s="79"/>
      <c r="E427" s="79"/>
      <c r="F427" s="79"/>
      <c r="G427" s="79"/>
      <c r="H427" s="79"/>
      <c r="I427" s="79"/>
      <c r="J427" s="79"/>
      <c r="K427" s="79"/>
      <c r="L427" s="79"/>
      <c r="N427" s="102"/>
    </row>
    <row r="428">
      <c r="A428" s="17"/>
      <c r="C428" s="79"/>
      <c r="D428" s="79"/>
      <c r="E428" s="79"/>
      <c r="F428" s="79"/>
      <c r="G428" s="79"/>
      <c r="H428" s="79"/>
      <c r="I428" s="79"/>
      <c r="J428" s="79"/>
      <c r="K428" s="79"/>
      <c r="L428" s="79"/>
      <c r="N428" s="102"/>
    </row>
    <row r="429">
      <c r="A429" s="17"/>
      <c r="C429" s="79"/>
      <c r="D429" s="79"/>
      <c r="E429" s="79"/>
      <c r="F429" s="79"/>
      <c r="G429" s="79"/>
      <c r="H429" s="79"/>
      <c r="I429" s="79"/>
      <c r="J429" s="79"/>
      <c r="K429" s="79"/>
      <c r="L429" s="79"/>
      <c r="N429" s="102"/>
    </row>
    <row r="430">
      <c r="A430" s="17"/>
      <c r="C430" s="79"/>
      <c r="D430" s="79"/>
      <c r="E430" s="79"/>
      <c r="F430" s="79"/>
      <c r="G430" s="79"/>
      <c r="H430" s="79"/>
      <c r="I430" s="79"/>
      <c r="J430" s="79"/>
      <c r="K430" s="79"/>
      <c r="L430" s="79"/>
      <c r="N430" s="102"/>
    </row>
    <row r="431">
      <c r="A431" s="17"/>
      <c r="C431" s="79"/>
      <c r="D431" s="79"/>
      <c r="E431" s="79"/>
      <c r="F431" s="79"/>
      <c r="G431" s="79"/>
      <c r="H431" s="79"/>
      <c r="I431" s="79"/>
      <c r="J431" s="79"/>
      <c r="K431" s="79"/>
      <c r="L431" s="79"/>
      <c r="N431" s="102"/>
    </row>
    <row r="432">
      <c r="A432" s="17"/>
      <c r="C432" s="79"/>
      <c r="D432" s="79"/>
      <c r="E432" s="79"/>
      <c r="F432" s="79"/>
      <c r="G432" s="79"/>
      <c r="H432" s="79"/>
      <c r="I432" s="79"/>
      <c r="J432" s="79"/>
      <c r="K432" s="79"/>
      <c r="L432" s="79"/>
      <c r="N432" s="102"/>
    </row>
    <row r="433">
      <c r="A433" s="17"/>
      <c r="C433" s="79"/>
      <c r="D433" s="79"/>
      <c r="E433" s="79"/>
      <c r="F433" s="79"/>
      <c r="G433" s="79"/>
      <c r="H433" s="79"/>
      <c r="I433" s="79"/>
      <c r="J433" s="79"/>
      <c r="K433" s="79"/>
      <c r="L433" s="79"/>
      <c r="N433" s="102"/>
    </row>
    <row r="434">
      <c r="A434" s="17"/>
      <c r="C434" s="79"/>
      <c r="D434" s="79"/>
      <c r="E434" s="79"/>
      <c r="F434" s="79"/>
      <c r="G434" s="79"/>
      <c r="H434" s="79"/>
      <c r="I434" s="79"/>
      <c r="J434" s="79"/>
      <c r="K434" s="79"/>
      <c r="L434" s="79"/>
      <c r="N434" s="102"/>
    </row>
    <row r="435">
      <c r="A435" s="17"/>
      <c r="C435" s="79"/>
      <c r="D435" s="79"/>
      <c r="E435" s="79"/>
      <c r="F435" s="79"/>
      <c r="G435" s="79"/>
      <c r="H435" s="79"/>
      <c r="I435" s="79"/>
      <c r="J435" s="79"/>
      <c r="K435" s="79"/>
      <c r="L435" s="79"/>
      <c r="N435" s="102"/>
    </row>
    <row r="436">
      <c r="A436" s="17"/>
      <c r="C436" s="79"/>
      <c r="D436" s="79"/>
      <c r="E436" s="79"/>
      <c r="F436" s="79"/>
      <c r="G436" s="79"/>
      <c r="H436" s="79"/>
      <c r="I436" s="79"/>
      <c r="J436" s="79"/>
      <c r="K436" s="79"/>
      <c r="L436" s="79"/>
      <c r="N436" s="102"/>
    </row>
    <row r="437">
      <c r="A437" s="17"/>
      <c r="C437" s="79"/>
      <c r="D437" s="79"/>
      <c r="E437" s="79"/>
      <c r="F437" s="79"/>
      <c r="G437" s="79"/>
      <c r="H437" s="79"/>
      <c r="I437" s="79"/>
      <c r="J437" s="79"/>
      <c r="K437" s="79"/>
      <c r="L437" s="79"/>
      <c r="N437" s="102"/>
    </row>
    <row r="438">
      <c r="A438" s="17"/>
      <c r="C438" s="79"/>
      <c r="D438" s="79"/>
      <c r="E438" s="79"/>
      <c r="F438" s="79"/>
      <c r="G438" s="79"/>
      <c r="H438" s="79"/>
      <c r="I438" s="79"/>
      <c r="J438" s="79"/>
      <c r="K438" s="79"/>
      <c r="L438" s="79"/>
      <c r="N438" s="102"/>
    </row>
    <row r="439">
      <c r="A439" s="17"/>
      <c r="C439" s="79"/>
      <c r="D439" s="79"/>
      <c r="E439" s="79"/>
      <c r="F439" s="79"/>
      <c r="G439" s="79"/>
      <c r="H439" s="79"/>
      <c r="I439" s="79"/>
      <c r="J439" s="79"/>
      <c r="K439" s="79"/>
      <c r="L439" s="79"/>
      <c r="N439" s="102"/>
    </row>
    <row r="440">
      <c r="A440" s="17"/>
      <c r="C440" s="79"/>
      <c r="D440" s="79"/>
      <c r="E440" s="79"/>
      <c r="F440" s="79"/>
      <c r="G440" s="79"/>
      <c r="H440" s="79"/>
      <c r="I440" s="79"/>
      <c r="J440" s="79"/>
      <c r="K440" s="79"/>
      <c r="L440" s="79"/>
      <c r="N440" s="102"/>
    </row>
    <row r="441">
      <c r="A441" s="17"/>
      <c r="C441" s="79"/>
      <c r="D441" s="79"/>
      <c r="E441" s="79"/>
      <c r="F441" s="79"/>
      <c r="G441" s="79"/>
      <c r="H441" s="79"/>
      <c r="I441" s="79"/>
      <c r="J441" s="79"/>
      <c r="K441" s="79"/>
      <c r="L441" s="79"/>
      <c r="N441" s="102"/>
    </row>
    <row r="442">
      <c r="A442" s="17"/>
      <c r="C442" s="79"/>
      <c r="D442" s="79"/>
      <c r="E442" s="79"/>
      <c r="F442" s="79"/>
      <c r="G442" s="79"/>
      <c r="H442" s="79"/>
      <c r="I442" s="79"/>
      <c r="J442" s="79"/>
      <c r="K442" s="79"/>
      <c r="L442" s="79"/>
      <c r="N442" s="102"/>
    </row>
    <row r="443">
      <c r="A443" s="17"/>
      <c r="C443" s="79"/>
      <c r="D443" s="79"/>
      <c r="E443" s="79"/>
      <c r="F443" s="79"/>
      <c r="G443" s="79"/>
      <c r="H443" s="79"/>
      <c r="I443" s="79"/>
      <c r="J443" s="79"/>
      <c r="K443" s="79"/>
      <c r="L443" s="79"/>
      <c r="N443" s="102"/>
    </row>
    <row r="444">
      <c r="A444" s="17"/>
      <c r="C444" s="79"/>
      <c r="D444" s="79"/>
      <c r="E444" s="79"/>
      <c r="F444" s="79"/>
      <c r="G444" s="79"/>
      <c r="H444" s="79"/>
      <c r="I444" s="79"/>
      <c r="J444" s="79"/>
      <c r="K444" s="79"/>
      <c r="L444" s="79"/>
      <c r="N444" s="102"/>
    </row>
    <row r="445">
      <c r="A445" s="17"/>
      <c r="C445" s="79"/>
      <c r="D445" s="79"/>
      <c r="E445" s="79"/>
      <c r="F445" s="79"/>
      <c r="G445" s="79"/>
      <c r="H445" s="79"/>
      <c r="I445" s="79"/>
      <c r="J445" s="79"/>
      <c r="K445" s="79"/>
      <c r="L445" s="79"/>
      <c r="N445" s="102"/>
    </row>
    <row r="446">
      <c r="A446" s="17"/>
      <c r="C446" s="79"/>
      <c r="D446" s="79"/>
      <c r="E446" s="79"/>
      <c r="F446" s="79"/>
      <c r="G446" s="79"/>
      <c r="H446" s="79"/>
      <c r="I446" s="79"/>
      <c r="J446" s="79"/>
      <c r="K446" s="79"/>
      <c r="L446" s="79"/>
      <c r="N446" s="102"/>
    </row>
    <row r="447">
      <c r="A447" s="17"/>
      <c r="C447" s="79"/>
      <c r="D447" s="79"/>
      <c r="E447" s="79"/>
      <c r="F447" s="79"/>
      <c r="G447" s="79"/>
      <c r="H447" s="79"/>
      <c r="I447" s="79"/>
      <c r="J447" s="79"/>
      <c r="K447" s="79"/>
      <c r="L447" s="79"/>
      <c r="N447" s="102"/>
    </row>
    <row r="448">
      <c r="A448" s="17"/>
      <c r="C448" s="79"/>
      <c r="D448" s="79"/>
      <c r="E448" s="79"/>
      <c r="F448" s="79"/>
      <c r="G448" s="79"/>
      <c r="H448" s="79"/>
      <c r="I448" s="79"/>
      <c r="J448" s="79"/>
      <c r="K448" s="79"/>
      <c r="L448" s="79"/>
      <c r="N448" s="102"/>
    </row>
    <row r="449">
      <c r="A449" s="17"/>
      <c r="C449" s="79"/>
      <c r="D449" s="79"/>
      <c r="E449" s="79"/>
      <c r="F449" s="79"/>
      <c r="G449" s="79"/>
      <c r="H449" s="79"/>
      <c r="I449" s="79"/>
      <c r="J449" s="79"/>
      <c r="K449" s="79"/>
      <c r="L449" s="79"/>
      <c r="N449" s="102"/>
    </row>
    <row r="450">
      <c r="A450" s="17"/>
      <c r="C450" s="79"/>
      <c r="D450" s="79"/>
      <c r="E450" s="79"/>
      <c r="F450" s="79"/>
      <c r="G450" s="79"/>
      <c r="H450" s="79"/>
      <c r="I450" s="79"/>
      <c r="J450" s="79"/>
      <c r="K450" s="79"/>
      <c r="L450" s="79"/>
      <c r="N450" s="102"/>
    </row>
    <row r="451">
      <c r="A451" s="17"/>
      <c r="C451" s="79"/>
      <c r="D451" s="79"/>
      <c r="E451" s="79"/>
      <c r="F451" s="79"/>
      <c r="G451" s="79"/>
      <c r="H451" s="79"/>
      <c r="I451" s="79"/>
      <c r="J451" s="79"/>
      <c r="K451" s="79"/>
      <c r="L451" s="79"/>
      <c r="N451" s="102"/>
    </row>
    <row r="452">
      <c r="A452" s="17"/>
      <c r="C452" s="79"/>
      <c r="D452" s="79"/>
      <c r="E452" s="79"/>
      <c r="F452" s="79"/>
      <c r="G452" s="79"/>
      <c r="H452" s="79"/>
      <c r="I452" s="79"/>
      <c r="J452" s="79"/>
      <c r="K452" s="79"/>
      <c r="L452" s="79"/>
      <c r="N452" s="102"/>
    </row>
    <row r="453">
      <c r="A453" s="17"/>
      <c r="C453" s="79"/>
      <c r="D453" s="79"/>
      <c r="E453" s="79"/>
      <c r="F453" s="79"/>
      <c r="G453" s="79"/>
      <c r="H453" s="79"/>
      <c r="I453" s="79"/>
      <c r="J453" s="79"/>
      <c r="K453" s="79"/>
      <c r="L453" s="79"/>
      <c r="N453" s="102"/>
    </row>
    <row r="454">
      <c r="A454" s="17"/>
      <c r="C454" s="79"/>
      <c r="D454" s="79"/>
      <c r="E454" s="79"/>
      <c r="F454" s="79"/>
      <c r="G454" s="79"/>
      <c r="H454" s="79"/>
      <c r="I454" s="79"/>
      <c r="J454" s="79"/>
      <c r="K454" s="79"/>
      <c r="L454" s="79"/>
      <c r="N454" s="102"/>
    </row>
    <row r="455">
      <c r="A455" s="17"/>
      <c r="C455" s="79"/>
      <c r="D455" s="79"/>
      <c r="E455" s="79"/>
      <c r="F455" s="79"/>
      <c r="G455" s="79"/>
      <c r="H455" s="79"/>
      <c r="I455" s="79"/>
      <c r="J455" s="79"/>
      <c r="K455" s="79"/>
      <c r="L455" s="79"/>
      <c r="N455" s="102"/>
    </row>
    <row r="456">
      <c r="A456" s="17"/>
      <c r="C456" s="79"/>
      <c r="D456" s="79"/>
      <c r="E456" s="79"/>
      <c r="F456" s="79"/>
      <c r="G456" s="79"/>
      <c r="H456" s="79"/>
      <c r="I456" s="79"/>
      <c r="J456" s="79"/>
      <c r="K456" s="79"/>
      <c r="L456" s="79"/>
      <c r="N456" s="102"/>
    </row>
    <row r="457">
      <c r="A457" s="17"/>
      <c r="C457" s="79"/>
      <c r="D457" s="79"/>
      <c r="E457" s="79"/>
      <c r="F457" s="79"/>
      <c r="G457" s="79"/>
      <c r="H457" s="79"/>
      <c r="I457" s="79"/>
      <c r="J457" s="79"/>
      <c r="K457" s="79"/>
      <c r="L457" s="79"/>
      <c r="N457" s="102"/>
    </row>
    <row r="458">
      <c r="A458" s="17"/>
      <c r="C458" s="79"/>
      <c r="D458" s="79"/>
      <c r="E458" s="79"/>
      <c r="F458" s="79"/>
      <c r="G458" s="79"/>
      <c r="H458" s="79"/>
      <c r="I458" s="79"/>
      <c r="J458" s="79"/>
      <c r="K458" s="79"/>
      <c r="L458" s="79"/>
      <c r="N458" s="102"/>
    </row>
    <row r="459">
      <c r="A459" s="17"/>
      <c r="C459" s="79"/>
      <c r="D459" s="79"/>
      <c r="E459" s="79"/>
      <c r="F459" s="79"/>
      <c r="G459" s="79"/>
      <c r="H459" s="79"/>
      <c r="I459" s="79"/>
      <c r="J459" s="79"/>
      <c r="K459" s="79"/>
      <c r="L459" s="79"/>
      <c r="N459" s="102"/>
    </row>
    <row r="460">
      <c r="A460" s="17"/>
      <c r="C460" s="79"/>
      <c r="D460" s="79"/>
      <c r="E460" s="79"/>
      <c r="F460" s="79"/>
      <c r="G460" s="79"/>
      <c r="H460" s="79"/>
      <c r="I460" s="79"/>
      <c r="J460" s="79"/>
      <c r="K460" s="79"/>
      <c r="L460" s="79"/>
      <c r="N460" s="102"/>
    </row>
    <row r="461">
      <c r="A461" s="17"/>
      <c r="C461" s="79"/>
      <c r="D461" s="79"/>
      <c r="E461" s="79"/>
      <c r="F461" s="79"/>
      <c r="G461" s="79"/>
      <c r="H461" s="79"/>
      <c r="I461" s="79"/>
      <c r="J461" s="79"/>
      <c r="K461" s="79"/>
      <c r="L461" s="79"/>
      <c r="N461" s="102"/>
    </row>
    <row r="462">
      <c r="A462" s="17"/>
      <c r="C462" s="79"/>
      <c r="D462" s="79"/>
      <c r="E462" s="79"/>
      <c r="F462" s="79"/>
      <c r="G462" s="79"/>
      <c r="H462" s="79"/>
      <c r="I462" s="79"/>
      <c r="J462" s="79"/>
      <c r="K462" s="79"/>
      <c r="L462" s="79"/>
      <c r="N462" s="102"/>
    </row>
    <row r="463">
      <c r="A463" s="17"/>
      <c r="C463" s="79"/>
      <c r="D463" s="79"/>
      <c r="E463" s="79"/>
      <c r="F463" s="79"/>
      <c r="G463" s="79"/>
      <c r="H463" s="79"/>
      <c r="I463" s="79"/>
      <c r="J463" s="79"/>
      <c r="K463" s="79"/>
      <c r="L463" s="79"/>
      <c r="N463" s="102"/>
    </row>
    <row r="464">
      <c r="A464" s="17"/>
      <c r="C464" s="79"/>
      <c r="D464" s="79"/>
      <c r="E464" s="79"/>
      <c r="F464" s="79"/>
      <c r="G464" s="79"/>
      <c r="H464" s="79"/>
      <c r="I464" s="79"/>
      <c r="J464" s="79"/>
      <c r="K464" s="79"/>
      <c r="L464" s="79"/>
      <c r="N464" s="102"/>
    </row>
    <row r="465">
      <c r="A465" s="17"/>
      <c r="C465" s="79"/>
      <c r="D465" s="79"/>
      <c r="E465" s="79"/>
      <c r="F465" s="79"/>
      <c r="G465" s="79"/>
      <c r="H465" s="79"/>
      <c r="I465" s="79"/>
      <c r="J465" s="79"/>
      <c r="K465" s="79"/>
      <c r="L465" s="79"/>
      <c r="N465" s="102"/>
    </row>
    <row r="466">
      <c r="A466" s="17"/>
      <c r="C466" s="79"/>
      <c r="D466" s="79"/>
      <c r="E466" s="79"/>
      <c r="F466" s="79"/>
      <c r="G466" s="79"/>
      <c r="H466" s="79"/>
      <c r="I466" s="79"/>
      <c r="J466" s="79"/>
      <c r="K466" s="79"/>
      <c r="L466" s="79"/>
      <c r="N466" s="102"/>
    </row>
    <row r="467">
      <c r="A467" s="17"/>
      <c r="C467" s="79"/>
      <c r="D467" s="79"/>
      <c r="E467" s="79"/>
      <c r="F467" s="79"/>
      <c r="G467" s="79"/>
      <c r="H467" s="79"/>
      <c r="I467" s="79"/>
      <c r="J467" s="79"/>
      <c r="K467" s="79"/>
      <c r="L467" s="79"/>
      <c r="N467" s="102"/>
    </row>
    <row r="468">
      <c r="A468" s="17"/>
      <c r="C468" s="79"/>
      <c r="D468" s="79"/>
      <c r="E468" s="79"/>
      <c r="F468" s="79"/>
      <c r="G468" s="79"/>
      <c r="H468" s="79"/>
      <c r="I468" s="79"/>
      <c r="J468" s="79"/>
      <c r="K468" s="79"/>
      <c r="L468" s="79"/>
      <c r="N468" s="102"/>
    </row>
    <row r="469">
      <c r="A469" s="17"/>
      <c r="C469" s="79"/>
      <c r="D469" s="79"/>
      <c r="E469" s="79"/>
      <c r="F469" s="79"/>
      <c r="G469" s="79"/>
      <c r="H469" s="79"/>
      <c r="I469" s="79"/>
      <c r="J469" s="79"/>
      <c r="K469" s="79"/>
      <c r="L469" s="79"/>
      <c r="N469" s="102"/>
    </row>
    <row r="470">
      <c r="A470" s="17"/>
      <c r="C470" s="79"/>
      <c r="D470" s="79"/>
      <c r="E470" s="79"/>
      <c r="F470" s="79"/>
      <c r="G470" s="79"/>
      <c r="H470" s="79"/>
      <c r="I470" s="79"/>
      <c r="J470" s="79"/>
      <c r="K470" s="79"/>
      <c r="L470" s="79"/>
      <c r="N470" s="102"/>
    </row>
    <row r="471">
      <c r="A471" s="17"/>
      <c r="C471" s="79"/>
      <c r="D471" s="79"/>
      <c r="E471" s="79"/>
      <c r="F471" s="79"/>
      <c r="G471" s="79"/>
      <c r="H471" s="79"/>
      <c r="I471" s="79"/>
      <c r="J471" s="79"/>
      <c r="K471" s="79"/>
      <c r="L471" s="79"/>
      <c r="N471" s="102"/>
    </row>
    <row r="472">
      <c r="A472" s="17"/>
      <c r="C472" s="79"/>
      <c r="D472" s="79"/>
      <c r="E472" s="79"/>
      <c r="F472" s="79"/>
      <c r="G472" s="79"/>
      <c r="H472" s="79"/>
      <c r="I472" s="79"/>
      <c r="J472" s="79"/>
      <c r="K472" s="79"/>
      <c r="L472" s="79"/>
      <c r="N472" s="102"/>
    </row>
    <row r="473">
      <c r="A473" s="17"/>
      <c r="C473" s="79"/>
      <c r="D473" s="79"/>
      <c r="E473" s="79"/>
      <c r="F473" s="79"/>
      <c r="G473" s="79"/>
      <c r="H473" s="79"/>
      <c r="I473" s="79"/>
      <c r="J473" s="79"/>
      <c r="K473" s="79"/>
      <c r="L473" s="79"/>
      <c r="N473" s="102"/>
    </row>
    <row r="474">
      <c r="A474" s="17"/>
      <c r="C474" s="79"/>
      <c r="D474" s="79"/>
      <c r="E474" s="79"/>
      <c r="F474" s="79"/>
      <c r="G474" s="79"/>
      <c r="H474" s="79"/>
      <c r="I474" s="79"/>
      <c r="J474" s="79"/>
      <c r="K474" s="79"/>
      <c r="L474" s="79"/>
      <c r="N474" s="102"/>
    </row>
    <row r="475">
      <c r="A475" s="17"/>
      <c r="C475" s="79"/>
      <c r="D475" s="79"/>
      <c r="E475" s="79"/>
      <c r="F475" s="79"/>
      <c r="G475" s="79"/>
      <c r="H475" s="79"/>
      <c r="I475" s="79"/>
      <c r="J475" s="79"/>
      <c r="K475" s="79"/>
      <c r="L475" s="79"/>
      <c r="N475" s="102"/>
    </row>
    <row r="476">
      <c r="A476" s="17"/>
      <c r="C476" s="79"/>
      <c r="D476" s="79"/>
      <c r="E476" s="79"/>
      <c r="F476" s="79"/>
      <c r="G476" s="79"/>
      <c r="H476" s="79"/>
      <c r="I476" s="79"/>
      <c r="J476" s="79"/>
      <c r="K476" s="79"/>
      <c r="L476" s="79"/>
      <c r="N476" s="102"/>
    </row>
    <row r="477">
      <c r="A477" s="17"/>
      <c r="C477" s="79"/>
      <c r="D477" s="79"/>
      <c r="E477" s="79"/>
      <c r="F477" s="79"/>
      <c r="G477" s="79"/>
      <c r="H477" s="79"/>
      <c r="I477" s="79"/>
      <c r="J477" s="79"/>
      <c r="K477" s="79"/>
      <c r="L477" s="79"/>
      <c r="N477" s="102"/>
    </row>
    <row r="478">
      <c r="A478" s="17"/>
      <c r="C478" s="79"/>
      <c r="D478" s="79"/>
      <c r="E478" s="79"/>
      <c r="F478" s="79"/>
      <c r="G478" s="79"/>
      <c r="H478" s="79"/>
      <c r="I478" s="79"/>
      <c r="J478" s="79"/>
      <c r="K478" s="79"/>
      <c r="L478" s="79"/>
      <c r="N478" s="102"/>
    </row>
    <row r="479">
      <c r="A479" s="17"/>
      <c r="C479" s="79"/>
      <c r="D479" s="79"/>
      <c r="E479" s="79"/>
      <c r="F479" s="79"/>
      <c r="G479" s="79"/>
      <c r="H479" s="79"/>
      <c r="I479" s="79"/>
      <c r="J479" s="79"/>
      <c r="K479" s="79"/>
      <c r="L479" s="79"/>
      <c r="N479" s="102"/>
    </row>
    <row r="480">
      <c r="A480" s="17"/>
      <c r="C480" s="79"/>
      <c r="D480" s="79"/>
      <c r="E480" s="79"/>
      <c r="F480" s="79"/>
      <c r="G480" s="79"/>
      <c r="H480" s="79"/>
      <c r="I480" s="79"/>
      <c r="J480" s="79"/>
      <c r="K480" s="79"/>
      <c r="L480" s="79"/>
      <c r="N480" s="102"/>
    </row>
    <row r="481">
      <c r="A481" s="17"/>
      <c r="C481" s="79"/>
      <c r="D481" s="79"/>
      <c r="E481" s="79"/>
      <c r="F481" s="79"/>
      <c r="G481" s="79"/>
      <c r="H481" s="79"/>
      <c r="I481" s="79"/>
      <c r="J481" s="79"/>
      <c r="K481" s="79"/>
      <c r="L481" s="79"/>
      <c r="N481" s="102"/>
    </row>
    <row r="482">
      <c r="A482" s="17"/>
      <c r="C482" s="79"/>
      <c r="D482" s="79"/>
      <c r="E482" s="79"/>
      <c r="F482" s="79"/>
      <c r="G482" s="79"/>
      <c r="H482" s="79"/>
      <c r="I482" s="79"/>
      <c r="J482" s="79"/>
      <c r="K482" s="79"/>
      <c r="L482" s="79"/>
      <c r="N482" s="102"/>
    </row>
    <row r="483">
      <c r="A483" s="17"/>
      <c r="C483" s="79"/>
      <c r="D483" s="79"/>
      <c r="E483" s="79"/>
      <c r="F483" s="79"/>
      <c r="G483" s="79"/>
      <c r="H483" s="79"/>
      <c r="I483" s="79"/>
      <c r="J483" s="79"/>
      <c r="K483" s="79"/>
      <c r="L483" s="79"/>
      <c r="N483" s="102"/>
    </row>
    <row r="484">
      <c r="A484" s="17"/>
      <c r="C484" s="79"/>
      <c r="D484" s="79"/>
      <c r="E484" s="79"/>
      <c r="F484" s="79"/>
      <c r="G484" s="79"/>
      <c r="H484" s="79"/>
      <c r="I484" s="79"/>
      <c r="J484" s="79"/>
      <c r="K484" s="79"/>
      <c r="L484" s="79"/>
      <c r="N484" s="102"/>
    </row>
    <row r="485">
      <c r="A485" s="17"/>
      <c r="C485" s="79"/>
      <c r="D485" s="79"/>
      <c r="E485" s="79"/>
      <c r="F485" s="79"/>
      <c r="G485" s="79"/>
      <c r="H485" s="79"/>
      <c r="I485" s="79"/>
      <c r="J485" s="79"/>
      <c r="K485" s="79"/>
      <c r="L485" s="79"/>
      <c r="N485" s="102"/>
    </row>
    <row r="486">
      <c r="A486" s="17"/>
      <c r="C486" s="79"/>
      <c r="D486" s="79"/>
      <c r="E486" s="79"/>
      <c r="F486" s="79"/>
      <c r="G486" s="79"/>
      <c r="H486" s="79"/>
      <c r="I486" s="79"/>
      <c r="J486" s="79"/>
      <c r="K486" s="79"/>
      <c r="L486" s="79"/>
      <c r="N486" s="102"/>
    </row>
    <row r="487">
      <c r="A487" s="17"/>
      <c r="C487" s="79"/>
      <c r="D487" s="79"/>
      <c r="E487" s="79"/>
      <c r="F487" s="79"/>
      <c r="G487" s="79"/>
      <c r="H487" s="79"/>
      <c r="I487" s="79"/>
      <c r="J487" s="79"/>
      <c r="K487" s="79"/>
      <c r="L487" s="79"/>
      <c r="N487" s="102"/>
    </row>
    <row r="488">
      <c r="A488" s="17"/>
      <c r="C488" s="79"/>
      <c r="D488" s="79"/>
      <c r="E488" s="79"/>
      <c r="F488" s="79"/>
      <c r="G488" s="79"/>
      <c r="H488" s="79"/>
      <c r="I488" s="79"/>
      <c r="J488" s="79"/>
      <c r="K488" s="79"/>
      <c r="L488" s="79"/>
      <c r="N488" s="102"/>
    </row>
    <row r="489">
      <c r="A489" s="17"/>
      <c r="C489" s="79"/>
      <c r="D489" s="79"/>
      <c r="E489" s="79"/>
      <c r="F489" s="79"/>
      <c r="G489" s="79"/>
      <c r="H489" s="79"/>
      <c r="I489" s="79"/>
      <c r="J489" s="79"/>
      <c r="K489" s="79"/>
      <c r="L489" s="79"/>
      <c r="N489" s="102"/>
    </row>
    <row r="490">
      <c r="A490" s="17"/>
      <c r="C490" s="79"/>
      <c r="D490" s="79"/>
      <c r="E490" s="79"/>
      <c r="F490" s="79"/>
      <c r="G490" s="79"/>
      <c r="H490" s="79"/>
      <c r="I490" s="79"/>
      <c r="J490" s="79"/>
      <c r="K490" s="79"/>
      <c r="L490" s="79"/>
      <c r="N490" s="102"/>
    </row>
    <row r="491">
      <c r="A491" s="17"/>
      <c r="C491" s="79"/>
      <c r="D491" s="79"/>
      <c r="E491" s="79"/>
      <c r="F491" s="79"/>
      <c r="G491" s="79"/>
      <c r="H491" s="79"/>
      <c r="I491" s="79"/>
      <c r="J491" s="79"/>
      <c r="K491" s="79"/>
      <c r="L491" s="79"/>
      <c r="N491" s="102"/>
    </row>
    <row r="492">
      <c r="A492" s="17"/>
      <c r="C492" s="79"/>
      <c r="D492" s="79"/>
      <c r="E492" s="79"/>
      <c r="F492" s="79"/>
      <c r="G492" s="79"/>
      <c r="H492" s="79"/>
      <c r="I492" s="79"/>
      <c r="J492" s="79"/>
      <c r="K492" s="79"/>
      <c r="L492" s="79"/>
      <c r="N492" s="102"/>
    </row>
    <row r="493">
      <c r="A493" s="17"/>
      <c r="C493" s="79"/>
      <c r="D493" s="79"/>
      <c r="E493" s="79"/>
      <c r="F493" s="79"/>
      <c r="G493" s="79"/>
      <c r="H493" s="79"/>
      <c r="I493" s="79"/>
      <c r="J493" s="79"/>
      <c r="K493" s="79"/>
      <c r="L493" s="79"/>
      <c r="N493" s="102"/>
    </row>
    <row r="494">
      <c r="A494" s="17"/>
      <c r="C494" s="79"/>
      <c r="D494" s="79"/>
      <c r="E494" s="79"/>
      <c r="F494" s="79"/>
      <c r="G494" s="79"/>
      <c r="H494" s="79"/>
      <c r="I494" s="79"/>
      <c r="J494" s="79"/>
      <c r="K494" s="79"/>
      <c r="L494" s="79"/>
      <c r="N494" s="102"/>
    </row>
    <row r="495">
      <c r="A495" s="17"/>
      <c r="C495" s="79"/>
      <c r="D495" s="79"/>
      <c r="E495" s="79"/>
      <c r="F495" s="79"/>
      <c r="G495" s="79"/>
      <c r="H495" s="79"/>
      <c r="I495" s="79"/>
      <c r="J495" s="79"/>
      <c r="K495" s="79"/>
      <c r="L495" s="79"/>
      <c r="N495" s="102"/>
    </row>
    <row r="496">
      <c r="A496" s="17"/>
      <c r="C496" s="79"/>
      <c r="D496" s="79"/>
      <c r="E496" s="79"/>
      <c r="F496" s="79"/>
      <c r="G496" s="79"/>
      <c r="H496" s="79"/>
      <c r="I496" s="79"/>
      <c r="J496" s="79"/>
      <c r="K496" s="79"/>
      <c r="L496" s="79"/>
      <c r="N496" s="102"/>
    </row>
    <row r="497">
      <c r="A497" s="17"/>
      <c r="C497" s="79"/>
      <c r="D497" s="79"/>
      <c r="E497" s="79"/>
      <c r="F497" s="79"/>
      <c r="G497" s="79"/>
      <c r="H497" s="79"/>
      <c r="I497" s="79"/>
      <c r="J497" s="79"/>
      <c r="K497" s="79"/>
      <c r="L497" s="79"/>
      <c r="N497" s="102"/>
    </row>
    <row r="498">
      <c r="A498" s="17"/>
      <c r="C498" s="79"/>
      <c r="D498" s="79"/>
      <c r="E498" s="79"/>
      <c r="F498" s="79"/>
      <c r="G498" s="79"/>
      <c r="H498" s="79"/>
      <c r="I498" s="79"/>
      <c r="J498" s="79"/>
      <c r="K498" s="79"/>
      <c r="L498" s="79"/>
      <c r="N498" s="102"/>
    </row>
    <row r="499">
      <c r="A499" s="17"/>
      <c r="C499" s="79"/>
      <c r="D499" s="79"/>
      <c r="E499" s="79"/>
      <c r="F499" s="79"/>
      <c r="G499" s="79"/>
      <c r="H499" s="79"/>
      <c r="I499" s="79"/>
      <c r="J499" s="79"/>
      <c r="K499" s="79"/>
      <c r="L499" s="79"/>
      <c r="N499" s="102"/>
    </row>
    <row r="500">
      <c r="A500" s="17"/>
      <c r="C500" s="79"/>
      <c r="D500" s="79"/>
      <c r="E500" s="79"/>
      <c r="F500" s="79"/>
      <c r="G500" s="79"/>
      <c r="H500" s="79"/>
      <c r="I500" s="79"/>
      <c r="J500" s="79"/>
      <c r="K500" s="79"/>
      <c r="L500" s="79"/>
      <c r="N500" s="102"/>
    </row>
    <row r="501">
      <c r="A501" s="17"/>
      <c r="C501" s="79"/>
      <c r="D501" s="79"/>
      <c r="E501" s="79"/>
      <c r="F501" s="79"/>
      <c r="G501" s="79"/>
      <c r="H501" s="79"/>
      <c r="I501" s="79"/>
      <c r="J501" s="79"/>
      <c r="K501" s="79"/>
      <c r="L501" s="79"/>
      <c r="N501" s="102"/>
    </row>
    <row r="502">
      <c r="A502" s="17"/>
      <c r="C502" s="79"/>
      <c r="D502" s="79"/>
      <c r="E502" s="79"/>
      <c r="F502" s="79"/>
      <c r="G502" s="79"/>
      <c r="H502" s="79"/>
      <c r="I502" s="79"/>
      <c r="J502" s="79"/>
      <c r="K502" s="79"/>
      <c r="L502" s="79"/>
      <c r="N502" s="102"/>
    </row>
    <row r="503">
      <c r="A503" s="17"/>
      <c r="C503" s="79"/>
      <c r="D503" s="79"/>
      <c r="E503" s="79"/>
      <c r="F503" s="79"/>
      <c r="G503" s="79"/>
      <c r="H503" s="79"/>
      <c r="I503" s="79"/>
      <c r="J503" s="79"/>
      <c r="K503" s="79"/>
      <c r="L503" s="79"/>
      <c r="N503" s="102"/>
    </row>
    <row r="504">
      <c r="A504" s="17"/>
      <c r="C504" s="79"/>
      <c r="D504" s="79"/>
      <c r="E504" s="79"/>
      <c r="F504" s="79"/>
      <c r="G504" s="79"/>
      <c r="H504" s="79"/>
      <c r="I504" s="79"/>
      <c r="J504" s="79"/>
      <c r="K504" s="79"/>
      <c r="L504" s="79"/>
      <c r="N504" s="102"/>
    </row>
    <row r="505">
      <c r="A505" s="17"/>
      <c r="C505" s="79"/>
      <c r="D505" s="79"/>
      <c r="E505" s="79"/>
      <c r="F505" s="79"/>
      <c r="G505" s="79"/>
      <c r="H505" s="79"/>
      <c r="I505" s="79"/>
      <c r="J505" s="79"/>
      <c r="K505" s="79"/>
      <c r="L505" s="79"/>
      <c r="N505" s="102"/>
    </row>
    <row r="506">
      <c r="A506" s="17"/>
      <c r="C506" s="79"/>
      <c r="D506" s="79"/>
      <c r="E506" s="79"/>
      <c r="F506" s="79"/>
      <c r="G506" s="79"/>
      <c r="H506" s="79"/>
      <c r="I506" s="79"/>
      <c r="J506" s="79"/>
      <c r="K506" s="79"/>
      <c r="L506" s="79"/>
      <c r="N506" s="102"/>
    </row>
    <row r="507">
      <c r="A507" s="17"/>
      <c r="C507" s="79"/>
      <c r="D507" s="79"/>
      <c r="E507" s="79"/>
      <c r="F507" s="79"/>
      <c r="G507" s="79"/>
      <c r="H507" s="79"/>
      <c r="I507" s="79"/>
      <c r="J507" s="79"/>
      <c r="K507" s="79"/>
      <c r="L507" s="79"/>
      <c r="N507" s="102"/>
    </row>
    <row r="508">
      <c r="A508" s="17"/>
      <c r="C508" s="79"/>
      <c r="D508" s="79"/>
      <c r="E508" s="79"/>
      <c r="F508" s="79"/>
      <c r="G508" s="79"/>
      <c r="H508" s="79"/>
      <c r="I508" s="79"/>
      <c r="J508" s="79"/>
      <c r="K508" s="79"/>
      <c r="L508" s="79"/>
      <c r="N508" s="102"/>
    </row>
    <row r="509">
      <c r="A509" s="17"/>
      <c r="C509" s="79"/>
      <c r="D509" s="79"/>
      <c r="E509" s="79"/>
      <c r="F509" s="79"/>
      <c r="G509" s="79"/>
      <c r="H509" s="79"/>
      <c r="I509" s="79"/>
      <c r="J509" s="79"/>
      <c r="K509" s="79"/>
      <c r="L509" s="79"/>
      <c r="N509" s="102"/>
    </row>
    <row r="510">
      <c r="A510" s="17"/>
      <c r="C510" s="79"/>
      <c r="D510" s="79"/>
      <c r="E510" s="79"/>
      <c r="F510" s="79"/>
      <c r="G510" s="79"/>
      <c r="H510" s="79"/>
      <c r="I510" s="79"/>
      <c r="J510" s="79"/>
      <c r="K510" s="79"/>
      <c r="L510" s="79"/>
      <c r="N510" s="102"/>
    </row>
    <row r="511">
      <c r="A511" s="17"/>
      <c r="C511" s="79"/>
      <c r="D511" s="79"/>
      <c r="E511" s="79"/>
      <c r="F511" s="79"/>
      <c r="G511" s="79"/>
      <c r="H511" s="79"/>
      <c r="I511" s="79"/>
      <c r="J511" s="79"/>
      <c r="K511" s="79"/>
      <c r="L511" s="79"/>
      <c r="N511" s="102"/>
    </row>
    <row r="512">
      <c r="A512" s="17"/>
      <c r="C512" s="79"/>
      <c r="D512" s="79"/>
      <c r="E512" s="79"/>
      <c r="F512" s="79"/>
      <c r="G512" s="79"/>
      <c r="H512" s="79"/>
      <c r="I512" s="79"/>
      <c r="J512" s="79"/>
      <c r="K512" s="79"/>
      <c r="L512" s="79"/>
      <c r="N512" s="102"/>
    </row>
    <row r="513">
      <c r="A513" s="17"/>
      <c r="C513" s="79"/>
      <c r="D513" s="79"/>
      <c r="E513" s="79"/>
      <c r="F513" s="79"/>
      <c r="G513" s="79"/>
      <c r="H513" s="79"/>
      <c r="I513" s="79"/>
      <c r="J513" s="79"/>
      <c r="K513" s="79"/>
      <c r="L513" s="79"/>
      <c r="N513" s="102"/>
    </row>
    <row r="514">
      <c r="A514" s="17"/>
      <c r="C514" s="79"/>
      <c r="D514" s="79"/>
      <c r="E514" s="79"/>
      <c r="F514" s="79"/>
      <c r="G514" s="79"/>
      <c r="H514" s="79"/>
      <c r="I514" s="79"/>
      <c r="J514" s="79"/>
      <c r="K514" s="79"/>
      <c r="L514" s="79"/>
      <c r="N514" s="102"/>
    </row>
    <row r="515">
      <c r="A515" s="17"/>
      <c r="C515" s="79"/>
      <c r="D515" s="79"/>
      <c r="E515" s="79"/>
      <c r="F515" s="79"/>
      <c r="G515" s="79"/>
      <c r="H515" s="79"/>
      <c r="I515" s="79"/>
      <c r="J515" s="79"/>
      <c r="K515" s="79"/>
      <c r="L515" s="79"/>
      <c r="N515" s="102"/>
    </row>
    <row r="516">
      <c r="A516" s="17"/>
      <c r="C516" s="79"/>
      <c r="D516" s="79"/>
      <c r="E516" s="79"/>
      <c r="F516" s="79"/>
      <c r="G516" s="79"/>
      <c r="H516" s="79"/>
      <c r="I516" s="79"/>
      <c r="J516" s="79"/>
      <c r="K516" s="79"/>
      <c r="L516" s="79"/>
      <c r="N516" s="102"/>
    </row>
    <row r="517">
      <c r="A517" s="17"/>
      <c r="C517" s="79"/>
      <c r="D517" s="79"/>
      <c r="E517" s="79"/>
      <c r="F517" s="79"/>
      <c r="G517" s="79"/>
      <c r="H517" s="79"/>
      <c r="I517" s="79"/>
      <c r="J517" s="79"/>
      <c r="K517" s="79"/>
      <c r="L517" s="79"/>
      <c r="N517" s="102"/>
    </row>
    <row r="518">
      <c r="A518" s="17"/>
      <c r="C518" s="79"/>
      <c r="D518" s="79"/>
      <c r="E518" s="79"/>
      <c r="F518" s="79"/>
      <c r="G518" s="79"/>
      <c r="H518" s="79"/>
      <c r="I518" s="79"/>
      <c r="J518" s="79"/>
      <c r="K518" s="79"/>
      <c r="L518" s="79"/>
      <c r="N518" s="102"/>
    </row>
    <row r="519">
      <c r="A519" s="17"/>
      <c r="C519" s="79"/>
      <c r="D519" s="79"/>
      <c r="E519" s="79"/>
      <c r="F519" s="79"/>
      <c r="G519" s="79"/>
      <c r="H519" s="79"/>
      <c r="I519" s="79"/>
      <c r="J519" s="79"/>
      <c r="K519" s="79"/>
      <c r="L519" s="79"/>
      <c r="N519" s="102"/>
    </row>
    <row r="520">
      <c r="A520" s="17"/>
      <c r="C520" s="79"/>
      <c r="D520" s="79"/>
      <c r="E520" s="79"/>
      <c r="F520" s="79"/>
      <c r="G520" s="79"/>
      <c r="H520" s="79"/>
      <c r="I520" s="79"/>
      <c r="J520" s="79"/>
      <c r="K520" s="79"/>
      <c r="L520" s="79"/>
      <c r="N520" s="102"/>
    </row>
    <row r="521">
      <c r="A521" s="17"/>
      <c r="C521" s="79"/>
      <c r="D521" s="79"/>
      <c r="E521" s="79"/>
      <c r="F521" s="79"/>
      <c r="G521" s="79"/>
      <c r="H521" s="79"/>
      <c r="I521" s="79"/>
      <c r="J521" s="79"/>
      <c r="K521" s="79"/>
      <c r="L521" s="79"/>
      <c r="N521" s="102"/>
    </row>
    <row r="522">
      <c r="A522" s="17"/>
      <c r="C522" s="79"/>
      <c r="D522" s="79"/>
      <c r="E522" s="79"/>
      <c r="F522" s="79"/>
      <c r="G522" s="79"/>
      <c r="H522" s="79"/>
      <c r="I522" s="79"/>
      <c r="J522" s="79"/>
      <c r="K522" s="79"/>
      <c r="L522" s="79"/>
      <c r="N522" s="102"/>
    </row>
    <row r="523">
      <c r="A523" s="17"/>
      <c r="C523" s="79"/>
      <c r="D523" s="79"/>
      <c r="E523" s="79"/>
      <c r="F523" s="79"/>
      <c r="G523" s="79"/>
      <c r="H523" s="79"/>
      <c r="I523" s="79"/>
      <c r="J523" s="79"/>
      <c r="K523" s="79"/>
      <c r="L523" s="79"/>
      <c r="N523" s="102"/>
    </row>
    <row r="524">
      <c r="A524" s="17"/>
      <c r="C524" s="79"/>
      <c r="D524" s="79"/>
      <c r="E524" s="79"/>
      <c r="F524" s="79"/>
      <c r="G524" s="79"/>
      <c r="H524" s="79"/>
      <c r="I524" s="79"/>
      <c r="J524" s="79"/>
      <c r="K524" s="79"/>
      <c r="L524" s="79"/>
      <c r="N524" s="102"/>
    </row>
    <row r="525">
      <c r="A525" s="17"/>
      <c r="C525" s="79"/>
      <c r="D525" s="79"/>
      <c r="E525" s="79"/>
      <c r="F525" s="79"/>
      <c r="G525" s="79"/>
      <c r="H525" s="79"/>
      <c r="I525" s="79"/>
      <c r="J525" s="79"/>
      <c r="K525" s="79"/>
      <c r="L525" s="79"/>
      <c r="N525" s="102"/>
    </row>
    <row r="526">
      <c r="A526" s="17"/>
      <c r="C526" s="79"/>
      <c r="D526" s="79"/>
      <c r="E526" s="79"/>
      <c r="F526" s="79"/>
      <c r="G526" s="79"/>
      <c r="H526" s="79"/>
      <c r="I526" s="79"/>
      <c r="J526" s="79"/>
      <c r="K526" s="79"/>
      <c r="L526" s="79"/>
      <c r="N526" s="102"/>
    </row>
    <row r="527">
      <c r="A527" s="17"/>
      <c r="C527" s="79"/>
      <c r="D527" s="79"/>
      <c r="E527" s="79"/>
      <c r="F527" s="79"/>
      <c r="G527" s="79"/>
      <c r="H527" s="79"/>
      <c r="I527" s="79"/>
      <c r="J527" s="79"/>
      <c r="K527" s="79"/>
      <c r="L527" s="79"/>
      <c r="N527" s="102"/>
    </row>
    <row r="528">
      <c r="A528" s="17"/>
      <c r="C528" s="79"/>
      <c r="D528" s="79"/>
      <c r="E528" s="79"/>
      <c r="F528" s="79"/>
      <c r="G528" s="79"/>
      <c r="H528" s="79"/>
      <c r="I528" s="79"/>
      <c r="J528" s="79"/>
      <c r="K528" s="79"/>
      <c r="L528" s="79"/>
      <c r="N528" s="102"/>
    </row>
    <row r="529">
      <c r="A529" s="17"/>
      <c r="C529" s="79"/>
      <c r="D529" s="79"/>
      <c r="E529" s="79"/>
      <c r="F529" s="79"/>
      <c r="G529" s="79"/>
      <c r="H529" s="79"/>
      <c r="I529" s="79"/>
      <c r="J529" s="79"/>
      <c r="K529" s="79"/>
      <c r="L529" s="79"/>
      <c r="N529" s="102"/>
    </row>
    <row r="530">
      <c r="A530" s="17"/>
      <c r="C530" s="79"/>
      <c r="D530" s="79"/>
      <c r="E530" s="79"/>
      <c r="F530" s="79"/>
      <c r="G530" s="79"/>
      <c r="H530" s="79"/>
      <c r="I530" s="79"/>
      <c r="J530" s="79"/>
      <c r="K530" s="79"/>
      <c r="L530" s="79"/>
      <c r="N530" s="102"/>
    </row>
    <row r="531">
      <c r="A531" s="17"/>
      <c r="C531" s="79"/>
      <c r="D531" s="79"/>
      <c r="E531" s="79"/>
      <c r="F531" s="79"/>
      <c r="G531" s="79"/>
      <c r="H531" s="79"/>
      <c r="I531" s="79"/>
      <c r="J531" s="79"/>
      <c r="K531" s="79"/>
      <c r="L531" s="79"/>
      <c r="N531" s="102"/>
    </row>
    <row r="532">
      <c r="A532" s="17"/>
      <c r="C532" s="79"/>
      <c r="D532" s="79"/>
      <c r="E532" s="79"/>
      <c r="F532" s="79"/>
      <c r="G532" s="79"/>
      <c r="H532" s="79"/>
      <c r="I532" s="79"/>
      <c r="J532" s="79"/>
      <c r="K532" s="79"/>
      <c r="L532" s="79"/>
      <c r="N532" s="102"/>
    </row>
    <row r="533">
      <c r="A533" s="17"/>
      <c r="C533" s="79"/>
      <c r="D533" s="79"/>
      <c r="E533" s="79"/>
      <c r="F533" s="79"/>
      <c r="G533" s="79"/>
      <c r="H533" s="79"/>
      <c r="I533" s="79"/>
      <c r="J533" s="79"/>
      <c r="K533" s="79"/>
      <c r="L533" s="79"/>
      <c r="N533" s="102"/>
    </row>
    <row r="534">
      <c r="A534" s="17"/>
      <c r="C534" s="79"/>
      <c r="D534" s="79"/>
      <c r="E534" s="79"/>
      <c r="F534" s="79"/>
      <c r="G534" s="79"/>
      <c r="H534" s="79"/>
      <c r="I534" s="79"/>
      <c r="J534" s="79"/>
      <c r="K534" s="79"/>
      <c r="L534" s="79"/>
      <c r="N534" s="102"/>
    </row>
    <row r="535">
      <c r="A535" s="17"/>
      <c r="C535" s="79"/>
      <c r="D535" s="79"/>
      <c r="E535" s="79"/>
      <c r="F535" s="79"/>
      <c r="G535" s="79"/>
      <c r="H535" s="79"/>
      <c r="I535" s="79"/>
      <c r="J535" s="79"/>
      <c r="K535" s="79"/>
      <c r="L535" s="79"/>
      <c r="N535" s="102"/>
    </row>
    <row r="536">
      <c r="A536" s="17"/>
      <c r="C536" s="79"/>
      <c r="D536" s="79"/>
      <c r="E536" s="79"/>
      <c r="F536" s="79"/>
      <c r="G536" s="79"/>
      <c r="H536" s="79"/>
      <c r="I536" s="79"/>
      <c r="J536" s="79"/>
      <c r="K536" s="79"/>
      <c r="L536" s="79"/>
      <c r="N536" s="102"/>
    </row>
    <row r="537">
      <c r="A537" s="17"/>
      <c r="C537" s="79"/>
      <c r="D537" s="79"/>
      <c r="E537" s="79"/>
      <c r="F537" s="79"/>
      <c r="G537" s="79"/>
      <c r="H537" s="79"/>
      <c r="I537" s="79"/>
      <c r="J537" s="79"/>
      <c r="K537" s="79"/>
      <c r="L537" s="79"/>
      <c r="N537" s="102"/>
    </row>
    <row r="538">
      <c r="A538" s="17"/>
      <c r="C538" s="79"/>
      <c r="D538" s="79"/>
      <c r="E538" s="79"/>
      <c r="F538" s="79"/>
      <c r="G538" s="79"/>
      <c r="H538" s="79"/>
      <c r="I538" s="79"/>
      <c r="J538" s="79"/>
      <c r="K538" s="79"/>
      <c r="L538" s="79"/>
      <c r="N538" s="102"/>
    </row>
    <row r="539">
      <c r="A539" s="17"/>
      <c r="C539" s="79"/>
      <c r="D539" s="79"/>
      <c r="E539" s="79"/>
      <c r="F539" s="79"/>
      <c r="G539" s="79"/>
      <c r="H539" s="79"/>
      <c r="I539" s="79"/>
      <c r="J539" s="79"/>
      <c r="K539" s="79"/>
      <c r="L539" s="79"/>
      <c r="N539" s="102"/>
    </row>
    <row r="540">
      <c r="A540" s="17"/>
      <c r="C540" s="79"/>
      <c r="D540" s="79"/>
      <c r="E540" s="79"/>
      <c r="F540" s="79"/>
      <c r="G540" s="79"/>
      <c r="H540" s="79"/>
      <c r="I540" s="79"/>
      <c r="J540" s="79"/>
      <c r="K540" s="79"/>
      <c r="L540" s="79"/>
      <c r="N540" s="102"/>
    </row>
    <row r="541">
      <c r="A541" s="17"/>
      <c r="C541" s="79"/>
      <c r="D541" s="79"/>
      <c r="E541" s="79"/>
      <c r="F541" s="79"/>
      <c r="G541" s="79"/>
      <c r="H541" s="79"/>
      <c r="I541" s="79"/>
      <c r="J541" s="79"/>
      <c r="K541" s="79"/>
      <c r="L541" s="79"/>
      <c r="N541" s="102"/>
    </row>
    <row r="542">
      <c r="A542" s="17"/>
      <c r="C542" s="79"/>
      <c r="D542" s="79"/>
      <c r="E542" s="79"/>
      <c r="F542" s="79"/>
      <c r="G542" s="79"/>
      <c r="H542" s="79"/>
      <c r="I542" s="79"/>
      <c r="J542" s="79"/>
      <c r="K542" s="79"/>
      <c r="L542" s="79"/>
      <c r="N542" s="102"/>
    </row>
    <row r="543">
      <c r="A543" s="17"/>
      <c r="C543" s="79"/>
      <c r="D543" s="79"/>
      <c r="E543" s="79"/>
      <c r="F543" s="79"/>
      <c r="G543" s="79"/>
      <c r="H543" s="79"/>
      <c r="I543" s="79"/>
      <c r="J543" s="79"/>
      <c r="K543" s="79"/>
      <c r="L543" s="79"/>
      <c r="N543" s="102"/>
    </row>
    <row r="544">
      <c r="A544" s="17"/>
      <c r="C544" s="79"/>
      <c r="D544" s="79"/>
      <c r="E544" s="79"/>
      <c r="F544" s="79"/>
      <c r="G544" s="79"/>
      <c r="H544" s="79"/>
      <c r="I544" s="79"/>
      <c r="J544" s="79"/>
      <c r="K544" s="79"/>
      <c r="L544" s="79"/>
      <c r="N544" s="102"/>
    </row>
    <row r="545">
      <c r="A545" s="17"/>
      <c r="C545" s="79"/>
      <c r="D545" s="79"/>
      <c r="E545" s="79"/>
      <c r="F545" s="79"/>
      <c r="G545" s="79"/>
      <c r="H545" s="79"/>
      <c r="I545" s="79"/>
      <c r="J545" s="79"/>
      <c r="K545" s="79"/>
      <c r="L545" s="79"/>
      <c r="N545" s="102"/>
    </row>
    <row r="546">
      <c r="A546" s="17"/>
      <c r="C546" s="79"/>
      <c r="D546" s="79"/>
      <c r="E546" s="79"/>
      <c r="F546" s="79"/>
      <c r="G546" s="79"/>
      <c r="H546" s="79"/>
      <c r="I546" s="79"/>
      <c r="J546" s="79"/>
      <c r="K546" s="79"/>
      <c r="L546" s="79"/>
      <c r="N546" s="102"/>
    </row>
    <row r="547">
      <c r="A547" s="17"/>
      <c r="C547" s="79"/>
      <c r="D547" s="79"/>
      <c r="E547" s="79"/>
      <c r="F547" s="79"/>
      <c r="G547" s="79"/>
      <c r="H547" s="79"/>
      <c r="I547" s="79"/>
      <c r="J547" s="79"/>
      <c r="K547" s="79"/>
      <c r="L547" s="79"/>
      <c r="N547" s="102"/>
    </row>
    <row r="548">
      <c r="A548" s="17"/>
      <c r="C548" s="79"/>
      <c r="D548" s="79"/>
      <c r="E548" s="79"/>
      <c r="F548" s="79"/>
      <c r="G548" s="79"/>
      <c r="H548" s="79"/>
      <c r="I548" s="79"/>
      <c r="J548" s="79"/>
      <c r="K548" s="79"/>
      <c r="L548" s="79"/>
      <c r="N548" s="102"/>
    </row>
    <row r="549">
      <c r="A549" s="17"/>
      <c r="C549" s="79"/>
      <c r="D549" s="79"/>
      <c r="E549" s="79"/>
      <c r="F549" s="79"/>
      <c r="G549" s="79"/>
      <c r="H549" s="79"/>
      <c r="I549" s="79"/>
      <c r="J549" s="79"/>
      <c r="K549" s="79"/>
      <c r="L549" s="79"/>
      <c r="N549" s="102"/>
    </row>
    <row r="550">
      <c r="A550" s="17"/>
      <c r="C550" s="79"/>
      <c r="D550" s="79"/>
      <c r="E550" s="79"/>
      <c r="F550" s="79"/>
      <c r="G550" s="79"/>
      <c r="H550" s="79"/>
      <c r="I550" s="79"/>
      <c r="J550" s="79"/>
      <c r="K550" s="79"/>
      <c r="L550" s="79"/>
      <c r="N550" s="102"/>
    </row>
    <row r="551">
      <c r="A551" s="17"/>
      <c r="C551" s="79"/>
      <c r="D551" s="79"/>
      <c r="E551" s="79"/>
      <c r="F551" s="79"/>
      <c r="G551" s="79"/>
      <c r="H551" s="79"/>
      <c r="I551" s="79"/>
      <c r="J551" s="79"/>
      <c r="K551" s="79"/>
      <c r="L551" s="79"/>
      <c r="N551" s="102"/>
    </row>
    <row r="552">
      <c r="A552" s="17"/>
      <c r="C552" s="79"/>
      <c r="D552" s="79"/>
      <c r="E552" s="79"/>
      <c r="F552" s="79"/>
      <c r="G552" s="79"/>
      <c r="H552" s="79"/>
      <c r="I552" s="79"/>
      <c r="J552" s="79"/>
      <c r="K552" s="79"/>
      <c r="L552" s="79"/>
      <c r="N552" s="102"/>
    </row>
    <row r="553">
      <c r="A553" s="17"/>
      <c r="C553" s="79"/>
      <c r="D553" s="79"/>
      <c r="E553" s="79"/>
      <c r="F553" s="79"/>
      <c r="G553" s="79"/>
      <c r="H553" s="79"/>
      <c r="I553" s="79"/>
      <c r="J553" s="79"/>
      <c r="K553" s="79"/>
      <c r="L553" s="79"/>
      <c r="N553" s="102"/>
    </row>
    <row r="554">
      <c r="A554" s="17"/>
      <c r="C554" s="79"/>
      <c r="D554" s="79"/>
      <c r="E554" s="79"/>
      <c r="F554" s="79"/>
      <c r="G554" s="79"/>
      <c r="H554" s="79"/>
      <c r="I554" s="79"/>
      <c r="J554" s="79"/>
      <c r="K554" s="79"/>
      <c r="L554" s="79"/>
      <c r="N554" s="102"/>
    </row>
    <row r="555">
      <c r="A555" s="17"/>
      <c r="C555" s="79"/>
      <c r="D555" s="79"/>
      <c r="E555" s="79"/>
      <c r="F555" s="79"/>
      <c r="G555" s="79"/>
      <c r="H555" s="79"/>
      <c r="I555" s="79"/>
      <c r="J555" s="79"/>
      <c r="K555" s="79"/>
      <c r="L555" s="79"/>
      <c r="N555" s="102"/>
    </row>
    <row r="556">
      <c r="A556" s="17"/>
      <c r="C556" s="79"/>
      <c r="D556" s="79"/>
      <c r="E556" s="79"/>
      <c r="F556" s="79"/>
      <c r="G556" s="79"/>
      <c r="H556" s="79"/>
      <c r="I556" s="79"/>
      <c r="J556" s="79"/>
      <c r="K556" s="79"/>
      <c r="L556" s="79"/>
      <c r="N556" s="102"/>
    </row>
    <row r="557">
      <c r="A557" s="17"/>
      <c r="C557" s="79"/>
      <c r="D557" s="79"/>
      <c r="E557" s="79"/>
      <c r="F557" s="79"/>
      <c r="G557" s="79"/>
      <c r="H557" s="79"/>
      <c r="I557" s="79"/>
      <c r="J557" s="79"/>
      <c r="K557" s="79"/>
      <c r="L557" s="79"/>
      <c r="N557" s="102"/>
    </row>
    <row r="558">
      <c r="A558" s="17"/>
      <c r="C558" s="79"/>
      <c r="D558" s="79"/>
      <c r="E558" s="79"/>
      <c r="F558" s="79"/>
      <c r="G558" s="79"/>
      <c r="H558" s="79"/>
      <c r="I558" s="79"/>
      <c r="J558" s="79"/>
      <c r="K558" s="79"/>
      <c r="L558" s="79"/>
      <c r="N558" s="102"/>
    </row>
    <row r="559">
      <c r="A559" s="17"/>
      <c r="C559" s="79"/>
      <c r="D559" s="79"/>
      <c r="E559" s="79"/>
      <c r="F559" s="79"/>
      <c r="G559" s="79"/>
      <c r="H559" s="79"/>
      <c r="I559" s="79"/>
      <c r="J559" s="79"/>
      <c r="K559" s="79"/>
      <c r="L559" s="79"/>
      <c r="N559" s="102"/>
    </row>
    <row r="560">
      <c r="A560" s="17"/>
      <c r="C560" s="79"/>
      <c r="D560" s="79"/>
      <c r="E560" s="79"/>
      <c r="F560" s="79"/>
      <c r="G560" s="79"/>
      <c r="H560" s="79"/>
      <c r="I560" s="79"/>
      <c r="J560" s="79"/>
      <c r="K560" s="79"/>
      <c r="L560" s="79"/>
      <c r="N560" s="102"/>
    </row>
    <row r="561">
      <c r="A561" s="17"/>
      <c r="C561" s="79"/>
      <c r="D561" s="79"/>
      <c r="E561" s="79"/>
      <c r="F561" s="79"/>
      <c r="G561" s="79"/>
      <c r="H561" s="79"/>
      <c r="I561" s="79"/>
      <c r="J561" s="79"/>
      <c r="K561" s="79"/>
      <c r="L561" s="79"/>
      <c r="N561" s="102"/>
    </row>
    <row r="562">
      <c r="A562" s="17"/>
      <c r="C562" s="79"/>
      <c r="D562" s="79"/>
      <c r="E562" s="79"/>
      <c r="F562" s="79"/>
      <c r="G562" s="79"/>
      <c r="H562" s="79"/>
      <c r="I562" s="79"/>
      <c r="J562" s="79"/>
      <c r="K562" s="79"/>
      <c r="L562" s="79"/>
      <c r="N562" s="102"/>
    </row>
    <row r="563">
      <c r="A563" s="17"/>
      <c r="C563" s="79"/>
      <c r="D563" s="79"/>
      <c r="E563" s="79"/>
      <c r="F563" s="79"/>
      <c r="G563" s="79"/>
      <c r="H563" s="79"/>
      <c r="I563" s="79"/>
      <c r="J563" s="79"/>
      <c r="K563" s="79"/>
      <c r="L563" s="79"/>
      <c r="N563" s="102"/>
    </row>
    <row r="564">
      <c r="A564" s="17"/>
      <c r="C564" s="79"/>
      <c r="D564" s="79"/>
      <c r="E564" s="79"/>
      <c r="F564" s="79"/>
      <c r="G564" s="79"/>
      <c r="H564" s="79"/>
      <c r="I564" s="79"/>
      <c r="J564" s="79"/>
      <c r="K564" s="79"/>
      <c r="L564" s="79"/>
      <c r="N564" s="102"/>
    </row>
    <row r="565">
      <c r="A565" s="17"/>
      <c r="C565" s="79"/>
      <c r="D565" s="79"/>
      <c r="E565" s="79"/>
      <c r="F565" s="79"/>
      <c r="G565" s="79"/>
      <c r="H565" s="79"/>
      <c r="I565" s="79"/>
      <c r="J565" s="79"/>
      <c r="K565" s="79"/>
      <c r="L565" s="79"/>
      <c r="N565" s="102"/>
    </row>
    <row r="566">
      <c r="A566" s="17"/>
      <c r="C566" s="79"/>
      <c r="D566" s="79"/>
      <c r="E566" s="79"/>
      <c r="F566" s="79"/>
      <c r="G566" s="79"/>
      <c r="H566" s="79"/>
      <c r="I566" s="79"/>
      <c r="J566" s="79"/>
      <c r="K566" s="79"/>
      <c r="L566" s="79"/>
      <c r="N566" s="102"/>
    </row>
    <row r="567">
      <c r="A567" s="17"/>
      <c r="C567" s="79"/>
      <c r="D567" s="79"/>
      <c r="E567" s="79"/>
      <c r="F567" s="79"/>
      <c r="G567" s="79"/>
      <c r="H567" s="79"/>
      <c r="I567" s="79"/>
      <c r="J567" s="79"/>
      <c r="K567" s="79"/>
      <c r="L567" s="79"/>
      <c r="N567" s="102"/>
    </row>
    <row r="568">
      <c r="A568" s="17"/>
      <c r="C568" s="79"/>
      <c r="D568" s="79"/>
      <c r="E568" s="79"/>
      <c r="F568" s="79"/>
      <c r="G568" s="79"/>
      <c r="H568" s="79"/>
      <c r="I568" s="79"/>
      <c r="J568" s="79"/>
      <c r="K568" s="79"/>
      <c r="L568" s="79"/>
      <c r="N568" s="102"/>
    </row>
    <row r="569">
      <c r="A569" s="17"/>
      <c r="C569" s="79"/>
      <c r="D569" s="79"/>
      <c r="E569" s="79"/>
      <c r="F569" s="79"/>
      <c r="G569" s="79"/>
      <c r="H569" s="79"/>
      <c r="I569" s="79"/>
      <c r="J569" s="79"/>
      <c r="K569" s="79"/>
      <c r="L569" s="79"/>
      <c r="N569" s="102"/>
    </row>
    <row r="570">
      <c r="A570" s="17"/>
      <c r="C570" s="79"/>
      <c r="D570" s="79"/>
      <c r="E570" s="79"/>
      <c r="F570" s="79"/>
      <c r="G570" s="79"/>
      <c r="H570" s="79"/>
      <c r="I570" s="79"/>
      <c r="J570" s="79"/>
      <c r="K570" s="79"/>
      <c r="L570" s="79"/>
      <c r="N570" s="102"/>
    </row>
    <row r="571">
      <c r="A571" s="17"/>
      <c r="C571" s="79"/>
      <c r="D571" s="79"/>
      <c r="E571" s="79"/>
      <c r="F571" s="79"/>
      <c r="G571" s="79"/>
      <c r="H571" s="79"/>
      <c r="I571" s="79"/>
      <c r="J571" s="79"/>
      <c r="K571" s="79"/>
      <c r="L571" s="79"/>
      <c r="N571" s="102"/>
    </row>
    <row r="572">
      <c r="A572" s="17"/>
      <c r="C572" s="79"/>
      <c r="D572" s="79"/>
      <c r="E572" s="79"/>
      <c r="F572" s="79"/>
      <c r="G572" s="79"/>
      <c r="H572" s="79"/>
      <c r="I572" s="79"/>
      <c r="J572" s="79"/>
      <c r="K572" s="79"/>
      <c r="L572" s="79"/>
      <c r="N572" s="102"/>
    </row>
    <row r="573">
      <c r="A573" s="17"/>
      <c r="C573" s="79"/>
      <c r="D573" s="79"/>
      <c r="E573" s="79"/>
      <c r="F573" s="79"/>
      <c r="G573" s="79"/>
      <c r="H573" s="79"/>
      <c r="I573" s="79"/>
      <c r="J573" s="79"/>
      <c r="K573" s="79"/>
      <c r="L573" s="79"/>
      <c r="N573" s="102"/>
    </row>
    <row r="574">
      <c r="A574" s="17"/>
      <c r="C574" s="79"/>
      <c r="D574" s="79"/>
      <c r="E574" s="79"/>
      <c r="F574" s="79"/>
      <c r="G574" s="79"/>
      <c r="H574" s="79"/>
      <c r="I574" s="79"/>
      <c r="J574" s="79"/>
      <c r="K574" s="79"/>
      <c r="L574" s="79"/>
      <c r="N574" s="102"/>
    </row>
    <row r="575">
      <c r="A575" s="17"/>
      <c r="C575" s="79"/>
      <c r="D575" s="79"/>
      <c r="E575" s="79"/>
      <c r="F575" s="79"/>
      <c r="G575" s="79"/>
      <c r="H575" s="79"/>
      <c r="I575" s="79"/>
      <c r="J575" s="79"/>
      <c r="K575" s="79"/>
      <c r="L575" s="79"/>
      <c r="N575" s="102"/>
    </row>
    <row r="576">
      <c r="A576" s="17"/>
      <c r="C576" s="79"/>
      <c r="D576" s="79"/>
      <c r="E576" s="79"/>
      <c r="F576" s="79"/>
      <c r="G576" s="79"/>
      <c r="H576" s="79"/>
      <c r="I576" s="79"/>
      <c r="J576" s="79"/>
      <c r="K576" s="79"/>
      <c r="L576" s="79"/>
      <c r="N576" s="102"/>
    </row>
    <row r="577">
      <c r="A577" s="17"/>
      <c r="C577" s="79"/>
      <c r="D577" s="79"/>
      <c r="E577" s="79"/>
      <c r="F577" s="79"/>
      <c r="G577" s="79"/>
      <c r="H577" s="79"/>
      <c r="I577" s="79"/>
      <c r="J577" s="79"/>
      <c r="K577" s="79"/>
      <c r="L577" s="79"/>
      <c r="N577" s="102"/>
    </row>
    <row r="578">
      <c r="A578" s="17"/>
      <c r="C578" s="79"/>
      <c r="D578" s="79"/>
      <c r="E578" s="79"/>
      <c r="F578" s="79"/>
      <c r="G578" s="79"/>
      <c r="H578" s="79"/>
      <c r="I578" s="79"/>
      <c r="J578" s="79"/>
      <c r="K578" s="79"/>
      <c r="L578" s="79"/>
      <c r="N578" s="102"/>
    </row>
    <row r="579">
      <c r="A579" s="17"/>
      <c r="C579" s="79"/>
      <c r="D579" s="79"/>
      <c r="E579" s="79"/>
      <c r="F579" s="79"/>
      <c r="G579" s="79"/>
      <c r="H579" s="79"/>
      <c r="I579" s="79"/>
      <c r="J579" s="79"/>
      <c r="K579" s="79"/>
      <c r="L579" s="79"/>
      <c r="N579" s="102"/>
    </row>
    <row r="580">
      <c r="A580" s="17"/>
      <c r="C580" s="79"/>
      <c r="D580" s="79"/>
      <c r="E580" s="79"/>
      <c r="F580" s="79"/>
      <c r="G580" s="79"/>
      <c r="H580" s="79"/>
      <c r="I580" s="79"/>
      <c r="J580" s="79"/>
      <c r="K580" s="79"/>
      <c r="L580" s="79"/>
      <c r="N580" s="102"/>
    </row>
    <row r="581">
      <c r="A581" s="17"/>
      <c r="C581" s="79"/>
      <c r="D581" s="79"/>
      <c r="E581" s="79"/>
      <c r="F581" s="79"/>
      <c r="G581" s="79"/>
      <c r="H581" s="79"/>
      <c r="I581" s="79"/>
      <c r="J581" s="79"/>
      <c r="K581" s="79"/>
      <c r="L581" s="79"/>
      <c r="N581" s="102"/>
    </row>
    <row r="582">
      <c r="A582" s="17"/>
      <c r="C582" s="79"/>
      <c r="D582" s="79"/>
      <c r="E582" s="79"/>
      <c r="F582" s="79"/>
      <c r="G582" s="79"/>
      <c r="H582" s="79"/>
      <c r="I582" s="79"/>
      <c r="J582" s="79"/>
      <c r="K582" s="79"/>
      <c r="L582" s="79"/>
      <c r="N582" s="102"/>
    </row>
    <row r="583">
      <c r="A583" s="17"/>
      <c r="C583" s="79"/>
      <c r="D583" s="79"/>
      <c r="E583" s="79"/>
      <c r="F583" s="79"/>
      <c r="G583" s="79"/>
      <c r="H583" s="79"/>
      <c r="I583" s="79"/>
      <c r="J583" s="79"/>
      <c r="K583" s="79"/>
      <c r="L583" s="79"/>
      <c r="N583" s="102"/>
    </row>
    <row r="584">
      <c r="A584" s="17"/>
      <c r="C584" s="79"/>
      <c r="D584" s="79"/>
      <c r="E584" s="79"/>
      <c r="F584" s="79"/>
      <c r="G584" s="79"/>
      <c r="H584" s="79"/>
      <c r="I584" s="79"/>
      <c r="J584" s="79"/>
      <c r="K584" s="79"/>
      <c r="L584" s="79"/>
      <c r="N584" s="102"/>
    </row>
    <row r="585">
      <c r="A585" s="17"/>
      <c r="C585" s="79"/>
      <c r="D585" s="79"/>
      <c r="E585" s="79"/>
      <c r="F585" s="79"/>
      <c r="G585" s="79"/>
      <c r="H585" s="79"/>
      <c r="I585" s="79"/>
      <c r="J585" s="79"/>
      <c r="K585" s="79"/>
      <c r="L585" s="79"/>
      <c r="N585" s="102"/>
    </row>
    <row r="586">
      <c r="A586" s="17"/>
      <c r="C586" s="79"/>
      <c r="D586" s="79"/>
      <c r="E586" s="79"/>
      <c r="F586" s="79"/>
      <c r="G586" s="79"/>
      <c r="H586" s="79"/>
      <c r="I586" s="79"/>
      <c r="J586" s="79"/>
      <c r="K586" s="79"/>
      <c r="L586" s="79"/>
      <c r="N586" s="102"/>
    </row>
    <row r="587">
      <c r="A587" s="17"/>
      <c r="C587" s="79"/>
      <c r="D587" s="79"/>
      <c r="E587" s="79"/>
      <c r="F587" s="79"/>
      <c r="G587" s="79"/>
      <c r="H587" s="79"/>
      <c r="I587" s="79"/>
      <c r="J587" s="79"/>
      <c r="K587" s="79"/>
      <c r="L587" s="79"/>
      <c r="N587" s="102"/>
    </row>
    <row r="588">
      <c r="A588" s="17"/>
      <c r="C588" s="79"/>
      <c r="D588" s="79"/>
      <c r="E588" s="79"/>
      <c r="F588" s="79"/>
      <c r="G588" s="79"/>
      <c r="H588" s="79"/>
      <c r="I588" s="79"/>
      <c r="J588" s="79"/>
      <c r="K588" s="79"/>
      <c r="L588" s="79"/>
      <c r="N588" s="102"/>
    </row>
    <row r="589">
      <c r="A589" s="17"/>
      <c r="C589" s="79"/>
      <c r="D589" s="79"/>
      <c r="E589" s="79"/>
      <c r="F589" s="79"/>
      <c r="G589" s="79"/>
      <c r="H589" s="79"/>
      <c r="I589" s="79"/>
      <c r="J589" s="79"/>
      <c r="K589" s="79"/>
      <c r="L589" s="79"/>
      <c r="N589" s="102"/>
    </row>
    <row r="590">
      <c r="A590" s="17"/>
      <c r="C590" s="79"/>
      <c r="D590" s="79"/>
      <c r="E590" s="79"/>
      <c r="F590" s="79"/>
      <c r="G590" s="79"/>
      <c r="H590" s="79"/>
      <c r="I590" s="79"/>
      <c r="J590" s="79"/>
      <c r="K590" s="79"/>
      <c r="L590" s="79"/>
      <c r="N590" s="102"/>
    </row>
    <row r="591">
      <c r="A591" s="17"/>
      <c r="C591" s="79"/>
      <c r="D591" s="79"/>
      <c r="E591" s="79"/>
      <c r="F591" s="79"/>
      <c r="G591" s="79"/>
      <c r="H591" s="79"/>
      <c r="I591" s="79"/>
      <c r="J591" s="79"/>
      <c r="K591" s="79"/>
      <c r="L591" s="79"/>
      <c r="N591" s="102"/>
    </row>
    <row r="592">
      <c r="A592" s="17"/>
      <c r="C592" s="79"/>
      <c r="D592" s="79"/>
      <c r="E592" s="79"/>
      <c r="F592" s="79"/>
      <c r="G592" s="79"/>
      <c r="H592" s="79"/>
      <c r="I592" s="79"/>
      <c r="J592" s="79"/>
      <c r="K592" s="79"/>
      <c r="L592" s="79"/>
      <c r="N592" s="102"/>
    </row>
    <row r="593">
      <c r="A593" s="17"/>
      <c r="C593" s="79"/>
      <c r="D593" s="79"/>
      <c r="E593" s="79"/>
      <c r="F593" s="79"/>
      <c r="G593" s="79"/>
      <c r="H593" s="79"/>
      <c r="I593" s="79"/>
      <c r="J593" s="79"/>
      <c r="K593" s="79"/>
      <c r="L593" s="79"/>
      <c r="N593" s="102"/>
    </row>
    <row r="594">
      <c r="A594" s="17"/>
      <c r="C594" s="79"/>
      <c r="D594" s="79"/>
      <c r="E594" s="79"/>
      <c r="F594" s="79"/>
      <c r="G594" s="79"/>
      <c r="H594" s="79"/>
      <c r="I594" s="79"/>
      <c r="J594" s="79"/>
      <c r="K594" s="79"/>
      <c r="L594" s="79"/>
      <c r="N594" s="102"/>
    </row>
    <row r="595">
      <c r="A595" s="17"/>
      <c r="C595" s="79"/>
      <c r="D595" s="79"/>
      <c r="E595" s="79"/>
      <c r="F595" s="79"/>
      <c r="G595" s="79"/>
      <c r="H595" s="79"/>
      <c r="I595" s="79"/>
      <c r="J595" s="79"/>
      <c r="K595" s="79"/>
      <c r="L595" s="79"/>
      <c r="N595" s="102"/>
    </row>
    <row r="596">
      <c r="A596" s="17"/>
      <c r="C596" s="79"/>
      <c r="D596" s="79"/>
      <c r="E596" s="79"/>
      <c r="F596" s="79"/>
      <c r="G596" s="79"/>
      <c r="H596" s="79"/>
      <c r="I596" s="79"/>
      <c r="J596" s="79"/>
      <c r="K596" s="79"/>
      <c r="L596" s="79"/>
      <c r="N596" s="102"/>
    </row>
    <row r="597">
      <c r="A597" s="17"/>
      <c r="C597" s="79"/>
      <c r="D597" s="79"/>
      <c r="E597" s="79"/>
      <c r="F597" s="79"/>
      <c r="G597" s="79"/>
      <c r="H597" s="79"/>
      <c r="I597" s="79"/>
      <c r="J597" s="79"/>
      <c r="K597" s="79"/>
      <c r="L597" s="79"/>
      <c r="N597" s="102"/>
    </row>
    <row r="598">
      <c r="A598" s="17"/>
      <c r="C598" s="79"/>
      <c r="D598" s="79"/>
      <c r="E598" s="79"/>
      <c r="F598" s="79"/>
      <c r="G598" s="79"/>
      <c r="H598" s="79"/>
      <c r="I598" s="79"/>
      <c r="J598" s="79"/>
      <c r="K598" s="79"/>
      <c r="L598" s="79"/>
      <c r="N598" s="102"/>
    </row>
    <row r="599">
      <c r="A599" s="17"/>
      <c r="C599" s="79"/>
      <c r="D599" s="79"/>
      <c r="E599" s="79"/>
      <c r="F599" s="79"/>
      <c r="G599" s="79"/>
      <c r="H599" s="79"/>
      <c r="I599" s="79"/>
      <c r="J599" s="79"/>
      <c r="K599" s="79"/>
      <c r="L599" s="79"/>
      <c r="N599" s="102"/>
    </row>
    <row r="600">
      <c r="A600" s="17"/>
      <c r="C600" s="79"/>
      <c r="D600" s="79"/>
      <c r="E600" s="79"/>
      <c r="F600" s="79"/>
      <c r="G600" s="79"/>
      <c r="H600" s="79"/>
      <c r="I600" s="79"/>
      <c r="J600" s="79"/>
      <c r="K600" s="79"/>
      <c r="L600" s="79"/>
      <c r="N600" s="102"/>
    </row>
    <row r="601">
      <c r="A601" s="17"/>
      <c r="C601" s="79"/>
      <c r="D601" s="79"/>
      <c r="E601" s="79"/>
      <c r="F601" s="79"/>
      <c r="G601" s="79"/>
      <c r="H601" s="79"/>
      <c r="I601" s="79"/>
      <c r="J601" s="79"/>
      <c r="K601" s="79"/>
      <c r="L601" s="79"/>
      <c r="N601" s="102"/>
    </row>
    <row r="602">
      <c r="A602" s="17"/>
      <c r="C602" s="79"/>
      <c r="D602" s="79"/>
      <c r="E602" s="79"/>
      <c r="F602" s="79"/>
      <c r="G602" s="79"/>
      <c r="H602" s="79"/>
      <c r="I602" s="79"/>
      <c r="J602" s="79"/>
      <c r="K602" s="79"/>
      <c r="L602" s="79"/>
      <c r="N602" s="102"/>
    </row>
    <row r="603">
      <c r="A603" s="17"/>
      <c r="C603" s="79"/>
      <c r="D603" s="79"/>
      <c r="E603" s="79"/>
      <c r="F603" s="79"/>
      <c r="G603" s="79"/>
      <c r="H603" s="79"/>
      <c r="I603" s="79"/>
      <c r="J603" s="79"/>
      <c r="K603" s="79"/>
      <c r="L603" s="79"/>
      <c r="N603" s="102"/>
    </row>
    <row r="604">
      <c r="A604" s="17"/>
      <c r="C604" s="79"/>
      <c r="D604" s="79"/>
      <c r="E604" s="79"/>
      <c r="F604" s="79"/>
      <c r="G604" s="79"/>
      <c r="H604" s="79"/>
      <c r="I604" s="79"/>
      <c r="J604" s="79"/>
      <c r="K604" s="79"/>
      <c r="L604" s="79"/>
      <c r="N604" s="102"/>
    </row>
    <row r="605">
      <c r="A605" s="17"/>
      <c r="C605" s="79"/>
      <c r="D605" s="79"/>
      <c r="E605" s="79"/>
      <c r="F605" s="79"/>
      <c r="G605" s="79"/>
      <c r="H605" s="79"/>
      <c r="I605" s="79"/>
      <c r="J605" s="79"/>
      <c r="K605" s="79"/>
      <c r="L605" s="79"/>
      <c r="N605" s="102"/>
    </row>
    <row r="606">
      <c r="A606" s="17"/>
      <c r="C606" s="79"/>
      <c r="D606" s="79"/>
      <c r="E606" s="79"/>
      <c r="F606" s="79"/>
      <c r="G606" s="79"/>
      <c r="H606" s="79"/>
      <c r="I606" s="79"/>
      <c r="J606" s="79"/>
      <c r="K606" s="79"/>
      <c r="L606" s="79"/>
      <c r="N606" s="102"/>
    </row>
    <row r="607">
      <c r="A607" s="17"/>
      <c r="C607" s="79"/>
      <c r="D607" s="79"/>
      <c r="E607" s="79"/>
      <c r="F607" s="79"/>
      <c r="G607" s="79"/>
      <c r="H607" s="79"/>
      <c r="I607" s="79"/>
      <c r="J607" s="79"/>
      <c r="K607" s="79"/>
      <c r="L607" s="79"/>
      <c r="N607" s="102"/>
    </row>
    <row r="608">
      <c r="A608" s="17"/>
      <c r="C608" s="79"/>
      <c r="D608" s="79"/>
      <c r="E608" s="79"/>
      <c r="F608" s="79"/>
      <c r="G608" s="79"/>
      <c r="H608" s="79"/>
      <c r="I608" s="79"/>
      <c r="J608" s="79"/>
      <c r="K608" s="79"/>
      <c r="L608" s="79"/>
      <c r="N608" s="102"/>
    </row>
    <row r="609">
      <c r="A609" s="17"/>
      <c r="C609" s="79"/>
      <c r="D609" s="79"/>
      <c r="E609" s="79"/>
      <c r="F609" s="79"/>
      <c r="G609" s="79"/>
      <c r="H609" s="79"/>
      <c r="I609" s="79"/>
      <c r="J609" s="79"/>
      <c r="K609" s="79"/>
      <c r="L609" s="79"/>
      <c r="N609" s="102"/>
    </row>
    <row r="610">
      <c r="A610" s="17"/>
      <c r="C610" s="79"/>
      <c r="D610" s="79"/>
      <c r="E610" s="79"/>
      <c r="F610" s="79"/>
      <c r="G610" s="79"/>
      <c r="H610" s="79"/>
      <c r="I610" s="79"/>
      <c r="J610" s="79"/>
      <c r="K610" s="79"/>
      <c r="L610" s="79"/>
      <c r="N610" s="102"/>
    </row>
    <row r="611">
      <c r="A611" s="17"/>
      <c r="C611" s="79"/>
      <c r="D611" s="79"/>
      <c r="E611" s="79"/>
      <c r="F611" s="79"/>
      <c r="G611" s="79"/>
      <c r="H611" s="79"/>
      <c r="I611" s="79"/>
      <c r="J611" s="79"/>
      <c r="K611" s="79"/>
      <c r="L611" s="79"/>
      <c r="N611" s="102"/>
    </row>
    <row r="612">
      <c r="A612" s="17"/>
      <c r="C612" s="79"/>
      <c r="D612" s="79"/>
      <c r="E612" s="79"/>
      <c r="F612" s="79"/>
      <c r="G612" s="79"/>
      <c r="H612" s="79"/>
      <c r="I612" s="79"/>
      <c r="J612" s="79"/>
      <c r="K612" s="79"/>
      <c r="L612" s="79"/>
      <c r="N612" s="102"/>
    </row>
    <row r="613">
      <c r="A613" s="17"/>
      <c r="C613" s="79"/>
      <c r="D613" s="79"/>
      <c r="E613" s="79"/>
      <c r="F613" s="79"/>
      <c r="G613" s="79"/>
      <c r="H613" s="79"/>
      <c r="I613" s="79"/>
      <c r="J613" s="79"/>
      <c r="K613" s="79"/>
      <c r="L613" s="79"/>
      <c r="N613" s="102"/>
    </row>
    <row r="614">
      <c r="A614" s="17"/>
      <c r="C614" s="79"/>
      <c r="D614" s="79"/>
      <c r="E614" s="79"/>
      <c r="F614" s="79"/>
      <c r="G614" s="79"/>
      <c r="H614" s="79"/>
      <c r="I614" s="79"/>
      <c r="J614" s="79"/>
      <c r="K614" s="79"/>
      <c r="L614" s="79"/>
      <c r="N614" s="102"/>
    </row>
    <row r="615">
      <c r="A615" s="17"/>
      <c r="C615" s="79"/>
      <c r="D615" s="79"/>
      <c r="E615" s="79"/>
      <c r="F615" s="79"/>
      <c r="G615" s="79"/>
      <c r="H615" s="79"/>
      <c r="I615" s="79"/>
      <c r="J615" s="79"/>
      <c r="K615" s="79"/>
      <c r="L615" s="79"/>
      <c r="N615" s="102"/>
    </row>
    <row r="616">
      <c r="A616" s="17"/>
      <c r="C616" s="79"/>
      <c r="D616" s="79"/>
      <c r="E616" s="79"/>
      <c r="F616" s="79"/>
      <c r="G616" s="79"/>
      <c r="H616" s="79"/>
      <c r="I616" s="79"/>
      <c r="J616" s="79"/>
      <c r="K616" s="79"/>
      <c r="L616" s="79"/>
      <c r="N616" s="102"/>
    </row>
    <row r="617">
      <c r="A617" s="17"/>
      <c r="C617" s="79"/>
      <c r="D617" s="79"/>
      <c r="E617" s="79"/>
      <c r="F617" s="79"/>
      <c r="G617" s="79"/>
      <c r="H617" s="79"/>
      <c r="I617" s="79"/>
      <c r="J617" s="79"/>
      <c r="K617" s="79"/>
      <c r="L617" s="79"/>
      <c r="N617" s="102"/>
    </row>
    <row r="618">
      <c r="A618" s="17"/>
      <c r="C618" s="79"/>
      <c r="D618" s="79"/>
      <c r="E618" s="79"/>
      <c r="F618" s="79"/>
      <c r="G618" s="79"/>
      <c r="H618" s="79"/>
      <c r="I618" s="79"/>
      <c r="J618" s="79"/>
      <c r="K618" s="79"/>
      <c r="L618" s="79"/>
      <c r="N618" s="102"/>
    </row>
    <row r="619">
      <c r="A619" s="17"/>
      <c r="C619" s="79"/>
      <c r="D619" s="79"/>
      <c r="E619" s="79"/>
      <c r="F619" s="79"/>
      <c r="G619" s="79"/>
      <c r="H619" s="79"/>
      <c r="I619" s="79"/>
      <c r="J619" s="79"/>
      <c r="K619" s="79"/>
      <c r="L619" s="79"/>
      <c r="N619" s="102"/>
    </row>
    <row r="620">
      <c r="A620" s="17"/>
      <c r="C620" s="79"/>
      <c r="D620" s="79"/>
      <c r="E620" s="79"/>
      <c r="F620" s="79"/>
      <c r="G620" s="79"/>
      <c r="H620" s="79"/>
      <c r="I620" s="79"/>
      <c r="J620" s="79"/>
      <c r="K620" s="79"/>
      <c r="L620" s="79"/>
      <c r="N620" s="102"/>
    </row>
    <row r="621">
      <c r="A621" s="17"/>
      <c r="C621" s="79"/>
      <c r="D621" s="79"/>
      <c r="E621" s="79"/>
      <c r="F621" s="79"/>
      <c r="G621" s="79"/>
      <c r="H621" s="79"/>
      <c r="I621" s="79"/>
      <c r="J621" s="79"/>
      <c r="K621" s="79"/>
      <c r="L621" s="79"/>
      <c r="N621" s="102"/>
    </row>
    <row r="622">
      <c r="A622" s="17"/>
      <c r="C622" s="79"/>
      <c r="D622" s="79"/>
      <c r="E622" s="79"/>
      <c r="F622" s="79"/>
      <c r="G622" s="79"/>
      <c r="H622" s="79"/>
      <c r="I622" s="79"/>
      <c r="J622" s="79"/>
      <c r="K622" s="79"/>
      <c r="L622" s="79"/>
      <c r="N622" s="102"/>
    </row>
    <row r="623">
      <c r="A623" s="17"/>
      <c r="C623" s="79"/>
      <c r="D623" s="79"/>
      <c r="E623" s="79"/>
      <c r="F623" s="79"/>
      <c r="G623" s="79"/>
      <c r="H623" s="79"/>
      <c r="I623" s="79"/>
      <c r="J623" s="79"/>
      <c r="K623" s="79"/>
      <c r="L623" s="79"/>
      <c r="N623" s="102"/>
    </row>
    <row r="624">
      <c r="A624" s="17"/>
      <c r="C624" s="79"/>
      <c r="D624" s="79"/>
      <c r="E624" s="79"/>
      <c r="F624" s="79"/>
      <c r="G624" s="79"/>
      <c r="H624" s="79"/>
      <c r="I624" s="79"/>
      <c r="J624" s="79"/>
      <c r="K624" s="79"/>
      <c r="L624" s="79"/>
      <c r="N624" s="102"/>
    </row>
    <row r="625">
      <c r="A625" s="17"/>
      <c r="C625" s="79"/>
      <c r="D625" s="79"/>
      <c r="E625" s="79"/>
      <c r="F625" s="79"/>
      <c r="G625" s="79"/>
      <c r="H625" s="79"/>
      <c r="I625" s="79"/>
      <c r="J625" s="79"/>
      <c r="K625" s="79"/>
      <c r="L625" s="79"/>
      <c r="N625" s="102"/>
    </row>
    <row r="626">
      <c r="A626" s="17"/>
      <c r="C626" s="79"/>
      <c r="D626" s="79"/>
      <c r="E626" s="79"/>
      <c r="F626" s="79"/>
      <c r="G626" s="79"/>
      <c r="H626" s="79"/>
      <c r="I626" s="79"/>
      <c r="J626" s="79"/>
      <c r="K626" s="79"/>
      <c r="L626" s="79"/>
      <c r="N626" s="102"/>
    </row>
    <row r="627">
      <c r="A627" s="17"/>
      <c r="C627" s="79"/>
      <c r="D627" s="79"/>
      <c r="E627" s="79"/>
      <c r="F627" s="79"/>
      <c r="G627" s="79"/>
      <c r="H627" s="79"/>
      <c r="I627" s="79"/>
      <c r="J627" s="79"/>
      <c r="K627" s="79"/>
      <c r="L627" s="79"/>
      <c r="N627" s="102"/>
    </row>
    <row r="628">
      <c r="A628" s="17"/>
      <c r="C628" s="79"/>
      <c r="D628" s="79"/>
      <c r="E628" s="79"/>
      <c r="F628" s="79"/>
      <c r="G628" s="79"/>
      <c r="H628" s="79"/>
      <c r="I628" s="79"/>
      <c r="J628" s="79"/>
      <c r="K628" s="79"/>
      <c r="L628" s="79"/>
      <c r="N628" s="102"/>
    </row>
    <row r="629">
      <c r="A629" s="17"/>
      <c r="C629" s="79"/>
      <c r="D629" s="79"/>
      <c r="E629" s="79"/>
      <c r="F629" s="79"/>
      <c r="G629" s="79"/>
      <c r="H629" s="79"/>
      <c r="I629" s="79"/>
      <c r="J629" s="79"/>
      <c r="K629" s="79"/>
      <c r="L629" s="79"/>
      <c r="N629" s="102"/>
    </row>
    <row r="630">
      <c r="A630" s="17"/>
      <c r="C630" s="79"/>
      <c r="D630" s="79"/>
      <c r="E630" s="79"/>
      <c r="F630" s="79"/>
      <c r="G630" s="79"/>
      <c r="H630" s="79"/>
      <c r="I630" s="79"/>
      <c r="J630" s="79"/>
      <c r="K630" s="79"/>
      <c r="L630" s="79"/>
      <c r="N630" s="102"/>
    </row>
    <row r="631">
      <c r="A631" s="17"/>
      <c r="C631" s="79"/>
      <c r="D631" s="79"/>
      <c r="E631" s="79"/>
      <c r="F631" s="79"/>
      <c r="G631" s="79"/>
      <c r="H631" s="79"/>
      <c r="I631" s="79"/>
      <c r="J631" s="79"/>
      <c r="K631" s="79"/>
      <c r="L631" s="79"/>
      <c r="N631" s="102"/>
    </row>
    <row r="632">
      <c r="A632" s="17"/>
      <c r="C632" s="79"/>
      <c r="D632" s="79"/>
      <c r="E632" s="79"/>
      <c r="F632" s="79"/>
      <c r="G632" s="79"/>
      <c r="H632" s="79"/>
      <c r="I632" s="79"/>
      <c r="J632" s="79"/>
      <c r="K632" s="79"/>
      <c r="L632" s="79"/>
      <c r="N632" s="102"/>
    </row>
    <row r="633">
      <c r="A633" s="17"/>
      <c r="C633" s="79"/>
      <c r="D633" s="79"/>
      <c r="E633" s="79"/>
      <c r="F633" s="79"/>
      <c r="G633" s="79"/>
      <c r="H633" s="79"/>
      <c r="I633" s="79"/>
      <c r="J633" s="79"/>
      <c r="K633" s="79"/>
      <c r="L633" s="79"/>
      <c r="N633" s="102"/>
    </row>
    <row r="634">
      <c r="A634" s="17"/>
      <c r="C634" s="79"/>
      <c r="D634" s="79"/>
      <c r="E634" s="79"/>
      <c r="F634" s="79"/>
      <c r="G634" s="79"/>
      <c r="H634" s="79"/>
      <c r="I634" s="79"/>
      <c r="J634" s="79"/>
      <c r="K634" s="79"/>
      <c r="L634" s="79"/>
      <c r="N634" s="102"/>
    </row>
    <row r="635">
      <c r="A635" s="17"/>
      <c r="C635" s="79"/>
      <c r="D635" s="79"/>
      <c r="E635" s="79"/>
      <c r="F635" s="79"/>
      <c r="G635" s="79"/>
      <c r="H635" s="79"/>
      <c r="I635" s="79"/>
      <c r="J635" s="79"/>
      <c r="K635" s="79"/>
      <c r="L635" s="79"/>
      <c r="N635" s="102"/>
    </row>
    <row r="636">
      <c r="A636" s="17"/>
      <c r="C636" s="79"/>
      <c r="D636" s="79"/>
      <c r="E636" s="79"/>
      <c r="F636" s="79"/>
      <c r="G636" s="79"/>
      <c r="H636" s="79"/>
      <c r="I636" s="79"/>
      <c r="J636" s="79"/>
      <c r="K636" s="79"/>
      <c r="L636" s="79"/>
      <c r="N636" s="102"/>
    </row>
    <row r="637">
      <c r="A637" s="17"/>
      <c r="C637" s="79"/>
      <c r="D637" s="79"/>
      <c r="E637" s="79"/>
      <c r="F637" s="79"/>
      <c r="G637" s="79"/>
      <c r="H637" s="79"/>
      <c r="I637" s="79"/>
      <c r="J637" s="79"/>
      <c r="K637" s="79"/>
      <c r="L637" s="79"/>
      <c r="N637" s="102"/>
    </row>
    <row r="638">
      <c r="A638" s="17"/>
      <c r="C638" s="79"/>
      <c r="D638" s="79"/>
      <c r="E638" s="79"/>
      <c r="F638" s="79"/>
      <c r="G638" s="79"/>
      <c r="H638" s="79"/>
      <c r="I638" s="79"/>
      <c r="J638" s="79"/>
      <c r="K638" s="79"/>
      <c r="L638" s="79"/>
      <c r="N638" s="102"/>
    </row>
    <row r="639">
      <c r="A639" s="17"/>
      <c r="C639" s="79"/>
      <c r="D639" s="79"/>
      <c r="E639" s="79"/>
      <c r="F639" s="79"/>
      <c r="G639" s="79"/>
      <c r="H639" s="79"/>
      <c r="I639" s="79"/>
      <c r="J639" s="79"/>
      <c r="K639" s="79"/>
      <c r="L639" s="79"/>
      <c r="N639" s="102"/>
    </row>
    <row r="640">
      <c r="A640" s="17"/>
      <c r="C640" s="79"/>
      <c r="D640" s="79"/>
      <c r="E640" s="79"/>
      <c r="F640" s="79"/>
      <c r="G640" s="79"/>
      <c r="H640" s="79"/>
      <c r="I640" s="79"/>
      <c r="J640" s="79"/>
      <c r="K640" s="79"/>
      <c r="L640" s="79"/>
      <c r="N640" s="102"/>
    </row>
    <row r="641">
      <c r="A641" s="17"/>
      <c r="C641" s="79"/>
      <c r="D641" s="79"/>
      <c r="E641" s="79"/>
      <c r="F641" s="79"/>
      <c r="G641" s="79"/>
      <c r="H641" s="79"/>
      <c r="I641" s="79"/>
      <c r="J641" s="79"/>
      <c r="K641" s="79"/>
      <c r="L641" s="79"/>
      <c r="N641" s="102"/>
    </row>
    <row r="642">
      <c r="A642" s="17"/>
      <c r="C642" s="79"/>
      <c r="D642" s="79"/>
      <c r="E642" s="79"/>
      <c r="F642" s="79"/>
      <c r="G642" s="79"/>
      <c r="H642" s="79"/>
      <c r="I642" s="79"/>
      <c r="J642" s="79"/>
      <c r="K642" s="79"/>
      <c r="L642" s="79"/>
      <c r="N642" s="102"/>
    </row>
    <row r="643">
      <c r="A643" s="17"/>
      <c r="C643" s="79"/>
      <c r="D643" s="79"/>
      <c r="E643" s="79"/>
      <c r="F643" s="79"/>
      <c r="G643" s="79"/>
      <c r="H643" s="79"/>
      <c r="I643" s="79"/>
      <c r="J643" s="79"/>
      <c r="K643" s="79"/>
      <c r="L643" s="79"/>
      <c r="N643" s="102"/>
    </row>
    <row r="644">
      <c r="A644" s="17"/>
      <c r="C644" s="79"/>
      <c r="D644" s="79"/>
      <c r="E644" s="79"/>
      <c r="F644" s="79"/>
      <c r="G644" s="79"/>
      <c r="H644" s="79"/>
      <c r="I644" s="79"/>
      <c r="J644" s="79"/>
      <c r="K644" s="79"/>
      <c r="L644" s="79"/>
      <c r="N644" s="102"/>
    </row>
    <row r="645">
      <c r="A645" s="17"/>
      <c r="C645" s="79"/>
      <c r="D645" s="79"/>
      <c r="E645" s="79"/>
      <c r="F645" s="79"/>
      <c r="G645" s="79"/>
      <c r="H645" s="79"/>
      <c r="I645" s="79"/>
      <c r="J645" s="79"/>
      <c r="K645" s="79"/>
      <c r="L645" s="79"/>
      <c r="N645" s="102"/>
    </row>
    <row r="646">
      <c r="A646" s="17"/>
      <c r="C646" s="79"/>
      <c r="D646" s="79"/>
      <c r="E646" s="79"/>
      <c r="F646" s="79"/>
      <c r="G646" s="79"/>
      <c r="H646" s="79"/>
      <c r="I646" s="79"/>
      <c r="J646" s="79"/>
      <c r="K646" s="79"/>
      <c r="L646" s="79"/>
      <c r="N646" s="102"/>
    </row>
    <row r="647">
      <c r="A647" s="17"/>
      <c r="C647" s="79"/>
      <c r="D647" s="79"/>
      <c r="E647" s="79"/>
      <c r="F647" s="79"/>
      <c r="G647" s="79"/>
      <c r="H647" s="79"/>
      <c r="I647" s="79"/>
      <c r="J647" s="79"/>
      <c r="K647" s="79"/>
      <c r="L647" s="79"/>
      <c r="N647" s="102"/>
    </row>
    <row r="648">
      <c r="A648" s="17"/>
      <c r="C648" s="79"/>
      <c r="D648" s="79"/>
      <c r="E648" s="79"/>
      <c r="F648" s="79"/>
      <c r="G648" s="79"/>
      <c r="H648" s="79"/>
      <c r="I648" s="79"/>
      <c r="J648" s="79"/>
      <c r="K648" s="79"/>
      <c r="L648" s="79"/>
      <c r="N648" s="102"/>
    </row>
    <row r="649">
      <c r="A649" s="17"/>
      <c r="C649" s="79"/>
      <c r="D649" s="79"/>
      <c r="E649" s="79"/>
      <c r="F649" s="79"/>
      <c r="G649" s="79"/>
      <c r="H649" s="79"/>
      <c r="I649" s="79"/>
      <c r="J649" s="79"/>
      <c r="K649" s="79"/>
      <c r="L649" s="79"/>
      <c r="N649" s="102"/>
    </row>
    <row r="650">
      <c r="A650" s="17"/>
      <c r="C650" s="79"/>
      <c r="D650" s="79"/>
      <c r="E650" s="79"/>
      <c r="F650" s="79"/>
      <c r="G650" s="79"/>
      <c r="H650" s="79"/>
      <c r="I650" s="79"/>
      <c r="J650" s="79"/>
      <c r="K650" s="79"/>
      <c r="L650" s="79"/>
      <c r="N650" s="102"/>
    </row>
    <row r="651">
      <c r="A651" s="17"/>
      <c r="C651" s="79"/>
      <c r="D651" s="79"/>
      <c r="E651" s="79"/>
      <c r="F651" s="79"/>
      <c r="G651" s="79"/>
      <c r="H651" s="79"/>
      <c r="I651" s="79"/>
      <c r="J651" s="79"/>
      <c r="K651" s="79"/>
      <c r="L651" s="79"/>
      <c r="N651" s="102"/>
    </row>
    <row r="652">
      <c r="A652" s="17"/>
      <c r="C652" s="79"/>
      <c r="D652" s="79"/>
      <c r="E652" s="79"/>
      <c r="F652" s="79"/>
      <c r="G652" s="79"/>
      <c r="H652" s="79"/>
      <c r="I652" s="79"/>
      <c r="J652" s="79"/>
      <c r="K652" s="79"/>
      <c r="L652" s="79"/>
      <c r="N652" s="102"/>
    </row>
    <row r="653">
      <c r="A653" s="17"/>
      <c r="C653" s="79"/>
      <c r="D653" s="79"/>
      <c r="E653" s="79"/>
      <c r="F653" s="79"/>
      <c r="G653" s="79"/>
      <c r="H653" s="79"/>
      <c r="I653" s="79"/>
      <c r="J653" s="79"/>
      <c r="K653" s="79"/>
      <c r="L653" s="79"/>
      <c r="N653" s="102"/>
    </row>
    <row r="654">
      <c r="A654" s="17"/>
      <c r="C654" s="79"/>
      <c r="D654" s="79"/>
      <c r="E654" s="79"/>
      <c r="F654" s="79"/>
      <c r="G654" s="79"/>
      <c r="H654" s="79"/>
      <c r="I654" s="79"/>
      <c r="J654" s="79"/>
      <c r="K654" s="79"/>
      <c r="L654" s="79"/>
      <c r="N654" s="102"/>
    </row>
    <row r="655">
      <c r="A655" s="17"/>
      <c r="C655" s="79"/>
      <c r="D655" s="79"/>
      <c r="E655" s="79"/>
      <c r="F655" s="79"/>
      <c r="G655" s="79"/>
      <c r="H655" s="79"/>
      <c r="I655" s="79"/>
      <c r="J655" s="79"/>
      <c r="K655" s="79"/>
      <c r="L655" s="79"/>
      <c r="N655" s="102"/>
    </row>
    <row r="656">
      <c r="A656" s="17"/>
      <c r="C656" s="79"/>
      <c r="D656" s="79"/>
      <c r="E656" s="79"/>
      <c r="F656" s="79"/>
      <c r="G656" s="79"/>
      <c r="H656" s="79"/>
      <c r="I656" s="79"/>
      <c r="J656" s="79"/>
      <c r="K656" s="79"/>
      <c r="L656" s="79"/>
      <c r="N656" s="102"/>
    </row>
    <row r="657">
      <c r="A657" s="17"/>
      <c r="C657" s="79"/>
      <c r="D657" s="79"/>
      <c r="E657" s="79"/>
      <c r="F657" s="79"/>
      <c r="G657" s="79"/>
      <c r="H657" s="79"/>
      <c r="I657" s="79"/>
      <c r="J657" s="79"/>
      <c r="K657" s="79"/>
      <c r="L657" s="79"/>
      <c r="N657" s="102"/>
    </row>
    <row r="658">
      <c r="A658" s="17"/>
      <c r="C658" s="79"/>
      <c r="D658" s="79"/>
      <c r="E658" s="79"/>
      <c r="F658" s="79"/>
      <c r="G658" s="79"/>
      <c r="H658" s="79"/>
      <c r="I658" s="79"/>
      <c r="J658" s="79"/>
      <c r="K658" s="79"/>
      <c r="L658" s="79"/>
      <c r="N658" s="102"/>
    </row>
    <row r="659">
      <c r="A659" s="17"/>
      <c r="C659" s="79"/>
      <c r="D659" s="79"/>
      <c r="E659" s="79"/>
      <c r="F659" s="79"/>
      <c r="G659" s="79"/>
      <c r="H659" s="79"/>
      <c r="I659" s="79"/>
      <c r="J659" s="79"/>
      <c r="K659" s="79"/>
      <c r="L659" s="79"/>
      <c r="N659" s="102"/>
    </row>
    <row r="660">
      <c r="A660" s="17"/>
      <c r="C660" s="79"/>
      <c r="D660" s="79"/>
      <c r="E660" s="79"/>
      <c r="F660" s="79"/>
      <c r="G660" s="79"/>
      <c r="H660" s="79"/>
      <c r="I660" s="79"/>
      <c r="J660" s="79"/>
      <c r="K660" s="79"/>
      <c r="L660" s="79"/>
      <c r="N660" s="102"/>
    </row>
    <row r="661">
      <c r="A661" s="17"/>
      <c r="C661" s="79"/>
      <c r="D661" s="79"/>
      <c r="E661" s="79"/>
      <c r="F661" s="79"/>
      <c r="G661" s="79"/>
      <c r="H661" s="79"/>
      <c r="I661" s="79"/>
      <c r="J661" s="79"/>
      <c r="K661" s="79"/>
      <c r="L661" s="79"/>
      <c r="N661" s="102"/>
    </row>
    <row r="662">
      <c r="A662" s="17"/>
      <c r="C662" s="79"/>
      <c r="D662" s="79"/>
      <c r="E662" s="79"/>
      <c r="F662" s="79"/>
      <c r="G662" s="79"/>
      <c r="H662" s="79"/>
      <c r="I662" s="79"/>
      <c r="J662" s="79"/>
      <c r="K662" s="79"/>
      <c r="L662" s="79"/>
      <c r="N662" s="102"/>
    </row>
    <row r="663">
      <c r="A663" s="17"/>
      <c r="C663" s="79"/>
      <c r="D663" s="79"/>
      <c r="E663" s="79"/>
      <c r="F663" s="79"/>
      <c r="G663" s="79"/>
      <c r="H663" s="79"/>
      <c r="I663" s="79"/>
      <c r="J663" s="79"/>
      <c r="K663" s="79"/>
      <c r="L663" s="79"/>
      <c r="N663" s="102"/>
    </row>
    <row r="664">
      <c r="A664" s="17"/>
      <c r="C664" s="79"/>
      <c r="D664" s="79"/>
      <c r="E664" s="79"/>
      <c r="F664" s="79"/>
      <c r="G664" s="79"/>
      <c r="H664" s="79"/>
      <c r="I664" s="79"/>
      <c r="J664" s="79"/>
      <c r="K664" s="79"/>
      <c r="L664" s="79"/>
      <c r="N664" s="102"/>
    </row>
    <row r="665">
      <c r="A665" s="17"/>
      <c r="C665" s="79"/>
      <c r="D665" s="79"/>
      <c r="E665" s="79"/>
      <c r="F665" s="79"/>
      <c r="G665" s="79"/>
      <c r="H665" s="79"/>
      <c r="I665" s="79"/>
      <c r="J665" s="79"/>
      <c r="K665" s="79"/>
      <c r="L665" s="79"/>
      <c r="N665" s="102"/>
    </row>
    <row r="666">
      <c r="A666" s="17"/>
      <c r="C666" s="79"/>
      <c r="D666" s="79"/>
      <c r="E666" s="79"/>
      <c r="F666" s="79"/>
      <c r="G666" s="79"/>
      <c r="H666" s="79"/>
      <c r="I666" s="79"/>
      <c r="J666" s="79"/>
      <c r="K666" s="79"/>
      <c r="L666" s="79"/>
      <c r="N666" s="102"/>
    </row>
    <row r="667">
      <c r="A667" s="17"/>
      <c r="C667" s="79"/>
      <c r="D667" s="79"/>
      <c r="E667" s="79"/>
      <c r="F667" s="79"/>
      <c r="G667" s="79"/>
      <c r="H667" s="79"/>
      <c r="I667" s="79"/>
      <c r="J667" s="79"/>
      <c r="K667" s="79"/>
      <c r="L667" s="79"/>
      <c r="N667" s="102"/>
    </row>
    <row r="668">
      <c r="A668" s="17"/>
      <c r="C668" s="79"/>
      <c r="D668" s="79"/>
      <c r="E668" s="79"/>
      <c r="F668" s="79"/>
      <c r="G668" s="79"/>
      <c r="H668" s="79"/>
      <c r="I668" s="79"/>
      <c r="J668" s="79"/>
      <c r="K668" s="79"/>
      <c r="L668" s="79"/>
      <c r="N668" s="102"/>
    </row>
    <row r="669">
      <c r="A669" s="17"/>
      <c r="C669" s="79"/>
      <c r="D669" s="79"/>
      <c r="E669" s="79"/>
      <c r="F669" s="79"/>
      <c r="G669" s="79"/>
      <c r="H669" s="79"/>
      <c r="I669" s="79"/>
      <c r="J669" s="79"/>
      <c r="K669" s="79"/>
      <c r="L669" s="79"/>
      <c r="N669" s="102"/>
    </row>
    <row r="670">
      <c r="A670" s="17"/>
      <c r="C670" s="79"/>
      <c r="D670" s="79"/>
      <c r="E670" s="79"/>
      <c r="F670" s="79"/>
      <c r="G670" s="79"/>
      <c r="H670" s="79"/>
      <c r="I670" s="79"/>
      <c r="J670" s="79"/>
      <c r="K670" s="79"/>
      <c r="L670" s="79"/>
      <c r="N670" s="102"/>
    </row>
    <row r="671">
      <c r="A671" s="17"/>
      <c r="C671" s="79"/>
      <c r="D671" s="79"/>
      <c r="E671" s="79"/>
      <c r="F671" s="79"/>
      <c r="G671" s="79"/>
      <c r="H671" s="79"/>
      <c r="I671" s="79"/>
      <c r="J671" s="79"/>
      <c r="K671" s="79"/>
      <c r="L671" s="79"/>
      <c r="N671" s="102"/>
    </row>
    <row r="672">
      <c r="A672" s="17"/>
      <c r="C672" s="79"/>
      <c r="D672" s="79"/>
      <c r="E672" s="79"/>
      <c r="F672" s="79"/>
      <c r="G672" s="79"/>
      <c r="H672" s="79"/>
      <c r="I672" s="79"/>
      <c r="J672" s="79"/>
      <c r="K672" s="79"/>
      <c r="L672" s="79"/>
      <c r="N672" s="102"/>
    </row>
    <row r="673">
      <c r="A673" s="17"/>
      <c r="C673" s="79"/>
      <c r="D673" s="79"/>
      <c r="E673" s="79"/>
      <c r="F673" s="79"/>
      <c r="G673" s="79"/>
      <c r="H673" s="79"/>
      <c r="I673" s="79"/>
      <c r="J673" s="79"/>
      <c r="K673" s="79"/>
      <c r="L673" s="79"/>
      <c r="N673" s="102"/>
    </row>
    <row r="674">
      <c r="A674" s="17"/>
      <c r="C674" s="79"/>
      <c r="D674" s="79"/>
      <c r="E674" s="79"/>
      <c r="F674" s="79"/>
      <c r="G674" s="79"/>
      <c r="H674" s="79"/>
      <c r="I674" s="79"/>
      <c r="J674" s="79"/>
      <c r="K674" s="79"/>
      <c r="L674" s="79"/>
      <c r="N674" s="102"/>
    </row>
    <row r="675">
      <c r="A675" s="17"/>
      <c r="C675" s="79"/>
      <c r="D675" s="79"/>
      <c r="E675" s="79"/>
      <c r="F675" s="79"/>
      <c r="G675" s="79"/>
      <c r="H675" s="79"/>
      <c r="I675" s="79"/>
      <c r="J675" s="79"/>
      <c r="K675" s="79"/>
      <c r="L675" s="79"/>
      <c r="N675" s="102"/>
    </row>
    <row r="676">
      <c r="A676" s="17"/>
      <c r="C676" s="79"/>
      <c r="D676" s="79"/>
      <c r="E676" s="79"/>
      <c r="F676" s="79"/>
      <c r="G676" s="79"/>
      <c r="H676" s="79"/>
      <c r="I676" s="79"/>
      <c r="J676" s="79"/>
      <c r="K676" s="79"/>
      <c r="L676" s="79"/>
      <c r="N676" s="102"/>
    </row>
    <row r="677">
      <c r="A677" s="17"/>
      <c r="C677" s="79"/>
      <c r="D677" s="79"/>
      <c r="E677" s="79"/>
      <c r="F677" s="79"/>
      <c r="G677" s="79"/>
      <c r="H677" s="79"/>
      <c r="I677" s="79"/>
      <c r="J677" s="79"/>
      <c r="K677" s="79"/>
      <c r="L677" s="79"/>
      <c r="N677" s="102"/>
    </row>
    <row r="678">
      <c r="A678" s="17"/>
      <c r="C678" s="79"/>
      <c r="D678" s="79"/>
      <c r="E678" s="79"/>
      <c r="F678" s="79"/>
      <c r="G678" s="79"/>
      <c r="H678" s="79"/>
      <c r="I678" s="79"/>
      <c r="J678" s="79"/>
      <c r="K678" s="79"/>
      <c r="L678" s="79"/>
      <c r="N678" s="102"/>
    </row>
    <row r="679">
      <c r="A679" s="17"/>
      <c r="C679" s="79"/>
      <c r="D679" s="79"/>
      <c r="E679" s="79"/>
      <c r="F679" s="79"/>
      <c r="G679" s="79"/>
      <c r="H679" s="79"/>
      <c r="I679" s="79"/>
      <c r="J679" s="79"/>
      <c r="K679" s="79"/>
      <c r="L679" s="79"/>
      <c r="N679" s="102"/>
    </row>
    <row r="680">
      <c r="A680" s="17"/>
      <c r="C680" s="79"/>
      <c r="D680" s="79"/>
      <c r="E680" s="79"/>
      <c r="F680" s="79"/>
      <c r="G680" s="79"/>
      <c r="H680" s="79"/>
      <c r="I680" s="79"/>
      <c r="J680" s="79"/>
      <c r="K680" s="79"/>
      <c r="L680" s="79"/>
      <c r="N680" s="102"/>
    </row>
    <row r="681">
      <c r="A681" s="17"/>
      <c r="C681" s="79"/>
      <c r="D681" s="79"/>
      <c r="E681" s="79"/>
      <c r="F681" s="79"/>
      <c r="G681" s="79"/>
      <c r="H681" s="79"/>
      <c r="I681" s="79"/>
      <c r="J681" s="79"/>
      <c r="K681" s="79"/>
      <c r="L681" s="79"/>
      <c r="N681" s="102"/>
    </row>
    <row r="682">
      <c r="A682" s="17"/>
      <c r="C682" s="79"/>
      <c r="D682" s="79"/>
      <c r="E682" s="79"/>
      <c r="F682" s="79"/>
      <c r="G682" s="79"/>
      <c r="H682" s="79"/>
      <c r="I682" s="79"/>
      <c r="J682" s="79"/>
      <c r="K682" s="79"/>
      <c r="L682" s="79"/>
      <c r="N682" s="102"/>
    </row>
    <row r="683">
      <c r="A683" s="17"/>
      <c r="C683" s="79"/>
      <c r="D683" s="79"/>
      <c r="E683" s="79"/>
      <c r="F683" s="79"/>
      <c r="G683" s="79"/>
      <c r="H683" s="79"/>
      <c r="I683" s="79"/>
      <c r="J683" s="79"/>
      <c r="K683" s="79"/>
      <c r="L683" s="79"/>
      <c r="N683" s="102"/>
    </row>
    <row r="684">
      <c r="A684" s="17"/>
      <c r="C684" s="79"/>
      <c r="D684" s="79"/>
      <c r="E684" s="79"/>
      <c r="F684" s="79"/>
      <c r="G684" s="79"/>
      <c r="H684" s="79"/>
      <c r="I684" s="79"/>
      <c r="J684" s="79"/>
      <c r="K684" s="79"/>
      <c r="L684" s="79"/>
      <c r="N684" s="102"/>
    </row>
    <row r="685">
      <c r="A685" s="17"/>
      <c r="C685" s="79"/>
      <c r="D685" s="79"/>
      <c r="E685" s="79"/>
      <c r="F685" s="79"/>
      <c r="G685" s="79"/>
      <c r="H685" s="79"/>
      <c r="I685" s="79"/>
      <c r="J685" s="79"/>
      <c r="K685" s="79"/>
      <c r="L685" s="79"/>
      <c r="N685" s="102"/>
    </row>
    <row r="686">
      <c r="A686" s="17"/>
      <c r="C686" s="79"/>
      <c r="D686" s="79"/>
      <c r="E686" s="79"/>
      <c r="F686" s="79"/>
      <c r="G686" s="79"/>
      <c r="H686" s="79"/>
      <c r="I686" s="79"/>
      <c r="J686" s="79"/>
      <c r="K686" s="79"/>
      <c r="L686" s="79"/>
      <c r="N686" s="102"/>
    </row>
    <row r="687">
      <c r="A687" s="17"/>
      <c r="C687" s="79"/>
      <c r="D687" s="79"/>
      <c r="E687" s="79"/>
      <c r="F687" s="79"/>
      <c r="G687" s="79"/>
      <c r="H687" s="79"/>
      <c r="I687" s="79"/>
      <c r="J687" s="79"/>
      <c r="K687" s="79"/>
      <c r="L687" s="79"/>
      <c r="N687" s="102"/>
    </row>
    <row r="688">
      <c r="A688" s="17"/>
      <c r="C688" s="79"/>
      <c r="D688" s="79"/>
      <c r="E688" s="79"/>
      <c r="F688" s="79"/>
      <c r="G688" s="79"/>
      <c r="H688" s="79"/>
      <c r="I688" s="79"/>
      <c r="J688" s="79"/>
      <c r="K688" s="79"/>
      <c r="L688" s="79"/>
      <c r="N688" s="102"/>
    </row>
    <row r="689">
      <c r="A689" s="17"/>
      <c r="C689" s="79"/>
      <c r="D689" s="79"/>
      <c r="E689" s="79"/>
      <c r="F689" s="79"/>
      <c r="G689" s="79"/>
      <c r="H689" s="79"/>
      <c r="I689" s="79"/>
      <c r="J689" s="79"/>
      <c r="K689" s="79"/>
      <c r="L689" s="79"/>
      <c r="N689" s="102"/>
    </row>
    <row r="690">
      <c r="A690" s="17"/>
      <c r="C690" s="79"/>
      <c r="D690" s="79"/>
      <c r="E690" s="79"/>
      <c r="F690" s="79"/>
      <c r="G690" s="79"/>
      <c r="H690" s="79"/>
      <c r="I690" s="79"/>
      <c r="J690" s="79"/>
      <c r="K690" s="79"/>
      <c r="L690" s="79"/>
      <c r="N690" s="102"/>
    </row>
    <row r="691">
      <c r="A691" s="17"/>
      <c r="C691" s="79"/>
      <c r="D691" s="79"/>
      <c r="E691" s="79"/>
      <c r="F691" s="79"/>
      <c r="G691" s="79"/>
      <c r="H691" s="79"/>
      <c r="I691" s="79"/>
      <c r="J691" s="79"/>
      <c r="K691" s="79"/>
      <c r="L691" s="79"/>
      <c r="N691" s="102"/>
    </row>
    <row r="692">
      <c r="A692" s="17"/>
      <c r="C692" s="79"/>
      <c r="D692" s="79"/>
      <c r="E692" s="79"/>
      <c r="F692" s="79"/>
      <c r="G692" s="79"/>
      <c r="H692" s="79"/>
      <c r="I692" s="79"/>
      <c r="J692" s="79"/>
      <c r="K692" s="79"/>
      <c r="L692" s="79"/>
      <c r="N692" s="102"/>
    </row>
    <row r="693">
      <c r="A693" s="17"/>
      <c r="C693" s="79"/>
      <c r="D693" s="79"/>
      <c r="E693" s="79"/>
      <c r="F693" s="79"/>
      <c r="G693" s="79"/>
      <c r="H693" s="79"/>
      <c r="I693" s="79"/>
      <c r="J693" s="79"/>
      <c r="K693" s="79"/>
      <c r="L693" s="79"/>
      <c r="N693" s="102"/>
    </row>
    <row r="694">
      <c r="A694" s="17"/>
      <c r="C694" s="79"/>
      <c r="D694" s="79"/>
      <c r="E694" s="79"/>
      <c r="F694" s="79"/>
      <c r="G694" s="79"/>
      <c r="H694" s="79"/>
      <c r="I694" s="79"/>
      <c r="J694" s="79"/>
      <c r="K694" s="79"/>
      <c r="L694" s="79"/>
      <c r="N694" s="102"/>
    </row>
    <row r="695">
      <c r="A695" s="17"/>
      <c r="C695" s="79"/>
      <c r="D695" s="79"/>
      <c r="E695" s="79"/>
      <c r="F695" s="79"/>
      <c r="G695" s="79"/>
      <c r="H695" s="79"/>
      <c r="I695" s="79"/>
      <c r="J695" s="79"/>
      <c r="K695" s="79"/>
      <c r="L695" s="79"/>
      <c r="N695" s="102"/>
    </row>
    <row r="696">
      <c r="A696" s="17"/>
      <c r="C696" s="79"/>
      <c r="D696" s="79"/>
      <c r="E696" s="79"/>
      <c r="F696" s="79"/>
      <c r="G696" s="79"/>
      <c r="H696" s="79"/>
      <c r="I696" s="79"/>
      <c r="J696" s="79"/>
      <c r="K696" s="79"/>
      <c r="L696" s="79"/>
      <c r="N696" s="102"/>
    </row>
    <row r="697">
      <c r="A697" s="17"/>
      <c r="C697" s="79"/>
      <c r="D697" s="79"/>
      <c r="E697" s="79"/>
      <c r="F697" s="79"/>
      <c r="G697" s="79"/>
      <c r="H697" s="79"/>
      <c r="I697" s="79"/>
      <c r="J697" s="79"/>
      <c r="K697" s="79"/>
      <c r="L697" s="79"/>
      <c r="N697" s="102"/>
    </row>
    <row r="698">
      <c r="A698" s="17"/>
      <c r="C698" s="79"/>
      <c r="D698" s="79"/>
      <c r="E698" s="79"/>
      <c r="F698" s="79"/>
      <c r="G698" s="79"/>
      <c r="H698" s="79"/>
      <c r="I698" s="79"/>
      <c r="J698" s="79"/>
      <c r="K698" s="79"/>
      <c r="L698" s="79"/>
      <c r="N698" s="102"/>
    </row>
    <row r="699">
      <c r="A699" s="17"/>
      <c r="C699" s="79"/>
      <c r="D699" s="79"/>
      <c r="E699" s="79"/>
      <c r="F699" s="79"/>
      <c r="G699" s="79"/>
      <c r="H699" s="79"/>
      <c r="I699" s="79"/>
      <c r="J699" s="79"/>
      <c r="K699" s="79"/>
      <c r="L699" s="79"/>
      <c r="N699" s="102"/>
    </row>
    <row r="700">
      <c r="A700" s="17"/>
      <c r="C700" s="79"/>
      <c r="D700" s="79"/>
      <c r="E700" s="79"/>
      <c r="F700" s="79"/>
      <c r="G700" s="79"/>
      <c r="H700" s="79"/>
      <c r="I700" s="79"/>
      <c r="J700" s="79"/>
      <c r="K700" s="79"/>
      <c r="L700" s="79"/>
      <c r="N700" s="102"/>
    </row>
    <row r="701">
      <c r="A701" s="17"/>
      <c r="C701" s="79"/>
      <c r="D701" s="79"/>
      <c r="E701" s="79"/>
      <c r="F701" s="79"/>
      <c r="G701" s="79"/>
      <c r="H701" s="79"/>
      <c r="I701" s="79"/>
      <c r="J701" s="79"/>
      <c r="K701" s="79"/>
      <c r="L701" s="79"/>
      <c r="N701" s="102"/>
    </row>
    <row r="702">
      <c r="A702" s="17"/>
      <c r="C702" s="79"/>
      <c r="D702" s="79"/>
      <c r="E702" s="79"/>
      <c r="F702" s="79"/>
      <c r="G702" s="79"/>
      <c r="H702" s="79"/>
      <c r="I702" s="79"/>
      <c r="J702" s="79"/>
      <c r="K702" s="79"/>
      <c r="L702" s="79"/>
      <c r="N702" s="102"/>
    </row>
    <row r="703">
      <c r="A703" s="17"/>
      <c r="C703" s="79"/>
      <c r="D703" s="79"/>
      <c r="E703" s="79"/>
      <c r="F703" s="79"/>
      <c r="G703" s="79"/>
      <c r="H703" s="79"/>
      <c r="I703" s="79"/>
      <c r="J703" s="79"/>
      <c r="K703" s="79"/>
      <c r="L703" s="79"/>
      <c r="N703" s="102"/>
    </row>
    <row r="704">
      <c r="A704" s="17"/>
      <c r="C704" s="79"/>
      <c r="D704" s="79"/>
      <c r="E704" s="79"/>
      <c r="F704" s="79"/>
      <c r="G704" s="79"/>
      <c r="H704" s="79"/>
      <c r="I704" s="79"/>
      <c r="J704" s="79"/>
      <c r="K704" s="79"/>
      <c r="L704" s="79"/>
      <c r="N704" s="102"/>
    </row>
    <row r="705">
      <c r="A705" s="17"/>
      <c r="C705" s="79"/>
      <c r="D705" s="79"/>
      <c r="E705" s="79"/>
      <c r="F705" s="79"/>
      <c r="G705" s="79"/>
      <c r="H705" s="79"/>
      <c r="I705" s="79"/>
      <c r="J705" s="79"/>
      <c r="K705" s="79"/>
      <c r="L705" s="79"/>
      <c r="N705" s="102"/>
    </row>
    <row r="706">
      <c r="A706" s="17"/>
      <c r="C706" s="79"/>
      <c r="D706" s="79"/>
      <c r="E706" s="79"/>
      <c r="F706" s="79"/>
      <c r="G706" s="79"/>
      <c r="H706" s="79"/>
      <c r="I706" s="79"/>
      <c r="J706" s="79"/>
      <c r="K706" s="79"/>
      <c r="L706" s="79"/>
      <c r="N706" s="102"/>
    </row>
    <row r="707">
      <c r="A707" s="17"/>
      <c r="C707" s="79"/>
      <c r="D707" s="79"/>
      <c r="E707" s="79"/>
      <c r="F707" s="79"/>
      <c r="G707" s="79"/>
      <c r="H707" s="79"/>
      <c r="I707" s="79"/>
      <c r="J707" s="79"/>
      <c r="K707" s="79"/>
      <c r="L707" s="79"/>
      <c r="N707" s="102"/>
    </row>
    <row r="708">
      <c r="A708" s="17"/>
      <c r="C708" s="79"/>
      <c r="D708" s="79"/>
      <c r="E708" s="79"/>
      <c r="F708" s="79"/>
      <c r="G708" s="79"/>
      <c r="H708" s="79"/>
      <c r="I708" s="79"/>
      <c r="J708" s="79"/>
      <c r="K708" s="79"/>
      <c r="L708" s="79"/>
      <c r="N708" s="102"/>
    </row>
    <row r="709">
      <c r="A709" s="17"/>
      <c r="C709" s="79"/>
      <c r="D709" s="79"/>
      <c r="E709" s="79"/>
      <c r="F709" s="79"/>
      <c r="G709" s="79"/>
      <c r="H709" s="79"/>
      <c r="I709" s="79"/>
      <c r="J709" s="79"/>
      <c r="K709" s="79"/>
      <c r="L709" s="79"/>
      <c r="N709" s="102"/>
    </row>
    <row r="710">
      <c r="A710" s="17"/>
      <c r="C710" s="79"/>
      <c r="D710" s="79"/>
      <c r="E710" s="79"/>
      <c r="F710" s="79"/>
      <c r="G710" s="79"/>
      <c r="H710" s="79"/>
      <c r="I710" s="79"/>
      <c r="J710" s="79"/>
      <c r="K710" s="79"/>
      <c r="L710" s="79"/>
      <c r="N710" s="102"/>
    </row>
    <row r="711">
      <c r="A711" s="17"/>
      <c r="C711" s="79"/>
      <c r="D711" s="79"/>
      <c r="E711" s="79"/>
      <c r="F711" s="79"/>
      <c r="G711" s="79"/>
      <c r="H711" s="79"/>
      <c r="I711" s="79"/>
      <c r="J711" s="79"/>
      <c r="K711" s="79"/>
      <c r="L711" s="79"/>
      <c r="N711" s="102"/>
    </row>
    <row r="712">
      <c r="A712" s="17"/>
      <c r="C712" s="79"/>
      <c r="D712" s="79"/>
      <c r="E712" s="79"/>
      <c r="F712" s="79"/>
      <c r="G712" s="79"/>
      <c r="H712" s="79"/>
      <c r="I712" s="79"/>
      <c r="J712" s="79"/>
      <c r="K712" s="79"/>
      <c r="L712" s="79"/>
      <c r="N712" s="102"/>
    </row>
    <row r="713">
      <c r="A713" s="17"/>
      <c r="C713" s="79"/>
      <c r="D713" s="79"/>
      <c r="E713" s="79"/>
      <c r="F713" s="79"/>
      <c r="G713" s="79"/>
      <c r="H713" s="79"/>
      <c r="I713" s="79"/>
      <c r="J713" s="79"/>
      <c r="K713" s="79"/>
      <c r="L713" s="79"/>
      <c r="N713" s="102"/>
    </row>
    <row r="714">
      <c r="A714" s="17"/>
      <c r="C714" s="79"/>
      <c r="D714" s="79"/>
      <c r="E714" s="79"/>
      <c r="F714" s="79"/>
      <c r="G714" s="79"/>
      <c r="H714" s="79"/>
      <c r="I714" s="79"/>
      <c r="J714" s="79"/>
      <c r="K714" s="79"/>
      <c r="L714" s="79"/>
      <c r="N714" s="102"/>
    </row>
    <row r="715">
      <c r="A715" s="17"/>
      <c r="C715" s="79"/>
      <c r="D715" s="79"/>
      <c r="E715" s="79"/>
      <c r="F715" s="79"/>
      <c r="G715" s="79"/>
      <c r="H715" s="79"/>
      <c r="I715" s="79"/>
      <c r="J715" s="79"/>
      <c r="K715" s="79"/>
      <c r="L715" s="79"/>
      <c r="N715" s="102"/>
    </row>
    <row r="716">
      <c r="A716" s="17"/>
      <c r="C716" s="79"/>
      <c r="D716" s="79"/>
      <c r="E716" s="79"/>
      <c r="F716" s="79"/>
      <c r="G716" s="79"/>
      <c r="H716" s="79"/>
      <c r="I716" s="79"/>
      <c r="J716" s="79"/>
      <c r="K716" s="79"/>
      <c r="L716" s="79"/>
      <c r="N716" s="102"/>
    </row>
    <row r="717">
      <c r="A717" s="17"/>
      <c r="C717" s="79"/>
      <c r="D717" s="79"/>
      <c r="E717" s="79"/>
      <c r="F717" s="79"/>
      <c r="G717" s="79"/>
      <c r="H717" s="79"/>
      <c r="I717" s="79"/>
      <c r="J717" s="79"/>
      <c r="K717" s="79"/>
      <c r="L717" s="79"/>
      <c r="N717" s="102"/>
    </row>
    <row r="718">
      <c r="A718" s="17"/>
      <c r="C718" s="79"/>
      <c r="D718" s="79"/>
      <c r="E718" s="79"/>
      <c r="F718" s="79"/>
      <c r="G718" s="79"/>
      <c r="H718" s="79"/>
      <c r="I718" s="79"/>
      <c r="J718" s="79"/>
      <c r="K718" s="79"/>
      <c r="L718" s="79"/>
      <c r="N718" s="102"/>
    </row>
    <row r="719">
      <c r="A719" s="17"/>
      <c r="C719" s="79"/>
      <c r="D719" s="79"/>
      <c r="E719" s="79"/>
      <c r="F719" s="79"/>
      <c r="G719" s="79"/>
      <c r="H719" s="79"/>
      <c r="I719" s="79"/>
      <c r="J719" s="79"/>
      <c r="K719" s="79"/>
      <c r="L719" s="79"/>
      <c r="N719" s="102"/>
    </row>
    <row r="720">
      <c r="A720" s="17"/>
      <c r="C720" s="79"/>
      <c r="D720" s="79"/>
      <c r="E720" s="79"/>
      <c r="F720" s="79"/>
      <c r="G720" s="79"/>
      <c r="H720" s="79"/>
      <c r="I720" s="79"/>
      <c r="J720" s="79"/>
      <c r="K720" s="79"/>
      <c r="L720" s="79"/>
      <c r="N720" s="102"/>
    </row>
    <row r="721">
      <c r="A721" s="17"/>
      <c r="C721" s="79"/>
      <c r="D721" s="79"/>
      <c r="E721" s="79"/>
      <c r="F721" s="79"/>
      <c r="G721" s="79"/>
      <c r="H721" s="79"/>
      <c r="I721" s="79"/>
      <c r="J721" s="79"/>
      <c r="K721" s="79"/>
      <c r="L721" s="79"/>
      <c r="N721" s="102"/>
    </row>
    <row r="722">
      <c r="A722" s="17"/>
      <c r="C722" s="79"/>
      <c r="D722" s="79"/>
      <c r="E722" s="79"/>
      <c r="F722" s="79"/>
      <c r="G722" s="79"/>
      <c r="H722" s="79"/>
      <c r="I722" s="79"/>
      <c r="J722" s="79"/>
      <c r="K722" s="79"/>
      <c r="L722" s="79"/>
      <c r="N722" s="102"/>
    </row>
    <row r="723">
      <c r="A723" s="17"/>
      <c r="C723" s="79"/>
      <c r="D723" s="79"/>
      <c r="E723" s="79"/>
      <c r="F723" s="79"/>
      <c r="G723" s="79"/>
      <c r="H723" s="79"/>
      <c r="I723" s="79"/>
      <c r="J723" s="79"/>
      <c r="K723" s="79"/>
      <c r="L723" s="79"/>
      <c r="N723" s="102"/>
    </row>
    <row r="724">
      <c r="A724" s="17"/>
      <c r="C724" s="79"/>
      <c r="D724" s="79"/>
      <c r="E724" s="79"/>
      <c r="F724" s="79"/>
      <c r="G724" s="79"/>
      <c r="H724" s="79"/>
      <c r="I724" s="79"/>
      <c r="J724" s="79"/>
      <c r="K724" s="79"/>
      <c r="L724" s="79"/>
      <c r="N724" s="102"/>
    </row>
    <row r="725">
      <c r="A725" s="17"/>
      <c r="C725" s="79"/>
      <c r="D725" s="79"/>
      <c r="E725" s="79"/>
      <c r="F725" s="79"/>
      <c r="G725" s="79"/>
      <c r="H725" s="79"/>
      <c r="I725" s="79"/>
      <c r="J725" s="79"/>
      <c r="K725" s="79"/>
      <c r="L725" s="79"/>
      <c r="N725" s="102"/>
    </row>
    <row r="726">
      <c r="A726" s="17"/>
      <c r="C726" s="79"/>
      <c r="D726" s="79"/>
      <c r="E726" s="79"/>
      <c r="F726" s="79"/>
      <c r="G726" s="79"/>
      <c r="H726" s="79"/>
      <c r="I726" s="79"/>
      <c r="J726" s="79"/>
      <c r="K726" s="79"/>
      <c r="L726" s="79"/>
      <c r="N726" s="102"/>
    </row>
    <row r="727">
      <c r="A727" s="17"/>
      <c r="C727" s="79"/>
      <c r="D727" s="79"/>
      <c r="E727" s="79"/>
      <c r="F727" s="79"/>
      <c r="G727" s="79"/>
      <c r="H727" s="79"/>
      <c r="I727" s="79"/>
      <c r="J727" s="79"/>
      <c r="K727" s="79"/>
      <c r="L727" s="79"/>
      <c r="N727" s="102"/>
    </row>
    <row r="728">
      <c r="A728" s="17"/>
      <c r="C728" s="79"/>
      <c r="D728" s="79"/>
      <c r="E728" s="79"/>
      <c r="F728" s="79"/>
      <c r="G728" s="79"/>
      <c r="H728" s="79"/>
      <c r="I728" s="79"/>
      <c r="J728" s="79"/>
      <c r="K728" s="79"/>
      <c r="L728" s="79"/>
      <c r="N728" s="102"/>
    </row>
    <row r="729">
      <c r="A729" s="17"/>
      <c r="C729" s="79"/>
      <c r="D729" s="79"/>
      <c r="E729" s="79"/>
      <c r="F729" s="79"/>
      <c r="G729" s="79"/>
      <c r="H729" s="79"/>
      <c r="I729" s="79"/>
      <c r="J729" s="79"/>
      <c r="K729" s="79"/>
      <c r="L729" s="79"/>
      <c r="N729" s="102"/>
    </row>
    <row r="730">
      <c r="A730" s="17"/>
      <c r="C730" s="79"/>
      <c r="D730" s="79"/>
      <c r="E730" s="79"/>
      <c r="F730" s="79"/>
      <c r="G730" s="79"/>
      <c r="H730" s="79"/>
      <c r="I730" s="79"/>
      <c r="J730" s="79"/>
      <c r="K730" s="79"/>
      <c r="L730" s="79"/>
      <c r="N730" s="102"/>
    </row>
    <row r="731">
      <c r="A731" s="17"/>
      <c r="C731" s="79"/>
      <c r="D731" s="79"/>
      <c r="E731" s="79"/>
      <c r="F731" s="79"/>
      <c r="G731" s="79"/>
      <c r="H731" s="79"/>
      <c r="I731" s="79"/>
      <c r="J731" s="79"/>
      <c r="K731" s="79"/>
      <c r="L731" s="79"/>
      <c r="N731" s="102"/>
    </row>
    <row r="732">
      <c r="A732" s="17"/>
      <c r="C732" s="79"/>
      <c r="D732" s="79"/>
      <c r="E732" s="79"/>
      <c r="F732" s="79"/>
      <c r="G732" s="79"/>
      <c r="H732" s="79"/>
      <c r="I732" s="79"/>
      <c r="J732" s="79"/>
      <c r="K732" s="79"/>
      <c r="L732" s="79"/>
      <c r="N732" s="102"/>
    </row>
    <row r="733">
      <c r="A733" s="17"/>
      <c r="C733" s="79"/>
      <c r="D733" s="79"/>
      <c r="E733" s="79"/>
      <c r="F733" s="79"/>
      <c r="G733" s="79"/>
      <c r="H733" s="79"/>
      <c r="I733" s="79"/>
      <c r="J733" s="79"/>
      <c r="K733" s="79"/>
      <c r="L733" s="79"/>
      <c r="N733" s="102"/>
    </row>
    <row r="734">
      <c r="A734" s="17"/>
      <c r="C734" s="79"/>
      <c r="D734" s="79"/>
      <c r="E734" s="79"/>
      <c r="F734" s="79"/>
      <c r="G734" s="79"/>
      <c r="H734" s="79"/>
      <c r="I734" s="79"/>
      <c r="J734" s="79"/>
      <c r="K734" s="79"/>
      <c r="L734" s="79"/>
      <c r="N734" s="102"/>
    </row>
    <row r="735">
      <c r="A735" s="17"/>
      <c r="C735" s="79"/>
      <c r="D735" s="79"/>
      <c r="E735" s="79"/>
      <c r="F735" s="79"/>
      <c r="G735" s="79"/>
      <c r="H735" s="79"/>
      <c r="I735" s="79"/>
      <c r="J735" s="79"/>
      <c r="K735" s="79"/>
      <c r="L735" s="79"/>
      <c r="N735" s="102"/>
    </row>
    <row r="736">
      <c r="A736" s="17"/>
      <c r="C736" s="79"/>
      <c r="D736" s="79"/>
      <c r="E736" s="79"/>
      <c r="F736" s="79"/>
      <c r="G736" s="79"/>
      <c r="H736" s="79"/>
      <c r="I736" s="79"/>
      <c r="J736" s="79"/>
      <c r="K736" s="79"/>
      <c r="L736" s="79"/>
      <c r="N736" s="102"/>
    </row>
    <row r="737">
      <c r="A737" s="17"/>
      <c r="C737" s="79"/>
      <c r="D737" s="79"/>
      <c r="E737" s="79"/>
      <c r="F737" s="79"/>
      <c r="G737" s="79"/>
      <c r="H737" s="79"/>
      <c r="I737" s="79"/>
      <c r="J737" s="79"/>
      <c r="K737" s="79"/>
      <c r="L737" s="79"/>
      <c r="N737" s="102"/>
    </row>
    <row r="738">
      <c r="A738" s="17"/>
      <c r="C738" s="79"/>
      <c r="D738" s="79"/>
      <c r="E738" s="79"/>
      <c r="F738" s="79"/>
      <c r="G738" s="79"/>
      <c r="H738" s="79"/>
      <c r="I738" s="79"/>
      <c r="J738" s="79"/>
      <c r="K738" s="79"/>
      <c r="L738" s="79"/>
      <c r="N738" s="102"/>
    </row>
    <row r="739">
      <c r="A739" s="17"/>
      <c r="C739" s="79"/>
      <c r="D739" s="79"/>
      <c r="E739" s="79"/>
      <c r="F739" s="79"/>
      <c r="G739" s="79"/>
      <c r="H739" s="79"/>
      <c r="I739" s="79"/>
      <c r="J739" s="79"/>
      <c r="K739" s="79"/>
      <c r="L739" s="79"/>
      <c r="N739" s="102"/>
    </row>
    <row r="740">
      <c r="A740" s="17"/>
      <c r="C740" s="79"/>
      <c r="D740" s="79"/>
      <c r="E740" s="79"/>
      <c r="F740" s="79"/>
      <c r="G740" s="79"/>
      <c r="H740" s="79"/>
      <c r="I740" s="79"/>
      <c r="J740" s="79"/>
      <c r="K740" s="79"/>
      <c r="L740" s="79"/>
      <c r="N740" s="102"/>
    </row>
    <row r="741">
      <c r="A741" s="17"/>
      <c r="C741" s="79"/>
      <c r="D741" s="79"/>
      <c r="E741" s="79"/>
      <c r="F741" s="79"/>
      <c r="G741" s="79"/>
      <c r="H741" s="79"/>
      <c r="I741" s="79"/>
      <c r="J741" s="79"/>
      <c r="K741" s="79"/>
      <c r="L741" s="79"/>
      <c r="N741" s="102"/>
    </row>
    <row r="742">
      <c r="A742" s="17"/>
      <c r="C742" s="79"/>
      <c r="D742" s="79"/>
      <c r="E742" s="79"/>
      <c r="F742" s="79"/>
      <c r="G742" s="79"/>
      <c r="H742" s="79"/>
      <c r="I742" s="79"/>
      <c r="J742" s="79"/>
      <c r="K742" s="79"/>
      <c r="L742" s="79"/>
      <c r="N742" s="102"/>
    </row>
    <row r="743">
      <c r="A743" s="17"/>
      <c r="C743" s="79"/>
      <c r="D743" s="79"/>
      <c r="E743" s="79"/>
      <c r="F743" s="79"/>
      <c r="G743" s="79"/>
      <c r="H743" s="79"/>
      <c r="I743" s="79"/>
      <c r="J743" s="79"/>
      <c r="K743" s="79"/>
      <c r="L743" s="79"/>
      <c r="N743" s="102"/>
    </row>
    <row r="744">
      <c r="A744" s="17"/>
      <c r="C744" s="79"/>
      <c r="D744" s="79"/>
      <c r="E744" s="79"/>
      <c r="F744" s="79"/>
      <c r="G744" s="79"/>
      <c r="H744" s="79"/>
      <c r="I744" s="79"/>
      <c r="J744" s="79"/>
      <c r="K744" s="79"/>
      <c r="L744" s="79"/>
      <c r="N744" s="102"/>
    </row>
    <row r="745">
      <c r="A745" s="17"/>
      <c r="C745" s="79"/>
      <c r="D745" s="79"/>
      <c r="E745" s="79"/>
      <c r="F745" s="79"/>
      <c r="G745" s="79"/>
      <c r="H745" s="79"/>
      <c r="I745" s="79"/>
      <c r="J745" s="79"/>
      <c r="K745" s="79"/>
      <c r="L745" s="79"/>
      <c r="N745" s="102"/>
    </row>
    <row r="746">
      <c r="A746" s="17"/>
      <c r="C746" s="79"/>
      <c r="D746" s="79"/>
      <c r="E746" s="79"/>
      <c r="F746" s="79"/>
      <c r="G746" s="79"/>
      <c r="H746" s="79"/>
      <c r="I746" s="79"/>
      <c r="J746" s="79"/>
      <c r="K746" s="79"/>
      <c r="L746" s="79"/>
      <c r="N746" s="102"/>
    </row>
    <row r="747">
      <c r="A747" s="17"/>
      <c r="C747" s="79"/>
      <c r="D747" s="79"/>
      <c r="E747" s="79"/>
      <c r="F747" s="79"/>
      <c r="G747" s="79"/>
      <c r="H747" s="79"/>
      <c r="I747" s="79"/>
      <c r="J747" s="79"/>
      <c r="K747" s="79"/>
      <c r="L747" s="79"/>
      <c r="N747" s="102"/>
    </row>
    <row r="748">
      <c r="A748" s="17"/>
      <c r="C748" s="79"/>
      <c r="D748" s="79"/>
      <c r="E748" s="79"/>
      <c r="F748" s="79"/>
      <c r="G748" s="79"/>
      <c r="H748" s="79"/>
      <c r="I748" s="79"/>
      <c r="J748" s="79"/>
      <c r="K748" s="79"/>
      <c r="L748" s="79"/>
      <c r="N748" s="102"/>
    </row>
    <row r="749">
      <c r="A749" s="17"/>
      <c r="C749" s="79"/>
      <c r="D749" s="79"/>
      <c r="E749" s="79"/>
      <c r="F749" s="79"/>
      <c r="G749" s="79"/>
      <c r="H749" s="79"/>
      <c r="I749" s="79"/>
      <c r="J749" s="79"/>
      <c r="K749" s="79"/>
      <c r="L749" s="79"/>
      <c r="N749" s="102"/>
    </row>
    <row r="750">
      <c r="A750" s="17"/>
      <c r="C750" s="79"/>
      <c r="D750" s="79"/>
      <c r="E750" s="79"/>
      <c r="F750" s="79"/>
      <c r="G750" s="79"/>
      <c r="H750" s="79"/>
      <c r="I750" s="79"/>
      <c r="J750" s="79"/>
      <c r="K750" s="79"/>
      <c r="L750" s="79"/>
      <c r="N750" s="102"/>
    </row>
    <row r="751">
      <c r="A751" s="17"/>
      <c r="C751" s="79"/>
      <c r="D751" s="79"/>
      <c r="E751" s="79"/>
      <c r="F751" s="79"/>
      <c r="G751" s="79"/>
      <c r="H751" s="79"/>
      <c r="I751" s="79"/>
      <c r="J751" s="79"/>
      <c r="K751" s="79"/>
      <c r="L751" s="79"/>
      <c r="N751" s="102"/>
    </row>
    <row r="752">
      <c r="A752" s="17"/>
      <c r="C752" s="79"/>
      <c r="D752" s="79"/>
      <c r="E752" s="79"/>
      <c r="F752" s="79"/>
      <c r="G752" s="79"/>
      <c r="H752" s="79"/>
      <c r="I752" s="79"/>
      <c r="J752" s="79"/>
      <c r="K752" s="79"/>
      <c r="L752" s="79"/>
      <c r="N752" s="102"/>
    </row>
    <row r="753">
      <c r="A753" s="17"/>
      <c r="C753" s="79"/>
      <c r="D753" s="79"/>
      <c r="E753" s="79"/>
      <c r="F753" s="79"/>
      <c r="G753" s="79"/>
      <c r="H753" s="79"/>
      <c r="I753" s="79"/>
      <c r="J753" s="79"/>
      <c r="K753" s="79"/>
      <c r="L753" s="79"/>
      <c r="N753" s="102"/>
    </row>
    <row r="754">
      <c r="A754" s="17"/>
      <c r="C754" s="79"/>
      <c r="D754" s="79"/>
      <c r="E754" s="79"/>
      <c r="F754" s="79"/>
      <c r="G754" s="79"/>
      <c r="H754" s="79"/>
      <c r="I754" s="79"/>
      <c r="J754" s="79"/>
      <c r="K754" s="79"/>
      <c r="L754" s="79"/>
      <c r="N754" s="102"/>
    </row>
    <row r="755">
      <c r="A755" s="17"/>
      <c r="C755" s="79"/>
      <c r="D755" s="79"/>
      <c r="E755" s="79"/>
      <c r="F755" s="79"/>
      <c r="G755" s="79"/>
      <c r="H755" s="79"/>
      <c r="I755" s="79"/>
      <c r="J755" s="79"/>
      <c r="K755" s="79"/>
      <c r="L755" s="79"/>
      <c r="N755" s="102"/>
    </row>
    <row r="756">
      <c r="A756" s="17"/>
      <c r="C756" s="79"/>
      <c r="D756" s="79"/>
      <c r="E756" s="79"/>
      <c r="F756" s="79"/>
      <c r="G756" s="79"/>
      <c r="H756" s="79"/>
      <c r="I756" s="79"/>
      <c r="J756" s="79"/>
      <c r="K756" s="79"/>
      <c r="L756" s="79"/>
      <c r="N756" s="102"/>
    </row>
    <row r="757">
      <c r="A757" s="17"/>
      <c r="C757" s="79"/>
      <c r="D757" s="79"/>
      <c r="E757" s="79"/>
      <c r="F757" s="79"/>
      <c r="G757" s="79"/>
      <c r="H757" s="79"/>
      <c r="I757" s="79"/>
      <c r="J757" s="79"/>
      <c r="K757" s="79"/>
      <c r="L757" s="79"/>
      <c r="N757" s="102"/>
    </row>
    <row r="758">
      <c r="A758" s="17"/>
      <c r="C758" s="79"/>
      <c r="D758" s="79"/>
      <c r="E758" s="79"/>
      <c r="F758" s="79"/>
      <c r="G758" s="79"/>
      <c r="H758" s="79"/>
      <c r="I758" s="79"/>
      <c r="J758" s="79"/>
      <c r="K758" s="79"/>
      <c r="L758" s="79"/>
      <c r="N758" s="102"/>
    </row>
    <row r="759">
      <c r="A759" s="17"/>
      <c r="C759" s="79"/>
      <c r="D759" s="79"/>
      <c r="E759" s="79"/>
      <c r="F759" s="79"/>
      <c r="G759" s="79"/>
      <c r="H759" s="79"/>
      <c r="I759" s="79"/>
      <c r="J759" s="79"/>
      <c r="K759" s="79"/>
      <c r="L759" s="79"/>
      <c r="N759" s="102"/>
    </row>
    <row r="760">
      <c r="A760" s="17"/>
      <c r="C760" s="79"/>
      <c r="D760" s="79"/>
      <c r="E760" s="79"/>
      <c r="F760" s="79"/>
      <c r="G760" s="79"/>
      <c r="H760" s="79"/>
      <c r="I760" s="79"/>
      <c r="J760" s="79"/>
      <c r="K760" s="79"/>
      <c r="L760" s="79"/>
      <c r="N760" s="102"/>
    </row>
    <row r="761">
      <c r="A761" s="17"/>
      <c r="C761" s="79"/>
      <c r="D761" s="79"/>
      <c r="E761" s="79"/>
      <c r="F761" s="79"/>
      <c r="G761" s="79"/>
      <c r="H761" s="79"/>
      <c r="I761" s="79"/>
      <c r="J761" s="79"/>
      <c r="K761" s="79"/>
      <c r="L761" s="79"/>
      <c r="N761" s="102"/>
    </row>
    <row r="762">
      <c r="A762" s="17"/>
      <c r="C762" s="79"/>
      <c r="D762" s="79"/>
      <c r="E762" s="79"/>
      <c r="F762" s="79"/>
      <c r="G762" s="79"/>
      <c r="H762" s="79"/>
      <c r="I762" s="79"/>
      <c r="J762" s="79"/>
      <c r="K762" s="79"/>
      <c r="L762" s="79"/>
      <c r="N762" s="102"/>
    </row>
    <row r="763">
      <c r="A763" s="17"/>
      <c r="C763" s="79"/>
      <c r="D763" s="79"/>
      <c r="E763" s="79"/>
      <c r="F763" s="79"/>
      <c r="G763" s="79"/>
      <c r="H763" s="79"/>
      <c r="I763" s="79"/>
      <c r="J763" s="79"/>
      <c r="K763" s="79"/>
      <c r="L763" s="79"/>
      <c r="N763" s="102"/>
    </row>
    <row r="764">
      <c r="A764" s="17"/>
      <c r="C764" s="79"/>
      <c r="D764" s="79"/>
      <c r="E764" s="79"/>
      <c r="F764" s="79"/>
      <c r="G764" s="79"/>
      <c r="H764" s="79"/>
      <c r="I764" s="79"/>
      <c r="J764" s="79"/>
      <c r="K764" s="79"/>
      <c r="L764" s="79"/>
      <c r="N764" s="102"/>
    </row>
    <row r="765">
      <c r="A765" s="17"/>
      <c r="C765" s="79"/>
      <c r="D765" s="79"/>
      <c r="E765" s="79"/>
      <c r="F765" s="79"/>
      <c r="G765" s="79"/>
      <c r="H765" s="79"/>
      <c r="I765" s="79"/>
      <c r="J765" s="79"/>
      <c r="K765" s="79"/>
      <c r="L765" s="79"/>
      <c r="N765" s="102"/>
    </row>
    <row r="766">
      <c r="A766" s="17"/>
      <c r="C766" s="79"/>
      <c r="D766" s="79"/>
      <c r="E766" s="79"/>
      <c r="F766" s="79"/>
      <c r="G766" s="79"/>
      <c r="H766" s="79"/>
      <c r="I766" s="79"/>
      <c r="J766" s="79"/>
      <c r="K766" s="79"/>
      <c r="L766" s="79"/>
      <c r="N766" s="102"/>
    </row>
    <row r="767">
      <c r="A767" s="17"/>
      <c r="C767" s="79"/>
      <c r="D767" s="79"/>
      <c r="E767" s="79"/>
      <c r="F767" s="79"/>
      <c r="G767" s="79"/>
      <c r="H767" s="79"/>
      <c r="I767" s="79"/>
      <c r="J767" s="79"/>
      <c r="K767" s="79"/>
      <c r="L767" s="79"/>
      <c r="N767" s="102"/>
    </row>
    <row r="768">
      <c r="A768" s="17"/>
      <c r="C768" s="79"/>
      <c r="D768" s="79"/>
      <c r="E768" s="79"/>
      <c r="F768" s="79"/>
      <c r="G768" s="79"/>
      <c r="H768" s="79"/>
      <c r="I768" s="79"/>
      <c r="J768" s="79"/>
      <c r="K768" s="79"/>
      <c r="L768" s="79"/>
      <c r="N768" s="102"/>
    </row>
    <row r="769">
      <c r="A769" s="17"/>
      <c r="C769" s="79"/>
      <c r="D769" s="79"/>
      <c r="E769" s="79"/>
      <c r="F769" s="79"/>
      <c r="G769" s="79"/>
      <c r="H769" s="79"/>
      <c r="I769" s="79"/>
      <c r="J769" s="79"/>
      <c r="K769" s="79"/>
      <c r="L769" s="79"/>
      <c r="N769" s="102"/>
    </row>
    <row r="770">
      <c r="A770" s="17"/>
      <c r="C770" s="79"/>
      <c r="D770" s="79"/>
      <c r="E770" s="79"/>
      <c r="F770" s="79"/>
      <c r="G770" s="79"/>
      <c r="H770" s="79"/>
      <c r="I770" s="79"/>
      <c r="J770" s="79"/>
      <c r="K770" s="79"/>
      <c r="L770" s="79"/>
      <c r="N770" s="102"/>
    </row>
    <row r="771">
      <c r="A771" s="17"/>
      <c r="C771" s="79"/>
      <c r="D771" s="79"/>
      <c r="E771" s="79"/>
      <c r="F771" s="79"/>
      <c r="G771" s="79"/>
      <c r="H771" s="79"/>
      <c r="I771" s="79"/>
      <c r="J771" s="79"/>
      <c r="K771" s="79"/>
      <c r="L771" s="79"/>
      <c r="N771" s="102"/>
    </row>
    <row r="772">
      <c r="A772" s="17"/>
      <c r="C772" s="79"/>
      <c r="D772" s="79"/>
      <c r="E772" s="79"/>
      <c r="F772" s="79"/>
      <c r="G772" s="79"/>
      <c r="H772" s="79"/>
      <c r="I772" s="79"/>
      <c r="J772" s="79"/>
      <c r="K772" s="79"/>
      <c r="L772" s="79"/>
      <c r="N772" s="102"/>
    </row>
    <row r="773">
      <c r="A773" s="17"/>
      <c r="C773" s="79"/>
      <c r="D773" s="79"/>
      <c r="E773" s="79"/>
      <c r="F773" s="79"/>
      <c r="G773" s="79"/>
      <c r="H773" s="79"/>
      <c r="I773" s="79"/>
      <c r="J773" s="79"/>
      <c r="K773" s="79"/>
      <c r="L773" s="79"/>
      <c r="N773" s="102"/>
    </row>
    <row r="774">
      <c r="A774" s="17"/>
      <c r="C774" s="79"/>
      <c r="D774" s="79"/>
      <c r="E774" s="79"/>
      <c r="F774" s="79"/>
      <c r="G774" s="79"/>
      <c r="H774" s="79"/>
      <c r="I774" s="79"/>
      <c r="J774" s="79"/>
      <c r="K774" s="79"/>
      <c r="L774" s="79"/>
      <c r="N774" s="102"/>
    </row>
    <row r="775">
      <c r="A775" s="17"/>
      <c r="C775" s="79"/>
      <c r="D775" s="79"/>
      <c r="E775" s="79"/>
      <c r="F775" s="79"/>
      <c r="G775" s="79"/>
      <c r="H775" s="79"/>
      <c r="I775" s="79"/>
      <c r="J775" s="79"/>
      <c r="K775" s="79"/>
      <c r="L775" s="79"/>
      <c r="N775" s="102"/>
    </row>
    <row r="776">
      <c r="A776" s="17"/>
      <c r="C776" s="79"/>
      <c r="D776" s="79"/>
      <c r="E776" s="79"/>
      <c r="F776" s="79"/>
      <c r="G776" s="79"/>
      <c r="H776" s="79"/>
      <c r="I776" s="79"/>
      <c r="J776" s="79"/>
      <c r="K776" s="79"/>
      <c r="L776" s="79"/>
      <c r="N776" s="102"/>
    </row>
    <row r="777">
      <c r="A777" s="17"/>
      <c r="C777" s="79"/>
      <c r="D777" s="79"/>
      <c r="E777" s="79"/>
      <c r="F777" s="79"/>
      <c r="G777" s="79"/>
      <c r="H777" s="79"/>
      <c r="I777" s="79"/>
      <c r="J777" s="79"/>
      <c r="K777" s="79"/>
      <c r="L777" s="79"/>
      <c r="N777" s="102"/>
    </row>
    <row r="778">
      <c r="A778" s="17"/>
      <c r="C778" s="79"/>
      <c r="D778" s="79"/>
      <c r="E778" s="79"/>
      <c r="F778" s="79"/>
      <c r="G778" s="79"/>
      <c r="H778" s="79"/>
      <c r="I778" s="79"/>
      <c r="J778" s="79"/>
      <c r="K778" s="79"/>
      <c r="L778" s="79"/>
      <c r="N778" s="102"/>
    </row>
    <row r="779">
      <c r="A779" s="17"/>
      <c r="C779" s="79"/>
      <c r="D779" s="79"/>
      <c r="E779" s="79"/>
      <c r="F779" s="79"/>
      <c r="G779" s="79"/>
      <c r="H779" s="79"/>
      <c r="I779" s="79"/>
      <c r="J779" s="79"/>
      <c r="K779" s="79"/>
      <c r="L779" s="79"/>
      <c r="N779" s="102"/>
    </row>
    <row r="780">
      <c r="A780" s="17"/>
      <c r="C780" s="79"/>
      <c r="D780" s="79"/>
      <c r="E780" s="79"/>
      <c r="F780" s="79"/>
      <c r="G780" s="79"/>
      <c r="H780" s="79"/>
      <c r="I780" s="79"/>
      <c r="J780" s="79"/>
      <c r="K780" s="79"/>
      <c r="L780" s="79"/>
      <c r="N780" s="102"/>
    </row>
    <row r="781">
      <c r="A781" s="17"/>
      <c r="C781" s="79"/>
      <c r="D781" s="79"/>
      <c r="E781" s="79"/>
      <c r="F781" s="79"/>
      <c r="G781" s="79"/>
      <c r="H781" s="79"/>
      <c r="I781" s="79"/>
      <c r="J781" s="79"/>
      <c r="K781" s="79"/>
      <c r="L781" s="79"/>
      <c r="N781" s="102"/>
    </row>
    <row r="782">
      <c r="A782" s="17"/>
      <c r="C782" s="79"/>
      <c r="D782" s="79"/>
      <c r="E782" s="79"/>
      <c r="F782" s="79"/>
      <c r="G782" s="79"/>
      <c r="H782" s="79"/>
      <c r="I782" s="79"/>
      <c r="J782" s="79"/>
      <c r="K782" s="79"/>
      <c r="L782" s="79"/>
      <c r="N782" s="102"/>
    </row>
    <row r="783">
      <c r="A783" s="17"/>
      <c r="C783" s="79"/>
      <c r="D783" s="79"/>
      <c r="E783" s="79"/>
      <c r="F783" s="79"/>
      <c r="G783" s="79"/>
      <c r="H783" s="79"/>
      <c r="I783" s="79"/>
      <c r="J783" s="79"/>
      <c r="K783" s="79"/>
      <c r="L783" s="79"/>
      <c r="N783" s="102"/>
    </row>
    <row r="784">
      <c r="A784" s="17"/>
      <c r="C784" s="79"/>
      <c r="D784" s="79"/>
      <c r="E784" s="79"/>
      <c r="F784" s="79"/>
      <c r="G784" s="79"/>
      <c r="H784" s="79"/>
      <c r="I784" s="79"/>
      <c r="J784" s="79"/>
      <c r="K784" s="79"/>
      <c r="L784" s="79"/>
      <c r="N784" s="102"/>
    </row>
    <row r="785">
      <c r="A785" s="17"/>
      <c r="C785" s="79"/>
      <c r="D785" s="79"/>
      <c r="E785" s="79"/>
      <c r="F785" s="79"/>
      <c r="G785" s="79"/>
      <c r="H785" s="79"/>
      <c r="I785" s="79"/>
      <c r="J785" s="79"/>
      <c r="K785" s="79"/>
      <c r="L785" s="79"/>
      <c r="N785" s="102"/>
    </row>
    <row r="786">
      <c r="A786" s="17"/>
      <c r="C786" s="79"/>
      <c r="D786" s="79"/>
      <c r="E786" s="79"/>
      <c r="F786" s="79"/>
      <c r="G786" s="79"/>
      <c r="H786" s="79"/>
      <c r="I786" s="79"/>
      <c r="J786" s="79"/>
      <c r="K786" s="79"/>
      <c r="L786" s="79"/>
      <c r="N786" s="102"/>
    </row>
    <row r="787">
      <c r="A787" s="17"/>
      <c r="C787" s="79"/>
      <c r="D787" s="79"/>
      <c r="E787" s="79"/>
      <c r="F787" s="79"/>
      <c r="G787" s="79"/>
      <c r="H787" s="79"/>
      <c r="I787" s="79"/>
      <c r="J787" s="79"/>
      <c r="K787" s="79"/>
      <c r="L787" s="79"/>
      <c r="N787" s="102"/>
    </row>
    <row r="788">
      <c r="A788" s="17"/>
      <c r="C788" s="79"/>
      <c r="D788" s="79"/>
      <c r="E788" s="79"/>
      <c r="F788" s="79"/>
      <c r="G788" s="79"/>
      <c r="H788" s="79"/>
      <c r="I788" s="79"/>
      <c r="J788" s="79"/>
      <c r="K788" s="79"/>
      <c r="L788" s="79"/>
      <c r="N788" s="102"/>
    </row>
    <row r="789">
      <c r="A789" s="17"/>
      <c r="C789" s="79"/>
      <c r="D789" s="79"/>
      <c r="E789" s="79"/>
      <c r="F789" s="79"/>
      <c r="G789" s="79"/>
      <c r="H789" s="79"/>
      <c r="I789" s="79"/>
      <c r="J789" s="79"/>
      <c r="K789" s="79"/>
      <c r="L789" s="79"/>
      <c r="N789" s="102"/>
    </row>
    <row r="790">
      <c r="A790" s="17"/>
      <c r="C790" s="79"/>
      <c r="D790" s="79"/>
      <c r="E790" s="79"/>
      <c r="F790" s="79"/>
      <c r="G790" s="79"/>
      <c r="H790" s="79"/>
      <c r="I790" s="79"/>
      <c r="J790" s="79"/>
      <c r="K790" s="79"/>
      <c r="L790" s="79"/>
      <c r="N790" s="102"/>
    </row>
    <row r="791">
      <c r="A791" s="17"/>
      <c r="C791" s="79"/>
      <c r="D791" s="79"/>
      <c r="E791" s="79"/>
      <c r="F791" s="79"/>
      <c r="G791" s="79"/>
      <c r="H791" s="79"/>
      <c r="I791" s="79"/>
      <c r="J791" s="79"/>
      <c r="K791" s="79"/>
      <c r="L791" s="79"/>
      <c r="N791" s="102"/>
    </row>
    <row r="792">
      <c r="A792" s="17"/>
      <c r="C792" s="79"/>
      <c r="D792" s="79"/>
      <c r="E792" s="79"/>
      <c r="F792" s="79"/>
      <c r="G792" s="79"/>
      <c r="H792" s="79"/>
      <c r="I792" s="79"/>
      <c r="J792" s="79"/>
      <c r="K792" s="79"/>
      <c r="L792" s="79"/>
      <c r="N792" s="102"/>
    </row>
    <row r="793">
      <c r="A793" s="17"/>
      <c r="C793" s="79"/>
      <c r="D793" s="79"/>
      <c r="E793" s="79"/>
      <c r="F793" s="79"/>
      <c r="G793" s="79"/>
      <c r="H793" s="79"/>
      <c r="I793" s="79"/>
      <c r="J793" s="79"/>
      <c r="K793" s="79"/>
      <c r="L793" s="79"/>
      <c r="N793" s="102"/>
    </row>
    <row r="794">
      <c r="A794" s="17"/>
      <c r="C794" s="79"/>
      <c r="D794" s="79"/>
      <c r="E794" s="79"/>
      <c r="F794" s="79"/>
      <c r="G794" s="79"/>
      <c r="H794" s="79"/>
      <c r="I794" s="79"/>
      <c r="J794" s="79"/>
      <c r="K794" s="79"/>
      <c r="L794" s="79"/>
      <c r="N794" s="102"/>
    </row>
    <row r="795">
      <c r="A795" s="17"/>
      <c r="C795" s="79"/>
      <c r="D795" s="79"/>
      <c r="E795" s="79"/>
      <c r="F795" s="79"/>
      <c r="G795" s="79"/>
      <c r="H795" s="79"/>
      <c r="I795" s="79"/>
      <c r="J795" s="79"/>
      <c r="K795" s="79"/>
      <c r="L795" s="79"/>
      <c r="N795" s="102"/>
    </row>
    <row r="796">
      <c r="A796" s="17"/>
      <c r="C796" s="79"/>
      <c r="D796" s="79"/>
      <c r="E796" s="79"/>
      <c r="F796" s="79"/>
      <c r="G796" s="79"/>
      <c r="H796" s="79"/>
      <c r="I796" s="79"/>
      <c r="J796" s="79"/>
      <c r="K796" s="79"/>
      <c r="L796" s="79"/>
      <c r="N796" s="102"/>
    </row>
    <row r="797">
      <c r="A797" s="17"/>
      <c r="C797" s="79"/>
      <c r="D797" s="79"/>
      <c r="E797" s="79"/>
      <c r="F797" s="79"/>
      <c r="G797" s="79"/>
      <c r="H797" s="79"/>
      <c r="I797" s="79"/>
      <c r="J797" s="79"/>
      <c r="K797" s="79"/>
      <c r="L797" s="79"/>
      <c r="N797" s="102"/>
    </row>
    <row r="798">
      <c r="A798" s="17"/>
      <c r="C798" s="79"/>
      <c r="D798" s="79"/>
      <c r="E798" s="79"/>
      <c r="F798" s="79"/>
      <c r="G798" s="79"/>
      <c r="H798" s="79"/>
      <c r="I798" s="79"/>
      <c r="J798" s="79"/>
      <c r="K798" s="79"/>
      <c r="L798" s="79"/>
      <c r="N798" s="102"/>
    </row>
    <row r="799">
      <c r="A799" s="17"/>
      <c r="C799" s="79"/>
      <c r="D799" s="79"/>
      <c r="E799" s="79"/>
      <c r="F799" s="79"/>
      <c r="G799" s="79"/>
      <c r="H799" s="79"/>
      <c r="I799" s="79"/>
      <c r="J799" s="79"/>
      <c r="K799" s="79"/>
      <c r="L799" s="79"/>
      <c r="N799" s="102"/>
    </row>
    <row r="800">
      <c r="A800" s="17"/>
      <c r="C800" s="79"/>
      <c r="D800" s="79"/>
      <c r="E800" s="79"/>
      <c r="F800" s="79"/>
      <c r="G800" s="79"/>
      <c r="H800" s="79"/>
      <c r="I800" s="79"/>
      <c r="J800" s="79"/>
      <c r="K800" s="79"/>
      <c r="L800" s="79"/>
      <c r="N800" s="102"/>
    </row>
    <row r="801">
      <c r="A801" s="17"/>
      <c r="C801" s="79"/>
      <c r="D801" s="79"/>
      <c r="E801" s="79"/>
      <c r="F801" s="79"/>
      <c r="G801" s="79"/>
      <c r="H801" s="79"/>
      <c r="I801" s="79"/>
      <c r="J801" s="79"/>
      <c r="K801" s="79"/>
      <c r="L801" s="79"/>
      <c r="N801" s="102"/>
    </row>
    <row r="802">
      <c r="A802" s="17"/>
      <c r="C802" s="79"/>
      <c r="D802" s="79"/>
      <c r="E802" s="79"/>
      <c r="F802" s="79"/>
      <c r="G802" s="79"/>
      <c r="H802" s="79"/>
      <c r="I802" s="79"/>
      <c r="J802" s="79"/>
      <c r="K802" s="79"/>
      <c r="L802" s="79"/>
      <c r="N802" s="102"/>
    </row>
    <row r="803">
      <c r="A803" s="17"/>
      <c r="C803" s="79"/>
      <c r="D803" s="79"/>
      <c r="E803" s="79"/>
      <c r="F803" s="79"/>
      <c r="G803" s="79"/>
      <c r="H803" s="79"/>
      <c r="I803" s="79"/>
      <c r="J803" s="79"/>
      <c r="K803" s="79"/>
      <c r="L803" s="79"/>
      <c r="N803" s="102"/>
    </row>
    <row r="804">
      <c r="A804" s="17"/>
      <c r="C804" s="79"/>
      <c r="D804" s="79"/>
      <c r="E804" s="79"/>
      <c r="F804" s="79"/>
      <c r="G804" s="79"/>
      <c r="H804" s="79"/>
      <c r="I804" s="79"/>
      <c r="J804" s="79"/>
      <c r="K804" s="79"/>
      <c r="L804" s="79"/>
      <c r="N804" s="102"/>
    </row>
    <row r="805">
      <c r="A805" s="17"/>
      <c r="C805" s="79"/>
      <c r="D805" s="79"/>
      <c r="E805" s="79"/>
      <c r="F805" s="79"/>
      <c r="G805" s="79"/>
      <c r="H805" s="79"/>
      <c r="I805" s="79"/>
      <c r="J805" s="79"/>
      <c r="K805" s="79"/>
      <c r="L805" s="79"/>
      <c r="N805" s="102"/>
    </row>
    <row r="806">
      <c r="A806" s="17"/>
      <c r="C806" s="79"/>
      <c r="D806" s="79"/>
      <c r="E806" s="79"/>
      <c r="F806" s="79"/>
      <c r="G806" s="79"/>
      <c r="H806" s="79"/>
      <c r="I806" s="79"/>
      <c r="J806" s="79"/>
      <c r="K806" s="79"/>
      <c r="L806" s="79"/>
      <c r="N806" s="102"/>
    </row>
    <row r="807">
      <c r="A807" s="17"/>
      <c r="C807" s="79"/>
      <c r="D807" s="79"/>
      <c r="E807" s="79"/>
      <c r="F807" s="79"/>
      <c r="G807" s="79"/>
      <c r="H807" s="79"/>
      <c r="I807" s="79"/>
      <c r="J807" s="79"/>
      <c r="K807" s="79"/>
      <c r="L807" s="79"/>
      <c r="N807" s="102"/>
    </row>
    <row r="808">
      <c r="A808" s="17"/>
      <c r="C808" s="79"/>
      <c r="D808" s="79"/>
      <c r="E808" s="79"/>
      <c r="F808" s="79"/>
      <c r="G808" s="79"/>
      <c r="H808" s="79"/>
      <c r="I808" s="79"/>
      <c r="J808" s="79"/>
      <c r="K808" s="79"/>
      <c r="L808" s="79"/>
      <c r="N808" s="102"/>
    </row>
    <row r="809">
      <c r="A809" s="17"/>
      <c r="C809" s="79"/>
      <c r="D809" s="79"/>
      <c r="E809" s="79"/>
      <c r="F809" s="79"/>
      <c r="G809" s="79"/>
      <c r="H809" s="79"/>
      <c r="I809" s="79"/>
      <c r="J809" s="79"/>
      <c r="K809" s="79"/>
      <c r="L809" s="79"/>
      <c r="N809" s="102"/>
    </row>
    <row r="810">
      <c r="A810" s="17"/>
      <c r="C810" s="79"/>
      <c r="D810" s="79"/>
      <c r="E810" s="79"/>
      <c r="F810" s="79"/>
      <c r="G810" s="79"/>
      <c r="H810" s="79"/>
      <c r="I810" s="79"/>
      <c r="J810" s="79"/>
      <c r="K810" s="79"/>
      <c r="L810" s="79"/>
      <c r="N810" s="102"/>
    </row>
    <row r="811">
      <c r="A811" s="17"/>
      <c r="C811" s="79"/>
      <c r="D811" s="79"/>
      <c r="E811" s="79"/>
      <c r="F811" s="79"/>
      <c r="G811" s="79"/>
      <c r="H811" s="79"/>
      <c r="I811" s="79"/>
      <c r="J811" s="79"/>
      <c r="K811" s="79"/>
      <c r="L811" s="79"/>
      <c r="N811" s="102"/>
    </row>
    <row r="812">
      <c r="A812" s="17"/>
      <c r="C812" s="79"/>
      <c r="D812" s="79"/>
      <c r="E812" s="79"/>
      <c r="F812" s="79"/>
      <c r="G812" s="79"/>
      <c r="H812" s="79"/>
      <c r="I812" s="79"/>
      <c r="J812" s="79"/>
      <c r="K812" s="79"/>
      <c r="L812" s="79"/>
      <c r="N812" s="102"/>
    </row>
    <row r="813">
      <c r="A813" s="17"/>
      <c r="C813" s="79"/>
      <c r="D813" s="79"/>
      <c r="E813" s="79"/>
      <c r="F813" s="79"/>
      <c r="G813" s="79"/>
      <c r="H813" s="79"/>
      <c r="I813" s="79"/>
      <c r="J813" s="79"/>
      <c r="K813" s="79"/>
      <c r="L813" s="79"/>
      <c r="N813" s="102"/>
    </row>
    <row r="814">
      <c r="A814" s="17"/>
      <c r="C814" s="79"/>
      <c r="D814" s="79"/>
      <c r="E814" s="79"/>
      <c r="F814" s="79"/>
      <c r="G814" s="79"/>
      <c r="H814" s="79"/>
      <c r="I814" s="79"/>
      <c r="J814" s="79"/>
      <c r="K814" s="79"/>
      <c r="L814" s="79"/>
      <c r="N814" s="102"/>
    </row>
    <row r="815">
      <c r="A815" s="17"/>
      <c r="C815" s="79"/>
      <c r="D815" s="79"/>
      <c r="E815" s="79"/>
      <c r="F815" s="79"/>
      <c r="G815" s="79"/>
      <c r="H815" s="79"/>
      <c r="I815" s="79"/>
      <c r="J815" s="79"/>
      <c r="K815" s="79"/>
      <c r="L815" s="79"/>
      <c r="N815" s="102"/>
    </row>
    <row r="816">
      <c r="A816" s="17"/>
      <c r="C816" s="79"/>
      <c r="D816" s="79"/>
      <c r="E816" s="79"/>
      <c r="F816" s="79"/>
      <c r="G816" s="79"/>
      <c r="H816" s="79"/>
      <c r="I816" s="79"/>
      <c r="J816" s="79"/>
      <c r="K816" s="79"/>
      <c r="L816" s="79"/>
      <c r="N816" s="102"/>
    </row>
    <row r="817">
      <c r="A817" s="17"/>
      <c r="C817" s="79"/>
      <c r="D817" s="79"/>
      <c r="E817" s="79"/>
      <c r="F817" s="79"/>
      <c r="G817" s="79"/>
      <c r="H817" s="79"/>
      <c r="I817" s="79"/>
      <c r="J817" s="79"/>
      <c r="K817" s="79"/>
      <c r="L817" s="79"/>
      <c r="N817" s="102"/>
    </row>
    <row r="818">
      <c r="A818" s="17"/>
      <c r="C818" s="79"/>
      <c r="D818" s="79"/>
      <c r="E818" s="79"/>
      <c r="F818" s="79"/>
      <c r="G818" s="79"/>
      <c r="H818" s="79"/>
      <c r="I818" s="79"/>
      <c r="J818" s="79"/>
      <c r="K818" s="79"/>
      <c r="L818" s="79"/>
      <c r="N818" s="102"/>
    </row>
    <row r="819">
      <c r="A819" s="17"/>
      <c r="C819" s="79"/>
      <c r="D819" s="79"/>
      <c r="E819" s="79"/>
      <c r="F819" s="79"/>
      <c r="G819" s="79"/>
      <c r="H819" s="79"/>
      <c r="I819" s="79"/>
      <c r="J819" s="79"/>
      <c r="K819" s="79"/>
      <c r="L819" s="79"/>
      <c r="N819" s="102"/>
    </row>
    <row r="820">
      <c r="A820" s="17"/>
      <c r="C820" s="79"/>
      <c r="D820" s="79"/>
      <c r="E820" s="79"/>
      <c r="F820" s="79"/>
      <c r="G820" s="79"/>
      <c r="H820" s="79"/>
      <c r="I820" s="79"/>
      <c r="J820" s="79"/>
      <c r="K820" s="79"/>
      <c r="L820" s="79"/>
      <c r="N820" s="102"/>
    </row>
    <row r="821">
      <c r="A821" s="17"/>
      <c r="C821" s="79"/>
      <c r="D821" s="79"/>
      <c r="E821" s="79"/>
      <c r="F821" s="79"/>
      <c r="G821" s="79"/>
      <c r="H821" s="79"/>
      <c r="I821" s="79"/>
      <c r="J821" s="79"/>
      <c r="K821" s="79"/>
      <c r="L821" s="79"/>
      <c r="N821" s="102"/>
    </row>
    <row r="822">
      <c r="A822" s="17"/>
      <c r="C822" s="79"/>
      <c r="D822" s="79"/>
      <c r="E822" s="79"/>
      <c r="F822" s="79"/>
      <c r="G822" s="79"/>
      <c r="H822" s="79"/>
      <c r="I822" s="79"/>
      <c r="J822" s="79"/>
      <c r="K822" s="79"/>
      <c r="L822" s="79"/>
      <c r="N822" s="102"/>
    </row>
    <row r="823">
      <c r="A823" s="17"/>
      <c r="C823" s="79"/>
      <c r="D823" s="79"/>
      <c r="E823" s="79"/>
      <c r="F823" s="79"/>
      <c r="G823" s="79"/>
      <c r="H823" s="79"/>
      <c r="I823" s="79"/>
      <c r="J823" s="79"/>
      <c r="K823" s="79"/>
      <c r="L823" s="79"/>
      <c r="N823" s="102"/>
    </row>
    <row r="824">
      <c r="A824" s="17"/>
      <c r="C824" s="79"/>
      <c r="D824" s="79"/>
      <c r="E824" s="79"/>
      <c r="F824" s="79"/>
      <c r="G824" s="79"/>
      <c r="H824" s="79"/>
      <c r="I824" s="79"/>
      <c r="J824" s="79"/>
      <c r="K824" s="79"/>
      <c r="L824" s="79"/>
      <c r="N824" s="102"/>
    </row>
    <row r="825">
      <c r="A825" s="17"/>
      <c r="C825" s="79"/>
      <c r="D825" s="79"/>
      <c r="E825" s="79"/>
      <c r="F825" s="79"/>
      <c r="G825" s="79"/>
      <c r="H825" s="79"/>
      <c r="I825" s="79"/>
      <c r="J825" s="79"/>
      <c r="K825" s="79"/>
      <c r="L825" s="79"/>
      <c r="N825" s="102"/>
    </row>
    <row r="826">
      <c r="A826" s="17"/>
      <c r="C826" s="79"/>
      <c r="D826" s="79"/>
      <c r="E826" s="79"/>
      <c r="F826" s="79"/>
      <c r="G826" s="79"/>
      <c r="H826" s="79"/>
      <c r="I826" s="79"/>
      <c r="J826" s="79"/>
      <c r="K826" s="79"/>
      <c r="L826" s="79"/>
      <c r="N826" s="102"/>
    </row>
    <row r="827">
      <c r="A827" s="17"/>
      <c r="C827" s="79"/>
      <c r="D827" s="79"/>
      <c r="E827" s="79"/>
      <c r="F827" s="79"/>
      <c r="G827" s="79"/>
      <c r="H827" s="79"/>
      <c r="I827" s="79"/>
      <c r="J827" s="79"/>
      <c r="K827" s="79"/>
      <c r="L827" s="79"/>
      <c r="N827" s="102"/>
    </row>
    <row r="828">
      <c r="A828" s="17"/>
      <c r="C828" s="79"/>
      <c r="D828" s="79"/>
      <c r="E828" s="79"/>
      <c r="F828" s="79"/>
      <c r="G828" s="79"/>
      <c r="H828" s="79"/>
      <c r="I828" s="79"/>
      <c r="J828" s="79"/>
      <c r="K828" s="79"/>
      <c r="L828" s="79"/>
      <c r="N828" s="102"/>
    </row>
    <row r="829">
      <c r="A829" s="17"/>
      <c r="C829" s="79"/>
      <c r="D829" s="79"/>
      <c r="E829" s="79"/>
      <c r="F829" s="79"/>
      <c r="G829" s="79"/>
      <c r="H829" s="79"/>
      <c r="I829" s="79"/>
      <c r="J829" s="79"/>
      <c r="K829" s="79"/>
      <c r="L829" s="79"/>
      <c r="N829" s="102"/>
    </row>
    <row r="830">
      <c r="A830" s="17"/>
      <c r="C830" s="79"/>
      <c r="D830" s="79"/>
      <c r="E830" s="79"/>
      <c r="F830" s="79"/>
      <c r="G830" s="79"/>
      <c r="H830" s="79"/>
      <c r="I830" s="79"/>
      <c r="J830" s="79"/>
      <c r="K830" s="79"/>
      <c r="L830" s="79"/>
      <c r="N830" s="102"/>
    </row>
    <row r="831">
      <c r="A831" s="17"/>
      <c r="C831" s="79"/>
      <c r="D831" s="79"/>
      <c r="E831" s="79"/>
      <c r="F831" s="79"/>
      <c r="G831" s="79"/>
      <c r="H831" s="79"/>
      <c r="I831" s="79"/>
      <c r="J831" s="79"/>
      <c r="K831" s="79"/>
      <c r="L831" s="79"/>
      <c r="N831" s="102"/>
    </row>
    <row r="832">
      <c r="A832" s="17"/>
      <c r="C832" s="79"/>
      <c r="D832" s="79"/>
      <c r="E832" s="79"/>
      <c r="F832" s="79"/>
      <c r="G832" s="79"/>
      <c r="H832" s="79"/>
      <c r="I832" s="79"/>
      <c r="J832" s="79"/>
      <c r="K832" s="79"/>
      <c r="L832" s="79"/>
      <c r="N832" s="102"/>
    </row>
    <row r="833">
      <c r="A833" s="17"/>
      <c r="C833" s="79"/>
      <c r="D833" s="79"/>
      <c r="E833" s="79"/>
      <c r="F833" s="79"/>
      <c r="G833" s="79"/>
      <c r="H833" s="79"/>
      <c r="I833" s="79"/>
      <c r="J833" s="79"/>
      <c r="K833" s="79"/>
      <c r="L833" s="79"/>
      <c r="N833" s="102"/>
    </row>
    <row r="834">
      <c r="A834" s="17"/>
      <c r="C834" s="79"/>
      <c r="D834" s="79"/>
      <c r="E834" s="79"/>
      <c r="F834" s="79"/>
      <c r="G834" s="79"/>
      <c r="H834" s="79"/>
      <c r="I834" s="79"/>
      <c r="J834" s="79"/>
      <c r="K834" s="79"/>
      <c r="L834" s="79"/>
      <c r="N834" s="102"/>
    </row>
    <row r="835">
      <c r="A835" s="17"/>
      <c r="C835" s="79"/>
      <c r="D835" s="79"/>
      <c r="E835" s="79"/>
      <c r="F835" s="79"/>
      <c r="G835" s="79"/>
      <c r="H835" s="79"/>
      <c r="I835" s="79"/>
      <c r="J835" s="79"/>
      <c r="K835" s="79"/>
      <c r="L835" s="79"/>
      <c r="N835" s="102"/>
    </row>
    <row r="836">
      <c r="A836" s="17"/>
      <c r="C836" s="79"/>
      <c r="D836" s="79"/>
      <c r="E836" s="79"/>
      <c r="F836" s="79"/>
      <c r="G836" s="79"/>
      <c r="H836" s="79"/>
      <c r="I836" s="79"/>
      <c r="J836" s="79"/>
      <c r="K836" s="79"/>
      <c r="L836" s="79"/>
      <c r="N836" s="102"/>
    </row>
    <row r="837">
      <c r="A837" s="17"/>
      <c r="C837" s="79"/>
      <c r="D837" s="79"/>
      <c r="E837" s="79"/>
      <c r="F837" s="79"/>
      <c r="G837" s="79"/>
      <c r="H837" s="79"/>
      <c r="I837" s="79"/>
      <c r="J837" s="79"/>
      <c r="K837" s="79"/>
      <c r="L837" s="79"/>
      <c r="N837" s="102"/>
    </row>
    <row r="838">
      <c r="A838" s="17"/>
      <c r="C838" s="79"/>
      <c r="D838" s="79"/>
      <c r="E838" s="79"/>
      <c r="F838" s="79"/>
      <c r="G838" s="79"/>
      <c r="H838" s="79"/>
      <c r="I838" s="79"/>
      <c r="J838" s="79"/>
      <c r="K838" s="79"/>
      <c r="L838" s="79"/>
      <c r="N838" s="102"/>
    </row>
    <row r="839">
      <c r="A839" s="17"/>
      <c r="C839" s="79"/>
      <c r="D839" s="79"/>
      <c r="E839" s="79"/>
      <c r="F839" s="79"/>
      <c r="G839" s="79"/>
      <c r="H839" s="79"/>
      <c r="I839" s="79"/>
      <c r="J839" s="79"/>
      <c r="K839" s="79"/>
      <c r="L839" s="79"/>
      <c r="N839" s="102"/>
    </row>
    <row r="840">
      <c r="A840" s="17"/>
      <c r="C840" s="79"/>
      <c r="D840" s="79"/>
      <c r="E840" s="79"/>
      <c r="F840" s="79"/>
      <c r="G840" s="79"/>
      <c r="H840" s="79"/>
      <c r="I840" s="79"/>
      <c r="J840" s="79"/>
      <c r="K840" s="79"/>
      <c r="L840" s="79"/>
      <c r="N840" s="102"/>
    </row>
    <row r="841">
      <c r="A841" s="17"/>
      <c r="C841" s="79"/>
      <c r="D841" s="79"/>
      <c r="E841" s="79"/>
      <c r="F841" s="79"/>
      <c r="G841" s="79"/>
      <c r="H841" s="79"/>
      <c r="I841" s="79"/>
      <c r="J841" s="79"/>
      <c r="K841" s="79"/>
      <c r="L841" s="79"/>
      <c r="N841" s="102"/>
    </row>
    <row r="842">
      <c r="A842" s="17"/>
      <c r="C842" s="79"/>
      <c r="D842" s="79"/>
      <c r="E842" s="79"/>
      <c r="F842" s="79"/>
      <c r="G842" s="79"/>
      <c r="H842" s="79"/>
      <c r="I842" s="79"/>
      <c r="J842" s="79"/>
      <c r="K842" s="79"/>
      <c r="L842" s="79"/>
      <c r="N842" s="102"/>
    </row>
    <row r="843">
      <c r="A843" s="17"/>
      <c r="C843" s="79"/>
      <c r="D843" s="79"/>
      <c r="E843" s="79"/>
      <c r="F843" s="79"/>
      <c r="G843" s="79"/>
      <c r="H843" s="79"/>
      <c r="I843" s="79"/>
      <c r="J843" s="79"/>
      <c r="K843" s="79"/>
      <c r="L843" s="79"/>
      <c r="N843" s="102"/>
    </row>
    <row r="844">
      <c r="A844" s="17"/>
      <c r="C844" s="79"/>
      <c r="D844" s="79"/>
      <c r="E844" s="79"/>
      <c r="F844" s="79"/>
      <c r="G844" s="79"/>
      <c r="H844" s="79"/>
      <c r="I844" s="79"/>
      <c r="J844" s="79"/>
      <c r="K844" s="79"/>
      <c r="L844" s="79"/>
      <c r="N844" s="102"/>
    </row>
    <row r="845">
      <c r="A845" s="17"/>
      <c r="C845" s="79"/>
      <c r="D845" s="79"/>
      <c r="E845" s="79"/>
      <c r="F845" s="79"/>
      <c r="G845" s="79"/>
      <c r="H845" s="79"/>
      <c r="I845" s="79"/>
      <c r="J845" s="79"/>
      <c r="K845" s="79"/>
      <c r="L845" s="79"/>
      <c r="N845" s="102"/>
    </row>
    <row r="846">
      <c r="A846" s="17"/>
      <c r="C846" s="79"/>
      <c r="D846" s="79"/>
      <c r="E846" s="79"/>
      <c r="F846" s="79"/>
      <c r="G846" s="79"/>
      <c r="H846" s="79"/>
      <c r="I846" s="79"/>
      <c r="J846" s="79"/>
      <c r="K846" s="79"/>
      <c r="L846" s="79"/>
      <c r="N846" s="102"/>
    </row>
    <row r="847">
      <c r="A847" s="17"/>
      <c r="C847" s="79"/>
      <c r="D847" s="79"/>
      <c r="E847" s="79"/>
      <c r="F847" s="79"/>
      <c r="G847" s="79"/>
      <c r="H847" s="79"/>
      <c r="I847" s="79"/>
      <c r="J847" s="79"/>
      <c r="K847" s="79"/>
      <c r="L847" s="79"/>
      <c r="N847" s="102"/>
    </row>
    <row r="848">
      <c r="A848" s="17"/>
      <c r="C848" s="79"/>
      <c r="D848" s="79"/>
      <c r="E848" s="79"/>
      <c r="F848" s="79"/>
      <c r="G848" s="79"/>
      <c r="H848" s="79"/>
      <c r="I848" s="79"/>
      <c r="J848" s="79"/>
      <c r="K848" s="79"/>
      <c r="L848" s="79"/>
      <c r="N848" s="102"/>
    </row>
    <row r="849">
      <c r="A849" s="17"/>
      <c r="C849" s="79"/>
      <c r="D849" s="79"/>
      <c r="E849" s="79"/>
      <c r="F849" s="79"/>
      <c r="G849" s="79"/>
      <c r="H849" s="79"/>
      <c r="I849" s="79"/>
      <c r="J849" s="79"/>
      <c r="K849" s="79"/>
      <c r="L849" s="79"/>
      <c r="N849" s="102"/>
    </row>
    <row r="850">
      <c r="A850" s="17"/>
      <c r="C850" s="79"/>
      <c r="D850" s="79"/>
      <c r="E850" s="79"/>
      <c r="F850" s="79"/>
      <c r="G850" s="79"/>
      <c r="H850" s="79"/>
      <c r="I850" s="79"/>
      <c r="J850" s="79"/>
      <c r="K850" s="79"/>
      <c r="L850" s="79"/>
      <c r="N850" s="102"/>
    </row>
    <row r="851">
      <c r="A851" s="17"/>
      <c r="C851" s="79"/>
      <c r="D851" s="79"/>
      <c r="E851" s="79"/>
      <c r="F851" s="79"/>
      <c r="G851" s="79"/>
      <c r="H851" s="79"/>
      <c r="I851" s="79"/>
      <c r="J851" s="79"/>
      <c r="K851" s="79"/>
      <c r="L851" s="79"/>
      <c r="N851" s="102"/>
    </row>
    <row r="852">
      <c r="A852" s="17"/>
      <c r="C852" s="79"/>
      <c r="D852" s="79"/>
      <c r="E852" s="79"/>
      <c r="F852" s="79"/>
      <c r="G852" s="79"/>
      <c r="H852" s="79"/>
      <c r="I852" s="79"/>
      <c r="J852" s="79"/>
      <c r="K852" s="79"/>
      <c r="L852" s="79"/>
      <c r="N852" s="102"/>
    </row>
    <row r="853">
      <c r="A853" s="17"/>
      <c r="C853" s="79"/>
      <c r="D853" s="79"/>
      <c r="E853" s="79"/>
      <c r="F853" s="79"/>
      <c r="G853" s="79"/>
      <c r="H853" s="79"/>
      <c r="I853" s="79"/>
      <c r="J853" s="79"/>
      <c r="K853" s="79"/>
      <c r="L853" s="79"/>
      <c r="N853" s="102"/>
    </row>
    <row r="854">
      <c r="A854" s="17"/>
      <c r="C854" s="79"/>
      <c r="D854" s="79"/>
      <c r="E854" s="79"/>
      <c r="F854" s="79"/>
      <c r="G854" s="79"/>
      <c r="H854" s="79"/>
      <c r="I854" s="79"/>
      <c r="J854" s="79"/>
      <c r="K854" s="79"/>
      <c r="L854" s="79"/>
      <c r="N854" s="102"/>
    </row>
    <row r="855">
      <c r="A855" s="17"/>
      <c r="C855" s="79"/>
      <c r="D855" s="79"/>
      <c r="E855" s="79"/>
      <c r="F855" s="79"/>
      <c r="G855" s="79"/>
      <c r="H855" s="79"/>
      <c r="I855" s="79"/>
      <c r="J855" s="79"/>
      <c r="K855" s="79"/>
      <c r="L855" s="79"/>
      <c r="N855" s="102"/>
    </row>
    <row r="856">
      <c r="A856" s="17"/>
      <c r="C856" s="79"/>
      <c r="D856" s="79"/>
      <c r="E856" s="79"/>
      <c r="F856" s="79"/>
      <c r="G856" s="79"/>
      <c r="H856" s="79"/>
      <c r="I856" s="79"/>
      <c r="J856" s="79"/>
      <c r="K856" s="79"/>
      <c r="L856" s="79"/>
      <c r="N856" s="102"/>
    </row>
    <row r="857">
      <c r="A857" s="17"/>
      <c r="C857" s="79"/>
      <c r="D857" s="79"/>
      <c r="E857" s="79"/>
      <c r="F857" s="79"/>
      <c r="G857" s="79"/>
      <c r="H857" s="79"/>
      <c r="I857" s="79"/>
      <c r="J857" s="79"/>
      <c r="K857" s="79"/>
      <c r="L857" s="79"/>
      <c r="N857" s="102"/>
    </row>
    <row r="858">
      <c r="A858" s="17"/>
      <c r="C858" s="79"/>
      <c r="D858" s="79"/>
      <c r="E858" s="79"/>
      <c r="F858" s="79"/>
      <c r="G858" s="79"/>
      <c r="H858" s="79"/>
      <c r="I858" s="79"/>
      <c r="J858" s="79"/>
      <c r="K858" s="79"/>
      <c r="L858" s="79"/>
      <c r="N858" s="102"/>
    </row>
    <row r="859">
      <c r="A859" s="17"/>
      <c r="C859" s="79"/>
      <c r="D859" s="79"/>
      <c r="E859" s="79"/>
      <c r="F859" s="79"/>
      <c r="G859" s="79"/>
      <c r="H859" s="79"/>
      <c r="I859" s="79"/>
      <c r="J859" s="79"/>
      <c r="K859" s="79"/>
      <c r="L859" s="79"/>
      <c r="N859" s="102"/>
    </row>
    <row r="860">
      <c r="A860" s="17"/>
      <c r="C860" s="79"/>
      <c r="D860" s="79"/>
      <c r="E860" s="79"/>
      <c r="F860" s="79"/>
      <c r="G860" s="79"/>
      <c r="H860" s="79"/>
      <c r="I860" s="79"/>
      <c r="J860" s="79"/>
      <c r="K860" s="79"/>
      <c r="L860" s="79"/>
      <c r="N860" s="102"/>
    </row>
    <row r="861">
      <c r="A861" s="17"/>
      <c r="C861" s="79"/>
      <c r="D861" s="79"/>
      <c r="E861" s="79"/>
      <c r="F861" s="79"/>
      <c r="G861" s="79"/>
      <c r="H861" s="79"/>
      <c r="I861" s="79"/>
      <c r="J861" s="79"/>
      <c r="K861" s="79"/>
      <c r="L861" s="79"/>
      <c r="N861" s="102"/>
    </row>
    <row r="862">
      <c r="A862" s="17"/>
      <c r="C862" s="79"/>
      <c r="D862" s="79"/>
      <c r="E862" s="79"/>
      <c r="F862" s="79"/>
      <c r="G862" s="79"/>
      <c r="H862" s="79"/>
      <c r="I862" s="79"/>
      <c r="J862" s="79"/>
      <c r="K862" s="79"/>
      <c r="L862" s="79"/>
      <c r="N862" s="102"/>
    </row>
    <row r="863">
      <c r="A863" s="17"/>
      <c r="C863" s="79"/>
      <c r="D863" s="79"/>
      <c r="E863" s="79"/>
      <c r="F863" s="79"/>
      <c r="G863" s="79"/>
      <c r="H863" s="79"/>
      <c r="I863" s="79"/>
      <c r="J863" s="79"/>
      <c r="K863" s="79"/>
      <c r="L863" s="79"/>
      <c r="N863" s="102"/>
    </row>
    <row r="864">
      <c r="A864" s="17"/>
      <c r="C864" s="79"/>
      <c r="D864" s="79"/>
      <c r="E864" s="79"/>
      <c r="F864" s="79"/>
      <c r="G864" s="79"/>
      <c r="H864" s="79"/>
      <c r="I864" s="79"/>
      <c r="J864" s="79"/>
      <c r="K864" s="79"/>
      <c r="L864" s="79"/>
      <c r="N864" s="102"/>
    </row>
    <row r="865">
      <c r="A865" s="17"/>
      <c r="C865" s="79"/>
      <c r="D865" s="79"/>
      <c r="E865" s="79"/>
      <c r="F865" s="79"/>
      <c r="G865" s="79"/>
      <c r="H865" s="79"/>
      <c r="I865" s="79"/>
      <c r="J865" s="79"/>
      <c r="K865" s="79"/>
      <c r="L865" s="79"/>
      <c r="N865" s="102"/>
    </row>
    <row r="866">
      <c r="A866" s="17"/>
      <c r="C866" s="79"/>
      <c r="D866" s="79"/>
      <c r="E866" s="79"/>
      <c r="F866" s="79"/>
      <c r="G866" s="79"/>
      <c r="H866" s="79"/>
      <c r="I866" s="79"/>
      <c r="J866" s="79"/>
      <c r="K866" s="79"/>
      <c r="L866" s="79"/>
      <c r="N866" s="102"/>
    </row>
    <row r="867">
      <c r="A867" s="17"/>
      <c r="C867" s="79"/>
      <c r="D867" s="79"/>
      <c r="E867" s="79"/>
      <c r="F867" s="79"/>
      <c r="G867" s="79"/>
      <c r="H867" s="79"/>
      <c r="I867" s="79"/>
      <c r="J867" s="79"/>
      <c r="K867" s="79"/>
      <c r="L867" s="79"/>
      <c r="N867" s="102"/>
    </row>
    <row r="868">
      <c r="A868" s="17"/>
      <c r="C868" s="79"/>
      <c r="D868" s="79"/>
      <c r="E868" s="79"/>
      <c r="F868" s="79"/>
      <c r="G868" s="79"/>
      <c r="H868" s="79"/>
      <c r="I868" s="79"/>
      <c r="J868" s="79"/>
      <c r="K868" s="79"/>
      <c r="L868" s="79"/>
      <c r="N868" s="102"/>
    </row>
    <row r="869">
      <c r="A869" s="17"/>
      <c r="C869" s="79"/>
      <c r="D869" s="79"/>
      <c r="E869" s="79"/>
      <c r="F869" s="79"/>
      <c r="G869" s="79"/>
      <c r="H869" s="79"/>
      <c r="I869" s="79"/>
      <c r="J869" s="79"/>
      <c r="K869" s="79"/>
      <c r="L869" s="79"/>
      <c r="N869" s="102"/>
    </row>
    <row r="870">
      <c r="A870" s="17"/>
      <c r="C870" s="79"/>
      <c r="D870" s="79"/>
      <c r="E870" s="79"/>
      <c r="F870" s="79"/>
      <c r="G870" s="79"/>
      <c r="H870" s="79"/>
      <c r="I870" s="79"/>
      <c r="J870" s="79"/>
      <c r="K870" s="79"/>
      <c r="L870" s="79"/>
      <c r="N870" s="102"/>
    </row>
    <row r="871">
      <c r="A871" s="17"/>
      <c r="C871" s="79"/>
      <c r="D871" s="79"/>
      <c r="E871" s="79"/>
      <c r="F871" s="79"/>
      <c r="G871" s="79"/>
      <c r="H871" s="79"/>
      <c r="I871" s="79"/>
      <c r="J871" s="79"/>
      <c r="K871" s="79"/>
      <c r="L871" s="79"/>
      <c r="N871" s="102"/>
    </row>
    <row r="872">
      <c r="A872" s="17"/>
      <c r="C872" s="79"/>
      <c r="D872" s="79"/>
      <c r="E872" s="79"/>
      <c r="F872" s="79"/>
      <c r="G872" s="79"/>
      <c r="H872" s="79"/>
      <c r="I872" s="79"/>
      <c r="J872" s="79"/>
      <c r="K872" s="79"/>
      <c r="L872" s="79"/>
      <c r="N872" s="102"/>
    </row>
    <row r="873">
      <c r="A873" s="17"/>
      <c r="C873" s="79"/>
      <c r="D873" s="79"/>
      <c r="E873" s="79"/>
      <c r="F873" s="79"/>
      <c r="G873" s="79"/>
      <c r="H873" s="79"/>
      <c r="I873" s="79"/>
      <c r="J873" s="79"/>
      <c r="K873" s="79"/>
      <c r="L873" s="79"/>
      <c r="N873" s="102"/>
    </row>
    <row r="874">
      <c r="A874" s="17"/>
      <c r="C874" s="79"/>
      <c r="D874" s="79"/>
      <c r="E874" s="79"/>
      <c r="F874" s="79"/>
      <c r="G874" s="79"/>
      <c r="H874" s="79"/>
      <c r="I874" s="79"/>
      <c r="J874" s="79"/>
      <c r="K874" s="79"/>
      <c r="L874" s="79"/>
      <c r="N874" s="102"/>
    </row>
    <row r="875">
      <c r="A875" s="17"/>
      <c r="C875" s="79"/>
      <c r="D875" s="79"/>
      <c r="E875" s="79"/>
      <c r="F875" s="79"/>
      <c r="G875" s="79"/>
      <c r="H875" s="79"/>
      <c r="I875" s="79"/>
      <c r="J875" s="79"/>
      <c r="K875" s="79"/>
      <c r="L875" s="79"/>
      <c r="N875" s="102"/>
    </row>
    <row r="876">
      <c r="A876" s="17"/>
      <c r="C876" s="79"/>
      <c r="D876" s="79"/>
      <c r="E876" s="79"/>
      <c r="F876" s="79"/>
      <c r="G876" s="79"/>
      <c r="H876" s="79"/>
      <c r="I876" s="79"/>
      <c r="J876" s="79"/>
      <c r="K876" s="79"/>
      <c r="L876" s="79"/>
      <c r="N876" s="102"/>
    </row>
    <row r="877">
      <c r="A877" s="17"/>
      <c r="C877" s="79"/>
      <c r="D877" s="79"/>
      <c r="E877" s="79"/>
      <c r="F877" s="79"/>
      <c r="G877" s="79"/>
      <c r="H877" s="79"/>
      <c r="I877" s="79"/>
      <c r="J877" s="79"/>
      <c r="K877" s="79"/>
      <c r="L877" s="79"/>
      <c r="N877" s="102"/>
    </row>
    <row r="878">
      <c r="A878" s="17"/>
      <c r="C878" s="79"/>
      <c r="D878" s="79"/>
      <c r="E878" s="79"/>
      <c r="F878" s="79"/>
      <c r="G878" s="79"/>
      <c r="H878" s="79"/>
      <c r="I878" s="79"/>
      <c r="J878" s="79"/>
      <c r="K878" s="79"/>
      <c r="L878" s="79"/>
      <c r="N878" s="102"/>
    </row>
    <row r="879">
      <c r="A879" s="17"/>
      <c r="C879" s="79"/>
      <c r="D879" s="79"/>
      <c r="E879" s="79"/>
      <c r="F879" s="79"/>
      <c r="G879" s="79"/>
      <c r="H879" s="79"/>
      <c r="I879" s="79"/>
      <c r="J879" s="79"/>
      <c r="K879" s="79"/>
      <c r="L879" s="79"/>
      <c r="N879" s="102"/>
    </row>
    <row r="880">
      <c r="A880" s="17"/>
      <c r="C880" s="79"/>
      <c r="D880" s="79"/>
      <c r="E880" s="79"/>
      <c r="F880" s="79"/>
      <c r="G880" s="79"/>
      <c r="H880" s="79"/>
      <c r="I880" s="79"/>
      <c r="J880" s="79"/>
      <c r="K880" s="79"/>
      <c r="L880" s="79"/>
      <c r="N880" s="102"/>
    </row>
    <row r="881">
      <c r="A881" s="17"/>
      <c r="C881" s="79"/>
      <c r="D881" s="79"/>
      <c r="E881" s="79"/>
      <c r="F881" s="79"/>
      <c r="G881" s="79"/>
      <c r="H881" s="79"/>
      <c r="I881" s="79"/>
      <c r="J881" s="79"/>
      <c r="K881" s="79"/>
      <c r="L881" s="79"/>
      <c r="N881" s="102"/>
    </row>
    <row r="882">
      <c r="A882" s="17"/>
      <c r="C882" s="79"/>
      <c r="D882" s="79"/>
      <c r="E882" s="79"/>
      <c r="F882" s="79"/>
      <c r="G882" s="79"/>
      <c r="H882" s="79"/>
      <c r="I882" s="79"/>
      <c r="J882" s="79"/>
      <c r="K882" s="79"/>
      <c r="L882" s="79"/>
      <c r="N882" s="102"/>
    </row>
    <row r="883">
      <c r="A883" s="17"/>
      <c r="C883" s="79"/>
      <c r="D883" s="79"/>
      <c r="E883" s="79"/>
      <c r="F883" s="79"/>
      <c r="G883" s="79"/>
      <c r="H883" s="79"/>
      <c r="I883" s="79"/>
      <c r="J883" s="79"/>
      <c r="K883" s="79"/>
      <c r="L883" s="79"/>
      <c r="N883" s="102"/>
    </row>
    <row r="884">
      <c r="A884" s="17"/>
      <c r="C884" s="79"/>
      <c r="D884" s="79"/>
      <c r="E884" s="79"/>
      <c r="F884" s="79"/>
      <c r="G884" s="79"/>
      <c r="H884" s="79"/>
      <c r="I884" s="79"/>
      <c r="J884" s="79"/>
      <c r="K884" s="79"/>
      <c r="L884" s="79"/>
      <c r="N884" s="102"/>
    </row>
    <row r="885">
      <c r="A885" s="17"/>
      <c r="C885" s="79"/>
      <c r="D885" s="79"/>
      <c r="E885" s="79"/>
      <c r="F885" s="79"/>
      <c r="G885" s="79"/>
      <c r="H885" s="79"/>
      <c r="I885" s="79"/>
      <c r="J885" s="79"/>
      <c r="K885" s="79"/>
      <c r="L885" s="79"/>
      <c r="N885" s="102"/>
    </row>
    <row r="886">
      <c r="A886" s="17"/>
      <c r="C886" s="79"/>
      <c r="D886" s="79"/>
      <c r="E886" s="79"/>
      <c r="F886" s="79"/>
      <c r="G886" s="79"/>
      <c r="H886" s="79"/>
      <c r="I886" s="79"/>
      <c r="J886" s="79"/>
      <c r="K886" s="79"/>
      <c r="L886" s="79"/>
      <c r="N886" s="102"/>
    </row>
    <row r="887">
      <c r="A887" s="17"/>
      <c r="C887" s="79"/>
      <c r="D887" s="79"/>
      <c r="E887" s="79"/>
      <c r="F887" s="79"/>
      <c r="G887" s="79"/>
      <c r="H887" s="79"/>
      <c r="I887" s="79"/>
      <c r="J887" s="79"/>
      <c r="K887" s="79"/>
      <c r="L887" s="79"/>
      <c r="N887" s="102"/>
    </row>
    <row r="888">
      <c r="A888" s="17"/>
      <c r="C888" s="79"/>
      <c r="D888" s="79"/>
      <c r="E888" s="79"/>
      <c r="F888" s="79"/>
      <c r="G888" s="79"/>
      <c r="H888" s="79"/>
      <c r="I888" s="79"/>
      <c r="J888" s="79"/>
      <c r="K888" s="79"/>
      <c r="L888" s="79"/>
      <c r="N888" s="102"/>
    </row>
    <row r="889">
      <c r="A889" s="17"/>
      <c r="C889" s="79"/>
      <c r="D889" s="79"/>
      <c r="E889" s="79"/>
      <c r="F889" s="79"/>
      <c r="G889" s="79"/>
      <c r="H889" s="79"/>
      <c r="I889" s="79"/>
      <c r="J889" s="79"/>
      <c r="K889" s="79"/>
      <c r="L889" s="79"/>
      <c r="N889" s="102"/>
    </row>
    <row r="890">
      <c r="A890" s="17"/>
      <c r="C890" s="79"/>
      <c r="D890" s="79"/>
      <c r="E890" s="79"/>
      <c r="F890" s="79"/>
      <c r="G890" s="79"/>
      <c r="H890" s="79"/>
      <c r="I890" s="79"/>
      <c r="J890" s="79"/>
      <c r="K890" s="79"/>
      <c r="L890" s="79"/>
      <c r="N890" s="102"/>
    </row>
    <row r="891">
      <c r="A891" s="17"/>
      <c r="C891" s="79"/>
      <c r="D891" s="79"/>
      <c r="E891" s="79"/>
      <c r="F891" s="79"/>
      <c r="G891" s="79"/>
      <c r="H891" s="79"/>
      <c r="I891" s="79"/>
      <c r="J891" s="79"/>
      <c r="K891" s="79"/>
      <c r="L891" s="79"/>
      <c r="N891" s="102"/>
    </row>
    <row r="892">
      <c r="A892" s="17"/>
      <c r="C892" s="79"/>
      <c r="D892" s="79"/>
      <c r="E892" s="79"/>
      <c r="F892" s="79"/>
      <c r="G892" s="79"/>
      <c r="H892" s="79"/>
      <c r="I892" s="79"/>
      <c r="J892" s="79"/>
      <c r="K892" s="79"/>
      <c r="L892" s="79"/>
      <c r="N892" s="102"/>
    </row>
    <row r="893">
      <c r="A893" s="17"/>
      <c r="C893" s="79"/>
      <c r="D893" s="79"/>
      <c r="E893" s="79"/>
      <c r="F893" s="79"/>
      <c r="G893" s="79"/>
      <c r="H893" s="79"/>
      <c r="I893" s="79"/>
      <c r="J893" s="79"/>
      <c r="K893" s="79"/>
      <c r="L893" s="79"/>
      <c r="N893" s="102"/>
    </row>
    <row r="894">
      <c r="A894" s="17"/>
      <c r="C894" s="79"/>
      <c r="D894" s="79"/>
      <c r="E894" s="79"/>
      <c r="F894" s="79"/>
      <c r="G894" s="79"/>
      <c r="H894" s="79"/>
      <c r="I894" s="79"/>
      <c r="J894" s="79"/>
      <c r="K894" s="79"/>
      <c r="L894" s="79"/>
      <c r="N894" s="102"/>
    </row>
    <row r="895">
      <c r="A895" s="17"/>
      <c r="C895" s="79"/>
      <c r="D895" s="79"/>
      <c r="E895" s="79"/>
      <c r="F895" s="79"/>
      <c r="G895" s="79"/>
      <c r="H895" s="79"/>
      <c r="I895" s="79"/>
      <c r="J895" s="79"/>
      <c r="K895" s="79"/>
      <c r="L895" s="79"/>
      <c r="N895" s="102"/>
    </row>
    <row r="896">
      <c r="A896" s="17"/>
      <c r="C896" s="79"/>
      <c r="D896" s="79"/>
      <c r="E896" s="79"/>
      <c r="F896" s="79"/>
      <c r="G896" s="79"/>
      <c r="H896" s="79"/>
      <c r="I896" s="79"/>
      <c r="J896" s="79"/>
      <c r="K896" s="79"/>
      <c r="L896" s="79"/>
      <c r="N896" s="102"/>
    </row>
    <row r="897">
      <c r="A897" s="17"/>
      <c r="C897" s="79"/>
      <c r="D897" s="79"/>
      <c r="E897" s="79"/>
      <c r="F897" s="79"/>
      <c r="G897" s="79"/>
      <c r="H897" s="79"/>
      <c r="I897" s="79"/>
      <c r="J897" s="79"/>
      <c r="K897" s="79"/>
      <c r="L897" s="79"/>
      <c r="N897" s="102"/>
    </row>
    <row r="898">
      <c r="A898" s="17"/>
      <c r="C898" s="79"/>
      <c r="D898" s="79"/>
      <c r="E898" s="79"/>
      <c r="F898" s="79"/>
      <c r="G898" s="79"/>
      <c r="H898" s="79"/>
      <c r="I898" s="79"/>
      <c r="J898" s="79"/>
      <c r="K898" s="79"/>
      <c r="L898" s="79"/>
      <c r="N898" s="102"/>
    </row>
    <row r="899">
      <c r="A899" s="17"/>
      <c r="C899" s="79"/>
      <c r="D899" s="79"/>
      <c r="E899" s="79"/>
      <c r="F899" s="79"/>
      <c r="G899" s="79"/>
      <c r="H899" s="79"/>
      <c r="I899" s="79"/>
      <c r="J899" s="79"/>
      <c r="K899" s="79"/>
      <c r="L899" s="79"/>
      <c r="N899" s="102"/>
    </row>
    <row r="900">
      <c r="A900" s="17"/>
      <c r="C900" s="79"/>
      <c r="D900" s="79"/>
      <c r="E900" s="79"/>
      <c r="F900" s="79"/>
      <c r="G900" s="79"/>
      <c r="H900" s="79"/>
      <c r="I900" s="79"/>
      <c r="J900" s="79"/>
      <c r="K900" s="79"/>
      <c r="L900" s="79"/>
      <c r="N900" s="102"/>
    </row>
    <row r="901">
      <c r="A901" s="17"/>
      <c r="C901" s="79"/>
      <c r="D901" s="79"/>
      <c r="E901" s="79"/>
      <c r="F901" s="79"/>
      <c r="G901" s="79"/>
      <c r="H901" s="79"/>
      <c r="I901" s="79"/>
      <c r="J901" s="79"/>
      <c r="K901" s="79"/>
      <c r="L901" s="79"/>
      <c r="N901" s="102"/>
    </row>
    <row r="902">
      <c r="A902" s="17"/>
      <c r="C902" s="79"/>
      <c r="D902" s="79"/>
      <c r="E902" s="79"/>
      <c r="F902" s="79"/>
      <c r="G902" s="79"/>
      <c r="H902" s="79"/>
      <c r="I902" s="79"/>
      <c r="J902" s="79"/>
      <c r="K902" s="79"/>
      <c r="L902" s="79"/>
      <c r="N902" s="102"/>
    </row>
    <row r="903">
      <c r="A903" s="17"/>
      <c r="C903" s="79"/>
      <c r="D903" s="79"/>
      <c r="E903" s="79"/>
      <c r="F903" s="79"/>
      <c r="G903" s="79"/>
      <c r="H903" s="79"/>
      <c r="I903" s="79"/>
      <c r="J903" s="79"/>
      <c r="K903" s="79"/>
      <c r="L903" s="79"/>
      <c r="N903" s="102"/>
    </row>
    <row r="904">
      <c r="A904" s="17"/>
      <c r="C904" s="79"/>
      <c r="D904" s="79"/>
      <c r="E904" s="79"/>
      <c r="F904" s="79"/>
      <c r="G904" s="79"/>
      <c r="H904" s="79"/>
      <c r="I904" s="79"/>
      <c r="J904" s="79"/>
      <c r="K904" s="79"/>
      <c r="L904" s="79"/>
      <c r="N904" s="102"/>
    </row>
    <row r="905">
      <c r="A905" s="17"/>
      <c r="C905" s="79"/>
      <c r="D905" s="79"/>
      <c r="E905" s="79"/>
      <c r="F905" s="79"/>
      <c r="G905" s="79"/>
      <c r="H905" s="79"/>
      <c r="I905" s="79"/>
      <c r="J905" s="79"/>
      <c r="K905" s="79"/>
      <c r="L905" s="79"/>
      <c r="N905" s="102"/>
    </row>
    <row r="906">
      <c r="A906" s="17"/>
      <c r="C906" s="79"/>
      <c r="D906" s="79"/>
      <c r="E906" s="79"/>
      <c r="F906" s="79"/>
      <c r="G906" s="79"/>
      <c r="H906" s="79"/>
      <c r="I906" s="79"/>
      <c r="J906" s="79"/>
      <c r="K906" s="79"/>
      <c r="L906" s="79"/>
      <c r="N906" s="102"/>
    </row>
    <row r="907">
      <c r="A907" s="17"/>
      <c r="C907" s="79"/>
      <c r="D907" s="79"/>
      <c r="E907" s="79"/>
      <c r="F907" s="79"/>
      <c r="G907" s="79"/>
      <c r="H907" s="79"/>
      <c r="I907" s="79"/>
      <c r="J907" s="79"/>
      <c r="K907" s="79"/>
      <c r="L907" s="79"/>
      <c r="N907" s="102"/>
    </row>
    <row r="908">
      <c r="A908" s="17"/>
      <c r="C908" s="79"/>
      <c r="D908" s="79"/>
      <c r="E908" s="79"/>
      <c r="F908" s="79"/>
      <c r="G908" s="79"/>
      <c r="H908" s="79"/>
      <c r="I908" s="79"/>
      <c r="J908" s="79"/>
      <c r="K908" s="79"/>
      <c r="L908" s="79"/>
      <c r="N908" s="102"/>
    </row>
    <row r="909">
      <c r="A909" s="17"/>
      <c r="C909" s="79"/>
      <c r="D909" s="79"/>
      <c r="E909" s="79"/>
      <c r="F909" s="79"/>
      <c r="G909" s="79"/>
      <c r="H909" s="79"/>
      <c r="I909" s="79"/>
      <c r="J909" s="79"/>
      <c r="K909" s="79"/>
      <c r="L909" s="79"/>
      <c r="N909" s="102"/>
    </row>
    <row r="910">
      <c r="A910" s="17"/>
      <c r="C910" s="79"/>
      <c r="D910" s="79"/>
      <c r="E910" s="79"/>
      <c r="F910" s="79"/>
      <c r="G910" s="79"/>
      <c r="H910" s="79"/>
      <c r="I910" s="79"/>
      <c r="J910" s="79"/>
      <c r="K910" s="79"/>
      <c r="L910" s="79"/>
      <c r="N910" s="102"/>
    </row>
    <row r="911">
      <c r="A911" s="17"/>
      <c r="C911" s="79"/>
      <c r="D911" s="79"/>
      <c r="E911" s="79"/>
      <c r="F911" s="79"/>
      <c r="G911" s="79"/>
      <c r="H911" s="79"/>
      <c r="I911" s="79"/>
      <c r="J911" s="79"/>
      <c r="K911" s="79"/>
      <c r="L911" s="79"/>
      <c r="N911" s="102"/>
    </row>
    <row r="912">
      <c r="A912" s="17"/>
      <c r="C912" s="79"/>
      <c r="D912" s="79"/>
      <c r="E912" s="79"/>
      <c r="F912" s="79"/>
      <c r="G912" s="79"/>
      <c r="H912" s="79"/>
      <c r="I912" s="79"/>
      <c r="J912" s="79"/>
      <c r="K912" s="79"/>
      <c r="L912" s="79"/>
      <c r="N912" s="102"/>
    </row>
    <row r="913">
      <c r="A913" s="17"/>
      <c r="C913" s="79"/>
      <c r="D913" s="79"/>
      <c r="E913" s="79"/>
      <c r="F913" s="79"/>
      <c r="G913" s="79"/>
      <c r="H913" s="79"/>
      <c r="I913" s="79"/>
      <c r="J913" s="79"/>
      <c r="K913" s="79"/>
      <c r="L913" s="79"/>
      <c r="N913" s="102"/>
    </row>
    <row r="914">
      <c r="A914" s="17"/>
      <c r="C914" s="79"/>
      <c r="D914" s="79"/>
      <c r="E914" s="79"/>
      <c r="F914" s="79"/>
      <c r="G914" s="79"/>
      <c r="H914" s="79"/>
      <c r="I914" s="79"/>
      <c r="J914" s="79"/>
      <c r="K914" s="79"/>
      <c r="L914" s="79"/>
      <c r="N914" s="102"/>
    </row>
    <row r="915">
      <c r="A915" s="17"/>
      <c r="C915" s="79"/>
      <c r="D915" s="79"/>
      <c r="E915" s="79"/>
      <c r="F915" s="79"/>
      <c r="G915" s="79"/>
      <c r="H915" s="79"/>
      <c r="I915" s="79"/>
      <c r="J915" s="79"/>
      <c r="K915" s="79"/>
      <c r="L915" s="79"/>
      <c r="N915" s="102"/>
    </row>
    <row r="916">
      <c r="A916" s="17"/>
      <c r="C916" s="79"/>
      <c r="D916" s="79"/>
      <c r="E916" s="79"/>
      <c r="F916" s="79"/>
      <c r="G916" s="79"/>
      <c r="H916" s="79"/>
      <c r="I916" s="79"/>
      <c r="J916" s="79"/>
      <c r="K916" s="79"/>
      <c r="L916" s="79"/>
      <c r="N916" s="102"/>
    </row>
    <row r="917">
      <c r="A917" s="17"/>
      <c r="C917" s="79"/>
      <c r="D917" s="79"/>
      <c r="E917" s="79"/>
      <c r="F917" s="79"/>
      <c r="G917" s="79"/>
      <c r="H917" s="79"/>
      <c r="I917" s="79"/>
      <c r="J917" s="79"/>
      <c r="K917" s="79"/>
      <c r="L917" s="79"/>
      <c r="N917" s="102"/>
    </row>
    <row r="918">
      <c r="A918" s="17"/>
      <c r="C918" s="79"/>
      <c r="D918" s="79"/>
      <c r="E918" s="79"/>
      <c r="F918" s="79"/>
      <c r="G918" s="79"/>
      <c r="H918" s="79"/>
      <c r="I918" s="79"/>
      <c r="J918" s="79"/>
      <c r="K918" s="79"/>
      <c r="L918" s="79"/>
      <c r="N918" s="102"/>
    </row>
    <row r="919">
      <c r="A919" s="17"/>
      <c r="C919" s="79"/>
      <c r="D919" s="79"/>
      <c r="E919" s="79"/>
      <c r="F919" s="79"/>
      <c r="G919" s="79"/>
      <c r="H919" s="79"/>
      <c r="I919" s="79"/>
      <c r="J919" s="79"/>
      <c r="K919" s="79"/>
      <c r="L919" s="79"/>
      <c r="N919" s="102"/>
    </row>
    <row r="920">
      <c r="A920" s="17"/>
      <c r="C920" s="79"/>
      <c r="D920" s="79"/>
      <c r="E920" s="79"/>
      <c r="F920" s="79"/>
      <c r="G920" s="79"/>
      <c r="H920" s="79"/>
      <c r="I920" s="79"/>
      <c r="J920" s="79"/>
      <c r="K920" s="79"/>
      <c r="L920" s="79"/>
      <c r="N920" s="102"/>
    </row>
    <row r="921">
      <c r="A921" s="17"/>
      <c r="C921" s="79"/>
      <c r="D921" s="79"/>
      <c r="E921" s="79"/>
      <c r="F921" s="79"/>
      <c r="G921" s="79"/>
      <c r="H921" s="79"/>
      <c r="I921" s="79"/>
      <c r="J921" s="79"/>
      <c r="K921" s="79"/>
      <c r="L921" s="79"/>
      <c r="N921" s="102"/>
    </row>
    <row r="922">
      <c r="A922" s="17"/>
      <c r="C922" s="79"/>
      <c r="D922" s="79"/>
      <c r="E922" s="79"/>
      <c r="F922" s="79"/>
      <c r="G922" s="79"/>
      <c r="H922" s="79"/>
      <c r="I922" s="79"/>
      <c r="J922" s="79"/>
      <c r="K922" s="79"/>
      <c r="L922" s="79"/>
      <c r="N922" s="102"/>
    </row>
    <row r="923">
      <c r="A923" s="17"/>
      <c r="C923" s="79"/>
      <c r="D923" s="79"/>
      <c r="E923" s="79"/>
      <c r="F923" s="79"/>
      <c r="G923" s="79"/>
      <c r="H923" s="79"/>
      <c r="I923" s="79"/>
      <c r="J923" s="79"/>
      <c r="K923" s="79"/>
      <c r="L923" s="79"/>
      <c r="N923" s="102"/>
    </row>
    <row r="924">
      <c r="A924" s="17"/>
      <c r="C924" s="79"/>
      <c r="D924" s="79"/>
      <c r="E924" s="79"/>
      <c r="F924" s="79"/>
      <c r="G924" s="79"/>
      <c r="H924" s="79"/>
      <c r="I924" s="79"/>
      <c r="J924" s="79"/>
      <c r="K924" s="79"/>
      <c r="L924" s="79"/>
      <c r="N924" s="102"/>
    </row>
    <row r="925">
      <c r="A925" s="17"/>
      <c r="C925" s="79"/>
      <c r="D925" s="79"/>
      <c r="E925" s="79"/>
      <c r="F925" s="79"/>
      <c r="G925" s="79"/>
      <c r="H925" s="79"/>
      <c r="I925" s="79"/>
      <c r="J925" s="79"/>
      <c r="K925" s="79"/>
      <c r="L925" s="79"/>
      <c r="N925" s="102"/>
    </row>
    <row r="926">
      <c r="A926" s="17"/>
      <c r="C926" s="79"/>
      <c r="D926" s="79"/>
      <c r="E926" s="79"/>
      <c r="F926" s="79"/>
      <c r="G926" s="79"/>
      <c r="H926" s="79"/>
      <c r="I926" s="79"/>
      <c r="J926" s="79"/>
      <c r="K926" s="79"/>
      <c r="L926" s="79"/>
      <c r="N926" s="102"/>
    </row>
    <row r="927">
      <c r="A927" s="17"/>
      <c r="C927" s="79"/>
      <c r="D927" s="79"/>
      <c r="E927" s="79"/>
      <c r="F927" s="79"/>
      <c r="G927" s="79"/>
      <c r="H927" s="79"/>
      <c r="I927" s="79"/>
      <c r="J927" s="79"/>
      <c r="K927" s="79"/>
      <c r="L927" s="79"/>
      <c r="N927" s="102"/>
    </row>
    <row r="928">
      <c r="A928" s="17"/>
      <c r="C928" s="79"/>
      <c r="D928" s="79"/>
      <c r="E928" s="79"/>
      <c r="F928" s="79"/>
      <c r="G928" s="79"/>
      <c r="H928" s="79"/>
      <c r="I928" s="79"/>
      <c r="J928" s="79"/>
      <c r="K928" s="79"/>
      <c r="L928" s="79"/>
      <c r="N928" s="102"/>
    </row>
    <row r="929">
      <c r="A929" s="17"/>
      <c r="C929" s="79"/>
      <c r="D929" s="79"/>
      <c r="E929" s="79"/>
      <c r="F929" s="79"/>
      <c r="G929" s="79"/>
      <c r="H929" s="79"/>
      <c r="I929" s="79"/>
      <c r="J929" s="79"/>
      <c r="K929" s="79"/>
      <c r="L929" s="79"/>
      <c r="N929" s="102"/>
    </row>
    <row r="930">
      <c r="A930" s="17"/>
      <c r="C930" s="79"/>
      <c r="D930" s="79"/>
      <c r="E930" s="79"/>
      <c r="F930" s="79"/>
      <c r="G930" s="79"/>
      <c r="H930" s="79"/>
      <c r="I930" s="79"/>
      <c r="J930" s="79"/>
      <c r="K930" s="79"/>
      <c r="L930" s="79"/>
      <c r="N930" s="102"/>
    </row>
    <row r="931">
      <c r="A931" s="17"/>
      <c r="C931" s="79"/>
      <c r="D931" s="79"/>
      <c r="E931" s="79"/>
      <c r="F931" s="79"/>
      <c r="G931" s="79"/>
      <c r="H931" s="79"/>
      <c r="I931" s="79"/>
      <c r="J931" s="79"/>
      <c r="K931" s="79"/>
      <c r="L931" s="79"/>
      <c r="N931" s="102"/>
    </row>
    <row r="932">
      <c r="A932" s="17"/>
      <c r="C932" s="79"/>
      <c r="D932" s="79"/>
      <c r="E932" s="79"/>
      <c r="F932" s="79"/>
      <c r="G932" s="79"/>
      <c r="H932" s="79"/>
      <c r="I932" s="79"/>
      <c r="J932" s="79"/>
      <c r="K932" s="79"/>
      <c r="L932" s="79"/>
      <c r="N932" s="102"/>
    </row>
    <row r="933">
      <c r="A933" s="17"/>
      <c r="C933" s="79"/>
      <c r="D933" s="79"/>
      <c r="E933" s="79"/>
      <c r="F933" s="79"/>
      <c r="G933" s="79"/>
      <c r="H933" s="79"/>
      <c r="I933" s="79"/>
      <c r="J933" s="79"/>
      <c r="K933" s="79"/>
      <c r="L933" s="79"/>
      <c r="N933" s="102"/>
    </row>
    <row r="934">
      <c r="A934" s="17"/>
      <c r="C934" s="79"/>
      <c r="D934" s="79"/>
      <c r="E934" s="79"/>
      <c r="F934" s="79"/>
      <c r="G934" s="79"/>
      <c r="H934" s="79"/>
      <c r="I934" s="79"/>
      <c r="J934" s="79"/>
      <c r="K934" s="79"/>
      <c r="L934" s="79"/>
      <c r="N934" s="102"/>
    </row>
    <row r="935">
      <c r="A935" s="17"/>
      <c r="C935" s="79"/>
      <c r="D935" s="79"/>
      <c r="E935" s="79"/>
      <c r="F935" s="79"/>
      <c r="G935" s="79"/>
      <c r="H935" s="79"/>
      <c r="I935" s="79"/>
      <c r="J935" s="79"/>
      <c r="K935" s="79"/>
      <c r="L935" s="79"/>
      <c r="N935" s="102"/>
    </row>
    <row r="936">
      <c r="A936" s="17"/>
      <c r="C936" s="79"/>
      <c r="D936" s="79"/>
      <c r="E936" s="79"/>
      <c r="F936" s="79"/>
      <c r="G936" s="79"/>
      <c r="H936" s="79"/>
      <c r="I936" s="79"/>
      <c r="J936" s="79"/>
      <c r="K936" s="79"/>
      <c r="L936" s="79"/>
      <c r="N936" s="102"/>
    </row>
    <row r="937">
      <c r="A937" s="17"/>
      <c r="C937" s="79"/>
      <c r="D937" s="79"/>
      <c r="E937" s="79"/>
      <c r="F937" s="79"/>
      <c r="G937" s="79"/>
      <c r="H937" s="79"/>
      <c r="I937" s="79"/>
      <c r="J937" s="79"/>
      <c r="K937" s="79"/>
      <c r="L937" s="79"/>
      <c r="N937" s="102"/>
    </row>
    <row r="938">
      <c r="A938" s="17"/>
      <c r="C938" s="79"/>
      <c r="D938" s="79"/>
      <c r="E938" s="79"/>
      <c r="F938" s="79"/>
      <c r="G938" s="79"/>
      <c r="H938" s="79"/>
      <c r="I938" s="79"/>
      <c r="J938" s="79"/>
      <c r="K938" s="79"/>
      <c r="L938" s="79"/>
      <c r="N938" s="102"/>
    </row>
    <row r="939">
      <c r="A939" s="17"/>
      <c r="C939" s="79"/>
      <c r="D939" s="79"/>
      <c r="E939" s="79"/>
      <c r="F939" s="79"/>
      <c r="G939" s="79"/>
      <c r="H939" s="79"/>
      <c r="I939" s="79"/>
      <c r="J939" s="79"/>
      <c r="K939" s="79"/>
      <c r="L939" s="79"/>
      <c r="N939" s="102"/>
    </row>
    <row r="940">
      <c r="A940" s="17"/>
      <c r="C940" s="79"/>
      <c r="D940" s="79"/>
      <c r="E940" s="79"/>
      <c r="F940" s="79"/>
      <c r="G940" s="79"/>
      <c r="H940" s="79"/>
      <c r="I940" s="79"/>
      <c r="J940" s="79"/>
      <c r="K940" s="79"/>
      <c r="L940" s="79"/>
      <c r="N940" s="102"/>
    </row>
    <row r="941">
      <c r="A941" s="17"/>
      <c r="C941" s="79"/>
      <c r="D941" s="79"/>
      <c r="E941" s="79"/>
      <c r="F941" s="79"/>
      <c r="G941" s="79"/>
      <c r="H941" s="79"/>
      <c r="I941" s="79"/>
      <c r="J941" s="79"/>
      <c r="K941" s="79"/>
      <c r="L941" s="79"/>
      <c r="N941" s="102"/>
    </row>
    <row r="942">
      <c r="A942" s="17"/>
      <c r="C942" s="79"/>
      <c r="D942" s="79"/>
      <c r="E942" s="79"/>
      <c r="F942" s="79"/>
      <c r="G942" s="79"/>
      <c r="H942" s="79"/>
      <c r="I942" s="79"/>
      <c r="J942" s="79"/>
      <c r="K942" s="79"/>
      <c r="L942" s="79"/>
      <c r="N942" s="102"/>
    </row>
    <row r="943">
      <c r="A943" s="17"/>
      <c r="C943" s="79"/>
      <c r="D943" s="79"/>
      <c r="E943" s="79"/>
      <c r="F943" s="79"/>
      <c r="G943" s="79"/>
      <c r="H943" s="79"/>
      <c r="I943" s="79"/>
      <c r="J943" s="79"/>
      <c r="K943" s="79"/>
      <c r="L943" s="79"/>
      <c r="N943" s="102"/>
    </row>
    <row r="944">
      <c r="A944" s="17"/>
      <c r="C944" s="79"/>
      <c r="D944" s="79"/>
      <c r="E944" s="79"/>
      <c r="F944" s="79"/>
      <c r="G944" s="79"/>
      <c r="H944" s="79"/>
      <c r="I944" s="79"/>
      <c r="J944" s="79"/>
      <c r="K944" s="79"/>
      <c r="L944" s="79"/>
      <c r="N944" s="102"/>
    </row>
    <row r="945">
      <c r="A945" s="17"/>
      <c r="C945" s="79"/>
      <c r="D945" s="79"/>
      <c r="E945" s="79"/>
      <c r="F945" s="79"/>
      <c r="G945" s="79"/>
      <c r="H945" s="79"/>
      <c r="I945" s="79"/>
      <c r="J945" s="79"/>
      <c r="K945" s="79"/>
      <c r="L945" s="79"/>
      <c r="N945" s="102"/>
    </row>
    <row r="946">
      <c r="A946" s="17"/>
      <c r="C946" s="79"/>
      <c r="D946" s="79"/>
      <c r="E946" s="79"/>
      <c r="F946" s="79"/>
      <c r="G946" s="79"/>
      <c r="H946" s="79"/>
      <c r="I946" s="79"/>
      <c r="J946" s="79"/>
      <c r="K946" s="79"/>
      <c r="L946" s="79"/>
      <c r="N946" s="102"/>
    </row>
    <row r="947">
      <c r="A947" s="17"/>
      <c r="C947" s="79"/>
      <c r="D947" s="79"/>
      <c r="E947" s="79"/>
      <c r="F947" s="79"/>
      <c r="G947" s="79"/>
      <c r="H947" s="79"/>
      <c r="I947" s="79"/>
      <c r="J947" s="79"/>
      <c r="K947" s="79"/>
      <c r="L947" s="79"/>
      <c r="N947" s="102"/>
    </row>
    <row r="948">
      <c r="A948" s="17"/>
      <c r="C948" s="79"/>
      <c r="D948" s="79"/>
      <c r="E948" s="79"/>
      <c r="F948" s="79"/>
      <c r="G948" s="79"/>
      <c r="H948" s="79"/>
      <c r="I948" s="79"/>
      <c r="J948" s="79"/>
      <c r="K948" s="79"/>
      <c r="L948" s="79"/>
      <c r="N948" s="102"/>
    </row>
    <row r="949">
      <c r="A949" s="17"/>
      <c r="C949" s="79"/>
      <c r="D949" s="79"/>
      <c r="E949" s="79"/>
      <c r="F949" s="79"/>
      <c r="G949" s="79"/>
      <c r="H949" s="79"/>
      <c r="I949" s="79"/>
      <c r="J949" s="79"/>
      <c r="K949" s="79"/>
      <c r="L949" s="79"/>
      <c r="N949" s="102"/>
    </row>
    <row r="950">
      <c r="A950" s="17"/>
      <c r="C950" s="79"/>
      <c r="D950" s="79"/>
      <c r="E950" s="79"/>
      <c r="F950" s="79"/>
      <c r="G950" s="79"/>
      <c r="H950" s="79"/>
      <c r="I950" s="79"/>
      <c r="J950" s="79"/>
      <c r="K950" s="79"/>
      <c r="L950" s="79"/>
      <c r="N950" s="102"/>
    </row>
    <row r="951">
      <c r="A951" s="17"/>
      <c r="C951" s="79"/>
      <c r="D951" s="79"/>
      <c r="E951" s="79"/>
      <c r="F951" s="79"/>
      <c r="G951" s="79"/>
      <c r="H951" s="79"/>
      <c r="I951" s="79"/>
      <c r="J951" s="79"/>
      <c r="K951" s="79"/>
      <c r="L951" s="79"/>
      <c r="N951" s="102"/>
    </row>
    <row r="952">
      <c r="A952" s="17"/>
      <c r="C952" s="79"/>
      <c r="D952" s="79"/>
      <c r="E952" s="79"/>
      <c r="F952" s="79"/>
      <c r="G952" s="79"/>
      <c r="H952" s="79"/>
      <c r="I952" s="79"/>
      <c r="J952" s="79"/>
      <c r="K952" s="79"/>
      <c r="L952" s="79"/>
      <c r="N952" s="102"/>
    </row>
    <row r="953">
      <c r="A953" s="17"/>
      <c r="C953" s="79"/>
      <c r="D953" s="79"/>
      <c r="E953" s="79"/>
      <c r="F953" s="79"/>
      <c r="G953" s="79"/>
      <c r="H953" s="79"/>
      <c r="I953" s="79"/>
      <c r="J953" s="79"/>
      <c r="K953" s="79"/>
      <c r="L953" s="79"/>
      <c r="N953" s="102"/>
    </row>
  </sheetData>
  <mergeCells count="5">
    <mergeCell ref="N2:N3"/>
    <mergeCell ref="O2:O3"/>
    <mergeCell ref="P2:R2"/>
    <mergeCell ref="S2:U2"/>
    <mergeCell ref="V2:X2"/>
  </mergeCell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7.63"/>
    <col customWidth="1" min="4" max="7" width="5.88"/>
    <col customWidth="1" min="11" max="13" width="11.0"/>
    <col customWidth="1" min="14" max="16" width="6.0"/>
  </cols>
  <sheetData>
    <row r="1">
      <c r="I1" s="102"/>
    </row>
    <row r="2">
      <c r="I2" s="127" t="s">
        <v>352</v>
      </c>
      <c r="J2" s="128" t="s">
        <v>353</v>
      </c>
      <c r="K2" s="129" t="str">
        <f>D2</f>
        <v/>
      </c>
      <c r="N2" s="79"/>
    </row>
    <row r="3">
      <c r="K3" s="130" t="s">
        <v>18</v>
      </c>
      <c r="L3" s="130" t="s">
        <v>24</v>
      </c>
      <c r="M3" s="130" t="s">
        <v>32</v>
      </c>
      <c r="N3" s="89"/>
      <c r="O3" s="89"/>
      <c r="P3" s="89"/>
    </row>
    <row r="4">
      <c r="I4" s="126" t="str">
        <f t="shared" ref="I4:I7" si="2">B4</f>
        <v>501432 PAPA FRANCISCO I</v>
      </c>
      <c r="J4" s="37" t="str">
        <f t="shared" ref="J4:J80" si="3">D4</f>
        <v>4 Secundaria</v>
      </c>
      <c r="K4" s="103">
        <f t="shared" ref="K4:M4" si="1">E4/SUM($E4:$G4)</f>
        <v>1</v>
      </c>
      <c r="L4" s="103">
        <f t="shared" si="1"/>
        <v>0</v>
      </c>
      <c r="M4" s="103">
        <f t="shared" si="1"/>
        <v>0</v>
      </c>
      <c r="N4" s="103"/>
      <c r="O4" s="103"/>
      <c r="P4" s="103"/>
    </row>
    <row r="5">
      <c r="I5" s="126" t="str">
        <f t="shared" si="2"/>
        <v>50854</v>
      </c>
      <c r="J5" s="37" t="str">
        <f t="shared" si="3"/>
        <v>2 Primaria</v>
      </c>
      <c r="K5" s="103">
        <f t="shared" ref="K5:M5" si="4">E5/SUM($E5:$G5)</f>
        <v>0</v>
      </c>
      <c r="L5" s="103">
        <f t="shared" si="4"/>
        <v>1</v>
      </c>
      <c r="M5" s="103">
        <f t="shared" si="4"/>
        <v>0</v>
      </c>
      <c r="N5" s="103"/>
      <c r="O5" s="103"/>
      <c r="P5" s="103"/>
    </row>
    <row r="6">
      <c r="I6" s="102" t="str">
        <f t="shared" si="2"/>
        <v/>
      </c>
      <c r="J6" s="37" t="str">
        <f t="shared" si="3"/>
        <v/>
      </c>
      <c r="K6" s="103">
        <f t="shared" ref="K6:M6" si="5">E6/SUM($E6:$G6)</f>
        <v>0.96</v>
      </c>
      <c r="L6" s="103">
        <f t="shared" si="5"/>
        <v>0.04</v>
      </c>
      <c r="M6" s="103">
        <f t="shared" si="5"/>
        <v>0</v>
      </c>
      <c r="N6" s="103"/>
      <c r="O6" s="103"/>
      <c r="P6" s="103"/>
    </row>
    <row r="7">
      <c r="I7" s="126" t="str">
        <f t="shared" si="2"/>
        <v>6010102</v>
      </c>
      <c r="J7" s="37" t="str">
        <f t="shared" si="3"/>
        <v>2 Primaria</v>
      </c>
      <c r="K7" s="103">
        <f t="shared" ref="K7:M7" si="6">E7/SUM($E7:$G7)</f>
        <v>0.6666666667</v>
      </c>
      <c r="L7" s="103">
        <f t="shared" si="6"/>
        <v>0.3333333333</v>
      </c>
      <c r="M7" s="103">
        <f t="shared" si="6"/>
        <v>0</v>
      </c>
      <c r="N7" s="103"/>
      <c r="O7" s="103"/>
      <c r="P7" s="103"/>
    </row>
    <row r="8">
      <c r="J8" s="37" t="str">
        <f t="shared" si="3"/>
        <v>4 Primaria</v>
      </c>
      <c r="K8" s="103">
        <f t="shared" ref="K8:M8" si="7">E8/SUM($E8:$G8)</f>
        <v>0</v>
      </c>
      <c r="L8" s="103">
        <f t="shared" si="7"/>
        <v>1</v>
      </c>
      <c r="M8" s="103">
        <f t="shared" si="7"/>
        <v>0</v>
      </c>
      <c r="N8" s="103"/>
      <c r="O8" s="103"/>
      <c r="P8" s="103"/>
    </row>
    <row r="9">
      <c r="J9" s="37" t="str">
        <f t="shared" si="3"/>
        <v>6 Primaria</v>
      </c>
      <c r="K9" s="103">
        <f t="shared" ref="K9:M9" si="8">E9/SUM($E9:$G9)</f>
        <v>0.5</v>
      </c>
      <c r="L9" s="103">
        <f t="shared" si="8"/>
        <v>0.5</v>
      </c>
      <c r="M9" s="103">
        <f t="shared" si="8"/>
        <v>0</v>
      </c>
      <c r="N9" s="103"/>
      <c r="O9" s="103"/>
      <c r="P9" s="103"/>
    </row>
    <row r="10">
      <c r="I10" s="126" t="str">
        <f>B10</f>
        <v>6010178</v>
      </c>
      <c r="J10" s="37" t="str">
        <f t="shared" si="3"/>
        <v>2 Primaria</v>
      </c>
      <c r="K10" s="103">
        <f t="shared" ref="K10:M10" si="9">E10/SUM($E10:$G10)</f>
        <v>0</v>
      </c>
      <c r="L10" s="103">
        <f t="shared" si="9"/>
        <v>0</v>
      </c>
      <c r="M10" s="103">
        <f t="shared" si="9"/>
        <v>1</v>
      </c>
      <c r="N10" s="103"/>
      <c r="O10" s="103"/>
      <c r="P10" s="103"/>
    </row>
    <row r="11">
      <c r="J11" s="37" t="str">
        <f t="shared" si="3"/>
        <v>6 Primaria</v>
      </c>
      <c r="K11" s="103">
        <f t="shared" ref="K11:M11" si="10">E11/SUM($E11:$G11)</f>
        <v>1</v>
      </c>
      <c r="L11" s="103">
        <f t="shared" si="10"/>
        <v>0</v>
      </c>
      <c r="M11" s="103">
        <f t="shared" si="10"/>
        <v>0</v>
      </c>
      <c r="N11" s="103"/>
      <c r="O11" s="103"/>
      <c r="P11" s="103"/>
    </row>
    <row r="12">
      <c r="I12" s="126" t="str">
        <f>B12</f>
        <v>6010231</v>
      </c>
      <c r="J12" s="37" t="str">
        <f t="shared" si="3"/>
        <v>2 Primaria</v>
      </c>
      <c r="K12" s="103">
        <f t="shared" ref="K12:M12" si="11">E12/SUM($E12:$G12)</f>
        <v>0.3</v>
      </c>
      <c r="L12" s="103">
        <f t="shared" si="11"/>
        <v>0.6</v>
      </c>
      <c r="M12" s="103">
        <f t="shared" si="11"/>
        <v>0.1</v>
      </c>
      <c r="N12" s="103"/>
      <c r="O12" s="103"/>
      <c r="P12" s="103"/>
    </row>
    <row r="13">
      <c r="J13" s="37" t="str">
        <f t="shared" si="3"/>
        <v>4 Primaria</v>
      </c>
      <c r="K13" s="103">
        <f t="shared" ref="K13:M13" si="12">E13/SUM($E13:$G13)</f>
        <v>0.1333333333</v>
      </c>
      <c r="L13" s="103">
        <f t="shared" si="12"/>
        <v>0.8666666667</v>
      </c>
      <c r="M13" s="103">
        <f t="shared" si="12"/>
        <v>0</v>
      </c>
      <c r="N13" s="103"/>
      <c r="O13" s="103"/>
      <c r="P13" s="103"/>
    </row>
    <row r="14">
      <c r="J14" s="37" t="str">
        <f t="shared" si="3"/>
        <v>6 Primaria</v>
      </c>
      <c r="K14" s="103">
        <f t="shared" ref="K14:M14" si="13">E14/SUM($E14:$G14)</f>
        <v>0.3076923077</v>
      </c>
      <c r="L14" s="103">
        <f t="shared" si="13"/>
        <v>0.4615384615</v>
      </c>
      <c r="M14" s="103">
        <f t="shared" si="13"/>
        <v>0.2307692308</v>
      </c>
      <c r="N14" s="103"/>
      <c r="O14" s="103"/>
      <c r="P14" s="103"/>
    </row>
    <row r="15">
      <c r="J15" s="37" t="str">
        <f t="shared" si="3"/>
        <v>2 Secundaria</v>
      </c>
      <c r="K15" s="103">
        <f t="shared" ref="K15:M15" si="14">E15/SUM($E15:$G15)</f>
        <v>0.4347826087</v>
      </c>
      <c r="L15" s="103">
        <f t="shared" si="14"/>
        <v>0.5652173913</v>
      </c>
      <c r="M15" s="103">
        <f t="shared" si="14"/>
        <v>0</v>
      </c>
      <c r="N15" s="103"/>
      <c r="O15" s="103"/>
      <c r="P15" s="103"/>
    </row>
    <row r="16">
      <c r="J16" s="37" t="str">
        <f t="shared" si="3"/>
        <v>4 Secundaria</v>
      </c>
      <c r="K16" s="103">
        <f t="shared" ref="K16:M16" si="15">E16/SUM($E16:$G16)</f>
        <v>1</v>
      </c>
      <c r="L16" s="103">
        <f t="shared" si="15"/>
        <v>0</v>
      </c>
      <c r="M16" s="103">
        <f t="shared" si="15"/>
        <v>0</v>
      </c>
      <c r="N16" s="103"/>
      <c r="O16" s="103"/>
      <c r="P16" s="103"/>
    </row>
    <row r="17">
      <c r="I17" s="126" t="str">
        <f>B17</f>
        <v>60136</v>
      </c>
      <c r="J17" s="37" t="str">
        <f t="shared" si="3"/>
        <v>2 Primaria</v>
      </c>
      <c r="K17" s="103">
        <f t="shared" ref="K17:M17" si="16">E17/SUM($E17:$G17)</f>
        <v>1</v>
      </c>
      <c r="L17" s="103">
        <f t="shared" si="16"/>
        <v>0</v>
      </c>
      <c r="M17" s="103">
        <f t="shared" si="16"/>
        <v>0</v>
      </c>
      <c r="N17" s="103"/>
      <c r="O17" s="103"/>
      <c r="P17" s="103"/>
    </row>
    <row r="18">
      <c r="J18" s="37" t="str">
        <f t="shared" si="3"/>
        <v>4 Primaria</v>
      </c>
      <c r="K18" s="103">
        <f t="shared" ref="K18:M18" si="17">E18/SUM($E18:$G18)</f>
        <v>1</v>
      </c>
      <c r="L18" s="103">
        <f t="shared" si="17"/>
        <v>0</v>
      </c>
      <c r="M18" s="103">
        <f t="shared" si="17"/>
        <v>0</v>
      </c>
      <c r="N18" s="103"/>
      <c r="O18" s="103"/>
      <c r="P18" s="103"/>
    </row>
    <row r="19">
      <c r="J19" s="37" t="str">
        <f t="shared" si="3"/>
        <v>6 Primaria</v>
      </c>
      <c r="K19" s="103">
        <f t="shared" ref="K19:M19" si="18">E19/SUM($E19:$G19)</f>
        <v>1</v>
      </c>
      <c r="L19" s="103">
        <f t="shared" si="18"/>
        <v>0</v>
      </c>
      <c r="M19" s="103">
        <f t="shared" si="18"/>
        <v>0</v>
      </c>
      <c r="N19" s="103"/>
      <c r="O19" s="103"/>
      <c r="P19" s="103"/>
    </row>
    <row r="20">
      <c r="I20" s="126" t="str">
        <f>B20</f>
        <v>601391</v>
      </c>
      <c r="J20" s="37" t="str">
        <f t="shared" si="3"/>
        <v>2 Primaria</v>
      </c>
      <c r="K20" s="103">
        <f t="shared" ref="K20:M20" si="19">E20/SUM($E20:$G20)</f>
        <v>0</v>
      </c>
      <c r="L20" s="103">
        <f t="shared" si="19"/>
        <v>1</v>
      </c>
      <c r="M20" s="103">
        <f t="shared" si="19"/>
        <v>0</v>
      </c>
      <c r="N20" s="103"/>
      <c r="O20" s="103"/>
      <c r="P20" s="103"/>
    </row>
    <row r="21">
      <c r="J21" s="37" t="str">
        <f t="shared" si="3"/>
        <v>6 Primaria</v>
      </c>
      <c r="K21" s="103">
        <f t="shared" ref="K21:M21" si="20">E21/SUM($E21:$G21)</f>
        <v>0</v>
      </c>
      <c r="L21" s="103">
        <f t="shared" si="20"/>
        <v>1</v>
      </c>
      <c r="M21" s="103">
        <f t="shared" si="20"/>
        <v>0</v>
      </c>
      <c r="N21" s="103"/>
      <c r="O21" s="103"/>
      <c r="P21" s="103"/>
    </row>
    <row r="22">
      <c r="I22" s="126" t="str">
        <f>B22</f>
        <v>601444</v>
      </c>
      <c r="J22" s="37" t="str">
        <f t="shared" si="3"/>
        <v>2 Primaria</v>
      </c>
      <c r="K22" s="103">
        <f t="shared" ref="K22:M22" si="21">E22/SUM($E22:$G22)</f>
        <v>0.5</v>
      </c>
      <c r="L22" s="103">
        <f t="shared" si="21"/>
        <v>0.5</v>
      </c>
      <c r="M22" s="103">
        <f t="shared" si="21"/>
        <v>0</v>
      </c>
      <c r="N22" s="103"/>
      <c r="O22" s="103"/>
      <c r="P22" s="103"/>
    </row>
    <row r="23">
      <c r="J23" s="37" t="str">
        <f t="shared" si="3"/>
        <v>4 Primaria</v>
      </c>
      <c r="K23" s="103">
        <f t="shared" ref="K23:M23" si="22">E23/SUM($E23:$G23)</f>
        <v>0.5</v>
      </c>
      <c r="L23" s="103">
        <f t="shared" si="22"/>
        <v>0.5</v>
      </c>
      <c r="M23" s="103">
        <f t="shared" si="22"/>
        <v>0</v>
      </c>
      <c r="N23" s="103"/>
      <c r="O23" s="103"/>
      <c r="P23" s="103"/>
    </row>
    <row r="24">
      <c r="J24" s="37" t="str">
        <f t="shared" si="3"/>
        <v>6 Primaria</v>
      </c>
      <c r="K24" s="103">
        <f t="shared" ref="K24:M24" si="23">E24/SUM($E24:$G24)</f>
        <v>1</v>
      </c>
      <c r="L24" s="103">
        <f t="shared" si="23"/>
        <v>0</v>
      </c>
      <c r="M24" s="103">
        <f t="shared" si="23"/>
        <v>0</v>
      </c>
      <c r="N24" s="103"/>
      <c r="O24" s="103"/>
      <c r="P24" s="103"/>
    </row>
    <row r="25">
      <c r="I25" s="126" t="str">
        <f>B25</f>
        <v>601511</v>
      </c>
      <c r="J25" s="37" t="str">
        <f t="shared" si="3"/>
        <v>4 Primaria</v>
      </c>
      <c r="K25" s="103">
        <f t="shared" ref="K25:M25" si="24">E25/SUM($E25:$G25)</f>
        <v>1</v>
      </c>
      <c r="L25" s="103">
        <f t="shared" si="24"/>
        <v>0</v>
      </c>
      <c r="M25" s="103">
        <f t="shared" si="24"/>
        <v>0</v>
      </c>
      <c r="N25" s="103"/>
      <c r="O25" s="103"/>
      <c r="P25" s="103"/>
    </row>
    <row r="26">
      <c r="J26" s="37" t="str">
        <f t="shared" si="3"/>
        <v>6 Primaria</v>
      </c>
      <c r="K26" s="103">
        <f t="shared" ref="K26:M26" si="25">E26/SUM($E26:$G26)</f>
        <v>1</v>
      </c>
      <c r="L26" s="103">
        <f t="shared" si="25"/>
        <v>0</v>
      </c>
      <c r="M26" s="103">
        <f t="shared" si="25"/>
        <v>0</v>
      </c>
      <c r="N26" s="103"/>
      <c r="O26" s="103"/>
      <c r="P26" s="103"/>
    </row>
    <row r="27">
      <c r="I27" s="126" t="str">
        <f>B27</f>
        <v>601563</v>
      </c>
      <c r="J27" s="37" t="str">
        <f t="shared" si="3"/>
        <v>2 Primaria</v>
      </c>
      <c r="K27" s="103">
        <f t="shared" ref="K27:M27" si="26">E27/SUM($E27:$G27)</f>
        <v>0</v>
      </c>
      <c r="L27" s="103">
        <f t="shared" si="26"/>
        <v>1</v>
      </c>
      <c r="M27" s="103">
        <f t="shared" si="26"/>
        <v>0</v>
      </c>
      <c r="N27" s="103"/>
      <c r="O27" s="103"/>
      <c r="P27" s="103"/>
    </row>
    <row r="28">
      <c r="J28" s="37" t="str">
        <f t="shared" si="3"/>
        <v>4 Primaria</v>
      </c>
      <c r="K28" s="103">
        <f t="shared" ref="K28:M28" si="27">E28/SUM($E28:$G28)</f>
        <v>1</v>
      </c>
      <c r="L28" s="103">
        <f t="shared" si="27"/>
        <v>0</v>
      </c>
      <c r="M28" s="103">
        <f t="shared" si="27"/>
        <v>0</v>
      </c>
      <c r="N28" s="103"/>
      <c r="O28" s="103"/>
      <c r="P28" s="103"/>
    </row>
    <row r="29">
      <c r="J29" s="37" t="str">
        <f t="shared" si="3"/>
        <v>6 Primaria</v>
      </c>
      <c r="K29" s="103">
        <f t="shared" ref="K29:M29" si="28">E29/SUM($E29:$G29)</f>
        <v>1</v>
      </c>
      <c r="L29" s="103">
        <f t="shared" si="28"/>
        <v>0</v>
      </c>
      <c r="M29" s="103">
        <f t="shared" si="28"/>
        <v>0</v>
      </c>
      <c r="N29" s="103"/>
      <c r="O29" s="103"/>
      <c r="P29" s="103"/>
    </row>
    <row r="30">
      <c r="I30" s="126" t="str">
        <f>B30</f>
        <v>601570</v>
      </c>
      <c r="J30" s="37" t="str">
        <f t="shared" si="3"/>
        <v>2 Primaria</v>
      </c>
      <c r="K30" s="103">
        <f t="shared" ref="K30:M30" si="29">E30/SUM($E30:$G30)</f>
        <v>1</v>
      </c>
      <c r="L30" s="103">
        <f t="shared" si="29"/>
        <v>0</v>
      </c>
      <c r="M30" s="103">
        <f t="shared" si="29"/>
        <v>0</v>
      </c>
      <c r="N30" s="103"/>
      <c r="O30" s="103"/>
      <c r="P30" s="103"/>
    </row>
    <row r="31">
      <c r="J31" s="37" t="str">
        <f t="shared" si="3"/>
        <v>6 Primaria</v>
      </c>
      <c r="K31" s="103">
        <f t="shared" ref="K31:M31" si="30">E31/SUM($E31:$G31)</f>
        <v>1</v>
      </c>
      <c r="L31" s="103">
        <f t="shared" si="30"/>
        <v>0</v>
      </c>
      <c r="M31" s="103">
        <f t="shared" si="30"/>
        <v>0</v>
      </c>
      <c r="N31" s="103"/>
      <c r="O31" s="103"/>
      <c r="P31" s="103"/>
    </row>
    <row r="32">
      <c r="I32" s="126" t="str">
        <f>B32</f>
        <v>601571</v>
      </c>
      <c r="J32" s="37" t="str">
        <f t="shared" si="3"/>
        <v>2 Primaria</v>
      </c>
      <c r="K32" s="103">
        <f t="shared" ref="K32:M32" si="31">E32/SUM($E32:$G32)</f>
        <v>0.5</v>
      </c>
      <c r="L32" s="103">
        <f t="shared" si="31"/>
        <v>0.5</v>
      </c>
      <c r="M32" s="103">
        <f t="shared" si="31"/>
        <v>0</v>
      </c>
      <c r="N32" s="103"/>
      <c r="O32" s="103"/>
      <c r="P32" s="103"/>
    </row>
    <row r="33">
      <c r="J33" s="37" t="str">
        <f t="shared" si="3"/>
        <v>4 Primaria</v>
      </c>
      <c r="K33" s="103">
        <f t="shared" ref="K33:M33" si="32">E33/SUM($E33:$G33)</f>
        <v>1</v>
      </c>
      <c r="L33" s="103">
        <f t="shared" si="32"/>
        <v>0</v>
      </c>
      <c r="M33" s="103">
        <f t="shared" si="32"/>
        <v>0</v>
      </c>
      <c r="N33" s="103"/>
      <c r="O33" s="103"/>
      <c r="P33" s="103"/>
    </row>
    <row r="34">
      <c r="J34" s="37" t="str">
        <f t="shared" si="3"/>
        <v>6 Primaria</v>
      </c>
      <c r="K34" s="103">
        <f t="shared" ref="K34:M34" si="33">E34/SUM($E34:$G34)</f>
        <v>0</v>
      </c>
      <c r="L34" s="103">
        <f t="shared" si="33"/>
        <v>1</v>
      </c>
      <c r="M34" s="103">
        <f t="shared" si="33"/>
        <v>0</v>
      </c>
      <c r="N34" s="103"/>
      <c r="O34" s="103"/>
      <c r="P34" s="103"/>
    </row>
    <row r="35">
      <c r="I35" s="126" t="str">
        <f t="shared" ref="I35:I37" si="35">B35</f>
        <v>601580</v>
      </c>
      <c r="J35" s="37" t="str">
        <f t="shared" si="3"/>
        <v>6 Primaria</v>
      </c>
      <c r="K35" s="103">
        <f t="shared" ref="K35:M35" si="34">E35/SUM($E35:$G35)</f>
        <v>1</v>
      </c>
      <c r="L35" s="103">
        <f t="shared" si="34"/>
        <v>0</v>
      </c>
      <c r="M35" s="103">
        <f t="shared" si="34"/>
        <v>0</v>
      </c>
      <c r="N35" s="103"/>
      <c r="O35" s="103"/>
      <c r="P35" s="103"/>
    </row>
    <row r="36">
      <c r="I36" s="126" t="str">
        <f t="shared" si="35"/>
        <v>601614</v>
      </c>
      <c r="J36" s="37" t="str">
        <f t="shared" si="3"/>
        <v>2 Primaria</v>
      </c>
      <c r="K36" s="103">
        <f t="shared" ref="K36:M36" si="36">E36/SUM($E36:$G36)</f>
        <v>0</v>
      </c>
      <c r="L36" s="103">
        <f t="shared" si="36"/>
        <v>1</v>
      </c>
      <c r="M36" s="103">
        <f t="shared" si="36"/>
        <v>0</v>
      </c>
      <c r="N36" s="103"/>
      <c r="O36" s="103"/>
      <c r="P36" s="103"/>
    </row>
    <row r="37">
      <c r="I37" s="126" t="str">
        <f t="shared" si="35"/>
        <v>601678</v>
      </c>
      <c r="J37" s="37" t="str">
        <f t="shared" si="3"/>
        <v>4 Primaria</v>
      </c>
      <c r="K37" s="103">
        <f t="shared" ref="K37:M37" si="37">E37/SUM($E37:$G37)</f>
        <v>0</v>
      </c>
      <c r="L37" s="103">
        <f t="shared" si="37"/>
        <v>1</v>
      </c>
      <c r="M37" s="103">
        <f t="shared" si="37"/>
        <v>0</v>
      </c>
      <c r="N37" s="103"/>
      <c r="O37" s="103"/>
      <c r="P37" s="103"/>
    </row>
    <row r="38">
      <c r="J38" s="37" t="str">
        <f t="shared" si="3"/>
        <v>6 Primaria</v>
      </c>
      <c r="K38" s="103">
        <f t="shared" ref="K38:M38" si="38">E38/SUM($E38:$G38)</f>
        <v>1</v>
      </c>
      <c r="L38" s="103">
        <f t="shared" si="38"/>
        <v>0</v>
      </c>
      <c r="M38" s="103">
        <f t="shared" si="38"/>
        <v>0</v>
      </c>
      <c r="N38" s="103"/>
      <c r="O38" s="103"/>
      <c r="P38" s="103"/>
    </row>
    <row r="39">
      <c r="I39" s="126" t="str">
        <f t="shared" ref="I39:I42" si="40">B39</f>
        <v>60181</v>
      </c>
      <c r="J39" s="37" t="str">
        <f t="shared" si="3"/>
        <v>2 Primaria</v>
      </c>
      <c r="K39" s="103">
        <f t="shared" ref="K39:M39" si="39">E39/SUM($E39:$G39)</f>
        <v>0</v>
      </c>
      <c r="L39" s="103">
        <f t="shared" si="39"/>
        <v>0</v>
      </c>
      <c r="M39" s="103">
        <f t="shared" si="39"/>
        <v>1</v>
      </c>
      <c r="N39" s="103"/>
      <c r="O39" s="103"/>
      <c r="P39" s="103"/>
    </row>
    <row r="40">
      <c r="I40" s="102" t="str">
        <f t="shared" si="40"/>
        <v/>
      </c>
      <c r="J40" s="37" t="str">
        <f t="shared" si="3"/>
        <v/>
      </c>
      <c r="K40" s="103">
        <f t="shared" ref="K40:M40" si="41">E40/SUM($E40:$G40)</f>
        <v>0.4827586207</v>
      </c>
      <c r="L40" s="103">
        <f t="shared" si="41"/>
        <v>0.4655172414</v>
      </c>
      <c r="M40" s="103">
        <f t="shared" si="41"/>
        <v>0.05172413793</v>
      </c>
      <c r="N40" s="103"/>
      <c r="O40" s="103"/>
      <c r="P40" s="103"/>
    </row>
    <row r="41">
      <c r="I41" s="126" t="str">
        <f t="shared" si="40"/>
        <v>14141</v>
      </c>
      <c r="J41" s="37" t="str">
        <f t="shared" si="3"/>
        <v>2 Primaria</v>
      </c>
      <c r="K41" s="103">
        <f t="shared" ref="K41:M41" si="42">E41/SUM($E41:$G41)</f>
        <v>0</v>
      </c>
      <c r="L41" s="103">
        <f t="shared" si="42"/>
        <v>1</v>
      </c>
      <c r="M41" s="103">
        <f t="shared" si="42"/>
        <v>0</v>
      </c>
      <c r="N41" s="103"/>
      <c r="O41" s="103"/>
      <c r="P41" s="103"/>
    </row>
    <row r="42">
      <c r="I42" s="126" t="str">
        <f t="shared" si="40"/>
        <v>14924 DANIEL ALCIDES CARRION</v>
      </c>
      <c r="J42" s="37" t="str">
        <f t="shared" si="3"/>
        <v>4 Primaria</v>
      </c>
      <c r="K42" s="103">
        <f t="shared" ref="K42:M42" si="43">E42/SUM($E42:$G42)</f>
        <v>0.2727272727</v>
      </c>
      <c r="L42" s="103">
        <f t="shared" si="43"/>
        <v>0.7272727273</v>
      </c>
      <c r="M42" s="103">
        <f t="shared" si="43"/>
        <v>0</v>
      </c>
      <c r="N42" s="103"/>
      <c r="O42" s="103"/>
      <c r="P42" s="103"/>
    </row>
    <row r="43">
      <c r="J43" s="37" t="str">
        <f t="shared" si="3"/>
        <v>6 Primaria</v>
      </c>
      <c r="K43" s="103">
        <f t="shared" ref="K43:M43" si="44">E43/SUM($E43:$G43)</f>
        <v>0.125</v>
      </c>
      <c r="L43" s="103">
        <f t="shared" si="44"/>
        <v>0.875</v>
      </c>
      <c r="M43" s="103">
        <f t="shared" si="44"/>
        <v>0</v>
      </c>
      <c r="N43" s="103"/>
      <c r="O43" s="103"/>
      <c r="P43" s="103"/>
    </row>
    <row r="44">
      <c r="I44" s="126" t="str">
        <f t="shared" ref="I44:I47" si="46">B44</f>
        <v>14975</v>
      </c>
      <c r="J44" s="37" t="str">
        <f t="shared" si="3"/>
        <v>4 Primaria</v>
      </c>
      <c r="K44" s="103">
        <f t="shared" ref="K44:M44" si="45">E44/SUM($E44:$G44)</f>
        <v>0</v>
      </c>
      <c r="L44" s="103">
        <f t="shared" si="45"/>
        <v>1</v>
      </c>
      <c r="M44" s="103">
        <f t="shared" si="45"/>
        <v>0</v>
      </c>
      <c r="N44" s="103"/>
      <c r="O44" s="103"/>
      <c r="P44" s="103"/>
    </row>
    <row r="45">
      <c r="I45" s="126" t="str">
        <f t="shared" si="46"/>
        <v>20123</v>
      </c>
      <c r="J45" s="37" t="str">
        <f t="shared" si="3"/>
        <v>6 Primaria</v>
      </c>
      <c r="K45" s="103">
        <f t="shared" ref="K45:M45" si="47">E45/SUM($E45:$G45)</f>
        <v>1</v>
      </c>
      <c r="L45" s="103">
        <f t="shared" si="47"/>
        <v>0</v>
      </c>
      <c r="M45" s="103">
        <f t="shared" si="47"/>
        <v>0</v>
      </c>
      <c r="N45" s="103"/>
      <c r="O45" s="103"/>
      <c r="P45" s="103"/>
    </row>
    <row r="46">
      <c r="I46" s="102" t="str">
        <f t="shared" si="46"/>
        <v/>
      </c>
      <c r="J46" s="37" t="str">
        <f t="shared" si="3"/>
        <v/>
      </c>
      <c r="K46" s="103">
        <f t="shared" ref="K46:M46" si="48">E46/SUM($E46:$G46)</f>
        <v>0.2</v>
      </c>
      <c r="L46" s="103">
        <f t="shared" si="48"/>
        <v>0.8</v>
      </c>
      <c r="M46" s="103">
        <f t="shared" si="48"/>
        <v>0</v>
      </c>
      <c r="N46" s="103"/>
      <c r="O46" s="103"/>
      <c r="P46" s="103"/>
    </row>
    <row r="47">
      <c r="I47" s="126" t="str">
        <f t="shared" si="46"/>
        <v>64048</v>
      </c>
      <c r="J47" s="37" t="str">
        <f t="shared" si="3"/>
        <v>2 Primaria</v>
      </c>
      <c r="K47" s="103">
        <f t="shared" ref="K47:M47" si="49">E47/SUM($E47:$G47)</f>
        <v>0.5</v>
      </c>
      <c r="L47" s="103">
        <f t="shared" si="49"/>
        <v>0.5</v>
      </c>
      <c r="M47" s="103">
        <f t="shared" si="49"/>
        <v>0</v>
      </c>
      <c r="N47" s="103"/>
      <c r="O47" s="103"/>
      <c r="P47" s="103"/>
    </row>
    <row r="48">
      <c r="J48" s="37" t="str">
        <f t="shared" si="3"/>
        <v>2 Primaria</v>
      </c>
      <c r="K48" s="103">
        <f t="shared" ref="K48:M48" si="50">E48/SUM($E48:$G48)</f>
        <v>1</v>
      </c>
      <c r="L48" s="103">
        <f t="shared" si="50"/>
        <v>0</v>
      </c>
      <c r="M48" s="103">
        <f t="shared" si="50"/>
        <v>0</v>
      </c>
      <c r="N48" s="103"/>
      <c r="O48" s="103"/>
      <c r="P48" s="103"/>
    </row>
    <row r="49">
      <c r="J49" s="37" t="str">
        <f t="shared" si="3"/>
        <v>4 Primaria</v>
      </c>
      <c r="K49" s="103">
        <f t="shared" ref="K49:M49" si="51">E49/SUM($E49:$G49)</f>
        <v>0.7777777778</v>
      </c>
      <c r="L49" s="103">
        <f t="shared" si="51"/>
        <v>0.2222222222</v>
      </c>
      <c r="M49" s="103">
        <f t="shared" si="51"/>
        <v>0</v>
      </c>
      <c r="N49" s="103"/>
      <c r="O49" s="103"/>
      <c r="P49" s="103"/>
    </row>
    <row r="50">
      <c r="I50" s="102" t="str">
        <f>B50</f>
        <v/>
      </c>
      <c r="J50" s="37" t="str">
        <f t="shared" si="3"/>
        <v>6 Primaria</v>
      </c>
      <c r="K50" s="103">
        <f t="shared" ref="K50:M50" si="52">E50/SUM($E50:$G50)</f>
        <v>1</v>
      </c>
      <c r="L50" s="103">
        <f t="shared" si="52"/>
        <v>0</v>
      </c>
      <c r="M50" s="103">
        <f t="shared" si="52"/>
        <v>0</v>
      </c>
      <c r="N50" s="103"/>
      <c r="O50" s="103"/>
      <c r="P50" s="103"/>
    </row>
    <row r="51">
      <c r="J51" s="37" t="str">
        <f t="shared" si="3"/>
        <v>2 Primaria</v>
      </c>
      <c r="K51" s="103">
        <f t="shared" ref="K51:M51" si="53">E51/SUM($E51:$G51)</f>
        <v>1</v>
      </c>
      <c r="L51" s="103">
        <f t="shared" si="53"/>
        <v>0</v>
      </c>
      <c r="M51" s="103">
        <f t="shared" si="53"/>
        <v>0</v>
      </c>
      <c r="N51" s="103"/>
      <c r="O51" s="103"/>
      <c r="P51" s="103"/>
    </row>
    <row r="52">
      <c r="J52" s="37" t="str">
        <f t="shared" si="3"/>
        <v>4 Primaria</v>
      </c>
      <c r="K52" s="103">
        <f t="shared" ref="K52:M52" si="54">E52/SUM($E52:$G52)</f>
        <v>1</v>
      </c>
      <c r="L52" s="103">
        <f t="shared" si="54"/>
        <v>0</v>
      </c>
      <c r="M52" s="103">
        <f t="shared" si="54"/>
        <v>0</v>
      </c>
      <c r="N52" s="103"/>
      <c r="O52" s="103"/>
      <c r="P52" s="103"/>
    </row>
    <row r="53">
      <c r="I53" s="102" t="str">
        <f t="shared" ref="I53:I55" si="56">B53</f>
        <v/>
      </c>
      <c r="J53" s="37" t="str">
        <f t="shared" si="3"/>
        <v>6 Primaria</v>
      </c>
      <c r="K53" s="103">
        <f t="shared" ref="K53:M53" si="55">E53/SUM($E53:$G53)</f>
        <v>1</v>
      </c>
      <c r="L53" s="103">
        <f t="shared" si="55"/>
        <v>0</v>
      </c>
      <c r="M53" s="103">
        <f t="shared" si="55"/>
        <v>0</v>
      </c>
      <c r="N53" s="103"/>
      <c r="O53" s="103"/>
      <c r="P53" s="103"/>
    </row>
    <row r="54">
      <c r="I54" s="126" t="str">
        <f t="shared" si="56"/>
        <v>64641</v>
      </c>
      <c r="J54" s="37" t="str">
        <f t="shared" si="3"/>
        <v>2 Primaria</v>
      </c>
      <c r="K54" s="103">
        <f t="shared" ref="K54:M54" si="57">E54/SUM($E54:$G54)</f>
        <v>0</v>
      </c>
      <c r="L54" s="103">
        <f t="shared" si="57"/>
        <v>1</v>
      </c>
      <c r="M54" s="103">
        <f t="shared" si="57"/>
        <v>0</v>
      </c>
      <c r="N54" s="103"/>
      <c r="O54" s="103"/>
      <c r="P54" s="103"/>
    </row>
    <row r="55">
      <c r="I55" s="126" t="str">
        <f t="shared" si="56"/>
        <v>64829</v>
      </c>
      <c r="J55" s="37" t="str">
        <f t="shared" si="3"/>
        <v>2 Primaria</v>
      </c>
      <c r="K55" s="103">
        <f t="shared" ref="K55:M55" si="58">E55/SUM($E55:$G55)</f>
        <v>0</v>
      </c>
      <c r="L55" s="103">
        <f t="shared" si="58"/>
        <v>1</v>
      </c>
      <c r="M55" s="103">
        <f t="shared" si="58"/>
        <v>0</v>
      </c>
      <c r="N55" s="103"/>
      <c r="O55" s="103"/>
      <c r="P55" s="103"/>
    </row>
    <row r="56">
      <c r="J56" s="37" t="str">
        <f t="shared" si="3"/>
        <v>2 Primaria</v>
      </c>
      <c r="K56" s="103">
        <f t="shared" ref="K56:M56" si="59">E56/SUM($E56:$G56)</f>
        <v>0.3333333333</v>
      </c>
      <c r="L56" s="103">
        <f t="shared" si="59"/>
        <v>0.6666666667</v>
      </c>
      <c r="M56" s="103">
        <f t="shared" si="59"/>
        <v>0</v>
      </c>
      <c r="N56" s="103"/>
      <c r="O56" s="103"/>
      <c r="P56" s="103"/>
    </row>
    <row r="57">
      <c r="I57" s="102" t="str">
        <f>B57</f>
        <v/>
      </c>
      <c r="J57" s="37" t="str">
        <f t="shared" si="3"/>
        <v>6 Primaria</v>
      </c>
      <c r="K57" s="103">
        <f t="shared" ref="K57:M57" si="60">E57/SUM($E57:$G57)</f>
        <v>1</v>
      </c>
      <c r="L57" s="103">
        <f t="shared" si="60"/>
        <v>0</v>
      </c>
      <c r="M57" s="103">
        <f t="shared" si="60"/>
        <v>0</v>
      </c>
      <c r="N57" s="103"/>
      <c r="O57" s="103"/>
      <c r="P57" s="103"/>
    </row>
    <row r="58">
      <c r="J58" s="37" t="str">
        <f t="shared" si="3"/>
        <v>2 Primaria</v>
      </c>
      <c r="K58" s="103">
        <f t="shared" ref="K58:M58" si="61">E58/SUM($E58:$G58)</f>
        <v>1</v>
      </c>
      <c r="L58" s="103">
        <f t="shared" si="61"/>
        <v>0</v>
      </c>
      <c r="M58" s="103">
        <f t="shared" si="61"/>
        <v>0</v>
      </c>
      <c r="N58" s="103"/>
      <c r="O58" s="103"/>
      <c r="P58" s="103"/>
    </row>
    <row r="59">
      <c r="J59" s="37" t="str">
        <f t="shared" si="3"/>
        <v>4 Primaria</v>
      </c>
      <c r="K59" s="103">
        <f t="shared" ref="K59:M59" si="62">E59/SUM($E59:$G59)</f>
        <v>1</v>
      </c>
      <c r="L59" s="103">
        <f t="shared" si="62"/>
        <v>0</v>
      </c>
      <c r="M59" s="103">
        <f t="shared" si="62"/>
        <v>0</v>
      </c>
      <c r="N59" s="103"/>
      <c r="O59" s="103"/>
      <c r="P59" s="103"/>
    </row>
    <row r="60">
      <c r="I60" s="102" t="str">
        <f>B60</f>
        <v/>
      </c>
      <c r="J60" s="37" t="str">
        <f t="shared" si="3"/>
        <v>6 Primaria</v>
      </c>
      <c r="K60" s="103">
        <f t="shared" ref="K60:M60" si="63">E60/SUM($E60:$G60)</f>
        <v>1</v>
      </c>
      <c r="L60" s="103">
        <f t="shared" si="63"/>
        <v>0</v>
      </c>
      <c r="M60" s="103">
        <f t="shared" si="63"/>
        <v>0</v>
      </c>
      <c r="N60" s="103"/>
      <c r="O60" s="103"/>
      <c r="P60" s="103"/>
    </row>
    <row r="61">
      <c r="J61" s="37" t="str">
        <f t="shared" si="3"/>
        <v>2 Primaria</v>
      </c>
      <c r="K61" s="103">
        <f t="shared" ref="K61:M61" si="64">E61/SUM($E61:$G61)</f>
        <v>1</v>
      </c>
      <c r="L61" s="103">
        <f t="shared" si="64"/>
        <v>0</v>
      </c>
      <c r="M61" s="103">
        <f t="shared" si="64"/>
        <v>0</v>
      </c>
      <c r="N61" s="103"/>
      <c r="O61" s="103"/>
      <c r="P61" s="103"/>
    </row>
    <row r="62">
      <c r="I62" s="102" t="str">
        <f t="shared" ref="I62:I64" si="66">B62</f>
        <v/>
      </c>
      <c r="J62" s="37" t="str">
        <f t="shared" si="3"/>
        <v>6 Primaria</v>
      </c>
      <c r="K62" s="103">
        <f t="shared" ref="K62:M62" si="65">E62/SUM($E62:$G62)</f>
        <v>0</v>
      </c>
      <c r="L62" s="103">
        <f t="shared" si="65"/>
        <v>1</v>
      </c>
      <c r="M62" s="103">
        <f t="shared" si="65"/>
        <v>0</v>
      </c>
      <c r="N62" s="103"/>
      <c r="O62" s="103"/>
      <c r="P62" s="103"/>
    </row>
    <row r="63">
      <c r="I63" s="126" t="str">
        <f t="shared" si="66"/>
        <v>65199</v>
      </c>
      <c r="J63" s="37" t="str">
        <f t="shared" si="3"/>
        <v>2 Primaria</v>
      </c>
      <c r="K63" s="103">
        <f t="shared" ref="K63:M63" si="67">E63/SUM($E63:$G63)</f>
        <v>1</v>
      </c>
      <c r="L63" s="103">
        <f t="shared" si="67"/>
        <v>0</v>
      </c>
      <c r="M63" s="103">
        <f t="shared" si="67"/>
        <v>0</v>
      </c>
      <c r="N63" s="103"/>
      <c r="O63" s="103"/>
      <c r="P63" s="103"/>
    </row>
    <row r="64">
      <c r="I64" s="102" t="str">
        <f t="shared" si="66"/>
        <v/>
      </c>
      <c r="J64" s="37" t="str">
        <f t="shared" si="3"/>
        <v/>
      </c>
      <c r="K64" s="103">
        <f t="shared" ref="K64:M64" si="68">E64/SUM($E64:$G64)</f>
        <v>0.8235294118</v>
      </c>
      <c r="L64" s="103">
        <f t="shared" si="68"/>
        <v>0.1764705882</v>
      </c>
      <c r="M64" s="103">
        <f t="shared" si="68"/>
        <v>0</v>
      </c>
      <c r="N64" s="103"/>
      <c r="O64" s="103"/>
      <c r="P64" s="103"/>
    </row>
    <row r="65">
      <c r="J65" s="37" t="str">
        <f t="shared" si="3"/>
        <v>1 Primaria</v>
      </c>
      <c r="K65" s="103">
        <f t="shared" ref="K65:M65" si="69">E65/SUM($E65:$G65)</f>
        <v>0</v>
      </c>
      <c r="L65" s="103">
        <f t="shared" si="69"/>
        <v>1</v>
      </c>
      <c r="M65" s="103">
        <f t="shared" si="69"/>
        <v>0</v>
      </c>
      <c r="N65" s="103"/>
      <c r="O65" s="103"/>
      <c r="P65" s="103"/>
    </row>
    <row r="66">
      <c r="J66" s="37" t="str">
        <f t="shared" si="3"/>
        <v>2 Primaria</v>
      </c>
      <c r="K66" s="103">
        <f t="shared" ref="K66:M66" si="70">E66/SUM($E66:$G66)</f>
        <v>0</v>
      </c>
      <c r="L66" s="103">
        <f t="shared" si="70"/>
        <v>1</v>
      </c>
      <c r="M66" s="103">
        <f t="shared" si="70"/>
        <v>0</v>
      </c>
      <c r="N66" s="103"/>
      <c r="O66" s="103"/>
      <c r="P66" s="103"/>
    </row>
    <row r="67">
      <c r="J67" s="37" t="str">
        <f t="shared" si="3"/>
        <v>4 Primaria</v>
      </c>
      <c r="K67" s="103">
        <f t="shared" ref="K67:M67" si="71">E67/SUM($E67:$G67)</f>
        <v>0.1428571429</v>
      </c>
      <c r="L67" s="103">
        <f t="shared" si="71"/>
        <v>0.8571428571</v>
      </c>
      <c r="M67" s="103">
        <f t="shared" si="71"/>
        <v>0</v>
      </c>
      <c r="N67" s="103"/>
      <c r="O67" s="103"/>
      <c r="P67" s="103"/>
    </row>
    <row r="68">
      <c r="I68" s="102" t="str">
        <f>B68</f>
        <v/>
      </c>
      <c r="J68" s="37" t="str">
        <f t="shared" si="3"/>
        <v>6 Primaria</v>
      </c>
      <c r="K68" s="103">
        <f t="shared" ref="K68:M68" si="72">E68/SUM($E68:$G68)</f>
        <v>0.625</v>
      </c>
      <c r="L68" s="103">
        <f t="shared" si="72"/>
        <v>0.375</v>
      </c>
      <c r="M68" s="103">
        <f t="shared" si="72"/>
        <v>0</v>
      </c>
      <c r="N68" s="103"/>
      <c r="O68" s="103"/>
      <c r="P68" s="103"/>
    </row>
    <row r="69">
      <c r="J69" s="37" t="str">
        <f t="shared" si="3"/>
        <v>2 Primaria</v>
      </c>
      <c r="K69" s="103">
        <f t="shared" ref="K69:M69" si="73">E69/SUM($E69:$G69)</f>
        <v>0</v>
      </c>
      <c r="L69" s="103">
        <f t="shared" si="73"/>
        <v>1</v>
      </c>
      <c r="M69" s="103">
        <f t="shared" si="73"/>
        <v>0</v>
      </c>
      <c r="N69" s="103"/>
      <c r="O69" s="103"/>
      <c r="P69" s="103"/>
    </row>
    <row r="70">
      <c r="J70" s="37" t="str">
        <f t="shared" si="3"/>
        <v>4 Primaria</v>
      </c>
      <c r="K70" s="103">
        <f t="shared" ref="K70:M70" si="74">E70/SUM($E70:$G70)</f>
        <v>1</v>
      </c>
      <c r="L70" s="103">
        <f t="shared" si="74"/>
        <v>0</v>
      </c>
      <c r="M70" s="103">
        <f t="shared" si="74"/>
        <v>0</v>
      </c>
      <c r="N70" s="103"/>
      <c r="O70" s="103"/>
      <c r="P70" s="103"/>
    </row>
    <row r="71">
      <c r="I71" s="102" t="str">
        <f>B71</f>
        <v/>
      </c>
      <c r="J71" s="37" t="str">
        <f t="shared" si="3"/>
        <v>6 Primaria</v>
      </c>
      <c r="K71" s="103">
        <f t="shared" ref="K71:M71" si="75">E71/SUM($E71:$G71)</f>
        <v>0.75</v>
      </c>
      <c r="L71" s="103">
        <f t="shared" si="75"/>
        <v>0.25</v>
      </c>
      <c r="M71" s="103">
        <f t="shared" si="75"/>
        <v>0</v>
      </c>
      <c r="N71" s="103"/>
      <c r="O71" s="103"/>
      <c r="P71" s="103"/>
    </row>
    <row r="72">
      <c r="J72" s="37" t="str">
        <f t="shared" si="3"/>
        <v>2 Secundaria</v>
      </c>
      <c r="K72" s="103">
        <f t="shared" ref="K72:M72" si="76">E72/SUM($E72:$G72)</f>
        <v>0.8</v>
      </c>
      <c r="L72" s="103">
        <f t="shared" si="76"/>
        <v>0.2</v>
      </c>
      <c r="M72" s="103">
        <f t="shared" si="76"/>
        <v>0</v>
      </c>
      <c r="N72" s="103"/>
      <c r="O72" s="103"/>
      <c r="P72" s="103"/>
    </row>
    <row r="73">
      <c r="I73" s="102" t="str">
        <f t="shared" ref="I73:I75" si="78">B73</f>
        <v/>
      </c>
      <c r="J73" s="17" t="str">
        <f t="shared" si="3"/>
        <v>4 Secundaria</v>
      </c>
      <c r="K73" s="103">
        <f t="shared" ref="K73:M73" si="77">E73/SUM($E73:$G73)</f>
        <v>0.3846153846</v>
      </c>
      <c r="L73" s="103">
        <f t="shared" si="77"/>
        <v>0.6153846154</v>
      </c>
      <c r="M73" s="103">
        <f t="shared" si="77"/>
        <v>0</v>
      </c>
      <c r="N73" s="103"/>
      <c r="O73" s="103"/>
      <c r="P73" s="103"/>
    </row>
    <row r="74">
      <c r="I74" s="102" t="str">
        <f t="shared" si="78"/>
        <v/>
      </c>
      <c r="J74" s="107" t="str">
        <f t="shared" si="3"/>
        <v/>
      </c>
      <c r="K74" s="103">
        <f t="shared" ref="K74:M74" si="79">E74/SUM($E74:$G74)</f>
        <v>0.4210526316</v>
      </c>
      <c r="L74" s="103">
        <f t="shared" si="79"/>
        <v>0.5789473684</v>
      </c>
      <c r="M74" s="103">
        <f t="shared" si="79"/>
        <v>0</v>
      </c>
    </row>
    <row r="75">
      <c r="A75" s="17"/>
      <c r="D75" s="103"/>
      <c r="E75" s="103"/>
      <c r="F75" s="103"/>
      <c r="G75" s="103"/>
      <c r="I75" s="102" t="str">
        <f t="shared" si="78"/>
        <v/>
      </c>
      <c r="J75" s="107" t="str">
        <f t="shared" si="3"/>
        <v/>
      </c>
      <c r="K75" s="103" t="str">
        <f t="shared" ref="K75:M75" si="80">E75/SUM($E75:$G75)</f>
        <v>#DIV/0!</v>
      </c>
      <c r="L75" s="103" t="str">
        <f t="shared" si="80"/>
        <v>#DIV/0!</v>
      </c>
      <c r="M75" s="103" t="str">
        <f t="shared" si="80"/>
        <v>#DIV/0!</v>
      </c>
    </row>
    <row r="76">
      <c r="A76" s="17"/>
      <c r="D76" s="103"/>
      <c r="E76" s="103"/>
      <c r="F76" s="103"/>
      <c r="G76" s="103"/>
      <c r="J76" s="107" t="str">
        <f t="shared" si="3"/>
        <v/>
      </c>
      <c r="K76" s="103" t="str">
        <f t="shared" ref="K76:M76" si="81">E76/SUM($E76:$G76)</f>
        <v>#DIV/0!</v>
      </c>
      <c r="L76" s="103" t="str">
        <f t="shared" si="81"/>
        <v>#DIV/0!</v>
      </c>
      <c r="M76" s="103" t="str">
        <f t="shared" si="81"/>
        <v>#DIV/0!</v>
      </c>
    </row>
    <row r="77">
      <c r="A77" s="17"/>
      <c r="D77" s="103"/>
      <c r="E77" s="103"/>
      <c r="F77" s="103"/>
      <c r="G77" s="103"/>
      <c r="J77" s="107" t="str">
        <f t="shared" si="3"/>
        <v/>
      </c>
      <c r="K77" s="103" t="str">
        <f t="shared" ref="K77:M77" si="82">E77/SUM($E77:$G77)</f>
        <v>#DIV/0!</v>
      </c>
      <c r="L77" s="103" t="str">
        <f t="shared" si="82"/>
        <v>#DIV/0!</v>
      </c>
      <c r="M77" s="103" t="str">
        <f t="shared" si="82"/>
        <v>#DIV/0!</v>
      </c>
    </row>
    <row r="78">
      <c r="A78" s="17"/>
      <c r="D78" s="103"/>
      <c r="E78" s="103"/>
      <c r="F78" s="103"/>
      <c r="G78" s="103"/>
      <c r="I78" s="102" t="str">
        <f>B78</f>
        <v/>
      </c>
      <c r="J78" s="107" t="str">
        <f t="shared" si="3"/>
        <v/>
      </c>
      <c r="K78" s="103" t="str">
        <f t="shared" ref="K78:M78" si="83">E78/SUM($E78:$G78)</f>
        <v>#DIV/0!</v>
      </c>
      <c r="L78" s="103" t="str">
        <f t="shared" si="83"/>
        <v>#DIV/0!</v>
      </c>
      <c r="M78" s="103" t="str">
        <f t="shared" si="83"/>
        <v>#DIV/0!</v>
      </c>
    </row>
    <row r="79">
      <c r="A79" s="17"/>
      <c r="C79" s="79"/>
      <c r="D79" s="79"/>
      <c r="E79" s="79"/>
      <c r="F79" s="79"/>
      <c r="G79" s="79"/>
      <c r="J79" s="37" t="str">
        <f t="shared" si="3"/>
        <v/>
      </c>
      <c r="K79" s="103" t="str">
        <f t="shared" ref="K79:M79" si="84">E79/SUM($E79:$G79)</f>
        <v>#DIV/0!</v>
      </c>
      <c r="L79" s="103" t="str">
        <f t="shared" si="84"/>
        <v>#DIV/0!</v>
      </c>
      <c r="M79" s="103" t="str">
        <f t="shared" si="84"/>
        <v>#DIV/0!</v>
      </c>
    </row>
    <row r="80">
      <c r="A80" s="17"/>
      <c r="C80" s="79"/>
      <c r="D80" s="79"/>
      <c r="E80" s="79"/>
      <c r="F80" s="79"/>
      <c r="G80" s="79"/>
      <c r="I80" s="102" t="str">
        <f>B80</f>
        <v/>
      </c>
      <c r="J80" s="37" t="str">
        <f t="shared" si="3"/>
        <v/>
      </c>
      <c r="K80" s="103" t="str">
        <f t="shared" ref="K80:M80" si="85">E80/SUM($E80:$G80)</f>
        <v>#DIV/0!</v>
      </c>
      <c r="L80" s="103" t="str">
        <f t="shared" si="85"/>
        <v>#DIV/0!</v>
      </c>
      <c r="M80" s="103" t="str">
        <f t="shared" si="85"/>
        <v>#DIV/0!</v>
      </c>
    </row>
    <row r="81">
      <c r="A81" s="17"/>
      <c r="C81" s="79"/>
      <c r="D81" s="79"/>
      <c r="E81" s="79"/>
      <c r="F81" s="79"/>
      <c r="G81" s="79"/>
      <c r="I81" s="102"/>
    </row>
    <row r="82">
      <c r="A82" s="17"/>
      <c r="C82" s="79"/>
      <c r="D82" s="79"/>
      <c r="E82" s="79"/>
      <c r="F82" s="79"/>
      <c r="G82" s="79"/>
      <c r="I82" s="102"/>
    </row>
    <row r="83">
      <c r="A83" s="17"/>
      <c r="C83" s="79"/>
      <c r="D83" s="79"/>
      <c r="E83" s="79"/>
      <c r="F83" s="79"/>
      <c r="G83" s="79"/>
      <c r="I83" s="102"/>
    </row>
    <row r="84">
      <c r="A84" s="17"/>
      <c r="C84" s="79"/>
      <c r="D84" s="79"/>
      <c r="E84" s="79"/>
      <c r="F84" s="79"/>
      <c r="G84" s="79"/>
      <c r="I84" s="102"/>
    </row>
    <row r="85">
      <c r="A85" s="17"/>
      <c r="C85" s="79"/>
      <c r="D85" s="79"/>
      <c r="E85" s="79"/>
      <c r="F85" s="79"/>
      <c r="G85" s="79"/>
      <c r="I85" s="102"/>
    </row>
    <row r="86">
      <c r="A86" s="17"/>
      <c r="C86" s="79"/>
      <c r="D86" s="79"/>
      <c r="E86" s="79"/>
      <c r="F86" s="79"/>
      <c r="G86" s="79"/>
      <c r="I86" s="102"/>
    </row>
    <row r="87">
      <c r="A87" s="17"/>
      <c r="C87" s="79"/>
      <c r="D87" s="79"/>
      <c r="E87" s="79"/>
      <c r="F87" s="79"/>
      <c r="G87" s="79"/>
      <c r="I87" s="102"/>
    </row>
    <row r="88">
      <c r="A88" s="17"/>
      <c r="C88" s="79"/>
      <c r="D88" s="79"/>
      <c r="E88" s="79"/>
      <c r="F88" s="79"/>
      <c r="G88" s="79"/>
      <c r="I88" s="102"/>
    </row>
    <row r="89">
      <c r="A89" s="17"/>
      <c r="C89" s="79"/>
      <c r="D89" s="79"/>
      <c r="E89" s="79"/>
      <c r="F89" s="79"/>
      <c r="G89" s="79"/>
      <c r="I89" s="102"/>
    </row>
    <row r="90">
      <c r="A90" s="17"/>
      <c r="C90" s="79"/>
      <c r="D90" s="79"/>
      <c r="E90" s="79"/>
      <c r="F90" s="79"/>
      <c r="G90" s="79"/>
      <c r="I90" s="102"/>
    </row>
    <row r="91">
      <c r="A91" s="17"/>
      <c r="C91" s="79"/>
      <c r="D91" s="79"/>
      <c r="E91" s="79"/>
      <c r="F91" s="79"/>
      <c r="G91" s="79"/>
      <c r="I91" s="102"/>
    </row>
    <row r="92">
      <c r="A92" s="17"/>
      <c r="C92" s="79"/>
      <c r="D92" s="79"/>
      <c r="E92" s="79"/>
      <c r="F92" s="79"/>
      <c r="G92" s="79"/>
      <c r="I92" s="102"/>
    </row>
    <row r="93">
      <c r="A93" s="17"/>
      <c r="C93" s="79"/>
      <c r="D93" s="79"/>
      <c r="E93" s="79"/>
      <c r="F93" s="79"/>
      <c r="G93" s="79"/>
      <c r="I93" s="102"/>
    </row>
    <row r="94">
      <c r="A94" s="17"/>
      <c r="C94" s="79"/>
      <c r="D94" s="79"/>
      <c r="E94" s="79"/>
      <c r="F94" s="79"/>
      <c r="G94" s="79"/>
      <c r="I94" s="102"/>
    </row>
    <row r="95">
      <c r="A95" s="17"/>
      <c r="C95" s="79"/>
      <c r="D95" s="79"/>
      <c r="E95" s="79"/>
      <c r="F95" s="79"/>
      <c r="G95" s="79"/>
      <c r="I95" s="102"/>
    </row>
    <row r="96">
      <c r="A96" s="17"/>
      <c r="C96" s="79"/>
      <c r="D96" s="79"/>
      <c r="E96" s="79"/>
      <c r="F96" s="79"/>
      <c r="G96" s="79"/>
      <c r="I96" s="102"/>
    </row>
    <row r="97">
      <c r="A97" s="17"/>
      <c r="C97" s="79"/>
      <c r="D97" s="79"/>
      <c r="E97" s="79"/>
      <c r="F97" s="79"/>
      <c r="G97" s="79"/>
      <c r="I97" s="102"/>
    </row>
    <row r="98">
      <c r="A98" s="17"/>
      <c r="C98" s="79"/>
      <c r="D98" s="79"/>
      <c r="E98" s="79"/>
      <c r="F98" s="79"/>
      <c r="G98" s="79"/>
      <c r="I98" s="102"/>
    </row>
    <row r="99">
      <c r="A99" s="17"/>
      <c r="C99" s="79"/>
      <c r="D99" s="79"/>
      <c r="E99" s="79"/>
      <c r="F99" s="79"/>
      <c r="G99" s="79"/>
      <c r="I99" s="102"/>
    </row>
    <row r="100">
      <c r="A100" s="17"/>
      <c r="C100" s="79"/>
      <c r="D100" s="79"/>
      <c r="E100" s="79"/>
      <c r="F100" s="79"/>
      <c r="G100" s="79"/>
      <c r="I100" s="102"/>
    </row>
    <row r="101">
      <c r="A101" s="17"/>
      <c r="C101" s="79"/>
      <c r="D101" s="79"/>
      <c r="E101" s="79"/>
      <c r="F101" s="79"/>
      <c r="G101" s="79"/>
      <c r="I101" s="102"/>
    </row>
    <row r="102">
      <c r="A102" s="17"/>
      <c r="C102" s="79"/>
      <c r="D102" s="79"/>
      <c r="E102" s="79"/>
      <c r="F102" s="79"/>
      <c r="G102" s="79"/>
      <c r="I102" s="102"/>
    </row>
    <row r="103">
      <c r="A103" s="17"/>
      <c r="C103" s="79"/>
      <c r="D103" s="79"/>
      <c r="E103" s="79"/>
      <c r="F103" s="79"/>
      <c r="G103" s="79"/>
      <c r="I103" s="102"/>
    </row>
    <row r="104">
      <c r="A104" s="17"/>
      <c r="C104" s="79"/>
      <c r="D104" s="79"/>
      <c r="E104" s="79"/>
      <c r="F104" s="79"/>
      <c r="G104" s="79"/>
      <c r="I104" s="102"/>
    </row>
    <row r="105">
      <c r="A105" s="17"/>
      <c r="C105" s="79"/>
      <c r="D105" s="79"/>
      <c r="E105" s="79"/>
      <c r="F105" s="79"/>
      <c r="G105" s="79"/>
      <c r="I105" s="102"/>
    </row>
    <row r="106">
      <c r="A106" s="17"/>
      <c r="C106" s="79"/>
      <c r="D106" s="79"/>
      <c r="E106" s="79"/>
      <c r="F106" s="79"/>
      <c r="G106" s="79"/>
      <c r="I106" s="102"/>
    </row>
    <row r="107">
      <c r="A107" s="17"/>
      <c r="C107" s="79"/>
      <c r="D107" s="79"/>
      <c r="E107" s="79"/>
      <c r="F107" s="79"/>
      <c r="G107" s="79"/>
      <c r="I107" s="102"/>
    </row>
    <row r="108">
      <c r="A108" s="17"/>
      <c r="C108" s="79"/>
      <c r="D108" s="79"/>
      <c r="E108" s="79"/>
      <c r="F108" s="79"/>
      <c r="G108" s="79"/>
      <c r="I108" s="102"/>
    </row>
    <row r="109">
      <c r="A109" s="17"/>
      <c r="C109" s="79"/>
      <c r="D109" s="79"/>
      <c r="E109" s="79"/>
      <c r="F109" s="79"/>
      <c r="G109" s="79"/>
      <c r="I109" s="102"/>
    </row>
    <row r="110">
      <c r="A110" s="17"/>
      <c r="C110" s="79"/>
      <c r="D110" s="79"/>
      <c r="E110" s="79"/>
      <c r="F110" s="79"/>
      <c r="G110" s="79"/>
      <c r="I110" s="102"/>
    </row>
    <row r="111">
      <c r="A111" s="17"/>
      <c r="C111" s="79"/>
      <c r="D111" s="79"/>
      <c r="E111" s="79"/>
      <c r="F111" s="79"/>
      <c r="G111" s="79"/>
      <c r="I111" s="102"/>
    </row>
    <row r="112">
      <c r="A112" s="17"/>
      <c r="C112" s="79"/>
      <c r="D112" s="79"/>
      <c r="E112" s="79"/>
      <c r="F112" s="79"/>
      <c r="G112" s="79"/>
      <c r="I112" s="102"/>
    </row>
    <row r="113">
      <c r="A113" s="17"/>
      <c r="C113" s="79"/>
      <c r="D113" s="79"/>
      <c r="E113" s="79"/>
      <c r="F113" s="79"/>
      <c r="G113" s="79"/>
      <c r="I113" s="102"/>
    </row>
    <row r="114">
      <c r="A114" s="17"/>
      <c r="C114" s="79"/>
      <c r="D114" s="79"/>
      <c r="E114" s="79"/>
      <c r="F114" s="79"/>
      <c r="G114" s="79"/>
      <c r="I114" s="102"/>
    </row>
    <row r="115">
      <c r="A115" s="17"/>
      <c r="C115" s="79"/>
      <c r="D115" s="79"/>
      <c r="E115" s="79"/>
      <c r="F115" s="79"/>
      <c r="G115" s="79"/>
      <c r="I115" s="102"/>
    </row>
    <row r="116">
      <c r="A116" s="17"/>
      <c r="C116" s="79"/>
      <c r="D116" s="79"/>
      <c r="E116" s="79"/>
      <c r="F116" s="79"/>
      <c r="G116" s="79"/>
      <c r="I116" s="102"/>
    </row>
    <row r="117">
      <c r="A117" s="17"/>
      <c r="C117" s="79"/>
      <c r="D117" s="79"/>
      <c r="E117" s="79"/>
      <c r="F117" s="79"/>
      <c r="G117" s="79"/>
      <c r="I117" s="102"/>
    </row>
    <row r="118">
      <c r="A118" s="17"/>
      <c r="C118" s="79"/>
      <c r="D118" s="79"/>
      <c r="E118" s="79"/>
      <c r="F118" s="79"/>
      <c r="G118" s="79"/>
      <c r="I118" s="102"/>
    </row>
    <row r="119">
      <c r="A119" s="17"/>
      <c r="C119" s="79"/>
      <c r="D119" s="79"/>
      <c r="E119" s="79"/>
      <c r="F119" s="79"/>
      <c r="G119" s="79"/>
      <c r="I119" s="102"/>
    </row>
    <row r="120">
      <c r="A120" s="17"/>
      <c r="C120" s="79"/>
      <c r="D120" s="79"/>
      <c r="E120" s="79"/>
      <c r="F120" s="79"/>
      <c r="G120" s="79"/>
      <c r="I120" s="102"/>
    </row>
    <row r="121">
      <c r="A121" s="17"/>
      <c r="C121" s="79"/>
      <c r="D121" s="79"/>
      <c r="E121" s="79"/>
      <c r="F121" s="79"/>
      <c r="G121" s="79"/>
      <c r="I121" s="102"/>
    </row>
    <row r="122">
      <c r="A122" s="17"/>
      <c r="C122" s="79"/>
      <c r="D122" s="79"/>
      <c r="E122" s="79"/>
      <c r="F122" s="79"/>
      <c r="G122" s="79"/>
      <c r="I122" s="102"/>
    </row>
    <row r="123">
      <c r="A123" s="17"/>
      <c r="C123" s="79"/>
      <c r="D123" s="79"/>
      <c r="E123" s="79"/>
      <c r="F123" s="79"/>
      <c r="G123" s="79"/>
      <c r="I123" s="102"/>
    </row>
    <row r="124">
      <c r="A124" s="17"/>
      <c r="C124" s="79"/>
      <c r="D124" s="79"/>
      <c r="E124" s="79"/>
      <c r="F124" s="79"/>
      <c r="G124" s="79"/>
      <c r="I124" s="102"/>
    </row>
    <row r="125">
      <c r="A125" s="17"/>
      <c r="C125" s="79"/>
      <c r="D125" s="79"/>
      <c r="E125" s="79"/>
      <c r="F125" s="79"/>
      <c r="G125" s="79"/>
      <c r="I125" s="102"/>
    </row>
    <row r="126">
      <c r="A126" s="17"/>
      <c r="C126" s="79"/>
      <c r="D126" s="79"/>
      <c r="E126" s="79"/>
      <c r="F126" s="79"/>
      <c r="G126" s="79"/>
      <c r="I126" s="102"/>
    </row>
    <row r="127">
      <c r="A127" s="17"/>
      <c r="C127" s="79"/>
      <c r="D127" s="79"/>
      <c r="E127" s="79"/>
      <c r="F127" s="79"/>
      <c r="G127" s="79"/>
      <c r="I127" s="102"/>
    </row>
    <row r="128">
      <c r="A128" s="17"/>
      <c r="C128" s="79"/>
      <c r="D128" s="79"/>
      <c r="E128" s="79"/>
      <c r="F128" s="79"/>
      <c r="G128" s="79"/>
      <c r="I128" s="102"/>
    </row>
    <row r="129">
      <c r="A129" s="17"/>
      <c r="C129" s="79"/>
      <c r="D129" s="79"/>
      <c r="E129" s="79"/>
      <c r="F129" s="79"/>
      <c r="G129" s="79"/>
      <c r="I129" s="102"/>
    </row>
    <row r="130">
      <c r="A130" s="17"/>
      <c r="C130" s="79"/>
      <c r="D130" s="79"/>
      <c r="E130" s="79"/>
      <c r="F130" s="79"/>
      <c r="G130" s="79"/>
      <c r="I130" s="102"/>
    </row>
    <row r="131">
      <c r="A131" s="17"/>
      <c r="C131" s="79"/>
      <c r="D131" s="79"/>
      <c r="E131" s="79"/>
      <c r="F131" s="79"/>
      <c r="G131" s="79"/>
      <c r="I131" s="102"/>
    </row>
    <row r="132">
      <c r="A132" s="17"/>
      <c r="C132" s="79"/>
      <c r="D132" s="79"/>
      <c r="E132" s="79"/>
      <c r="F132" s="79"/>
      <c r="G132" s="79"/>
      <c r="I132" s="102"/>
    </row>
    <row r="133">
      <c r="A133" s="17"/>
      <c r="C133" s="79"/>
      <c r="D133" s="79"/>
      <c r="E133" s="79"/>
      <c r="F133" s="79"/>
      <c r="G133" s="79"/>
      <c r="I133" s="102"/>
    </row>
    <row r="134">
      <c r="A134" s="17"/>
      <c r="C134" s="79"/>
      <c r="D134" s="79"/>
      <c r="E134" s="79"/>
      <c r="F134" s="79"/>
      <c r="G134" s="79"/>
      <c r="I134" s="102"/>
    </row>
    <row r="135">
      <c r="A135" s="17"/>
      <c r="C135" s="79"/>
      <c r="D135" s="79"/>
      <c r="E135" s="79"/>
      <c r="F135" s="79"/>
      <c r="G135" s="79"/>
      <c r="I135" s="102"/>
    </row>
    <row r="136">
      <c r="A136" s="17"/>
      <c r="C136" s="79"/>
      <c r="D136" s="79"/>
      <c r="E136" s="79"/>
      <c r="F136" s="79"/>
      <c r="G136" s="79"/>
      <c r="I136" s="102"/>
    </row>
    <row r="137">
      <c r="A137" s="17"/>
      <c r="C137" s="79"/>
      <c r="D137" s="79"/>
      <c r="E137" s="79"/>
      <c r="F137" s="79"/>
      <c r="G137" s="79"/>
      <c r="I137" s="102"/>
    </row>
    <row r="138">
      <c r="A138" s="17"/>
      <c r="C138" s="79"/>
      <c r="D138" s="79"/>
      <c r="E138" s="79"/>
      <c r="F138" s="79"/>
      <c r="G138" s="79"/>
      <c r="I138" s="102"/>
    </row>
    <row r="139">
      <c r="A139" s="17"/>
      <c r="C139" s="79"/>
      <c r="D139" s="79"/>
      <c r="E139" s="79"/>
      <c r="F139" s="79"/>
      <c r="G139" s="79"/>
      <c r="I139" s="102"/>
    </row>
    <row r="140">
      <c r="A140" s="17"/>
      <c r="C140" s="79"/>
      <c r="D140" s="79"/>
      <c r="E140" s="79"/>
      <c r="F140" s="79"/>
      <c r="G140" s="79"/>
      <c r="I140" s="102"/>
    </row>
    <row r="141">
      <c r="A141" s="17"/>
      <c r="C141" s="79"/>
      <c r="D141" s="79"/>
      <c r="E141" s="79"/>
      <c r="F141" s="79"/>
      <c r="G141" s="79"/>
      <c r="I141" s="102"/>
    </row>
    <row r="142">
      <c r="A142" s="17"/>
      <c r="C142" s="79"/>
      <c r="D142" s="79"/>
      <c r="E142" s="79"/>
      <c r="F142" s="79"/>
      <c r="G142" s="79"/>
      <c r="I142" s="102"/>
    </row>
    <row r="143">
      <c r="A143" s="17"/>
      <c r="C143" s="79"/>
      <c r="D143" s="79"/>
      <c r="E143" s="79"/>
      <c r="F143" s="79"/>
      <c r="G143" s="79"/>
      <c r="I143" s="102"/>
    </row>
    <row r="144">
      <c r="A144" s="17"/>
      <c r="C144" s="79"/>
      <c r="D144" s="79"/>
      <c r="E144" s="79"/>
      <c r="F144" s="79"/>
      <c r="G144" s="79"/>
      <c r="I144" s="102"/>
    </row>
    <row r="145">
      <c r="A145" s="17"/>
      <c r="C145" s="79"/>
      <c r="D145" s="79"/>
      <c r="E145" s="79"/>
      <c r="F145" s="79"/>
      <c r="G145" s="79"/>
      <c r="I145" s="102"/>
    </row>
    <row r="146">
      <c r="A146" s="17"/>
      <c r="C146" s="79"/>
      <c r="D146" s="79"/>
      <c r="E146" s="79"/>
      <c r="F146" s="79"/>
      <c r="G146" s="79"/>
      <c r="I146" s="102"/>
    </row>
    <row r="147">
      <c r="A147" s="17"/>
      <c r="C147" s="79"/>
      <c r="D147" s="79"/>
      <c r="E147" s="79"/>
      <c r="F147" s="79"/>
      <c r="G147" s="79"/>
      <c r="I147" s="102"/>
    </row>
    <row r="148">
      <c r="A148" s="17"/>
      <c r="C148" s="79"/>
      <c r="D148" s="79"/>
      <c r="E148" s="79"/>
      <c r="F148" s="79"/>
      <c r="G148" s="79"/>
      <c r="I148" s="102"/>
    </row>
    <row r="149">
      <c r="A149" s="17"/>
      <c r="C149" s="79"/>
      <c r="D149" s="79"/>
      <c r="E149" s="79"/>
      <c r="F149" s="79"/>
      <c r="G149" s="79"/>
      <c r="I149" s="102"/>
    </row>
    <row r="150">
      <c r="A150" s="17"/>
      <c r="C150" s="79"/>
      <c r="D150" s="79"/>
      <c r="E150" s="79"/>
      <c r="F150" s="79"/>
      <c r="G150" s="79"/>
      <c r="I150" s="102"/>
    </row>
    <row r="151">
      <c r="A151" s="17"/>
      <c r="C151" s="79"/>
      <c r="D151" s="79"/>
      <c r="E151" s="79"/>
      <c r="F151" s="79"/>
      <c r="G151" s="79"/>
      <c r="I151" s="102"/>
    </row>
    <row r="152">
      <c r="A152" s="17"/>
      <c r="C152" s="79"/>
      <c r="D152" s="79"/>
      <c r="E152" s="79"/>
      <c r="F152" s="79"/>
      <c r="G152" s="79"/>
      <c r="I152" s="102"/>
    </row>
    <row r="153">
      <c r="A153" s="17"/>
      <c r="C153" s="79"/>
      <c r="D153" s="79"/>
      <c r="E153" s="79"/>
      <c r="F153" s="79"/>
      <c r="G153" s="79"/>
      <c r="I153" s="102"/>
    </row>
    <row r="154">
      <c r="A154" s="17"/>
      <c r="C154" s="79"/>
      <c r="D154" s="79"/>
      <c r="E154" s="79"/>
      <c r="F154" s="79"/>
      <c r="G154" s="79"/>
      <c r="I154" s="102"/>
    </row>
    <row r="155">
      <c r="A155" s="17"/>
      <c r="C155" s="79"/>
      <c r="D155" s="79"/>
      <c r="E155" s="79"/>
      <c r="F155" s="79"/>
      <c r="G155" s="79"/>
      <c r="I155" s="102"/>
    </row>
    <row r="156">
      <c r="A156" s="17"/>
      <c r="C156" s="79"/>
      <c r="D156" s="79"/>
      <c r="E156" s="79"/>
      <c r="F156" s="79"/>
      <c r="G156" s="79"/>
      <c r="I156" s="102"/>
    </row>
    <row r="157">
      <c r="A157" s="17"/>
      <c r="C157" s="79"/>
      <c r="D157" s="79"/>
      <c r="E157" s="79"/>
      <c r="F157" s="79"/>
      <c r="G157" s="79"/>
      <c r="I157" s="102"/>
    </row>
    <row r="158">
      <c r="A158" s="17"/>
      <c r="C158" s="79"/>
      <c r="D158" s="79"/>
      <c r="E158" s="79"/>
      <c r="F158" s="79"/>
      <c r="G158" s="79"/>
      <c r="I158" s="102"/>
    </row>
    <row r="159">
      <c r="A159" s="17"/>
      <c r="C159" s="79"/>
      <c r="D159" s="79"/>
      <c r="E159" s="79"/>
      <c r="F159" s="79"/>
      <c r="G159" s="79"/>
      <c r="I159" s="102"/>
    </row>
    <row r="160">
      <c r="A160" s="17"/>
      <c r="C160" s="79"/>
      <c r="D160" s="79"/>
      <c r="E160" s="79"/>
      <c r="F160" s="79"/>
      <c r="G160" s="79"/>
      <c r="I160" s="102"/>
    </row>
    <row r="161">
      <c r="A161" s="17"/>
      <c r="C161" s="79"/>
      <c r="D161" s="79"/>
      <c r="E161" s="79"/>
      <c r="F161" s="79"/>
      <c r="G161" s="79"/>
      <c r="I161" s="102"/>
    </row>
    <row r="162">
      <c r="A162" s="17"/>
      <c r="C162" s="79"/>
      <c r="D162" s="79"/>
      <c r="E162" s="79"/>
      <c r="F162" s="79"/>
      <c r="G162" s="79"/>
      <c r="I162" s="102"/>
    </row>
    <row r="163">
      <c r="A163" s="17"/>
      <c r="C163" s="79"/>
      <c r="D163" s="79"/>
      <c r="E163" s="79"/>
      <c r="F163" s="79"/>
      <c r="G163" s="79"/>
      <c r="I163" s="102"/>
    </row>
    <row r="164">
      <c r="A164" s="17"/>
      <c r="C164" s="79"/>
      <c r="D164" s="79"/>
      <c r="E164" s="79"/>
      <c r="F164" s="79"/>
      <c r="G164" s="79"/>
      <c r="I164" s="102"/>
    </row>
    <row r="165">
      <c r="A165" s="17"/>
      <c r="C165" s="79"/>
      <c r="D165" s="79"/>
      <c r="E165" s="79"/>
      <c r="F165" s="79"/>
      <c r="G165" s="79"/>
      <c r="I165" s="102"/>
    </row>
    <row r="166">
      <c r="A166" s="17"/>
      <c r="C166" s="79"/>
      <c r="D166" s="79"/>
      <c r="E166" s="79"/>
      <c r="F166" s="79"/>
      <c r="G166" s="79"/>
      <c r="I166" s="102"/>
    </row>
    <row r="167">
      <c r="A167" s="17"/>
      <c r="C167" s="79"/>
      <c r="D167" s="79"/>
      <c r="E167" s="79"/>
      <c r="F167" s="79"/>
      <c r="G167" s="79"/>
      <c r="I167" s="102"/>
    </row>
    <row r="168">
      <c r="A168" s="17"/>
      <c r="C168" s="79"/>
      <c r="D168" s="79"/>
      <c r="E168" s="79"/>
      <c r="F168" s="79"/>
      <c r="G168" s="79"/>
      <c r="I168" s="102"/>
    </row>
    <row r="169">
      <c r="A169" s="17"/>
      <c r="C169" s="79"/>
      <c r="D169" s="79"/>
      <c r="E169" s="79"/>
      <c r="F169" s="79"/>
      <c r="G169" s="79"/>
      <c r="I169" s="102"/>
    </row>
    <row r="170">
      <c r="A170" s="17"/>
      <c r="C170" s="79"/>
      <c r="D170" s="79"/>
      <c r="E170" s="79"/>
      <c r="F170" s="79"/>
      <c r="G170" s="79"/>
      <c r="I170" s="102"/>
    </row>
    <row r="171">
      <c r="A171" s="17"/>
      <c r="C171" s="79"/>
      <c r="D171" s="79"/>
      <c r="E171" s="79"/>
      <c r="F171" s="79"/>
      <c r="G171" s="79"/>
      <c r="I171" s="102"/>
    </row>
    <row r="172">
      <c r="A172" s="17"/>
      <c r="C172" s="79"/>
      <c r="D172" s="79"/>
      <c r="E172" s="79"/>
      <c r="F172" s="79"/>
      <c r="G172" s="79"/>
      <c r="I172" s="102"/>
    </row>
    <row r="173">
      <c r="A173" s="17"/>
      <c r="C173" s="79"/>
      <c r="D173" s="79"/>
      <c r="E173" s="79"/>
      <c r="F173" s="79"/>
      <c r="G173" s="79"/>
      <c r="I173" s="102"/>
    </row>
    <row r="174">
      <c r="A174" s="17"/>
      <c r="C174" s="79"/>
      <c r="D174" s="79"/>
      <c r="E174" s="79"/>
      <c r="F174" s="79"/>
      <c r="G174" s="79"/>
      <c r="I174" s="102"/>
    </row>
    <row r="175">
      <c r="A175" s="17"/>
      <c r="C175" s="79"/>
      <c r="D175" s="79"/>
      <c r="E175" s="79"/>
      <c r="F175" s="79"/>
      <c r="G175" s="79"/>
      <c r="I175" s="102"/>
    </row>
    <row r="176">
      <c r="A176" s="17"/>
      <c r="C176" s="79"/>
      <c r="D176" s="79"/>
      <c r="E176" s="79"/>
      <c r="F176" s="79"/>
      <c r="G176" s="79"/>
      <c r="I176" s="102"/>
    </row>
    <row r="177">
      <c r="A177" s="17"/>
      <c r="C177" s="79"/>
      <c r="D177" s="79"/>
      <c r="E177" s="79"/>
      <c r="F177" s="79"/>
      <c r="G177" s="79"/>
      <c r="I177" s="102"/>
    </row>
    <row r="178">
      <c r="A178" s="17"/>
      <c r="C178" s="79"/>
      <c r="D178" s="79"/>
      <c r="E178" s="79"/>
      <c r="F178" s="79"/>
      <c r="G178" s="79"/>
      <c r="I178" s="102"/>
    </row>
    <row r="179">
      <c r="A179" s="17"/>
      <c r="C179" s="79"/>
      <c r="D179" s="79"/>
      <c r="E179" s="79"/>
      <c r="F179" s="79"/>
      <c r="G179" s="79"/>
      <c r="I179" s="102"/>
    </row>
    <row r="180">
      <c r="A180" s="17"/>
      <c r="C180" s="79"/>
      <c r="D180" s="79"/>
      <c r="E180" s="79"/>
      <c r="F180" s="79"/>
      <c r="G180" s="79"/>
      <c r="I180" s="102"/>
    </row>
    <row r="181">
      <c r="A181" s="17"/>
      <c r="C181" s="79"/>
      <c r="D181" s="79"/>
      <c r="E181" s="79"/>
      <c r="F181" s="79"/>
      <c r="G181" s="79"/>
      <c r="I181" s="102"/>
    </row>
    <row r="182">
      <c r="A182" s="17"/>
      <c r="C182" s="79"/>
      <c r="D182" s="79"/>
      <c r="E182" s="79"/>
      <c r="F182" s="79"/>
      <c r="G182" s="79"/>
      <c r="I182" s="102"/>
    </row>
    <row r="183">
      <c r="A183" s="17"/>
      <c r="C183" s="79"/>
      <c r="D183" s="79"/>
      <c r="E183" s="79"/>
      <c r="F183" s="79"/>
      <c r="G183" s="79"/>
      <c r="I183" s="102"/>
    </row>
    <row r="184">
      <c r="A184" s="17"/>
      <c r="C184" s="79"/>
      <c r="D184" s="79"/>
      <c r="E184" s="79"/>
      <c r="F184" s="79"/>
      <c r="G184" s="79"/>
      <c r="I184" s="102"/>
    </row>
    <row r="185">
      <c r="A185" s="17"/>
      <c r="C185" s="79"/>
      <c r="D185" s="79"/>
      <c r="E185" s="79"/>
      <c r="F185" s="79"/>
      <c r="G185" s="79"/>
      <c r="I185" s="102"/>
    </row>
    <row r="186">
      <c r="A186" s="17"/>
      <c r="C186" s="79"/>
      <c r="D186" s="79"/>
      <c r="E186" s="79"/>
      <c r="F186" s="79"/>
      <c r="G186" s="79"/>
      <c r="I186" s="102"/>
    </row>
    <row r="187">
      <c r="A187" s="17"/>
      <c r="C187" s="79"/>
      <c r="D187" s="79"/>
      <c r="E187" s="79"/>
      <c r="F187" s="79"/>
      <c r="G187" s="79"/>
      <c r="I187" s="102"/>
    </row>
    <row r="188">
      <c r="A188" s="17"/>
      <c r="C188" s="79"/>
      <c r="D188" s="79"/>
      <c r="E188" s="79"/>
      <c r="F188" s="79"/>
      <c r="G188" s="79"/>
      <c r="I188" s="102"/>
    </row>
    <row r="189">
      <c r="A189" s="17"/>
      <c r="C189" s="79"/>
      <c r="D189" s="79"/>
      <c r="E189" s="79"/>
      <c r="F189" s="79"/>
      <c r="G189" s="79"/>
      <c r="I189" s="102"/>
    </row>
    <row r="190">
      <c r="A190" s="17"/>
      <c r="C190" s="79"/>
      <c r="D190" s="79"/>
      <c r="E190" s="79"/>
      <c r="F190" s="79"/>
      <c r="G190" s="79"/>
      <c r="I190" s="102"/>
    </row>
    <row r="191">
      <c r="A191" s="17"/>
      <c r="C191" s="79"/>
      <c r="D191" s="79"/>
      <c r="E191" s="79"/>
      <c r="F191" s="79"/>
      <c r="G191" s="79"/>
      <c r="I191" s="102"/>
    </row>
    <row r="192">
      <c r="A192" s="17"/>
      <c r="C192" s="79"/>
      <c r="D192" s="79"/>
      <c r="E192" s="79"/>
      <c r="F192" s="79"/>
      <c r="G192" s="79"/>
      <c r="I192" s="102"/>
    </row>
    <row r="193">
      <c r="A193" s="17"/>
      <c r="C193" s="79"/>
      <c r="D193" s="79"/>
      <c r="E193" s="79"/>
      <c r="F193" s="79"/>
      <c r="G193" s="79"/>
      <c r="I193" s="102"/>
    </row>
    <row r="194">
      <c r="A194" s="17"/>
      <c r="C194" s="79"/>
      <c r="D194" s="79"/>
      <c r="E194" s="79"/>
      <c r="F194" s="79"/>
      <c r="G194" s="79"/>
      <c r="I194" s="102"/>
    </row>
    <row r="195">
      <c r="A195" s="17"/>
      <c r="C195" s="79"/>
      <c r="D195" s="79"/>
      <c r="E195" s="79"/>
      <c r="F195" s="79"/>
      <c r="G195" s="79"/>
      <c r="I195" s="102"/>
    </row>
    <row r="196">
      <c r="A196" s="17"/>
      <c r="C196" s="79"/>
      <c r="D196" s="79"/>
      <c r="E196" s="79"/>
      <c r="F196" s="79"/>
      <c r="G196" s="79"/>
      <c r="I196" s="102"/>
    </row>
    <row r="197">
      <c r="A197" s="17"/>
      <c r="C197" s="79"/>
      <c r="D197" s="79"/>
      <c r="E197" s="79"/>
      <c r="F197" s="79"/>
      <c r="G197" s="79"/>
      <c r="I197" s="102"/>
    </row>
    <row r="198">
      <c r="A198" s="17"/>
      <c r="C198" s="79"/>
      <c r="D198" s="79"/>
      <c r="E198" s="79"/>
      <c r="F198" s="79"/>
      <c r="G198" s="79"/>
      <c r="I198" s="102"/>
    </row>
    <row r="199">
      <c r="A199" s="17"/>
      <c r="C199" s="79"/>
      <c r="D199" s="79"/>
      <c r="E199" s="79"/>
      <c r="F199" s="79"/>
      <c r="G199" s="79"/>
      <c r="I199" s="102"/>
    </row>
    <row r="200">
      <c r="A200" s="17"/>
      <c r="C200" s="79"/>
      <c r="D200" s="79"/>
      <c r="E200" s="79"/>
      <c r="F200" s="79"/>
      <c r="G200" s="79"/>
      <c r="I200" s="102"/>
    </row>
    <row r="201">
      <c r="A201" s="17"/>
      <c r="C201" s="79"/>
      <c r="D201" s="79"/>
      <c r="E201" s="79"/>
      <c r="F201" s="79"/>
      <c r="G201" s="79"/>
      <c r="I201" s="102"/>
    </row>
    <row r="202">
      <c r="A202" s="17"/>
      <c r="C202" s="79"/>
      <c r="D202" s="79"/>
      <c r="E202" s="79"/>
      <c r="F202" s="79"/>
      <c r="G202" s="79"/>
      <c r="I202" s="102"/>
    </row>
    <row r="203">
      <c r="A203" s="17"/>
      <c r="C203" s="79"/>
      <c r="D203" s="79"/>
      <c r="E203" s="79"/>
      <c r="F203" s="79"/>
      <c r="G203" s="79"/>
      <c r="I203" s="102"/>
    </row>
    <row r="204">
      <c r="A204" s="17"/>
      <c r="C204" s="79"/>
      <c r="D204" s="79"/>
      <c r="E204" s="79"/>
      <c r="F204" s="79"/>
      <c r="G204" s="79"/>
      <c r="I204" s="102"/>
    </row>
    <row r="205">
      <c r="A205" s="17"/>
      <c r="C205" s="79"/>
      <c r="D205" s="79"/>
      <c r="E205" s="79"/>
      <c r="F205" s="79"/>
      <c r="G205" s="79"/>
      <c r="I205" s="102"/>
    </row>
    <row r="206">
      <c r="A206" s="17"/>
      <c r="C206" s="79"/>
      <c r="D206" s="79"/>
      <c r="E206" s="79"/>
      <c r="F206" s="79"/>
      <c r="G206" s="79"/>
      <c r="I206" s="102"/>
    </row>
    <row r="207">
      <c r="A207" s="17"/>
      <c r="C207" s="79"/>
      <c r="D207" s="79"/>
      <c r="E207" s="79"/>
      <c r="F207" s="79"/>
      <c r="G207" s="79"/>
      <c r="I207" s="102"/>
    </row>
    <row r="208">
      <c r="A208" s="17"/>
      <c r="C208" s="79"/>
      <c r="D208" s="79"/>
      <c r="E208" s="79"/>
      <c r="F208" s="79"/>
      <c r="G208" s="79"/>
      <c r="I208" s="102"/>
    </row>
    <row r="209">
      <c r="A209" s="17"/>
      <c r="C209" s="79"/>
      <c r="D209" s="79"/>
      <c r="E209" s="79"/>
      <c r="F209" s="79"/>
      <c r="G209" s="79"/>
      <c r="I209" s="102"/>
    </row>
    <row r="210">
      <c r="A210" s="17"/>
      <c r="C210" s="79"/>
      <c r="D210" s="79"/>
      <c r="E210" s="79"/>
      <c r="F210" s="79"/>
      <c r="G210" s="79"/>
      <c r="I210" s="102"/>
    </row>
    <row r="211">
      <c r="A211" s="17"/>
      <c r="C211" s="79"/>
      <c r="D211" s="79"/>
      <c r="E211" s="79"/>
      <c r="F211" s="79"/>
      <c r="G211" s="79"/>
      <c r="I211" s="102"/>
    </row>
    <row r="212">
      <c r="A212" s="17"/>
      <c r="C212" s="79"/>
      <c r="D212" s="79"/>
      <c r="E212" s="79"/>
      <c r="F212" s="79"/>
      <c r="G212" s="79"/>
      <c r="I212" s="102"/>
    </row>
    <row r="213">
      <c r="A213" s="17"/>
      <c r="C213" s="79"/>
      <c r="D213" s="79"/>
      <c r="E213" s="79"/>
      <c r="F213" s="79"/>
      <c r="G213" s="79"/>
      <c r="I213" s="102"/>
    </row>
    <row r="214">
      <c r="A214" s="17"/>
      <c r="C214" s="79"/>
      <c r="D214" s="79"/>
      <c r="E214" s="79"/>
      <c r="F214" s="79"/>
      <c r="G214" s="79"/>
      <c r="I214" s="102"/>
    </row>
    <row r="215">
      <c r="A215" s="17"/>
      <c r="C215" s="79"/>
      <c r="D215" s="79"/>
      <c r="E215" s="79"/>
      <c r="F215" s="79"/>
      <c r="G215" s="79"/>
      <c r="I215" s="102"/>
    </row>
    <row r="216">
      <c r="A216" s="17"/>
      <c r="C216" s="79"/>
      <c r="D216" s="79"/>
      <c r="E216" s="79"/>
      <c r="F216" s="79"/>
      <c r="G216" s="79"/>
      <c r="I216" s="102"/>
    </row>
    <row r="217">
      <c r="A217" s="17"/>
      <c r="C217" s="79"/>
      <c r="D217" s="79"/>
      <c r="E217" s="79"/>
      <c r="F217" s="79"/>
      <c r="G217" s="79"/>
      <c r="I217" s="102"/>
    </row>
    <row r="218">
      <c r="A218" s="17"/>
      <c r="C218" s="79"/>
      <c r="D218" s="79"/>
      <c r="E218" s="79"/>
      <c r="F218" s="79"/>
      <c r="G218" s="79"/>
      <c r="I218" s="102"/>
    </row>
    <row r="219">
      <c r="A219" s="17"/>
      <c r="C219" s="79"/>
      <c r="D219" s="79"/>
      <c r="E219" s="79"/>
      <c r="F219" s="79"/>
      <c r="G219" s="79"/>
      <c r="I219" s="102"/>
    </row>
    <row r="220">
      <c r="A220" s="17"/>
      <c r="C220" s="79"/>
      <c r="D220" s="79"/>
      <c r="E220" s="79"/>
      <c r="F220" s="79"/>
      <c r="G220" s="79"/>
      <c r="I220" s="102"/>
    </row>
    <row r="221">
      <c r="A221" s="17"/>
      <c r="C221" s="79"/>
      <c r="D221" s="79"/>
      <c r="E221" s="79"/>
      <c r="F221" s="79"/>
      <c r="G221" s="79"/>
      <c r="I221" s="102"/>
    </row>
    <row r="222">
      <c r="A222" s="17"/>
      <c r="C222" s="79"/>
      <c r="D222" s="79"/>
      <c r="E222" s="79"/>
      <c r="F222" s="79"/>
      <c r="G222" s="79"/>
      <c r="I222" s="102"/>
    </row>
    <row r="223">
      <c r="A223" s="17"/>
      <c r="C223" s="79"/>
      <c r="D223" s="79"/>
      <c r="E223" s="79"/>
      <c r="F223" s="79"/>
      <c r="G223" s="79"/>
      <c r="I223" s="102"/>
    </row>
    <row r="224">
      <c r="A224" s="17"/>
      <c r="C224" s="79"/>
      <c r="D224" s="79"/>
      <c r="E224" s="79"/>
      <c r="F224" s="79"/>
      <c r="G224" s="79"/>
      <c r="I224" s="102"/>
    </row>
    <row r="225">
      <c r="A225" s="17"/>
      <c r="C225" s="79"/>
      <c r="D225" s="79"/>
      <c r="E225" s="79"/>
      <c r="F225" s="79"/>
      <c r="G225" s="79"/>
      <c r="I225" s="102"/>
    </row>
    <row r="226">
      <c r="A226" s="17"/>
      <c r="C226" s="79"/>
      <c r="D226" s="79"/>
      <c r="E226" s="79"/>
      <c r="F226" s="79"/>
      <c r="G226" s="79"/>
      <c r="I226" s="102"/>
    </row>
    <row r="227">
      <c r="A227" s="17"/>
      <c r="C227" s="79"/>
      <c r="D227" s="79"/>
      <c r="E227" s="79"/>
      <c r="F227" s="79"/>
      <c r="G227" s="79"/>
      <c r="I227" s="102"/>
    </row>
    <row r="228">
      <c r="A228" s="17"/>
      <c r="C228" s="79"/>
      <c r="D228" s="79"/>
      <c r="E228" s="79"/>
      <c r="F228" s="79"/>
      <c r="G228" s="79"/>
      <c r="I228" s="102"/>
    </row>
    <row r="229">
      <c r="A229" s="17"/>
      <c r="C229" s="79"/>
      <c r="D229" s="79"/>
      <c r="E229" s="79"/>
      <c r="F229" s="79"/>
      <c r="G229" s="79"/>
      <c r="I229" s="102"/>
    </row>
    <row r="230">
      <c r="A230" s="17"/>
      <c r="C230" s="79"/>
      <c r="D230" s="79"/>
      <c r="E230" s="79"/>
      <c r="F230" s="79"/>
      <c r="G230" s="79"/>
      <c r="I230" s="102"/>
    </row>
    <row r="231">
      <c r="A231" s="17"/>
      <c r="C231" s="79"/>
      <c r="D231" s="79"/>
      <c r="E231" s="79"/>
      <c r="F231" s="79"/>
      <c r="G231" s="79"/>
      <c r="I231" s="102"/>
    </row>
    <row r="232">
      <c r="A232" s="17"/>
      <c r="C232" s="79"/>
      <c r="D232" s="79"/>
      <c r="E232" s="79"/>
      <c r="F232" s="79"/>
      <c r="G232" s="79"/>
      <c r="I232" s="102"/>
    </row>
    <row r="233">
      <c r="A233" s="17"/>
      <c r="C233" s="79"/>
      <c r="D233" s="79"/>
      <c r="E233" s="79"/>
      <c r="F233" s="79"/>
      <c r="G233" s="79"/>
      <c r="I233" s="102"/>
    </row>
    <row r="234">
      <c r="A234" s="17"/>
      <c r="C234" s="79"/>
      <c r="D234" s="79"/>
      <c r="E234" s="79"/>
      <c r="F234" s="79"/>
      <c r="G234" s="79"/>
      <c r="I234" s="102"/>
    </row>
    <row r="235">
      <c r="A235" s="17"/>
      <c r="C235" s="79"/>
      <c r="D235" s="79"/>
      <c r="E235" s="79"/>
      <c r="F235" s="79"/>
      <c r="G235" s="79"/>
      <c r="I235" s="102"/>
    </row>
    <row r="236">
      <c r="A236" s="17"/>
      <c r="C236" s="79"/>
      <c r="D236" s="79"/>
      <c r="E236" s="79"/>
      <c r="F236" s="79"/>
      <c r="G236" s="79"/>
      <c r="I236" s="102"/>
    </row>
    <row r="237">
      <c r="A237" s="17"/>
      <c r="C237" s="79"/>
      <c r="D237" s="79"/>
      <c r="E237" s="79"/>
      <c r="F237" s="79"/>
      <c r="G237" s="79"/>
      <c r="I237" s="102"/>
    </row>
    <row r="238">
      <c r="A238" s="17"/>
      <c r="C238" s="79"/>
      <c r="D238" s="79"/>
      <c r="E238" s="79"/>
      <c r="F238" s="79"/>
      <c r="G238" s="79"/>
      <c r="I238" s="102"/>
    </row>
    <row r="239">
      <c r="A239" s="17"/>
      <c r="C239" s="79"/>
      <c r="D239" s="79"/>
      <c r="E239" s="79"/>
      <c r="F239" s="79"/>
      <c r="G239" s="79"/>
      <c r="I239" s="102"/>
    </row>
    <row r="240">
      <c r="A240" s="17"/>
      <c r="C240" s="79"/>
      <c r="D240" s="79"/>
      <c r="E240" s="79"/>
      <c r="F240" s="79"/>
      <c r="G240" s="79"/>
      <c r="I240" s="102"/>
    </row>
    <row r="241">
      <c r="A241" s="17"/>
      <c r="C241" s="79"/>
      <c r="D241" s="79"/>
      <c r="E241" s="79"/>
      <c r="F241" s="79"/>
      <c r="G241" s="79"/>
      <c r="I241" s="102"/>
    </row>
    <row r="242">
      <c r="A242" s="17"/>
      <c r="C242" s="79"/>
      <c r="D242" s="79"/>
      <c r="E242" s="79"/>
      <c r="F242" s="79"/>
      <c r="G242" s="79"/>
      <c r="I242" s="102"/>
    </row>
    <row r="243">
      <c r="A243" s="17"/>
      <c r="C243" s="79"/>
      <c r="D243" s="79"/>
      <c r="E243" s="79"/>
      <c r="F243" s="79"/>
      <c r="G243" s="79"/>
      <c r="I243" s="102"/>
    </row>
    <row r="244">
      <c r="A244" s="17"/>
      <c r="C244" s="79"/>
      <c r="D244" s="79"/>
      <c r="E244" s="79"/>
      <c r="F244" s="79"/>
      <c r="G244" s="79"/>
      <c r="I244" s="102"/>
    </row>
    <row r="245">
      <c r="A245" s="17"/>
      <c r="C245" s="79"/>
      <c r="D245" s="79"/>
      <c r="E245" s="79"/>
      <c r="F245" s="79"/>
      <c r="G245" s="79"/>
      <c r="I245" s="102"/>
    </row>
    <row r="246">
      <c r="A246" s="17"/>
      <c r="C246" s="79"/>
      <c r="D246" s="79"/>
      <c r="E246" s="79"/>
      <c r="F246" s="79"/>
      <c r="G246" s="79"/>
      <c r="I246" s="102"/>
    </row>
    <row r="247">
      <c r="A247" s="17"/>
      <c r="C247" s="79"/>
      <c r="D247" s="79"/>
      <c r="E247" s="79"/>
      <c r="F247" s="79"/>
      <c r="G247" s="79"/>
      <c r="I247" s="102"/>
    </row>
    <row r="248">
      <c r="A248" s="17"/>
      <c r="C248" s="79"/>
      <c r="D248" s="79"/>
      <c r="E248" s="79"/>
      <c r="F248" s="79"/>
      <c r="G248" s="79"/>
      <c r="I248" s="102"/>
    </row>
    <row r="249">
      <c r="A249" s="17"/>
      <c r="C249" s="79"/>
      <c r="D249" s="79"/>
      <c r="E249" s="79"/>
      <c r="F249" s="79"/>
      <c r="G249" s="79"/>
      <c r="I249" s="102"/>
    </row>
    <row r="250">
      <c r="A250" s="17"/>
      <c r="C250" s="79"/>
      <c r="D250" s="79"/>
      <c r="E250" s="79"/>
      <c r="F250" s="79"/>
      <c r="G250" s="79"/>
      <c r="I250" s="102"/>
    </row>
    <row r="251">
      <c r="A251" s="17"/>
      <c r="C251" s="79"/>
      <c r="D251" s="79"/>
      <c r="E251" s="79"/>
      <c r="F251" s="79"/>
      <c r="G251" s="79"/>
      <c r="I251" s="102"/>
    </row>
    <row r="252">
      <c r="A252" s="17"/>
      <c r="C252" s="79"/>
      <c r="D252" s="79"/>
      <c r="E252" s="79"/>
      <c r="F252" s="79"/>
      <c r="G252" s="79"/>
      <c r="I252" s="102"/>
    </row>
    <row r="253">
      <c r="A253" s="17"/>
      <c r="C253" s="79"/>
      <c r="D253" s="79"/>
      <c r="E253" s="79"/>
      <c r="F253" s="79"/>
      <c r="G253" s="79"/>
      <c r="I253" s="102"/>
    </row>
    <row r="254">
      <c r="A254" s="17"/>
      <c r="C254" s="79"/>
      <c r="D254" s="79"/>
      <c r="E254" s="79"/>
      <c r="F254" s="79"/>
      <c r="G254" s="79"/>
      <c r="I254" s="102"/>
    </row>
    <row r="255">
      <c r="A255" s="17"/>
      <c r="C255" s="79"/>
      <c r="D255" s="79"/>
      <c r="E255" s="79"/>
      <c r="F255" s="79"/>
      <c r="G255" s="79"/>
      <c r="I255" s="102"/>
    </row>
    <row r="256">
      <c r="A256" s="17"/>
      <c r="C256" s="79"/>
      <c r="D256" s="79"/>
      <c r="E256" s="79"/>
      <c r="F256" s="79"/>
      <c r="G256" s="79"/>
      <c r="I256" s="102"/>
    </row>
    <row r="257">
      <c r="A257" s="17"/>
      <c r="C257" s="79"/>
      <c r="D257" s="79"/>
      <c r="E257" s="79"/>
      <c r="F257" s="79"/>
      <c r="G257" s="79"/>
      <c r="I257" s="102"/>
    </row>
    <row r="258">
      <c r="A258" s="17"/>
      <c r="C258" s="79"/>
      <c r="D258" s="79"/>
      <c r="E258" s="79"/>
      <c r="F258" s="79"/>
      <c r="G258" s="79"/>
      <c r="I258" s="102"/>
    </row>
    <row r="259">
      <c r="A259" s="17"/>
      <c r="C259" s="79"/>
      <c r="D259" s="79"/>
      <c r="E259" s="79"/>
      <c r="F259" s="79"/>
      <c r="G259" s="79"/>
      <c r="I259" s="102"/>
    </row>
    <row r="260">
      <c r="A260" s="17"/>
      <c r="C260" s="79"/>
      <c r="D260" s="79"/>
      <c r="E260" s="79"/>
      <c r="F260" s="79"/>
      <c r="G260" s="79"/>
      <c r="I260" s="102"/>
    </row>
    <row r="261">
      <c r="A261" s="17"/>
      <c r="C261" s="79"/>
      <c r="D261" s="79"/>
      <c r="E261" s="79"/>
      <c r="F261" s="79"/>
      <c r="G261" s="79"/>
      <c r="I261" s="102"/>
    </row>
    <row r="262">
      <c r="A262" s="17"/>
      <c r="C262" s="79"/>
      <c r="D262" s="79"/>
      <c r="E262" s="79"/>
      <c r="F262" s="79"/>
      <c r="G262" s="79"/>
      <c r="I262" s="102"/>
    </row>
    <row r="263">
      <c r="A263" s="17"/>
      <c r="C263" s="79"/>
      <c r="D263" s="79"/>
      <c r="E263" s="79"/>
      <c r="F263" s="79"/>
      <c r="G263" s="79"/>
      <c r="I263" s="102"/>
    </row>
    <row r="264">
      <c r="A264" s="17"/>
      <c r="C264" s="79"/>
      <c r="D264" s="79"/>
      <c r="E264" s="79"/>
      <c r="F264" s="79"/>
      <c r="G264" s="79"/>
      <c r="I264" s="102"/>
    </row>
    <row r="265">
      <c r="A265" s="17"/>
      <c r="C265" s="79"/>
      <c r="D265" s="79"/>
      <c r="E265" s="79"/>
      <c r="F265" s="79"/>
      <c r="G265" s="79"/>
      <c r="I265" s="102"/>
    </row>
    <row r="266">
      <c r="A266" s="17"/>
      <c r="C266" s="79"/>
      <c r="D266" s="79"/>
      <c r="E266" s="79"/>
      <c r="F266" s="79"/>
      <c r="G266" s="79"/>
      <c r="I266" s="102"/>
    </row>
    <row r="267">
      <c r="A267" s="17"/>
      <c r="C267" s="79"/>
      <c r="D267" s="79"/>
      <c r="E267" s="79"/>
      <c r="F267" s="79"/>
      <c r="G267" s="79"/>
      <c r="I267" s="102"/>
    </row>
    <row r="268">
      <c r="A268" s="17"/>
      <c r="C268" s="79"/>
      <c r="D268" s="79"/>
      <c r="E268" s="79"/>
      <c r="F268" s="79"/>
      <c r="G268" s="79"/>
      <c r="I268" s="102"/>
    </row>
    <row r="269">
      <c r="A269" s="17"/>
      <c r="C269" s="79"/>
      <c r="D269" s="79"/>
      <c r="E269" s="79"/>
      <c r="F269" s="79"/>
      <c r="G269" s="79"/>
      <c r="I269" s="102"/>
    </row>
    <row r="270">
      <c r="A270" s="17"/>
      <c r="C270" s="79"/>
      <c r="D270" s="79"/>
      <c r="E270" s="79"/>
      <c r="F270" s="79"/>
      <c r="G270" s="79"/>
      <c r="I270" s="102"/>
    </row>
    <row r="271">
      <c r="A271" s="17"/>
      <c r="C271" s="79"/>
      <c r="D271" s="79"/>
      <c r="E271" s="79"/>
      <c r="F271" s="79"/>
      <c r="G271" s="79"/>
      <c r="I271" s="102"/>
    </row>
    <row r="272">
      <c r="A272" s="17"/>
      <c r="C272" s="79"/>
      <c r="D272" s="79"/>
      <c r="E272" s="79"/>
      <c r="F272" s="79"/>
      <c r="G272" s="79"/>
      <c r="I272" s="102"/>
    </row>
    <row r="273">
      <c r="A273" s="17"/>
      <c r="C273" s="79"/>
      <c r="D273" s="79"/>
      <c r="E273" s="79"/>
      <c r="F273" s="79"/>
      <c r="G273" s="79"/>
      <c r="I273" s="102"/>
    </row>
    <row r="274">
      <c r="A274" s="17"/>
      <c r="C274" s="79"/>
      <c r="D274" s="79"/>
      <c r="E274" s="79"/>
      <c r="F274" s="79"/>
      <c r="G274" s="79"/>
      <c r="I274" s="102"/>
    </row>
    <row r="275">
      <c r="A275" s="17"/>
      <c r="C275" s="79"/>
      <c r="D275" s="79"/>
      <c r="E275" s="79"/>
      <c r="F275" s="79"/>
      <c r="G275" s="79"/>
      <c r="I275" s="102"/>
    </row>
    <row r="276">
      <c r="A276" s="17"/>
      <c r="C276" s="79"/>
      <c r="D276" s="79"/>
      <c r="E276" s="79"/>
      <c r="F276" s="79"/>
      <c r="G276" s="79"/>
      <c r="I276" s="102"/>
    </row>
    <row r="277">
      <c r="A277" s="17"/>
      <c r="C277" s="79"/>
      <c r="D277" s="79"/>
      <c r="E277" s="79"/>
      <c r="F277" s="79"/>
      <c r="G277" s="79"/>
      <c r="I277" s="102"/>
    </row>
    <row r="278">
      <c r="A278" s="17"/>
      <c r="C278" s="79"/>
      <c r="D278" s="79"/>
      <c r="E278" s="79"/>
      <c r="F278" s="79"/>
      <c r="G278" s="79"/>
      <c r="I278" s="102"/>
    </row>
    <row r="279">
      <c r="A279" s="17"/>
      <c r="C279" s="79"/>
      <c r="D279" s="79"/>
      <c r="E279" s="79"/>
      <c r="F279" s="79"/>
      <c r="G279" s="79"/>
      <c r="I279" s="102"/>
    </row>
    <row r="280">
      <c r="A280" s="17"/>
      <c r="C280" s="79"/>
      <c r="D280" s="79"/>
      <c r="E280" s="79"/>
      <c r="F280" s="79"/>
      <c r="G280" s="79"/>
      <c r="I280" s="102"/>
    </row>
    <row r="281">
      <c r="A281" s="17"/>
      <c r="C281" s="79"/>
      <c r="D281" s="79"/>
      <c r="E281" s="79"/>
      <c r="F281" s="79"/>
      <c r="G281" s="79"/>
      <c r="I281" s="102"/>
    </row>
    <row r="282">
      <c r="A282" s="17"/>
      <c r="C282" s="79"/>
      <c r="D282" s="79"/>
      <c r="E282" s="79"/>
      <c r="F282" s="79"/>
      <c r="G282" s="79"/>
      <c r="I282" s="102"/>
    </row>
    <row r="283">
      <c r="A283" s="17"/>
      <c r="C283" s="79"/>
      <c r="D283" s="79"/>
      <c r="E283" s="79"/>
      <c r="F283" s="79"/>
      <c r="G283" s="79"/>
      <c r="I283" s="102"/>
    </row>
    <row r="284">
      <c r="A284" s="17"/>
      <c r="C284" s="79"/>
      <c r="D284" s="79"/>
      <c r="E284" s="79"/>
      <c r="F284" s="79"/>
      <c r="G284" s="79"/>
      <c r="I284" s="102"/>
    </row>
    <row r="285">
      <c r="A285" s="17"/>
      <c r="C285" s="79"/>
      <c r="D285" s="79"/>
      <c r="E285" s="79"/>
      <c r="F285" s="79"/>
      <c r="G285" s="79"/>
      <c r="I285" s="102"/>
    </row>
    <row r="286">
      <c r="A286" s="17"/>
      <c r="C286" s="79"/>
      <c r="D286" s="79"/>
      <c r="E286" s="79"/>
      <c r="F286" s="79"/>
      <c r="G286" s="79"/>
      <c r="I286" s="102"/>
    </row>
    <row r="287">
      <c r="A287" s="17"/>
      <c r="C287" s="79"/>
      <c r="D287" s="79"/>
      <c r="E287" s="79"/>
      <c r="F287" s="79"/>
      <c r="G287" s="79"/>
      <c r="I287" s="102"/>
    </row>
    <row r="288">
      <c r="A288" s="17"/>
      <c r="C288" s="79"/>
      <c r="D288" s="79"/>
      <c r="E288" s="79"/>
      <c r="F288" s="79"/>
      <c r="G288" s="79"/>
      <c r="I288" s="102"/>
    </row>
    <row r="289">
      <c r="A289" s="17"/>
      <c r="C289" s="79"/>
      <c r="D289" s="79"/>
      <c r="E289" s="79"/>
      <c r="F289" s="79"/>
      <c r="G289" s="79"/>
      <c r="I289" s="102"/>
    </row>
    <row r="290">
      <c r="A290" s="17"/>
      <c r="C290" s="79"/>
      <c r="D290" s="79"/>
      <c r="E290" s="79"/>
      <c r="F290" s="79"/>
      <c r="G290" s="79"/>
      <c r="I290" s="102"/>
    </row>
    <row r="291">
      <c r="A291" s="17"/>
      <c r="C291" s="79"/>
      <c r="D291" s="79"/>
      <c r="E291" s="79"/>
      <c r="F291" s="79"/>
      <c r="G291" s="79"/>
      <c r="I291" s="102"/>
    </row>
    <row r="292">
      <c r="A292" s="17"/>
      <c r="C292" s="79"/>
      <c r="D292" s="79"/>
      <c r="E292" s="79"/>
      <c r="F292" s="79"/>
      <c r="G292" s="79"/>
      <c r="I292" s="102"/>
    </row>
    <row r="293">
      <c r="A293" s="17"/>
      <c r="C293" s="79"/>
      <c r="D293" s="79"/>
      <c r="E293" s="79"/>
      <c r="F293" s="79"/>
      <c r="G293" s="79"/>
      <c r="I293" s="102"/>
    </row>
    <row r="294">
      <c r="A294" s="17"/>
      <c r="C294" s="79"/>
      <c r="D294" s="79"/>
      <c r="E294" s="79"/>
      <c r="F294" s="79"/>
      <c r="G294" s="79"/>
      <c r="I294" s="102"/>
    </row>
    <row r="295">
      <c r="A295" s="17"/>
      <c r="C295" s="79"/>
      <c r="D295" s="79"/>
      <c r="E295" s="79"/>
      <c r="F295" s="79"/>
      <c r="G295" s="79"/>
      <c r="I295" s="102"/>
    </row>
    <row r="296">
      <c r="A296" s="17"/>
      <c r="C296" s="79"/>
      <c r="D296" s="79"/>
      <c r="E296" s="79"/>
      <c r="F296" s="79"/>
      <c r="G296" s="79"/>
      <c r="I296" s="102"/>
    </row>
    <row r="297">
      <c r="A297" s="17"/>
      <c r="C297" s="79"/>
      <c r="D297" s="79"/>
      <c r="E297" s="79"/>
      <c r="F297" s="79"/>
      <c r="G297" s="79"/>
      <c r="I297" s="102"/>
    </row>
    <row r="298">
      <c r="A298" s="17"/>
      <c r="C298" s="79"/>
      <c r="D298" s="79"/>
      <c r="E298" s="79"/>
      <c r="F298" s="79"/>
      <c r="G298" s="79"/>
      <c r="I298" s="102"/>
    </row>
    <row r="299">
      <c r="A299" s="17"/>
      <c r="C299" s="79"/>
      <c r="D299" s="79"/>
      <c r="E299" s="79"/>
      <c r="F299" s="79"/>
      <c r="G299" s="79"/>
      <c r="I299" s="102"/>
    </row>
    <row r="300">
      <c r="A300" s="17"/>
      <c r="C300" s="79"/>
      <c r="D300" s="79"/>
      <c r="E300" s="79"/>
      <c r="F300" s="79"/>
      <c r="G300" s="79"/>
      <c r="I300" s="102"/>
    </row>
    <row r="301">
      <c r="A301" s="17"/>
      <c r="C301" s="79"/>
      <c r="D301" s="79"/>
      <c r="E301" s="79"/>
      <c r="F301" s="79"/>
      <c r="G301" s="79"/>
      <c r="I301" s="102"/>
    </row>
    <row r="302">
      <c r="A302" s="17"/>
      <c r="C302" s="79"/>
      <c r="D302" s="79"/>
      <c r="E302" s="79"/>
      <c r="F302" s="79"/>
      <c r="G302" s="79"/>
      <c r="I302" s="102"/>
    </row>
    <row r="303">
      <c r="A303" s="17"/>
      <c r="C303" s="79"/>
      <c r="D303" s="79"/>
      <c r="E303" s="79"/>
      <c r="F303" s="79"/>
      <c r="G303" s="79"/>
      <c r="I303" s="102"/>
    </row>
    <row r="304">
      <c r="A304" s="17"/>
      <c r="C304" s="79"/>
      <c r="D304" s="79"/>
      <c r="E304" s="79"/>
      <c r="F304" s="79"/>
      <c r="G304" s="79"/>
      <c r="I304" s="102"/>
    </row>
    <row r="305">
      <c r="A305" s="17"/>
      <c r="C305" s="79"/>
      <c r="D305" s="79"/>
      <c r="E305" s="79"/>
      <c r="F305" s="79"/>
      <c r="G305" s="79"/>
      <c r="I305" s="102"/>
    </row>
    <row r="306">
      <c r="A306" s="17"/>
      <c r="C306" s="79"/>
      <c r="D306" s="79"/>
      <c r="E306" s="79"/>
      <c r="F306" s="79"/>
      <c r="G306" s="79"/>
      <c r="I306" s="102"/>
    </row>
    <row r="307">
      <c r="A307" s="17"/>
      <c r="C307" s="79"/>
      <c r="D307" s="79"/>
      <c r="E307" s="79"/>
      <c r="F307" s="79"/>
      <c r="G307" s="79"/>
      <c r="I307" s="102"/>
    </row>
    <row r="308">
      <c r="A308" s="17"/>
      <c r="C308" s="79"/>
      <c r="D308" s="79"/>
      <c r="E308" s="79"/>
      <c r="F308" s="79"/>
      <c r="G308" s="79"/>
      <c r="I308" s="102"/>
    </row>
    <row r="309">
      <c r="A309" s="17"/>
      <c r="C309" s="79"/>
      <c r="D309" s="79"/>
      <c r="E309" s="79"/>
      <c r="F309" s="79"/>
      <c r="G309" s="79"/>
      <c r="I309" s="102"/>
    </row>
    <row r="310">
      <c r="A310" s="17"/>
      <c r="C310" s="79"/>
      <c r="D310" s="79"/>
      <c r="E310" s="79"/>
      <c r="F310" s="79"/>
      <c r="G310" s="79"/>
      <c r="I310" s="102"/>
    </row>
    <row r="311">
      <c r="A311" s="17"/>
      <c r="C311" s="79"/>
      <c r="D311" s="79"/>
      <c r="E311" s="79"/>
      <c r="F311" s="79"/>
      <c r="G311" s="79"/>
      <c r="I311" s="102"/>
    </row>
    <row r="312">
      <c r="A312" s="17"/>
      <c r="C312" s="79"/>
      <c r="D312" s="79"/>
      <c r="E312" s="79"/>
      <c r="F312" s="79"/>
      <c r="G312" s="79"/>
      <c r="I312" s="102"/>
    </row>
    <row r="313">
      <c r="A313" s="17"/>
      <c r="C313" s="79"/>
      <c r="D313" s="79"/>
      <c r="E313" s="79"/>
      <c r="F313" s="79"/>
      <c r="G313" s="79"/>
      <c r="I313" s="102"/>
    </row>
    <row r="314">
      <c r="A314" s="17"/>
      <c r="C314" s="79"/>
      <c r="D314" s="79"/>
      <c r="E314" s="79"/>
      <c r="F314" s="79"/>
      <c r="G314" s="79"/>
      <c r="I314" s="102"/>
    </row>
    <row r="315">
      <c r="A315" s="17"/>
      <c r="C315" s="79"/>
      <c r="D315" s="79"/>
      <c r="E315" s="79"/>
      <c r="F315" s="79"/>
      <c r="G315" s="79"/>
      <c r="I315" s="102"/>
    </row>
    <row r="316">
      <c r="A316" s="17"/>
      <c r="C316" s="79"/>
      <c r="D316" s="79"/>
      <c r="E316" s="79"/>
      <c r="F316" s="79"/>
      <c r="G316" s="79"/>
      <c r="I316" s="102"/>
    </row>
    <row r="317">
      <c r="A317" s="17"/>
      <c r="C317" s="79"/>
      <c r="D317" s="79"/>
      <c r="E317" s="79"/>
      <c r="F317" s="79"/>
      <c r="G317" s="79"/>
      <c r="I317" s="102"/>
    </row>
    <row r="318">
      <c r="A318" s="17"/>
      <c r="C318" s="79"/>
      <c r="D318" s="79"/>
      <c r="E318" s="79"/>
      <c r="F318" s="79"/>
      <c r="G318" s="79"/>
      <c r="I318" s="102"/>
    </row>
    <row r="319">
      <c r="A319" s="17"/>
      <c r="C319" s="79"/>
      <c r="D319" s="79"/>
      <c r="E319" s="79"/>
      <c r="F319" s="79"/>
      <c r="G319" s="79"/>
      <c r="I319" s="102"/>
    </row>
    <row r="320">
      <c r="A320" s="17"/>
      <c r="C320" s="79"/>
      <c r="D320" s="79"/>
      <c r="E320" s="79"/>
      <c r="F320" s="79"/>
      <c r="G320" s="79"/>
      <c r="I320" s="102"/>
    </row>
    <row r="321">
      <c r="A321" s="17"/>
      <c r="C321" s="79"/>
      <c r="D321" s="79"/>
      <c r="E321" s="79"/>
      <c r="F321" s="79"/>
      <c r="G321" s="79"/>
      <c r="I321" s="102"/>
    </row>
    <row r="322">
      <c r="A322" s="17"/>
      <c r="C322" s="79"/>
      <c r="D322" s="79"/>
      <c r="E322" s="79"/>
      <c r="F322" s="79"/>
      <c r="G322" s="79"/>
      <c r="I322" s="102"/>
    </row>
    <row r="323">
      <c r="A323" s="17"/>
      <c r="C323" s="79"/>
      <c r="D323" s="79"/>
      <c r="E323" s="79"/>
      <c r="F323" s="79"/>
      <c r="G323" s="79"/>
      <c r="I323" s="102"/>
    </row>
    <row r="324">
      <c r="A324" s="17"/>
      <c r="C324" s="79"/>
      <c r="D324" s="79"/>
      <c r="E324" s="79"/>
      <c r="F324" s="79"/>
      <c r="G324" s="79"/>
      <c r="I324" s="102"/>
    </row>
    <row r="325">
      <c r="A325" s="17"/>
      <c r="C325" s="79"/>
      <c r="D325" s="79"/>
      <c r="E325" s="79"/>
      <c r="F325" s="79"/>
      <c r="G325" s="79"/>
      <c r="I325" s="102"/>
    </row>
    <row r="326">
      <c r="A326" s="17"/>
      <c r="C326" s="79"/>
      <c r="D326" s="79"/>
      <c r="E326" s="79"/>
      <c r="F326" s="79"/>
      <c r="G326" s="79"/>
      <c r="I326" s="102"/>
    </row>
    <row r="327">
      <c r="A327" s="17"/>
      <c r="C327" s="79"/>
      <c r="D327" s="79"/>
      <c r="E327" s="79"/>
      <c r="F327" s="79"/>
      <c r="G327" s="79"/>
      <c r="I327" s="102"/>
    </row>
    <row r="328">
      <c r="A328" s="17"/>
      <c r="C328" s="79"/>
      <c r="D328" s="79"/>
      <c r="E328" s="79"/>
      <c r="F328" s="79"/>
      <c r="G328" s="79"/>
      <c r="I328" s="102"/>
    </row>
    <row r="329">
      <c r="A329" s="17"/>
      <c r="C329" s="79"/>
      <c r="D329" s="79"/>
      <c r="E329" s="79"/>
      <c r="F329" s="79"/>
      <c r="G329" s="79"/>
      <c r="I329" s="102"/>
    </row>
    <row r="330">
      <c r="A330" s="17"/>
      <c r="C330" s="79"/>
      <c r="D330" s="79"/>
      <c r="E330" s="79"/>
      <c r="F330" s="79"/>
      <c r="G330" s="79"/>
      <c r="I330" s="102"/>
    </row>
    <row r="331">
      <c r="A331" s="17"/>
      <c r="C331" s="79"/>
      <c r="D331" s="79"/>
      <c r="E331" s="79"/>
      <c r="F331" s="79"/>
      <c r="G331" s="79"/>
      <c r="I331" s="102"/>
    </row>
    <row r="332">
      <c r="A332" s="17"/>
      <c r="C332" s="79"/>
      <c r="D332" s="79"/>
      <c r="E332" s="79"/>
      <c r="F332" s="79"/>
      <c r="G332" s="79"/>
      <c r="I332" s="102"/>
    </row>
    <row r="333">
      <c r="A333" s="17"/>
      <c r="C333" s="79"/>
      <c r="D333" s="79"/>
      <c r="E333" s="79"/>
      <c r="F333" s="79"/>
      <c r="G333" s="79"/>
      <c r="I333" s="102"/>
    </row>
    <row r="334">
      <c r="A334" s="17"/>
      <c r="C334" s="79"/>
      <c r="D334" s="79"/>
      <c r="E334" s="79"/>
      <c r="F334" s="79"/>
      <c r="G334" s="79"/>
      <c r="I334" s="102"/>
    </row>
    <row r="335">
      <c r="A335" s="17"/>
      <c r="C335" s="79"/>
      <c r="D335" s="79"/>
      <c r="E335" s="79"/>
      <c r="F335" s="79"/>
      <c r="G335" s="79"/>
      <c r="I335" s="102"/>
    </row>
    <row r="336">
      <c r="A336" s="17"/>
      <c r="C336" s="79"/>
      <c r="D336" s="79"/>
      <c r="E336" s="79"/>
      <c r="F336" s="79"/>
      <c r="G336" s="79"/>
      <c r="I336" s="102"/>
    </row>
    <row r="337">
      <c r="A337" s="17"/>
      <c r="C337" s="79"/>
      <c r="D337" s="79"/>
      <c r="E337" s="79"/>
      <c r="F337" s="79"/>
      <c r="G337" s="79"/>
      <c r="I337" s="102"/>
    </row>
    <row r="338">
      <c r="A338" s="17"/>
      <c r="C338" s="79"/>
      <c r="D338" s="79"/>
      <c r="E338" s="79"/>
      <c r="F338" s="79"/>
      <c r="G338" s="79"/>
      <c r="I338" s="102"/>
    </row>
    <row r="339">
      <c r="A339" s="17"/>
      <c r="C339" s="79"/>
      <c r="D339" s="79"/>
      <c r="E339" s="79"/>
      <c r="F339" s="79"/>
      <c r="G339" s="79"/>
      <c r="I339" s="102"/>
    </row>
    <row r="340">
      <c r="A340" s="17"/>
      <c r="C340" s="79"/>
      <c r="D340" s="79"/>
      <c r="E340" s="79"/>
      <c r="F340" s="79"/>
      <c r="G340" s="79"/>
      <c r="I340" s="102"/>
    </row>
    <row r="341">
      <c r="A341" s="17"/>
      <c r="C341" s="79"/>
      <c r="D341" s="79"/>
      <c r="E341" s="79"/>
      <c r="F341" s="79"/>
      <c r="G341" s="79"/>
      <c r="I341" s="102"/>
    </row>
    <row r="342">
      <c r="A342" s="17"/>
      <c r="C342" s="79"/>
      <c r="D342" s="79"/>
      <c r="E342" s="79"/>
      <c r="F342" s="79"/>
      <c r="G342" s="79"/>
      <c r="I342" s="102"/>
    </row>
    <row r="343">
      <c r="A343" s="17"/>
      <c r="C343" s="79"/>
      <c r="D343" s="79"/>
      <c r="E343" s="79"/>
      <c r="F343" s="79"/>
      <c r="G343" s="79"/>
      <c r="I343" s="102"/>
    </row>
    <row r="344">
      <c r="A344" s="17"/>
      <c r="C344" s="79"/>
      <c r="D344" s="79"/>
      <c r="E344" s="79"/>
      <c r="F344" s="79"/>
      <c r="G344" s="79"/>
      <c r="I344" s="102"/>
    </row>
    <row r="345">
      <c r="A345" s="17"/>
      <c r="C345" s="79"/>
      <c r="D345" s="79"/>
      <c r="E345" s="79"/>
      <c r="F345" s="79"/>
      <c r="G345" s="79"/>
      <c r="I345" s="102"/>
    </row>
    <row r="346">
      <c r="A346" s="17"/>
      <c r="C346" s="79"/>
      <c r="D346" s="79"/>
      <c r="E346" s="79"/>
      <c r="F346" s="79"/>
      <c r="G346" s="79"/>
      <c r="I346" s="102"/>
    </row>
    <row r="347">
      <c r="A347" s="17"/>
      <c r="C347" s="79"/>
      <c r="D347" s="79"/>
      <c r="E347" s="79"/>
      <c r="F347" s="79"/>
      <c r="G347" s="79"/>
      <c r="I347" s="102"/>
    </row>
    <row r="348">
      <c r="A348" s="17"/>
      <c r="C348" s="79"/>
      <c r="D348" s="79"/>
      <c r="E348" s="79"/>
      <c r="F348" s="79"/>
      <c r="G348" s="79"/>
      <c r="I348" s="102"/>
    </row>
    <row r="349">
      <c r="A349" s="17"/>
      <c r="C349" s="79"/>
      <c r="D349" s="79"/>
      <c r="E349" s="79"/>
      <c r="F349" s="79"/>
      <c r="G349" s="79"/>
      <c r="I349" s="102"/>
    </row>
    <row r="350">
      <c r="A350" s="17"/>
      <c r="C350" s="79"/>
      <c r="D350" s="79"/>
      <c r="E350" s="79"/>
      <c r="F350" s="79"/>
      <c r="G350" s="79"/>
      <c r="I350" s="102"/>
    </row>
    <row r="351">
      <c r="A351" s="17"/>
      <c r="C351" s="79"/>
      <c r="D351" s="79"/>
      <c r="E351" s="79"/>
      <c r="F351" s="79"/>
      <c r="G351" s="79"/>
      <c r="I351" s="102"/>
    </row>
    <row r="352">
      <c r="A352" s="17"/>
      <c r="C352" s="79"/>
      <c r="D352" s="79"/>
      <c r="E352" s="79"/>
      <c r="F352" s="79"/>
      <c r="G352" s="79"/>
      <c r="I352" s="102"/>
    </row>
    <row r="353">
      <c r="A353" s="17"/>
      <c r="C353" s="79"/>
      <c r="D353" s="79"/>
      <c r="E353" s="79"/>
      <c r="F353" s="79"/>
      <c r="G353" s="79"/>
      <c r="I353" s="102"/>
    </row>
    <row r="354">
      <c r="A354" s="17"/>
      <c r="C354" s="79"/>
      <c r="D354" s="79"/>
      <c r="E354" s="79"/>
      <c r="F354" s="79"/>
      <c r="G354" s="79"/>
      <c r="I354" s="102"/>
    </row>
    <row r="355">
      <c r="A355" s="17"/>
      <c r="C355" s="79"/>
      <c r="D355" s="79"/>
      <c r="E355" s="79"/>
      <c r="F355" s="79"/>
      <c r="G355" s="79"/>
      <c r="I355" s="102"/>
    </row>
    <row r="356">
      <c r="A356" s="17"/>
      <c r="C356" s="79"/>
      <c r="D356" s="79"/>
      <c r="E356" s="79"/>
      <c r="F356" s="79"/>
      <c r="G356" s="79"/>
      <c r="I356" s="102"/>
    </row>
    <row r="357">
      <c r="A357" s="17"/>
      <c r="C357" s="79"/>
      <c r="D357" s="79"/>
      <c r="E357" s="79"/>
      <c r="F357" s="79"/>
      <c r="G357" s="79"/>
      <c r="I357" s="102"/>
    </row>
    <row r="358">
      <c r="A358" s="17"/>
      <c r="C358" s="79"/>
      <c r="D358" s="79"/>
      <c r="E358" s="79"/>
      <c r="F358" s="79"/>
      <c r="G358" s="79"/>
      <c r="I358" s="102"/>
    </row>
    <row r="359">
      <c r="A359" s="17"/>
      <c r="C359" s="79"/>
      <c r="D359" s="79"/>
      <c r="E359" s="79"/>
      <c r="F359" s="79"/>
      <c r="G359" s="79"/>
      <c r="I359" s="102"/>
    </row>
    <row r="360">
      <c r="A360" s="17"/>
      <c r="C360" s="79"/>
      <c r="D360" s="79"/>
      <c r="E360" s="79"/>
      <c r="F360" s="79"/>
      <c r="G360" s="79"/>
      <c r="I360" s="102"/>
    </row>
    <row r="361">
      <c r="A361" s="17"/>
      <c r="C361" s="79"/>
      <c r="D361" s="79"/>
      <c r="E361" s="79"/>
      <c r="F361" s="79"/>
      <c r="G361" s="79"/>
      <c r="I361" s="102"/>
    </row>
    <row r="362">
      <c r="A362" s="17"/>
      <c r="C362" s="79"/>
      <c r="D362" s="79"/>
      <c r="E362" s="79"/>
      <c r="F362" s="79"/>
      <c r="G362" s="79"/>
      <c r="I362" s="102"/>
    </row>
    <row r="363">
      <c r="A363" s="17"/>
      <c r="C363" s="79"/>
      <c r="D363" s="79"/>
      <c r="E363" s="79"/>
      <c r="F363" s="79"/>
      <c r="G363" s="79"/>
      <c r="I363" s="102"/>
    </row>
    <row r="364">
      <c r="A364" s="17"/>
      <c r="C364" s="79"/>
      <c r="D364" s="79"/>
      <c r="E364" s="79"/>
      <c r="F364" s="79"/>
      <c r="G364" s="79"/>
      <c r="I364" s="102"/>
    </row>
    <row r="365">
      <c r="A365" s="17"/>
      <c r="C365" s="79"/>
      <c r="D365" s="79"/>
      <c r="E365" s="79"/>
      <c r="F365" s="79"/>
      <c r="G365" s="79"/>
      <c r="I365" s="102"/>
    </row>
    <row r="366">
      <c r="A366" s="17"/>
      <c r="C366" s="79"/>
      <c r="D366" s="79"/>
      <c r="E366" s="79"/>
      <c r="F366" s="79"/>
      <c r="G366" s="79"/>
      <c r="I366" s="102"/>
    </row>
    <row r="367">
      <c r="A367" s="17"/>
      <c r="C367" s="79"/>
      <c r="D367" s="79"/>
      <c r="E367" s="79"/>
      <c r="F367" s="79"/>
      <c r="G367" s="79"/>
      <c r="I367" s="102"/>
    </row>
    <row r="368">
      <c r="A368" s="17"/>
      <c r="C368" s="79"/>
      <c r="D368" s="79"/>
      <c r="E368" s="79"/>
      <c r="F368" s="79"/>
      <c r="G368" s="79"/>
      <c r="I368" s="102"/>
    </row>
    <row r="369">
      <c r="A369" s="17"/>
      <c r="C369" s="79"/>
      <c r="D369" s="79"/>
      <c r="E369" s="79"/>
      <c r="F369" s="79"/>
      <c r="G369" s="79"/>
      <c r="I369" s="102"/>
    </row>
    <row r="370">
      <c r="A370" s="17"/>
      <c r="C370" s="79"/>
      <c r="D370" s="79"/>
      <c r="E370" s="79"/>
      <c r="F370" s="79"/>
      <c r="G370" s="79"/>
      <c r="I370" s="102"/>
    </row>
    <row r="371">
      <c r="A371" s="17"/>
      <c r="C371" s="79"/>
      <c r="D371" s="79"/>
      <c r="E371" s="79"/>
      <c r="F371" s="79"/>
      <c r="G371" s="79"/>
      <c r="I371" s="102"/>
    </row>
    <row r="372">
      <c r="A372" s="17"/>
      <c r="C372" s="79"/>
      <c r="D372" s="79"/>
      <c r="E372" s="79"/>
      <c r="F372" s="79"/>
      <c r="G372" s="79"/>
      <c r="I372" s="102"/>
    </row>
    <row r="373">
      <c r="A373" s="17"/>
      <c r="C373" s="79"/>
      <c r="D373" s="79"/>
      <c r="E373" s="79"/>
      <c r="F373" s="79"/>
      <c r="G373" s="79"/>
      <c r="I373" s="102"/>
    </row>
    <row r="374">
      <c r="A374" s="17"/>
      <c r="C374" s="79"/>
      <c r="D374" s="79"/>
      <c r="E374" s="79"/>
      <c r="F374" s="79"/>
      <c r="G374" s="79"/>
      <c r="I374" s="102"/>
    </row>
    <row r="375">
      <c r="A375" s="17"/>
      <c r="C375" s="79"/>
      <c r="D375" s="79"/>
      <c r="E375" s="79"/>
      <c r="F375" s="79"/>
      <c r="G375" s="79"/>
      <c r="I375" s="102"/>
    </row>
    <row r="376">
      <c r="A376" s="17"/>
      <c r="C376" s="79"/>
      <c r="D376" s="79"/>
      <c r="E376" s="79"/>
      <c r="F376" s="79"/>
      <c r="G376" s="79"/>
      <c r="I376" s="102"/>
    </row>
    <row r="377">
      <c r="A377" s="17"/>
      <c r="C377" s="79"/>
      <c r="D377" s="79"/>
      <c r="E377" s="79"/>
      <c r="F377" s="79"/>
      <c r="G377" s="79"/>
      <c r="I377" s="102"/>
    </row>
    <row r="378">
      <c r="A378" s="17"/>
      <c r="C378" s="79"/>
      <c r="D378" s="79"/>
      <c r="E378" s="79"/>
      <c r="F378" s="79"/>
      <c r="G378" s="79"/>
      <c r="I378" s="102"/>
    </row>
    <row r="379">
      <c r="A379" s="17"/>
      <c r="C379" s="79"/>
      <c r="D379" s="79"/>
      <c r="E379" s="79"/>
      <c r="F379" s="79"/>
      <c r="G379" s="79"/>
      <c r="I379" s="102"/>
    </row>
    <row r="380">
      <c r="A380" s="17"/>
      <c r="C380" s="79"/>
      <c r="D380" s="79"/>
      <c r="E380" s="79"/>
      <c r="F380" s="79"/>
      <c r="G380" s="79"/>
      <c r="I380" s="102"/>
    </row>
    <row r="381">
      <c r="A381" s="17"/>
      <c r="C381" s="79"/>
      <c r="D381" s="79"/>
      <c r="E381" s="79"/>
      <c r="F381" s="79"/>
      <c r="G381" s="79"/>
      <c r="I381" s="102"/>
    </row>
    <row r="382">
      <c r="A382" s="17"/>
      <c r="C382" s="79"/>
      <c r="D382" s="79"/>
      <c r="E382" s="79"/>
      <c r="F382" s="79"/>
      <c r="G382" s="79"/>
      <c r="I382" s="102"/>
    </row>
    <row r="383">
      <c r="A383" s="17"/>
      <c r="C383" s="79"/>
      <c r="D383" s="79"/>
      <c r="E383" s="79"/>
      <c r="F383" s="79"/>
      <c r="G383" s="79"/>
      <c r="I383" s="102"/>
    </row>
    <row r="384">
      <c r="A384" s="17"/>
      <c r="C384" s="79"/>
      <c r="D384" s="79"/>
      <c r="E384" s="79"/>
      <c r="F384" s="79"/>
      <c r="G384" s="79"/>
      <c r="I384" s="102"/>
    </row>
    <row r="385">
      <c r="A385" s="17"/>
      <c r="C385" s="79"/>
      <c r="D385" s="79"/>
      <c r="E385" s="79"/>
      <c r="F385" s="79"/>
      <c r="G385" s="79"/>
      <c r="I385" s="102"/>
    </row>
    <row r="386">
      <c r="A386" s="17"/>
      <c r="C386" s="79"/>
      <c r="D386" s="79"/>
      <c r="E386" s="79"/>
      <c r="F386" s="79"/>
      <c r="G386" s="79"/>
      <c r="I386" s="102"/>
    </row>
    <row r="387">
      <c r="A387" s="17"/>
      <c r="C387" s="79"/>
      <c r="D387" s="79"/>
      <c r="E387" s="79"/>
      <c r="F387" s="79"/>
      <c r="G387" s="79"/>
      <c r="I387" s="102"/>
    </row>
    <row r="388">
      <c r="A388" s="17"/>
      <c r="C388" s="79"/>
      <c r="D388" s="79"/>
      <c r="E388" s="79"/>
      <c r="F388" s="79"/>
      <c r="G388" s="79"/>
      <c r="I388" s="102"/>
    </row>
    <row r="389">
      <c r="A389" s="17"/>
      <c r="C389" s="79"/>
      <c r="D389" s="79"/>
      <c r="E389" s="79"/>
      <c r="F389" s="79"/>
      <c r="G389" s="79"/>
      <c r="I389" s="102"/>
    </row>
    <row r="390">
      <c r="A390" s="17"/>
      <c r="C390" s="79"/>
      <c r="D390" s="79"/>
      <c r="E390" s="79"/>
      <c r="F390" s="79"/>
      <c r="G390" s="79"/>
      <c r="I390" s="102"/>
    </row>
    <row r="391">
      <c r="A391" s="17"/>
      <c r="C391" s="79"/>
      <c r="D391" s="79"/>
      <c r="E391" s="79"/>
      <c r="F391" s="79"/>
      <c r="G391" s="79"/>
      <c r="I391" s="102"/>
    </row>
    <row r="392">
      <c r="A392" s="17"/>
      <c r="C392" s="79"/>
      <c r="D392" s="79"/>
      <c r="E392" s="79"/>
      <c r="F392" s="79"/>
      <c r="G392" s="79"/>
      <c r="I392" s="102"/>
    </row>
    <row r="393">
      <c r="A393" s="17"/>
      <c r="C393" s="79"/>
      <c r="D393" s="79"/>
      <c r="E393" s="79"/>
      <c r="F393" s="79"/>
      <c r="G393" s="79"/>
      <c r="I393" s="102"/>
    </row>
    <row r="394">
      <c r="A394" s="17"/>
      <c r="C394" s="79"/>
      <c r="D394" s="79"/>
      <c r="E394" s="79"/>
      <c r="F394" s="79"/>
      <c r="G394" s="79"/>
      <c r="I394" s="102"/>
    </row>
    <row r="395">
      <c r="A395" s="17"/>
      <c r="C395" s="79"/>
      <c r="D395" s="79"/>
      <c r="E395" s="79"/>
      <c r="F395" s="79"/>
      <c r="G395" s="79"/>
      <c r="I395" s="102"/>
    </row>
    <row r="396">
      <c r="A396" s="17"/>
      <c r="C396" s="79"/>
      <c r="D396" s="79"/>
      <c r="E396" s="79"/>
      <c r="F396" s="79"/>
      <c r="G396" s="79"/>
      <c r="I396" s="102"/>
    </row>
    <row r="397">
      <c r="A397" s="17"/>
      <c r="C397" s="79"/>
      <c r="D397" s="79"/>
      <c r="E397" s="79"/>
      <c r="F397" s="79"/>
      <c r="G397" s="79"/>
      <c r="I397" s="102"/>
    </row>
    <row r="398">
      <c r="A398" s="17"/>
      <c r="C398" s="79"/>
      <c r="D398" s="79"/>
      <c r="E398" s="79"/>
      <c r="F398" s="79"/>
      <c r="G398" s="79"/>
      <c r="I398" s="102"/>
    </row>
    <row r="399">
      <c r="A399" s="17"/>
      <c r="C399" s="79"/>
      <c r="D399" s="79"/>
      <c r="E399" s="79"/>
      <c r="F399" s="79"/>
      <c r="G399" s="79"/>
      <c r="I399" s="102"/>
    </row>
    <row r="400">
      <c r="A400" s="17"/>
      <c r="C400" s="79"/>
      <c r="D400" s="79"/>
      <c r="E400" s="79"/>
      <c r="F400" s="79"/>
      <c r="G400" s="79"/>
      <c r="I400" s="102"/>
    </row>
    <row r="401">
      <c r="A401" s="17"/>
      <c r="C401" s="79"/>
      <c r="D401" s="79"/>
      <c r="E401" s="79"/>
      <c r="F401" s="79"/>
      <c r="G401" s="79"/>
      <c r="I401" s="102"/>
    </row>
    <row r="402">
      <c r="A402" s="17"/>
      <c r="C402" s="79"/>
      <c r="D402" s="79"/>
      <c r="E402" s="79"/>
      <c r="F402" s="79"/>
      <c r="G402" s="79"/>
      <c r="I402" s="102"/>
    </row>
    <row r="403">
      <c r="A403" s="17"/>
      <c r="C403" s="79"/>
      <c r="D403" s="79"/>
      <c r="E403" s="79"/>
      <c r="F403" s="79"/>
      <c r="G403" s="79"/>
      <c r="I403" s="102"/>
    </row>
    <row r="404">
      <c r="A404" s="17"/>
      <c r="C404" s="79"/>
      <c r="D404" s="79"/>
      <c r="E404" s="79"/>
      <c r="F404" s="79"/>
      <c r="G404" s="79"/>
      <c r="I404" s="102"/>
    </row>
    <row r="405">
      <c r="A405" s="17"/>
      <c r="C405" s="79"/>
      <c r="D405" s="79"/>
      <c r="E405" s="79"/>
      <c r="F405" s="79"/>
      <c r="G405" s="79"/>
      <c r="I405" s="102"/>
    </row>
    <row r="406">
      <c r="A406" s="17"/>
      <c r="C406" s="79"/>
      <c r="D406" s="79"/>
      <c r="E406" s="79"/>
      <c r="F406" s="79"/>
      <c r="G406" s="79"/>
      <c r="I406" s="102"/>
    </row>
    <row r="407">
      <c r="A407" s="17"/>
      <c r="C407" s="79"/>
      <c r="D407" s="79"/>
      <c r="E407" s="79"/>
      <c r="F407" s="79"/>
      <c r="G407" s="79"/>
      <c r="I407" s="102"/>
    </row>
    <row r="408">
      <c r="A408" s="17"/>
      <c r="C408" s="79"/>
      <c r="D408" s="79"/>
      <c r="E408" s="79"/>
      <c r="F408" s="79"/>
      <c r="G408" s="79"/>
      <c r="I408" s="102"/>
    </row>
    <row r="409">
      <c r="A409" s="17"/>
      <c r="C409" s="79"/>
      <c r="D409" s="79"/>
      <c r="E409" s="79"/>
      <c r="F409" s="79"/>
      <c r="G409" s="79"/>
      <c r="I409" s="102"/>
    </row>
    <row r="410">
      <c r="A410" s="17"/>
      <c r="C410" s="79"/>
      <c r="D410" s="79"/>
      <c r="E410" s="79"/>
      <c r="F410" s="79"/>
      <c r="G410" s="79"/>
      <c r="I410" s="102"/>
    </row>
    <row r="411">
      <c r="A411" s="17"/>
      <c r="C411" s="79"/>
      <c r="D411" s="79"/>
      <c r="E411" s="79"/>
      <c r="F411" s="79"/>
      <c r="G411" s="79"/>
      <c r="I411" s="102"/>
    </row>
    <row r="412">
      <c r="A412" s="17"/>
      <c r="C412" s="79"/>
      <c r="D412" s="79"/>
      <c r="E412" s="79"/>
      <c r="F412" s="79"/>
      <c r="G412" s="79"/>
      <c r="I412" s="102"/>
    </row>
    <row r="413">
      <c r="A413" s="17"/>
      <c r="C413" s="79"/>
      <c r="D413" s="79"/>
      <c r="E413" s="79"/>
      <c r="F413" s="79"/>
      <c r="G413" s="79"/>
      <c r="I413" s="102"/>
    </row>
    <row r="414">
      <c r="A414" s="17"/>
      <c r="C414" s="79"/>
      <c r="D414" s="79"/>
      <c r="E414" s="79"/>
      <c r="F414" s="79"/>
      <c r="G414" s="79"/>
      <c r="I414" s="102"/>
    </row>
    <row r="415">
      <c r="A415" s="17"/>
      <c r="C415" s="79"/>
      <c r="D415" s="79"/>
      <c r="E415" s="79"/>
      <c r="F415" s="79"/>
      <c r="G415" s="79"/>
      <c r="I415" s="102"/>
    </row>
    <row r="416">
      <c r="A416" s="17"/>
      <c r="C416" s="79"/>
      <c r="D416" s="79"/>
      <c r="E416" s="79"/>
      <c r="F416" s="79"/>
      <c r="G416" s="79"/>
      <c r="I416" s="102"/>
    </row>
    <row r="417">
      <c r="A417" s="17"/>
      <c r="C417" s="79"/>
      <c r="D417" s="79"/>
      <c r="E417" s="79"/>
      <c r="F417" s="79"/>
      <c r="G417" s="79"/>
      <c r="I417" s="102"/>
    </row>
    <row r="418">
      <c r="A418" s="17"/>
      <c r="C418" s="79"/>
      <c r="D418" s="79"/>
      <c r="E418" s="79"/>
      <c r="F418" s="79"/>
      <c r="G418" s="79"/>
      <c r="I418" s="102"/>
    </row>
    <row r="419">
      <c r="A419" s="17"/>
      <c r="C419" s="79"/>
      <c r="D419" s="79"/>
      <c r="E419" s="79"/>
      <c r="F419" s="79"/>
      <c r="G419" s="79"/>
      <c r="I419" s="102"/>
    </row>
    <row r="420">
      <c r="A420" s="17"/>
      <c r="C420" s="79"/>
      <c r="D420" s="79"/>
      <c r="E420" s="79"/>
      <c r="F420" s="79"/>
      <c r="G420" s="79"/>
      <c r="I420" s="102"/>
    </row>
    <row r="421">
      <c r="A421" s="17"/>
      <c r="C421" s="79"/>
      <c r="D421" s="79"/>
      <c r="E421" s="79"/>
      <c r="F421" s="79"/>
      <c r="G421" s="79"/>
      <c r="I421" s="102"/>
    </row>
    <row r="422">
      <c r="A422" s="17"/>
      <c r="C422" s="79"/>
      <c r="D422" s="79"/>
      <c r="E422" s="79"/>
      <c r="F422" s="79"/>
      <c r="G422" s="79"/>
      <c r="I422" s="102"/>
    </row>
    <row r="423">
      <c r="A423" s="17"/>
      <c r="C423" s="79"/>
      <c r="D423" s="79"/>
      <c r="E423" s="79"/>
      <c r="F423" s="79"/>
      <c r="G423" s="79"/>
      <c r="I423" s="102"/>
    </row>
    <row r="424">
      <c r="A424" s="17"/>
      <c r="C424" s="79"/>
      <c r="D424" s="79"/>
      <c r="E424" s="79"/>
      <c r="F424" s="79"/>
      <c r="G424" s="79"/>
      <c r="I424" s="102"/>
    </row>
    <row r="425">
      <c r="A425" s="17"/>
      <c r="C425" s="79"/>
      <c r="D425" s="79"/>
      <c r="E425" s="79"/>
      <c r="F425" s="79"/>
      <c r="G425" s="79"/>
      <c r="I425" s="102"/>
    </row>
    <row r="426">
      <c r="A426" s="17"/>
      <c r="C426" s="79"/>
      <c r="D426" s="79"/>
      <c r="E426" s="79"/>
      <c r="F426" s="79"/>
      <c r="G426" s="79"/>
      <c r="I426" s="102"/>
    </row>
    <row r="427">
      <c r="A427" s="17"/>
      <c r="C427" s="79"/>
      <c r="D427" s="79"/>
      <c r="E427" s="79"/>
      <c r="F427" s="79"/>
      <c r="G427" s="79"/>
      <c r="I427" s="102"/>
    </row>
    <row r="428">
      <c r="A428" s="17"/>
      <c r="C428" s="79"/>
      <c r="D428" s="79"/>
      <c r="E428" s="79"/>
      <c r="F428" s="79"/>
      <c r="G428" s="79"/>
      <c r="I428" s="102"/>
    </row>
    <row r="429">
      <c r="A429" s="17"/>
      <c r="C429" s="79"/>
      <c r="D429" s="79"/>
      <c r="E429" s="79"/>
      <c r="F429" s="79"/>
      <c r="G429" s="79"/>
      <c r="I429" s="102"/>
    </row>
    <row r="430">
      <c r="A430" s="17"/>
      <c r="C430" s="79"/>
      <c r="D430" s="79"/>
      <c r="E430" s="79"/>
      <c r="F430" s="79"/>
      <c r="G430" s="79"/>
      <c r="I430" s="102"/>
    </row>
    <row r="431">
      <c r="A431" s="17"/>
      <c r="C431" s="79"/>
      <c r="D431" s="79"/>
      <c r="E431" s="79"/>
      <c r="F431" s="79"/>
      <c r="G431" s="79"/>
      <c r="I431" s="102"/>
    </row>
    <row r="432">
      <c r="A432" s="17"/>
      <c r="C432" s="79"/>
      <c r="D432" s="79"/>
      <c r="E432" s="79"/>
      <c r="F432" s="79"/>
      <c r="G432" s="79"/>
      <c r="I432" s="102"/>
    </row>
    <row r="433">
      <c r="A433" s="17"/>
      <c r="C433" s="79"/>
      <c r="D433" s="79"/>
      <c r="E433" s="79"/>
      <c r="F433" s="79"/>
      <c r="G433" s="79"/>
      <c r="I433" s="102"/>
    </row>
    <row r="434">
      <c r="A434" s="17"/>
      <c r="C434" s="79"/>
      <c r="D434" s="79"/>
      <c r="E434" s="79"/>
      <c r="F434" s="79"/>
      <c r="G434" s="79"/>
      <c r="I434" s="102"/>
    </row>
    <row r="435">
      <c r="A435" s="17"/>
      <c r="C435" s="79"/>
      <c r="D435" s="79"/>
      <c r="E435" s="79"/>
      <c r="F435" s="79"/>
      <c r="G435" s="79"/>
      <c r="I435" s="102"/>
    </row>
    <row r="436">
      <c r="A436" s="17"/>
      <c r="C436" s="79"/>
      <c r="D436" s="79"/>
      <c r="E436" s="79"/>
      <c r="F436" s="79"/>
      <c r="G436" s="79"/>
      <c r="I436" s="102"/>
    </row>
    <row r="437">
      <c r="A437" s="17"/>
      <c r="C437" s="79"/>
      <c r="D437" s="79"/>
      <c r="E437" s="79"/>
      <c r="F437" s="79"/>
      <c r="G437" s="79"/>
      <c r="I437" s="102"/>
    </row>
    <row r="438">
      <c r="A438" s="17"/>
      <c r="C438" s="79"/>
      <c r="D438" s="79"/>
      <c r="E438" s="79"/>
      <c r="F438" s="79"/>
      <c r="G438" s="79"/>
      <c r="I438" s="102"/>
    </row>
    <row r="439">
      <c r="A439" s="17"/>
      <c r="C439" s="79"/>
      <c r="D439" s="79"/>
      <c r="E439" s="79"/>
      <c r="F439" s="79"/>
      <c r="G439" s="79"/>
      <c r="I439" s="102"/>
    </row>
    <row r="440">
      <c r="A440" s="17"/>
      <c r="C440" s="79"/>
      <c r="D440" s="79"/>
      <c r="E440" s="79"/>
      <c r="F440" s="79"/>
      <c r="G440" s="79"/>
      <c r="I440" s="102"/>
    </row>
    <row r="441">
      <c r="A441" s="17"/>
      <c r="C441" s="79"/>
      <c r="D441" s="79"/>
      <c r="E441" s="79"/>
      <c r="F441" s="79"/>
      <c r="G441" s="79"/>
      <c r="I441" s="102"/>
    </row>
    <row r="442">
      <c r="A442" s="17"/>
      <c r="C442" s="79"/>
      <c r="D442" s="79"/>
      <c r="E442" s="79"/>
      <c r="F442" s="79"/>
      <c r="G442" s="79"/>
      <c r="I442" s="102"/>
    </row>
    <row r="443">
      <c r="A443" s="17"/>
      <c r="C443" s="79"/>
      <c r="D443" s="79"/>
      <c r="E443" s="79"/>
      <c r="F443" s="79"/>
      <c r="G443" s="79"/>
      <c r="I443" s="102"/>
    </row>
    <row r="444">
      <c r="A444" s="17"/>
      <c r="C444" s="79"/>
      <c r="D444" s="79"/>
      <c r="E444" s="79"/>
      <c r="F444" s="79"/>
      <c r="G444" s="79"/>
      <c r="I444" s="102"/>
    </row>
    <row r="445">
      <c r="A445" s="17"/>
      <c r="C445" s="79"/>
      <c r="D445" s="79"/>
      <c r="E445" s="79"/>
      <c r="F445" s="79"/>
      <c r="G445" s="79"/>
      <c r="I445" s="102"/>
    </row>
    <row r="446">
      <c r="A446" s="17"/>
      <c r="C446" s="79"/>
      <c r="D446" s="79"/>
      <c r="E446" s="79"/>
      <c r="F446" s="79"/>
      <c r="G446" s="79"/>
      <c r="I446" s="102"/>
    </row>
    <row r="447">
      <c r="A447" s="17"/>
      <c r="C447" s="79"/>
      <c r="D447" s="79"/>
      <c r="E447" s="79"/>
      <c r="F447" s="79"/>
      <c r="G447" s="79"/>
      <c r="I447" s="102"/>
    </row>
    <row r="448">
      <c r="A448" s="17"/>
      <c r="C448" s="79"/>
      <c r="D448" s="79"/>
      <c r="E448" s="79"/>
      <c r="F448" s="79"/>
      <c r="G448" s="79"/>
      <c r="I448" s="102"/>
    </row>
    <row r="449">
      <c r="A449" s="17"/>
      <c r="C449" s="79"/>
      <c r="D449" s="79"/>
      <c r="E449" s="79"/>
      <c r="F449" s="79"/>
      <c r="G449" s="79"/>
      <c r="I449" s="102"/>
    </row>
    <row r="450">
      <c r="A450" s="17"/>
      <c r="C450" s="79"/>
      <c r="D450" s="79"/>
      <c r="E450" s="79"/>
      <c r="F450" s="79"/>
      <c r="G450" s="79"/>
      <c r="I450" s="102"/>
    </row>
    <row r="451">
      <c r="A451" s="17"/>
      <c r="C451" s="79"/>
      <c r="D451" s="79"/>
      <c r="E451" s="79"/>
      <c r="F451" s="79"/>
      <c r="G451" s="79"/>
      <c r="I451" s="102"/>
    </row>
    <row r="452">
      <c r="A452" s="17"/>
      <c r="C452" s="79"/>
      <c r="D452" s="79"/>
      <c r="E452" s="79"/>
      <c r="F452" s="79"/>
      <c r="G452" s="79"/>
      <c r="I452" s="102"/>
    </row>
    <row r="453">
      <c r="A453" s="17"/>
      <c r="C453" s="79"/>
      <c r="D453" s="79"/>
      <c r="E453" s="79"/>
      <c r="F453" s="79"/>
      <c r="G453" s="79"/>
      <c r="I453" s="102"/>
    </row>
    <row r="454">
      <c r="A454" s="17"/>
      <c r="C454" s="79"/>
      <c r="D454" s="79"/>
      <c r="E454" s="79"/>
      <c r="F454" s="79"/>
      <c r="G454" s="79"/>
      <c r="I454" s="102"/>
    </row>
    <row r="455">
      <c r="A455" s="17"/>
      <c r="C455" s="79"/>
      <c r="D455" s="79"/>
      <c r="E455" s="79"/>
      <c r="F455" s="79"/>
      <c r="G455" s="79"/>
      <c r="I455" s="102"/>
    </row>
    <row r="456">
      <c r="A456" s="17"/>
      <c r="C456" s="79"/>
      <c r="D456" s="79"/>
      <c r="E456" s="79"/>
      <c r="F456" s="79"/>
      <c r="G456" s="79"/>
      <c r="I456" s="102"/>
    </row>
    <row r="457">
      <c r="A457" s="17"/>
      <c r="C457" s="79"/>
      <c r="D457" s="79"/>
      <c r="E457" s="79"/>
      <c r="F457" s="79"/>
      <c r="G457" s="79"/>
      <c r="I457" s="102"/>
    </row>
    <row r="458">
      <c r="A458" s="17"/>
      <c r="C458" s="79"/>
      <c r="D458" s="79"/>
      <c r="E458" s="79"/>
      <c r="F458" s="79"/>
      <c r="G458" s="79"/>
      <c r="I458" s="102"/>
    </row>
    <row r="459">
      <c r="A459" s="17"/>
      <c r="C459" s="79"/>
      <c r="D459" s="79"/>
      <c r="E459" s="79"/>
      <c r="F459" s="79"/>
      <c r="G459" s="79"/>
      <c r="I459" s="102"/>
    </row>
    <row r="460">
      <c r="A460" s="17"/>
      <c r="C460" s="79"/>
      <c r="D460" s="79"/>
      <c r="E460" s="79"/>
      <c r="F460" s="79"/>
      <c r="G460" s="79"/>
      <c r="I460" s="102"/>
    </row>
    <row r="461">
      <c r="A461" s="17"/>
      <c r="C461" s="79"/>
      <c r="D461" s="79"/>
      <c r="E461" s="79"/>
      <c r="F461" s="79"/>
      <c r="G461" s="79"/>
      <c r="I461" s="102"/>
    </row>
    <row r="462">
      <c r="A462" s="17"/>
      <c r="C462" s="79"/>
      <c r="D462" s="79"/>
      <c r="E462" s="79"/>
      <c r="F462" s="79"/>
      <c r="G462" s="79"/>
      <c r="I462" s="102"/>
    </row>
    <row r="463">
      <c r="A463" s="17"/>
      <c r="C463" s="79"/>
      <c r="D463" s="79"/>
      <c r="E463" s="79"/>
      <c r="F463" s="79"/>
      <c r="G463" s="79"/>
      <c r="I463" s="102"/>
    </row>
    <row r="464">
      <c r="A464" s="17"/>
      <c r="C464" s="79"/>
      <c r="D464" s="79"/>
      <c r="E464" s="79"/>
      <c r="F464" s="79"/>
      <c r="G464" s="79"/>
      <c r="I464" s="102"/>
    </row>
    <row r="465">
      <c r="A465" s="17"/>
      <c r="C465" s="79"/>
      <c r="D465" s="79"/>
      <c r="E465" s="79"/>
      <c r="F465" s="79"/>
      <c r="G465" s="79"/>
      <c r="I465" s="102"/>
    </row>
    <row r="466">
      <c r="A466" s="17"/>
      <c r="C466" s="79"/>
      <c r="D466" s="79"/>
      <c r="E466" s="79"/>
      <c r="F466" s="79"/>
      <c r="G466" s="79"/>
      <c r="I466" s="102"/>
    </row>
    <row r="467">
      <c r="A467" s="17"/>
      <c r="C467" s="79"/>
      <c r="D467" s="79"/>
      <c r="E467" s="79"/>
      <c r="F467" s="79"/>
      <c r="G467" s="79"/>
      <c r="I467" s="102"/>
    </row>
    <row r="468">
      <c r="A468" s="17"/>
      <c r="C468" s="79"/>
      <c r="D468" s="79"/>
      <c r="E468" s="79"/>
      <c r="F468" s="79"/>
      <c r="G468" s="79"/>
      <c r="I468" s="102"/>
    </row>
    <row r="469">
      <c r="A469" s="17"/>
      <c r="C469" s="79"/>
      <c r="D469" s="79"/>
      <c r="E469" s="79"/>
      <c r="F469" s="79"/>
      <c r="G469" s="79"/>
      <c r="I469" s="102"/>
    </row>
    <row r="470">
      <c r="A470" s="17"/>
      <c r="C470" s="79"/>
      <c r="D470" s="79"/>
      <c r="E470" s="79"/>
      <c r="F470" s="79"/>
      <c r="G470" s="79"/>
      <c r="I470" s="102"/>
    </row>
    <row r="471">
      <c r="A471" s="17"/>
      <c r="C471" s="79"/>
      <c r="D471" s="79"/>
      <c r="E471" s="79"/>
      <c r="F471" s="79"/>
      <c r="G471" s="79"/>
      <c r="I471" s="102"/>
    </row>
    <row r="472">
      <c r="A472" s="17"/>
      <c r="C472" s="79"/>
      <c r="D472" s="79"/>
      <c r="E472" s="79"/>
      <c r="F472" s="79"/>
      <c r="G472" s="79"/>
      <c r="I472" s="102"/>
    </row>
    <row r="473">
      <c r="A473" s="17"/>
      <c r="C473" s="79"/>
      <c r="D473" s="79"/>
      <c r="E473" s="79"/>
      <c r="F473" s="79"/>
      <c r="G473" s="79"/>
      <c r="I473" s="102"/>
    </row>
    <row r="474">
      <c r="A474" s="17"/>
      <c r="C474" s="79"/>
      <c r="D474" s="79"/>
      <c r="E474" s="79"/>
      <c r="F474" s="79"/>
      <c r="G474" s="79"/>
      <c r="I474" s="102"/>
    </row>
    <row r="475">
      <c r="A475" s="17"/>
      <c r="C475" s="79"/>
      <c r="D475" s="79"/>
      <c r="E475" s="79"/>
      <c r="F475" s="79"/>
      <c r="G475" s="79"/>
      <c r="I475" s="102"/>
    </row>
    <row r="476">
      <c r="A476" s="17"/>
      <c r="C476" s="79"/>
      <c r="D476" s="79"/>
      <c r="E476" s="79"/>
      <c r="F476" s="79"/>
      <c r="G476" s="79"/>
      <c r="I476" s="102"/>
    </row>
    <row r="477">
      <c r="A477" s="17"/>
      <c r="C477" s="79"/>
      <c r="D477" s="79"/>
      <c r="E477" s="79"/>
      <c r="F477" s="79"/>
      <c r="G477" s="79"/>
      <c r="I477" s="102"/>
    </row>
    <row r="478">
      <c r="A478" s="17"/>
      <c r="C478" s="79"/>
      <c r="D478" s="79"/>
      <c r="E478" s="79"/>
      <c r="F478" s="79"/>
      <c r="G478" s="79"/>
      <c r="I478" s="102"/>
    </row>
    <row r="479">
      <c r="A479" s="17"/>
      <c r="C479" s="79"/>
      <c r="D479" s="79"/>
      <c r="E479" s="79"/>
      <c r="F479" s="79"/>
      <c r="G479" s="79"/>
      <c r="I479" s="102"/>
    </row>
    <row r="480">
      <c r="A480" s="17"/>
      <c r="C480" s="79"/>
      <c r="D480" s="79"/>
      <c r="E480" s="79"/>
      <c r="F480" s="79"/>
      <c r="G480" s="79"/>
      <c r="I480" s="102"/>
    </row>
    <row r="481">
      <c r="A481" s="17"/>
      <c r="C481" s="79"/>
      <c r="D481" s="79"/>
      <c r="E481" s="79"/>
      <c r="F481" s="79"/>
      <c r="G481" s="79"/>
      <c r="I481" s="102"/>
    </row>
    <row r="482">
      <c r="A482" s="17"/>
      <c r="C482" s="79"/>
      <c r="D482" s="79"/>
      <c r="E482" s="79"/>
      <c r="F482" s="79"/>
      <c r="G482" s="79"/>
      <c r="I482" s="102"/>
    </row>
    <row r="483">
      <c r="A483" s="17"/>
      <c r="C483" s="79"/>
      <c r="D483" s="79"/>
      <c r="E483" s="79"/>
      <c r="F483" s="79"/>
      <c r="G483" s="79"/>
      <c r="I483" s="102"/>
    </row>
    <row r="484">
      <c r="A484" s="17"/>
      <c r="C484" s="79"/>
      <c r="D484" s="79"/>
      <c r="E484" s="79"/>
      <c r="F484" s="79"/>
      <c r="G484" s="79"/>
      <c r="I484" s="102"/>
    </row>
    <row r="485">
      <c r="A485" s="17"/>
      <c r="C485" s="79"/>
      <c r="D485" s="79"/>
      <c r="E485" s="79"/>
      <c r="F485" s="79"/>
      <c r="G485" s="79"/>
      <c r="I485" s="102"/>
    </row>
    <row r="486">
      <c r="A486" s="17"/>
      <c r="C486" s="79"/>
      <c r="D486" s="79"/>
      <c r="E486" s="79"/>
      <c r="F486" s="79"/>
      <c r="G486" s="79"/>
      <c r="I486" s="102"/>
    </row>
    <row r="487">
      <c r="A487" s="17"/>
      <c r="C487" s="79"/>
      <c r="D487" s="79"/>
      <c r="E487" s="79"/>
      <c r="F487" s="79"/>
      <c r="G487" s="79"/>
      <c r="I487" s="102"/>
    </row>
    <row r="488">
      <c r="A488" s="17"/>
      <c r="C488" s="79"/>
      <c r="D488" s="79"/>
      <c r="E488" s="79"/>
      <c r="F488" s="79"/>
      <c r="G488" s="79"/>
      <c r="I488" s="102"/>
    </row>
    <row r="489">
      <c r="A489" s="17"/>
      <c r="C489" s="79"/>
      <c r="D489" s="79"/>
      <c r="E489" s="79"/>
      <c r="F489" s="79"/>
      <c r="G489" s="79"/>
      <c r="I489" s="102"/>
    </row>
    <row r="490">
      <c r="A490" s="17"/>
      <c r="C490" s="79"/>
      <c r="D490" s="79"/>
      <c r="E490" s="79"/>
      <c r="F490" s="79"/>
      <c r="G490" s="79"/>
      <c r="I490" s="102"/>
    </row>
    <row r="491">
      <c r="A491" s="17"/>
      <c r="C491" s="79"/>
      <c r="D491" s="79"/>
      <c r="E491" s="79"/>
      <c r="F491" s="79"/>
      <c r="G491" s="79"/>
      <c r="I491" s="102"/>
    </row>
    <row r="492">
      <c r="A492" s="17"/>
      <c r="C492" s="79"/>
      <c r="D492" s="79"/>
      <c r="E492" s="79"/>
      <c r="F492" s="79"/>
      <c r="G492" s="79"/>
      <c r="I492" s="102"/>
    </row>
    <row r="493">
      <c r="A493" s="17"/>
      <c r="C493" s="79"/>
      <c r="D493" s="79"/>
      <c r="E493" s="79"/>
      <c r="F493" s="79"/>
      <c r="G493" s="79"/>
      <c r="I493" s="102"/>
    </row>
    <row r="494">
      <c r="A494" s="17"/>
      <c r="C494" s="79"/>
      <c r="D494" s="79"/>
      <c r="E494" s="79"/>
      <c r="F494" s="79"/>
      <c r="G494" s="79"/>
      <c r="I494" s="102"/>
    </row>
    <row r="495">
      <c r="A495" s="17"/>
      <c r="C495" s="79"/>
      <c r="D495" s="79"/>
      <c r="E495" s="79"/>
      <c r="F495" s="79"/>
      <c r="G495" s="79"/>
      <c r="I495" s="102"/>
    </row>
    <row r="496">
      <c r="A496" s="17"/>
      <c r="C496" s="79"/>
      <c r="D496" s="79"/>
      <c r="E496" s="79"/>
      <c r="F496" s="79"/>
      <c r="G496" s="79"/>
      <c r="I496" s="102"/>
    </row>
    <row r="497">
      <c r="A497" s="17"/>
      <c r="C497" s="79"/>
      <c r="D497" s="79"/>
      <c r="E497" s="79"/>
      <c r="F497" s="79"/>
      <c r="G497" s="79"/>
      <c r="I497" s="102"/>
    </row>
    <row r="498">
      <c r="A498" s="17"/>
      <c r="C498" s="79"/>
      <c r="D498" s="79"/>
      <c r="E498" s="79"/>
      <c r="F498" s="79"/>
      <c r="G498" s="79"/>
      <c r="I498" s="102"/>
    </row>
    <row r="499">
      <c r="A499" s="17"/>
      <c r="C499" s="79"/>
      <c r="D499" s="79"/>
      <c r="E499" s="79"/>
      <c r="F499" s="79"/>
      <c r="G499" s="79"/>
      <c r="I499" s="102"/>
    </row>
    <row r="500">
      <c r="A500" s="17"/>
      <c r="C500" s="79"/>
      <c r="D500" s="79"/>
      <c r="E500" s="79"/>
      <c r="F500" s="79"/>
      <c r="G500" s="79"/>
      <c r="I500" s="102"/>
    </row>
    <row r="501">
      <c r="A501" s="17"/>
      <c r="C501" s="79"/>
      <c r="D501" s="79"/>
      <c r="E501" s="79"/>
      <c r="F501" s="79"/>
      <c r="G501" s="79"/>
      <c r="I501" s="102"/>
    </row>
    <row r="502">
      <c r="A502" s="17"/>
      <c r="C502" s="79"/>
      <c r="D502" s="79"/>
      <c r="E502" s="79"/>
      <c r="F502" s="79"/>
      <c r="G502" s="79"/>
      <c r="I502" s="102"/>
    </row>
    <row r="503">
      <c r="A503" s="17"/>
      <c r="C503" s="79"/>
      <c r="D503" s="79"/>
      <c r="E503" s="79"/>
      <c r="F503" s="79"/>
      <c r="G503" s="79"/>
      <c r="I503" s="102"/>
    </row>
    <row r="504">
      <c r="A504" s="17"/>
      <c r="C504" s="79"/>
      <c r="D504" s="79"/>
      <c r="E504" s="79"/>
      <c r="F504" s="79"/>
      <c r="G504" s="79"/>
      <c r="I504" s="102"/>
    </row>
    <row r="505">
      <c r="A505" s="17"/>
      <c r="C505" s="79"/>
      <c r="D505" s="79"/>
      <c r="E505" s="79"/>
      <c r="F505" s="79"/>
      <c r="G505" s="79"/>
      <c r="I505" s="102"/>
    </row>
    <row r="506">
      <c r="A506" s="17"/>
      <c r="C506" s="79"/>
      <c r="D506" s="79"/>
      <c r="E506" s="79"/>
      <c r="F506" s="79"/>
      <c r="G506" s="79"/>
      <c r="I506" s="102"/>
    </row>
    <row r="507">
      <c r="A507" s="17"/>
      <c r="C507" s="79"/>
      <c r="D507" s="79"/>
      <c r="E507" s="79"/>
      <c r="F507" s="79"/>
      <c r="G507" s="79"/>
      <c r="I507" s="102"/>
    </row>
    <row r="508">
      <c r="A508" s="17"/>
      <c r="C508" s="79"/>
      <c r="D508" s="79"/>
      <c r="E508" s="79"/>
      <c r="F508" s="79"/>
      <c r="G508" s="79"/>
      <c r="I508" s="102"/>
    </row>
    <row r="509">
      <c r="A509" s="17"/>
      <c r="C509" s="79"/>
      <c r="D509" s="79"/>
      <c r="E509" s="79"/>
      <c r="F509" s="79"/>
      <c r="G509" s="79"/>
      <c r="I509" s="102"/>
    </row>
    <row r="510">
      <c r="A510" s="17"/>
      <c r="C510" s="79"/>
      <c r="D510" s="79"/>
      <c r="E510" s="79"/>
      <c r="F510" s="79"/>
      <c r="G510" s="79"/>
      <c r="I510" s="102"/>
    </row>
    <row r="511">
      <c r="A511" s="17"/>
      <c r="C511" s="79"/>
      <c r="D511" s="79"/>
      <c r="E511" s="79"/>
      <c r="F511" s="79"/>
      <c r="G511" s="79"/>
      <c r="I511" s="102"/>
    </row>
    <row r="512">
      <c r="A512" s="17"/>
      <c r="C512" s="79"/>
      <c r="D512" s="79"/>
      <c r="E512" s="79"/>
      <c r="F512" s="79"/>
      <c r="G512" s="79"/>
      <c r="I512" s="102"/>
    </row>
    <row r="513">
      <c r="A513" s="17"/>
      <c r="C513" s="79"/>
      <c r="D513" s="79"/>
      <c r="E513" s="79"/>
      <c r="F513" s="79"/>
      <c r="G513" s="79"/>
      <c r="I513" s="102"/>
    </row>
    <row r="514">
      <c r="A514" s="17"/>
      <c r="C514" s="79"/>
      <c r="D514" s="79"/>
      <c r="E514" s="79"/>
      <c r="F514" s="79"/>
      <c r="G514" s="79"/>
      <c r="I514" s="102"/>
    </row>
    <row r="515">
      <c r="A515" s="17"/>
      <c r="C515" s="79"/>
      <c r="D515" s="79"/>
      <c r="E515" s="79"/>
      <c r="F515" s="79"/>
      <c r="G515" s="79"/>
      <c r="I515" s="102"/>
    </row>
    <row r="516">
      <c r="A516" s="17"/>
      <c r="C516" s="79"/>
      <c r="D516" s="79"/>
      <c r="E516" s="79"/>
      <c r="F516" s="79"/>
      <c r="G516" s="79"/>
      <c r="I516" s="102"/>
    </row>
    <row r="517">
      <c r="A517" s="17"/>
      <c r="C517" s="79"/>
      <c r="D517" s="79"/>
      <c r="E517" s="79"/>
      <c r="F517" s="79"/>
      <c r="G517" s="79"/>
      <c r="I517" s="102"/>
    </row>
    <row r="518">
      <c r="A518" s="17"/>
      <c r="C518" s="79"/>
      <c r="D518" s="79"/>
      <c r="E518" s="79"/>
      <c r="F518" s="79"/>
      <c r="G518" s="79"/>
      <c r="I518" s="102"/>
    </row>
    <row r="519">
      <c r="A519" s="17"/>
      <c r="C519" s="79"/>
      <c r="D519" s="79"/>
      <c r="E519" s="79"/>
      <c r="F519" s="79"/>
      <c r="G519" s="79"/>
      <c r="I519" s="102"/>
    </row>
    <row r="520">
      <c r="A520" s="17"/>
      <c r="C520" s="79"/>
      <c r="D520" s="79"/>
      <c r="E520" s="79"/>
      <c r="F520" s="79"/>
      <c r="G520" s="79"/>
      <c r="I520" s="102"/>
    </row>
    <row r="521">
      <c r="A521" s="17"/>
      <c r="C521" s="79"/>
      <c r="D521" s="79"/>
      <c r="E521" s="79"/>
      <c r="F521" s="79"/>
      <c r="G521" s="79"/>
      <c r="I521" s="102"/>
    </row>
    <row r="522">
      <c r="A522" s="17"/>
      <c r="C522" s="79"/>
      <c r="D522" s="79"/>
      <c r="E522" s="79"/>
      <c r="F522" s="79"/>
      <c r="G522" s="79"/>
      <c r="I522" s="102"/>
    </row>
    <row r="523">
      <c r="A523" s="17"/>
      <c r="C523" s="79"/>
      <c r="D523" s="79"/>
      <c r="E523" s="79"/>
      <c r="F523" s="79"/>
      <c r="G523" s="79"/>
      <c r="I523" s="102"/>
    </row>
    <row r="524">
      <c r="A524" s="17"/>
      <c r="C524" s="79"/>
      <c r="D524" s="79"/>
      <c r="E524" s="79"/>
      <c r="F524" s="79"/>
      <c r="G524" s="79"/>
      <c r="I524" s="102"/>
    </row>
    <row r="525">
      <c r="A525" s="17"/>
      <c r="C525" s="79"/>
      <c r="D525" s="79"/>
      <c r="E525" s="79"/>
      <c r="F525" s="79"/>
      <c r="G525" s="79"/>
      <c r="I525" s="102"/>
    </row>
    <row r="526">
      <c r="A526" s="17"/>
      <c r="C526" s="79"/>
      <c r="D526" s="79"/>
      <c r="E526" s="79"/>
      <c r="F526" s="79"/>
      <c r="G526" s="79"/>
      <c r="I526" s="102"/>
    </row>
    <row r="527">
      <c r="A527" s="17"/>
      <c r="C527" s="79"/>
      <c r="D527" s="79"/>
      <c r="E527" s="79"/>
      <c r="F527" s="79"/>
      <c r="G527" s="79"/>
      <c r="I527" s="102"/>
    </row>
    <row r="528">
      <c r="A528" s="17"/>
      <c r="C528" s="79"/>
      <c r="D528" s="79"/>
      <c r="E528" s="79"/>
      <c r="F528" s="79"/>
      <c r="G528" s="79"/>
      <c r="I528" s="102"/>
    </row>
    <row r="529">
      <c r="A529" s="17"/>
      <c r="C529" s="79"/>
      <c r="D529" s="79"/>
      <c r="E529" s="79"/>
      <c r="F529" s="79"/>
      <c r="G529" s="79"/>
      <c r="I529" s="102"/>
    </row>
    <row r="530">
      <c r="A530" s="17"/>
      <c r="C530" s="79"/>
      <c r="D530" s="79"/>
      <c r="E530" s="79"/>
      <c r="F530" s="79"/>
      <c r="G530" s="79"/>
      <c r="I530" s="102"/>
    </row>
    <row r="531">
      <c r="A531" s="17"/>
      <c r="C531" s="79"/>
      <c r="D531" s="79"/>
      <c r="E531" s="79"/>
      <c r="F531" s="79"/>
      <c r="G531" s="79"/>
      <c r="I531" s="102"/>
    </row>
    <row r="532">
      <c r="A532" s="17"/>
      <c r="C532" s="79"/>
      <c r="D532" s="79"/>
      <c r="E532" s="79"/>
      <c r="F532" s="79"/>
      <c r="G532" s="79"/>
      <c r="I532" s="102"/>
    </row>
    <row r="533">
      <c r="A533" s="17"/>
      <c r="C533" s="79"/>
      <c r="D533" s="79"/>
      <c r="E533" s="79"/>
      <c r="F533" s="79"/>
      <c r="G533" s="79"/>
      <c r="I533" s="102"/>
    </row>
    <row r="534">
      <c r="A534" s="17"/>
      <c r="C534" s="79"/>
      <c r="D534" s="79"/>
      <c r="E534" s="79"/>
      <c r="F534" s="79"/>
      <c r="G534" s="79"/>
      <c r="I534" s="102"/>
    </row>
    <row r="535">
      <c r="A535" s="17"/>
      <c r="C535" s="79"/>
      <c r="D535" s="79"/>
      <c r="E535" s="79"/>
      <c r="F535" s="79"/>
      <c r="G535" s="79"/>
      <c r="I535" s="102"/>
    </row>
    <row r="536">
      <c r="A536" s="17"/>
      <c r="C536" s="79"/>
      <c r="D536" s="79"/>
      <c r="E536" s="79"/>
      <c r="F536" s="79"/>
      <c r="G536" s="79"/>
      <c r="I536" s="102"/>
    </row>
    <row r="537">
      <c r="A537" s="17"/>
      <c r="C537" s="79"/>
      <c r="D537" s="79"/>
      <c r="E537" s="79"/>
      <c r="F537" s="79"/>
      <c r="G537" s="79"/>
      <c r="I537" s="102"/>
    </row>
    <row r="538">
      <c r="A538" s="17"/>
      <c r="C538" s="79"/>
      <c r="D538" s="79"/>
      <c r="E538" s="79"/>
      <c r="F538" s="79"/>
      <c r="G538" s="79"/>
      <c r="I538" s="102"/>
    </row>
    <row r="539">
      <c r="A539" s="17"/>
      <c r="C539" s="79"/>
      <c r="D539" s="79"/>
      <c r="E539" s="79"/>
      <c r="F539" s="79"/>
      <c r="G539" s="79"/>
      <c r="I539" s="102"/>
    </row>
    <row r="540">
      <c r="A540" s="17"/>
      <c r="C540" s="79"/>
      <c r="D540" s="79"/>
      <c r="E540" s="79"/>
      <c r="F540" s="79"/>
      <c r="G540" s="79"/>
      <c r="I540" s="102"/>
    </row>
    <row r="541">
      <c r="A541" s="17"/>
      <c r="C541" s="79"/>
      <c r="D541" s="79"/>
      <c r="E541" s="79"/>
      <c r="F541" s="79"/>
      <c r="G541" s="79"/>
      <c r="I541" s="102"/>
    </row>
    <row r="542">
      <c r="A542" s="17"/>
      <c r="C542" s="79"/>
      <c r="D542" s="79"/>
      <c r="E542" s="79"/>
      <c r="F542" s="79"/>
      <c r="G542" s="79"/>
      <c r="I542" s="102"/>
    </row>
    <row r="543">
      <c r="A543" s="17"/>
      <c r="C543" s="79"/>
      <c r="D543" s="79"/>
      <c r="E543" s="79"/>
      <c r="F543" s="79"/>
      <c r="G543" s="79"/>
      <c r="I543" s="102"/>
    </row>
    <row r="544">
      <c r="A544" s="17"/>
      <c r="C544" s="79"/>
      <c r="D544" s="79"/>
      <c r="E544" s="79"/>
      <c r="F544" s="79"/>
      <c r="G544" s="79"/>
      <c r="I544" s="102"/>
    </row>
    <row r="545">
      <c r="A545" s="17"/>
      <c r="C545" s="79"/>
      <c r="D545" s="79"/>
      <c r="E545" s="79"/>
      <c r="F545" s="79"/>
      <c r="G545" s="79"/>
      <c r="I545" s="102"/>
    </row>
    <row r="546">
      <c r="A546" s="17"/>
      <c r="C546" s="79"/>
      <c r="D546" s="79"/>
      <c r="E546" s="79"/>
      <c r="F546" s="79"/>
      <c r="G546" s="79"/>
      <c r="I546" s="102"/>
    </row>
    <row r="547">
      <c r="A547" s="17"/>
      <c r="C547" s="79"/>
      <c r="D547" s="79"/>
      <c r="E547" s="79"/>
      <c r="F547" s="79"/>
      <c r="G547" s="79"/>
      <c r="I547" s="102"/>
    </row>
    <row r="548">
      <c r="A548" s="17"/>
      <c r="C548" s="79"/>
      <c r="D548" s="79"/>
      <c r="E548" s="79"/>
      <c r="F548" s="79"/>
      <c r="G548" s="79"/>
      <c r="I548" s="102"/>
    </row>
    <row r="549">
      <c r="A549" s="17"/>
      <c r="C549" s="79"/>
      <c r="D549" s="79"/>
      <c r="E549" s="79"/>
      <c r="F549" s="79"/>
      <c r="G549" s="79"/>
      <c r="I549" s="102"/>
    </row>
    <row r="550">
      <c r="A550" s="17"/>
      <c r="C550" s="79"/>
      <c r="D550" s="79"/>
      <c r="E550" s="79"/>
      <c r="F550" s="79"/>
      <c r="G550" s="79"/>
      <c r="I550" s="102"/>
    </row>
    <row r="551">
      <c r="A551" s="17"/>
      <c r="C551" s="79"/>
      <c r="D551" s="79"/>
      <c r="E551" s="79"/>
      <c r="F551" s="79"/>
      <c r="G551" s="79"/>
      <c r="I551" s="102"/>
    </row>
    <row r="552">
      <c r="A552" s="17"/>
      <c r="C552" s="79"/>
      <c r="D552" s="79"/>
      <c r="E552" s="79"/>
      <c r="F552" s="79"/>
      <c r="G552" s="79"/>
      <c r="I552" s="102"/>
    </row>
    <row r="553">
      <c r="A553" s="17"/>
      <c r="C553" s="79"/>
      <c r="D553" s="79"/>
      <c r="E553" s="79"/>
      <c r="F553" s="79"/>
      <c r="G553" s="79"/>
      <c r="I553" s="102"/>
    </row>
    <row r="554">
      <c r="A554" s="17"/>
      <c r="C554" s="79"/>
      <c r="D554" s="79"/>
      <c r="E554" s="79"/>
      <c r="F554" s="79"/>
      <c r="G554" s="79"/>
      <c r="I554" s="102"/>
    </row>
    <row r="555">
      <c r="A555" s="17"/>
      <c r="C555" s="79"/>
      <c r="D555" s="79"/>
      <c r="E555" s="79"/>
      <c r="F555" s="79"/>
      <c r="G555" s="79"/>
      <c r="I555" s="102"/>
    </row>
    <row r="556">
      <c r="A556" s="17"/>
      <c r="C556" s="79"/>
      <c r="D556" s="79"/>
      <c r="E556" s="79"/>
      <c r="F556" s="79"/>
      <c r="G556" s="79"/>
      <c r="I556" s="102"/>
    </row>
    <row r="557">
      <c r="A557" s="17"/>
      <c r="C557" s="79"/>
      <c r="D557" s="79"/>
      <c r="E557" s="79"/>
      <c r="F557" s="79"/>
      <c r="G557" s="79"/>
      <c r="I557" s="102"/>
    </row>
    <row r="558">
      <c r="A558" s="17"/>
      <c r="C558" s="79"/>
      <c r="D558" s="79"/>
      <c r="E558" s="79"/>
      <c r="F558" s="79"/>
      <c r="G558" s="79"/>
      <c r="I558" s="102"/>
    </row>
    <row r="559">
      <c r="A559" s="17"/>
      <c r="C559" s="79"/>
      <c r="D559" s="79"/>
      <c r="E559" s="79"/>
      <c r="F559" s="79"/>
      <c r="G559" s="79"/>
      <c r="I559" s="102"/>
    </row>
    <row r="560">
      <c r="A560" s="17"/>
      <c r="C560" s="79"/>
      <c r="D560" s="79"/>
      <c r="E560" s="79"/>
      <c r="F560" s="79"/>
      <c r="G560" s="79"/>
      <c r="I560" s="102"/>
    </row>
    <row r="561">
      <c r="A561" s="17"/>
      <c r="C561" s="79"/>
      <c r="D561" s="79"/>
      <c r="E561" s="79"/>
      <c r="F561" s="79"/>
      <c r="G561" s="79"/>
      <c r="I561" s="102"/>
    </row>
    <row r="562">
      <c r="A562" s="17"/>
      <c r="C562" s="79"/>
      <c r="D562" s="79"/>
      <c r="E562" s="79"/>
      <c r="F562" s="79"/>
      <c r="G562" s="79"/>
      <c r="I562" s="102"/>
    </row>
    <row r="563">
      <c r="A563" s="17"/>
      <c r="C563" s="79"/>
      <c r="D563" s="79"/>
      <c r="E563" s="79"/>
      <c r="F563" s="79"/>
      <c r="G563" s="79"/>
      <c r="I563" s="102"/>
    </row>
    <row r="564">
      <c r="A564" s="17"/>
      <c r="C564" s="79"/>
      <c r="D564" s="79"/>
      <c r="E564" s="79"/>
      <c r="F564" s="79"/>
      <c r="G564" s="79"/>
      <c r="I564" s="102"/>
    </row>
    <row r="565">
      <c r="A565" s="17"/>
      <c r="C565" s="79"/>
      <c r="D565" s="79"/>
      <c r="E565" s="79"/>
      <c r="F565" s="79"/>
      <c r="G565" s="79"/>
      <c r="I565" s="102"/>
    </row>
    <row r="566">
      <c r="A566" s="17"/>
      <c r="C566" s="79"/>
      <c r="D566" s="79"/>
      <c r="E566" s="79"/>
      <c r="F566" s="79"/>
      <c r="G566" s="79"/>
      <c r="I566" s="102"/>
    </row>
    <row r="567">
      <c r="A567" s="17"/>
      <c r="C567" s="79"/>
      <c r="D567" s="79"/>
      <c r="E567" s="79"/>
      <c r="F567" s="79"/>
      <c r="G567" s="79"/>
      <c r="I567" s="102"/>
    </row>
    <row r="568">
      <c r="A568" s="17"/>
      <c r="C568" s="79"/>
      <c r="D568" s="79"/>
      <c r="E568" s="79"/>
      <c r="F568" s="79"/>
      <c r="G568" s="79"/>
      <c r="I568" s="102"/>
    </row>
    <row r="569">
      <c r="A569" s="17"/>
      <c r="C569" s="79"/>
      <c r="D569" s="79"/>
      <c r="E569" s="79"/>
      <c r="F569" s="79"/>
      <c r="G569" s="79"/>
      <c r="I569" s="102"/>
    </row>
    <row r="570">
      <c r="A570" s="17"/>
      <c r="C570" s="79"/>
      <c r="D570" s="79"/>
      <c r="E570" s="79"/>
      <c r="F570" s="79"/>
      <c r="G570" s="79"/>
      <c r="I570" s="102"/>
    </row>
    <row r="571">
      <c r="A571" s="17"/>
      <c r="C571" s="79"/>
      <c r="D571" s="79"/>
      <c r="E571" s="79"/>
      <c r="F571" s="79"/>
      <c r="G571" s="79"/>
      <c r="I571" s="102"/>
    </row>
    <row r="572">
      <c r="A572" s="17"/>
      <c r="C572" s="79"/>
      <c r="D572" s="79"/>
      <c r="E572" s="79"/>
      <c r="F572" s="79"/>
      <c r="G572" s="79"/>
      <c r="I572" s="102"/>
    </row>
    <row r="573">
      <c r="A573" s="17"/>
      <c r="C573" s="79"/>
      <c r="D573" s="79"/>
      <c r="E573" s="79"/>
      <c r="F573" s="79"/>
      <c r="G573" s="79"/>
      <c r="I573" s="102"/>
    </row>
    <row r="574">
      <c r="A574" s="17"/>
      <c r="C574" s="79"/>
      <c r="D574" s="79"/>
      <c r="E574" s="79"/>
      <c r="F574" s="79"/>
      <c r="G574" s="79"/>
      <c r="I574" s="102"/>
    </row>
    <row r="575">
      <c r="A575" s="17"/>
      <c r="C575" s="79"/>
      <c r="D575" s="79"/>
      <c r="E575" s="79"/>
      <c r="F575" s="79"/>
      <c r="G575" s="79"/>
      <c r="I575" s="102"/>
    </row>
    <row r="576">
      <c r="A576" s="17"/>
      <c r="C576" s="79"/>
      <c r="D576" s="79"/>
      <c r="E576" s="79"/>
      <c r="F576" s="79"/>
      <c r="G576" s="79"/>
      <c r="I576" s="102"/>
    </row>
    <row r="577">
      <c r="A577" s="17"/>
      <c r="C577" s="79"/>
      <c r="D577" s="79"/>
      <c r="E577" s="79"/>
      <c r="F577" s="79"/>
      <c r="G577" s="79"/>
      <c r="I577" s="102"/>
    </row>
    <row r="578">
      <c r="A578" s="17"/>
      <c r="C578" s="79"/>
      <c r="D578" s="79"/>
      <c r="E578" s="79"/>
      <c r="F578" s="79"/>
      <c r="G578" s="79"/>
      <c r="I578" s="102"/>
    </row>
    <row r="579">
      <c r="A579" s="17"/>
      <c r="C579" s="79"/>
      <c r="D579" s="79"/>
      <c r="E579" s="79"/>
      <c r="F579" s="79"/>
      <c r="G579" s="79"/>
      <c r="I579" s="102"/>
    </row>
    <row r="580">
      <c r="A580" s="17"/>
      <c r="C580" s="79"/>
      <c r="D580" s="79"/>
      <c r="E580" s="79"/>
      <c r="F580" s="79"/>
      <c r="G580" s="79"/>
      <c r="I580" s="102"/>
    </row>
    <row r="581">
      <c r="A581" s="17"/>
      <c r="C581" s="79"/>
      <c r="D581" s="79"/>
      <c r="E581" s="79"/>
      <c r="F581" s="79"/>
      <c r="G581" s="79"/>
      <c r="I581" s="102"/>
    </row>
    <row r="582">
      <c r="A582" s="17"/>
      <c r="C582" s="79"/>
      <c r="D582" s="79"/>
      <c r="E582" s="79"/>
      <c r="F582" s="79"/>
      <c r="G582" s="79"/>
      <c r="I582" s="102"/>
    </row>
    <row r="583">
      <c r="A583" s="17"/>
      <c r="C583" s="79"/>
      <c r="D583" s="79"/>
      <c r="E583" s="79"/>
      <c r="F583" s="79"/>
      <c r="G583" s="79"/>
      <c r="I583" s="102"/>
    </row>
    <row r="584">
      <c r="A584" s="17"/>
      <c r="C584" s="79"/>
      <c r="D584" s="79"/>
      <c r="E584" s="79"/>
      <c r="F584" s="79"/>
      <c r="G584" s="79"/>
      <c r="I584" s="102"/>
    </row>
    <row r="585">
      <c r="A585" s="17"/>
      <c r="C585" s="79"/>
      <c r="D585" s="79"/>
      <c r="E585" s="79"/>
      <c r="F585" s="79"/>
      <c r="G585" s="79"/>
      <c r="I585" s="102"/>
    </row>
    <row r="586">
      <c r="A586" s="17"/>
      <c r="C586" s="79"/>
      <c r="D586" s="79"/>
      <c r="E586" s="79"/>
      <c r="F586" s="79"/>
      <c r="G586" s="79"/>
      <c r="I586" s="102"/>
    </row>
    <row r="587">
      <c r="A587" s="17"/>
      <c r="C587" s="79"/>
      <c r="D587" s="79"/>
      <c r="E587" s="79"/>
      <c r="F587" s="79"/>
      <c r="G587" s="79"/>
      <c r="I587" s="102"/>
    </row>
    <row r="588">
      <c r="A588" s="17"/>
      <c r="C588" s="79"/>
      <c r="D588" s="79"/>
      <c r="E588" s="79"/>
      <c r="F588" s="79"/>
      <c r="G588" s="79"/>
      <c r="I588" s="102"/>
    </row>
    <row r="589">
      <c r="A589" s="17"/>
      <c r="C589" s="79"/>
      <c r="D589" s="79"/>
      <c r="E589" s="79"/>
      <c r="F589" s="79"/>
      <c r="G589" s="79"/>
      <c r="I589" s="102"/>
    </row>
    <row r="590">
      <c r="A590" s="17"/>
      <c r="C590" s="79"/>
      <c r="D590" s="79"/>
      <c r="E590" s="79"/>
      <c r="F590" s="79"/>
      <c r="G590" s="79"/>
      <c r="I590" s="102"/>
    </row>
    <row r="591">
      <c r="A591" s="17"/>
      <c r="C591" s="79"/>
      <c r="D591" s="79"/>
      <c r="E591" s="79"/>
      <c r="F591" s="79"/>
      <c r="G591" s="79"/>
      <c r="I591" s="102"/>
    </row>
    <row r="592">
      <c r="A592" s="17"/>
      <c r="C592" s="79"/>
      <c r="D592" s="79"/>
      <c r="E592" s="79"/>
      <c r="F592" s="79"/>
      <c r="G592" s="79"/>
      <c r="I592" s="102"/>
    </row>
    <row r="593">
      <c r="A593" s="17"/>
      <c r="C593" s="79"/>
      <c r="D593" s="79"/>
      <c r="E593" s="79"/>
      <c r="F593" s="79"/>
      <c r="G593" s="79"/>
      <c r="I593" s="102"/>
    </row>
    <row r="594">
      <c r="A594" s="17"/>
      <c r="C594" s="79"/>
      <c r="D594" s="79"/>
      <c r="E594" s="79"/>
      <c r="F594" s="79"/>
      <c r="G594" s="79"/>
      <c r="I594" s="102"/>
    </row>
    <row r="595">
      <c r="A595" s="17"/>
      <c r="C595" s="79"/>
      <c r="D595" s="79"/>
      <c r="E595" s="79"/>
      <c r="F595" s="79"/>
      <c r="G595" s="79"/>
      <c r="I595" s="102"/>
    </row>
    <row r="596">
      <c r="A596" s="17"/>
      <c r="C596" s="79"/>
      <c r="D596" s="79"/>
      <c r="E596" s="79"/>
      <c r="F596" s="79"/>
      <c r="G596" s="79"/>
      <c r="I596" s="102"/>
    </row>
    <row r="597">
      <c r="A597" s="17"/>
      <c r="C597" s="79"/>
      <c r="D597" s="79"/>
      <c r="E597" s="79"/>
      <c r="F597" s="79"/>
      <c r="G597" s="79"/>
      <c r="I597" s="102"/>
    </row>
    <row r="598">
      <c r="A598" s="17"/>
      <c r="C598" s="79"/>
      <c r="D598" s="79"/>
      <c r="E598" s="79"/>
      <c r="F598" s="79"/>
      <c r="G598" s="79"/>
      <c r="I598" s="102"/>
    </row>
    <row r="599">
      <c r="A599" s="17"/>
      <c r="C599" s="79"/>
      <c r="D599" s="79"/>
      <c r="E599" s="79"/>
      <c r="F599" s="79"/>
      <c r="G599" s="79"/>
      <c r="I599" s="102"/>
    </row>
    <row r="600">
      <c r="A600" s="17"/>
      <c r="C600" s="79"/>
      <c r="D600" s="79"/>
      <c r="E600" s="79"/>
      <c r="F600" s="79"/>
      <c r="G600" s="79"/>
      <c r="I600" s="102"/>
    </row>
    <row r="601">
      <c r="A601" s="17"/>
      <c r="C601" s="79"/>
      <c r="D601" s="79"/>
      <c r="E601" s="79"/>
      <c r="F601" s="79"/>
      <c r="G601" s="79"/>
      <c r="I601" s="102"/>
    </row>
    <row r="602">
      <c r="A602" s="17"/>
      <c r="C602" s="79"/>
      <c r="D602" s="79"/>
      <c r="E602" s="79"/>
      <c r="F602" s="79"/>
      <c r="G602" s="79"/>
      <c r="I602" s="102"/>
    </row>
    <row r="603">
      <c r="A603" s="17"/>
      <c r="C603" s="79"/>
      <c r="D603" s="79"/>
      <c r="E603" s="79"/>
      <c r="F603" s="79"/>
      <c r="G603" s="79"/>
      <c r="I603" s="102"/>
    </row>
    <row r="604">
      <c r="A604" s="17"/>
      <c r="C604" s="79"/>
      <c r="D604" s="79"/>
      <c r="E604" s="79"/>
      <c r="F604" s="79"/>
      <c r="G604" s="79"/>
      <c r="I604" s="102"/>
    </row>
    <row r="605">
      <c r="A605" s="17"/>
      <c r="C605" s="79"/>
      <c r="D605" s="79"/>
      <c r="E605" s="79"/>
      <c r="F605" s="79"/>
      <c r="G605" s="79"/>
      <c r="I605" s="102"/>
    </row>
    <row r="606">
      <c r="A606" s="17"/>
      <c r="C606" s="79"/>
      <c r="D606" s="79"/>
      <c r="E606" s="79"/>
      <c r="F606" s="79"/>
      <c r="G606" s="79"/>
      <c r="I606" s="102"/>
    </row>
    <row r="607">
      <c r="A607" s="17"/>
      <c r="C607" s="79"/>
      <c r="D607" s="79"/>
      <c r="E607" s="79"/>
      <c r="F607" s="79"/>
      <c r="G607" s="79"/>
      <c r="I607" s="102"/>
    </row>
    <row r="608">
      <c r="A608" s="17"/>
      <c r="C608" s="79"/>
      <c r="D608" s="79"/>
      <c r="E608" s="79"/>
      <c r="F608" s="79"/>
      <c r="G608" s="79"/>
      <c r="I608" s="102"/>
    </row>
    <row r="609">
      <c r="A609" s="17"/>
      <c r="C609" s="79"/>
      <c r="D609" s="79"/>
      <c r="E609" s="79"/>
      <c r="F609" s="79"/>
      <c r="G609" s="79"/>
      <c r="I609" s="102"/>
    </row>
    <row r="610">
      <c r="A610" s="17"/>
      <c r="C610" s="79"/>
      <c r="D610" s="79"/>
      <c r="E610" s="79"/>
      <c r="F610" s="79"/>
      <c r="G610" s="79"/>
      <c r="I610" s="102"/>
    </row>
    <row r="611">
      <c r="A611" s="17"/>
      <c r="C611" s="79"/>
      <c r="D611" s="79"/>
      <c r="E611" s="79"/>
      <c r="F611" s="79"/>
      <c r="G611" s="79"/>
      <c r="I611" s="102"/>
    </row>
    <row r="612">
      <c r="A612" s="17"/>
      <c r="C612" s="79"/>
      <c r="D612" s="79"/>
      <c r="E612" s="79"/>
      <c r="F612" s="79"/>
      <c r="G612" s="79"/>
      <c r="I612" s="102"/>
    </row>
    <row r="613">
      <c r="A613" s="17"/>
      <c r="C613" s="79"/>
      <c r="D613" s="79"/>
      <c r="E613" s="79"/>
      <c r="F613" s="79"/>
      <c r="G613" s="79"/>
      <c r="I613" s="102"/>
    </row>
    <row r="614">
      <c r="A614" s="17"/>
      <c r="C614" s="79"/>
      <c r="D614" s="79"/>
      <c r="E614" s="79"/>
      <c r="F614" s="79"/>
      <c r="G614" s="79"/>
      <c r="I614" s="102"/>
    </row>
    <row r="615">
      <c r="A615" s="17"/>
      <c r="C615" s="79"/>
      <c r="D615" s="79"/>
      <c r="E615" s="79"/>
      <c r="F615" s="79"/>
      <c r="G615" s="79"/>
      <c r="I615" s="102"/>
    </row>
    <row r="616">
      <c r="A616" s="17"/>
      <c r="C616" s="79"/>
      <c r="D616" s="79"/>
      <c r="E616" s="79"/>
      <c r="F616" s="79"/>
      <c r="G616" s="79"/>
      <c r="I616" s="102"/>
    </row>
    <row r="617">
      <c r="A617" s="17"/>
      <c r="C617" s="79"/>
      <c r="D617" s="79"/>
      <c r="E617" s="79"/>
      <c r="F617" s="79"/>
      <c r="G617" s="79"/>
      <c r="I617" s="102"/>
    </row>
    <row r="618">
      <c r="A618" s="17"/>
      <c r="C618" s="79"/>
      <c r="D618" s="79"/>
      <c r="E618" s="79"/>
      <c r="F618" s="79"/>
      <c r="G618" s="79"/>
      <c r="I618" s="102"/>
    </row>
    <row r="619">
      <c r="A619" s="17"/>
      <c r="C619" s="79"/>
      <c r="D619" s="79"/>
      <c r="E619" s="79"/>
      <c r="F619" s="79"/>
      <c r="G619" s="79"/>
      <c r="I619" s="102"/>
    </row>
    <row r="620">
      <c r="A620" s="17"/>
      <c r="C620" s="79"/>
      <c r="D620" s="79"/>
      <c r="E620" s="79"/>
      <c r="F620" s="79"/>
      <c r="G620" s="79"/>
      <c r="I620" s="102"/>
    </row>
    <row r="621">
      <c r="A621" s="17"/>
      <c r="C621" s="79"/>
      <c r="D621" s="79"/>
      <c r="E621" s="79"/>
      <c r="F621" s="79"/>
      <c r="G621" s="79"/>
      <c r="I621" s="102"/>
    </row>
    <row r="622">
      <c r="A622" s="17"/>
      <c r="C622" s="79"/>
      <c r="D622" s="79"/>
      <c r="E622" s="79"/>
      <c r="F622" s="79"/>
      <c r="G622" s="79"/>
      <c r="I622" s="102"/>
    </row>
    <row r="623">
      <c r="A623" s="17"/>
      <c r="C623" s="79"/>
      <c r="D623" s="79"/>
      <c r="E623" s="79"/>
      <c r="F623" s="79"/>
      <c r="G623" s="79"/>
      <c r="I623" s="102"/>
    </row>
    <row r="624">
      <c r="A624" s="17"/>
      <c r="C624" s="79"/>
      <c r="D624" s="79"/>
      <c r="E624" s="79"/>
      <c r="F624" s="79"/>
      <c r="G624" s="79"/>
      <c r="I624" s="102"/>
    </row>
    <row r="625">
      <c r="A625" s="17"/>
      <c r="C625" s="79"/>
      <c r="D625" s="79"/>
      <c r="E625" s="79"/>
      <c r="F625" s="79"/>
      <c r="G625" s="79"/>
      <c r="I625" s="102"/>
    </row>
    <row r="626">
      <c r="A626" s="17"/>
      <c r="C626" s="79"/>
      <c r="D626" s="79"/>
      <c r="E626" s="79"/>
      <c r="F626" s="79"/>
      <c r="G626" s="79"/>
      <c r="I626" s="102"/>
    </row>
    <row r="627">
      <c r="A627" s="17"/>
      <c r="C627" s="79"/>
      <c r="D627" s="79"/>
      <c r="E627" s="79"/>
      <c r="F627" s="79"/>
      <c r="G627" s="79"/>
      <c r="I627" s="102"/>
    </row>
    <row r="628">
      <c r="A628" s="17"/>
      <c r="C628" s="79"/>
      <c r="D628" s="79"/>
      <c r="E628" s="79"/>
      <c r="F628" s="79"/>
      <c r="G628" s="79"/>
      <c r="I628" s="102"/>
    </row>
    <row r="629">
      <c r="A629" s="17"/>
      <c r="C629" s="79"/>
      <c r="D629" s="79"/>
      <c r="E629" s="79"/>
      <c r="F629" s="79"/>
      <c r="G629" s="79"/>
      <c r="I629" s="102"/>
    </row>
    <row r="630">
      <c r="A630" s="17"/>
      <c r="C630" s="79"/>
      <c r="D630" s="79"/>
      <c r="E630" s="79"/>
      <c r="F630" s="79"/>
      <c r="G630" s="79"/>
      <c r="I630" s="102"/>
    </row>
    <row r="631">
      <c r="A631" s="17"/>
      <c r="C631" s="79"/>
      <c r="D631" s="79"/>
      <c r="E631" s="79"/>
      <c r="F631" s="79"/>
      <c r="G631" s="79"/>
      <c r="I631" s="102"/>
    </row>
    <row r="632">
      <c r="A632" s="17"/>
      <c r="C632" s="79"/>
      <c r="D632" s="79"/>
      <c r="E632" s="79"/>
      <c r="F632" s="79"/>
      <c r="G632" s="79"/>
      <c r="I632" s="102"/>
    </row>
    <row r="633">
      <c r="A633" s="17"/>
      <c r="C633" s="79"/>
      <c r="D633" s="79"/>
      <c r="E633" s="79"/>
      <c r="F633" s="79"/>
      <c r="G633" s="79"/>
      <c r="I633" s="102"/>
    </row>
    <row r="634">
      <c r="A634" s="17"/>
      <c r="C634" s="79"/>
      <c r="D634" s="79"/>
      <c r="E634" s="79"/>
      <c r="F634" s="79"/>
      <c r="G634" s="79"/>
      <c r="I634" s="102"/>
    </row>
    <row r="635">
      <c r="A635" s="17"/>
      <c r="C635" s="79"/>
      <c r="D635" s="79"/>
      <c r="E635" s="79"/>
      <c r="F635" s="79"/>
      <c r="G635" s="79"/>
      <c r="I635" s="102"/>
    </row>
    <row r="636">
      <c r="A636" s="17"/>
      <c r="C636" s="79"/>
      <c r="D636" s="79"/>
      <c r="E636" s="79"/>
      <c r="F636" s="79"/>
      <c r="G636" s="79"/>
      <c r="I636" s="102"/>
    </row>
    <row r="637">
      <c r="A637" s="17"/>
      <c r="C637" s="79"/>
      <c r="D637" s="79"/>
      <c r="E637" s="79"/>
      <c r="F637" s="79"/>
      <c r="G637" s="79"/>
      <c r="I637" s="102"/>
    </row>
    <row r="638">
      <c r="A638" s="17"/>
      <c r="C638" s="79"/>
      <c r="D638" s="79"/>
      <c r="E638" s="79"/>
      <c r="F638" s="79"/>
      <c r="G638" s="79"/>
      <c r="I638" s="102"/>
    </row>
    <row r="639">
      <c r="A639" s="17"/>
      <c r="C639" s="79"/>
      <c r="D639" s="79"/>
      <c r="E639" s="79"/>
      <c r="F639" s="79"/>
      <c r="G639" s="79"/>
      <c r="I639" s="102"/>
    </row>
    <row r="640">
      <c r="A640" s="17"/>
      <c r="C640" s="79"/>
      <c r="D640" s="79"/>
      <c r="E640" s="79"/>
      <c r="F640" s="79"/>
      <c r="G640" s="79"/>
      <c r="I640" s="102"/>
    </row>
    <row r="641">
      <c r="A641" s="17"/>
      <c r="C641" s="79"/>
      <c r="D641" s="79"/>
      <c r="E641" s="79"/>
      <c r="F641" s="79"/>
      <c r="G641" s="79"/>
      <c r="I641" s="102"/>
    </row>
    <row r="642">
      <c r="A642" s="17"/>
      <c r="C642" s="79"/>
      <c r="D642" s="79"/>
      <c r="E642" s="79"/>
      <c r="F642" s="79"/>
      <c r="G642" s="79"/>
      <c r="I642" s="102"/>
    </row>
    <row r="643">
      <c r="A643" s="17"/>
      <c r="C643" s="79"/>
      <c r="D643" s="79"/>
      <c r="E643" s="79"/>
      <c r="F643" s="79"/>
      <c r="G643" s="79"/>
      <c r="I643" s="102"/>
    </row>
    <row r="644">
      <c r="A644" s="17"/>
      <c r="C644" s="79"/>
      <c r="D644" s="79"/>
      <c r="E644" s="79"/>
      <c r="F644" s="79"/>
      <c r="G644" s="79"/>
      <c r="I644" s="102"/>
    </row>
    <row r="645">
      <c r="A645" s="17"/>
      <c r="C645" s="79"/>
      <c r="D645" s="79"/>
      <c r="E645" s="79"/>
      <c r="F645" s="79"/>
      <c r="G645" s="79"/>
      <c r="I645" s="102"/>
    </row>
    <row r="646">
      <c r="A646" s="17"/>
      <c r="C646" s="79"/>
      <c r="D646" s="79"/>
      <c r="E646" s="79"/>
      <c r="F646" s="79"/>
      <c r="G646" s="79"/>
      <c r="I646" s="102"/>
    </row>
    <row r="647">
      <c r="A647" s="17"/>
      <c r="C647" s="79"/>
      <c r="D647" s="79"/>
      <c r="E647" s="79"/>
      <c r="F647" s="79"/>
      <c r="G647" s="79"/>
      <c r="I647" s="102"/>
    </row>
    <row r="648">
      <c r="A648" s="17"/>
      <c r="C648" s="79"/>
      <c r="D648" s="79"/>
      <c r="E648" s="79"/>
      <c r="F648" s="79"/>
      <c r="G648" s="79"/>
      <c r="I648" s="102"/>
    </row>
    <row r="649">
      <c r="A649" s="17"/>
      <c r="C649" s="79"/>
      <c r="D649" s="79"/>
      <c r="E649" s="79"/>
      <c r="F649" s="79"/>
      <c r="G649" s="79"/>
      <c r="I649" s="102"/>
    </row>
    <row r="650">
      <c r="A650" s="17"/>
      <c r="C650" s="79"/>
      <c r="D650" s="79"/>
      <c r="E650" s="79"/>
      <c r="F650" s="79"/>
      <c r="G650" s="79"/>
      <c r="I650" s="102"/>
    </row>
    <row r="651">
      <c r="A651" s="17"/>
      <c r="C651" s="79"/>
      <c r="D651" s="79"/>
      <c r="E651" s="79"/>
      <c r="F651" s="79"/>
      <c r="G651" s="79"/>
      <c r="I651" s="102"/>
    </row>
    <row r="652">
      <c r="A652" s="17"/>
      <c r="C652" s="79"/>
      <c r="D652" s="79"/>
      <c r="E652" s="79"/>
      <c r="F652" s="79"/>
      <c r="G652" s="79"/>
      <c r="I652" s="102"/>
    </row>
    <row r="653">
      <c r="A653" s="17"/>
      <c r="C653" s="79"/>
      <c r="D653" s="79"/>
      <c r="E653" s="79"/>
      <c r="F653" s="79"/>
      <c r="G653" s="79"/>
      <c r="I653" s="102"/>
    </row>
    <row r="654">
      <c r="A654" s="17"/>
      <c r="C654" s="79"/>
      <c r="D654" s="79"/>
      <c r="E654" s="79"/>
      <c r="F654" s="79"/>
      <c r="G654" s="79"/>
      <c r="I654" s="102"/>
    </row>
    <row r="655">
      <c r="A655" s="17"/>
      <c r="C655" s="79"/>
      <c r="D655" s="79"/>
      <c r="E655" s="79"/>
      <c r="F655" s="79"/>
      <c r="G655" s="79"/>
      <c r="I655" s="102"/>
    </row>
    <row r="656">
      <c r="A656" s="17"/>
      <c r="C656" s="79"/>
      <c r="D656" s="79"/>
      <c r="E656" s="79"/>
      <c r="F656" s="79"/>
      <c r="G656" s="79"/>
      <c r="I656" s="102"/>
    </row>
    <row r="657">
      <c r="A657" s="17"/>
      <c r="C657" s="79"/>
      <c r="D657" s="79"/>
      <c r="E657" s="79"/>
      <c r="F657" s="79"/>
      <c r="G657" s="79"/>
      <c r="I657" s="102"/>
    </row>
    <row r="658">
      <c r="A658" s="17"/>
      <c r="C658" s="79"/>
      <c r="D658" s="79"/>
      <c r="E658" s="79"/>
      <c r="F658" s="79"/>
      <c r="G658" s="79"/>
      <c r="I658" s="102"/>
    </row>
    <row r="659">
      <c r="A659" s="17"/>
      <c r="C659" s="79"/>
      <c r="D659" s="79"/>
      <c r="E659" s="79"/>
      <c r="F659" s="79"/>
      <c r="G659" s="79"/>
      <c r="I659" s="102"/>
    </row>
    <row r="660">
      <c r="A660" s="17"/>
      <c r="C660" s="79"/>
      <c r="D660" s="79"/>
      <c r="E660" s="79"/>
      <c r="F660" s="79"/>
      <c r="G660" s="79"/>
      <c r="I660" s="102"/>
    </row>
    <row r="661">
      <c r="A661" s="17"/>
      <c r="C661" s="79"/>
      <c r="D661" s="79"/>
      <c r="E661" s="79"/>
      <c r="F661" s="79"/>
      <c r="G661" s="79"/>
      <c r="I661" s="102"/>
    </row>
    <row r="662">
      <c r="A662" s="17"/>
      <c r="C662" s="79"/>
      <c r="D662" s="79"/>
      <c r="E662" s="79"/>
      <c r="F662" s="79"/>
      <c r="G662" s="79"/>
      <c r="I662" s="102"/>
    </row>
    <row r="663">
      <c r="A663" s="17"/>
      <c r="C663" s="79"/>
      <c r="D663" s="79"/>
      <c r="E663" s="79"/>
      <c r="F663" s="79"/>
      <c r="G663" s="79"/>
      <c r="I663" s="102"/>
    </row>
    <row r="664">
      <c r="A664" s="17"/>
      <c r="C664" s="79"/>
      <c r="D664" s="79"/>
      <c r="E664" s="79"/>
      <c r="F664" s="79"/>
      <c r="G664" s="79"/>
      <c r="I664" s="102"/>
    </row>
    <row r="665">
      <c r="A665" s="17"/>
      <c r="C665" s="79"/>
      <c r="D665" s="79"/>
      <c r="E665" s="79"/>
      <c r="F665" s="79"/>
      <c r="G665" s="79"/>
      <c r="I665" s="102"/>
    </row>
    <row r="666">
      <c r="A666" s="17"/>
      <c r="C666" s="79"/>
      <c r="D666" s="79"/>
      <c r="E666" s="79"/>
      <c r="F666" s="79"/>
      <c r="G666" s="79"/>
      <c r="I666" s="102"/>
    </row>
    <row r="667">
      <c r="A667" s="17"/>
      <c r="C667" s="79"/>
      <c r="D667" s="79"/>
      <c r="E667" s="79"/>
      <c r="F667" s="79"/>
      <c r="G667" s="79"/>
      <c r="I667" s="102"/>
    </row>
    <row r="668">
      <c r="A668" s="17"/>
      <c r="C668" s="79"/>
      <c r="D668" s="79"/>
      <c r="E668" s="79"/>
      <c r="F668" s="79"/>
      <c r="G668" s="79"/>
      <c r="I668" s="102"/>
    </row>
    <row r="669">
      <c r="A669" s="17"/>
      <c r="C669" s="79"/>
      <c r="D669" s="79"/>
      <c r="E669" s="79"/>
      <c r="F669" s="79"/>
      <c r="G669" s="79"/>
      <c r="I669" s="102"/>
    </row>
    <row r="670">
      <c r="A670" s="17"/>
      <c r="C670" s="79"/>
      <c r="D670" s="79"/>
      <c r="E670" s="79"/>
      <c r="F670" s="79"/>
      <c r="G670" s="79"/>
      <c r="I670" s="102"/>
    </row>
    <row r="671">
      <c r="A671" s="17"/>
      <c r="C671" s="79"/>
      <c r="D671" s="79"/>
      <c r="E671" s="79"/>
      <c r="F671" s="79"/>
      <c r="G671" s="79"/>
      <c r="I671" s="102"/>
    </row>
    <row r="672">
      <c r="A672" s="17"/>
      <c r="C672" s="79"/>
      <c r="D672" s="79"/>
      <c r="E672" s="79"/>
      <c r="F672" s="79"/>
      <c r="G672" s="79"/>
      <c r="I672" s="102"/>
    </row>
    <row r="673">
      <c r="A673" s="17"/>
      <c r="C673" s="79"/>
      <c r="D673" s="79"/>
      <c r="E673" s="79"/>
      <c r="F673" s="79"/>
      <c r="G673" s="79"/>
      <c r="I673" s="102"/>
    </row>
    <row r="674">
      <c r="A674" s="17"/>
      <c r="C674" s="79"/>
      <c r="D674" s="79"/>
      <c r="E674" s="79"/>
      <c r="F674" s="79"/>
      <c r="G674" s="79"/>
      <c r="I674" s="102"/>
    </row>
    <row r="675">
      <c r="A675" s="17"/>
      <c r="C675" s="79"/>
      <c r="D675" s="79"/>
      <c r="E675" s="79"/>
      <c r="F675" s="79"/>
      <c r="G675" s="79"/>
      <c r="I675" s="102"/>
    </row>
    <row r="676">
      <c r="A676" s="17"/>
      <c r="C676" s="79"/>
      <c r="D676" s="79"/>
      <c r="E676" s="79"/>
      <c r="F676" s="79"/>
      <c r="G676" s="79"/>
      <c r="I676" s="102"/>
    </row>
    <row r="677">
      <c r="A677" s="17"/>
      <c r="C677" s="79"/>
      <c r="D677" s="79"/>
      <c r="E677" s="79"/>
      <c r="F677" s="79"/>
      <c r="G677" s="79"/>
      <c r="I677" s="102"/>
    </row>
    <row r="678">
      <c r="A678" s="17"/>
      <c r="C678" s="79"/>
      <c r="D678" s="79"/>
      <c r="E678" s="79"/>
      <c r="F678" s="79"/>
      <c r="G678" s="79"/>
      <c r="I678" s="102"/>
    </row>
    <row r="679">
      <c r="A679" s="17"/>
      <c r="C679" s="79"/>
      <c r="D679" s="79"/>
      <c r="E679" s="79"/>
      <c r="F679" s="79"/>
      <c r="G679" s="79"/>
      <c r="I679" s="102"/>
    </row>
    <row r="680">
      <c r="A680" s="17"/>
      <c r="C680" s="79"/>
      <c r="D680" s="79"/>
      <c r="E680" s="79"/>
      <c r="F680" s="79"/>
      <c r="G680" s="79"/>
      <c r="I680" s="102"/>
    </row>
    <row r="681">
      <c r="A681" s="17"/>
      <c r="C681" s="79"/>
      <c r="D681" s="79"/>
      <c r="E681" s="79"/>
      <c r="F681" s="79"/>
      <c r="G681" s="79"/>
      <c r="I681" s="102"/>
    </row>
    <row r="682">
      <c r="A682" s="17"/>
      <c r="C682" s="79"/>
      <c r="D682" s="79"/>
      <c r="E682" s="79"/>
      <c r="F682" s="79"/>
      <c r="G682" s="79"/>
      <c r="I682" s="102"/>
    </row>
    <row r="683">
      <c r="A683" s="17"/>
      <c r="C683" s="79"/>
      <c r="D683" s="79"/>
      <c r="E683" s="79"/>
      <c r="F683" s="79"/>
      <c r="G683" s="79"/>
      <c r="I683" s="102"/>
    </row>
    <row r="684">
      <c r="A684" s="17"/>
      <c r="C684" s="79"/>
      <c r="D684" s="79"/>
      <c r="E684" s="79"/>
      <c r="F684" s="79"/>
      <c r="G684" s="79"/>
      <c r="I684" s="102"/>
    </row>
    <row r="685">
      <c r="A685" s="17"/>
      <c r="C685" s="79"/>
      <c r="D685" s="79"/>
      <c r="E685" s="79"/>
      <c r="F685" s="79"/>
      <c r="G685" s="79"/>
      <c r="I685" s="102"/>
    </row>
    <row r="686">
      <c r="A686" s="17"/>
      <c r="C686" s="79"/>
      <c r="D686" s="79"/>
      <c r="E686" s="79"/>
      <c r="F686" s="79"/>
      <c r="G686" s="79"/>
      <c r="I686" s="102"/>
    </row>
    <row r="687">
      <c r="A687" s="17"/>
      <c r="C687" s="79"/>
      <c r="D687" s="79"/>
      <c r="E687" s="79"/>
      <c r="F687" s="79"/>
      <c r="G687" s="79"/>
      <c r="I687" s="102"/>
    </row>
    <row r="688">
      <c r="A688" s="17"/>
      <c r="C688" s="79"/>
      <c r="D688" s="79"/>
      <c r="E688" s="79"/>
      <c r="F688" s="79"/>
      <c r="G688" s="79"/>
      <c r="I688" s="102"/>
    </row>
    <row r="689">
      <c r="A689" s="17"/>
      <c r="C689" s="79"/>
      <c r="D689" s="79"/>
      <c r="E689" s="79"/>
      <c r="F689" s="79"/>
      <c r="G689" s="79"/>
      <c r="I689" s="102"/>
    </row>
    <row r="690">
      <c r="A690" s="17"/>
      <c r="C690" s="79"/>
      <c r="D690" s="79"/>
      <c r="E690" s="79"/>
      <c r="F690" s="79"/>
      <c r="G690" s="79"/>
      <c r="I690" s="102"/>
    </row>
    <row r="691">
      <c r="A691" s="17"/>
      <c r="C691" s="79"/>
      <c r="D691" s="79"/>
      <c r="E691" s="79"/>
      <c r="F691" s="79"/>
      <c r="G691" s="79"/>
      <c r="I691" s="102"/>
    </row>
    <row r="692">
      <c r="A692" s="17"/>
      <c r="C692" s="79"/>
      <c r="D692" s="79"/>
      <c r="E692" s="79"/>
      <c r="F692" s="79"/>
      <c r="G692" s="79"/>
      <c r="I692" s="102"/>
    </row>
    <row r="693">
      <c r="A693" s="17"/>
      <c r="C693" s="79"/>
      <c r="D693" s="79"/>
      <c r="E693" s="79"/>
      <c r="F693" s="79"/>
      <c r="G693" s="79"/>
      <c r="I693" s="102"/>
    </row>
    <row r="694">
      <c r="A694" s="17"/>
      <c r="C694" s="79"/>
      <c r="D694" s="79"/>
      <c r="E694" s="79"/>
      <c r="F694" s="79"/>
      <c r="G694" s="79"/>
      <c r="I694" s="102"/>
    </row>
    <row r="695">
      <c r="A695" s="17"/>
      <c r="C695" s="79"/>
      <c r="D695" s="79"/>
      <c r="E695" s="79"/>
      <c r="F695" s="79"/>
      <c r="G695" s="79"/>
      <c r="I695" s="102"/>
    </row>
    <row r="696">
      <c r="A696" s="17"/>
      <c r="C696" s="79"/>
      <c r="D696" s="79"/>
      <c r="E696" s="79"/>
      <c r="F696" s="79"/>
      <c r="G696" s="79"/>
      <c r="I696" s="102"/>
    </row>
    <row r="697">
      <c r="A697" s="17"/>
      <c r="C697" s="79"/>
      <c r="D697" s="79"/>
      <c r="E697" s="79"/>
      <c r="F697" s="79"/>
      <c r="G697" s="79"/>
      <c r="I697" s="102"/>
    </row>
    <row r="698">
      <c r="A698" s="17"/>
      <c r="C698" s="79"/>
      <c r="D698" s="79"/>
      <c r="E698" s="79"/>
      <c r="F698" s="79"/>
      <c r="G698" s="79"/>
      <c r="I698" s="102"/>
    </row>
    <row r="699">
      <c r="A699" s="17"/>
      <c r="C699" s="79"/>
      <c r="D699" s="79"/>
      <c r="E699" s="79"/>
      <c r="F699" s="79"/>
      <c r="G699" s="79"/>
      <c r="I699" s="102"/>
    </row>
    <row r="700">
      <c r="A700" s="17"/>
      <c r="C700" s="79"/>
      <c r="D700" s="79"/>
      <c r="E700" s="79"/>
      <c r="F700" s="79"/>
      <c r="G700" s="79"/>
      <c r="I700" s="102"/>
    </row>
    <row r="701">
      <c r="A701" s="17"/>
      <c r="C701" s="79"/>
      <c r="D701" s="79"/>
      <c r="E701" s="79"/>
      <c r="F701" s="79"/>
      <c r="G701" s="79"/>
      <c r="I701" s="102"/>
    </row>
    <row r="702">
      <c r="A702" s="17"/>
      <c r="C702" s="79"/>
      <c r="D702" s="79"/>
      <c r="E702" s="79"/>
      <c r="F702" s="79"/>
      <c r="G702" s="79"/>
      <c r="I702" s="102"/>
    </row>
    <row r="703">
      <c r="A703" s="17"/>
      <c r="C703" s="79"/>
      <c r="D703" s="79"/>
      <c r="E703" s="79"/>
      <c r="F703" s="79"/>
      <c r="G703" s="79"/>
      <c r="I703" s="102"/>
    </row>
    <row r="704">
      <c r="A704" s="17"/>
      <c r="C704" s="79"/>
      <c r="D704" s="79"/>
      <c r="E704" s="79"/>
      <c r="F704" s="79"/>
      <c r="G704" s="79"/>
      <c r="I704" s="102"/>
    </row>
    <row r="705">
      <c r="A705" s="17"/>
      <c r="C705" s="79"/>
      <c r="D705" s="79"/>
      <c r="E705" s="79"/>
      <c r="F705" s="79"/>
      <c r="G705" s="79"/>
      <c r="I705" s="102"/>
    </row>
    <row r="706">
      <c r="A706" s="17"/>
      <c r="C706" s="79"/>
      <c r="D706" s="79"/>
      <c r="E706" s="79"/>
      <c r="F706" s="79"/>
      <c r="G706" s="79"/>
      <c r="I706" s="102"/>
    </row>
    <row r="707">
      <c r="A707" s="17"/>
      <c r="C707" s="79"/>
      <c r="D707" s="79"/>
      <c r="E707" s="79"/>
      <c r="F707" s="79"/>
      <c r="G707" s="79"/>
      <c r="I707" s="102"/>
    </row>
    <row r="708">
      <c r="A708" s="17"/>
      <c r="C708" s="79"/>
      <c r="D708" s="79"/>
      <c r="E708" s="79"/>
      <c r="F708" s="79"/>
      <c r="G708" s="79"/>
      <c r="I708" s="102"/>
    </row>
    <row r="709">
      <c r="A709" s="17"/>
      <c r="C709" s="79"/>
      <c r="D709" s="79"/>
      <c r="E709" s="79"/>
      <c r="F709" s="79"/>
      <c r="G709" s="79"/>
      <c r="I709" s="102"/>
    </row>
    <row r="710">
      <c r="A710" s="17"/>
      <c r="C710" s="79"/>
      <c r="D710" s="79"/>
      <c r="E710" s="79"/>
      <c r="F710" s="79"/>
      <c r="G710" s="79"/>
      <c r="I710" s="102"/>
    </row>
    <row r="711">
      <c r="A711" s="17"/>
      <c r="C711" s="79"/>
      <c r="D711" s="79"/>
      <c r="E711" s="79"/>
      <c r="F711" s="79"/>
      <c r="G711" s="79"/>
      <c r="I711" s="102"/>
    </row>
    <row r="712">
      <c r="A712" s="17"/>
      <c r="C712" s="79"/>
      <c r="D712" s="79"/>
      <c r="E712" s="79"/>
      <c r="F712" s="79"/>
      <c r="G712" s="79"/>
      <c r="I712" s="102"/>
    </row>
    <row r="713">
      <c r="A713" s="17"/>
      <c r="C713" s="79"/>
      <c r="D713" s="79"/>
      <c r="E713" s="79"/>
      <c r="F713" s="79"/>
      <c r="G713" s="79"/>
      <c r="I713" s="102"/>
    </row>
    <row r="714">
      <c r="A714" s="17"/>
      <c r="C714" s="79"/>
      <c r="D714" s="79"/>
      <c r="E714" s="79"/>
      <c r="F714" s="79"/>
      <c r="G714" s="79"/>
      <c r="I714" s="102"/>
    </row>
    <row r="715">
      <c r="A715" s="17"/>
      <c r="C715" s="79"/>
      <c r="D715" s="79"/>
      <c r="E715" s="79"/>
      <c r="F715" s="79"/>
      <c r="G715" s="79"/>
      <c r="I715" s="102"/>
    </row>
    <row r="716">
      <c r="A716" s="17"/>
      <c r="C716" s="79"/>
      <c r="D716" s="79"/>
      <c r="E716" s="79"/>
      <c r="F716" s="79"/>
      <c r="G716" s="79"/>
      <c r="I716" s="102"/>
    </row>
    <row r="717">
      <c r="A717" s="17"/>
      <c r="C717" s="79"/>
      <c r="D717" s="79"/>
      <c r="E717" s="79"/>
      <c r="F717" s="79"/>
      <c r="G717" s="79"/>
      <c r="I717" s="102"/>
    </row>
    <row r="718">
      <c r="A718" s="17"/>
      <c r="C718" s="79"/>
      <c r="D718" s="79"/>
      <c r="E718" s="79"/>
      <c r="F718" s="79"/>
      <c r="G718" s="79"/>
      <c r="I718" s="102"/>
    </row>
    <row r="719">
      <c r="A719" s="17"/>
      <c r="C719" s="79"/>
      <c r="D719" s="79"/>
      <c r="E719" s="79"/>
      <c r="F719" s="79"/>
      <c r="G719" s="79"/>
      <c r="I719" s="102"/>
    </row>
    <row r="720">
      <c r="A720" s="17"/>
      <c r="C720" s="79"/>
      <c r="D720" s="79"/>
      <c r="E720" s="79"/>
      <c r="F720" s="79"/>
      <c r="G720" s="79"/>
      <c r="I720" s="102"/>
    </row>
    <row r="721">
      <c r="A721" s="17"/>
      <c r="C721" s="79"/>
      <c r="D721" s="79"/>
      <c r="E721" s="79"/>
      <c r="F721" s="79"/>
      <c r="G721" s="79"/>
      <c r="I721" s="102"/>
    </row>
    <row r="722">
      <c r="A722" s="17"/>
      <c r="C722" s="79"/>
      <c r="D722" s="79"/>
      <c r="E722" s="79"/>
      <c r="F722" s="79"/>
      <c r="G722" s="79"/>
      <c r="I722" s="102"/>
    </row>
    <row r="723">
      <c r="A723" s="17"/>
      <c r="C723" s="79"/>
      <c r="D723" s="79"/>
      <c r="E723" s="79"/>
      <c r="F723" s="79"/>
      <c r="G723" s="79"/>
      <c r="I723" s="102"/>
    </row>
    <row r="724">
      <c r="A724" s="17"/>
      <c r="C724" s="79"/>
      <c r="D724" s="79"/>
      <c r="E724" s="79"/>
      <c r="F724" s="79"/>
      <c r="G724" s="79"/>
      <c r="I724" s="102"/>
    </row>
    <row r="725">
      <c r="A725" s="17"/>
      <c r="C725" s="79"/>
      <c r="D725" s="79"/>
      <c r="E725" s="79"/>
      <c r="F725" s="79"/>
      <c r="G725" s="79"/>
      <c r="I725" s="102"/>
    </row>
    <row r="726">
      <c r="A726" s="17"/>
      <c r="C726" s="79"/>
      <c r="D726" s="79"/>
      <c r="E726" s="79"/>
      <c r="F726" s="79"/>
      <c r="G726" s="79"/>
      <c r="I726" s="102"/>
    </row>
    <row r="727">
      <c r="A727" s="17"/>
      <c r="C727" s="79"/>
      <c r="D727" s="79"/>
      <c r="E727" s="79"/>
      <c r="F727" s="79"/>
      <c r="G727" s="79"/>
      <c r="I727" s="102"/>
    </row>
    <row r="728">
      <c r="A728" s="17"/>
      <c r="C728" s="79"/>
      <c r="D728" s="79"/>
      <c r="E728" s="79"/>
      <c r="F728" s="79"/>
      <c r="G728" s="79"/>
      <c r="I728" s="102"/>
    </row>
    <row r="729">
      <c r="A729" s="17"/>
      <c r="C729" s="79"/>
      <c r="D729" s="79"/>
      <c r="E729" s="79"/>
      <c r="F729" s="79"/>
      <c r="G729" s="79"/>
      <c r="I729" s="102"/>
    </row>
    <row r="730">
      <c r="A730" s="17"/>
      <c r="C730" s="79"/>
      <c r="D730" s="79"/>
      <c r="E730" s="79"/>
      <c r="F730" s="79"/>
      <c r="G730" s="79"/>
      <c r="I730" s="102"/>
    </row>
    <row r="731">
      <c r="A731" s="17"/>
      <c r="C731" s="79"/>
      <c r="D731" s="79"/>
      <c r="E731" s="79"/>
      <c r="F731" s="79"/>
      <c r="G731" s="79"/>
      <c r="I731" s="102"/>
    </row>
    <row r="732">
      <c r="A732" s="17"/>
      <c r="C732" s="79"/>
      <c r="D732" s="79"/>
      <c r="E732" s="79"/>
      <c r="F732" s="79"/>
      <c r="G732" s="79"/>
      <c r="I732" s="102"/>
    </row>
    <row r="733">
      <c r="A733" s="17"/>
      <c r="C733" s="79"/>
      <c r="D733" s="79"/>
      <c r="E733" s="79"/>
      <c r="F733" s="79"/>
      <c r="G733" s="79"/>
      <c r="I733" s="102"/>
    </row>
    <row r="734">
      <c r="A734" s="17"/>
      <c r="C734" s="79"/>
      <c r="D734" s="79"/>
      <c r="E734" s="79"/>
      <c r="F734" s="79"/>
      <c r="G734" s="79"/>
      <c r="I734" s="102"/>
    </row>
    <row r="735">
      <c r="A735" s="17"/>
      <c r="C735" s="79"/>
      <c r="D735" s="79"/>
      <c r="E735" s="79"/>
      <c r="F735" s="79"/>
      <c r="G735" s="79"/>
      <c r="I735" s="102"/>
    </row>
    <row r="736">
      <c r="A736" s="17"/>
      <c r="C736" s="79"/>
      <c r="D736" s="79"/>
      <c r="E736" s="79"/>
      <c r="F736" s="79"/>
      <c r="G736" s="79"/>
      <c r="I736" s="102"/>
    </row>
    <row r="737">
      <c r="A737" s="17"/>
      <c r="C737" s="79"/>
      <c r="D737" s="79"/>
      <c r="E737" s="79"/>
      <c r="F737" s="79"/>
      <c r="G737" s="79"/>
      <c r="I737" s="102"/>
    </row>
    <row r="738">
      <c r="A738" s="17"/>
      <c r="C738" s="79"/>
      <c r="D738" s="79"/>
      <c r="E738" s="79"/>
      <c r="F738" s="79"/>
      <c r="G738" s="79"/>
      <c r="I738" s="102"/>
    </row>
    <row r="739">
      <c r="A739" s="17"/>
      <c r="C739" s="79"/>
      <c r="D739" s="79"/>
      <c r="E739" s="79"/>
      <c r="F739" s="79"/>
      <c r="G739" s="79"/>
      <c r="I739" s="102"/>
    </row>
    <row r="740">
      <c r="A740" s="17"/>
      <c r="C740" s="79"/>
      <c r="D740" s="79"/>
      <c r="E740" s="79"/>
      <c r="F740" s="79"/>
      <c r="G740" s="79"/>
      <c r="I740" s="102"/>
    </row>
    <row r="741">
      <c r="A741" s="17"/>
      <c r="C741" s="79"/>
      <c r="D741" s="79"/>
      <c r="E741" s="79"/>
      <c r="F741" s="79"/>
      <c r="G741" s="79"/>
      <c r="I741" s="102"/>
    </row>
    <row r="742">
      <c r="A742" s="17"/>
      <c r="C742" s="79"/>
      <c r="D742" s="79"/>
      <c r="E742" s="79"/>
      <c r="F742" s="79"/>
      <c r="G742" s="79"/>
      <c r="I742" s="102"/>
    </row>
    <row r="743">
      <c r="A743" s="17"/>
      <c r="C743" s="79"/>
      <c r="D743" s="79"/>
      <c r="E743" s="79"/>
      <c r="F743" s="79"/>
      <c r="G743" s="79"/>
      <c r="I743" s="102"/>
    </row>
    <row r="744">
      <c r="A744" s="17"/>
      <c r="C744" s="79"/>
      <c r="D744" s="79"/>
      <c r="E744" s="79"/>
      <c r="F744" s="79"/>
      <c r="G744" s="79"/>
      <c r="I744" s="102"/>
    </row>
    <row r="745">
      <c r="A745" s="17"/>
      <c r="C745" s="79"/>
      <c r="D745" s="79"/>
      <c r="E745" s="79"/>
      <c r="F745" s="79"/>
      <c r="G745" s="79"/>
      <c r="I745" s="102"/>
    </row>
    <row r="746">
      <c r="A746" s="17"/>
      <c r="C746" s="79"/>
      <c r="D746" s="79"/>
      <c r="E746" s="79"/>
      <c r="F746" s="79"/>
      <c r="G746" s="79"/>
      <c r="I746" s="102"/>
    </row>
    <row r="747">
      <c r="A747" s="17"/>
      <c r="C747" s="79"/>
      <c r="D747" s="79"/>
      <c r="E747" s="79"/>
      <c r="F747" s="79"/>
      <c r="G747" s="79"/>
      <c r="I747" s="102"/>
    </row>
    <row r="748">
      <c r="A748" s="17"/>
      <c r="C748" s="79"/>
      <c r="D748" s="79"/>
      <c r="E748" s="79"/>
      <c r="F748" s="79"/>
      <c r="G748" s="79"/>
      <c r="I748" s="102"/>
    </row>
    <row r="749">
      <c r="A749" s="17"/>
      <c r="C749" s="79"/>
      <c r="D749" s="79"/>
      <c r="E749" s="79"/>
      <c r="F749" s="79"/>
      <c r="G749" s="79"/>
      <c r="I749" s="102"/>
    </row>
    <row r="750">
      <c r="A750" s="17"/>
      <c r="C750" s="79"/>
      <c r="D750" s="79"/>
      <c r="E750" s="79"/>
      <c r="F750" s="79"/>
      <c r="G750" s="79"/>
      <c r="I750" s="102"/>
    </row>
    <row r="751">
      <c r="A751" s="17"/>
      <c r="C751" s="79"/>
      <c r="D751" s="79"/>
      <c r="E751" s="79"/>
      <c r="F751" s="79"/>
      <c r="G751" s="79"/>
      <c r="I751" s="102"/>
    </row>
    <row r="752">
      <c r="A752" s="17"/>
      <c r="C752" s="79"/>
      <c r="D752" s="79"/>
      <c r="E752" s="79"/>
      <c r="F752" s="79"/>
      <c r="G752" s="79"/>
      <c r="I752" s="102"/>
    </row>
    <row r="753">
      <c r="A753" s="17"/>
      <c r="C753" s="79"/>
      <c r="D753" s="79"/>
      <c r="E753" s="79"/>
      <c r="F753" s="79"/>
      <c r="G753" s="79"/>
      <c r="I753" s="102"/>
    </row>
    <row r="754">
      <c r="A754" s="17"/>
      <c r="C754" s="79"/>
      <c r="D754" s="79"/>
      <c r="E754" s="79"/>
      <c r="F754" s="79"/>
      <c r="G754" s="79"/>
      <c r="I754" s="102"/>
    </row>
    <row r="755">
      <c r="A755" s="17"/>
      <c r="C755" s="79"/>
      <c r="D755" s="79"/>
      <c r="E755" s="79"/>
      <c r="F755" s="79"/>
      <c r="G755" s="79"/>
      <c r="I755" s="102"/>
    </row>
    <row r="756">
      <c r="A756" s="17"/>
      <c r="C756" s="79"/>
      <c r="D756" s="79"/>
      <c r="E756" s="79"/>
      <c r="F756" s="79"/>
      <c r="G756" s="79"/>
      <c r="I756" s="102"/>
    </row>
    <row r="757">
      <c r="A757" s="17"/>
      <c r="C757" s="79"/>
      <c r="D757" s="79"/>
      <c r="E757" s="79"/>
      <c r="F757" s="79"/>
      <c r="G757" s="79"/>
      <c r="I757" s="102"/>
    </row>
    <row r="758">
      <c r="A758" s="17"/>
      <c r="C758" s="79"/>
      <c r="D758" s="79"/>
      <c r="E758" s="79"/>
      <c r="F758" s="79"/>
      <c r="G758" s="79"/>
      <c r="I758" s="102"/>
    </row>
    <row r="759">
      <c r="A759" s="17"/>
      <c r="C759" s="79"/>
      <c r="D759" s="79"/>
      <c r="E759" s="79"/>
      <c r="F759" s="79"/>
      <c r="G759" s="79"/>
      <c r="I759" s="102"/>
    </row>
    <row r="760">
      <c r="A760" s="17"/>
      <c r="C760" s="79"/>
      <c r="D760" s="79"/>
      <c r="E760" s="79"/>
      <c r="F760" s="79"/>
      <c r="G760" s="79"/>
      <c r="I760" s="102"/>
    </row>
    <row r="761">
      <c r="A761" s="17"/>
      <c r="C761" s="79"/>
      <c r="D761" s="79"/>
      <c r="E761" s="79"/>
      <c r="F761" s="79"/>
      <c r="G761" s="79"/>
      <c r="I761" s="102"/>
    </row>
    <row r="762">
      <c r="A762" s="17"/>
      <c r="C762" s="79"/>
      <c r="D762" s="79"/>
      <c r="E762" s="79"/>
      <c r="F762" s="79"/>
      <c r="G762" s="79"/>
      <c r="I762" s="102"/>
    </row>
    <row r="763">
      <c r="A763" s="17"/>
      <c r="C763" s="79"/>
      <c r="D763" s="79"/>
      <c r="E763" s="79"/>
      <c r="F763" s="79"/>
      <c r="G763" s="79"/>
      <c r="I763" s="102"/>
    </row>
    <row r="764">
      <c r="A764" s="17"/>
      <c r="C764" s="79"/>
      <c r="D764" s="79"/>
      <c r="E764" s="79"/>
      <c r="F764" s="79"/>
      <c r="G764" s="79"/>
      <c r="I764" s="102"/>
    </row>
    <row r="765">
      <c r="A765" s="17"/>
      <c r="C765" s="79"/>
      <c r="D765" s="79"/>
      <c r="E765" s="79"/>
      <c r="F765" s="79"/>
      <c r="G765" s="79"/>
      <c r="I765" s="102"/>
    </row>
    <row r="766">
      <c r="A766" s="17"/>
      <c r="C766" s="79"/>
      <c r="D766" s="79"/>
      <c r="E766" s="79"/>
      <c r="F766" s="79"/>
      <c r="G766" s="79"/>
      <c r="I766" s="102"/>
    </row>
    <row r="767">
      <c r="A767" s="17"/>
      <c r="C767" s="79"/>
      <c r="D767" s="79"/>
      <c r="E767" s="79"/>
      <c r="F767" s="79"/>
      <c r="G767" s="79"/>
      <c r="I767" s="102"/>
    </row>
    <row r="768">
      <c r="A768" s="17"/>
      <c r="C768" s="79"/>
      <c r="D768" s="79"/>
      <c r="E768" s="79"/>
      <c r="F768" s="79"/>
      <c r="G768" s="79"/>
      <c r="I768" s="102"/>
    </row>
    <row r="769">
      <c r="A769" s="17"/>
      <c r="C769" s="79"/>
      <c r="D769" s="79"/>
      <c r="E769" s="79"/>
      <c r="F769" s="79"/>
      <c r="G769" s="79"/>
      <c r="I769" s="102"/>
    </row>
    <row r="770">
      <c r="A770" s="17"/>
      <c r="C770" s="79"/>
      <c r="D770" s="79"/>
      <c r="E770" s="79"/>
      <c r="F770" s="79"/>
      <c r="G770" s="79"/>
      <c r="I770" s="102"/>
    </row>
    <row r="771">
      <c r="A771" s="17"/>
      <c r="C771" s="79"/>
      <c r="D771" s="79"/>
      <c r="E771" s="79"/>
      <c r="F771" s="79"/>
      <c r="G771" s="79"/>
      <c r="I771" s="102"/>
    </row>
    <row r="772">
      <c r="A772" s="17"/>
      <c r="C772" s="79"/>
      <c r="D772" s="79"/>
      <c r="E772" s="79"/>
      <c r="F772" s="79"/>
      <c r="G772" s="79"/>
      <c r="I772" s="102"/>
    </row>
    <row r="773">
      <c r="A773" s="17"/>
      <c r="C773" s="79"/>
      <c r="D773" s="79"/>
      <c r="E773" s="79"/>
      <c r="F773" s="79"/>
      <c r="G773" s="79"/>
      <c r="I773" s="102"/>
    </row>
    <row r="774">
      <c r="A774" s="17"/>
      <c r="C774" s="79"/>
      <c r="D774" s="79"/>
      <c r="E774" s="79"/>
      <c r="F774" s="79"/>
      <c r="G774" s="79"/>
      <c r="I774" s="102"/>
    </row>
    <row r="775">
      <c r="A775" s="17"/>
      <c r="C775" s="79"/>
      <c r="D775" s="79"/>
      <c r="E775" s="79"/>
      <c r="F775" s="79"/>
      <c r="G775" s="79"/>
      <c r="I775" s="102"/>
    </row>
    <row r="776">
      <c r="A776" s="17"/>
      <c r="C776" s="79"/>
      <c r="D776" s="79"/>
      <c r="E776" s="79"/>
      <c r="F776" s="79"/>
      <c r="G776" s="79"/>
      <c r="I776" s="102"/>
    </row>
    <row r="777">
      <c r="A777" s="17"/>
      <c r="C777" s="79"/>
      <c r="D777" s="79"/>
      <c r="E777" s="79"/>
      <c r="F777" s="79"/>
      <c r="G777" s="79"/>
      <c r="I777" s="102"/>
    </row>
    <row r="778">
      <c r="A778" s="17"/>
      <c r="C778" s="79"/>
      <c r="D778" s="79"/>
      <c r="E778" s="79"/>
      <c r="F778" s="79"/>
      <c r="G778" s="79"/>
      <c r="I778" s="102"/>
    </row>
    <row r="779">
      <c r="A779" s="17"/>
      <c r="C779" s="79"/>
      <c r="D779" s="79"/>
      <c r="E779" s="79"/>
      <c r="F779" s="79"/>
      <c r="G779" s="79"/>
      <c r="I779" s="102"/>
    </row>
    <row r="780">
      <c r="A780" s="17"/>
      <c r="C780" s="79"/>
      <c r="D780" s="79"/>
      <c r="E780" s="79"/>
      <c r="F780" s="79"/>
      <c r="G780" s="79"/>
      <c r="I780" s="102"/>
    </row>
    <row r="781">
      <c r="A781" s="17"/>
      <c r="C781" s="79"/>
      <c r="D781" s="79"/>
      <c r="E781" s="79"/>
      <c r="F781" s="79"/>
      <c r="G781" s="79"/>
      <c r="I781" s="102"/>
    </row>
    <row r="782">
      <c r="A782" s="17"/>
      <c r="C782" s="79"/>
      <c r="D782" s="79"/>
      <c r="E782" s="79"/>
      <c r="F782" s="79"/>
      <c r="G782" s="79"/>
      <c r="I782" s="102"/>
    </row>
    <row r="783">
      <c r="A783" s="17"/>
      <c r="C783" s="79"/>
      <c r="D783" s="79"/>
      <c r="E783" s="79"/>
      <c r="F783" s="79"/>
      <c r="G783" s="79"/>
      <c r="I783" s="102"/>
    </row>
    <row r="784">
      <c r="A784" s="17"/>
      <c r="C784" s="79"/>
      <c r="D784" s="79"/>
      <c r="E784" s="79"/>
      <c r="F784" s="79"/>
      <c r="G784" s="79"/>
      <c r="I784" s="102"/>
    </row>
    <row r="785">
      <c r="A785" s="17"/>
      <c r="C785" s="79"/>
      <c r="D785" s="79"/>
      <c r="E785" s="79"/>
      <c r="F785" s="79"/>
      <c r="G785" s="79"/>
      <c r="I785" s="102"/>
    </row>
    <row r="786">
      <c r="A786" s="17"/>
      <c r="C786" s="79"/>
      <c r="D786" s="79"/>
      <c r="E786" s="79"/>
      <c r="F786" s="79"/>
      <c r="G786" s="79"/>
      <c r="I786" s="102"/>
    </row>
    <row r="787">
      <c r="A787" s="17"/>
      <c r="C787" s="79"/>
      <c r="D787" s="79"/>
      <c r="E787" s="79"/>
      <c r="F787" s="79"/>
      <c r="G787" s="79"/>
      <c r="I787" s="102"/>
    </row>
    <row r="788">
      <c r="A788" s="17"/>
      <c r="C788" s="79"/>
      <c r="D788" s="79"/>
      <c r="E788" s="79"/>
      <c r="F788" s="79"/>
      <c r="G788" s="79"/>
      <c r="I788" s="102"/>
    </row>
    <row r="789">
      <c r="A789" s="17"/>
      <c r="C789" s="79"/>
      <c r="D789" s="79"/>
      <c r="E789" s="79"/>
      <c r="F789" s="79"/>
      <c r="G789" s="79"/>
      <c r="I789" s="102"/>
    </row>
    <row r="790">
      <c r="A790" s="17"/>
      <c r="C790" s="79"/>
      <c r="D790" s="79"/>
      <c r="E790" s="79"/>
      <c r="F790" s="79"/>
      <c r="G790" s="79"/>
      <c r="I790" s="102"/>
    </row>
    <row r="791">
      <c r="A791" s="17"/>
      <c r="C791" s="79"/>
      <c r="D791" s="79"/>
      <c r="E791" s="79"/>
      <c r="F791" s="79"/>
      <c r="G791" s="79"/>
      <c r="I791" s="102"/>
    </row>
    <row r="792">
      <c r="A792" s="17"/>
      <c r="C792" s="79"/>
      <c r="D792" s="79"/>
      <c r="E792" s="79"/>
      <c r="F792" s="79"/>
      <c r="G792" s="79"/>
      <c r="I792" s="102"/>
    </row>
    <row r="793">
      <c r="A793" s="17"/>
      <c r="C793" s="79"/>
      <c r="D793" s="79"/>
      <c r="E793" s="79"/>
      <c r="F793" s="79"/>
      <c r="G793" s="79"/>
      <c r="I793" s="102"/>
    </row>
    <row r="794">
      <c r="A794" s="17"/>
      <c r="C794" s="79"/>
      <c r="D794" s="79"/>
      <c r="E794" s="79"/>
      <c r="F794" s="79"/>
      <c r="G794" s="79"/>
      <c r="I794" s="102"/>
    </row>
    <row r="795">
      <c r="A795" s="17"/>
      <c r="C795" s="79"/>
      <c r="D795" s="79"/>
      <c r="E795" s="79"/>
      <c r="F795" s="79"/>
      <c r="G795" s="79"/>
      <c r="I795" s="102"/>
    </row>
    <row r="796">
      <c r="A796" s="17"/>
      <c r="C796" s="79"/>
      <c r="D796" s="79"/>
      <c r="E796" s="79"/>
      <c r="F796" s="79"/>
      <c r="G796" s="79"/>
      <c r="I796" s="102"/>
    </row>
    <row r="797">
      <c r="A797" s="17"/>
      <c r="C797" s="79"/>
      <c r="D797" s="79"/>
      <c r="E797" s="79"/>
      <c r="F797" s="79"/>
      <c r="G797" s="79"/>
      <c r="I797" s="102"/>
    </row>
    <row r="798">
      <c r="A798" s="17"/>
      <c r="C798" s="79"/>
      <c r="D798" s="79"/>
      <c r="E798" s="79"/>
      <c r="F798" s="79"/>
      <c r="G798" s="79"/>
      <c r="I798" s="102"/>
    </row>
    <row r="799">
      <c r="A799" s="17"/>
      <c r="C799" s="79"/>
      <c r="D799" s="79"/>
      <c r="E799" s="79"/>
      <c r="F799" s="79"/>
      <c r="G799" s="79"/>
      <c r="I799" s="102"/>
    </row>
    <row r="800">
      <c r="A800" s="17"/>
      <c r="C800" s="79"/>
      <c r="D800" s="79"/>
      <c r="E800" s="79"/>
      <c r="F800" s="79"/>
      <c r="G800" s="79"/>
      <c r="I800" s="102"/>
    </row>
    <row r="801">
      <c r="A801" s="17"/>
      <c r="C801" s="79"/>
      <c r="D801" s="79"/>
      <c r="E801" s="79"/>
      <c r="F801" s="79"/>
      <c r="G801" s="79"/>
      <c r="I801" s="102"/>
    </row>
    <row r="802">
      <c r="A802" s="17"/>
      <c r="C802" s="79"/>
      <c r="D802" s="79"/>
      <c r="E802" s="79"/>
      <c r="F802" s="79"/>
      <c r="G802" s="79"/>
      <c r="I802" s="102"/>
    </row>
    <row r="803">
      <c r="A803" s="17"/>
      <c r="C803" s="79"/>
      <c r="D803" s="79"/>
      <c r="E803" s="79"/>
      <c r="F803" s="79"/>
      <c r="G803" s="79"/>
      <c r="I803" s="102"/>
    </row>
    <row r="804">
      <c r="A804" s="17"/>
      <c r="C804" s="79"/>
      <c r="D804" s="79"/>
      <c r="E804" s="79"/>
      <c r="F804" s="79"/>
      <c r="G804" s="79"/>
      <c r="I804" s="102"/>
    </row>
    <row r="805">
      <c r="A805" s="17"/>
      <c r="C805" s="79"/>
      <c r="D805" s="79"/>
      <c r="E805" s="79"/>
      <c r="F805" s="79"/>
      <c r="G805" s="79"/>
      <c r="I805" s="102"/>
    </row>
    <row r="806">
      <c r="A806" s="17"/>
      <c r="C806" s="79"/>
      <c r="D806" s="79"/>
      <c r="E806" s="79"/>
      <c r="F806" s="79"/>
      <c r="G806" s="79"/>
      <c r="I806" s="102"/>
    </row>
    <row r="807">
      <c r="A807" s="17"/>
      <c r="C807" s="79"/>
      <c r="D807" s="79"/>
      <c r="E807" s="79"/>
      <c r="F807" s="79"/>
      <c r="G807" s="79"/>
      <c r="I807" s="102"/>
    </row>
    <row r="808">
      <c r="A808" s="17"/>
      <c r="C808" s="79"/>
      <c r="D808" s="79"/>
      <c r="E808" s="79"/>
      <c r="F808" s="79"/>
      <c r="G808" s="79"/>
      <c r="I808" s="102"/>
    </row>
    <row r="809">
      <c r="A809" s="17"/>
      <c r="C809" s="79"/>
      <c r="D809" s="79"/>
      <c r="E809" s="79"/>
      <c r="F809" s="79"/>
      <c r="G809" s="79"/>
      <c r="I809" s="102"/>
    </row>
    <row r="810">
      <c r="A810" s="17"/>
      <c r="C810" s="79"/>
      <c r="D810" s="79"/>
      <c r="E810" s="79"/>
      <c r="F810" s="79"/>
      <c r="G810" s="79"/>
      <c r="I810" s="102"/>
    </row>
    <row r="811">
      <c r="A811" s="17"/>
      <c r="C811" s="79"/>
      <c r="D811" s="79"/>
      <c r="E811" s="79"/>
      <c r="F811" s="79"/>
      <c r="G811" s="79"/>
      <c r="I811" s="102"/>
    </row>
    <row r="812">
      <c r="A812" s="17"/>
      <c r="C812" s="79"/>
      <c r="D812" s="79"/>
      <c r="E812" s="79"/>
      <c r="F812" s="79"/>
      <c r="G812" s="79"/>
      <c r="I812" s="102"/>
    </row>
    <row r="813">
      <c r="A813" s="17"/>
      <c r="C813" s="79"/>
      <c r="D813" s="79"/>
      <c r="E813" s="79"/>
      <c r="F813" s="79"/>
      <c r="G813" s="79"/>
      <c r="I813" s="102"/>
    </row>
    <row r="814">
      <c r="A814" s="17"/>
      <c r="C814" s="79"/>
      <c r="D814" s="79"/>
      <c r="E814" s="79"/>
      <c r="F814" s="79"/>
      <c r="G814" s="79"/>
      <c r="I814" s="102"/>
    </row>
    <row r="815">
      <c r="A815" s="17"/>
      <c r="C815" s="79"/>
      <c r="D815" s="79"/>
      <c r="E815" s="79"/>
      <c r="F815" s="79"/>
      <c r="G815" s="79"/>
      <c r="I815" s="102"/>
    </row>
    <row r="816">
      <c r="A816" s="17"/>
      <c r="C816" s="79"/>
      <c r="D816" s="79"/>
      <c r="E816" s="79"/>
      <c r="F816" s="79"/>
      <c r="G816" s="79"/>
      <c r="I816" s="102"/>
    </row>
    <row r="817">
      <c r="A817" s="17"/>
      <c r="C817" s="79"/>
      <c r="D817" s="79"/>
      <c r="E817" s="79"/>
      <c r="F817" s="79"/>
      <c r="G817" s="79"/>
      <c r="I817" s="102"/>
    </row>
    <row r="818">
      <c r="A818" s="17"/>
      <c r="C818" s="79"/>
      <c r="D818" s="79"/>
      <c r="E818" s="79"/>
      <c r="F818" s="79"/>
      <c r="G818" s="79"/>
      <c r="I818" s="102"/>
    </row>
    <row r="819">
      <c r="A819" s="17"/>
      <c r="C819" s="79"/>
      <c r="D819" s="79"/>
      <c r="E819" s="79"/>
      <c r="F819" s="79"/>
      <c r="G819" s="79"/>
      <c r="I819" s="102"/>
    </row>
    <row r="820">
      <c r="A820" s="17"/>
      <c r="C820" s="79"/>
      <c r="D820" s="79"/>
      <c r="E820" s="79"/>
      <c r="F820" s="79"/>
      <c r="G820" s="79"/>
      <c r="I820" s="102"/>
    </row>
    <row r="821">
      <c r="A821" s="17"/>
      <c r="C821" s="79"/>
      <c r="D821" s="79"/>
      <c r="E821" s="79"/>
      <c r="F821" s="79"/>
      <c r="G821" s="79"/>
      <c r="I821" s="102"/>
    </row>
    <row r="822">
      <c r="A822" s="17"/>
      <c r="C822" s="79"/>
      <c r="D822" s="79"/>
      <c r="E822" s="79"/>
      <c r="F822" s="79"/>
      <c r="G822" s="79"/>
      <c r="I822" s="102"/>
    </row>
    <row r="823">
      <c r="A823" s="17"/>
      <c r="C823" s="79"/>
      <c r="D823" s="79"/>
      <c r="E823" s="79"/>
      <c r="F823" s="79"/>
      <c r="G823" s="79"/>
      <c r="I823" s="102"/>
    </row>
    <row r="824">
      <c r="A824" s="17"/>
      <c r="C824" s="79"/>
      <c r="D824" s="79"/>
      <c r="E824" s="79"/>
      <c r="F824" s="79"/>
      <c r="G824" s="79"/>
      <c r="I824" s="102"/>
    </row>
    <row r="825">
      <c r="A825" s="17"/>
      <c r="C825" s="79"/>
      <c r="D825" s="79"/>
      <c r="E825" s="79"/>
      <c r="F825" s="79"/>
      <c r="G825" s="79"/>
      <c r="I825" s="102"/>
    </row>
    <row r="826">
      <c r="A826" s="17"/>
      <c r="C826" s="79"/>
      <c r="D826" s="79"/>
      <c r="E826" s="79"/>
      <c r="F826" s="79"/>
      <c r="G826" s="79"/>
      <c r="I826" s="102"/>
    </row>
    <row r="827">
      <c r="A827" s="17"/>
      <c r="C827" s="79"/>
      <c r="D827" s="79"/>
      <c r="E827" s="79"/>
      <c r="F827" s="79"/>
      <c r="G827" s="79"/>
      <c r="I827" s="102"/>
    </row>
    <row r="828">
      <c r="A828" s="17"/>
      <c r="C828" s="79"/>
      <c r="D828" s="79"/>
      <c r="E828" s="79"/>
      <c r="F828" s="79"/>
      <c r="G828" s="79"/>
      <c r="I828" s="102"/>
    </row>
    <row r="829">
      <c r="A829" s="17"/>
      <c r="C829" s="79"/>
      <c r="D829" s="79"/>
      <c r="E829" s="79"/>
      <c r="F829" s="79"/>
      <c r="G829" s="79"/>
      <c r="I829" s="102"/>
    </row>
    <row r="830">
      <c r="A830" s="17"/>
      <c r="C830" s="79"/>
      <c r="D830" s="79"/>
      <c r="E830" s="79"/>
      <c r="F830" s="79"/>
      <c r="G830" s="79"/>
      <c r="I830" s="102"/>
    </row>
    <row r="831">
      <c r="A831" s="17"/>
      <c r="C831" s="79"/>
      <c r="D831" s="79"/>
      <c r="E831" s="79"/>
      <c r="F831" s="79"/>
      <c r="G831" s="79"/>
      <c r="I831" s="102"/>
    </row>
    <row r="832">
      <c r="A832" s="17"/>
      <c r="C832" s="79"/>
      <c r="D832" s="79"/>
      <c r="E832" s="79"/>
      <c r="F832" s="79"/>
      <c r="G832" s="79"/>
      <c r="I832" s="102"/>
    </row>
    <row r="833">
      <c r="A833" s="17"/>
      <c r="C833" s="79"/>
      <c r="D833" s="79"/>
      <c r="E833" s="79"/>
      <c r="F833" s="79"/>
      <c r="G833" s="79"/>
      <c r="I833" s="102"/>
    </row>
    <row r="834">
      <c r="A834" s="17"/>
      <c r="C834" s="79"/>
      <c r="D834" s="79"/>
      <c r="E834" s="79"/>
      <c r="F834" s="79"/>
      <c r="G834" s="79"/>
      <c r="I834" s="102"/>
    </row>
    <row r="835">
      <c r="A835" s="17"/>
      <c r="C835" s="79"/>
      <c r="D835" s="79"/>
      <c r="E835" s="79"/>
      <c r="F835" s="79"/>
      <c r="G835" s="79"/>
      <c r="I835" s="102"/>
    </row>
    <row r="836">
      <c r="A836" s="17"/>
      <c r="C836" s="79"/>
      <c r="D836" s="79"/>
      <c r="E836" s="79"/>
      <c r="F836" s="79"/>
      <c r="G836" s="79"/>
      <c r="I836" s="102"/>
    </row>
    <row r="837">
      <c r="A837" s="17"/>
      <c r="C837" s="79"/>
      <c r="D837" s="79"/>
      <c r="E837" s="79"/>
      <c r="F837" s="79"/>
      <c r="G837" s="79"/>
      <c r="I837" s="102"/>
    </row>
    <row r="838">
      <c r="A838" s="17"/>
      <c r="C838" s="79"/>
      <c r="D838" s="79"/>
      <c r="E838" s="79"/>
      <c r="F838" s="79"/>
      <c r="G838" s="79"/>
      <c r="I838" s="102"/>
    </row>
    <row r="839">
      <c r="A839" s="17"/>
      <c r="C839" s="79"/>
      <c r="D839" s="79"/>
      <c r="E839" s="79"/>
      <c r="F839" s="79"/>
      <c r="G839" s="79"/>
      <c r="I839" s="102"/>
    </row>
    <row r="840">
      <c r="A840" s="17"/>
      <c r="C840" s="79"/>
      <c r="D840" s="79"/>
      <c r="E840" s="79"/>
      <c r="F840" s="79"/>
      <c r="G840" s="79"/>
      <c r="I840" s="102"/>
    </row>
    <row r="841">
      <c r="A841" s="17"/>
      <c r="C841" s="79"/>
      <c r="D841" s="79"/>
      <c r="E841" s="79"/>
      <c r="F841" s="79"/>
      <c r="G841" s="79"/>
      <c r="I841" s="102"/>
    </row>
    <row r="842">
      <c r="A842" s="17"/>
      <c r="C842" s="79"/>
      <c r="D842" s="79"/>
      <c r="E842" s="79"/>
      <c r="F842" s="79"/>
      <c r="G842" s="79"/>
      <c r="I842" s="102"/>
    </row>
    <row r="843">
      <c r="A843" s="17"/>
      <c r="C843" s="79"/>
      <c r="D843" s="79"/>
      <c r="E843" s="79"/>
      <c r="F843" s="79"/>
      <c r="G843" s="79"/>
      <c r="I843" s="102"/>
    </row>
    <row r="844">
      <c r="A844" s="17"/>
      <c r="C844" s="79"/>
      <c r="D844" s="79"/>
      <c r="E844" s="79"/>
      <c r="F844" s="79"/>
      <c r="G844" s="79"/>
      <c r="I844" s="102"/>
    </row>
    <row r="845">
      <c r="A845" s="17"/>
      <c r="C845" s="79"/>
      <c r="D845" s="79"/>
      <c r="E845" s="79"/>
      <c r="F845" s="79"/>
      <c r="G845" s="79"/>
      <c r="I845" s="102"/>
    </row>
    <row r="846">
      <c r="A846" s="17"/>
      <c r="C846" s="79"/>
      <c r="D846" s="79"/>
      <c r="E846" s="79"/>
      <c r="F846" s="79"/>
      <c r="G846" s="79"/>
      <c r="I846" s="102"/>
    </row>
    <row r="847">
      <c r="A847" s="17"/>
      <c r="C847" s="79"/>
      <c r="D847" s="79"/>
      <c r="E847" s="79"/>
      <c r="F847" s="79"/>
      <c r="G847" s="79"/>
      <c r="I847" s="102"/>
    </row>
    <row r="848">
      <c r="A848" s="17"/>
      <c r="C848" s="79"/>
      <c r="D848" s="79"/>
      <c r="E848" s="79"/>
      <c r="F848" s="79"/>
      <c r="G848" s="79"/>
      <c r="I848" s="102"/>
    </row>
    <row r="849">
      <c r="A849" s="17"/>
      <c r="C849" s="79"/>
      <c r="D849" s="79"/>
      <c r="E849" s="79"/>
      <c r="F849" s="79"/>
      <c r="G849" s="79"/>
      <c r="I849" s="102"/>
    </row>
    <row r="850">
      <c r="A850" s="17"/>
      <c r="C850" s="79"/>
      <c r="D850" s="79"/>
      <c r="E850" s="79"/>
      <c r="F850" s="79"/>
      <c r="G850" s="79"/>
      <c r="I850" s="102"/>
    </row>
    <row r="851">
      <c r="A851" s="17"/>
      <c r="C851" s="79"/>
      <c r="D851" s="79"/>
      <c r="E851" s="79"/>
      <c r="F851" s="79"/>
      <c r="G851" s="79"/>
      <c r="I851" s="102"/>
    </row>
    <row r="852">
      <c r="A852" s="17"/>
      <c r="C852" s="79"/>
      <c r="D852" s="79"/>
      <c r="E852" s="79"/>
      <c r="F852" s="79"/>
      <c r="G852" s="79"/>
      <c r="I852" s="102"/>
    </row>
    <row r="853">
      <c r="A853" s="17"/>
      <c r="C853" s="79"/>
      <c r="D853" s="79"/>
      <c r="E853" s="79"/>
      <c r="F853" s="79"/>
      <c r="G853" s="79"/>
      <c r="I853" s="102"/>
    </row>
    <row r="854">
      <c r="A854" s="17"/>
      <c r="C854" s="79"/>
      <c r="D854" s="79"/>
      <c r="E854" s="79"/>
      <c r="F854" s="79"/>
      <c r="G854" s="79"/>
      <c r="I854" s="102"/>
    </row>
    <row r="855">
      <c r="A855" s="17"/>
      <c r="C855" s="79"/>
      <c r="D855" s="79"/>
      <c r="E855" s="79"/>
      <c r="F855" s="79"/>
      <c r="G855" s="79"/>
      <c r="I855" s="102"/>
    </row>
    <row r="856">
      <c r="A856" s="17"/>
      <c r="C856" s="79"/>
      <c r="D856" s="79"/>
      <c r="E856" s="79"/>
      <c r="F856" s="79"/>
      <c r="G856" s="79"/>
      <c r="I856" s="102"/>
    </row>
    <row r="857">
      <c r="A857" s="17"/>
      <c r="C857" s="79"/>
      <c r="D857" s="79"/>
      <c r="E857" s="79"/>
      <c r="F857" s="79"/>
      <c r="G857" s="79"/>
      <c r="I857" s="102"/>
    </row>
    <row r="858">
      <c r="A858" s="17"/>
      <c r="C858" s="79"/>
      <c r="D858" s="79"/>
      <c r="E858" s="79"/>
      <c r="F858" s="79"/>
      <c r="G858" s="79"/>
      <c r="I858" s="102"/>
    </row>
    <row r="859">
      <c r="A859" s="17"/>
      <c r="C859" s="79"/>
      <c r="D859" s="79"/>
      <c r="E859" s="79"/>
      <c r="F859" s="79"/>
      <c r="G859" s="79"/>
      <c r="I859" s="102"/>
    </row>
    <row r="860">
      <c r="A860" s="17"/>
      <c r="C860" s="79"/>
      <c r="D860" s="79"/>
      <c r="E860" s="79"/>
      <c r="F860" s="79"/>
      <c r="G860" s="79"/>
      <c r="I860" s="102"/>
    </row>
    <row r="861">
      <c r="A861" s="17"/>
      <c r="C861" s="79"/>
      <c r="D861" s="79"/>
      <c r="E861" s="79"/>
      <c r="F861" s="79"/>
      <c r="G861" s="79"/>
      <c r="I861" s="102"/>
    </row>
    <row r="862">
      <c r="A862" s="17"/>
      <c r="C862" s="79"/>
      <c r="D862" s="79"/>
      <c r="E862" s="79"/>
      <c r="F862" s="79"/>
      <c r="G862" s="79"/>
      <c r="I862" s="102"/>
    </row>
    <row r="863">
      <c r="A863" s="17"/>
      <c r="C863" s="79"/>
      <c r="D863" s="79"/>
      <c r="E863" s="79"/>
      <c r="F863" s="79"/>
      <c r="G863" s="79"/>
      <c r="I863" s="102"/>
    </row>
    <row r="864">
      <c r="A864" s="17"/>
      <c r="C864" s="79"/>
      <c r="D864" s="79"/>
      <c r="E864" s="79"/>
      <c r="F864" s="79"/>
      <c r="G864" s="79"/>
      <c r="I864" s="102"/>
    </row>
    <row r="865">
      <c r="A865" s="17"/>
      <c r="C865" s="79"/>
      <c r="D865" s="79"/>
      <c r="E865" s="79"/>
      <c r="F865" s="79"/>
      <c r="G865" s="79"/>
      <c r="I865" s="102"/>
    </row>
    <row r="866">
      <c r="A866" s="17"/>
      <c r="C866" s="79"/>
      <c r="D866" s="79"/>
      <c r="E866" s="79"/>
      <c r="F866" s="79"/>
      <c r="G866" s="79"/>
      <c r="I866" s="102"/>
    </row>
    <row r="867">
      <c r="A867" s="17"/>
      <c r="C867" s="79"/>
      <c r="D867" s="79"/>
      <c r="E867" s="79"/>
      <c r="F867" s="79"/>
      <c r="G867" s="79"/>
      <c r="I867" s="102"/>
    </row>
    <row r="868">
      <c r="A868" s="17"/>
      <c r="C868" s="79"/>
      <c r="D868" s="79"/>
      <c r="E868" s="79"/>
      <c r="F868" s="79"/>
      <c r="G868" s="79"/>
      <c r="I868" s="102"/>
    </row>
    <row r="869">
      <c r="A869" s="17"/>
      <c r="C869" s="79"/>
      <c r="D869" s="79"/>
      <c r="E869" s="79"/>
      <c r="F869" s="79"/>
      <c r="G869" s="79"/>
      <c r="I869" s="102"/>
    </row>
    <row r="870">
      <c r="A870" s="17"/>
      <c r="C870" s="79"/>
      <c r="D870" s="79"/>
      <c r="E870" s="79"/>
      <c r="F870" s="79"/>
      <c r="G870" s="79"/>
      <c r="I870" s="102"/>
    </row>
    <row r="871">
      <c r="A871" s="17"/>
      <c r="C871" s="79"/>
      <c r="D871" s="79"/>
      <c r="E871" s="79"/>
      <c r="F871" s="79"/>
      <c r="G871" s="79"/>
      <c r="I871" s="102"/>
    </row>
    <row r="872">
      <c r="A872" s="17"/>
      <c r="C872" s="79"/>
      <c r="D872" s="79"/>
      <c r="E872" s="79"/>
      <c r="F872" s="79"/>
      <c r="G872" s="79"/>
      <c r="I872" s="102"/>
    </row>
    <row r="873">
      <c r="A873" s="17"/>
      <c r="C873" s="79"/>
      <c r="D873" s="79"/>
      <c r="E873" s="79"/>
      <c r="F873" s="79"/>
      <c r="G873" s="79"/>
      <c r="I873" s="102"/>
    </row>
    <row r="874">
      <c r="A874" s="17"/>
      <c r="C874" s="79"/>
      <c r="D874" s="79"/>
      <c r="E874" s="79"/>
      <c r="F874" s="79"/>
      <c r="G874" s="79"/>
      <c r="I874" s="102"/>
    </row>
    <row r="875">
      <c r="A875" s="17"/>
      <c r="C875" s="79"/>
      <c r="D875" s="79"/>
      <c r="E875" s="79"/>
      <c r="F875" s="79"/>
      <c r="G875" s="79"/>
      <c r="I875" s="102"/>
    </row>
    <row r="876">
      <c r="A876" s="17"/>
      <c r="C876" s="79"/>
      <c r="D876" s="79"/>
      <c r="E876" s="79"/>
      <c r="F876" s="79"/>
      <c r="G876" s="79"/>
      <c r="I876" s="102"/>
    </row>
    <row r="877">
      <c r="A877" s="17"/>
      <c r="C877" s="79"/>
      <c r="D877" s="79"/>
      <c r="E877" s="79"/>
      <c r="F877" s="79"/>
      <c r="G877" s="79"/>
      <c r="I877" s="102"/>
    </row>
    <row r="878">
      <c r="A878" s="17"/>
      <c r="C878" s="79"/>
      <c r="D878" s="79"/>
      <c r="E878" s="79"/>
      <c r="F878" s="79"/>
      <c r="G878" s="79"/>
      <c r="I878" s="102"/>
    </row>
    <row r="879">
      <c r="A879" s="17"/>
      <c r="C879" s="79"/>
      <c r="D879" s="79"/>
      <c r="E879" s="79"/>
      <c r="F879" s="79"/>
      <c r="G879" s="79"/>
      <c r="I879" s="102"/>
    </row>
    <row r="880">
      <c r="A880" s="17"/>
      <c r="C880" s="79"/>
      <c r="D880" s="79"/>
      <c r="E880" s="79"/>
      <c r="F880" s="79"/>
      <c r="G880" s="79"/>
      <c r="I880" s="102"/>
    </row>
    <row r="881">
      <c r="A881" s="17"/>
      <c r="C881" s="79"/>
      <c r="D881" s="79"/>
      <c r="E881" s="79"/>
      <c r="F881" s="79"/>
      <c r="G881" s="79"/>
      <c r="I881" s="102"/>
    </row>
    <row r="882">
      <c r="A882" s="17"/>
      <c r="C882" s="79"/>
      <c r="D882" s="79"/>
      <c r="E882" s="79"/>
      <c r="F882" s="79"/>
      <c r="G882" s="79"/>
      <c r="I882" s="102"/>
    </row>
    <row r="883">
      <c r="A883" s="17"/>
      <c r="C883" s="79"/>
      <c r="D883" s="79"/>
      <c r="E883" s="79"/>
      <c r="F883" s="79"/>
      <c r="G883" s="79"/>
      <c r="I883" s="102"/>
    </row>
    <row r="884">
      <c r="A884" s="17"/>
      <c r="C884" s="79"/>
      <c r="D884" s="79"/>
      <c r="E884" s="79"/>
      <c r="F884" s="79"/>
      <c r="G884" s="79"/>
      <c r="I884" s="102"/>
    </row>
    <row r="885">
      <c r="A885" s="17"/>
      <c r="C885" s="79"/>
      <c r="D885" s="79"/>
      <c r="E885" s="79"/>
      <c r="F885" s="79"/>
      <c r="G885" s="79"/>
      <c r="I885" s="102"/>
    </row>
    <row r="886">
      <c r="A886" s="17"/>
      <c r="C886" s="79"/>
      <c r="D886" s="79"/>
      <c r="E886" s="79"/>
      <c r="F886" s="79"/>
      <c r="G886" s="79"/>
      <c r="I886" s="102"/>
    </row>
    <row r="887">
      <c r="A887" s="17"/>
      <c r="C887" s="79"/>
      <c r="D887" s="79"/>
      <c r="E887" s="79"/>
      <c r="F887" s="79"/>
      <c r="G887" s="79"/>
      <c r="I887" s="102"/>
    </row>
    <row r="888">
      <c r="A888" s="17"/>
      <c r="C888" s="79"/>
      <c r="D888" s="79"/>
      <c r="E888" s="79"/>
      <c r="F888" s="79"/>
      <c r="G888" s="79"/>
      <c r="I888" s="102"/>
    </row>
    <row r="889">
      <c r="A889" s="17"/>
      <c r="C889" s="79"/>
      <c r="D889" s="79"/>
      <c r="E889" s="79"/>
      <c r="F889" s="79"/>
      <c r="G889" s="79"/>
      <c r="I889" s="102"/>
    </row>
    <row r="890">
      <c r="A890" s="17"/>
      <c r="C890" s="79"/>
      <c r="D890" s="79"/>
      <c r="E890" s="79"/>
      <c r="F890" s="79"/>
      <c r="G890" s="79"/>
      <c r="I890" s="102"/>
    </row>
    <row r="891">
      <c r="A891" s="17"/>
      <c r="C891" s="79"/>
      <c r="D891" s="79"/>
      <c r="E891" s="79"/>
      <c r="F891" s="79"/>
      <c r="G891" s="79"/>
      <c r="I891" s="102"/>
    </row>
    <row r="892">
      <c r="A892" s="17"/>
      <c r="C892" s="79"/>
      <c r="D892" s="79"/>
      <c r="E892" s="79"/>
      <c r="F892" s="79"/>
      <c r="G892" s="79"/>
      <c r="I892" s="102"/>
    </row>
    <row r="893">
      <c r="A893" s="17"/>
      <c r="C893" s="79"/>
      <c r="D893" s="79"/>
      <c r="E893" s="79"/>
      <c r="F893" s="79"/>
      <c r="G893" s="79"/>
      <c r="I893" s="102"/>
    </row>
    <row r="894">
      <c r="A894" s="17"/>
      <c r="C894" s="79"/>
      <c r="D894" s="79"/>
      <c r="E894" s="79"/>
      <c r="F894" s="79"/>
      <c r="G894" s="79"/>
      <c r="I894" s="102"/>
    </row>
    <row r="895">
      <c r="A895" s="17"/>
      <c r="C895" s="79"/>
      <c r="D895" s="79"/>
      <c r="E895" s="79"/>
      <c r="F895" s="79"/>
      <c r="G895" s="79"/>
      <c r="I895" s="102"/>
    </row>
    <row r="896">
      <c r="A896" s="17"/>
      <c r="C896" s="79"/>
      <c r="D896" s="79"/>
      <c r="E896" s="79"/>
      <c r="F896" s="79"/>
      <c r="G896" s="79"/>
      <c r="I896" s="102"/>
    </row>
    <row r="897">
      <c r="A897" s="17"/>
      <c r="C897" s="79"/>
      <c r="D897" s="79"/>
      <c r="E897" s="79"/>
      <c r="F897" s="79"/>
      <c r="G897" s="79"/>
      <c r="I897" s="102"/>
    </row>
    <row r="898">
      <c r="A898" s="17"/>
      <c r="C898" s="79"/>
      <c r="D898" s="79"/>
      <c r="E898" s="79"/>
      <c r="F898" s="79"/>
      <c r="G898" s="79"/>
      <c r="I898" s="102"/>
    </row>
    <row r="899">
      <c r="A899" s="17"/>
      <c r="C899" s="79"/>
      <c r="D899" s="79"/>
      <c r="E899" s="79"/>
      <c r="F899" s="79"/>
      <c r="G899" s="79"/>
      <c r="I899" s="102"/>
    </row>
    <row r="900">
      <c r="A900" s="17"/>
      <c r="C900" s="79"/>
      <c r="D900" s="79"/>
      <c r="E900" s="79"/>
      <c r="F900" s="79"/>
      <c r="G900" s="79"/>
      <c r="I900" s="102"/>
    </row>
    <row r="901">
      <c r="A901" s="17"/>
      <c r="C901" s="79"/>
      <c r="D901" s="79"/>
      <c r="E901" s="79"/>
      <c r="F901" s="79"/>
      <c r="G901" s="79"/>
      <c r="I901" s="102"/>
    </row>
    <row r="902">
      <c r="A902" s="17"/>
      <c r="C902" s="79"/>
      <c r="D902" s="79"/>
      <c r="E902" s="79"/>
      <c r="F902" s="79"/>
      <c r="G902" s="79"/>
      <c r="I902" s="102"/>
    </row>
    <row r="903">
      <c r="A903" s="17"/>
      <c r="C903" s="79"/>
      <c r="D903" s="79"/>
      <c r="E903" s="79"/>
      <c r="F903" s="79"/>
      <c r="G903" s="79"/>
      <c r="I903" s="102"/>
    </row>
    <row r="904">
      <c r="A904" s="17"/>
      <c r="C904" s="79"/>
      <c r="D904" s="79"/>
      <c r="E904" s="79"/>
      <c r="F904" s="79"/>
      <c r="G904" s="79"/>
      <c r="I904" s="102"/>
    </row>
    <row r="905">
      <c r="A905" s="17"/>
      <c r="C905" s="79"/>
      <c r="D905" s="79"/>
      <c r="E905" s="79"/>
      <c r="F905" s="79"/>
      <c r="G905" s="79"/>
      <c r="I905" s="102"/>
    </row>
    <row r="906">
      <c r="A906" s="17"/>
      <c r="C906" s="79"/>
      <c r="D906" s="79"/>
      <c r="E906" s="79"/>
      <c r="F906" s="79"/>
      <c r="G906" s="79"/>
      <c r="I906" s="102"/>
    </row>
    <row r="907">
      <c r="A907" s="17"/>
      <c r="C907" s="79"/>
      <c r="D907" s="79"/>
      <c r="E907" s="79"/>
      <c r="F907" s="79"/>
      <c r="G907" s="79"/>
      <c r="I907" s="102"/>
    </row>
    <row r="908">
      <c r="A908" s="17"/>
      <c r="C908" s="79"/>
      <c r="D908" s="79"/>
      <c r="E908" s="79"/>
      <c r="F908" s="79"/>
      <c r="G908" s="79"/>
      <c r="I908" s="102"/>
    </row>
    <row r="909">
      <c r="A909" s="17"/>
      <c r="C909" s="79"/>
      <c r="D909" s="79"/>
      <c r="E909" s="79"/>
      <c r="F909" s="79"/>
      <c r="G909" s="79"/>
      <c r="I909" s="102"/>
    </row>
    <row r="910">
      <c r="A910" s="17"/>
      <c r="C910" s="79"/>
      <c r="D910" s="79"/>
      <c r="E910" s="79"/>
      <c r="F910" s="79"/>
      <c r="G910" s="79"/>
      <c r="I910" s="102"/>
    </row>
    <row r="911">
      <c r="A911" s="17"/>
      <c r="C911" s="79"/>
      <c r="D911" s="79"/>
      <c r="E911" s="79"/>
      <c r="F911" s="79"/>
      <c r="G911" s="79"/>
      <c r="I911" s="102"/>
    </row>
    <row r="912">
      <c r="A912" s="17"/>
      <c r="C912" s="79"/>
      <c r="D912" s="79"/>
      <c r="E912" s="79"/>
      <c r="F912" s="79"/>
      <c r="G912" s="79"/>
      <c r="I912" s="102"/>
    </row>
    <row r="913">
      <c r="A913" s="17"/>
      <c r="C913" s="79"/>
      <c r="D913" s="79"/>
      <c r="E913" s="79"/>
      <c r="F913" s="79"/>
      <c r="G913" s="79"/>
      <c r="I913" s="102"/>
    </row>
    <row r="914">
      <c r="A914" s="17"/>
      <c r="C914" s="79"/>
      <c r="D914" s="79"/>
      <c r="E914" s="79"/>
      <c r="F914" s="79"/>
      <c r="G914" s="79"/>
      <c r="I914" s="102"/>
    </row>
    <row r="915">
      <c r="A915" s="17"/>
      <c r="C915" s="79"/>
      <c r="D915" s="79"/>
      <c r="E915" s="79"/>
      <c r="F915" s="79"/>
      <c r="G915" s="79"/>
      <c r="I915" s="102"/>
    </row>
    <row r="916">
      <c r="A916" s="17"/>
      <c r="C916" s="79"/>
      <c r="D916" s="79"/>
      <c r="E916" s="79"/>
      <c r="F916" s="79"/>
      <c r="G916" s="79"/>
      <c r="I916" s="102"/>
    </row>
    <row r="917">
      <c r="A917" s="17"/>
      <c r="C917" s="79"/>
      <c r="D917" s="79"/>
      <c r="E917" s="79"/>
      <c r="F917" s="79"/>
      <c r="G917" s="79"/>
      <c r="I917" s="102"/>
    </row>
    <row r="918">
      <c r="A918" s="17"/>
      <c r="C918" s="79"/>
      <c r="D918" s="79"/>
      <c r="E918" s="79"/>
      <c r="F918" s="79"/>
      <c r="G918" s="79"/>
      <c r="I918" s="102"/>
    </row>
    <row r="919">
      <c r="A919" s="17"/>
      <c r="C919" s="79"/>
      <c r="D919" s="79"/>
      <c r="E919" s="79"/>
      <c r="F919" s="79"/>
      <c r="G919" s="79"/>
      <c r="I919" s="102"/>
    </row>
    <row r="920">
      <c r="A920" s="17"/>
      <c r="C920" s="79"/>
      <c r="D920" s="79"/>
      <c r="E920" s="79"/>
      <c r="F920" s="79"/>
      <c r="G920" s="79"/>
      <c r="I920" s="102"/>
    </row>
    <row r="921">
      <c r="A921" s="17"/>
      <c r="C921" s="79"/>
      <c r="D921" s="79"/>
      <c r="E921" s="79"/>
      <c r="F921" s="79"/>
      <c r="G921" s="79"/>
      <c r="I921" s="102"/>
    </row>
    <row r="922">
      <c r="A922" s="17"/>
      <c r="C922" s="79"/>
      <c r="D922" s="79"/>
      <c r="E922" s="79"/>
      <c r="F922" s="79"/>
      <c r="G922" s="79"/>
      <c r="I922" s="102"/>
    </row>
    <row r="923">
      <c r="A923" s="17"/>
      <c r="C923" s="79"/>
      <c r="D923" s="79"/>
      <c r="E923" s="79"/>
      <c r="F923" s="79"/>
      <c r="G923" s="79"/>
      <c r="I923" s="102"/>
    </row>
    <row r="924">
      <c r="A924" s="17"/>
      <c r="C924" s="79"/>
      <c r="D924" s="79"/>
      <c r="E924" s="79"/>
      <c r="F924" s="79"/>
      <c r="G924" s="79"/>
      <c r="I924" s="102"/>
    </row>
    <row r="925">
      <c r="A925" s="17"/>
      <c r="C925" s="79"/>
      <c r="D925" s="79"/>
      <c r="E925" s="79"/>
      <c r="F925" s="79"/>
      <c r="G925" s="79"/>
      <c r="I925" s="102"/>
    </row>
    <row r="926">
      <c r="A926" s="17"/>
      <c r="C926" s="79"/>
      <c r="D926" s="79"/>
      <c r="E926" s="79"/>
      <c r="F926" s="79"/>
      <c r="G926" s="79"/>
      <c r="I926" s="102"/>
    </row>
    <row r="927">
      <c r="A927" s="17"/>
      <c r="C927" s="79"/>
      <c r="D927" s="79"/>
      <c r="E927" s="79"/>
      <c r="F927" s="79"/>
      <c r="G927" s="79"/>
      <c r="I927" s="102"/>
    </row>
    <row r="928">
      <c r="A928" s="17"/>
      <c r="C928" s="79"/>
      <c r="D928" s="79"/>
      <c r="E928" s="79"/>
      <c r="F928" s="79"/>
      <c r="G928" s="79"/>
      <c r="I928" s="102"/>
    </row>
    <row r="929">
      <c r="A929" s="17"/>
      <c r="C929" s="79"/>
      <c r="D929" s="79"/>
      <c r="E929" s="79"/>
      <c r="F929" s="79"/>
      <c r="G929" s="79"/>
      <c r="I929" s="102"/>
    </row>
    <row r="930">
      <c r="A930" s="17"/>
      <c r="C930" s="79"/>
      <c r="D930" s="79"/>
      <c r="E930" s="79"/>
      <c r="F930" s="79"/>
      <c r="G930" s="79"/>
      <c r="I930" s="102"/>
    </row>
    <row r="931">
      <c r="A931" s="17"/>
      <c r="C931" s="79"/>
      <c r="D931" s="79"/>
      <c r="E931" s="79"/>
      <c r="F931" s="79"/>
      <c r="G931" s="79"/>
      <c r="I931" s="102"/>
    </row>
    <row r="932">
      <c r="A932" s="17"/>
      <c r="C932" s="79"/>
      <c r="D932" s="79"/>
      <c r="E932" s="79"/>
      <c r="F932" s="79"/>
      <c r="G932" s="79"/>
      <c r="I932" s="102"/>
    </row>
    <row r="933">
      <c r="A933" s="17"/>
      <c r="C933" s="79"/>
      <c r="D933" s="79"/>
      <c r="E933" s="79"/>
      <c r="F933" s="79"/>
      <c r="G933" s="79"/>
      <c r="I933" s="102"/>
    </row>
    <row r="934">
      <c r="A934" s="17"/>
      <c r="C934" s="79"/>
      <c r="D934" s="79"/>
      <c r="E934" s="79"/>
      <c r="F934" s="79"/>
      <c r="G934" s="79"/>
      <c r="I934" s="102"/>
    </row>
    <row r="935">
      <c r="A935" s="17"/>
      <c r="C935" s="79"/>
      <c r="D935" s="79"/>
      <c r="E935" s="79"/>
      <c r="F935" s="79"/>
      <c r="G935" s="79"/>
      <c r="I935" s="102"/>
    </row>
    <row r="936">
      <c r="A936" s="17"/>
      <c r="C936" s="79"/>
      <c r="D936" s="79"/>
      <c r="E936" s="79"/>
      <c r="F936" s="79"/>
      <c r="G936" s="79"/>
      <c r="I936" s="102"/>
    </row>
    <row r="937">
      <c r="A937" s="17"/>
      <c r="C937" s="79"/>
      <c r="D937" s="79"/>
      <c r="E937" s="79"/>
      <c r="F937" s="79"/>
      <c r="G937" s="79"/>
      <c r="I937" s="102"/>
    </row>
    <row r="938">
      <c r="A938" s="17"/>
      <c r="C938" s="79"/>
      <c r="D938" s="79"/>
      <c r="E938" s="79"/>
      <c r="F938" s="79"/>
      <c r="G938" s="79"/>
      <c r="I938" s="102"/>
    </row>
    <row r="939">
      <c r="A939" s="17"/>
      <c r="C939" s="79"/>
      <c r="D939" s="79"/>
      <c r="E939" s="79"/>
      <c r="F939" s="79"/>
      <c r="G939" s="79"/>
      <c r="I939" s="102"/>
    </row>
    <row r="940">
      <c r="A940" s="17"/>
      <c r="C940" s="79"/>
      <c r="D940" s="79"/>
      <c r="E940" s="79"/>
      <c r="F940" s="79"/>
      <c r="G940" s="79"/>
      <c r="I940" s="102"/>
    </row>
    <row r="941">
      <c r="A941" s="17"/>
      <c r="C941" s="79"/>
      <c r="D941" s="79"/>
      <c r="E941" s="79"/>
      <c r="F941" s="79"/>
      <c r="G941" s="79"/>
      <c r="I941" s="102"/>
    </row>
    <row r="942">
      <c r="A942" s="17"/>
      <c r="C942" s="79"/>
      <c r="D942" s="79"/>
      <c r="E942" s="79"/>
      <c r="F942" s="79"/>
      <c r="G942" s="79"/>
      <c r="I942" s="102"/>
    </row>
    <row r="943">
      <c r="A943" s="17"/>
      <c r="C943" s="79"/>
      <c r="D943" s="79"/>
      <c r="E943" s="79"/>
      <c r="F943" s="79"/>
      <c r="G943" s="79"/>
      <c r="I943" s="102"/>
    </row>
    <row r="944">
      <c r="A944" s="17"/>
      <c r="C944" s="79"/>
      <c r="D944" s="79"/>
      <c r="E944" s="79"/>
      <c r="F944" s="79"/>
      <c r="G944" s="79"/>
      <c r="I944" s="102"/>
    </row>
    <row r="945">
      <c r="A945" s="17"/>
      <c r="C945" s="79"/>
      <c r="D945" s="79"/>
      <c r="E945" s="79"/>
      <c r="F945" s="79"/>
      <c r="G945" s="79"/>
      <c r="I945" s="102"/>
    </row>
    <row r="946">
      <c r="A946" s="17"/>
      <c r="C946" s="79"/>
      <c r="D946" s="79"/>
      <c r="E946" s="79"/>
      <c r="F946" s="79"/>
      <c r="G946" s="79"/>
      <c r="I946" s="102"/>
    </row>
    <row r="947">
      <c r="A947" s="17"/>
      <c r="C947" s="79"/>
      <c r="D947" s="79"/>
      <c r="E947" s="79"/>
      <c r="F947" s="79"/>
      <c r="G947" s="79"/>
      <c r="I947" s="102"/>
    </row>
    <row r="948">
      <c r="A948" s="17"/>
      <c r="C948" s="79"/>
      <c r="D948" s="79"/>
      <c r="E948" s="79"/>
      <c r="F948" s="79"/>
      <c r="G948" s="79"/>
      <c r="I948" s="102"/>
    </row>
    <row r="949">
      <c r="A949" s="17"/>
      <c r="C949" s="79"/>
      <c r="D949" s="79"/>
      <c r="E949" s="79"/>
      <c r="F949" s="79"/>
      <c r="G949" s="79"/>
      <c r="I949" s="102"/>
    </row>
    <row r="950">
      <c r="A950" s="17"/>
      <c r="C950" s="79"/>
      <c r="D950" s="79"/>
      <c r="E950" s="79"/>
      <c r="F950" s="79"/>
      <c r="G950" s="79"/>
      <c r="I950" s="102"/>
    </row>
    <row r="951">
      <c r="A951" s="17"/>
      <c r="C951" s="79"/>
      <c r="D951" s="79"/>
      <c r="E951" s="79"/>
      <c r="F951" s="79"/>
      <c r="G951" s="79"/>
      <c r="I951" s="102"/>
    </row>
    <row r="952">
      <c r="A952" s="17"/>
      <c r="C952" s="79"/>
      <c r="D952" s="79"/>
      <c r="E952" s="79"/>
      <c r="F952" s="79"/>
      <c r="G952" s="79"/>
      <c r="I952" s="102"/>
    </row>
    <row r="953">
      <c r="A953" s="17"/>
      <c r="C953" s="79"/>
      <c r="D953" s="79"/>
      <c r="E953" s="79"/>
      <c r="F953" s="79"/>
      <c r="G953" s="79"/>
      <c r="I953" s="102"/>
    </row>
  </sheetData>
  <mergeCells count="26">
    <mergeCell ref="I2:I3"/>
    <mergeCell ref="J2:J3"/>
    <mergeCell ref="K2:M2"/>
    <mergeCell ref="N2:P2"/>
    <mergeCell ref="I7:I9"/>
    <mergeCell ref="I10:I11"/>
    <mergeCell ref="I12:I16"/>
    <mergeCell ref="I17:I19"/>
    <mergeCell ref="I20:I21"/>
    <mergeCell ref="I22:I24"/>
    <mergeCell ref="I25:I26"/>
    <mergeCell ref="I27:I29"/>
    <mergeCell ref="I30:I31"/>
    <mergeCell ref="I32:I34"/>
    <mergeCell ref="I64:I67"/>
    <mergeCell ref="I68:I70"/>
    <mergeCell ref="I71:I72"/>
    <mergeCell ref="I75:I77"/>
    <mergeCell ref="I78:I79"/>
    <mergeCell ref="I37:I38"/>
    <mergeCell ref="I42:I43"/>
    <mergeCell ref="I47:I49"/>
    <mergeCell ref="I50:I52"/>
    <mergeCell ref="I55:I56"/>
    <mergeCell ref="I57:I59"/>
    <mergeCell ref="I60:I61"/>
  </mergeCell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25"/>
    <col customWidth="1" min="2" max="2" width="3.88"/>
    <col customWidth="1" min="4" max="4" width="14.5"/>
    <col customWidth="1" min="7" max="7" width="31.63"/>
    <col customWidth="1" min="10" max="10" width="6.5"/>
    <col customWidth="1" min="11" max="11" width="5.0"/>
    <col customWidth="1" min="12" max="12" width="35.0"/>
  </cols>
  <sheetData>
    <row r="3">
      <c r="B3" s="132"/>
      <c r="C3" s="133"/>
      <c r="D3" s="133"/>
      <c r="E3" s="133"/>
      <c r="F3" s="133"/>
      <c r="G3" s="133"/>
      <c r="H3" s="133"/>
      <c r="I3" s="133"/>
      <c r="J3" s="133"/>
      <c r="K3" s="133"/>
      <c r="L3" s="134" t="s">
        <v>360</v>
      </c>
    </row>
    <row r="4">
      <c r="B4" s="135"/>
      <c r="L4" s="136" t="str">
        <f>callGemini("redacta una oracion explicando esta tabla: "&amp;CONCATENATE(C4:D8)&amp;"se brebe, solo responde sin comentarios adicionales")</f>
        <v>En 2022, R Matemática tuvo 500 estudiantes femeninos y 542 masculinos, sumando un total de 1042 estudiantes.
</v>
      </c>
    </row>
    <row r="5">
      <c r="B5" s="135"/>
      <c r="L5" s="137"/>
    </row>
    <row r="6">
      <c r="B6" s="135"/>
      <c r="L6" s="137"/>
    </row>
    <row r="7">
      <c r="B7" s="135"/>
      <c r="L7" s="137"/>
    </row>
    <row r="8">
      <c r="B8" s="135"/>
      <c r="L8" s="137"/>
    </row>
    <row r="9">
      <c r="B9" s="135"/>
      <c r="L9" s="137"/>
    </row>
    <row r="10">
      <c r="B10" s="135"/>
      <c r="L10" s="137"/>
    </row>
    <row r="11">
      <c r="B11" s="135"/>
      <c r="L11" s="137"/>
    </row>
    <row r="12">
      <c r="B12" s="135"/>
      <c r="L12" s="137"/>
    </row>
    <row r="13">
      <c r="B13" s="135"/>
      <c r="L13" s="137"/>
    </row>
    <row r="14">
      <c r="B14" s="135"/>
      <c r="L14" s="137"/>
    </row>
    <row r="15">
      <c r="B15" s="135"/>
      <c r="L15" s="137"/>
    </row>
    <row r="16">
      <c r="B16" s="135"/>
      <c r="L16" s="137"/>
    </row>
    <row r="17">
      <c r="B17" s="135"/>
      <c r="L17" s="137"/>
    </row>
    <row r="18">
      <c r="B18" s="138"/>
      <c r="C18" s="139"/>
      <c r="D18" s="139"/>
      <c r="E18" s="139"/>
      <c r="F18" s="139"/>
      <c r="G18" s="139"/>
      <c r="H18" s="139"/>
      <c r="I18" s="139"/>
      <c r="J18" s="139"/>
      <c r="K18" s="139"/>
      <c r="L18" s="140"/>
    </row>
    <row r="21">
      <c r="B21" s="132"/>
      <c r="C21" s="133"/>
      <c r="D21" s="133"/>
      <c r="E21" s="133"/>
      <c r="F21" s="133"/>
      <c r="G21" s="133"/>
      <c r="H21" s="133"/>
      <c r="I21" s="133"/>
      <c r="J21" s="133"/>
      <c r="K21" s="133"/>
      <c r="L21" s="134" t="s">
        <v>360</v>
      </c>
    </row>
    <row r="22">
      <c r="B22" s="135"/>
      <c r="L22" s="136" t="str">
        <f>callGemini("redacta una oracion explicando esta tabla: "&amp;CONCATENATE(C22:D30)&amp;"se brebe, solo responde sin comentarios adicionales")</f>
        <v>La tabla muestra el conteo de estudiantes por grado y año en R Matemática, sumando un total de 1042 estudiantes.
</v>
      </c>
    </row>
    <row r="23">
      <c r="B23" s="135"/>
      <c r="L23" s="137"/>
    </row>
    <row r="24">
      <c r="B24" s="135"/>
      <c r="L24" s="137"/>
    </row>
    <row r="25">
      <c r="B25" s="135"/>
      <c r="L25" s="137"/>
    </row>
    <row r="26">
      <c r="B26" s="135"/>
      <c r="L26" s="137"/>
    </row>
    <row r="27">
      <c r="B27" s="135"/>
      <c r="L27" s="137"/>
    </row>
    <row r="28">
      <c r="B28" s="135"/>
      <c r="L28" s="137"/>
    </row>
    <row r="29">
      <c r="B29" s="135"/>
      <c r="L29" s="137"/>
    </row>
    <row r="30">
      <c r="B30" s="135"/>
      <c r="L30" s="137"/>
    </row>
    <row r="31">
      <c r="B31" s="135"/>
      <c r="L31" s="137"/>
    </row>
    <row r="32">
      <c r="B32" s="135"/>
      <c r="L32" s="137"/>
    </row>
    <row r="33">
      <c r="B33" s="135"/>
      <c r="L33" s="137"/>
    </row>
    <row r="34">
      <c r="B34" s="135"/>
      <c r="L34" s="137"/>
    </row>
    <row r="35">
      <c r="B35" s="135"/>
      <c r="L35" s="137"/>
    </row>
    <row r="36">
      <c r="B36" s="135"/>
      <c r="L36" s="137"/>
    </row>
    <row r="37">
      <c r="B37" s="135"/>
      <c r="L37" s="137"/>
    </row>
    <row r="38">
      <c r="B38" s="135"/>
      <c r="L38" s="137"/>
    </row>
    <row r="39">
      <c r="B39" s="138"/>
      <c r="C39" s="139"/>
      <c r="D39" s="139"/>
      <c r="E39" s="139"/>
      <c r="F39" s="139"/>
      <c r="G39" s="139"/>
      <c r="H39" s="139"/>
      <c r="I39" s="139"/>
      <c r="J39" s="139"/>
      <c r="K39" s="139"/>
      <c r="L39" s="140"/>
    </row>
    <row r="42">
      <c r="B42" s="132"/>
      <c r="C42" s="133"/>
      <c r="D42" s="133"/>
      <c r="E42" s="133"/>
      <c r="F42" s="133"/>
      <c r="G42" s="133"/>
      <c r="H42" s="133"/>
      <c r="I42" s="133"/>
      <c r="J42" s="133"/>
      <c r="K42" s="133"/>
      <c r="L42" s="134" t="s">
        <v>360</v>
      </c>
    </row>
    <row r="43">
      <c r="B43" s="135"/>
      <c r="L43" s="136" t="str">
        <f>callGemini("redacta una oracion explicando la respuesta de los estudiantes a la pregunta:: "&amp;CONCATENATE(C43:D51)&amp;"se brebe, solo responde sin comentarios adicionales, agrega datos de la tabla en la respuesta.")</f>
        <v>No se recibió una respuesta válida.</v>
      </c>
    </row>
    <row r="44">
      <c r="B44" s="135"/>
      <c r="L44" s="137"/>
    </row>
    <row r="45">
      <c r="B45" s="135"/>
      <c r="L45" s="137"/>
    </row>
    <row r="46">
      <c r="B46" s="135"/>
      <c r="L46" s="137"/>
    </row>
    <row r="47">
      <c r="B47" s="135"/>
      <c r="L47" s="137"/>
    </row>
    <row r="48">
      <c r="B48" s="135"/>
      <c r="L48" s="137"/>
    </row>
    <row r="49">
      <c r="B49" s="135"/>
      <c r="L49" s="137"/>
    </row>
    <row r="50">
      <c r="B50" s="135"/>
      <c r="L50" s="137"/>
    </row>
    <row r="51">
      <c r="B51" s="135"/>
      <c r="L51" s="137"/>
    </row>
    <row r="52">
      <c r="B52" s="135"/>
      <c r="L52" s="137"/>
    </row>
    <row r="53">
      <c r="B53" s="135"/>
      <c r="L53" s="137"/>
    </row>
    <row r="54">
      <c r="B54" s="135"/>
      <c r="L54" s="137"/>
    </row>
    <row r="55">
      <c r="B55" s="135"/>
      <c r="L55" s="137"/>
    </row>
    <row r="56">
      <c r="B56" s="135"/>
      <c r="L56" s="137"/>
    </row>
    <row r="57">
      <c r="B57" s="135"/>
      <c r="L57" s="137"/>
    </row>
    <row r="58">
      <c r="B58" s="135"/>
      <c r="L58" s="137"/>
    </row>
    <row r="59">
      <c r="B59" s="135"/>
      <c r="L59" s="137"/>
    </row>
    <row r="60">
      <c r="B60" s="135"/>
      <c r="L60" s="137"/>
    </row>
    <row r="61">
      <c r="B61" s="138"/>
      <c r="C61" s="139"/>
      <c r="D61" s="139"/>
      <c r="E61" s="139"/>
      <c r="F61" s="139"/>
      <c r="G61" s="139"/>
      <c r="H61" s="139"/>
      <c r="I61" s="139"/>
      <c r="J61" s="139"/>
      <c r="K61" s="139"/>
      <c r="L61" s="140"/>
    </row>
  </sheetData>
  <mergeCells count="3">
    <mergeCell ref="L4:L18"/>
    <mergeCell ref="L22:L39"/>
    <mergeCell ref="L43:L61"/>
  </mergeCells>
  <printOptions gridLines="1" horizontalCentered="1"/>
  <pageMargins bottom="0.75" footer="0.0" header="0.0" left="0.7" right="0.7" top="0.75"/>
  <pageSetup fitToHeight="0" paperSize="9" cellComments="atEnd" orientation="landscape" pageOrder="overThenDown"/>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75"/>
    <col customWidth="1" min="2" max="2" width="2.0"/>
    <col customWidth="1" min="3" max="3" width="18.88"/>
    <col customWidth="1" min="4" max="6" width="13.63"/>
    <col customWidth="1" min="12" max="12" width="7.63"/>
    <col customWidth="1" min="13" max="13" width="3.0"/>
    <col customWidth="1" min="14" max="14" width="37.0"/>
  </cols>
  <sheetData>
    <row r="2">
      <c r="C2" s="77" t="s">
        <v>362</v>
      </c>
    </row>
    <row r="4">
      <c r="B4" s="141"/>
      <c r="C4" s="142"/>
      <c r="D4" s="142"/>
      <c r="E4" s="142"/>
      <c r="F4" s="142"/>
      <c r="G4" s="142"/>
      <c r="H4" s="142"/>
      <c r="I4" s="142"/>
      <c r="J4" s="142"/>
      <c r="K4" s="142"/>
      <c r="L4" s="142"/>
      <c r="M4" s="142"/>
      <c r="N4" s="143" t="s">
        <v>360</v>
      </c>
    </row>
    <row r="5">
      <c r="B5" s="144"/>
      <c r="C5" s="145" t="s">
        <v>363</v>
      </c>
      <c r="D5" s="146"/>
      <c r="E5" s="146"/>
      <c r="N5" s="147" t="str">
        <f>callGEMINI("Analiza los datos proporcionados, que muestran los niveles de logro en "&amp;C2&amp;" de los estudiantes en las redes rurales Fe y Alegría en los años 2024, 2023 y 2022.  
### **Instrucciones de análisis:**  
1. **Descripción de la situación actual (2024):**  
   - Explica el estado de los niveles de logro en Matemática en 2024.  
   - E"&amp;"nfócate en la categoría 'Logro esperado' y destaca su porcentaje.  
   - Cuando se trarta de comparar la movilización de estudaintes enfócate en comparar el año 2024 con el año 2022 ya que el 2022 es la linea base, menciona linea base (2022) en tu redacci"&amp;"ón para generar mayor contexto.  
2. **Comparación con años anteriores:**  
   - Calcula el cambio porcentual de 'Logro esperado' comparado con 2023 y 2022.  
   - Destaca la **movilización de estudiantes** desde el nivel 'Inicio' hacia 'Proceso'.  
   -"&amp;" Usa la fórmula: **(Porcentaje de 2024) - (Porcentaje del año anterior)** para obtener los cambios.  
   - Redondea los valores porcentuales a **números enteros (sin decimales)**.  
3. **Estructura de la respuesta:**  
   - Usa una narrativa clara y dire"&amp;"cta, similar al siguiente **EJEMPLO:**  
   *Ejemplo:*  
   *En el año 2024, los niveles de logro de los estudiantes en Matemática en todas las redes Rurales Fe y Alegria muestran que un 42% alcanzó el nivel de Satisfactorio. Este valor representa un aum"&amp;"ento de 5 puntos porcentuales en comparación con 2023 y un aumento de 7 puntos porcentuales respecto a 2022.*  
   *Además, para el 2024 se observa una movilización positiva de estudiantes desde el nivel 'Inicio' hacia 'Proceso', con una reducción del 15%"&amp;" en 'Inicio' comparado con la linea base (2022) y un aumento del 12% en 'Proceso' comparado con la linea base, lo que indica que más estudiantes están avanzando en sus aprendizajes.*  
4. **Formato de salida:**  
   - **Analisis redactado en texto plano,"&amp;" sin información adicional ni comentarios.**  
   - **Los valores porcentuales deben estar redondeados a números enteros (ejemplo: 62%).**
   - **En tu redacción usa comillas dobles no comillas simples cuando menciones algun nivel de logro.**  
Los dato"&amp;"s a analizar están en el siguiente JSON: " &amp; crearJSONdesdeTabla(C12:F15,0))</f>
        <v>En el año 2024, los niveles de logro de los estudiantes en Matemática en todas las redes Rurales Fe y Alegria muestran que un 4% alcanzó el nivel de "Satisfactorio". Este valor representa un aumento de 1 punto porcentual en comparación con 2023 y un aumento de 3 puntos porcentuales respecto a la linea base (2022).
Además, para el 2024 se observa una movilización positiva de estudiantes desde el nivel "Inicio" hacia "Proceso", con una reducción del 30% en "Inicio" comparado con la linea base (2022) y un aumento del 26% en "Proceso" comparado con la linea base, lo que indica que más estudiantes están avanzando en sus aprendizajes.
</v>
      </c>
    </row>
    <row r="6">
      <c r="B6" s="144"/>
      <c r="C6" s="148" t="s">
        <v>364</v>
      </c>
      <c r="D6" s="149" t="s">
        <v>365</v>
      </c>
      <c r="E6" s="150"/>
      <c r="F6" s="77" t="str">
        <f t="shared" ref="F6:F8" si="1">IF(D6="*","Todos","")</f>
        <v>Todos</v>
      </c>
      <c r="I6" s="151"/>
      <c r="J6" s="151"/>
      <c r="K6" s="151"/>
      <c r="L6" s="151"/>
      <c r="M6" s="151"/>
      <c r="N6" s="152"/>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1"/>
      <c r="BU6" s="151"/>
      <c r="BV6" s="151"/>
      <c r="BW6" s="151"/>
      <c r="BX6" s="151"/>
      <c r="BY6" s="151"/>
      <c r="BZ6" s="151"/>
      <c r="CA6" s="151"/>
      <c r="CB6" s="151"/>
      <c r="CC6" s="151"/>
      <c r="CD6" s="151"/>
      <c r="CE6" s="151"/>
      <c r="CF6" s="151"/>
      <c r="CG6" s="151"/>
      <c r="CH6" s="151"/>
      <c r="CI6" s="151"/>
      <c r="CJ6" s="151"/>
      <c r="CK6" s="151"/>
      <c r="CL6" s="151"/>
      <c r="CM6" s="151"/>
      <c r="CN6" s="151"/>
      <c r="CO6" s="151"/>
      <c r="CP6" s="151"/>
      <c r="CQ6" s="151"/>
      <c r="CR6" s="151"/>
      <c r="CS6" s="151"/>
      <c r="CT6" s="151"/>
      <c r="CU6" s="151"/>
      <c r="CV6" s="151"/>
      <c r="CW6" s="151"/>
      <c r="CX6" s="151"/>
      <c r="CY6" s="151"/>
      <c r="CZ6" s="151"/>
      <c r="DA6" s="151"/>
      <c r="DB6" s="151"/>
      <c r="DC6" s="151"/>
      <c r="DD6" s="151"/>
      <c r="DE6" s="151"/>
      <c r="DF6" s="151"/>
      <c r="DG6" s="151"/>
      <c r="DH6" s="151"/>
      <c r="DI6" s="151"/>
      <c r="DJ6" s="151"/>
      <c r="DK6" s="151"/>
      <c r="DL6" s="151"/>
      <c r="DM6" s="151"/>
      <c r="DN6" s="151"/>
      <c r="DO6" s="151"/>
      <c r="DP6" s="151"/>
      <c r="DQ6" s="151"/>
      <c r="DR6" s="151"/>
      <c r="DS6" s="151"/>
      <c r="DT6" s="151"/>
      <c r="DU6" s="151"/>
      <c r="DV6" s="151"/>
      <c r="DW6" s="151"/>
      <c r="DX6" s="151"/>
      <c r="DY6" s="151"/>
      <c r="DZ6" s="151"/>
      <c r="EA6" s="151"/>
      <c r="EB6" s="151"/>
      <c r="EC6" s="151"/>
      <c r="ED6" s="151"/>
      <c r="EE6" s="151"/>
      <c r="EF6" s="151"/>
      <c r="EG6" s="151"/>
      <c r="EH6" s="151"/>
      <c r="EI6" s="151"/>
      <c r="EJ6" s="151"/>
      <c r="EK6" s="151"/>
      <c r="EL6" s="151"/>
      <c r="EM6" s="151"/>
      <c r="EN6" s="151"/>
      <c r="EO6" s="151"/>
      <c r="EP6" s="151"/>
      <c r="EQ6" s="151"/>
      <c r="ER6" s="151"/>
      <c r="ES6" s="151"/>
      <c r="ET6" s="151"/>
      <c r="EU6" s="151"/>
      <c r="EV6" s="151"/>
      <c r="EW6" s="151"/>
      <c r="EX6" s="151"/>
      <c r="EY6" s="151"/>
      <c r="EZ6" s="151"/>
      <c r="FA6" s="151"/>
      <c r="FB6" s="151"/>
      <c r="FC6" s="151"/>
      <c r="FD6" s="151"/>
      <c r="FE6" s="151"/>
      <c r="FF6" s="151"/>
      <c r="FG6" s="151"/>
      <c r="FH6" s="151"/>
      <c r="FI6" s="151"/>
      <c r="FJ6" s="151"/>
      <c r="FK6" s="151"/>
      <c r="FL6" s="151"/>
      <c r="FM6" s="151"/>
      <c r="FN6" s="151"/>
      <c r="FO6" s="151"/>
      <c r="FP6" s="151"/>
      <c r="FQ6" s="151"/>
      <c r="FR6" s="151"/>
      <c r="FS6" s="151"/>
      <c r="FT6" s="151"/>
      <c r="FU6" s="151"/>
      <c r="FV6" s="151"/>
      <c r="FW6" s="151"/>
      <c r="FX6" s="151"/>
      <c r="FY6" s="151"/>
      <c r="FZ6" s="151"/>
      <c r="GA6" s="151"/>
      <c r="GB6" s="151"/>
      <c r="GC6" s="151"/>
      <c r="GD6" s="151"/>
      <c r="GE6" s="151"/>
      <c r="GF6" s="151"/>
      <c r="GG6" s="151"/>
      <c r="GH6" s="151"/>
      <c r="GI6" s="151"/>
      <c r="GJ6" s="151"/>
      <c r="GK6" s="151"/>
      <c r="GL6" s="151"/>
      <c r="GM6" s="151"/>
      <c r="GN6" s="151"/>
      <c r="GO6" s="151"/>
      <c r="GP6" s="151"/>
      <c r="GQ6" s="151"/>
      <c r="GR6" s="151"/>
      <c r="GS6" s="151"/>
      <c r="GT6" s="151"/>
      <c r="GU6" s="151"/>
      <c r="GV6" s="151"/>
      <c r="GW6" s="151"/>
      <c r="GX6" s="151"/>
      <c r="GY6" s="151"/>
      <c r="GZ6" s="151"/>
      <c r="HA6" s="151"/>
      <c r="HB6" s="151"/>
      <c r="HC6" s="151"/>
      <c r="HD6" s="151"/>
      <c r="HE6" s="151"/>
      <c r="HF6" s="151"/>
      <c r="HG6" s="151"/>
      <c r="HH6" s="151"/>
      <c r="HI6" s="151"/>
      <c r="HJ6" s="151"/>
      <c r="HK6" s="151"/>
      <c r="HL6" s="151"/>
      <c r="HM6" s="151"/>
      <c r="HN6" s="151"/>
      <c r="HO6" s="151"/>
      <c r="HP6" s="151"/>
      <c r="HQ6" s="151"/>
      <c r="HR6" s="151"/>
      <c r="HS6" s="151"/>
    </row>
    <row r="7">
      <c r="B7" s="144"/>
      <c r="C7" s="148" t="s">
        <v>366</v>
      </c>
      <c r="D7" s="149" t="s">
        <v>365</v>
      </c>
      <c r="E7" s="150"/>
      <c r="F7" s="77" t="str">
        <f t="shared" si="1"/>
        <v>Todos</v>
      </c>
      <c r="I7" s="153"/>
      <c r="J7" s="153"/>
      <c r="K7" s="153"/>
      <c r="L7" s="153"/>
      <c r="N7" s="152"/>
    </row>
    <row r="8">
      <c r="B8" s="144"/>
      <c r="C8" s="148" t="s">
        <v>6</v>
      </c>
      <c r="D8" s="149" t="s">
        <v>365</v>
      </c>
      <c r="E8" s="150"/>
      <c r="F8" s="77" t="str">
        <f t="shared" si="1"/>
        <v>Todos</v>
      </c>
      <c r="I8" s="151"/>
      <c r="J8" s="151"/>
      <c r="K8" s="151"/>
      <c r="L8" s="151"/>
      <c r="M8" s="151"/>
      <c r="N8" s="152"/>
      <c r="O8" s="151"/>
      <c r="P8" s="151"/>
      <c r="Q8" s="151"/>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c r="BC8" s="151"/>
      <c r="BD8" s="151"/>
      <c r="BE8" s="151"/>
      <c r="BF8" s="151"/>
      <c r="BG8" s="151"/>
      <c r="BH8" s="151"/>
      <c r="BI8" s="151"/>
      <c r="BJ8" s="151"/>
      <c r="BK8" s="151"/>
      <c r="BL8" s="151"/>
      <c r="BM8" s="151"/>
      <c r="BN8" s="151"/>
      <c r="BO8" s="151"/>
      <c r="BP8" s="151"/>
      <c r="BQ8" s="151"/>
      <c r="BR8" s="151"/>
      <c r="BS8" s="151"/>
      <c r="BT8" s="151"/>
      <c r="BU8" s="151"/>
      <c r="BV8" s="151"/>
      <c r="BW8" s="151"/>
      <c r="BX8" s="151"/>
      <c r="BY8" s="151"/>
      <c r="BZ8" s="151"/>
      <c r="CA8" s="151"/>
      <c r="CB8" s="151"/>
      <c r="CC8" s="151"/>
      <c r="CD8" s="151"/>
      <c r="CE8" s="151"/>
      <c r="CF8" s="151"/>
      <c r="CG8" s="151"/>
      <c r="CH8" s="151"/>
      <c r="CI8" s="151"/>
      <c r="CJ8" s="151"/>
      <c r="CK8" s="151"/>
      <c r="CL8" s="151"/>
      <c r="CM8" s="151"/>
      <c r="CN8" s="151"/>
      <c r="CO8" s="151"/>
      <c r="CP8" s="151"/>
      <c r="CQ8" s="151"/>
      <c r="CR8" s="151"/>
      <c r="CS8" s="151"/>
      <c r="CT8" s="151"/>
      <c r="CU8" s="151"/>
      <c r="CV8" s="151"/>
      <c r="CW8" s="151"/>
      <c r="CX8" s="151"/>
      <c r="CY8" s="151"/>
      <c r="CZ8" s="151"/>
      <c r="DA8" s="151"/>
      <c r="DB8" s="151"/>
      <c r="DC8" s="151"/>
      <c r="DD8" s="151"/>
      <c r="DE8" s="151"/>
      <c r="DF8" s="151"/>
      <c r="DG8" s="151"/>
      <c r="DH8" s="151"/>
      <c r="DI8" s="151"/>
      <c r="DJ8" s="151"/>
      <c r="DK8" s="151"/>
      <c r="DL8" s="151"/>
      <c r="DM8" s="151"/>
      <c r="DN8" s="151"/>
      <c r="DO8" s="151"/>
      <c r="DP8" s="151"/>
      <c r="DQ8" s="151"/>
      <c r="DR8" s="151"/>
      <c r="DS8" s="151"/>
      <c r="DT8" s="151"/>
      <c r="DU8" s="151"/>
      <c r="DV8" s="151"/>
      <c r="DW8" s="151"/>
      <c r="DX8" s="151"/>
      <c r="DY8" s="151"/>
      <c r="DZ8" s="151"/>
      <c r="EA8" s="151"/>
      <c r="EB8" s="151"/>
      <c r="EC8" s="151"/>
      <c r="ED8" s="151"/>
      <c r="EE8" s="151"/>
      <c r="EF8" s="151"/>
      <c r="EG8" s="151"/>
      <c r="EH8" s="151"/>
      <c r="EI8" s="151"/>
      <c r="EJ8" s="151"/>
      <c r="EK8" s="151"/>
      <c r="EL8" s="151"/>
      <c r="EM8" s="151"/>
      <c r="EN8" s="151"/>
      <c r="EO8" s="151"/>
      <c r="EP8" s="151"/>
      <c r="EQ8" s="151"/>
      <c r="ER8" s="151"/>
      <c r="ES8" s="151"/>
      <c r="ET8" s="151"/>
      <c r="EU8" s="151"/>
      <c r="EV8" s="151"/>
      <c r="EW8" s="151"/>
      <c r="EX8" s="151"/>
      <c r="EY8" s="151"/>
      <c r="EZ8" s="151"/>
      <c r="FA8" s="151"/>
      <c r="FB8" s="151"/>
      <c r="FC8" s="151"/>
      <c r="FD8" s="151"/>
      <c r="FE8" s="151"/>
      <c r="FF8" s="151"/>
      <c r="FG8" s="151"/>
      <c r="FH8" s="151"/>
      <c r="FI8" s="151"/>
      <c r="FJ8" s="151"/>
      <c r="FK8" s="151"/>
      <c r="FL8" s="151"/>
      <c r="FM8" s="151"/>
      <c r="FN8" s="151"/>
      <c r="FO8" s="151"/>
      <c r="FP8" s="151"/>
      <c r="FQ8" s="151"/>
      <c r="FR8" s="151"/>
      <c r="FS8" s="151"/>
      <c r="FT8" s="151"/>
      <c r="FU8" s="151"/>
      <c r="FV8" s="151"/>
      <c r="FW8" s="151"/>
      <c r="FX8" s="151"/>
      <c r="FY8" s="151"/>
      <c r="FZ8" s="151"/>
      <c r="GA8" s="151"/>
      <c r="GB8" s="151"/>
      <c r="GC8" s="151"/>
      <c r="GD8" s="151"/>
      <c r="GE8" s="151"/>
      <c r="GF8" s="151"/>
      <c r="GG8" s="151"/>
      <c r="GH8" s="151"/>
      <c r="GI8" s="151"/>
      <c r="GJ8" s="151"/>
      <c r="GK8" s="151"/>
      <c r="GL8" s="151"/>
      <c r="GM8" s="151"/>
      <c r="GN8" s="151"/>
      <c r="GO8" s="151"/>
      <c r="GP8" s="151"/>
      <c r="GQ8" s="151"/>
      <c r="GR8" s="151"/>
      <c r="GS8" s="151"/>
      <c r="GT8" s="151"/>
      <c r="GU8" s="151"/>
      <c r="GV8" s="151"/>
      <c r="GW8" s="151"/>
      <c r="GX8" s="151"/>
      <c r="GY8" s="151"/>
      <c r="GZ8" s="151"/>
      <c r="HA8" s="151"/>
      <c r="HB8" s="151"/>
      <c r="HC8" s="151"/>
      <c r="HD8" s="151"/>
      <c r="HE8" s="151"/>
      <c r="HF8" s="151"/>
      <c r="HG8" s="151"/>
      <c r="HH8" s="151"/>
      <c r="HI8" s="151"/>
      <c r="HJ8" s="151"/>
      <c r="HK8" s="151"/>
      <c r="HL8" s="151"/>
      <c r="HM8" s="151"/>
      <c r="HN8" s="151"/>
      <c r="HO8" s="151"/>
      <c r="HP8" s="151"/>
      <c r="HQ8" s="151"/>
      <c r="HR8" s="151"/>
      <c r="HS8" s="151"/>
    </row>
    <row r="9">
      <c r="B9" s="144"/>
      <c r="I9" s="151"/>
      <c r="J9" s="151"/>
      <c r="K9" s="151"/>
      <c r="L9" s="151"/>
      <c r="M9" s="151"/>
      <c r="N9" s="152"/>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c r="BB9" s="151"/>
      <c r="BC9" s="151"/>
      <c r="BD9" s="151"/>
      <c r="BE9" s="151"/>
      <c r="BF9" s="151"/>
      <c r="BG9" s="151"/>
      <c r="BH9" s="151"/>
      <c r="BI9" s="151"/>
      <c r="BJ9" s="151"/>
      <c r="BK9" s="151"/>
      <c r="BL9" s="151"/>
      <c r="BM9" s="151"/>
      <c r="BN9" s="151"/>
      <c r="BO9" s="151"/>
      <c r="BP9" s="151"/>
      <c r="BQ9" s="151"/>
      <c r="BR9" s="151"/>
      <c r="BS9" s="151"/>
      <c r="BT9" s="151"/>
      <c r="BU9" s="151"/>
      <c r="BV9" s="151"/>
      <c r="BW9" s="151"/>
      <c r="BX9" s="151"/>
      <c r="BY9" s="151"/>
      <c r="BZ9" s="151"/>
      <c r="CA9" s="151"/>
      <c r="CB9" s="151"/>
      <c r="CC9" s="151"/>
      <c r="CD9" s="151"/>
      <c r="CE9" s="151"/>
      <c r="CF9" s="151"/>
      <c r="CG9" s="151"/>
      <c r="CH9" s="151"/>
      <c r="CI9" s="151"/>
      <c r="CJ9" s="151"/>
      <c r="CK9" s="151"/>
      <c r="CL9" s="151"/>
      <c r="CM9" s="151"/>
      <c r="CN9" s="151"/>
      <c r="CO9" s="151"/>
      <c r="CP9" s="151"/>
      <c r="CQ9" s="151"/>
      <c r="CR9" s="151"/>
      <c r="CS9" s="151"/>
      <c r="CT9" s="151"/>
      <c r="CU9" s="151"/>
      <c r="CV9" s="151"/>
      <c r="CW9" s="151"/>
      <c r="CX9" s="151"/>
      <c r="CY9" s="151"/>
      <c r="CZ9" s="151"/>
      <c r="DA9" s="151"/>
      <c r="DB9" s="151"/>
      <c r="DC9" s="151"/>
      <c r="DD9" s="151"/>
      <c r="DE9" s="151"/>
      <c r="DF9" s="151"/>
      <c r="DG9" s="151"/>
      <c r="DH9" s="151"/>
      <c r="DI9" s="151"/>
      <c r="DJ9" s="151"/>
      <c r="DK9" s="151"/>
      <c r="DL9" s="151"/>
      <c r="DM9" s="151"/>
      <c r="DN9" s="151"/>
      <c r="DO9" s="151"/>
      <c r="DP9" s="151"/>
      <c r="DQ9" s="151"/>
      <c r="DR9" s="151"/>
      <c r="DS9" s="151"/>
      <c r="DT9" s="151"/>
      <c r="DU9" s="151"/>
      <c r="DV9" s="151"/>
      <c r="DW9" s="151"/>
      <c r="DX9" s="151"/>
      <c r="DY9" s="151"/>
      <c r="DZ9" s="151"/>
      <c r="EA9" s="151"/>
      <c r="EB9" s="151"/>
      <c r="EC9" s="151"/>
      <c r="ED9" s="151"/>
      <c r="EE9" s="151"/>
      <c r="EF9" s="151"/>
      <c r="EG9" s="151"/>
      <c r="EH9" s="151"/>
      <c r="EI9" s="151"/>
      <c r="EJ9" s="151"/>
      <c r="EK9" s="151"/>
      <c r="EL9" s="151"/>
      <c r="EM9" s="151"/>
      <c r="EN9" s="151"/>
      <c r="EO9" s="151"/>
      <c r="EP9" s="151"/>
      <c r="EQ9" s="151"/>
      <c r="ER9" s="151"/>
      <c r="ES9" s="151"/>
      <c r="ET9" s="151"/>
      <c r="EU9" s="151"/>
      <c r="EV9" s="151"/>
      <c r="EW9" s="151"/>
      <c r="EX9" s="151"/>
      <c r="EY9" s="151"/>
      <c r="EZ9" s="151"/>
      <c r="FA9" s="151"/>
      <c r="FB9" s="151"/>
      <c r="FC9" s="151"/>
      <c r="FD9" s="151"/>
      <c r="FE9" s="151"/>
      <c r="FF9" s="151"/>
      <c r="FG9" s="151"/>
      <c r="FH9" s="151"/>
      <c r="FI9" s="151"/>
      <c r="FJ9" s="151"/>
      <c r="FK9" s="151"/>
      <c r="FL9" s="151"/>
      <c r="FM9" s="151"/>
      <c r="FN9" s="151"/>
      <c r="FO9" s="151"/>
      <c r="FP9" s="151"/>
      <c r="FQ9" s="151"/>
      <c r="FR9" s="151"/>
      <c r="FS9" s="151"/>
      <c r="FT9" s="151"/>
      <c r="FU9" s="151"/>
      <c r="FV9" s="151"/>
      <c r="FW9" s="151"/>
      <c r="FX9" s="151"/>
      <c r="FY9" s="151"/>
      <c r="FZ9" s="151"/>
      <c r="GA9" s="151"/>
      <c r="GB9" s="151"/>
      <c r="GC9" s="151"/>
      <c r="GD9" s="151"/>
      <c r="GE9" s="151"/>
      <c r="GF9" s="151"/>
      <c r="GG9" s="151"/>
      <c r="GH9" s="151"/>
      <c r="GI9" s="151"/>
      <c r="GJ9" s="151"/>
      <c r="GK9" s="151"/>
      <c r="GL9" s="151"/>
      <c r="GM9" s="151"/>
      <c r="GN9" s="151"/>
      <c r="GO9" s="151"/>
      <c r="GP9" s="151"/>
      <c r="GQ9" s="151"/>
      <c r="GR9" s="151"/>
      <c r="GS9" s="151"/>
      <c r="GT9" s="151"/>
      <c r="GU9" s="151"/>
      <c r="GV9" s="151"/>
      <c r="GW9" s="151"/>
      <c r="GX9" s="151"/>
      <c r="GY9" s="151"/>
      <c r="GZ9" s="151"/>
      <c r="HA9" s="151"/>
      <c r="HB9" s="151"/>
      <c r="HC9" s="151"/>
      <c r="HD9" s="151"/>
      <c r="HE9" s="151"/>
      <c r="HF9" s="151"/>
      <c r="HG9" s="151"/>
      <c r="HH9" s="151"/>
      <c r="HI9" s="151"/>
      <c r="HJ9" s="151"/>
      <c r="HK9" s="151"/>
      <c r="HL9" s="151"/>
      <c r="HM9" s="151"/>
      <c r="HN9" s="151"/>
      <c r="HO9" s="151"/>
      <c r="HP9" s="151"/>
      <c r="HQ9" s="151"/>
      <c r="HR9" s="151"/>
      <c r="HS9" s="151"/>
    </row>
    <row r="10">
      <c r="B10" s="144"/>
      <c r="I10" s="151"/>
      <c r="J10" s="151"/>
      <c r="K10" s="151"/>
      <c r="N10" s="152"/>
    </row>
    <row r="11">
      <c r="B11" s="144"/>
      <c r="C11" s="154" t="s">
        <v>367</v>
      </c>
      <c r="D11" s="155"/>
      <c r="E11" s="155"/>
      <c r="F11" s="155"/>
      <c r="I11" s="151"/>
      <c r="J11" s="151"/>
      <c r="K11" s="151"/>
      <c r="N11" s="152"/>
    </row>
    <row r="12">
      <c r="B12" s="144"/>
      <c r="C12" s="156" t="s">
        <v>368</v>
      </c>
      <c r="D12" s="157">
        <v>2022.0</v>
      </c>
      <c r="E12" s="157">
        <v>2023.0</v>
      </c>
      <c r="F12" s="157">
        <v>2024.0</v>
      </c>
      <c r="I12" s="151"/>
      <c r="J12" s="151"/>
      <c r="K12" s="151"/>
      <c r="L12" s="151"/>
      <c r="M12" s="151"/>
      <c r="N12" s="152"/>
      <c r="O12" s="151"/>
      <c r="P12" s="151"/>
      <c r="Q12" s="151"/>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151"/>
      <c r="AU12" s="151"/>
      <c r="AV12" s="151"/>
      <c r="AW12" s="151"/>
      <c r="AX12" s="151"/>
      <c r="AY12" s="151"/>
      <c r="AZ12" s="151"/>
      <c r="BA12" s="151"/>
      <c r="BB12" s="151"/>
      <c r="BC12" s="151"/>
      <c r="BD12" s="151"/>
      <c r="BE12" s="151"/>
      <c r="BF12" s="151"/>
      <c r="BG12" s="151"/>
      <c r="BH12" s="151"/>
      <c r="BI12" s="151"/>
      <c r="BJ12" s="151"/>
      <c r="BK12" s="151"/>
      <c r="BL12" s="151"/>
      <c r="BM12" s="151"/>
      <c r="BN12" s="151"/>
      <c r="BO12" s="151"/>
      <c r="BP12" s="151"/>
      <c r="BQ12" s="151"/>
      <c r="BR12" s="151"/>
      <c r="BS12" s="151"/>
      <c r="BT12" s="151"/>
      <c r="BU12" s="151"/>
      <c r="BV12" s="151"/>
      <c r="BW12" s="151"/>
      <c r="BX12" s="151"/>
      <c r="BY12" s="151"/>
      <c r="BZ12" s="151"/>
      <c r="CA12" s="151"/>
      <c r="CB12" s="151"/>
      <c r="CC12" s="151"/>
      <c r="CD12" s="151"/>
      <c r="CE12" s="151"/>
      <c r="CF12" s="151"/>
      <c r="CG12" s="151"/>
      <c r="CH12" s="151"/>
      <c r="CI12" s="151"/>
      <c r="CJ12" s="151"/>
      <c r="CK12" s="151"/>
      <c r="CL12" s="151"/>
      <c r="CM12" s="151"/>
      <c r="CN12" s="151"/>
      <c r="CO12" s="151"/>
      <c r="CP12" s="151"/>
      <c r="CQ12" s="151"/>
      <c r="CR12" s="151"/>
      <c r="CS12" s="151"/>
      <c r="CT12" s="151"/>
      <c r="CU12" s="151"/>
      <c r="CV12" s="151"/>
      <c r="CW12" s="151"/>
      <c r="CX12" s="151"/>
      <c r="CY12" s="151"/>
      <c r="CZ12" s="151"/>
      <c r="DA12" s="151"/>
      <c r="DB12" s="151"/>
      <c r="DC12" s="151"/>
      <c r="DD12" s="151"/>
      <c r="DE12" s="151"/>
      <c r="DF12" s="151"/>
      <c r="DG12" s="151"/>
      <c r="DH12" s="151"/>
      <c r="DI12" s="151"/>
      <c r="DJ12" s="151"/>
      <c r="DK12" s="151"/>
      <c r="DL12" s="151"/>
      <c r="DM12" s="151"/>
      <c r="DN12" s="151"/>
      <c r="DO12" s="151"/>
      <c r="DP12" s="151"/>
      <c r="DQ12" s="151"/>
      <c r="DR12" s="151"/>
      <c r="DS12" s="151"/>
      <c r="DT12" s="151"/>
      <c r="DU12" s="151"/>
      <c r="DV12" s="151"/>
      <c r="DW12" s="151"/>
      <c r="DX12" s="151"/>
      <c r="DY12" s="151"/>
      <c r="DZ12" s="151"/>
      <c r="EA12" s="151"/>
      <c r="EB12" s="151"/>
      <c r="EC12" s="151"/>
      <c r="ED12" s="151"/>
      <c r="EE12" s="151"/>
      <c r="EF12" s="151"/>
      <c r="EG12" s="151"/>
      <c r="EH12" s="151"/>
      <c r="EI12" s="151"/>
      <c r="EJ12" s="151"/>
      <c r="EK12" s="151"/>
      <c r="EL12" s="151"/>
      <c r="EM12" s="151"/>
      <c r="EN12" s="151"/>
      <c r="EO12" s="151"/>
      <c r="EP12" s="151"/>
      <c r="EQ12" s="151"/>
      <c r="ER12" s="151"/>
      <c r="ES12" s="151"/>
      <c r="ET12" s="151"/>
      <c r="EU12" s="151"/>
      <c r="EV12" s="151"/>
      <c r="EW12" s="151"/>
      <c r="EX12" s="151"/>
      <c r="EY12" s="151"/>
      <c r="EZ12" s="151"/>
      <c r="FA12" s="151"/>
      <c r="FB12" s="151"/>
      <c r="FC12" s="151"/>
      <c r="FD12" s="151"/>
      <c r="FE12" s="151"/>
      <c r="FF12" s="151"/>
      <c r="FG12" s="151"/>
      <c r="FH12" s="151"/>
      <c r="FI12" s="151"/>
      <c r="FJ12" s="151"/>
      <c r="FK12" s="151"/>
      <c r="FL12" s="151"/>
      <c r="FM12" s="151"/>
      <c r="FN12" s="151"/>
      <c r="FO12" s="151"/>
      <c r="FP12" s="151"/>
      <c r="FQ12" s="151"/>
      <c r="FR12" s="151"/>
      <c r="FS12" s="151"/>
      <c r="FT12" s="151"/>
      <c r="FU12" s="151"/>
      <c r="FV12" s="151"/>
      <c r="FW12" s="151"/>
      <c r="FX12" s="151"/>
      <c r="FY12" s="151"/>
      <c r="FZ12" s="151"/>
      <c r="GA12" s="151"/>
      <c r="GB12" s="151"/>
      <c r="GC12" s="151"/>
      <c r="GD12" s="151"/>
      <c r="GE12" s="151"/>
      <c r="GF12" s="151"/>
      <c r="GG12" s="151"/>
      <c r="GH12" s="151"/>
      <c r="GI12" s="151"/>
      <c r="GJ12" s="151"/>
      <c r="GK12" s="151"/>
      <c r="GL12" s="151"/>
      <c r="GM12" s="151"/>
      <c r="GN12" s="151"/>
      <c r="GO12" s="151"/>
      <c r="GP12" s="151"/>
      <c r="GQ12" s="151"/>
      <c r="GR12" s="151"/>
      <c r="GS12" s="151"/>
      <c r="GT12" s="151"/>
      <c r="GU12" s="151"/>
      <c r="GV12" s="151"/>
      <c r="GW12" s="151"/>
      <c r="GX12" s="151"/>
      <c r="GY12" s="151"/>
      <c r="GZ12" s="151"/>
      <c r="HA12" s="151"/>
      <c r="HB12" s="151"/>
      <c r="HC12" s="151"/>
      <c r="HD12" s="151"/>
      <c r="HE12" s="151"/>
      <c r="HF12" s="151"/>
      <c r="HG12" s="151"/>
      <c r="HH12" s="151"/>
      <c r="HI12" s="151"/>
      <c r="HJ12" s="151"/>
      <c r="HK12" s="151"/>
      <c r="HL12" s="151"/>
      <c r="HM12" s="151"/>
      <c r="HN12" s="151"/>
      <c r="HO12" s="151"/>
      <c r="HP12" s="151"/>
      <c r="HQ12" s="151"/>
      <c r="HR12" s="151"/>
      <c r="HS12" s="151"/>
    </row>
    <row r="13">
      <c r="B13" s="144"/>
      <c r="C13" s="77" t="s">
        <v>18</v>
      </c>
      <c r="D13" s="107">
        <f>COUNTIFS(DATA!$G$2:$G42,D8,DATA!$C$2:$C42,D6,DATA!$B$2:$B42,D7,DATA!$I$2:$I42,D$12,DATA!$H$2:$H42,$C13)/
COUNTIFS(DATA!$G$2:$G42,D8,DATA!$C$2:$C42,D6,DATA!$B$2:$B42,D7,DATA!$I$2:$I42,D$12,DATA!$H$2:$H42,"&lt;&gt;-")</f>
        <v>0.8164116829</v>
      </c>
      <c r="E13" s="107">
        <f>COUNTIFS(DATA!$G$2:$G42,D8,DATA!$C$2:$C42,D6,DATA!$B$2:$B42,D7,DATA!$I$2:$I42,E$12,DATA!$H$2:$H42,$C13)/
COUNTIFS(DATA!$G$2:$G42,D8,DATA!$C$2:$C42,D6,DATA!$B$2:$B42,D7,DATA!$I$2:$I42,E$12,DATA!$H$2:$H42,"&lt;&gt;-")</f>
        <v>0.546148508</v>
      </c>
      <c r="F13" s="107">
        <f>COUNTIFS(DATA!$G$2:$G42,D8,DATA!$C$2:$C42,D6,DATA!$B$2:$B42,D7,DATA!$I$2:$I42,F$12,DATA!$H$2:$H42,$C13)/
COUNTIFS(DATA!$G$2:$G42,D8,DATA!$C$2:$C42,D6,DATA!$B$2:$B42,D7,DATA!$I$2:$I42,F$12,DATA!$H$2:$H42,"&lt;&gt;-")</f>
        <v>0.5169230769</v>
      </c>
      <c r="I13" s="151"/>
      <c r="J13" s="151"/>
      <c r="K13" s="151"/>
      <c r="L13" s="151"/>
      <c r="M13" s="151"/>
      <c r="N13" s="152"/>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1"/>
      <c r="BD13" s="151"/>
      <c r="BE13" s="151"/>
      <c r="BF13" s="151"/>
      <c r="BG13" s="151"/>
      <c r="BH13" s="151"/>
      <c r="BI13" s="151"/>
      <c r="BJ13" s="151"/>
      <c r="BK13" s="151"/>
      <c r="BL13" s="151"/>
      <c r="BM13" s="151"/>
      <c r="BN13" s="151"/>
      <c r="BO13" s="151"/>
      <c r="BP13" s="151"/>
      <c r="BQ13" s="151"/>
      <c r="BR13" s="151"/>
      <c r="BS13" s="151"/>
      <c r="BT13" s="151"/>
      <c r="BU13" s="151"/>
      <c r="BV13" s="151"/>
      <c r="BW13" s="151"/>
      <c r="BX13" s="151"/>
      <c r="BY13" s="151"/>
      <c r="BZ13" s="151"/>
      <c r="CA13" s="151"/>
      <c r="CB13" s="151"/>
      <c r="CC13" s="151"/>
      <c r="CD13" s="151"/>
      <c r="CE13" s="151"/>
      <c r="CF13" s="151"/>
      <c r="CG13" s="151"/>
      <c r="CH13" s="151"/>
      <c r="CI13" s="151"/>
      <c r="CJ13" s="151"/>
      <c r="CK13" s="151"/>
      <c r="CL13" s="151"/>
      <c r="CM13" s="151"/>
      <c r="CN13" s="151"/>
      <c r="CO13" s="151"/>
      <c r="CP13" s="151"/>
      <c r="CQ13" s="151"/>
      <c r="CR13" s="151"/>
      <c r="CS13" s="151"/>
      <c r="CT13" s="151"/>
      <c r="CU13" s="151"/>
      <c r="CV13" s="151"/>
      <c r="CW13" s="151"/>
      <c r="CX13" s="151"/>
      <c r="CY13" s="151"/>
      <c r="CZ13" s="151"/>
      <c r="DA13" s="151"/>
      <c r="DB13" s="151"/>
      <c r="DC13" s="151"/>
      <c r="DD13" s="151"/>
      <c r="DE13" s="151"/>
      <c r="DF13" s="151"/>
      <c r="DG13" s="151"/>
      <c r="DH13" s="151"/>
      <c r="DI13" s="151"/>
      <c r="DJ13" s="151"/>
      <c r="DK13" s="151"/>
      <c r="DL13" s="151"/>
      <c r="DM13" s="151"/>
      <c r="DN13" s="151"/>
      <c r="DO13" s="151"/>
      <c r="DP13" s="151"/>
      <c r="DQ13" s="151"/>
      <c r="DR13" s="151"/>
      <c r="DS13" s="151"/>
      <c r="DT13" s="151"/>
      <c r="DU13" s="151"/>
      <c r="DV13" s="151"/>
      <c r="DW13" s="151"/>
      <c r="DX13" s="151"/>
      <c r="DY13" s="151"/>
      <c r="DZ13" s="151"/>
      <c r="EA13" s="151"/>
      <c r="EB13" s="151"/>
      <c r="EC13" s="151"/>
      <c r="ED13" s="151"/>
      <c r="EE13" s="151"/>
      <c r="EF13" s="151"/>
      <c r="EG13" s="151"/>
      <c r="EH13" s="151"/>
      <c r="EI13" s="151"/>
      <c r="EJ13" s="151"/>
      <c r="EK13" s="151"/>
      <c r="EL13" s="151"/>
      <c r="EM13" s="151"/>
      <c r="EN13" s="151"/>
      <c r="EO13" s="151"/>
      <c r="EP13" s="151"/>
      <c r="EQ13" s="151"/>
      <c r="ER13" s="151"/>
      <c r="ES13" s="151"/>
      <c r="ET13" s="151"/>
      <c r="EU13" s="151"/>
      <c r="EV13" s="151"/>
      <c r="EW13" s="151"/>
      <c r="EX13" s="151"/>
      <c r="EY13" s="151"/>
      <c r="EZ13" s="151"/>
      <c r="FA13" s="151"/>
      <c r="FB13" s="151"/>
      <c r="FC13" s="151"/>
      <c r="FD13" s="151"/>
      <c r="FE13" s="151"/>
      <c r="FF13" s="151"/>
      <c r="FG13" s="151"/>
      <c r="FH13" s="151"/>
      <c r="FI13" s="151"/>
      <c r="FJ13" s="151"/>
      <c r="FK13" s="151"/>
      <c r="FL13" s="151"/>
      <c r="FM13" s="151"/>
      <c r="FN13" s="151"/>
      <c r="FO13" s="151"/>
      <c r="FP13" s="151"/>
      <c r="FQ13" s="151"/>
      <c r="FR13" s="151"/>
      <c r="FS13" s="151"/>
      <c r="FT13" s="151"/>
      <c r="FU13" s="151"/>
      <c r="FV13" s="151"/>
      <c r="FW13" s="151"/>
      <c r="FX13" s="151"/>
      <c r="FY13" s="151"/>
      <c r="FZ13" s="151"/>
      <c r="GA13" s="151"/>
      <c r="GB13" s="151"/>
      <c r="GC13" s="151"/>
      <c r="GD13" s="151"/>
      <c r="GE13" s="151"/>
      <c r="GF13" s="151"/>
      <c r="GG13" s="151"/>
      <c r="GH13" s="151"/>
      <c r="GI13" s="151"/>
      <c r="GJ13" s="151"/>
      <c r="GK13" s="151"/>
      <c r="GL13" s="151"/>
      <c r="GM13" s="151"/>
      <c r="GN13" s="151"/>
      <c r="GO13" s="151"/>
      <c r="GP13" s="151"/>
      <c r="GQ13" s="151"/>
      <c r="GR13" s="151"/>
      <c r="GS13" s="151"/>
      <c r="GT13" s="151"/>
      <c r="GU13" s="151"/>
      <c r="GV13" s="151"/>
      <c r="GW13" s="151"/>
      <c r="GX13" s="151"/>
      <c r="GY13" s="151"/>
      <c r="GZ13" s="151"/>
      <c r="HA13" s="151"/>
      <c r="HB13" s="151"/>
      <c r="HC13" s="151"/>
      <c r="HD13" s="151"/>
      <c r="HE13" s="151"/>
      <c r="HF13" s="151"/>
      <c r="HG13" s="151"/>
      <c r="HH13" s="151"/>
      <c r="HI13" s="151"/>
      <c r="HJ13" s="151"/>
      <c r="HK13" s="151"/>
      <c r="HL13" s="151"/>
      <c r="HM13" s="151"/>
      <c r="HN13" s="151"/>
      <c r="HO13" s="151"/>
      <c r="HP13" s="151"/>
      <c r="HQ13" s="151"/>
      <c r="HR13" s="151"/>
      <c r="HS13" s="151"/>
    </row>
    <row r="14">
      <c r="B14" s="144"/>
      <c r="C14" s="77" t="s">
        <v>24</v>
      </c>
      <c r="D14" s="107">
        <f>COUNTIFS(DATA!$G$2:$G42,D8,DATA!$C$2:$C42,D6,DATA!$B$2:$B42,D7,DATA!$I$2:$I42,D$12,DATA!$H$2:$H42,$C14)/
COUNTIFS(DATA!$G$2:$G42,D8,DATA!$C$2:$C42,D6,DATA!$B$2:$B42,D7,DATA!$I$2:$I42,D$12,DATA!$H$2:$H42,"&lt;&gt;-")</f>
        <v>0.1783727399</v>
      </c>
      <c r="E14" s="107">
        <f>COUNTIFS(DATA!$G$2:$G42,D8,DATA!$C$2:$C42,D6,DATA!$B$2:$B42,D7,DATA!$I$2:$I42,E$12,DATA!$H$2:$H42,$C14)/
COUNTIFS(DATA!$G$2:$G42,D8,DATA!$C$2:$C42,D6,DATA!$B$2:$B42,D7,DATA!$I$2:$I42,E$12,DATA!$H$2:$H42,"&lt;&gt;-")</f>
        <v>0.4281748786</v>
      </c>
      <c r="F14" s="107">
        <f>COUNTIFS(DATA!$G$2:$G42,D8,DATA!$C$2:$C42,D6,DATA!$B$2:$B42,D7,DATA!$I$2:$I42,F$12,DATA!$H$2:$H42,$C14)/
COUNTIFS(DATA!$G$2:$G42,D8,DATA!$C$2:$C42,D6,DATA!$B$2:$B42,D7,DATA!$I$2:$I42,F$12,DATA!$H$2:$H42,"&lt;&gt;-")</f>
        <v>0.4430769231</v>
      </c>
      <c r="I14" s="151"/>
      <c r="J14" s="151"/>
      <c r="K14" s="151"/>
      <c r="L14" s="151"/>
      <c r="M14" s="151"/>
      <c r="N14" s="152"/>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1"/>
      <c r="BD14" s="151"/>
      <c r="BE14" s="151"/>
      <c r="BF14" s="151"/>
      <c r="BG14" s="151"/>
      <c r="BH14" s="151"/>
      <c r="BI14" s="151"/>
      <c r="BJ14" s="151"/>
      <c r="BK14" s="151"/>
      <c r="BL14" s="151"/>
      <c r="BM14" s="151"/>
      <c r="BN14" s="151"/>
      <c r="BO14" s="151"/>
      <c r="BP14" s="151"/>
      <c r="BQ14" s="151"/>
      <c r="BR14" s="151"/>
      <c r="BS14" s="151"/>
      <c r="BT14" s="151"/>
      <c r="BU14" s="151"/>
      <c r="BV14" s="151"/>
      <c r="BW14" s="151"/>
      <c r="BX14" s="151"/>
      <c r="BY14" s="151"/>
      <c r="BZ14" s="151"/>
      <c r="CA14" s="151"/>
      <c r="CB14" s="151"/>
      <c r="CC14" s="151"/>
      <c r="CD14" s="151"/>
      <c r="CE14" s="151"/>
      <c r="CF14" s="151"/>
      <c r="CG14" s="151"/>
      <c r="CH14" s="151"/>
      <c r="CI14" s="151"/>
      <c r="CJ14" s="151"/>
      <c r="CK14" s="151"/>
      <c r="CL14" s="151"/>
      <c r="CM14" s="151"/>
      <c r="CN14" s="151"/>
      <c r="CO14" s="151"/>
      <c r="CP14" s="151"/>
      <c r="CQ14" s="151"/>
      <c r="CR14" s="151"/>
      <c r="CS14" s="151"/>
      <c r="CT14" s="151"/>
      <c r="CU14" s="151"/>
      <c r="CV14" s="151"/>
      <c r="CW14" s="151"/>
      <c r="CX14" s="151"/>
      <c r="CY14" s="151"/>
      <c r="CZ14" s="151"/>
      <c r="DA14" s="151"/>
      <c r="DB14" s="151"/>
      <c r="DC14" s="151"/>
      <c r="DD14" s="151"/>
      <c r="DE14" s="151"/>
      <c r="DF14" s="151"/>
      <c r="DG14" s="151"/>
      <c r="DH14" s="151"/>
      <c r="DI14" s="151"/>
      <c r="DJ14" s="151"/>
      <c r="DK14" s="151"/>
      <c r="DL14" s="151"/>
      <c r="DM14" s="151"/>
      <c r="DN14" s="151"/>
      <c r="DO14" s="151"/>
      <c r="DP14" s="151"/>
      <c r="DQ14" s="151"/>
      <c r="DR14" s="151"/>
      <c r="DS14" s="151"/>
      <c r="DT14" s="151"/>
      <c r="DU14" s="151"/>
      <c r="DV14" s="151"/>
      <c r="DW14" s="151"/>
      <c r="DX14" s="151"/>
      <c r="DY14" s="151"/>
      <c r="DZ14" s="151"/>
      <c r="EA14" s="151"/>
      <c r="EB14" s="151"/>
      <c r="EC14" s="151"/>
      <c r="ED14" s="151"/>
      <c r="EE14" s="151"/>
      <c r="EF14" s="151"/>
      <c r="EG14" s="151"/>
      <c r="EH14" s="151"/>
      <c r="EI14" s="151"/>
      <c r="EJ14" s="151"/>
      <c r="EK14" s="151"/>
      <c r="EL14" s="151"/>
      <c r="EM14" s="151"/>
      <c r="EN14" s="151"/>
      <c r="EO14" s="151"/>
      <c r="EP14" s="151"/>
      <c r="EQ14" s="151"/>
      <c r="ER14" s="151"/>
      <c r="ES14" s="151"/>
      <c r="ET14" s="151"/>
      <c r="EU14" s="151"/>
      <c r="EV14" s="151"/>
      <c r="EW14" s="151"/>
      <c r="EX14" s="151"/>
      <c r="EY14" s="151"/>
      <c r="EZ14" s="151"/>
      <c r="FA14" s="151"/>
      <c r="FB14" s="151"/>
      <c r="FC14" s="151"/>
      <c r="FD14" s="151"/>
      <c r="FE14" s="151"/>
      <c r="FF14" s="151"/>
      <c r="FG14" s="151"/>
      <c r="FH14" s="151"/>
      <c r="FI14" s="151"/>
      <c r="FJ14" s="151"/>
      <c r="FK14" s="151"/>
      <c r="FL14" s="151"/>
      <c r="FM14" s="151"/>
      <c r="FN14" s="151"/>
      <c r="FO14" s="151"/>
      <c r="FP14" s="151"/>
      <c r="FQ14" s="151"/>
      <c r="FR14" s="151"/>
      <c r="FS14" s="151"/>
      <c r="FT14" s="151"/>
      <c r="FU14" s="151"/>
      <c r="FV14" s="151"/>
      <c r="FW14" s="151"/>
      <c r="FX14" s="151"/>
      <c r="FY14" s="151"/>
      <c r="FZ14" s="151"/>
      <c r="GA14" s="151"/>
      <c r="GB14" s="151"/>
      <c r="GC14" s="151"/>
      <c r="GD14" s="151"/>
      <c r="GE14" s="151"/>
      <c r="GF14" s="151"/>
      <c r="GG14" s="151"/>
      <c r="GH14" s="151"/>
      <c r="GI14" s="151"/>
      <c r="GJ14" s="151"/>
      <c r="GK14" s="151"/>
      <c r="GL14" s="151"/>
      <c r="GM14" s="151"/>
      <c r="GN14" s="151"/>
      <c r="GO14" s="151"/>
      <c r="GP14" s="151"/>
      <c r="GQ14" s="151"/>
      <c r="GR14" s="151"/>
      <c r="GS14" s="151"/>
      <c r="GT14" s="151"/>
      <c r="GU14" s="151"/>
      <c r="GV14" s="151"/>
      <c r="GW14" s="151"/>
      <c r="GX14" s="151"/>
      <c r="GY14" s="151"/>
      <c r="GZ14" s="151"/>
      <c r="HA14" s="151"/>
      <c r="HB14" s="151"/>
      <c r="HC14" s="151"/>
      <c r="HD14" s="151"/>
      <c r="HE14" s="151"/>
      <c r="HF14" s="151"/>
      <c r="HG14" s="151"/>
      <c r="HH14" s="151"/>
      <c r="HI14" s="151"/>
      <c r="HJ14" s="151"/>
      <c r="HK14" s="151"/>
      <c r="HL14" s="151"/>
      <c r="HM14" s="151"/>
      <c r="HN14" s="151"/>
      <c r="HO14" s="151"/>
      <c r="HP14" s="151"/>
      <c r="HQ14" s="151"/>
      <c r="HR14" s="151"/>
      <c r="HS14" s="151"/>
    </row>
    <row r="15">
      <c r="B15" s="144"/>
      <c r="C15" s="77" t="s">
        <v>32</v>
      </c>
      <c r="D15" s="107">
        <f>COUNTIFS(DATA!$G$2:$G42,D8,DATA!$C$2:$C42,D6,DATA!$B$2:$B42,D7,DATA!$I$2:$I42,D$12,DATA!$H$2:$H42,$C15)/
COUNTIFS(DATA!$G$2:$G42,D8,DATA!$C$2:$C42,D6,DATA!$B$2:$B42,D7,DATA!$I$2:$I42,D$12,DATA!$H$2:$H42,"&lt;&gt;-")</f>
        <v>0.005215577191</v>
      </c>
      <c r="E15" s="107">
        <f>COUNTIFS(DATA!$G$2:$G42,D8,DATA!$C$2:$C42,D6,DATA!$B$2:$B42,D7,DATA!$I$2:$I42,E$12,DATA!$H$2:$H42,$C15)/
COUNTIFS(DATA!$G$2:$G42,D8,DATA!$C$2:$C42,D6,DATA!$B$2:$B42,D7,DATA!$I$2:$I42,E$12,DATA!$H$2:$H42,"&lt;&gt;-")</f>
        <v>0.02567661346</v>
      </c>
      <c r="F15" s="107">
        <f>COUNTIFS(DATA!$G$2:$G42,D8,DATA!$C$2:$C42,D6,DATA!$B$2:$B42,D7,DATA!$I$2:$I42,F$12,DATA!$H$2:$H42,$C15)/
COUNTIFS(DATA!$G$2:$G42,D8,DATA!$C$2:$C42,D6,DATA!$B$2:$B42,D7,DATA!$I$2:$I42,F$12,DATA!$H$2:$H42,"&lt;&gt;-")</f>
        <v>0.04</v>
      </c>
      <c r="N15" s="152"/>
    </row>
    <row r="16">
      <c r="B16" s="144"/>
      <c r="C16" s="158" t="s">
        <v>361</v>
      </c>
      <c r="D16" s="159">
        <f t="shared" ref="D16:F16" si="2">SUM(D13:D15)</f>
        <v>1</v>
      </c>
      <c r="E16" s="159">
        <f t="shared" si="2"/>
        <v>1</v>
      </c>
      <c r="F16" s="159">
        <f t="shared" si="2"/>
        <v>1</v>
      </c>
      <c r="N16" s="152"/>
    </row>
    <row r="17">
      <c r="B17" s="144"/>
      <c r="C17" s="153"/>
      <c r="D17" s="151"/>
      <c r="E17" s="151"/>
      <c r="F17" s="151"/>
      <c r="G17" s="160"/>
      <c r="H17" s="160"/>
      <c r="N17" s="152"/>
    </row>
    <row r="18">
      <c r="B18" s="144"/>
      <c r="C18" s="161" t="s">
        <v>369</v>
      </c>
      <c r="D18" s="151"/>
      <c r="E18" s="151"/>
      <c r="F18" s="151"/>
      <c r="G18" s="160"/>
      <c r="H18" s="160"/>
      <c r="N18" s="152"/>
    </row>
    <row r="19">
      <c r="B19" s="144"/>
      <c r="D19" s="162"/>
      <c r="G19" s="160"/>
      <c r="H19" s="160"/>
      <c r="N19" s="152"/>
    </row>
    <row r="20">
      <c r="B20" s="144"/>
      <c r="D20" s="162"/>
      <c r="G20" s="160"/>
      <c r="H20" s="160"/>
      <c r="N20" s="152"/>
    </row>
    <row r="21">
      <c r="B21" s="163"/>
      <c r="C21" s="164"/>
      <c r="D21" s="164"/>
      <c r="E21" s="164"/>
      <c r="F21" s="164"/>
      <c r="G21" s="165"/>
      <c r="H21" s="165"/>
      <c r="I21" s="166"/>
      <c r="J21" s="166"/>
      <c r="K21" s="166"/>
      <c r="L21" s="166"/>
      <c r="M21" s="166"/>
      <c r="N21" s="167"/>
    </row>
    <row r="22">
      <c r="D22" s="36"/>
    </row>
    <row r="23">
      <c r="D23" s="36"/>
    </row>
    <row r="24">
      <c r="D24" s="36"/>
    </row>
    <row r="25"/>
    <row r="26"/>
    <row r="27"/>
    <row r="28"/>
    <row r="29"/>
    <row r="30"/>
    <row r="31"/>
    <row r="34">
      <c r="D34" s="36"/>
    </row>
    <row r="35">
      <c r="D35" s="36"/>
    </row>
    <row r="36">
      <c r="D36" s="36"/>
    </row>
    <row r="37">
      <c r="D37" s="36"/>
    </row>
    <row r="38">
      <c r="D38" s="36"/>
    </row>
    <row r="39">
      <c r="D39" s="36"/>
    </row>
    <row r="40">
      <c r="D40" s="36"/>
    </row>
    <row r="41">
      <c r="D41" s="36"/>
    </row>
    <row r="42">
      <c r="D42" s="36"/>
    </row>
  </sheetData>
  <mergeCells count="4">
    <mergeCell ref="N5:N21"/>
    <mergeCell ref="D6:E6"/>
    <mergeCell ref="D7:E7"/>
    <mergeCell ref="D8:E8"/>
  </mergeCells>
  <dataValidations>
    <dataValidation type="list" allowBlank="1" showErrorMessage="1" sqref="D8">
      <formula1>"*,Masculino,Femenino"</formula1>
    </dataValidation>
    <dataValidation type="list" allowBlank="1" showErrorMessage="1" sqref="D6">
      <formula1>claves!$B$3:$B$10</formula1>
    </dataValidation>
    <dataValidation type="list" allowBlank="1" showErrorMessage="1" sqref="D7">
      <formula1>nombres!$O$4:$O$22</formula1>
    </dataValidation>
  </dataValidations>
  <printOptions gridLines="1" horizontalCentered="1"/>
  <pageMargins bottom="0.75" footer="0.0" header="0.0" left="0.7" right="0.7" top="0.75"/>
  <pageSetup fitToHeight="0" paperSize="9" cellComments="atEnd" orientation="portrait" pageOrder="overThenDown"/>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88"/>
    <col customWidth="1" min="3" max="3" width="28.63"/>
    <col customWidth="1" min="4" max="4" width="15.25"/>
  </cols>
  <sheetData>
    <row r="1">
      <c r="E1" s="169"/>
      <c r="F1" s="170"/>
    </row>
    <row r="2">
      <c r="E2" s="169"/>
      <c r="F2" s="170"/>
    </row>
    <row r="3"/>
    <row r="4"/>
    <row r="5"/>
    <row r="6">
      <c r="X6" s="37">
        <f>V6-W6</f>
        <v>0</v>
      </c>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c r="Q54" s="107"/>
    </row>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c r="E210" s="169"/>
      <c r="F210" s="170"/>
    </row>
    <row r="211">
      <c r="E211" s="169"/>
      <c r="F211" s="170"/>
    </row>
    <row r="212">
      <c r="E212" s="169"/>
      <c r="F212" s="170"/>
    </row>
    <row r="213">
      <c r="E213" s="169"/>
      <c r="F213" s="170"/>
    </row>
    <row r="214">
      <c r="E214" s="169"/>
      <c r="F214" s="170"/>
    </row>
    <row r="215">
      <c r="E215" s="169"/>
      <c r="F215" s="170"/>
    </row>
    <row r="216">
      <c r="E216" s="169"/>
      <c r="F216" s="170"/>
    </row>
    <row r="217">
      <c r="E217" s="169"/>
      <c r="F217" s="170"/>
    </row>
    <row r="218">
      <c r="E218" s="169"/>
      <c r="F218" s="170"/>
    </row>
    <row r="219">
      <c r="E219" s="169"/>
      <c r="F219" s="170"/>
    </row>
    <row r="220">
      <c r="E220" s="169"/>
      <c r="F220" s="170"/>
    </row>
    <row r="221">
      <c r="E221" s="169"/>
      <c r="F221" s="170"/>
    </row>
    <row r="222">
      <c r="E222" s="169"/>
      <c r="F222" s="170"/>
    </row>
    <row r="223">
      <c r="E223" s="169"/>
      <c r="F223" s="170"/>
    </row>
    <row r="224">
      <c r="E224" s="169"/>
      <c r="F224" s="170"/>
    </row>
    <row r="225">
      <c r="E225" s="169"/>
      <c r="F225" s="170"/>
    </row>
    <row r="226">
      <c r="E226" s="169"/>
      <c r="F226" s="170"/>
    </row>
    <row r="227">
      <c r="E227" s="169"/>
      <c r="F227" s="170"/>
    </row>
    <row r="228">
      <c r="E228" s="169"/>
      <c r="F228" s="170"/>
    </row>
    <row r="229">
      <c r="E229" s="169"/>
      <c r="F229" s="170"/>
    </row>
    <row r="230">
      <c r="E230" s="169"/>
      <c r="F230" s="170"/>
    </row>
    <row r="231">
      <c r="E231" s="169"/>
      <c r="F231" s="170"/>
    </row>
    <row r="232">
      <c r="E232" s="169"/>
      <c r="F232" s="170"/>
    </row>
    <row r="233">
      <c r="E233" s="169"/>
      <c r="F233" s="170"/>
    </row>
    <row r="234">
      <c r="E234" s="169"/>
      <c r="F234" s="170"/>
    </row>
    <row r="235">
      <c r="E235" s="169"/>
      <c r="F235" s="170"/>
    </row>
    <row r="236">
      <c r="E236" s="169"/>
      <c r="F236" s="170"/>
    </row>
    <row r="237">
      <c r="E237" s="169"/>
      <c r="F237" s="170"/>
    </row>
    <row r="238">
      <c r="E238" s="169"/>
      <c r="F238" s="170"/>
    </row>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c r="E447" s="103"/>
      <c r="F447" s="103"/>
      <c r="G447" s="107"/>
    </row>
    <row r="448">
      <c r="E448" s="103"/>
      <c r="F448" s="103"/>
      <c r="G448" s="107"/>
    </row>
    <row r="449">
      <c r="E449" s="103"/>
      <c r="F449" s="103"/>
      <c r="G449" s="107"/>
    </row>
    <row r="450">
      <c r="E450" s="103"/>
      <c r="F450" s="103"/>
      <c r="G450" s="107"/>
    </row>
    <row r="451">
      <c r="E451" s="103"/>
      <c r="F451" s="103"/>
      <c r="G451" s="107"/>
    </row>
    <row r="452">
      <c r="E452" s="103"/>
      <c r="F452" s="103"/>
      <c r="G452" s="107"/>
    </row>
    <row r="453">
      <c r="E453" s="103"/>
      <c r="F453" s="103"/>
      <c r="G453" s="107"/>
    </row>
    <row r="454">
      <c r="E454" s="103"/>
      <c r="F454" s="103"/>
      <c r="G454" s="107"/>
    </row>
    <row r="455">
      <c r="E455" s="103"/>
      <c r="F455" s="103"/>
      <c r="G455" s="107"/>
    </row>
    <row r="456">
      <c r="E456" s="103"/>
      <c r="F456" s="103"/>
      <c r="G456" s="107"/>
    </row>
    <row r="457">
      <c r="E457" s="103"/>
      <c r="F457" s="103"/>
      <c r="G457" s="107"/>
    </row>
    <row r="458">
      <c r="E458" s="103"/>
      <c r="F458" s="103"/>
      <c r="G458" s="107"/>
    </row>
    <row r="459">
      <c r="E459" s="103"/>
      <c r="F459" s="103"/>
      <c r="G459" s="107"/>
    </row>
    <row r="460">
      <c r="E460" s="103"/>
      <c r="F460" s="103"/>
      <c r="G460" s="107"/>
    </row>
    <row r="461">
      <c r="E461" s="103"/>
      <c r="F461" s="103"/>
      <c r="G461" s="107"/>
    </row>
    <row r="462"/>
    <row r="463">
      <c r="H463" s="38" t="s">
        <v>374</v>
      </c>
    </row>
    <row r="464">
      <c r="H464" s="89">
        <f t="shared" ref="H464:H747" si="1">IF(AND(E464&lt;&gt;"",OR(F464&lt;&gt;"",G464)),1,0)</f>
        <v>0</v>
      </c>
    </row>
    <row r="465">
      <c r="H465" s="89">
        <f t="shared" si="1"/>
        <v>0</v>
      </c>
    </row>
    <row r="466">
      <c r="H466" s="89">
        <f t="shared" si="1"/>
        <v>0</v>
      </c>
    </row>
    <row r="467">
      <c r="H467" s="89">
        <f t="shared" si="1"/>
        <v>1</v>
      </c>
    </row>
    <row r="468">
      <c r="H468" s="89">
        <f t="shared" si="1"/>
        <v>1</v>
      </c>
    </row>
    <row r="469">
      <c r="H469" s="89">
        <f t="shared" si="1"/>
        <v>1</v>
      </c>
    </row>
    <row r="470">
      <c r="H470" s="89">
        <f t="shared" si="1"/>
        <v>1</v>
      </c>
    </row>
    <row r="471">
      <c r="H471" s="89">
        <f t="shared" si="1"/>
        <v>1</v>
      </c>
    </row>
    <row r="472">
      <c r="H472" s="89">
        <f t="shared" si="1"/>
        <v>0</v>
      </c>
    </row>
    <row r="473">
      <c r="H473" s="89">
        <f t="shared" si="1"/>
        <v>1</v>
      </c>
    </row>
    <row r="474">
      <c r="H474" s="89">
        <f t="shared" si="1"/>
        <v>1</v>
      </c>
    </row>
    <row r="475">
      <c r="H475" s="89">
        <f t="shared" si="1"/>
        <v>1</v>
      </c>
    </row>
    <row r="476">
      <c r="H476" s="89">
        <f t="shared" si="1"/>
        <v>1</v>
      </c>
    </row>
    <row r="477">
      <c r="H477" s="89">
        <f t="shared" si="1"/>
        <v>1</v>
      </c>
    </row>
    <row r="478">
      <c r="H478" s="89">
        <f t="shared" si="1"/>
        <v>1</v>
      </c>
    </row>
    <row r="479">
      <c r="H479" s="89">
        <f t="shared" si="1"/>
        <v>1</v>
      </c>
    </row>
    <row r="480">
      <c r="H480" s="89">
        <f t="shared" si="1"/>
        <v>1</v>
      </c>
    </row>
    <row r="481">
      <c r="H481" s="89">
        <f t="shared" si="1"/>
        <v>1</v>
      </c>
    </row>
    <row r="482">
      <c r="H482" s="89">
        <f t="shared" si="1"/>
        <v>1</v>
      </c>
    </row>
    <row r="483">
      <c r="H483" s="89">
        <f t="shared" si="1"/>
        <v>0</v>
      </c>
    </row>
    <row r="484">
      <c r="H484" s="89">
        <f t="shared" si="1"/>
        <v>0</v>
      </c>
    </row>
    <row r="485">
      <c r="H485" s="89">
        <f t="shared" si="1"/>
        <v>0</v>
      </c>
    </row>
    <row r="486">
      <c r="H486" s="89">
        <f t="shared" si="1"/>
        <v>0</v>
      </c>
    </row>
    <row r="487">
      <c r="H487" s="89">
        <f t="shared" si="1"/>
        <v>0</v>
      </c>
    </row>
    <row r="488">
      <c r="H488" s="89">
        <f t="shared" si="1"/>
        <v>0</v>
      </c>
    </row>
    <row r="489">
      <c r="H489" s="89">
        <f t="shared" si="1"/>
        <v>0</v>
      </c>
    </row>
    <row r="490">
      <c r="H490" s="89">
        <f t="shared" si="1"/>
        <v>0</v>
      </c>
    </row>
    <row r="491">
      <c r="H491" s="89">
        <f t="shared" si="1"/>
        <v>1</v>
      </c>
    </row>
    <row r="492">
      <c r="H492" s="89">
        <f t="shared" si="1"/>
        <v>1</v>
      </c>
    </row>
    <row r="493">
      <c r="H493" s="89">
        <f t="shared" si="1"/>
        <v>1</v>
      </c>
    </row>
    <row r="494">
      <c r="H494" s="89">
        <f t="shared" si="1"/>
        <v>1</v>
      </c>
    </row>
    <row r="495">
      <c r="H495" s="89">
        <f t="shared" si="1"/>
        <v>1</v>
      </c>
    </row>
    <row r="496">
      <c r="H496" s="89">
        <f t="shared" si="1"/>
        <v>1</v>
      </c>
    </row>
    <row r="497">
      <c r="H497" s="89">
        <f t="shared" si="1"/>
        <v>1</v>
      </c>
    </row>
    <row r="498">
      <c r="H498" s="89">
        <f t="shared" si="1"/>
        <v>1</v>
      </c>
    </row>
    <row r="499">
      <c r="H499" s="89">
        <f t="shared" si="1"/>
        <v>1</v>
      </c>
    </row>
    <row r="500">
      <c r="H500" s="89">
        <f t="shared" si="1"/>
        <v>1</v>
      </c>
    </row>
    <row r="501">
      <c r="H501" s="89">
        <f t="shared" si="1"/>
        <v>1</v>
      </c>
    </row>
    <row r="502">
      <c r="H502" s="89">
        <f t="shared" si="1"/>
        <v>1</v>
      </c>
    </row>
    <row r="503">
      <c r="H503" s="89">
        <f t="shared" si="1"/>
        <v>0</v>
      </c>
    </row>
    <row r="504">
      <c r="H504" s="89">
        <f t="shared" si="1"/>
        <v>1</v>
      </c>
    </row>
    <row r="505">
      <c r="H505" s="89">
        <f t="shared" si="1"/>
        <v>1</v>
      </c>
    </row>
    <row r="506">
      <c r="H506" s="89">
        <f t="shared" si="1"/>
        <v>0</v>
      </c>
    </row>
    <row r="507">
      <c r="H507" s="89">
        <f t="shared" si="1"/>
        <v>0</v>
      </c>
    </row>
    <row r="508">
      <c r="H508" s="89">
        <f t="shared" si="1"/>
        <v>0</v>
      </c>
    </row>
    <row r="509">
      <c r="H509" s="89">
        <f t="shared" si="1"/>
        <v>1</v>
      </c>
    </row>
    <row r="510">
      <c r="H510" s="89">
        <f t="shared" si="1"/>
        <v>1</v>
      </c>
    </row>
    <row r="511">
      <c r="H511" s="89">
        <f t="shared" si="1"/>
        <v>1</v>
      </c>
    </row>
    <row r="512">
      <c r="H512" s="89">
        <f t="shared" si="1"/>
        <v>1</v>
      </c>
    </row>
    <row r="513">
      <c r="H513" s="89">
        <f t="shared" si="1"/>
        <v>1</v>
      </c>
    </row>
    <row r="514">
      <c r="H514" s="89">
        <f t="shared" si="1"/>
        <v>1</v>
      </c>
    </row>
    <row r="515">
      <c r="H515" s="89">
        <f t="shared" si="1"/>
        <v>1</v>
      </c>
    </row>
    <row r="516">
      <c r="H516" s="89">
        <f t="shared" si="1"/>
        <v>1</v>
      </c>
    </row>
    <row r="517">
      <c r="H517" s="89">
        <f t="shared" si="1"/>
        <v>1</v>
      </c>
    </row>
    <row r="518">
      <c r="H518" s="89">
        <f t="shared" si="1"/>
        <v>0</v>
      </c>
    </row>
    <row r="519">
      <c r="H519" s="89">
        <f t="shared" si="1"/>
        <v>0</v>
      </c>
    </row>
    <row r="520">
      <c r="H520" s="89">
        <f t="shared" si="1"/>
        <v>0</v>
      </c>
    </row>
    <row r="521">
      <c r="H521" s="89">
        <f t="shared" si="1"/>
        <v>0</v>
      </c>
    </row>
    <row r="522">
      <c r="H522" s="89">
        <f t="shared" si="1"/>
        <v>1</v>
      </c>
    </row>
    <row r="523">
      <c r="H523" s="89">
        <f t="shared" si="1"/>
        <v>1</v>
      </c>
    </row>
    <row r="524">
      <c r="H524" s="89">
        <f t="shared" si="1"/>
        <v>0</v>
      </c>
    </row>
    <row r="525">
      <c r="H525" s="89">
        <f t="shared" si="1"/>
        <v>0</v>
      </c>
    </row>
    <row r="526">
      <c r="H526" s="89">
        <f t="shared" si="1"/>
        <v>0</v>
      </c>
    </row>
    <row r="527">
      <c r="H527" s="89">
        <f t="shared" si="1"/>
        <v>0</v>
      </c>
    </row>
    <row r="528">
      <c r="H528" s="89">
        <f t="shared" si="1"/>
        <v>0</v>
      </c>
    </row>
    <row r="529">
      <c r="H529" s="89">
        <f t="shared" si="1"/>
        <v>0</v>
      </c>
    </row>
    <row r="530">
      <c r="H530" s="89">
        <f t="shared" si="1"/>
        <v>1</v>
      </c>
    </row>
    <row r="531">
      <c r="H531" s="89">
        <f t="shared" si="1"/>
        <v>1</v>
      </c>
    </row>
    <row r="532">
      <c r="H532" s="89">
        <f t="shared" si="1"/>
        <v>1</v>
      </c>
    </row>
    <row r="533">
      <c r="H533" s="89">
        <f t="shared" si="1"/>
        <v>0</v>
      </c>
    </row>
    <row r="534">
      <c r="H534" s="89">
        <f t="shared" si="1"/>
        <v>0</v>
      </c>
    </row>
    <row r="535">
      <c r="H535" s="89">
        <f t="shared" si="1"/>
        <v>0</v>
      </c>
    </row>
    <row r="536">
      <c r="H536" s="89">
        <f t="shared" si="1"/>
        <v>0</v>
      </c>
    </row>
    <row r="537">
      <c r="H537" s="89">
        <f t="shared" si="1"/>
        <v>0</v>
      </c>
    </row>
    <row r="538">
      <c r="H538" s="89">
        <f t="shared" si="1"/>
        <v>0</v>
      </c>
    </row>
    <row r="539">
      <c r="H539" s="89">
        <f t="shared" si="1"/>
        <v>0</v>
      </c>
    </row>
    <row r="540">
      <c r="H540" s="89">
        <f t="shared" si="1"/>
        <v>0</v>
      </c>
    </row>
    <row r="541">
      <c r="H541" s="89">
        <f t="shared" si="1"/>
        <v>1</v>
      </c>
    </row>
    <row r="542">
      <c r="H542" s="89">
        <f t="shared" si="1"/>
        <v>1</v>
      </c>
    </row>
    <row r="543">
      <c r="H543" s="89">
        <f t="shared" si="1"/>
        <v>1</v>
      </c>
    </row>
    <row r="544">
      <c r="H544" s="89">
        <f t="shared" si="1"/>
        <v>1</v>
      </c>
    </row>
    <row r="545">
      <c r="H545" s="89">
        <f t="shared" si="1"/>
        <v>1</v>
      </c>
    </row>
    <row r="546">
      <c r="H546" s="89">
        <f t="shared" si="1"/>
        <v>0</v>
      </c>
    </row>
    <row r="547">
      <c r="H547" s="89">
        <f t="shared" si="1"/>
        <v>0</v>
      </c>
    </row>
    <row r="548">
      <c r="H548" s="89">
        <f t="shared" si="1"/>
        <v>0</v>
      </c>
    </row>
    <row r="549">
      <c r="H549" s="89">
        <f t="shared" si="1"/>
        <v>0</v>
      </c>
    </row>
    <row r="550">
      <c r="H550" s="89">
        <f t="shared" si="1"/>
        <v>0</v>
      </c>
    </row>
    <row r="551">
      <c r="H551" s="89">
        <f t="shared" si="1"/>
        <v>0</v>
      </c>
    </row>
    <row r="552">
      <c r="H552" s="89">
        <f t="shared" si="1"/>
        <v>1</v>
      </c>
    </row>
    <row r="553">
      <c r="H553" s="89">
        <f t="shared" si="1"/>
        <v>1</v>
      </c>
    </row>
    <row r="554">
      <c r="H554" s="89">
        <f t="shared" si="1"/>
        <v>1</v>
      </c>
    </row>
    <row r="555">
      <c r="H555" s="89">
        <f t="shared" si="1"/>
        <v>1</v>
      </c>
    </row>
    <row r="556">
      <c r="H556" s="89">
        <f t="shared" si="1"/>
        <v>1</v>
      </c>
    </row>
    <row r="557">
      <c r="H557" s="89">
        <f t="shared" si="1"/>
        <v>0</v>
      </c>
    </row>
    <row r="558">
      <c r="H558" s="89">
        <f t="shared" si="1"/>
        <v>1</v>
      </c>
    </row>
    <row r="559">
      <c r="H559" s="89">
        <f t="shared" si="1"/>
        <v>1</v>
      </c>
    </row>
    <row r="560">
      <c r="H560" s="89">
        <f t="shared" si="1"/>
        <v>1</v>
      </c>
    </row>
    <row r="561">
      <c r="H561" s="89">
        <f t="shared" si="1"/>
        <v>1</v>
      </c>
    </row>
    <row r="562">
      <c r="H562" s="89">
        <f t="shared" si="1"/>
        <v>1</v>
      </c>
    </row>
    <row r="563">
      <c r="H563" s="89">
        <f t="shared" si="1"/>
        <v>0</v>
      </c>
    </row>
    <row r="564">
      <c r="H564" s="89">
        <f t="shared" si="1"/>
        <v>0</v>
      </c>
    </row>
    <row r="565">
      <c r="H565" s="89">
        <f t="shared" si="1"/>
        <v>0</v>
      </c>
    </row>
    <row r="566">
      <c r="H566" s="89">
        <f t="shared" si="1"/>
        <v>0</v>
      </c>
    </row>
    <row r="567">
      <c r="H567" s="89">
        <f t="shared" si="1"/>
        <v>0</v>
      </c>
    </row>
    <row r="568">
      <c r="H568" s="89">
        <f t="shared" si="1"/>
        <v>0</v>
      </c>
    </row>
    <row r="569">
      <c r="H569" s="89">
        <f t="shared" si="1"/>
        <v>0</v>
      </c>
    </row>
    <row r="570">
      <c r="H570" s="89">
        <f t="shared" si="1"/>
        <v>0</v>
      </c>
    </row>
    <row r="571">
      <c r="H571" s="89">
        <f t="shared" si="1"/>
        <v>0</v>
      </c>
    </row>
    <row r="572">
      <c r="H572" s="89">
        <f t="shared" si="1"/>
        <v>1</v>
      </c>
    </row>
    <row r="573">
      <c r="H573" s="89">
        <f t="shared" si="1"/>
        <v>1</v>
      </c>
    </row>
    <row r="574">
      <c r="H574" s="89">
        <f t="shared" si="1"/>
        <v>1</v>
      </c>
    </row>
    <row r="575">
      <c r="H575" s="89">
        <f t="shared" si="1"/>
        <v>0</v>
      </c>
    </row>
    <row r="576">
      <c r="H576" s="89">
        <f t="shared" si="1"/>
        <v>0</v>
      </c>
    </row>
    <row r="577">
      <c r="H577" s="89">
        <f t="shared" si="1"/>
        <v>0</v>
      </c>
    </row>
    <row r="578">
      <c r="H578" s="89">
        <f t="shared" si="1"/>
        <v>0</v>
      </c>
    </row>
    <row r="579">
      <c r="H579" s="89">
        <f t="shared" si="1"/>
        <v>0</v>
      </c>
    </row>
    <row r="580">
      <c r="H580" s="89">
        <f t="shared" si="1"/>
        <v>0</v>
      </c>
    </row>
    <row r="581">
      <c r="H581" s="89">
        <f t="shared" si="1"/>
        <v>0</v>
      </c>
    </row>
    <row r="582">
      <c r="H582" s="89">
        <f t="shared" si="1"/>
        <v>0</v>
      </c>
    </row>
    <row r="583">
      <c r="H583" s="89">
        <f t="shared" si="1"/>
        <v>0</v>
      </c>
    </row>
    <row r="584">
      <c r="H584" s="89">
        <f t="shared" si="1"/>
        <v>0</v>
      </c>
    </row>
    <row r="585">
      <c r="H585" s="89">
        <f t="shared" si="1"/>
        <v>0</v>
      </c>
    </row>
    <row r="586">
      <c r="H586" s="89">
        <f t="shared" si="1"/>
        <v>0</v>
      </c>
    </row>
    <row r="587">
      <c r="H587" s="89">
        <f t="shared" si="1"/>
        <v>0</v>
      </c>
    </row>
    <row r="588">
      <c r="H588" s="89">
        <f t="shared" si="1"/>
        <v>0</v>
      </c>
    </row>
    <row r="589">
      <c r="H589" s="89">
        <f t="shared" si="1"/>
        <v>0</v>
      </c>
    </row>
    <row r="590">
      <c r="H590" s="89">
        <f t="shared" si="1"/>
        <v>0</v>
      </c>
    </row>
    <row r="591">
      <c r="H591" s="89">
        <f t="shared" si="1"/>
        <v>0</v>
      </c>
    </row>
    <row r="592">
      <c r="H592" s="89">
        <f t="shared" si="1"/>
        <v>0</v>
      </c>
    </row>
    <row r="593">
      <c r="H593" s="89">
        <f t="shared" si="1"/>
        <v>0</v>
      </c>
    </row>
    <row r="594">
      <c r="H594" s="89">
        <f t="shared" si="1"/>
        <v>0</v>
      </c>
    </row>
    <row r="595">
      <c r="H595" s="89">
        <f t="shared" si="1"/>
        <v>1</v>
      </c>
    </row>
    <row r="596">
      <c r="H596" s="89">
        <f t="shared" si="1"/>
        <v>1</v>
      </c>
    </row>
    <row r="597">
      <c r="H597" s="89">
        <f t="shared" si="1"/>
        <v>0</v>
      </c>
    </row>
    <row r="598">
      <c r="H598" s="89">
        <f t="shared" si="1"/>
        <v>0</v>
      </c>
    </row>
    <row r="599">
      <c r="H599" s="89">
        <f t="shared" si="1"/>
        <v>0</v>
      </c>
    </row>
    <row r="600">
      <c r="H600" s="89">
        <f t="shared" si="1"/>
        <v>0</v>
      </c>
    </row>
    <row r="601">
      <c r="H601" s="89">
        <f t="shared" si="1"/>
        <v>0</v>
      </c>
    </row>
    <row r="602">
      <c r="H602" s="89">
        <f t="shared" si="1"/>
        <v>0</v>
      </c>
    </row>
    <row r="603">
      <c r="H603" s="89">
        <f t="shared" si="1"/>
        <v>1</v>
      </c>
    </row>
    <row r="604">
      <c r="H604" s="89">
        <f t="shared" si="1"/>
        <v>0</v>
      </c>
    </row>
    <row r="605">
      <c r="H605" s="89">
        <f t="shared" si="1"/>
        <v>1</v>
      </c>
    </row>
    <row r="606">
      <c r="H606" s="89">
        <f t="shared" si="1"/>
        <v>0</v>
      </c>
    </row>
    <row r="607">
      <c r="H607" s="89">
        <f t="shared" si="1"/>
        <v>1</v>
      </c>
    </row>
    <row r="608">
      <c r="H608" s="89">
        <f t="shared" si="1"/>
        <v>0</v>
      </c>
    </row>
    <row r="609">
      <c r="H609" s="89">
        <f t="shared" si="1"/>
        <v>1</v>
      </c>
    </row>
    <row r="610">
      <c r="H610" s="89">
        <f t="shared" si="1"/>
        <v>1</v>
      </c>
    </row>
    <row r="611">
      <c r="H611" s="89">
        <f t="shared" si="1"/>
        <v>1</v>
      </c>
    </row>
    <row r="612">
      <c r="H612" s="89">
        <f t="shared" si="1"/>
        <v>0</v>
      </c>
    </row>
    <row r="613">
      <c r="H613" s="89">
        <f t="shared" si="1"/>
        <v>0</v>
      </c>
    </row>
    <row r="614">
      <c r="H614" s="89">
        <f t="shared" si="1"/>
        <v>1</v>
      </c>
    </row>
    <row r="615">
      <c r="H615" s="89">
        <f t="shared" si="1"/>
        <v>0</v>
      </c>
    </row>
    <row r="616">
      <c r="H616" s="89">
        <f t="shared" si="1"/>
        <v>0</v>
      </c>
    </row>
    <row r="617">
      <c r="H617" s="89">
        <f t="shared" si="1"/>
        <v>0</v>
      </c>
    </row>
    <row r="618">
      <c r="H618" s="89">
        <f t="shared" si="1"/>
        <v>0</v>
      </c>
    </row>
    <row r="619">
      <c r="H619" s="89">
        <f t="shared" si="1"/>
        <v>0</v>
      </c>
    </row>
    <row r="620">
      <c r="H620" s="89">
        <f t="shared" si="1"/>
        <v>0</v>
      </c>
    </row>
    <row r="621">
      <c r="H621" s="89">
        <f t="shared" si="1"/>
        <v>0</v>
      </c>
    </row>
    <row r="622">
      <c r="H622" s="89">
        <f t="shared" si="1"/>
        <v>0</v>
      </c>
    </row>
    <row r="623">
      <c r="H623" s="89">
        <f t="shared" si="1"/>
        <v>0</v>
      </c>
    </row>
    <row r="624">
      <c r="H624" s="89">
        <f t="shared" si="1"/>
        <v>0</v>
      </c>
    </row>
    <row r="625">
      <c r="H625" s="89">
        <f t="shared" si="1"/>
        <v>0</v>
      </c>
    </row>
    <row r="626">
      <c r="H626" s="89">
        <f t="shared" si="1"/>
        <v>0</v>
      </c>
    </row>
    <row r="627">
      <c r="H627" s="89">
        <f t="shared" si="1"/>
        <v>0</v>
      </c>
    </row>
    <row r="628">
      <c r="H628" s="89">
        <f t="shared" si="1"/>
        <v>0</v>
      </c>
    </row>
    <row r="629">
      <c r="H629" s="89">
        <f t="shared" si="1"/>
        <v>0</v>
      </c>
    </row>
    <row r="630">
      <c r="H630" s="89">
        <f t="shared" si="1"/>
        <v>0</v>
      </c>
    </row>
    <row r="631">
      <c r="H631" s="89">
        <f t="shared" si="1"/>
        <v>0</v>
      </c>
    </row>
    <row r="632">
      <c r="H632" s="89">
        <f t="shared" si="1"/>
        <v>0</v>
      </c>
    </row>
    <row r="633">
      <c r="H633" s="89">
        <f t="shared" si="1"/>
        <v>0</v>
      </c>
    </row>
    <row r="634">
      <c r="H634" s="89">
        <f t="shared" si="1"/>
        <v>0</v>
      </c>
    </row>
    <row r="635">
      <c r="H635" s="89">
        <f t="shared" si="1"/>
        <v>0</v>
      </c>
    </row>
    <row r="636">
      <c r="H636" s="89">
        <f t="shared" si="1"/>
        <v>0</v>
      </c>
    </row>
    <row r="637">
      <c r="H637" s="89">
        <f t="shared" si="1"/>
        <v>0</v>
      </c>
    </row>
    <row r="638">
      <c r="H638" s="89">
        <f t="shared" si="1"/>
        <v>0</v>
      </c>
    </row>
    <row r="639">
      <c r="H639" s="89">
        <f t="shared" si="1"/>
        <v>0</v>
      </c>
    </row>
    <row r="640">
      <c r="H640" s="89">
        <f t="shared" si="1"/>
        <v>0</v>
      </c>
    </row>
    <row r="641">
      <c r="H641" s="89">
        <f t="shared" si="1"/>
        <v>0</v>
      </c>
    </row>
    <row r="642">
      <c r="H642" s="89">
        <f t="shared" si="1"/>
        <v>0</v>
      </c>
    </row>
    <row r="643">
      <c r="H643" s="89">
        <f t="shared" si="1"/>
        <v>1</v>
      </c>
    </row>
    <row r="644">
      <c r="H644" s="89">
        <f t="shared" si="1"/>
        <v>1</v>
      </c>
    </row>
    <row r="645">
      <c r="H645" s="89">
        <f t="shared" si="1"/>
        <v>1</v>
      </c>
    </row>
    <row r="646">
      <c r="H646" s="89">
        <f t="shared" si="1"/>
        <v>0</v>
      </c>
    </row>
    <row r="647">
      <c r="H647" s="89">
        <f t="shared" si="1"/>
        <v>1</v>
      </c>
    </row>
    <row r="648">
      <c r="H648" s="89">
        <f t="shared" si="1"/>
        <v>1</v>
      </c>
    </row>
    <row r="649">
      <c r="H649" s="89">
        <f t="shared" si="1"/>
        <v>0</v>
      </c>
    </row>
    <row r="650">
      <c r="H650" s="89">
        <f t="shared" si="1"/>
        <v>1</v>
      </c>
    </row>
    <row r="651">
      <c r="H651" s="89">
        <f t="shared" si="1"/>
        <v>1</v>
      </c>
    </row>
    <row r="652">
      <c r="H652" s="89">
        <f t="shared" si="1"/>
        <v>0</v>
      </c>
    </row>
    <row r="653">
      <c r="H653" s="89">
        <f t="shared" si="1"/>
        <v>1</v>
      </c>
    </row>
    <row r="654">
      <c r="H654" s="89">
        <f t="shared" si="1"/>
        <v>1</v>
      </c>
    </row>
    <row r="655">
      <c r="H655" s="89">
        <f t="shared" si="1"/>
        <v>1</v>
      </c>
    </row>
    <row r="656">
      <c r="H656" s="89">
        <f t="shared" si="1"/>
        <v>1</v>
      </c>
    </row>
    <row r="657">
      <c r="H657" s="89">
        <f t="shared" si="1"/>
        <v>1</v>
      </c>
    </row>
    <row r="658">
      <c r="H658" s="89">
        <f t="shared" si="1"/>
        <v>0</v>
      </c>
    </row>
    <row r="659">
      <c r="H659" s="89">
        <f t="shared" si="1"/>
        <v>1</v>
      </c>
    </row>
    <row r="660">
      <c r="H660" s="89">
        <f t="shared" si="1"/>
        <v>1</v>
      </c>
    </row>
    <row r="661">
      <c r="H661" s="89">
        <f t="shared" si="1"/>
        <v>1</v>
      </c>
    </row>
    <row r="662">
      <c r="H662" s="89">
        <f t="shared" si="1"/>
        <v>0</v>
      </c>
    </row>
    <row r="663">
      <c r="H663" s="89">
        <f t="shared" si="1"/>
        <v>0</v>
      </c>
    </row>
    <row r="664">
      <c r="H664" s="89">
        <f t="shared" si="1"/>
        <v>0</v>
      </c>
    </row>
    <row r="665">
      <c r="H665" s="89">
        <f t="shared" si="1"/>
        <v>0</v>
      </c>
    </row>
    <row r="666">
      <c r="H666" s="89">
        <f t="shared" si="1"/>
        <v>0</v>
      </c>
    </row>
    <row r="667">
      <c r="H667" s="89">
        <f t="shared" si="1"/>
        <v>0</v>
      </c>
    </row>
    <row r="668">
      <c r="H668" s="89">
        <f t="shared" si="1"/>
        <v>0</v>
      </c>
    </row>
    <row r="669">
      <c r="H669" s="89">
        <f t="shared" si="1"/>
        <v>0</v>
      </c>
    </row>
    <row r="670">
      <c r="H670" s="89">
        <f t="shared" si="1"/>
        <v>1</v>
      </c>
    </row>
    <row r="671">
      <c r="H671" s="89">
        <f t="shared" si="1"/>
        <v>1</v>
      </c>
    </row>
    <row r="672">
      <c r="H672" s="89">
        <f t="shared" si="1"/>
        <v>1</v>
      </c>
    </row>
    <row r="673">
      <c r="H673" s="89">
        <f t="shared" si="1"/>
        <v>0</v>
      </c>
    </row>
    <row r="674">
      <c r="H674" s="89">
        <f t="shared" si="1"/>
        <v>1</v>
      </c>
    </row>
    <row r="675">
      <c r="H675" s="89">
        <f t="shared" si="1"/>
        <v>1</v>
      </c>
    </row>
    <row r="676">
      <c r="H676" s="89">
        <f t="shared" si="1"/>
        <v>1</v>
      </c>
    </row>
    <row r="677">
      <c r="H677" s="89">
        <f t="shared" si="1"/>
        <v>0</v>
      </c>
    </row>
    <row r="678">
      <c r="H678" s="89">
        <f t="shared" si="1"/>
        <v>1</v>
      </c>
    </row>
    <row r="679">
      <c r="H679" s="89">
        <f t="shared" si="1"/>
        <v>1</v>
      </c>
    </row>
    <row r="680">
      <c r="H680" s="89">
        <f t="shared" si="1"/>
        <v>0</v>
      </c>
    </row>
    <row r="681">
      <c r="H681" s="89">
        <f t="shared" si="1"/>
        <v>1</v>
      </c>
    </row>
    <row r="682">
      <c r="H682" s="89">
        <f t="shared" si="1"/>
        <v>1</v>
      </c>
    </row>
    <row r="683">
      <c r="H683" s="89">
        <f t="shared" si="1"/>
        <v>1</v>
      </c>
    </row>
    <row r="684">
      <c r="H684" s="89">
        <f t="shared" si="1"/>
        <v>0</v>
      </c>
    </row>
    <row r="685">
      <c r="H685" s="89">
        <f t="shared" si="1"/>
        <v>1</v>
      </c>
    </row>
    <row r="686">
      <c r="H686" s="89">
        <f t="shared" si="1"/>
        <v>1</v>
      </c>
    </row>
    <row r="687">
      <c r="H687" s="89">
        <f t="shared" si="1"/>
        <v>1</v>
      </c>
    </row>
    <row r="688">
      <c r="H688" s="89">
        <f t="shared" si="1"/>
        <v>0</v>
      </c>
    </row>
    <row r="689">
      <c r="H689" s="89">
        <f t="shared" si="1"/>
        <v>0</v>
      </c>
    </row>
    <row r="690">
      <c r="H690" s="89">
        <f t="shared" si="1"/>
        <v>0</v>
      </c>
    </row>
    <row r="691">
      <c r="H691" s="89">
        <f t="shared" si="1"/>
        <v>0</v>
      </c>
    </row>
    <row r="692">
      <c r="H692" s="89">
        <f t="shared" si="1"/>
        <v>0</v>
      </c>
    </row>
    <row r="693">
      <c r="H693" s="89">
        <f t="shared" si="1"/>
        <v>0</v>
      </c>
    </row>
    <row r="694">
      <c r="H694" s="89">
        <f t="shared" si="1"/>
        <v>0</v>
      </c>
    </row>
    <row r="695">
      <c r="H695" s="89">
        <f t="shared" si="1"/>
        <v>0</v>
      </c>
    </row>
    <row r="696">
      <c r="H696" s="89">
        <f t="shared" si="1"/>
        <v>0</v>
      </c>
    </row>
    <row r="697">
      <c r="H697" s="89">
        <f t="shared" si="1"/>
        <v>0</v>
      </c>
    </row>
    <row r="698">
      <c r="H698" s="89">
        <f t="shared" si="1"/>
        <v>0</v>
      </c>
    </row>
    <row r="699">
      <c r="H699" s="89">
        <f t="shared" si="1"/>
        <v>1</v>
      </c>
    </row>
    <row r="700">
      <c r="H700" s="89">
        <f t="shared" si="1"/>
        <v>1</v>
      </c>
    </row>
    <row r="701">
      <c r="H701" s="89">
        <f t="shared" si="1"/>
        <v>0</v>
      </c>
    </row>
    <row r="702">
      <c r="H702" s="89">
        <f t="shared" si="1"/>
        <v>0</v>
      </c>
    </row>
    <row r="703">
      <c r="H703" s="89">
        <f t="shared" si="1"/>
        <v>0</v>
      </c>
    </row>
    <row r="704">
      <c r="H704" s="89">
        <f t="shared" si="1"/>
        <v>0</v>
      </c>
    </row>
    <row r="705">
      <c r="H705" s="89">
        <f t="shared" si="1"/>
        <v>0</v>
      </c>
    </row>
    <row r="706">
      <c r="H706" s="89">
        <f t="shared" si="1"/>
        <v>0</v>
      </c>
    </row>
    <row r="707">
      <c r="H707" s="89">
        <f t="shared" si="1"/>
        <v>0</v>
      </c>
    </row>
    <row r="708">
      <c r="H708" s="89">
        <f t="shared" si="1"/>
        <v>0</v>
      </c>
    </row>
    <row r="709">
      <c r="H709" s="89">
        <f t="shared" si="1"/>
        <v>0</v>
      </c>
    </row>
    <row r="710">
      <c r="H710" s="89">
        <f t="shared" si="1"/>
        <v>0</v>
      </c>
    </row>
    <row r="711">
      <c r="H711" s="89">
        <f t="shared" si="1"/>
        <v>0</v>
      </c>
    </row>
    <row r="712">
      <c r="H712" s="89">
        <f t="shared" si="1"/>
        <v>0</v>
      </c>
    </row>
    <row r="713">
      <c r="H713" s="89">
        <f t="shared" si="1"/>
        <v>1</v>
      </c>
    </row>
    <row r="714">
      <c r="H714" s="89">
        <f t="shared" si="1"/>
        <v>1</v>
      </c>
    </row>
    <row r="715">
      <c r="H715" s="89">
        <f t="shared" si="1"/>
        <v>0</v>
      </c>
    </row>
    <row r="716">
      <c r="H716" s="89">
        <f t="shared" si="1"/>
        <v>0</v>
      </c>
    </row>
    <row r="717">
      <c r="H717" s="89">
        <f t="shared" si="1"/>
        <v>0</v>
      </c>
    </row>
    <row r="718">
      <c r="H718" s="89">
        <f t="shared" si="1"/>
        <v>0</v>
      </c>
    </row>
    <row r="719">
      <c r="H719" s="89">
        <f t="shared" si="1"/>
        <v>0</v>
      </c>
    </row>
    <row r="720">
      <c r="H720" s="89">
        <f t="shared" si="1"/>
        <v>0</v>
      </c>
    </row>
    <row r="721">
      <c r="H721" s="89">
        <f t="shared" si="1"/>
        <v>0</v>
      </c>
    </row>
    <row r="722">
      <c r="H722" s="89">
        <f t="shared" si="1"/>
        <v>0</v>
      </c>
    </row>
    <row r="723">
      <c r="H723" s="89">
        <f t="shared" si="1"/>
        <v>0</v>
      </c>
    </row>
    <row r="724">
      <c r="H724" s="89">
        <f t="shared" si="1"/>
        <v>0</v>
      </c>
    </row>
    <row r="725">
      <c r="H725" s="89">
        <f t="shared" si="1"/>
        <v>0</v>
      </c>
    </row>
    <row r="726">
      <c r="H726" s="89">
        <f t="shared" si="1"/>
        <v>0</v>
      </c>
    </row>
    <row r="727">
      <c r="H727" s="89">
        <f t="shared" si="1"/>
        <v>0</v>
      </c>
    </row>
    <row r="728">
      <c r="H728" s="89">
        <f t="shared" si="1"/>
        <v>0</v>
      </c>
    </row>
    <row r="729">
      <c r="H729" s="89">
        <f t="shared" si="1"/>
        <v>0</v>
      </c>
    </row>
    <row r="730">
      <c r="H730" s="89">
        <f t="shared" si="1"/>
        <v>1</v>
      </c>
    </row>
    <row r="731">
      <c r="H731" s="89">
        <f t="shared" si="1"/>
        <v>1</v>
      </c>
    </row>
    <row r="732">
      <c r="H732" s="89">
        <f t="shared" si="1"/>
        <v>1</v>
      </c>
    </row>
    <row r="733">
      <c r="H733" s="89">
        <f t="shared" si="1"/>
        <v>1</v>
      </c>
    </row>
    <row r="734">
      <c r="H734" s="89">
        <f t="shared" si="1"/>
        <v>0</v>
      </c>
    </row>
    <row r="735">
      <c r="H735" s="89">
        <f t="shared" si="1"/>
        <v>0</v>
      </c>
    </row>
    <row r="736">
      <c r="H736" s="89">
        <f t="shared" si="1"/>
        <v>0</v>
      </c>
    </row>
    <row r="737">
      <c r="H737" s="89">
        <f t="shared" si="1"/>
        <v>0</v>
      </c>
    </row>
    <row r="738">
      <c r="H738" s="89">
        <f t="shared" si="1"/>
        <v>0</v>
      </c>
    </row>
    <row r="739">
      <c r="H739" s="89">
        <f t="shared" si="1"/>
        <v>0</v>
      </c>
    </row>
    <row r="740">
      <c r="H740" s="89">
        <f t="shared" si="1"/>
        <v>0</v>
      </c>
    </row>
    <row r="741">
      <c r="H741" s="89">
        <f t="shared" si="1"/>
        <v>0</v>
      </c>
    </row>
    <row r="742">
      <c r="H742" s="89">
        <f t="shared" si="1"/>
        <v>0</v>
      </c>
    </row>
    <row r="743">
      <c r="H743" s="89">
        <f t="shared" si="1"/>
        <v>0</v>
      </c>
    </row>
    <row r="744">
      <c r="H744" s="89">
        <f t="shared" si="1"/>
        <v>0</v>
      </c>
    </row>
    <row r="745">
      <c r="H745" s="89">
        <f t="shared" si="1"/>
        <v>0</v>
      </c>
    </row>
    <row r="746">
      <c r="H746" s="89">
        <f t="shared" si="1"/>
        <v>0</v>
      </c>
    </row>
    <row r="747">
      <c r="H747" s="89">
        <f t="shared" si="1"/>
        <v>0</v>
      </c>
    </row>
    <row r="748">
      <c r="H748" s="89"/>
    </row>
    <row r="749">
      <c r="H749" s="89"/>
    </row>
    <row r="750">
      <c r="H750" s="89"/>
    </row>
    <row r="751">
      <c r="H751" s="89"/>
    </row>
    <row r="752">
      <c r="E752" s="89"/>
      <c r="F752" s="89"/>
      <c r="G752" s="17"/>
      <c r="H752" s="89"/>
    </row>
    <row r="753">
      <c r="E753" s="89"/>
      <c r="F753" s="89"/>
      <c r="G753" s="17"/>
      <c r="H753" s="89"/>
    </row>
    <row r="754">
      <c r="E754" s="89"/>
      <c r="F754" s="89"/>
      <c r="G754" s="17"/>
      <c r="H754" s="89"/>
    </row>
    <row r="755">
      <c r="E755" s="89"/>
      <c r="F755" s="89"/>
      <c r="G755" s="17"/>
      <c r="H755" s="89"/>
    </row>
    <row r="756">
      <c r="E756" s="89"/>
      <c r="F756" s="89"/>
      <c r="G756" s="17"/>
      <c r="H756" s="89"/>
    </row>
    <row r="757">
      <c r="E757" s="89"/>
      <c r="F757" s="89"/>
      <c r="G757" s="17"/>
      <c r="H757" s="89"/>
    </row>
    <row r="758">
      <c r="E758" s="89"/>
      <c r="F758" s="89"/>
      <c r="G758" s="17"/>
      <c r="H758" s="89"/>
    </row>
    <row r="759">
      <c r="E759" s="89"/>
      <c r="F759" s="89"/>
      <c r="G759" s="17"/>
      <c r="H759" s="17"/>
    </row>
    <row r="760">
      <c r="E760" s="89"/>
      <c r="F760" s="89"/>
      <c r="G760" s="17"/>
      <c r="H760" s="17"/>
    </row>
    <row r="761">
      <c r="E761" s="89"/>
      <c r="F761" s="89"/>
      <c r="G761" s="17"/>
      <c r="H761" s="17"/>
    </row>
    <row r="762">
      <c r="E762" s="89"/>
      <c r="F762" s="89"/>
      <c r="G762" s="17"/>
      <c r="H762" s="17"/>
    </row>
    <row r="763">
      <c r="E763" s="89"/>
      <c r="F763" s="89"/>
      <c r="G763" s="17"/>
      <c r="H763" s="17"/>
    </row>
    <row r="764">
      <c r="E764" s="89"/>
      <c r="F764" s="89"/>
      <c r="G764" s="17"/>
      <c r="H764" s="17"/>
    </row>
    <row r="765">
      <c r="E765" s="89"/>
      <c r="F765" s="89"/>
      <c r="G765" s="17"/>
      <c r="H765" s="17"/>
    </row>
    <row r="766">
      <c r="E766" s="89"/>
      <c r="F766" s="89"/>
      <c r="G766" s="17"/>
      <c r="H766" s="17"/>
    </row>
    <row r="767">
      <c r="E767" s="89"/>
      <c r="F767" s="89"/>
      <c r="G767" s="17"/>
      <c r="H767" s="17"/>
    </row>
    <row r="768">
      <c r="E768" s="89"/>
      <c r="F768" s="89"/>
      <c r="G768" s="17"/>
      <c r="H768" s="17"/>
    </row>
    <row r="769">
      <c r="E769" s="89"/>
      <c r="F769" s="89"/>
      <c r="G769" s="17"/>
      <c r="H769" s="17"/>
    </row>
    <row r="770">
      <c r="E770" s="89"/>
      <c r="F770" s="89"/>
      <c r="G770" s="17"/>
      <c r="H770" s="17"/>
    </row>
    <row r="771">
      <c r="E771" s="89"/>
      <c r="F771" s="89"/>
      <c r="G771" s="17"/>
      <c r="H771" s="17"/>
    </row>
    <row r="772">
      <c r="E772" s="89"/>
      <c r="F772" s="89"/>
      <c r="G772" s="17"/>
      <c r="H772" s="17"/>
    </row>
    <row r="773">
      <c r="E773" s="89"/>
      <c r="F773" s="89"/>
      <c r="G773" s="17"/>
      <c r="H773" s="17"/>
    </row>
    <row r="774">
      <c r="E774" s="89"/>
      <c r="F774" s="89"/>
      <c r="G774" s="17"/>
      <c r="H774" s="17"/>
    </row>
    <row r="775">
      <c r="E775" s="89"/>
      <c r="F775" s="89"/>
      <c r="G775" s="17"/>
      <c r="H775" s="17"/>
    </row>
    <row r="776">
      <c r="E776" s="89"/>
      <c r="F776" s="89"/>
      <c r="G776" s="17"/>
      <c r="H776" s="17"/>
    </row>
    <row r="777">
      <c r="E777" s="89"/>
      <c r="F777" s="89"/>
      <c r="G777" s="17"/>
      <c r="H777" s="17"/>
    </row>
    <row r="778">
      <c r="E778" s="89"/>
      <c r="F778" s="89"/>
      <c r="G778" s="17"/>
      <c r="H778" s="17"/>
    </row>
    <row r="779">
      <c r="E779" s="89"/>
      <c r="F779" s="89"/>
      <c r="G779" s="17"/>
      <c r="H779" s="17"/>
    </row>
    <row r="780">
      <c r="E780" s="89"/>
      <c r="F780" s="89"/>
      <c r="G780" s="17"/>
      <c r="H780" s="17"/>
    </row>
    <row r="781">
      <c r="E781" s="89"/>
      <c r="F781" s="89"/>
      <c r="G781" s="17"/>
      <c r="H781" s="17"/>
    </row>
    <row r="782">
      <c r="E782" s="89"/>
      <c r="F782" s="89"/>
      <c r="G782" s="17"/>
      <c r="H782" s="17"/>
    </row>
    <row r="783">
      <c r="E783" s="89"/>
      <c r="F783" s="89"/>
      <c r="G783" s="17"/>
      <c r="H783" s="17"/>
    </row>
    <row r="784">
      <c r="E784" s="89"/>
      <c r="F784" s="89"/>
      <c r="G784" s="17"/>
      <c r="H784" s="17"/>
    </row>
    <row r="785">
      <c r="E785" s="89"/>
      <c r="F785" s="89"/>
      <c r="G785" s="17"/>
      <c r="H785" s="17"/>
    </row>
    <row r="786">
      <c r="E786" s="89"/>
      <c r="F786" s="89"/>
      <c r="G786" s="17"/>
      <c r="H786" s="17"/>
    </row>
    <row r="787">
      <c r="E787" s="89"/>
      <c r="F787" s="89"/>
      <c r="G787" s="17"/>
      <c r="H787" s="17"/>
    </row>
    <row r="788">
      <c r="E788" s="89"/>
      <c r="F788" s="89"/>
      <c r="G788" s="17"/>
      <c r="H788" s="17"/>
    </row>
    <row r="789">
      <c r="E789" s="89"/>
      <c r="F789" s="89"/>
      <c r="G789" s="17"/>
      <c r="H789" s="17"/>
    </row>
    <row r="790">
      <c r="E790" s="89"/>
      <c r="F790" s="89"/>
      <c r="G790" s="17"/>
      <c r="H790" s="17"/>
    </row>
    <row r="791">
      <c r="E791" s="89"/>
      <c r="F791" s="89"/>
      <c r="G791" s="17"/>
      <c r="H791" s="17"/>
    </row>
    <row r="792">
      <c r="E792" s="89"/>
      <c r="F792" s="89"/>
      <c r="G792" s="17"/>
      <c r="H792" s="17"/>
    </row>
    <row r="793">
      <c r="E793" s="89"/>
      <c r="F793" s="89"/>
      <c r="G793" s="17"/>
      <c r="H793" s="17"/>
    </row>
    <row r="794">
      <c r="E794" s="89"/>
      <c r="F794" s="89"/>
      <c r="G794" s="17"/>
      <c r="H794" s="17"/>
    </row>
    <row r="795">
      <c r="E795" s="89"/>
      <c r="F795" s="89"/>
      <c r="G795" s="17"/>
      <c r="H795" s="17"/>
    </row>
    <row r="796">
      <c r="E796" s="89"/>
      <c r="F796" s="89"/>
      <c r="G796" s="17"/>
      <c r="H796" s="17"/>
    </row>
    <row r="797">
      <c r="E797" s="89"/>
      <c r="F797" s="89"/>
      <c r="G797" s="17"/>
      <c r="H797" s="17"/>
    </row>
    <row r="798">
      <c r="E798" s="89"/>
      <c r="F798" s="89"/>
      <c r="G798" s="17"/>
      <c r="H798" s="17"/>
    </row>
    <row r="799">
      <c r="E799" s="89"/>
      <c r="F799" s="89"/>
      <c r="G799" s="17"/>
      <c r="H799" s="17"/>
    </row>
    <row r="800">
      <c r="E800" s="89"/>
      <c r="F800" s="89"/>
      <c r="G800" s="17"/>
      <c r="H800" s="17"/>
    </row>
    <row r="801">
      <c r="E801" s="89"/>
      <c r="F801" s="89"/>
      <c r="G801" s="17"/>
      <c r="H801" s="17"/>
    </row>
    <row r="802">
      <c r="E802" s="89"/>
      <c r="F802" s="89"/>
      <c r="G802" s="17"/>
      <c r="H802" s="17"/>
    </row>
    <row r="803">
      <c r="E803" s="89"/>
      <c r="F803" s="89"/>
      <c r="G803" s="17"/>
      <c r="H803" s="17"/>
    </row>
    <row r="804">
      <c r="E804" s="89"/>
      <c r="F804" s="89"/>
      <c r="G804" s="17"/>
      <c r="H804" s="17"/>
    </row>
    <row r="805">
      <c r="E805" s="89"/>
      <c r="F805" s="89"/>
      <c r="G805" s="17"/>
      <c r="H805" s="17"/>
    </row>
    <row r="806">
      <c r="E806" s="89"/>
      <c r="F806" s="89"/>
      <c r="G806" s="17"/>
      <c r="H806" s="17"/>
    </row>
    <row r="807">
      <c r="E807" s="89"/>
      <c r="F807" s="89"/>
      <c r="G807" s="17"/>
      <c r="H807" s="17"/>
    </row>
    <row r="808">
      <c r="E808" s="89"/>
      <c r="F808" s="89"/>
      <c r="G808" s="17"/>
      <c r="H808" s="17"/>
    </row>
    <row r="809">
      <c r="E809" s="89"/>
      <c r="F809" s="89"/>
      <c r="G809" s="17"/>
      <c r="H809" s="17"/>
    </row>
    <row r="810">
      <c r="E810" s="89"/>
      <c r="F810" s="89"/>
      <c r="G810" s="17"/>
      <c r="H810" s="17"/>
    </row>
    <row r="811">
      <c r="E811" s="89"/>
      <c r="F811" s="89"/>
      <c r="G811" s="17"/>
      <c r="H811" s="17"/>
    </row>
    <row r="812">
      <c r="E812" s="89"/>
      <c r="F812" s="89"/>
      <c r="G812" s="17"/>
      <c r="H812" s="17"/>
    </row>
    <row r="813">
      <c r="E813" s="89"/>
      <c r="F813" s="89"/>
      <c r="G813" s="17"/>
      <c r="H813" s="17"/>
    </row>
    <row r="814">
      <c r="E814" s="89"/>
      <c r="F814" s="89"/>
      <c r="G814" s="17"/>
      <c r="H814" s="17"/>
    </row>
    <row r="815">
      <c r="E815" s="89"/>
      <c r="F815" s="89"/>
      <c r="G815" s="17"/>
      <c r="H815" s="17"/>
    </row>
    <row r="816">
      <c r="E816" s="89"/>
      <c r="F816" s="89"/>
      <c r="G816" s="17"/>
      <c r="H816" s="17"/>
    </row>
    <row r="817">
      <c r="E817" s="89"/>
      <c r="F817" s="89"/>
      <c r="G817" s="17"/>
      <c r="H817" s="17"/>
    </row>
    <row r="818">
      <c r="E818" s="89"/>
      <c r="F818" s="89"/>
      <c r="G818" s="17"/>
      <c r="H818" s="17"/>
    </row>
    <row r="819">
      <c r="E819" s="89"/>
      <c r="F819" s="89"/>
      <c r="G819" s="17"/>
      <c r="H819" s="17"/>
    </row>
    <row r="820">
      <c r="E820" s="89"/>
      <c r="F820" s="89"/>
      <c r="G820" s="17"/>
      <c r="H820" s="17"/>
    </row>
    <row r="821">
      <c r="E821" s="89"/>
      <c r="F821" s="89"/>
      <c r="G821" s="17"/>
      <c r="H821" s="17"/>
    </row>
    <row r="822">
      <c r="E822" s="89"/>
      <c r="F822" s="89"/>
      <c r="G822" s="17"/>
      <c r="H822" s="17"/>
    </row>
    <row r="823">
      <c r="E823" s="89"/>
      <c r="F823" s="89"/>
      <c r="G823" s="17"/>
      <c r="H823" s="17"/>
    </row>
    <row r="824">
      <c r="E824" s="89"/>
      <c r="F824" s="89"/>
      <c r="G824" s="17"/>
      <c r="H824" s="17"/>
    </row>
    <row r="825">
      <c r="E825" s="89"/>
      <c r="F825" s="89"/>
      <c r="G825" s="17"/>
      <c r="H825" s="17"/>
    </row>
    <row r="826">
      <c r="E826" s="89"/>
      <c r="F826" s="89"/>
      <c r="G826" s="17"/>
      <c r="H826" s="17"/>
    </row>
    <row r="827">
      <c r="E827" s="89"/>
      <c r="F827" s="89"/>
      <c r="G827" s="17"/>
      <c r="H827" s="17"/>
    </row>
    <row r="828">
      <c r="E828" s="89"/>
      <c r="F828" s="89"/>
      <c r="G828" s="17"/>
      <c r="H828" s="17"/>
    </row>
    <row r="829">
      <c r="E829" s="89"/>
      <c r="F829" s="89"/>
      <c r="G829" s="17"/>
      <c r="H829" s="17"/>
    </row>
    <row r="830">
      <c r="E830" s="89"/>
      <c r="F830" s="89"/>
      <c r="G830" s="17"/>
      <c r="H830" s="17"/>
    </row>
    <row r="831">
      <c r="E831" s="89"/>
      <c r="F831" s="89"/>
      <c r="G831" s="17"/>
      <c r="H831" s="17"/>
    </row>
    <row r="832">
      <c r="E832" s="89"/>
      <c r="F832" s="89"/>
      <c r="G832" s="17"/>
      <c r="H832" s="17"/>
    </row>
    <row r="833">
      <c r="E833" s="89"/>
      <c r="F833" s="89"/>
      <c r="G833" s="17"/>
      <c r="H833" s="17"/>
    </row>
    <row r="834">
      <c r="E834" s="89"/>
      <c r="F834" s="89"/>
      <c r="G834" s="17"/>
      <c r="H834" s="17"/>
    </row>
    <row r="835">
      <c r="E835" s="89"/>
      <c r="F835" s="89"/>
      <c r="G835" s="17"/>
      <c r="H835" s="17"/>
    </row>
    <row r="836">
      <c r="E836" s="89"/>
      <c r="F836" s="89"/>
      <c r="G836" s="17"/>
      <c r="H836" s="17"/>
    </row>
    <row r="837">
      <c r="E837" s="89"/>
      <c r="F837" s="89"/>
      <c r="G837" s="17"/>
      <c r="H837" s="17"/>
    </row>
    <row r="838">
      <c r="E838" s="89"/>
      <c r="F838" s="89"/>
      <c r="G838" s="17"/>
      <c r="H838" s="17"/>
    </row>
    <row r="839">
      <c r="E839" s="89"/>
      <c r="F839" s="89"/>
      <c r="G839" s="17"/>
      <c r="H839" s="17"/>
    </row>
    <row r="840">
      <c r="E840" s="89"/>
      <c r="F840" s="89"/>
      <c r="G840" s="17"/>
      <c r="H840" s="17"/>
    </row>
    <row r="841">
      <c r="E841" s="89"/>
      <c r="F841" s="89"/>
      <c r="G841" s="17"/>
      <c r="H841" s="17"/>
    </row>
    <row r="842">
      <c r="E842" s="89"/>
      <c r="F842" s="89"/>
      <c r="G842" s="17"/>
      <c r="H842" s="17"/>
    </row>
    <row r="843">
      <c r="E843" s="89"/>
      <c r="F843" s="89"/>
      <c r="G843" s="17"/>
      <c r="H843" s="17"/>
    </row>
    <row r="844">
      <c r="E844" s="89"/>
      <c r="F844" s="89"/>
      <c r="G844" s="17"/>
      <c r="H844" s="17"/>
    </row>
    <row r="845">
      <c r="E845" s="89"/>
      <c r="F845" s="89"/>
      <c r="G845" s="17"/>
      <c r="H845" s="17"/>
    </row>
    <row r="846">
      <c r="E846" s="89"/>
      <c r="F846" s="89"/>
      <c r="G846" s="17"/>
      <c r="H846" s="17"/>
    </row>
    <row r="847">
      <c r="E847" s="89"/>
      <c r="F847" s="89"/>
      <c r="G847" s="17"/>
      <c r="H847" s="17"/>
    </row>
    <row r="848">
      <c r="E848" s="89"/>
      <c r="F848" s="89"/>
      <c r="G848" s="17"/>
      <c r="H848" s="17"/>
    </row>
    <row r="849">
      <c r="E849" s="89"/>
      <c r="F849" s="89"/>
      <c r="G849" s="17"/>
      <c r="H849" s="17"/>
    </row>
    <row r="850">
      <c r="E850" s="89"/>
      <c r="F850" s="89"/>
      <c r="G850" s="17"/>
      <c r="H850" s="17"/>
    </row>
    <row r="851">
      <c r="E851" s="89"/>
      <c r="F851" s="89"/>
      <c r="G851" s="17"/>
      <c r="H851" s="17"/>
    </row>
    <row r="852">
      <c r="E852" s="89"/>
      <c r="F852" s="89"/>
      <c r="G852" s="17"/>
      <c r="H852" s="17"/>
    </row>
    <row r="853">
      <c r="E853" s="89"/>
      <c r="F853" s="89"/>
      <c r="G853" s="17"/>
      <c r="H853" s="17"/>
    </row>
    <row r="854">
      <c r="E854" s="89"/>
      <c r="F854" s="89"/>
      <c r="G854" s="17"/>
      <c r="H854" s="17"/>
    </row>
    <row r="855">
      <c r="E855" s="89"/>
      <c r="F855" s="89"/>
      <c r="G855" s="17"/>
      <c r="H855" s="17"/>
    </row>
    <row r="856">
      <c r="E856" s="89"/>
      <c r="F856" s="89"/>
      <c r="G856" s="17"/>
      <c r="H856" s="17"/>
    </row>
    <row r="857">
      <c r="E857" s="89"/>
      <c r="F857" s="89"/>
      <c r="G857" s="17"/>
      <c r="H857" s="17"/>
    </row>
    <row r="858">
      <c r="E858" s="89"/>
      <c r="F858" s="89"/>
      <c r="G858" s="17"/>
      <c r="H858" s="17"/>
    </row>
    <row r="859">
      <c r="E859" s="89"/>
      <c r="F859" s="89"/>
      <c r="G859" s="17"/>
      <c r="H859" s="17"/>
    </row>
    <row r="860">
      <c r="E860" s="89"/>
      <c r="F860" s="89"/>
      <c r="G860" s="17"/>
      <c r="H860" s="17"/>
    </row>
    <row r="861">
      <c r="E861" s="89"/>
      <c r="F861" s="89"/>
      <c r="G861" s="17"/>
      <c r="H861" s="17"/>
    </row>
    <row r="862">
      <c r="E862" s="89"/>
      <c r="F862" s="89"/>
      <c r="G862" s="17"/>
      <c r="H862" s="17"/>
    </row>
    <row r="863">
      <c r="E863" s="89"/>
      <c r="F863" s="89"/>
      <c r="G863" s="17"/>
      <c r="H863" s="17"/>
    </row>
    <row r="864">
      <c r="E864" s="89"/>
      <c r="F864" s="89"/>
      <c r="G864" s="17"/>
      <c r="H864" s="17"/>
    </row>
    <row r="865">
      <c r="E865" s="89"/>
      <c r="F865" s="89"/>
      <c r="G865" s="17"/>
      <c r="H865" s="17"/>
    </row>
    <row r="866">
      <c r="E866" s="89"/>
      <c r="F866" s="89"/>
      <c r="G866" s="17"/>
      <c r="H866" s="17"/>
    </row>
    <row r="867">
      <c r="E867" s="89"/>
      <c r="F867" s="89"/>
      <c r="G867" s="17"/>
      <c r="H867" s="17"/>
    </row>
    <row r="868">
      <c r="E868" s="89"/>
      <c r="F868" s="89"/>
      <c r="G868" s="17"/>
      <c r="H868" s="17"/>
    </row>
    <row r="869">
      <c r="E869" s="89"/>
      <c r="F869" s="89"/>
      <c r="G869" s="17"/>
      <c r="H869" s="17"/>
    </row>
    <row r="870">
      <c r="E870" s="89"/>
      <c r="F870" s="89"/>
      <c r="G870" s="17"/>
      <c r="H870" s="17"/>
    </row>
    <row r="871">
      <c r="E871" s="89"/>
      <c r="F871" s="89"/>
      <c r="G871" s="17"/>
      <c r="H871" s="17"/>
    </row>
    <row r="872">
      <c r="E872" s="89"/>
      <c r="F872" s="89"/>
      <c r="G872" s="17"/>
      <c r="H872" s="17"/>
    </row>
    <row r="873">
      <c r="E873" s="89"/>
      <c r="F873" s="89"/>
      <c r="G873" s="17"/>
      <c r="H873" s="17"/>
    </row>
    <row r="874">
      <c r="E874" s="89"/>
      <c r="F874" s="89"/>
      <c r="G874" s="17"/>
      <c r="H874" s="17"/>
    </row>
    <row r="875">
      <c r="E875" s="89"/>
      <c r="F875" s="89"/>
      <c r="G875" s="17"/>
      <c r="H875" s="17"/>
    </row>
    <row r="876">
      <c r="E876" s="89"/>
      <c r="F876" s="89"/>
      <c r="G876" s="17"/>
      <c r="H876" s="17"/>
    </row>
    <row r="877">
      <c r="E877" s="89"/>
      <c r="F877" s="89"/>
      <c r="G877" s="17"/>
      <c r="H877" s="17"/>
    </row>
    <row r="878">
      <c r="E878" s="89"/>
      <c r="F878" s="89"/>
      <c r="G878" s="17"/>
      <c r="H878" s="17"/>
    </row>
    <row r="879">
      <c r="E879" s="89"/>
      <c r="F879" s="89"/>
      <c r="G879" s="17"/>
      <c r="H879" s="17"/>
    </row>
    <row r="880">
      <c r="E880" s="89"/>
      <c r="F880" s="89"/>
      <c r="G880" s="17"/>
      <c r="H880" s="17"/>
    </row>
    <row r="881">
      <c r="E881" s="89"/>
      <c r="F881" s="89"/>
      <c r="G881" s="17"/>
      <c r="H881" s="17"/>
    </row>
    <row r="882">
      <c r="E882" s="89"/>
      <c r="F882" s="89"/>
      <c r="G882" s="17"/>
      <c r="H882" s="17"/>
    </row>
    <row r="883">
      <c r="E883" s="89"/>
      <c r="F883" s="89"/>
      <c r="G883" s="17"/>
      <c r="H883" s="17"/>
    </row>
    <row r="884">
      <c r="E884" s="89"/>
      <c r="F884" s="89"/>
      <c r="G884" s="17"/>
      <c r="H884" s="17"/>
    </row>
    <row r="885">
      <c r="E885" s="89"/>
      <c r="F885" s="89"/>
      <c r="G885" s="17"/>
      <c r="H885" s="17"/>
    </row>
    <row r="886">
      <c r="E886" s="89"/>
      <c r="F886" s="89"/>
      <c r="G886" s="17"/>
      <c r="H886" s="17"/>
    </row>
    <row r="887">
      <c r="E887" s="89"/>
      <c r="F887" s="89"/>
      <c r="G887" s="17"/>
      <c r="H887" s="17"/>
    </row>
    <row r="888">
      <c r="E888" s="89"/>
      <c r="F888" s="89"/>
      <c r="G888" s="17"/>
      <c r="H888" s="17"/>
    </row>
    <row r="889">
      <c r="E889" s="89"/>
      <c r="F889" s="89"/>
      <c r="G889" s="17"/>
      <c r="H889" s="17"/>
    </row>
    <row r="890">
      <c r="E890" s="89"/>
      <c r="F890" s="89"/>
      <c r="G890" s="17"/>
      <c r="H890" s="17"/>
    </row>
    <row r="891">
      <c r="E891" s="89"/>
      <c r="F891" s="89"/>
      <c r="G891" s="17"/>
      <c r="H891" s="17"/>
    </row>
    <row r="892">
      <c r="E892" s="89"/>
      <c r="F892" s="89"/>
      <c r="G892" s="17"/>
      <c r="H892" s="17"/>
    </row>
    <row r="893">
      <c r="E893" s="89"/>
      <c r="F893" s="89"/>
      <c r="G893" s="17"/>
      <c r="H893" s="17"/>
    </row>
    <row r="894">
      <c r="E894" s="89"/>
      <c r="F894" s="89"/>
      <c r="G894" s="17"/>
      <c r="H894" s="17"/>
    </row>
    <row r="895">
      <c r="E895" s="89"/>
      <c r="F895" s="89"/>
      <c r="G895" s="17"/>
      <c r="H895" s="17"/>
    </row>
    <row r="896">
      <c r="E896" s="89"/>
      <c r="F896" s="89"/>
      <c r="G896" s="17"/>
      <c r="H896" s="17"/>
    </row>
    <row r="897">
      <c r="E897" s="89"/>
      <c r="F897" s="89"/>
      <c r="G897" s="17"/>
      <c r="H897" s="17"/>
    </row>
    <row r="898">
      <c r="E898" s="89"/>
      <c r="F898" s="89"/>
      <c r="G898" s="17"/>
      <c r="H898" s="17"/>
    </row>
    <row r="899">
      <c r="E899" s="89"/>
      <c r="F899" s="89"/>
      <c r="G899" s="17"/>
      <c r="H899" s="17"/>
    </row>
    <row r="900">
      <c r="E900" s="89"/>
      <c r="F900" s="89"/>
      <c r="G900" s="17"/>
      <c r="H900" s="17"/>
    </row>
    <row r="901">
      <c r="E901" s="89"/>
      <c r="F901" s="89"/>
      <c r="G901" s="17"/>
      <c r="H901" s="17"/>
    </row>
    <row r="902">
      <c r="E902" s="89"/>
      <c r="F902" s="89"/>
      <c r="G902" s="17"/>
      <c r="H902" s="17"/>
    </row>
    <row r="903">
      <c r="E903" s="89"/>
      <c r="F903" s="89"/>
      <c r="G903" s="17"/>
      <c r="H903" s="17"/>
    </row>
    <row r="904">
      <c r="E904" s="89"/>
      <c r="F904" s="89"/>
      <c r="G904" s="17"/>
      <c r="H904" s="17"/>
    </row>
    <row r="905">
      <c r="E905" s="89"/>
      <c r="F905" s="89"/>
      <c r="G905" s="17"/>
      <c r="H905" s="17"/>
    </row>
    <row r="906">
      <c r="E906" s="89"/>
      <c r="F906" s="89"/>
      <c r="G906" s="17"/>
      <c r="H906" s="17"/>
    </row>
    <row r="907">
      <c r="E907" s="89"/>
      <c r="F907" s="89"/>
      <c r="G907" s="17"/>
      <c r="H907" s="17"/>
    </row>
    <row r="908">
      <c r="E908" s="89"/>
      <c r="F908" s="89"/>
      <c r="G908" s="17"/>
      <c r="H908" s="17"/>
    </row>
    <row r="909">
      <c r="E909" s="89"/>
      <c r="F909" s="89"/>
      <c r="G909" s="17"/>
      <c r="H909" s="17"/>
    </row>
    <row r="910">
      <c r="E910" s="89"/>
      <c r="F910" s="89"/>
      <c r="G910" s="17"/>
      <c r="H910" s="17"/>
    </row>
    <row r="911">
      <c r="E911" s="89"/>
      <c r="F911" s="89"/>
      <c r="G911" s="17"/>
      <c r="H911" s="17"/>
    </row>
    <row r="912">
      <c r="E912" s="89"/>
      <c r="F912" s="89"/>
      <c r="G912" s="17"/>
      <c r="H912" s="17"/>
    </row>
    <row r="913">
      <c r="E913" s="89"/>
      <c r="F913" s="89"/>
      <c r="G913" s="17"/>
      <c r="H913" s="17"/>
    </row>
    <row r="914">
      <c r="E914" s="89"/>
      <c r="F914" s="89"/>
      <c r="G914" s="17"/>
      <c r="H914" s="17"/>
    </row>
    <row r="915">
      <c r="E915" s="89"/>
      <c r="F915" s="89"/>
      <c r="G915" s="17"/>
      <c r="H915" s="17"/>
    </row>
    <row r="916">
      <c r="E916" s="89"/>
      <c r="F916" s="89"/>
      <c r="G916" s="17"/>
      <c r="H916" s="17"/>
    </row>
    <row r="917">
      <c r="E917" s="89"/>
      <c r="F917" s="89"/>
      <c r="G917" s="17"/>
      <c r="H917" s="17"/>
    </row>
    <row r="918">
      <c r="E918" s="89"/>
      <c r="F918" s="89"/>
      <c r="G918" s="17"/>
      <c r="H918" s="17"/>
    </row>
    <row r="919">
      <c r="E919" s="89"/>
      <c r="F919" s="89"/>
      <c r="G919" s="17"/>
      <c r="H919" s="17"/>
    </row>
    <row r="920">
      <c r="E920" s="89"/>
      <c r="F920" s="89"/>
      <c r="G920" s="17"/>
      <c r="H920" s="17"/>
    </row>
    <row r="921">
      <c r="E921" s="89"/>
      <c r="F921" s="89"/>
      <c r="G921" s="17"/>
      <c r="H921" s="17"/>
    </row>
    <row r="922">
      <c r="E922" s="89"/>
      <c r="F922" s="89"/>
      <c r="G922" s="17"/>
      <c r="H922" s="17"/>
    </row>
    <row r="923">
      <c r="E923" s="89"/>
      <c r="F923" s="89"/>
      <c r="G923" s="17"/>
      <c r="H923" s="17"/>
    </row>
    <row r="924">
      <c r="E924" s="89"/>
      <c r="F924" s="89"/>
      <c r="G924" s="17"/>
      <c r="H924" s="17"/>
    </row>
    <row r="925">
      <c r="E925" s="89"/>
      <c r="F925" s="89"/>
      <c r="G925" s="17"/>
      <c r="H925" s="17"/>
    </row>
    <row r="926">
      <c r="E926" s="89"/>
      <c r="F926" s="89"/>
      <c r="G926" s="17"/>
      <c r="H926" s="17"/>
    </row>
    <row r="927">
      <c r="E927" s="89"/>
      <c r="F927" s="89"/>
      <c r="G927" s="17"/>
      <c r="H927" s="17"/>
    </row>
    <row r="928">
      <c r="E928" s="89"/>
      <c r="F928" s="89"/>
      <c r="G928" s="17"/>
      <c r="H928" s="17"/>
    </row>
    <row r="929">
      <c r="E929" s="89"/>
      <c r="F929" s="89"/>
      <c r="G929" s="17"/>
      <c r="H929" s="17"/>
    </row>
    <row r="930">
      <c r="E930" s="89"/>
      <c r="F930" s="89"/>
      <c r="G930" s="17"/>
      <c r="H930" s="17"/>
    </row>
    <row r="931">
      <c r="E931" s="89"/>
      <c r="F931" s="89"/>
      <c r="G931" s="17"/>
      <c r="H931" s="17"/>
    </row>
    <row r="932">
      <c r="E932" s="89"/>
      <c r="F932" s="89"/>
      <c r="G932" s="17"/>
      <c r="H932" s="17"/>
    </row>
    <row r="933">
      <c r="E933" s="89"/>
      <c r="F933" s="89"/>
      <c r="G933" s="17"/>
      <c r="H933" s="17"/>
    </row>
    <row r="934">
      <c r="E934" s="89"/>
      <c r="F934" s="89"/>
      <c r="G934" s="17"/>
      <c r="H934" s="17"/>
    </row>
    <row r="935">
      <c r="E935" s="89"/>
      <c r="F935" s="89"/>
      <c r="G935" s="17"/>
      <c r="H935" s="17"/>
    </row>
    <row r="936">
      <c r="E936" s="89"/>
      <c r="F936" s="89"/>
      <c r="G936" s="17"/>
      <c r="H936" s="17"/>
    </row>
    <row r="937">
      <c r="E937" s="89"/>
      <c r="F937" s="89"/>
      <c r="G937" s="17"/>
      <c r="H937" s="17"/>
    </row>
    <row r="938">
      <c r="E938" s="89"/>
      <c r="F938" s="89"/>
      <c r="G938" s="17"/>
      <c r="H938" s="17"/>
    </row>
    <row r="939">
      <c r="E939" s="89"/>
      <c r="F939" s="89"/>
      <c r="G939" s="17"/>
      <c r="H939" s="17"/>
    </row>
    <row r="940">
      <c r="E940" s="89"/>
      <c r="F940" s="89"/>
      <c r="G940" s="17"/>
      <c r="H940" s="17"/>
    </row>
    <row r="941">
      <c r="E941" s="89"/>
      <c r="F941" s="89"/>
      <c r="G941" s="17"/>
      <c r="H941" s="17"/>
    </row>
    <row r="942">
      <c r="E942" s="89"/>
      <c r="F942" s="89"/>
      <c r="G942" s="17"/>
      <c r="H942" s="17"/>
    </row>
    <row r="943">
      <c r="E943" s="89"/>
      <c r="F943" s="89"/>
      <c r="G943" s="17"/>
      <c r="H943" s="17"/>
    </row>
    <row r="944">
      <c r="E944" s="89"/>
      <c r="F944" s="89"/>
      <c r="G944" s="17"/>
      <c r="H944" s="17"/>
    </row>
    <row r="945">
      <c r="E945" s="89"/>
      <c r="F945" s="89"/>
      <c r="G945" s="17"/>
      <c r="H945" s="17"/>
    </row>
    <row r="946">
      <c r="E946" s="89"/>
      <c r="F946" s="89"/>
      <c r="G946" s="17"/>
      <c r="H946" s="17"/>
    </row>
    <row r="947">
      <c r="E947" s="89"/>
      <c r="F947" s="89"/>
      <c r="G947" s="17"/>
      <c r="H947" s="17"/>
    </row>
    <row r="948">
      <c r="E948" s="89"/>
      <c r="F948" s="89"/>
      <c r="G948" s="17"/>
      <c r="H948" s="17"/>
    </row>
    <row r="949">
      <c r="E949" s="89"/>
      <c r="F949" s="89"/>
      <c r="G949" s="17"/>
      <c r="H949" s="17"/>
    </row>
    <row r="950">
      <c r="E950" s="89"/>
      <c r="F950" s="89"/>
      <c r="G950" s="17"/>
      <c r="H950" s="17"/>
    </row>
    <row r="951">
      <c r="E951" s="89"/>
      <c r="F951" s="89"/>
      <c r="G951" s="17"/>
      <c r="H951" s="17"/>
    </row>
    <row r="952">
      <c r="E952" s="89"/>
      <c r="F952" s="89"/>
      <c r="G952" s="17"/>
      <c r="H952" s="17"/>
    </row>
    <row r="953">
      <c r="E953" s="89"/>
      <c r="F953" s="89"/>
      <c r="G953" s="17"/>
      <c r="H953" s="17"/>
    </row>
    <row r="954">
      <c r="E954" s="89"/>
      <c r="F954" s="89"/>
      <c r="G954" s="17"/>
      <c r="H954" s="17"/>
    </row>
    <row r="955">
      <c r="E955" s="89"/>
      <c r="F955" s="89"/>
      <c r="G955" s="17"/>
      <c r="H955" s="17"/>
    </row>
    <row r="956">
      <c r="E956" s="89"/>
      <c r="F956" s="89"/>
      <c r="G956" s="17"/>
      <c r="H956" s="17"/>
    </row>
    <row r="957">
      <c r="E957" s="89"/>
      <c r="F957" s="89"/>
      <c r="G957" s="17"/>
      <c r="H957" s="17"/>
    </row>
    <row r="958">
      <c r="E958" s="89"/>
      <c r="F958" s="89"/>
      <c r="G958" s="17"/>
      <c r="H958" s="17"/>
    </row>
    <row r="959">
      <c r="E959" s="89"/>
      <c r="F959" s="89"/>
      <c r="G959" s="17"/>
      <c r="H959" s="17"/>
    </row>
    <row r="960">
      <c r="E960" s="89"/>
      <c r="F960" s="89"/>
      <c r="G960" s="17"/>
      <c r="H960" s="17"/>
    </row>
    <row r="961">
      <c r="E961" s="89"/>
      <c r="F961" s="89"/>
      <c r="G961" s="17"/>
      <c r="H961" s="17"/>
    </row>
    <row r="962">
      <c r="E962" s="89"/>
      <c r="F962" s="89"/>
      <c r="G962" s="17"/>
      <c r="H962" s="17"/>
    </row>
    <row r="963">
      <c r="E963" s="89"/>
      <c r="F963" s="89"/>
      <c r="G963" s="17"/>
      <c r="H963" s="17"/>
    </row>
    <row r="964">
      <c r="E964" s="89"/>
      <c r="F964" s="89"/>
      <c r="G964" s="17"/>
      <c r="H964" s="17"/>
    </row>
    <row r="965">
      <c r="E965" s="89"/>
      <c r="F965" s="89"/>
      <c r="G965" s="17"/>
      <c r="H965" s="17"/>
    </row>
    <row r="966">
      <c r="E966" s="89"/>
      <c r="F966" s="89"/>
      <c r="G966" s="17"/>
      <c r="H966" s="17"/>
    </row>
    <row r="967">
      <c r="E967" s="89"/>
      <c r="F967" s="89"/>
      <c r="G967" s="17"/>
      <c r="H967" s="17"/>
    </row>
    <row r="968">
      <c r="E968" s="89"/>
      <c r="F968" s="89"/>
      <c r="G968" s="17"/>
      <c r="H968" s="17"/>
    </row>
    <row r="969">
      <c r="E969" s="89"/>
      <c r="F969" s="89"/>
      <c r="G969" s="17"/>
      <c r="H969" s="17"/>
    </row>
    <row r="970">
      <c r="E970" s="89"/>
      <c r="F970" s="89"/>
      <c r="G970" s="17"/>
      <c r="H970" s="17"/>
    </row>
    <row r="971">
      <c r="E971" s="89"/>
      <c r="F971" s="89"/>
      <c r="G971" s="17"/>
      <c r="H971" s="17"/>
    </row>
    <row r="972">
      <c r="E972" s="89"/>
      <c r="F972" s="89"/>
      <c r="G972" s="17"/>
      <c r="H972" s="17"/>
    </row>
    <row r="973">
      <c r="E973" s="89"/>
      <c r="F973" s="89"/>
      <c r="G973" s="17"/>
      <c r="H973" s="17"/>
    </row>
    <row r="974">
      <c r="E974" s="89"/>
      <c r="F974" s="89"/>
      <c r="G974" s="17"/>
      <c r="H974" s="17"/>
    </row>
    <row r="975">
      <c r="E975" s="89"/>
      <c r="F975" s="89"/>
      <c r="G975" s="17"/>
      <c r="H975" s="17"/>
    </row>
    <row r="976">
      <c r="E976" s="89"/>
      <c r="F976" s="89"/>
      <c r="G976" s="17"/>
      <c r="H976" s="17"/>
    </row>
    <row r="977">
      <c r="E977" s="89"/>
      <c r="F977" s="89"/>
      <c r="G977" s="17"/>
      <c r="H977" s="17"/>
    </row>
    <row r="978">
      <c r="E978" s="89"/>
      <c r="F978" s="89"/>
      <c r="G978" s="17"/>
      <c r="H978" s="17"/>
    </row>
    <row r="979">
      <c r="E979" s="89"/>
      <c r="F979" s="89"/>
      <c r="G979" s="17"/>
      <c r="H979" s="17"/>
    </row>
    <row r="980">
      <c r="E980" s="89"/>
      <c r="F980" s="89"/>
      <c r="G980" s="17"/>
      <c r="H980" s="17"/>
    </row>
    <row r="981">
      <c r="E981" s="89"/>
      <c r="F981" s="89"/>
      <c r="G981" s="17"/>
      <c r="H981" s="17"/>
    </row>
    <row r="982">
      <c r="E982" s="89"/>
      <c r="F982" s="89"/>
      <c r="G982" s="17"/>
      <c r="H982" s="17"/>
    </row>
    <row r="983">
      <c r="E983" s="89"/>
      <c r="F983" s="89"/>
      <c r="G983" s="17"/>
      <c r="H983" s="17"/>
    </row>
    <row r="984">
      <c r="E984" s="89"/>
      <c r="F984" s="89"/>
      <c r="G984" s="17"/>
      <c r="H984" s="17"/>
    </row>
    <row r="985">
      <c r="E985" s="89"/>
      <c r="F985" s="89"/>
      <c r="G985" s="17"/>
      <c r="H985" s="17"/>
    </row>
    <row r="986">
      <c r="E986" s="89"/>
      <c r="F986" s="89"/>
      <c r="G986" s="17"/>
      <c r="H986" s="17"/>
    </row>
    <row r="987">
      <c r="E987" s="89"/>
      <c r="F987" s="89"/>
      <c r="G987" s="17"/>
      <c r="H987" s="17"/>
    </row>
    <row r="988">
      <c r="E988" s="89"/>
      <c r="F988" s="89"/>
      <c r="G988" s="17"/>
      <c r="H988" s="17"/>
    </row>
    <row r="989">
      <c r="E989" s="89"/>
      <c r="F989" s="89"/>
      <c r="G989" s="17"/>
      <c r="H989" s="17"/>
    </row>
    <row r="990">
      <c r="E990" s="89"/>
      <c r="F990" s="89"/>
      <c r="G990" s="17"/>
      <c r="H990" s="17"/>
    </row>
    <row r="991">
      <c r="E991" s="89"/>
      <c r="F991" s="89"/>
      <c r="G991" s="17"/>
      <c r="H991" s="17"/>
    </row>
    <row r="992">
      <c r="E992" s="89"/>
      <c r="F992" s="89"/>
      <c r="G992" s="17"/>
      <c r="H992" s="17"/>
    </row>
    <row r="993">
      <c r="E993" s="89"/>
      <c r="F993" s="89"/>
      <c r="G993" s="17"/>
      <c r="H993" s="17"/>
    </row>
    <row r="994">
      <c r="E994" s="89"/>
      <c r="F994" s="89"/>
      <c r="G994" s="17"/>
      <c r="H994" s="17"/>
    </row>
    <row r="995">
      <c r="E995" s="89"/>
      <c r="F995" s="89"/>
      <c r="G995" s="17"/>
      <c r="H995" s="17"/>
    </row>
    <row r="996">
      <c r="E996" s="89"/>
      <c r="F996" s="89"/>
      <c r="G996" s="17"/>
      <c r="H996" s="17"/>
    </row>
    <row r="997">
      <c r="E997" s="89"/>
      <c r="F997" s="89"/>
      <c r="G997" s="17"/>
      <c r="H997" s="17"/>
    </row>
    <row r="998">
      <c r="E998" s="89"/>
      <c r="F998" s="89"/>
      <c r="G998" s="17"/>
      <c r="H998" s="17"/>
    </row>
    <row r="999">
      <c r="E999" s="89"/>
      <c r="F999" s="89"/>
      <c r="G999" s="17"/>
      <c r="H999" s="17"/>
    </row>
    <row r="1000">
      <c r="E1000" s="89"/>
      <c r="F1000" s="89"/>
      <c r="G1000" s="17"/>
      <c r="H1000" s="17"/>
    </row>
  </sheetData>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75"/>
    <col customWidth="1" min="2" max="2" width="2.0"/>
    <col customWidth="1" min="3" max="3" width="18.88"/>
    <col customWidth="1" min="4" max="6" width="13.63"/>
    <col customWidth="1" min="12" max="12" width="7.63"/>
    <col customWidth="1" min="13" max="13" width="3.0"/>
    <col customWidth="1" min="14" max="14" width="37.0"/>
  </cols>
  <sheetData>
    <row r="2">
      <c r="C2" s="77" t="s">
        <v>362</v>
      </c>
    </row>
    <row r="4">
      <c r="B4" s="141"/>
      <c r="C4" s="142"/>
      <c r="D4" s="142"/>
      <c r="E4" s="142"/>
      <c r="F4" s="142"/>
      <c r="G4" s="142"/>
      <c r="H4" s="142"/>
      <c r="I4" s="142"/>
      <c r="J4" s="142"/>
      <c r="K4" s="142"/>
      <c r="L4" s="142"/>
      <c r="M4" s="142"/>
      <c r="N4" s="143" t="s">
        <v>360</v>
      </c>
    </row>
    <row r="5">
      <c r="B5" s="144"/>
      <c r="C5" s="145" t="s">
        <v>363</v>
      </c>
      <c r="D5" s="146"/>
      <c r="E5" s="146"/>
      <c r="N5" s="147" t="str">
        <f>callGEMINI("Analiza los datos proporcionados, que muestran los niveles de logro en "&amp;$C$2&amp;" de los estudiantes de la red rural "&amp;D7&amp;"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Sin no hay datos validos para 2022 toma los datos de 2023.  
2. **Comparación con años anteriores:**  
   - Calcula el cambio porcentual de 'Logro esperado' comparado con 2023 y 2022.  
   - Destaca la **movilización de estudiantes** "&amp;"desde el nivel 'Inicio' hacia 'Proceso'.  
   - Usa la fórmula: **(Porcentaje de 2024) - (Porcentaje del año anterior)** para obtener los cambios.  
   - Redondea los valores porcentuales a **números enteros (sin decimales)**.  
3. **Estructura de la res"&amp;"puesta:**  
   - Usa una narrativa clara y directa, similar al siguiente **EJEMPLO:**  
   *Ejemplo:*  
   *En el año 2024, los niveles de logro en "&amp;$C$2&amp;" de los estudiantes de la red "&amp;MID(D7,1,2)&amp;" sector rural de la región '"&amp;MID(D7,4,20)&amp;"'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crearJSONdesdeTabla(C12:F15,0))</f>
        <v>En el año 2024, los niveles de logro en Matemática de los estudiantes de la red rural 44. Cusco en los colegios Fe y Alegría muestran que un 38% se encuentra en el nivel "Proceso". En comparación con 2023, esto representa una disminución de 2 puntos porcentuales.
Además, para el 2024 se observa una movilización de estudiantes desde el nivel "Inicio" hacia "Proceso". Se observa una reducción del 29% en "Inicio" comparado con la linea base (2022) y un aumento del 14% en "Proceso" comparado con la linea base, lo que indica que más estudiantes están avanzando en sus aprendizajes.
</v>
      </c>
    </row>
    <row r="6">
      <c r="B6" s="144"/>
      <c r="C6" s="148" t="s">
        <v>3</v>
      </c>
      <c r="D6" s="149" t="s">
        <v>365</v>
      </c>
      <c r="E6" s="150"/>
      <c r="F6" s="77" t="str">
        <f t="shared" ref="F6:F8" si="1">IF(D6="*","Todos","")</f>
        <v>Todos</v>
      </c>
      <c r="I6" s="151"/>
      <c r="J6" s="151"/>
      <c r="K6" s="151"/>
      <c r="L6" s="151"/>
      <c r="M6" s="151"/>
      <c r="N6" s="152"/>
    </row>
    <row r="7">
      <c r="B7" s="144"/>
      <c r="C7" s="148" t="s">
        <v>366</v>
      </c>
      <c r="D7" s="149" t="s">
        <v>90</v>
      </c>
      <c r="E7" s="150"/>
      <c r="F7" s="77" t="str">
        <f t="shared" si="1"/>
        <v/>
      </c>
      <c r="I7" s="153"/>
      <c r="J7" s="153"/>
      <c r="K7" s="153"/>
      <c r="L7" s="153"/>
      <c r="N7" s="152"/>
    </row>
    <row r="8">
      <c r="B8" s="144"/>
      <c r="C8" s="148" t="s">
        <v>6</v>
      </c>
      <c r="D8" s="149" t="s">
        <v>365</v>
      </c>
      <c r="E8" s="150"/>
      <c r="F8" s="77" t="str">
        <f t="shared" si="1"/>
        <v>Todos</v>
      </c>
      <c r="I8" s="151"/>
      <c r="J8" s="151"/>
      <c r="K8" s="151"/>
      <c r="L8" s="151"/>
      <c r="M8" s="151"/>
      <c r="N8" s="152"/>
    </row>
    <row r="9">
      <c r="B9" s="144"/>
      <c r="I9" s="151"/>
      <c r="J9" s="151"/>
      <c r="K9" s="151"/>
      <c r="L9" s="151"/>
      <c r="M9" s="151"/>
      <c r="N9" s="152"/>
    </row>
    <row r="10">
      <c r="B10" s="144"/>
      <c r="I10" s="151"/>
      <c r="J10" s="151"/>
      <c r="K10" s="151"/>
      <c r="N10" s="152"/>
    </row>
    <row r="11">
      <c r="B11" s="144"/>
      <c r="C11" s="172"/>
      <c r="D11" s="155"/>
      <c r="E11" s="155"/>
      <c r="F11" s="155"/>
      <c r="I11" s="151"/>
      <c r="J11" s="151"/>
      <c r="K11" s="151"/>
      <c r="N11" s="152"/>
    </row>
    <row r="12">
      <c r="B12" s="144"/>
      <c r="C12" s="156" t="s">
        <v>368</v>
      </c>
      <c r="D12" s="157">
        <v>2022.0</v>
      </c>
      <c r="E12" s="157">
        <v>2023.0</v>
      </c>
      <c r="F12" s="157">
        <v>2024.0</v>
      </c>
      <c r="I12" s="151"/>
      <c r="J12" s="151"/>
      <c r="K12" s="151"/>
      <c r="L12" s="151"/>
      <c r="M12" s="151"/>
      <c r="N12" s="152"/>
    </row>
    <row r="13">
      <c r="B13" s="144"/>
      <c r="C13" s="77" t="s">
        <v>18</v>
      </c>
      <c r="D13" s="107">
        <f>COUNTIFS(DATA!$G$2:$G181,D8,DATA!$D$2:$D181,D6,DATA!$B$2:$B181,D7,DATA!$I$2:$I181,D$12,DATA!$H$2:$H181,$C13)/
COUNTIFS(DATA!$G$2:$G181,D8,DATA!$D$2:$D181,D6,DATA!$B$2:$B181,D7,DATA!$I$2:$I181,D$12,DATA!$H$2:$H181,"&lt;&gt;-")</f>
        <v>0.7493975904</v>
      </c>
      <c r="E13" s="107">
        <f>COUNTIFS(DATA!$G$2:$G181,D8,DATA!$D$2:$D181,D6,DATA!$B$2:$B181,D7,DATA!$I$2:$I181,E$12,DATA!$H$2:$H181,$C13)/
COUNTIFS(DATA!$G$2:$G181,D8,DATA!$D$2:$D181,D6,DATA!$B$2:$B181,D7,DATA!$I$2:$I181,E$12,DATA!$H$2:$H181,"&lt;&gt;-")</f>
        <v>0.511627907</v>
      </c>
      <c r="F13" s="107">
        <f>COUNTIFS(DATA!$G$2:$G181,D8,DATA!$D$2:$D181,D6,DATA!$B$2:$B181,D7,DATA!$I$2:$I181,F$12,DATA!$H$2:$H181,$C13)/
COUNTIFS(DATA!$G$2:$G181,D8,DATA!$D$2:$D181,D6,DATA!$B$2:$B181,D7,DATA!$I$2:$I181,F$12)</f>
        <v>0.4631147541</v>
      </c>
      <c r="I13" s="151"/>
      <c r="J13" s="151"/>
      <c r="K13" s="151"/>
      <c r="L13" s="151"/>
      <c r="M13" s="151"/>
      <c r="N13" s="152"/>
    </row>
    <row r="14">
      <c r="B14" s="144"/>
      <c r="C14" s="77" t="s">
        <v>24</v>
      </c>
      <c r="D14" s="107">
        <f>COUNTIFS(DATA!$G$2:$G181,D8,DATA!$D$2:$D181,D6,DATA!$B$2:$B181,D7,DATA!$I$2:$I181,D$12,DATA!$H$2:$H181,$C14)/
COUNTIFS(DATA!$G$2:$G181,D8,DATA!$D$2:$D181,D6,DATA!$B$2:$B181,D7,DATA!$I$2:$I181,D$12,DATA!$H$2:$H181,"&lt;&gt;-")</f>
        <v>0.2415662651</v>
      </c>
      <c r="E14" s="107">
        <f>COUNTIFS(DATA!$G$2:$G181,D8,DATA!$D$2:$D181,D6,DATA!$B$2:$B181,D7,DATA!$I$2:$I181,E$12,DATA!$H$2:$H181,$C14)/
COUNTIFS(DATA!$G$2:$G181,D8,DATA!$D$2:$D181,D6,DATA!$B$2:$B181,D7,DATA!$I$2:$I181,E$12,DATA!$H$2:$H181,"&lt;&gt;-")</f>
        <v>0.3953488372</v>
      </c>
      <c r="F14" s="107">
        <f>COUNTIFS(DATA!$G$2:$G181,D8,DATA!$D$2:$D181,D6,DATA!$B$2:$B181,D7,DATA!$I$2:$I181,F$12,DATA!$H$2:$H181,$C14)/
COUNTIFS(DATA!$G$2:$G181,D8,DATA!$D$2:$D181,D6,DATA!$B$2:$B181,D7,DATA!$I$2:$I181,F$12)</f>
        <v>0.3770491803</v>
      </c>
      <c r="I14" s="151"/>
      <c r="J14" s="151"/>
      <c r="K14" s="151"/>
      <c r="L14" s="151"/>
      <c r="M14" s="151"/>
      <c r="N14" s="152"/>
    </row>
    <row r="15">
      <c r="B15" s="144"/>
      <c r="C15" s="77" t="s">
        <v>32</v>
      </c>
      <c r="D15" s="107">
        <f>COUNTIFS(DATA!$G$2:$G181,D8,DATA!$D$2:$D181,D6,DATA!$B$2:$B181,D7,DATA!$I$2:$I181,D$12,DATA!$H$2:$H181,$C15)/
COUNTIFS(DATA!$G$2:$G181,D8,DATA!$D$2:$D181,D6,DATA!$B$2:$B181,D7,DATA!$I$2:$I181,D$12,DATA!$H$2:$H181,"&lt;&gt;-")</f>
        <v>0.009036144578</v>
      </c>
      <c r="E15" s="107">
        <f>COUNTIFS(DATA!$G$2:$G181,D8,DATA!$D$2:$D181,D6,DATA!$B$2:$B181,D7,DATA!$I$2:$I181,E$12,DATA!$H$2:$H181,$C15)/
COUNTIFS(DATA!$G$2:$G181,D8,DATA!$D$2:$D181,D6,DATA!$B$2:$B181,D7,DATA!$I$2:$I181,E$12,DATA!$H$2:$H181,"&lt;&gt;-")</f>
        <v>0.09302325581</v>
      </c>
      <c r="F15" s="107">
        <f>COUNTIFS(DATA!$G$2:$G181,D8,DATA!$D$2:$D181,D6,DATA!$B$2:$B181,D7,DATA!$I$2:$I181,F$12,DATA!$H$2:$H181,$C15)/
COUNTIFS(DATA!$G$2:$G181,D8,DATA!$D$2:$D181,D6,DATA!$B$2:$B181,D7,DATA!$I$2:$I181,F$12)</f>
        <v>0.1598360656</v>
      </c>
      <c r="N15" s="152"/>
    </row>
    <row r="16">
      <c r="B16" s="144"/>
      <c r="C16" s="158" t="s">
        <v>361</v>
      </c>
      <c r="D16" s="159">
        <f t="shared" ref="D16:F16" si="2">SUM(D13:D15)</f>
        <v>1</v>
      </c>
      <c r="E16" s="159">
        <f t="shared" si="2"/>
        <v>1</v>
      </c>
      <c r="F16" s="159">
        <f t="shared" si="2"/>
        <v>1</v>
      </c>
      <c r="N16" s="152"/>
    </row>
    <row r="17">
      <c r="B17" s="144"/>
      <c r="C17" s="153"/>
      <c r="D17" s="151"/>
      <c r="E17" s="151"/>
      <c r="F17" s="151"/>
      <c r="G17" s="160"/>
      <c r="H17" s="160"/>
      <c r="N17" s="152"/>
    </row>
    <row r="18">
      <c r="B18" s="144"/>
      <c r="C18" s="161"/>
      <c r="D18" s="151"/>
      <c r="E18" s="151"/>
      <c r="F18" s="151"/>
      <c r="G18" s="160"/>
      <c r="H18" s="160"/>
      <c r="N18" s="152"/>
    </row>
    <row r="19">
      <c r="B19" s="144"/>
      <c r="D19" s="162"/>
      <c r="G19" s="160"/>
      <c r="H19" s="160"/>
      <c r="N19" s="152"/>
    </row>
    <row r="20">
      <c r="B20" s="144"/>
      <c r="D20" s="162"/>
      <c r="G20" s="160"/>
      <c r="H20" s="160"/>
      <c r="N20" s="152"/>
    </row>
    <row r="21">
      <c r="B21" s="144"/>
      <c r="N21" s="152"/>
    </row>
    <row r="22">
      <c r="B22" s="144"/>
      <c r="H22" s="79"/>
      <c r="I22" s="79"/>
      <c r="J22" s="79"/>
      <c r="K22" s="79"/>
      <c r="N22" s="152"/>
    </row>
    <row r="23">
      <c r="B23" s="144"/>
      <c r="H23" s="79"/>
      <c r="I23" s="79"/>
      <c r="J23" s="79"/>
      <c r="K23" s="79"/>
      <c r="N23" s="152"/>
    </row>
    <row r="24">
      <c r="B24" s="144"/>
      <c r="H24" s="79"/>
      <c r="I24" s="103"/>
      <c r="J24" s="79"/>
      <c r="K24" s="79"/>
      <c r="N24" s="152"/>
    </row>
    <row r="25">
      <c r="B25" s="144"/>
      <c r="H25" s="79"/>
      <c r="I25" s="103"/>
      <c r="J25" s="79"/>
      <c r="K25" s="79"/>
      <c r="N25" s="152"/>
    </row>
    <row r="26">
      <c r="B26" s="144"/>
      <c r="H26" s="79"/>
      <c r="I26" s="103"/>
      <c r="J26" s="79"/>
      <c r="K26" s="79"/>
      <c r="N26" s="152"/>
    </row>
    <row r="27">
      <c r="B27" s="144"/>
      <c r="H27" s="79"/>
      <c r="I27" s="103"/>
      <c r="J27" s="79"/>
      <c r="K27" s="79"/>
      <c r="N27" s="152"/>
    </row>
    <row r="28">
      <c r="B28" s="144"/>
      <c r="D28" s="162"/>
      <c r="G28" s="160"/>
      <c r="H28" s="160"/>
      <c r="N28" s="152"/>
    </row>
    <row r="29">
      <c r="B29" s="144"/>
      <c r="D29" s="162"/>
      <c r="G29" s="160"/>
      <c r="H29" s="160"/>
      <c r="N29" s="152"/>
    </row>
    <row r="30">
      <c r="B30" s="163"/>
      <c r="C30" s="164"/>
      <c r="D30" s="164"/>
      <c r="E30" s="164"/>
      <c r="F30" s="164"/>
      <c r="G30" s="165"/>
      <c r="H30" s="165"/>
      <c r="I30" s="166"/>
      <c r="J30" s="166"/>
      <c r="K30" s="166"/>
      <c r="L30" s="166"/>
      <c r="M30" s="166"/>
      <c r="N30" s="167"/>
    </row>
    <row r="31">
      <c r="C31" s="153"/>
      <c r="D31" s="151"/>
      <c r="E31" s="151"/>
      <c r="F31" s="151"/>
    </row>
    <row r="32">
      <c r="C32" s="153"/>
      <c r="D32" s="151"/>
      <c r="E32" s="151"/>
      <c r="F32" s="151"/>
    </row>
    <row r="33">
      <c r="B33" s="141"/>
      <c r="C33" s="142"/>
      <c r="D33" s="142"/>
      <c r="E33" s="142"/>
      <c r="F33" s="142"/>
      <c r="G33" s="142"/>
      <c r="H33" s="142"/>
      <c r="I33" s="142"/>
      <c r="J33" s="142"/>
      <c r="K33" s="142"/>
      <c r="L33" s="142"/>
      <c r="M33" s="142"/>
      <c r="N33" s="143" t="s">
        <v>360</v>
      </c>
    </row>
    <row r="34">
      <c r="B34" s="144"/>
      <c r="C34" s="145" t="s">
        <v>363</v>
      </c>
      <c r="D34" s="146"/>
      <c r="E34" s="146"/>
      <c r="N34" s="147" t="str">
        <f>callGEMINI("Analiza los datos proporcionados, que muestran los niveles de logro en "&amp;$C$2&amp;" de los estudiantes de la red rural "&amp;D36&amp;"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"&amp;MID(D36,1,2)&amp;" sector rural de la región '"&amp;MID(D36,4,20)&amp;"'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crearJSONdesdeTabla(C41:F44,0))</f>
        <v>No se recibió una respuesta válida.</v>
      </c>
    </row>
    <row r="35">
      <c r="B35" s="144"/>
      <c r="C35" s="148" t="s">
        <v>3</v>
      </c>
      <c r="D35" s="149" t="s">
        <v>365</v>
      </c>
      <c r="E35" s="150"/>
      <c r="F35" s="77" t="str">
        <f t="shared" ref="F35:F37" si="3">IF(D35="*","Todos","")</f>
        <v>Todos</v>
      </c>
      <c r="I35" s="151"/>
      <c r="J35" s="151"/>
      <c r="K35" s="151"/>
      <c r="L35" s="151"/>
      <c r="M35" s="151"/>
      <c r="N35" s="152"/>
    </row>
    <row r="36">
      <c r="B36" s="144"/>
      <c r="C36" s="148" t="s">
        <v>366</v>
      </c>
      <c r="D36" s="149" t="s">
        <v>13</v>
      </c>
      <c r="E36" s="150"/>
      <c r="F36" s="77" t="str">
        <f t="shared" si="3"/>
        <v/>
      </c>
      <c r="I36" s="153"/>
      <c r="J36" s="153"/>
      <c r="K36" s="153"/>
      <c r="L36" s="153"/>
      <c r="N36" s="152"/>
    </row>
    <row r="37">
      <c r="B37" s="144"/>
      <c r="C37" s="148" t="s">
        <v>6</v>
      </c>
      <c r="D37" s="149" t="s">
        <v>365</v>
      </c>
      <c r="E37" s="150"/>
      <c r="F37" s="77" t="str">
        <f t="shared" si="3"/>
        <v>Todos</v>
      </c>
      <c r="I37" s="151"/>
      <c r="J37" s="151"/>
      <c r="K37" s="151"/>
      <c r="L37" s="151"/>
      <c r="M37" s="151"/>
      <c r="N37" s="152"/>
    </row>
    <row r="38">
      <c r="B38" s="144"/>
      <c r="I38" s="151"/>
      <c r="J38" s="151"/>
      <c r="K38" s="151"/>
      <c r="L38" s="151"/>
      <c r="M38" s="151"/>
      <c r="N38" s="152"/>
    </row>
    <row r="39">
      <c r="B39" s="144"/>
      <c r="I39" s="151"/>
      <c r="J39" s="151"/>
      <c r="K39" s="151"/>
      <c r="N39" s="152"/>
    </row>
    <row r="40">
      <c r="B40" s="144"/>
      <c r="C40" s="172"/>
      <c r="D40" s="155"/>
      <c r="E40" s="155"/>
      <c r="F40" s="155"/>
      <c r="I40" s="151"/>
      <c r="J40" s="151"/>
      <c r="K40" s="151"/>
      <c r="N40" s="152"/>
    </row>
    <row r="41">
      <c r="B41" s="144"/>
      <c r="C41" s="156" t="s">
        <v>368</v>
      </c>
      <c r="D41" s="157">
        <v>2022.0</v>
      </c>
      <c r="E41" s="157">
        <v>2023.0</v>
      </c>
      <c r="F41" s="157">
        <v>2024.0</v>
      </c>
      <c r="I41" s="151"/>
      <c r="J41" s="151"/>
      <c r="K41" s="151"/>
      <c r="L41" s="151"/>
      <c r="M41" s="151"/>
      <c r="N41" s="152"/>
    </row>
    <row r="42">
      <c r="B42" s="144"/>
      <c r="C42" s="77" t="s">
        <v>18</v>
      </c>
      <c r="D42" s="107">
        <f>COUNTIFS(DATA!$G$2:$G181,D37,DATA!$D$2:$D181,D35,DATA!$B$2:$B181,D36,DATA!$I$2:$I181,D$12,DATA!$H$2:$H181,$C42)/
COUNTIFS(DATA!$G$2:$G181,D37,DATA!$D$2:$D181,D35,DATA!$B$2:$B181,D36,DATA!$I$2:$I181,D$12,DATA!$H$2:$H181,"&lt;&gt;-")</f>
        <v>0.8883116883</v>
      </c>
      <c r="E42" s="107">
        <f>COUNTIFS(DATA!$G$2:$G181,D37,DATA!$D$2:$D181,D35,DATA!$B$2:$B181,D36,DATA!$I$2:$I181,E$12,DATA!$H$2:$H181,$C42)/
COUNTIFS(DATA!$G$2:$G181,D37,DATA!$D$2:$D181,D35,DATA!$B$2:$B181,D36,DATA!$I$2:$I181,E$12,DATA!$H$2:$H181,"&lt;&gt;-")</f>
        <v>0.824925816</v>
      </c>
      <c r="F42" s="107">
        <f>COUNTIFS(DATA!$G$2:$G181,D37,DATA!$D$2:$D181,D35,DATA!$B$2:$B181,D36,DATA!$I$2:$I181,F$12,DATA!$H$2:$H181,$C42)/
COUNTIFS(DATA!$G$2:$G181,D37,DATA!$D$2:$D181,D35,DATA!$B$2:$B181,D36,DATA!$I$2:$I181,F$12,DATA!$H$2:$H181,"&lt;&gt;-")</f>
        <v>0.6666666667</v>
      </c>
      <c r="I42" s="151"/>
      <c r="J42" s="151"/>
      <c r="K42" s="151"/>
      <c r="L42" s="151"/>
      <c r="M42" s="151"/>
      <c r="N42" s="152"/>
    </row>
    <row r="43">
      <c r="B43" s="144"/>
      <c r="C43" s="77" t="s">
        <v>24</v>
      </c>
      <c r="D43" s="107">
        <f>COUNTIFS(DATA!$G$2:$G181,D37,DATA!$D$2:$D181,D35,DATA!$B$2:$B181,D36,DATA!$I$2:$I181,D$12,DATA!$H$2:$H181,$C43)/
COUNTIFS(DATA!$G$2:$G181,D37,DATA!$D$2:$D181,D35,DATA!$B$2:$B181,D36,DATA!$I$2:$I181,D$12,DATA!$H$2:$H181,"&lt;&gt;-")</f>
        <v>0.1116883117</v>
      </c>
      <c r="E43" s="107">
        <f>COUNTIFS(DATA!$G$2:$G181,D37,DATA!$D$2:$D181,D35,DATA!$B$2:$B181,D36,DATA!$I$2:$I181,E$12,DATA!$H$2:$H181,$C43)/
COUNTIFS(DATA!$G$2:$G181,D37,DATA!$D$2:$D181,D35,DATA!$B$2:$B181,D36,DATA!$I$2:$I181,E$12,DATA!$H$2:$H181,"&lt;&gt;-")</f>
        <v>0.175074184</v>
      </c>
      <c r="F43" s="107">
        <f>COUNTIFS(DATA!$G$2:$G181,D37,DATA!$D$2:$D181,D35,DATA!$B$2:$B181,D36,DATA!$I$2:$I181,F$12,DATA!$H$2:$H181,$C43)/
COUNTIFS(DATA!$G$2:$G181,D37,DATA!$D$2:$D181,D35,DATA!$B$2:$B181,D36,DATA!$I$2:$I181,F$12,DATA!$H$2:$H181,"&lt;&gt;-")</f>
        <v>0.3125</v>
      </c>
      <c r="I43" s="151"/>
      <c r="J43" s="151"/>
      <c r="K43" s="151"/>
      <c r="L43" s="151"/>
      <c r="M43" s="151"/>
      <c r="N43" s="152"/>
    </row>
    <row r="44">
      <c r="B44" s="144"/>
      <c r="C44" s="77" t="s">
        <v>32</v>
      </c>
      <c r="D44" s="107">
        <f>COUNTIFS(DATA!$G$2:$G181,D37,DATA!$D$2:$D181,D35,DATA!$B$2:$B181,D36,DATA!$I$2:$I181,D$12,DATA!$H$2:$H181,$C44)/
COUNTIFS(DATA!$G$2:$G181,D37,DATA!$D$2:$D181,D35,DATA!$B$2:$B181,D36,DATA!$I$2:$I181,D$12,DATA!$H$2:$H181,"&lt;&gt;-")</f>
        <v>0</v>
      </c>
      <c r="E44" s="107">
        <f>COUNTIFS(DATA!$G$2:$G181,D37,DATA!$D$2:$D181,D35,DATA!$B$2:$B181,D36,DATA!$I$2:$I181,E$12,DATA!$H$2:$H181,$C44)/
COUNTIFS(DATA!$G$2:$G181,D37,DATA!$D$2:$D181,D35,DATA!$B$2:$B181,D36,DATA!$I$2:$I181,E$12,DATA!$H$2:$H181,"&lt;&gt;-")</f>
        <v>0</v>
      </c>
      <c r="F44" s="107">
        <f>COUNTIFS(DATA!$G$2:$G181,D37,DATA!$D$2:$D181,D35,DATA!$B$2:$B181,D36,DATA!$I$2:$I181,F$12,DATA!$H$2:$H181,$C44)/
COUNTIFS(DATA!$G$2:$G181,D37,DATA!$D$2:$D181,D35,DATA!$B$2:$B181,D36,DATA!$I$2:$I181,F$12,DATA!$H$2:$H181,"&lt;&gt;-")</f>
        <v>0.02083333333</v>
      </c>
      <c r="N44" s="152"/>
    </row>
    <row r="45">
      <c r="B45" s="144"/>
      <c r="C45" s="158" t="s">
        <v>361</v>
      </c>
      <c r="D45" s="159">
        <f t="shared" ref="D45:F45" si="4">SUM(D42:D44)</f>
        <v>1</v>
      </c>
      <c r="E45" s="159">
        <f t="shared" si="4"/>
        <v>1</v>
      </c>
      <c r="F45" s="159">
        <f t="shared" si="4"/>
        <v>1</v>
      </c>
      <c r="N45" s="152"/>
    </row>
    <row r="46">
      <c r="B46" s="144"/>
      <c r="C46" s="153"/>
      <c r="D46" s="151"/>
      <c r="E46" s="151"/>
      <c r="F46" s="151"/>
      <c r="G46" s="160"/>
      <c r="H46" s="160"/>
      <c r="N46" s="152"/>
    </row>
    <row r="47">
      <c r="B47" s="144"/>
      <c r="C47" s="161"/>
      <c r="D47" s="151"/>
      <c r="E47" s="151"/>
      <c r="F47" s="151"/>
      <c r="G47" s="160"/>
      <c r="H47" s="160"/>
      <c r="N47" s="152"/>
    </row>
    <row r="48">
      <c r="B48" s="144"/>
      <c r="D48" s="162"/>
      <c r="G48" s="160"/>
      <c r="H48" s="160"/>
      <c r="N48" s="152"/>
    </row>
    <row r="49">
      <c r="B49" s="144"/>
      <c r="D49" s="162"/>
      <c r="G49" s="160"/>
      <c r="H49" s="160"/>
      <c r="N49" s="152"/>
    </row>
    <row r="50">
      <c r="B50" s="144"/>
      <c r="D50" s="162"/>
      <c r="G50" s="160"/>
      <c r="H50" s="160"/>
      <c r="N50" s="152"/>
    </row>
    <row r="51">
      <c r="B51" s="144"/>
      <c r="D51" s="162"/>
      <c r="G51" s="160"/>
      <c r="H51" s="160"/>
      <c r="N51" s="152"/>
    </row>
    <row r="52">
      <c r="B52" s="144"/>
      <c r="N52" s="152"/>
    </row>
    <row r="53">
      <c r="B53" s="144"/>
      <c r="N53" s="152"/>
    </row>
    <row r="54">
      <c r="B54" s="144"/>
      <c r="N54" s="152"/>
    </row>
    <row r="55">
      <c r="B55" s="144"/>
      <c r="N55" s="152"/>
    </row>
    <row r="56">
      <c r="B56" s="144"/>
      <c r="N56" s="152"/>
    </row>
    <row r="57">
      <c r="B57" s="144"/>
      <c r="N57" s="152"/>
    </row>
    <row r="58">
      <c r="B58" s="144"/>
      <c r="N58" s="152"/>
    </row>
    <row r="59">
      <c r="B59" s="144"/>
      <c r="D59" s="162"/>
      <c r="G59" s="160"/>
      <c r="H59" s="160"/>
      <c r="N59" s="152"/>
    </row>
    <row r="60">
      <c r="B60" s="163"/>
      <c r="C60" s="164"/>
      <c r="D60" s="164"/>
      <c r="E60" s="164"/>
      <c r="F60" s="164"/>
      <c r="G60" s="165"/>
      <c r="H60" s="165"/>
      <c r="I60" s="166"/>
      <c r="J60" s="166"/>
      <c r="K60" s="166"/>
      <c r="L60" s="166"/>
      <c r="M60" s="166"/>
      <c r="N60" s="167"/>
    </row>
    <row r="61">
      <c r="C61" s="173"/>
      <c r="D61" s="174"/>
      <c r="E61" s="174"/>
    </row>
    <row r="62">
      <c r="C62" s="173"/>
      <c r="D62" s="174"/>
      <c r="E62" s="174"/>
    </row>
    <row r="63">
      <c r="B63" s="141"/>
      <c r="C63" s="142"/>
      <c r="D63" s="142"/>
      <c r="E63" s="142"/>
      <c r="F63" s="142"/>
      <c r="G63" s="142"/>
      <c r="H63" s="142"/>
      <c r="I63" s="142"/>
      <c r="J63" s="142"/>
      <c r="K63" s="142"/>
      <c r="L63" s="142"/>
      <c r="M63" s="142"/>
      <c r="N63" s="143" t="s">
        <v>360</v>
      </c>
    </row>
    <row r="64">
      <c r="B64" s="144"/>
      <c r="C64" s="145" t="s">
        <v>363</v>
      </c>
      <c r="D64" s="146"/>
      <c r="E64" s="146"/>
      <c r="N64" s="147" t="str">
        <f>callGEMINI("Analiza los datos proporcionados, que muestran los niveles de logro en "&amp;$C$2&amp;" de los estudiantes de la red rural "&amp;D66&amp;"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"&amp;MID(D66,1,2)&amp;" sector rural de la región '"&amp;MID(D66,4,20)&amp;"'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crearJSONdesdeTabla(C71:F74,0))</f>
        <v>En el año 2024, los niveles de logro en Matemática de los estudiantes de la red rural 48 de Piura muestran que un 73% se encuentra en el nivel de "Proceso". Este valor representa un aumento de 17 puntos porcentuales en comparación con 2023 y un aumento de 63 puntos porcentuales respecto a 2022.
Además, para el 2024 se observa una movilización positiva de estudiantes desde el nivel "Inicio" hacia "Proceso", con una reducción del 63% en "Inicio" comparado con la linea base (2022) y un aumento del 63% en "Proceso" comparado con la linea base, lo que indica que más estudiantes están avanzando en sus aprendizajes.
</v>
      </c>
    </row>
    <row r="65">
      <c r="B65" s="144"/>
      <c r="C65" s="148" t="s">
        <v>3</v>
      </c>
      <c r="D65" s="149" t="s">
        <v>365</v>
      </c>
      <c r="E65" s="150"/>
      <c r="F65" s="77" t="str">
        <f t="shared" ref="F65:F67" si="5">IF(D65="*","Todos","")</f>
        <v>Todos</v>
      </c>
      <c r="I65" s="151"/>
      <c r="J65" s="151"/>
      <c r="K65" s="151"/>
      <c r="L65" s="151"/>
      <c r="M65" s="151"/>
      <c r="N65" s="152"/>
    </row>
    <row r="66">
      <c r="B66" s="144"/>
      <c r="C66" s="148" t="s">
        <v>366</v>
      </c>
      <c r="D66" s="149" t="s">
        <v>48</v>
      </c>
      <c r="E66" s="150"/>
      <c r="F66" s="77" t="str">
        <f t="shared" si="5"/>
        <v/>
      </c>
      <c r="I66" s="153"/>
      <c r="J66" s="153"/>
      <c r="K66" s="153"/>
      <c r="L66" s="153"/>
      <c r="N66" s="152"/>
    </row>
    <row r="67">
      <c r="B67" s="144"/>
      <c r="C67" s="148" t="s">
        <v>6</v>
      </c>
      <c r="D67" s="149" t="s">
        <v>365</v>
      </c>
      <c r="E67" s="150"/>
      <c r="F67" s="77" t="str">
        <f t="shared" si="5"/>
        <v>Todos</v>
      </c>
      <c r="I67" s="151"/>
      <c r="J67" s="151"/>
      <c r="K67" s="151"/>
      <c r="L67" s="151"/>
      <c r="M67" s="151"/>
      <c r="N67" s="152"/>
    </row>
    <row r="68">
      <c r="B68" s="144"/>
      <c r="I68" s="151"/>
      <c r="J68" s="151"/>
      <c r="K68" s="151"/>
      <c r="L68" s="151"/>
      <c r="M68" s="151"/>
      <c r="N68" s="152"/>
    </row>
    <row r="69">
      <c r="B69" s="144"/>
      <c r="I69" s="151"/>
      <c r="J69" s="151"/>
      <c r="K69" s="151"/>
      <c r="N69" s="152"/>
    </row>
    <row r="70">
      <c r="B70" s="144"/>
      <c r="C70" s="172"/>
      <c r="D70" s="155"/>
      <c r="E70" s="155"/>
      <c r="F70" s="155"/>
      <c r="I70" s="151"/>
      <c r="J70" s="151"/>
      <c r="K70" s="151"/>
      <c r="N70" s="152"/>
    </row>
    <row r="71">
      <c r="B71" s="144"/>
      <c r="C71" s="156" t="s">
        <v>368</v>
      </c>
      <c r="D71" s="157">
        <v>2022.0</v>
      </c>
      <c r="E71" s="157">
        <v>2023.0</v>
      </c>
      <c r="F71" s="157">
        <v>2024.0</v>
      </c>
      <c r="I71" s="151"/>
      <c r="J71" s="151"/>
      <c r="K71" s="151"/>
      <c r="L71" s="151"/>
      <c r="M71" s="151"/>
      <c r="N71" s="152"/>
    </row>
    <row r="72">
      <c r="B72" s="144"/>
      <c r="C72" s="77" t="s">
        <v>18</v>
      </c>
      <c r="D72" s="107">
        <f>COUNTIFS(DATA!$G$2:$G181,D67,DATA!$D$2:$D181,D65,DATA!$B$2:$B181,D66,DATA!$I$2:$I181,D$12,DATA!$H$2:$H181,$C72)/
COUNTIFS(DATA!$G$2:$G181,D67,DATA!$D$2:$D181,D65,DATA!$B$2:$B181,D66,DATA!$I$2:$I181,D$12,DATA!$H$2:$H181,"&lt;&gt;-")</f>
        <v>0.8992443325</v>
      </c>
      <c r="E72" s="107">
        <f>COUNTIFS(DATA!$G$2:$G181,D67,DATA!$D$2:$D181,D65,DATA!$B$2:$B181,D66,DATA!$I$2:$I181,E$12,DATA!$H$2:$H181,$C72)/
COUNTIFS(DATA!$G$2:$G181,D67,DATA!$D$2:$D181,D65,DATA!$B$2:$B181,D66,DATA!$I$2:$I181,E$12,DATA!$H$2:$H181,"&lt;&gt;-")</f>
        <v>0.4298724954</v>
      </c>
      <c r="F72" s="107">
        <f>COUNTIFS(DATA!$G$2:$G181,D67,DATA!$D$2:$D181,D65,DATA!$B$2:$B181,D66,DATA!$I$2:$I181,F$12,DATA!$H$2:$H181,$C72)/
COUNTIFS(DATA!$G$2:$G181,D67,DATA!$D$2:$D181,D65,DATA!$B$2:$B181,D66,DATA!$I$2:$I181,F$12,DATA!$H$2:$H181,"&lt;&gt;-")</f>
        <v>0.2727272727</v>
      </c>
      <c r="I72" s="151"/>
      <c r="J72" s="151"/>
      <c r="K72" s="151"/>
      <c r="L72" s="151"/>
      <c r="M72" s="151"/>
      <c r="N72" s="152"/>
    </row>
    <row r="73">
      <c r="B73" s="144"/>
      <c r="C73" s="77" t="s">
        <v>24</v>
      </c>
      <c r="D73" s="107">
        <f>COUNTIFS(DATA!$G$2:$G181,D67,DATA!$D$2:$D181,D65,DATA!$B$2:$B181,D66,DATA!$I$2:$I181,D$12,DATA!$H$2:$H181,$C73)/
COUNTIFS(DATA!$G$2:$G181,D67,DATA!$D$2:$D181,D65,DATA!$B$2:$B181,D66,DATA!$I$2:$I181,D$12,DATA!$H$2:$H181,"&lt;&gt;-")</f>
        <v>0.1007556675</v>
      </c>
      <c r="E73" s="107">
        <f>COUNTIFS(DATA!$G$2:$G181,D67,DATA!$D$2:$D181,D65,DATA!$B$2:$B181,D66,DATA!$I$2:$I181,E$12,DATA!$H$2:$H181,$C73)/
COUNTIFS(DATA!$G$2:$G181,D67,DATA!$D$2:$D181,D65,DATA!$B$2:$B181,D66,DATA!$I$2:$I181,E$12,DATA!$H$2:$H181,"&lt;&gt;-")</f>
        <v>0.5555555556</v>
      </c>
      <c r="F73" s="107">
        <f>COUNTIFS(DATA!$G$2:$G181,D67,DATA!$D$2:$D181,D65,DATA!$B$2:$B181,D66,DATA!$I$2:$I181,F$12,DATA!$H$2:$H181,$C73)/
COUNTIFS(DATA!$G$2:$G181,D67,DATA!$D$2:$D181,D65,DATA!$B$2:$B181,D66,DATA!$I$2:$I181,F$12,DATA!$H$2:$H181,"&lt;&gt;-")</f>
        <v>0.7272727273</v>
      </c>
      <c r="I73" s="151"/>
      <c r="J73" s="151"/>
      <c r="K73" s="151"/>
      <c r="L73" s="151"/>
      <c r="M73" s="151"/>
      <c r="N73" s="152"/>
    </row>
    <row r="74">
      <c r="B74" s="144"/>
      <c r="C74" s="77" t="s">
        <v>32</v>
      </c>
      <c r="D74" s="107">
        <f>COUNTIFS(DATA!$G$2:$G181,D67,DATA!$D$2:$D181,D65,DATA!$B$2:$B181,D66,DATA!$I$2:$I181,D$12,DATA!$H$2:$H181,$C74)/
COUNTIFS(DATA!$G$2:$G181,D67,DATA!$D$2:$D181,D65,DATA!$B$2:$B181,D66,DATA!$I$2:$I181,D$12,DATA!$H$2:$H181,"&lt;&gt;-")</f>
        <v>0</v>
      </c>
      <c r="E74" s="107">
        <f>COUNTIFS(DATA!$G$2:$G181,D67,DATA!$D$2:$D181,D65,DATA!$B$2:$B181,D66,DATA!$I$2:$I181,E$12,DATA!$H$2:$H181,$C74)/
COUNTIFS(DATA!$G$2:$G181,D67,DATA!$D$2:$D181,D65,DATA!$B$2:$B181,D66,DATA!$I$2:$I181,E$12,DATA!$H$2:$H181,"&lt;&gt;-")</f>
        <v>0.014571949</v>
      </c>
      <c r="F74" s="107">
        <f>COUNTIFS(DATA!$G$2:$G181,D67,DATA!$D$2:$D181,D65,DATA!$B$2:$B181,D66,DATA!$I$2:$I181,F$12,DATA!$H$2:$H181,$C74)/
COUNTIFS(DATA!$G$2:$G181,D67,DATA!$D$2:$D181,D65,DATA!$B$2:$B181,D66,DATA!$I$2:$I181,F$12,DATA!$H$2:$H181,"&lt;&gt;-")</f>
        <v>0</v>
      </c>
      <c r="N74" s="152"/>
    </row>
    <row r="75">
      <c r="B75" s="144"/>
      <c r="C75" s="158" t="s">
        <v>361</v>
      </c>
      <c r="D75" s="159">
        <f t="shared" ref="D75:F75" si="6">SUM(D72:D74)</f>
        <v>1</v>
      </c>
      <c r="E75" s="159">
        <f t="shared" si="6"/>
        <v>1</v>
      </c>
      <c r="F75" s="159">
        <f t="shared" si="6"/>
        <v>1</v>
      </c>
      <c r="N75" s="152"/>
    </row>
    <row r="76">
      <c r="B76" s="144"/>
      <c r="C76" s="153"/>
      <c r="D76" s="151"/>
      <c r="E76" s="151"/>
      <c r="F76" s="151"/>
      <c r="G76" s="160"/>
      <c r="H76" s="160"/>
      <c r="N76" s="152"/>
    </row>
    <row r="77">
      <c r="B77" s="144"/>
      <c r="C77" s="161"/>
      <c r="D77" s="151"/>
      <c r="E77" s="151"/>
      <c r="F77" s="151"/>
      <c r="G77" s="160"/>
      <c r="H77" s="160"/>
      <c r="N77" s="152"/>
    </row>
    <row r="78">
      <c r="B78" s="144"/>
      <c r="D78" s="162"/>
      <c r="G78" s="160"/>
      <c r="H78" s="160"/>
      <c r="N78" s="152"/>
    </row>
    <row r="79">
      <c r="B79" s="144"/>
      <c r="D79" s="162"/>
      <c r="G79" s="160"/>
      <c r="H79" s="160"/>
      <c r="N79" s="152"/>
    </row>
    <row r="80">
      <c r="B80" s="144"/>
      <c r="N80" s="152"/>
    </row>
    <row r="81">
      <c r="B81" s="144"/>
      <c r="N81" s="152"/>
    </row>
    <row r="82">
      <c r="B82" s="144"/>
      <c r="N82" s="152"/>
    </row>
    <row r="83">
      <c r="B83" s="144"/>
      <c r="N83" s="152"/>
    </row>
    <row r="84">
      <c r="B84" s="144"/>
      <c r="N84" s="152"/>
    </row>
    <row r="85">
      <c r="B85" s="144"/>
      <c r="N85" s="152"/>
    </row>
    <row r="86">
      <c r="B86" s="144"/>
      <c r="N86" s="152"/>
    </row>
    <row r="87">
      <c r="B87" s="144"/>
      <c r="D87" s="162"/>
      <c r="G87" s="160"/>
      <c r="H87" s="160"/>
      <c r="N87" s="152"/>
    </row>
    <row r="88">
      <c r="B88" s="144"/>
      <c r="D88" s="162"/>
      <c r="G88" s="160"/>
      <c r="H88" s="160"/>
      <c r="N88" s="152"/>
    </row>
    <row r="89">
      <c r="B89" s="163"/>
      <c r="C89" s="164"/>
      <c r="D89" s="164"/>
      <c r="E89" s="164"/>
      <c r="F89" s="164"/>
      <c r="G89" s="165"/>
      <c r="H89" s="165"/>
      <c r="I89" s="166"/>
      <c r="J89" s="166"/>
      <c r="K89" s="166"/>
      <c r="L89" s="166"/>
      <c r="M89" s="166"/>
      <c r="N89" s="167"/>
    </row>
    <row r="90">
      <c r="C90" s="173"/>
      <c r="D90" s="174"/>
      <c r="E90" s="174"/>
    </row>
    <row r="91">
      <c r="C91" s="173"/>
      <c r="D91" s="174"/>
      <c r="E91" s="174"/>
    </row>
    <row r="92">
      <c r="B92" s="141"/>
      <c r="C92" s="142"/>
      <c r="D92" s="142"/>
      <c r="E92" s="142"/>
      <c r="F92" s="142"/>
      <c r="G92" s="142"/>
      <c r="H92" s="142"/>
      <c r="I92" s="142"/>
      <c r="J92" s="142"/>
      <c r="K92" s="142"/>
      <c r="L92" s="142"/>
      <c r="M92" s="142"/>
      <c r="N92" s="143" t="s">
        <v>360</v>
      </c>
    </row>
    <row r="93">
      <c r="B93" s="144"/>
      <c r="C93" s="145" t="s">
        <v>363</v>
      </c>
      <c r="D93" s="146"/>
      <c r="E93" s="146"/>
      <c r="N93" s="147" t="str">
        <f>callGEMINI("Analiza los datos proporcionados, que muestran los niveles de logro en "&amp;$C$2&amp;" de los estudiantes de la red rural "&amp;D95&amp;"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"&amp;MID(D95,1,2)&amp;" sector rural de la región '"&amp;MID(D95,4,20)&amp;"'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crearJSONdesdeTabla(C100:F103,0))</f>
        <v>En el año 2024, los niveles de logro en Matemática de los estudiantes de la red 54 sector rural de la región Ancash muestran que un 42% se encuentra en el nivel "Proceso". Este valor representa una disminución de 46 puntos porcentuales en comparación con 2023 y un aumento de 38 puntos porcentuales respecto a la linea base (2022).
Además, para el 2024 se observa una movilización de estudiantes desde el nivel "Inicio" hacia "Proceso", con una reducción del 40% en "Inicio" comparado con la linea base (2022) y un aumento del 38% en "Proceso" comparado con la linea base (2022), lo que indica que más estudiantes están avanzando en sus aprendizajes.
</v>
      </c>
    </row>
    <row r="94">
      <c r="B94" s="144"/>
      <c r="C94" s="148" t="s">
        <v>3</v>
      </c>
      <c r="D94" s="149" t="s">
        <v>365</v>
      </c>
      <c r="E94" s="150"/>
      <c r="F94" s="77" t="str">
        <f t="shared" ref="F94:F96" si="7">IF(D94="*","Todos","")</f>
        <v>Todos</v>
      </c>
      <c r="I94" s="151"/>
      <c r="J94" s="151"/>
      <c r="K94" s="151"/>
      <c r="L94" s="151"/>
      <c r="M94" s="151"/>
      <c r="N94" s="152"/>
    </row>
    <row r="95">
      <c r="B95" s="144"/>
      <c r="C95" s="148" t="s">
        <v>366</v>
      </c>
      <c r="D95" s="149" t="s">
        <v>64</v>
      </c>
      <c r="E95" s="150"/>
      <c r="F95" s="77" t="str">
        <f t="shared" si="7"/>
        <v/>
      </c>
      <c r="I95" s="153"/>
      <c r="J95" s="153"/>
      <c r="K95" s="153"/>
      <c r="L95" s="153"/>
      <c r="N95" s="152"/>
    </row>
    <row r="96">
      <c r="B96" s="144"/>
      <c r="C96" s="148" t="s">
        <v>6</v>
      </c>
      <c r="D96" s="149" t="s">
        <v>365</v>
      </c>
      <c r="E96" s="150"/>
      <c r="F96" s="77" t="str">
        <f t="shared" si="7"/>
        <v>Todos</v>
      </c>
      <c r="I96" s="151"/>
      <c r="J96" s="151"/>
      <c r="K96" s="151"/>
      <c r="L96" s="151"/>
      <c r="M96" s="151"/>
      <c r="N96" s="152"/>
    </row>
    <row r="97">
      <c r="B97" s="144"/>
      <c r="I97" s="151"/>
      <c r="J97" s="151"/>
      <c r="K97" s="151"/>
      <c r="L97" s="151"/>
      <c r="M97" s="151"/>
      <c r="N97" s="152"/>
    </row>
    <row r="98">
      <c r="B98" s="144"/>
      <c r="I98" s="151"/>
      <c r="J98" s="151"/>
      <c r="K98" s="151"/>
      <c r="N98" s="152"/>
    </row>
    <row r="99">
      <c r="B99" s="144"/>
      <c r="C99" s="172"/>
      <c r="D99" s="155"/>
      <c r="E99" s="155"/>
      <c r="F99" s="155"/>
      <c r="I99" s="151"/>
      <c r="J99" s="151"/>
      <c r="K99" s="151"/>
      <c r="N99" s="152"/>
    </row>
    <row r="100">
      <c r="B100" s="144"/>
      <c r="C100" s="156" t="s">
        <v>368</v>
      </c>
      <c r="D100" s="157">
        <v>2022.0</v>
      </c>
      <c r="E100" s="157">
        <v>2023.0</v>
      </c>
      <c r="F100" s="157">
        <v>2024.0</v>
      </c>
      <c r="I100" s="151"/>
      <c r="J100" s="151"/>
      <c r="K100" s="151"/>
      <c r="L100" s="151"/>
      <c r="M100" s="151"/>
      <c r="N100" s="152"/>
    </row>
    <row r="101">
      <c r="B101" s="144"/>
      <c r="C101" s="77" t="s">
        <v>18</v>
      </c>
      <c r="D101" s="107">
        <f>COUNTIFS(DATA!$G$2:$G181,D96,DATA!$D$2:$D181,D94,DATA!$B$2:$B181,D95,DATA!$I$2:$I181,D$12,DATA!$H$2:$H181,$C101)/
COUNTIFS(DATA!$G$2:$G181,D96,DATA!$D$2:$D181,D94,DATA!$B$2:$B181,D95,DATA!$I$2:$I181,D$12,DATA!$H$2:$H181,"&lt;&gt;-")</f>
        <v>0.9585798817</v>
      </c>
      <c r="E101" s="107">
        <f>COUNTIFS(DATA!$G$2:$G181,D96,DATA!$D$2:$D181,D94,DATA!$B$2:$B181,D95,DATA!$I$2:$I181,E$12,DATA!$H$2:$H181,$C101)/
COUNTIFS(DATA!$G$2:$G181,D96,DATA!$D$2:$D181,D94,DATA!$B$2:$B181,D95,DATA!$I$2:$I181,E$12,DATA!$H$2:$H181,"&lt;&gt;-")</f>
        <v>0.119047619</v>
      </c>
      <c r="F101" s="107">
        <f>COUNTIFS(DATA!$G$2:$G181,D96,DATA!$D$2:$D181,D94,DATA!$B$2:$B181,D95,DATA!$I$2:$I181,F$12,DATA!$H$2:$H181,$C101)/
COUNTIFS(DATA!$G$2:$G181,D96,DATA!$D$2:$D181,D94,DATA!$B$2:$B181,D95,DATA!$I$2:$I181,F$12,DATA!$H$2:$H181,"&lt;&gt;-")</f>
        <v>0.5563380282</v>
      </c>
      <c r="I101" s="151"/>
      <c r="J101" s="151"/>
      <c r="K101" s="151"/>
      <c r="L101" s="151"/>
      <c r="M101" s="151"/>
      <c r="N101" s="152"/>
    </row>
    <row r="102">
      <c r="B102" s="144"/>
      <c r="C102" s="77" t="s">
        <v>24</v>
      </c>
      <c r="D102" s="107">
        <f>COUNTIFS(DATA!$G$2:$G181,D96,DATA!$D$2:$D181,D94,DATA!$B$2:$B181,D95,DATA!$I$2:$I181,D$12,DATA!$H$2:$H181,$C102)/
COUNTIFS(DATA!$G$2:$G181,D96,DATA!$D$2:$D181,D94,DATA!$B$2:$B181,D95,DATA!$I$2:$I181,D$12,DATA!$H$2:$H181,"&lt;&gt;-")</f>
        <v>0.04142011834</v>
      </c>
      <c r="E102" s="107">
        <f>COUNTIFS(DATA!$G$2:$G181,D96,DATA!$D$2:$D181,D94,DATA!$B$2:$B181,D95,DATA!$I$2:$I181,E$12,DATA!$H$2:$H181,$C102)/
COUNTIFS(DATA!$G$2:$G181,D96,DATA!$D$2:$D181,D94,DATA!$B$2:$B181,D95,DATA!$I$2:$I181,E$12,DATA!$H$2:$H181,"&lt;&gt;-")</f>
        <v>0.880952381</v>
      </c>
      <c r="F102" s="107">
        <f>COUNTIFS(DATA!$G$2:$G181,D96,DATA!$D$2:$D181,D94,DATA!$B$2:$B181,D95,DATA!$I$2:$I181,F$12,DATA!$H$2:$H181,$C102)/
COUNTIFS(DATA!$G$2:$G181,D96,DATA!$D$2:$D181,D94,DATA!$B$2:$B181,D95,DATA!$I$2:$I181,F$12,DATA!$H$2:$H181,"&lt;&gt;-")</f>
        <v>0.4225352113</v>
      </c>
      <c r="I102" s="151"/>
      <c r="J102" s="151"/>
      <c r="K102" s="151"/>
      <c r="L102" s="151"/>
      <c r="M102" s="151"/>
      <c r="N102" s="152"/>
    </row>
    <row r="103">
      <c r="B103" s="144"/>
      <c r="C103" s="77" t="s">
        <v>32</v>
      </c>
      <c r="D103" s="107">
        <f>COUNTIFS(DATA!$G$2:$G181,D96,DATA!$D$2:$D181,D94,DATA!$B$2:$B181,D95,DATA!$I$2:$I181,D$12,DATA!$H$2:$H181,$C103)/
COUNTIFS(DATA!$G$2:$G181,D96,DATA!$D$2:$D181,D94,DATA!$B$2:$B181,D95,DATA!$I$2:$I181,D$12,DATA!$H$2:$H181,"&lt;&gt;-")</f>
        <v>0</v>
      </c>
      <c r="E103" s="107">
        <f>COUNTIFS(DATA!$G$2:$G181,D96,DATA!$D$2:$D181,D94,DATA!$B$2:$B181,D95,DATA!$I$2:$I181,E$12,DATA!$H$2:$H181,$C103)/
COUNTIFS(DATA!$G$2:$G181,D96,DATA!$D$2:$D181,D94,DATA!$B$2:$B181,D95,DATA!$I$2:$I181,E$12,DATA!$H$2:$H181,"&lt;&gt;-")</f>
        <v>0</v>
      </c>
      <c r="F103" s="107">
        <f>COUNTIFS(DATA!$G$2:$G181,D96,DATA!$D$2:$D181,D94,DATA!$B$2:$B181,D95,DATA!$I$2:$I181,F$12,DATA!$H$2:$H181,$C103)/
COUNTIFS(DATA!$G$2:$G181,D96,DATA!$D$2:$D181,D94,DATA!$B$2:$B181,D95,DATA!$I$2:$I181,F$12,DATA!$H$2:$H181,"&lt;&gt;-")</f>
        <v>0.02112676056</v>
      </c>
      <c r="N103" s="152"/>
    </row>
    <row r="104">
      <c r="B104" s="144"/>
      <c r="C104" s="158" t="s">
        <v>361</v>
      </c>
      <c r="D104" s="159">
        <f t="shared" ref="D104:F104" si="8">SUM(D101:D103)</f>
        <v>1</v>
      </c>
      <c r="E104" s="159">
        <f t="shared" si="8"/>
        <v>1</v>
      </c>
      <c r="F104" s="159">
        <f t="shared" si="8"/>
        <v>1</v>
      </c>
      <c r="N104" s="152"/>
    </row>
    <row r="105">
      <c r="B105" s="144"/>
      <c r="C105" s="153"/>
      <c r="D105" s="151"/>
      <c r="E105" s="151"/>
      <c r="F105" s="151"/>
      <c r="G105" s="160"/>
      <c r="H105" s="160"/>
      <c r="N105" s="152"/>
    </row>
    <row r="106">
      <c r="B106" s="144"/>
      <c r="C106" s="161"/>
      <c r="D106" s="151"/>
      <c r="E106" s="151"/>
      <c r="F106" s="151"/>
      <c r="G106" s="160"/>
      <c r="H106" s="160"/>
      <c r="N106" s="152"/>
    </row>
    <row r="107">
      <c r="B107" s="144"/>
      <c r="D107" s="162"/>
      <c r="G107" s="160"/>
      <c r="H107" s="160"/>
      <c r="N107" s="152"/>
    </row>
    <row r="108">
      <c r="B108" s="144"/>
      <c r="D108" s="162"/>
      <c r="G108" s="160"/>
      <c r="H108" s="160"/>
      <c r="N108" s="152"/>
    </row>
    <row r="109">
      <c r="B109" s="144"/>
      <c r="D109" s="162"/>
      <c r="G109" s="160"/>
      <c r="H109" s="160"/>
      <c r="N109" s="152"/>
    </row>
    <row r="110">
      <c r="B110" s="144"/>
      <c r="N110" s="152"/>
    </row>
    <row r="111">
      <c r="B111" s="144"/>
      <c r="N111" s="152"/>
    </row>
    <row r="112">
      <c r="B112" s="144"/>
      <c r="N112" s="152"/>
    </row>
    <row r="113">
      <c r="B113" s="144"/>
      <c r="N113" s="152"/>
    </row>
    <row r="114">
      <c r="B114" s="144"/>
      <c r="N114" s="152"/>
    </row>
    <row r="115">
      <c r="B115" s="144"/>
      <c r="N115" s="152"/>
    </row>
    <row r="116">
      <c r="B116" s="144"/>
      <c r="N116" s="152"/>
    </row>
    <row r="117">
      <c r="B117" s="144"/>
      <c r="D117" s="162"/>
      <c r="G117" s="160"/>
      <c r="H117" s="160"/>
      <c r="N117" s="152"/>
    </row>
    <row r="118">
      <c r="B118" s="163"/>
      <c r="C118" s="164"/>
      <c r="D118" s="164"/>
      <c r="E118" s="164"/>
      <c r="F118" s="164"/>
      <c r="G118" s="165"/>
      <c r="H118" s="165"/>
      <c r="I118" s="166"/>
      <c r="J118" s="166"/>
      <c r="K118" s="166"/>
      <c r="L118" s="166"/>
      <c r="M118" s="166"/>
      <c r="N118" s="167"/>
    </row>
    <row r="119">
      <c r="C119" s="173"/>
      <c r="D119" s="174"/>
      <c r="E119" s="174"/>
    </row>
    <row r="120">
      <c r="C120" s="173"/>
      <c r="D120" s="174"/>
      <c r="E120" s="174"/>
    </row>
    <row r="121">
      <c r="B121" s="141"/>
      <c r="C121" s="142"/>
      <c r="D121" s="142"/>
      <c r="E121" s="142"/>
      <c r="F121" s="142"/>
      <c r="G121" s="142"/>
      <c r="H121" s="142"/>
      <c r="I121" s="142"/>
      <c r="J121" s="142"/>
      <c r="K121" s="142"/>
      <c r="L121" s="142"/>
      <c r="M121" s="142"/>
      <c r="N121" s="143" t="s">
        <v>360</v>
      </c>
    </row>
    <row r="122">
      <c r="B122" s="144"/>
      <c r="C122" s="145" t="s">
        <v>363</v>
      </c>
      <c r="D122" s="146"/>
      <c r="E122" s="146"/>
      <c r="N122" s="147" t="str">
        <f>callGEMINI("Analiza los datos proporcionados, que muestran los niveles de logro en "&amp;$C$2&amp;" de los estudiantes de la red rural "&amp;D124&amp;"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"&amp;MID(D124,1,2)&amp;" sector rural de la región '"&amp;MID(D124,4,20)&amp;"'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crearJSONdesdeTabla(C129:F132,0))</f>
        <v>En el año 2024, los niveles de logro en Matemática de los estudiantes de la red rural 72 Ucayali en los colegios Fe y Alegría muestran que un 41% se encuentra en el nivel de "Proceso". Este valor representa una disminución de 13 puntos porcentuales en comparación con 2023 y un aumento de 28 puntos porcentuales respecto a la linea base (2022).
Además, para el 2024 se observa una movilización positiva de estudiantes desde el nivel "Inicio" hacia "Proceso", con una reducción del 30% en "Inicio" comparado con la linea base (2022) y un aumento del 28% en "Proceso" comparado con la linea base, lo que indica que más estudiantes están avanzando en sus aprendizajes.
</v>
      </c>
    </row>
    <row r="123">
      <c r="B123" s="144"/>
      <c r="C123" s="148" t="s">
        <v>3</v>
      </c>
      <c r="D123" s="149" t="s">
        <v>365</v>
      </c>
      <c r="E123" s="150"/>
      <c r="F123" s="77" t="str">
        <f t="shared" ref="F123:F125" si="9">IF(D123="*","Todos","")</f>
        <v>Todos</v>
      </c>
      <c r="I123" s="151"/>
      <c r="J123" s="151"/>
      <c r="K123" s="151"/>
      <c r="L123" s="151"/>
      <c r="M123" s="151"/>
      <c r="N123" s="152"/>
    </row>
    <row r="124">
      <c r="B124" s="144"/>
      <c r="C124" s="148" t="s">
        <v>366</v>
      </c>
      <c r="D124" s="149" t="s">
        <v>70</v>
      </c>
      <c r="E124" s="150"/>
      <c r="F124" s="77" t="str">
        <f t="shared" si="9"/>
        <v/>
      </c>
      <c r="I124" s="153"/>
      <c r="J124" s="153"/>
      <c r="K124" s="153"/>
      <c r="L124" s="153"/>
      <c r="N124" s="152"/>
    </row>
    <row r="125">
      <c r="B125" s="144"/>
      <c r="C125" s="148" t="s">
        <v>6</v>
      </c>
      <c r="D125" s="149" t="s">
        <v>365</v>
      </c>
      <c r="E125" s="150"/>
      <c r="F125" s="77" t="str">
        <f t="shared" si="9"/>
        <v>Todos</v>
      </c>
      <c r="I125" s="151"/>
      <c r="J125" s="151"/>
      <c r="K125" s="151"/>
      <c r="L125" s="151"/>
      <c r="M125" s="151"/>
      <c r="N125" s="152"/>
    </row>
    <row r="126">
      <c r="B126" s="144"/>
      <c r="I126" s="151"/>
      <c r="J126" s="151"/>
      <c r="K126" s="151"/>
      <c r="L126" s="151"/>
      <c r="M126" s="151"/>
      <c r="N126" s="152"/>
    </row>
    <row r="127">
      <c r="B127" s="144"/>
      <c r="I127" s="151"/>
      <c r="J127" s="151"/>
      <c r="K127" s="151"/>
      <c r="N127" s="152"/>
    </row>
    <row r="128">
      <c r="B128" s="144"/>
      <c r="C128" s="172"/>
      <c r="D128" s="155"/>
      <c r="E128" s="155"/>
      <c r="F128" s="155"/>
      <c r="I128" s="151"/>
      <c r="J128" s="151"/>
      <c r="K128" s="151"/>
      <c r="N128" s="152"/>
    </row>
    <row r="129">
      <c r="B129" s="144"/>
      <c r="C129" s="156" t="s">
        <v>368</v>
      </c>
      <c r="D129" s="157">
        <v>2022.0</v>
      </c>
      <c r="E129" s="157">
        <v>2023.0</v>
      </c>
      <c r="F129" s="157">
        <v>2024.0</v>
      </c>
      <c r="I129" s="151"/>
      <c r="J129" s="151"/>
      <c r="K129" s="151"/>
      <c r="L129" s="151"/>
      <c r="M129" s="151"/>
      <c r="N129" s="152"/>
    </row>
    <row r="130">
      <c r="B130" s="144"/>
      <c r="C130" s="77" t="s">
        <v>18</v>
      </c>
      <c r="D130" s="107">
        <f>COUNTIFS(DATA!$G$2:$G181,D125,DATA!$D$2:$D181,D123,DATA!$B$2:$B181,D124,DATA!$I$2:$I181,D$12,DATA!$H$2:$H181,$C130)/
COUNTIFS(DATA!$G$2:$G181,D125,DATA!$D$2:$D181,D123,DATA!$B$2:$B181,D124,DATA!$I$2:$I181,D$12,DATA!$H$2:$H181,"&lt;&gt;-")</f>
        <v>0.8734177215</v>
      </c>
      <c r="E130" s="107">
        <f>COUNTIFS(DATA!$G$2:$G181,D125,DATA!$D$2:$D181,D123,DATA!$B$2:$B181,D124,DATA!$I$2:$I181,E$12,DATA!$H$2:$H181,$C130)/
COUNTIFS(DATA!$G$2:$G181,D125,DATA!$D$2:$D181,D123,DATA!$B$2:$B181,D124,DATA!$I$2:$I181,E$12,DATA!$H$2:$H181,"&lt;&gt;-")</f>
        <v>0.4642857143</v>
      </c>
      <c r="F130" s="107">
        <f>COUNTIFS(DATA!$G$2:$G181,D125,DATA!$D$2:$D181,D123,DATA!$B$2:$B181,D124,DATA!$I$2:$I181,F$12,DATA!$H$2:$H181,$C130)/
COUNTIFS(DATA!$G$2:$G181,D125,DATA!$D$2:$D181,D123,DATA!$B$2:$B181,D124,DATA!$I$2:$I181,F$12,DATA!$H$2:$H181,"&lt;&gt;-")</f>
        <v>0.5652173913</v>
      </c>
      <c r="I130" s="151"/>
      <c r="J130" s="151"/>
      <c r="K130" s="151"/>
      <c r="L130" s="151"/>
      <c r="M130" s="151"/>
      <c r="N130" s="152"/>
    </row>
    <row r="131">
      <c r="B131" s="144"/>
      <c r="C131" s="77" t="s">
        <v>24</v>
      </c>
      <c r="D131" s="107">
        <f>COUNTIFS(DATA!$G$2:$G181,D125,DATA!$D$2:$D181,D123,DATA!$B$2:$B181,D124,DATA!$I$2:$I181,D$12,DATA!$H$2:$H181,$C131)/
COUNTIFS(DATA!$G$2:$G181,D125,DATA!$D$2:$D181,D123,DATA!$B$2:$B181,D124,DATA!$I$2:$I181,D$12,DATA!$H$2:$H181,"&lt;&gt;-")</f>
        <v>0.1265822785</v>
      </c>
      <c r="E131" s="107">
        <f>COUNTIFS(DATA!$G$2:$G181,D125,DATA!$D$2:$D181,D123,DATA!$B$2:$B181,D124,DATA!$I$2:$I181,E$12,DATA!$H$2:$H181,$C131)/
COUNTIFS(DATA!$G$2:$G181,D125,DATA!$D$2:$D181,D123,DATA!$B$2:$B181,D124,DATA!$I$2:$I181,E$12,DATA!$H$2:$H181,"&lt;&gt;-")</f>
        <v>0.5357142857</v>
      </c>
      <c r="F131" s="107">
        <f>COUNTIFS(DATA!$G$2:$G181,D125,DATA!$D$2:$D181,D123,DATA!$B$2:$B181,D124,DATA!$I$2:$I181,F$12,DATA!$H$2:$H181,$C131)/
COUNTIFS(DATA!$G$2:$G181,D125,DATA!$D$2:$D181,D123,DATA!$B$2:$B181,D124,DATA!$I$2:$I181,F$12,DATA!$H$2:$H181,"&lt;&gt;-")</f>
        <v>0.4086956522</v>
      </c>
      <c r="I131" s="151"/>
      <c r="J131" s="151"/>
      <c r="K131" s="151"/>
      <c r="L131" s="151"/>
      <c r="M131" s="151"/>
      <c r="N131" s="152"/>
    </row>
    <row r="132">
      <c r="B132" s="144"/>
      <c r="C132" s="77" t="s">
        <v>32</v>
      </c>
      <c r="D132" s="107">
        <f>COUNTIFS(DATA!$G$2:$G181,D125,DATA!$D$2:$D181,D123,DATA!$B$2:$B181,D124,DATA!$I$2:$I181,D$12,DATA!$H$2:$H181,$C132)/
COUNTIFS(DATA!$G$2:$G181,D125,DATA!$D$2:$D181,D123,DATA!$B$2:$B181,D124,DATA!$I$2:$I181,D$12,DATA!$H$2:$H181,"&lt;&gt;-")</f>
        <v>0</v>
      </c>
      <c r="E132" s="107">
        <f>COUNTIFS(DATA!$G$2:$G181,D125,DATA!$D$2:$D181,D123,DATA!$B$2:$B181,D124,DATA!$I$2:$I181,E$12,DATA!$H$2:$H181,$C132)/
COUNTIFS(DATA!$G$2:$G181,D125,DATA!$D$2:$D181,D123,DATA!$B$2:$B181,D124,DATA!$I$2:$I181,E$12,DATA!$H$2:$H181,"&lt;&gt;-")</f>
        <v>0</v>
      </c>
      <c r="F132" s="107">
        <f>COUNTIFS(DATA!$G$2:$G181,D125,DATA!$D$2:$D181,D123,DATA!$B$2:$B181,D124,DATA!$I$2:$I181,F$12,DATA!$H$2:$H181,$C132)/
COUNTIFS(DATA!$G$2:$G181,D125,DATA!$D$2:$D181,D123,DATA!$B$2:$B181,D124,DATA!$I$2:$I181,F$12,DATA!$H$2:$H181,"&lt;&gt;-")</f>
        <v>0.02608695652</v>
      </c>
      <c r="N132" s="152"/>
    </row>
    <row r="133">
      <c r="B133" s="144"/>
      <c r="C133" s="158" t="s">
        <v>361</v>
      </c>
      <c r="D133" s="159">
        <f t="shared" ref="D133:F133" si="10">SUM(D130:D132)</f>
        <v>1</v>
      </c>
      <c r="E133" s="159">
        <f t="shared" si="10"/>
        <v>1</v>
      </c>
      <c r="F133" s="159">
        <f t="shared" si="10"/>
        <v>1</v>
      </c>
      <c r="N133" s="152"/>
    </row>
    <row r="134">
      <c r="B134" s="144"/>
      <c r="C134" s="153"/>
      <c r="D134" s="151"/>
      <c r="E134" s="151"/>
      <c r="F134" s="151"/>
      <c r="G134" s="160"/>
      <c r="H134" s="160"/>
      <c r="N134" s="152"/>
    </row>
    <row r="135">
      <c r="B135" s="144"/>
      <c r="C135" s="161"/>
      <c r="D135" s="151"/>
      <c r="E135" s="151"/>
      <c r="F135" s="151"/>
      <c r="G135" s="160"/>
      <c r="H135" s="160"/>
      <c r="N135" s="152"/>
    </row>
    <row r="136">
      <c r="B136" s="144"/>
      <c r="D136" s="162"/>
      <c r="G136" s="160"/>
      <c r="H136" s="160"/>
      <c r="N136" s="152"/>
    </row>
    <row r="137">
      <c r="B137" s="144"/>
      <c r="D137" s="162"/>
      <c r="G137" s="160"/>
      <c r="H137" s="160"/>
      <c r="N137" s="152"/>
    </row>
    <row r="138">
      <c r="B138" s="144"/>
      <c r="D138" s="162"/>
      <c r="G138" s="160"/>
      <c r="H138" s="160"/>
      <c r="N138" s="152"/>
    </row>
    <row r="139">
      <c r="B139" s="144"/>
      <c r="N139" s="152"/>
    </row>
    <row r="140">
      <c r="B140" s="144"/>
      <c r="N140" s="152"/>
    </row>
    <row r="141">
      <c r="B141" s="144"/>
      <c r="N141" s="152"/>
    </row>
    <row r="142">
      <c r="B142" s="144"/>
      <c r="N142" s="152"/>
    </row>
    <row r="143">
      <c r="B143" s="144"/>
      <c r="N143" s="152"/>
    </row>
    <row r="144">
      <c r="B144" s="144"/>
      <c r="N144" s="152"/>
    </row>
    <row r="145">
      <c r="B145" s="144"/>
      <c r="N145" s="152"/>
    </row>
    <row r="146">
      <c r="B146" s="144"/>
      <c r="D146" s="162"/>
      <c r="G146" s="160"/>
      <c r="H146" s="160"/>
      <c r="N146" s="152"/>
    </row>
    <row r="147">
      <c r="B147" s="144"/>
      <c r="D147" s="162"/>
      <c r="G147" s="160"/>
      <c r="H147" s="160"/>
      <c r="N147" s="152"/>
    </row>
    <row r="148">
      <c r="B148" s="144"/>
      <c r="D148" s="162"/>
      <c r="G148" s="160"/>
      <c r="H148" s="160"/>
      <c r="N148" s="152"/>
    </row>
    <row r="149">
      <c r="B149" s="144"/>
      <c r="D149" s="162"/>
      <c r="G149" s="160"/>
      <c r="H149" s="160"/>
      <c r="N149" s="152"/>
    </row>
    <row r="150">
      <c r="B150" s="163"/>
      <c r="C150" s="164"/>
      <c r="D150" s="164"/>
      <c r="E150" s="164"/>
      <c r="F150" s="164"/>
      <c r="G150" s="165"/>
      <c r="H150" s="165"/>
      <c r="I150" s="166"/>
      <c r="J150" s="166"/>
      <c r="K150" s="166"/>
      <c r="L150" s="166"/>
      <c r="M150" s="166"/>
      <c r="N150" s="167"/>
    </row>
    <row r="151">
      <c r="C151" s="173"/>
      <c r="D151" s="174"/>
      <c r="E151" s="174"/>
    </row>
    <row r="152">
      <c r="C152" s="173"/>
      <c r="D152" s="174"/>
      <c r="E152" s="174"/>
      <c r="F152" s="175"/>
    </row>
    <row r="153">
      <c r="B153" s="141"/>
      <c r="C153" s="142"/>
      <c r="D153" s="142"/>
      <c r="E153" s="142"/>
      <c r="F153" s="142"/>
      <c r="G153" s="142"/>
      <c r="H153" s="142"/>
      <c r="I153" s="142"/>
      <c r="J153" s="142"/>
      <c r="K153" s="142"/>
      <c r="L153" s="142"/>
      <c r="M153" s="142"/>
      <c r="N153" s="143" t="s">
        <v>360</v>
      </c>
    </row>
    <row r="154">
      <c r="B154" s="144"/>
      <c r="C154" s="145" t="s">
        <v>363</v>
      </c>
      <c r="D154" s="146"/>
      <c r="E154" s="146"/>
      <c r="N154" s="147" t="str">
        <f>callGEMINI("Analiza los datos proporcionados, que muestran los niveles de logro en "&amp;$C$2&amp;" de los estudiantes de la red rural "&amp;D156&amp;"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"&amp;MID(D156,1,2)&amp;" sector rural de la región '"&amp;MID(D156,4,20)&amp;"'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crearJSONdesdeTabla(C161:F164,0))</f>
        <v>En el año 2024, los niveles de logro en Matemática de los estudiantes de la red rural 79 de Huancavelica en los colegios Fe y Alegría muestran que un 42% se encuentra en el nivel "Proceso". Este valor representa una disminución de 1 punto porcentual en comparación con 2023 y un aumento de 36 puntos porcentuales respecto a la linea base (2022).
Además, para el 2024 se observa una movilización positiva de estudiantes desde el nivel "Inicio" hacia "Proceso", con una reducción del 36% en "Inicio" comparado con la linea base (2022) y un aumento del 36% en "Proceso" comparado con la linea base, lo que indica que más estudiantes están avanzando en sus aprendizajes.
</v>
      </c>
    </row>
    <row r="155">
      <c r="B155" s="144"/>
      <c r="C155" s="148" t="s">
        <v>3</v>
      </c>
      <c r="D155" s="149" t="s">
        <v>365</v>
      </c>
      <c r="E155" s="150"/>
      <c r="F155" s="77" t="str">
        <f t="shared" ref="F155:F157" si="11">IF(D155="*","Todos","")</f>
        <v>Todos</v>
      </c>
      <c r="I155" s="151"/>
      <c r="J155" s="151"/>
      <c r="K155" s="151"/>
      <c r="L155" s="151"/>
      <c r="M155" s="151"/>
      <c r="N155" s="152"/>
    </row>
    <row r="156">
      <c r="B156" s="144"/>
      <c r="C156" s="148" t="s">
        <v>366</v>
      </c>
      <c r="D156" s="149" t="s">
        <v>84</v>
      </c>
      <c r="E156" s="150"/>
      <c r="F156" s="77" t="str">
        <f t="shared" si="11"/>
        <v/>
      </c>
      <c r="I156" s="153"/>
      <c r="J156" s="153"/>
      <c r="K156" s="153"/>
      <c r="L156" s="153"/>
      <c r="N156" s="152"/>
    </row>
    <row r="157">
      <c r="B157" s="144"/>
      <c r="C157" s="148" t="s">
        <v>6</v>
      </c>
      <c r="D157" s="149" t="s">
        <v>365</v>
      </c>
      <c r="E157" s="150"/>
      <c r="F157" s="77" t="str">
        <f t="shared" si="11"/>
        <v>Todos</v>
      </c>
      <c r="I157" s="151"/>
      <c r="J157" s="151"/>
      <c r="K157" s="151"/>
      <c r="L157" s="151"/>
      <c r="M157" s="151"/>
      <c r="N157" s="152"/>
    </row>
    <row r="158">
      <c r="B158" s="144"/>
      <c r="I158" s="151"/>
      <c r="J158" s="151"/>
      <c r="K158" s="151"/>
      <c r="L158" s="151"/>
      <c r="M158" s="151"/>
      <c r="N158" s="152"/>
    </row>
    <row r="159">
      <c r="B159" s="144"/>
      <c r="I159" s="151"/>
      <c r="J159" s="151"/>
      <c r="K159" s="151"/>
      <c r="N159" s="152"/>
    </row>
    <row r="160">
      <c r="B160" s="144"/>
      <c r="C160" s="172"/>
      <c r="D160" s="155"/>
      <c r="E160" s="155"/>
      <c r="F160" s="155"/>
      <c r="I160" s="151"/>
      <c r="J160" s="151"/>
      <c r="K160" s="151"/>
      <c r="N160" s="152"/>
    </row>
    <row r="161">
      <c r="B161" s="144"/>
      <c r="C161" s="156" t="s">
        <v>368</v>
      </c>
      <c r="D161" s="157">
        <v>2022.0</v>
      </c>
      <c r="E161" s="157">
        <v>2023.0</v>
      </c>
      <c r="F161" s="157">
        <v>2024.0</v>
      </c>
      <c r="I161" s="151"/>
      <c r="J161" s="151"/>
      <c r="K161" s="151"/>
      <c r="L161" s="151"/>
      <c r="M161" s="151"/>
      <c r="N161" s="152"/>
    </row>
    <row r="162">
      <c r="B162" s="144"/>
      <c r="C162" s="77" t="s">
        <v>18</v>
      </c>
      <c r="D162" s="107">
        <f>COUNTIFS(DATA!$G$2:$G181,D157,DATA!$D$2:$D181,D155,DATA!$B$2:$B181,D156,DATA!$I$2:$I181,D$12,DATA!$H$2:$H181,$C162)/
COUNTIFS(DATA!$G$2:$G181,D157,DATA!$D$2:$D181,D155,DATA!$B$2:$B181,D156,DATA!$I$2:$I181,D$12,DATA!$H$2:$H181,"&lt;&gt;-")</f>
        <v>0.935483871</v>
      </c>
      <c r="E162" s="107">
        <f>COUNTIFS(DATA!$G$2:$G181,D157,DATA!$D$2:$D181,D155,DATA!$B$2:$B181,D156,DATA!$I$2:$I181,E$12,DATA!$H$2:$H181,$C162)/
COUNTIFS(DATA!$G$2:$G181,D157,DATA!$D$2:$D181,D155,DATA!$B$2:$B181,D156,DATA!$I$2:$I181,E$12,DATA!$H$2:$H181,"&lt;&gt;-")</f>
        <v>0.5641025641</v>
      </c>
      <c r="F162" s="107">
        <f>COUNTIFS(DATA!$G$2:$G181,D157,DATA!$D$2:$D181,D155,DATA!$B$2:$B181,D156,DATA!$I$2:$I181,F$12,DATA!$H$2:$H181,$C162)/
COUNTIFS(DATA!$G$2:$G181,D157,DATA!$D$2:$D181,D155,DATA!$B$2:$B181,D156,DATA!$I$2:$I181,F$12,DATA!$H$2:$H181,"&lt;&gt;-")</f>
        <v>0.580952381</v>
      </c>
      <c r="I162" s="151"/>
      <c r="J162" s="151"/>
      <c r="K162" s="151"/>
      <c r="L162" s="151"/>
      <c r="M162" s="151"/>
      <c r="N162" s="152"/>
    </row>
    <row r="163">
      <c r="B163" s="144"/>
      <c r="C163" s="77" t="s">
        <v>24</v>
      </c>
      <c r="D163" s="107">
        <f>COUNTIFS(DATA!$G$2:$G181,D157,DATA!$D$2:$D181,D155,DATA!$B$2:$B181,D156,DATA!$I$2:$I181,D$12,DATA!$H$2:$H181,$C163)/
COUNTIFS(DATA!$G$2:$G181,D157,DATA!$D$2:$D181,D155,DATA!$B$2:$B181,D156,DATA!$I$2:$I181,D$12,DATA!$H$2:$H181,"&lt;&gt;-")</f>
        <v>0.06451612903</v>
      </c>
      <c r="E163" s="107">
        <f>COUNTIFS(DATA!$G$2:$G181,D157,DATA!$D$2:$D181,D155,DATA!$B$2:$B181,D156,DATA!$I$2:$I181,E$12,DATA!$H$2:$H181,$C163)/
COUNTIFS(DATA!$G$2:$G181,D157,DATA!$D$2:$D181,D155,DATA!$B$2:$B181,D156,DATA!$I$2:$I181,E$12,DATA!$H$2:$H181,"&lt;&gt;-")</f>
        <v>0.4294871795</v>
      </c>
      <c r="F163" s="107">
        <f>COUNTIFS(DATA!$G$2:$G181,D157,DATA!$D$2:$D181,D155,DATA!$B$2:$B181,D156,DATA!$I$2:$I181,F$12,DATA!$H$2:$H181,$C163)/
COUNTIFS(DATA!$G$2:$G181,D157,DATA!$D$2:$D181,D155,DATA!$B$2:$B181,D156,DATA!$I$2:$I181,F$12,DATA!$H$2:$H181,"&lt;&gt;-")</f>
        <v>0.419047619</v>
      </c>
      <c r="I163" s="151"/>
      <c r="J163" s="151"/>
      <c r="K163" s="151"/>
      <c r="L163" s="151"/>
      <c r="M163" s="151"/>
      <c r="N163" s="152"/>
    </row>
    <row r="164">
      <c r="B164" s="144"/>
      <c r="C164" s="77" t="s">
        <v>32</v>
      </c>
      <c r="D164" s="107">
        <f>COUNTIFS(DATA!$G$2:$G181,D157,DATA!$D$2:$D181,D155,DATA!$B$2:$B181,D156,DATA!$I$2:$I181,D$12,DATA!$H$2:$H181,$C164)/
COUNTIFS(DATA!$G$2:$G181,D157,DATA!$D$2:$D181,D155,DATA!$B$2:$B181,D156,DATA!$I$2:$I181,D$12,DATA!$H$2:$H181,"&lt;&gt;-")</f>
        <v>0</v>
      </c>
      <c r="E164" s="107">
        <f>COUNTIFS(DATA!$G$2:$G181,D157,DATA!$D$2:$D181,D155,DATA!$B$2:$B181,D156,DATA!$I$2:$I181,E$12,DATA!$H$2:$H181,$C164)/
COUNTIFS(DATA!$G$2:$G181,D157,DATA!$D$2:$D181,D155,DATA!$B$2:$B181,D156,DATA!$I$2:$I181,E$12,DATA!$H$2:$H181,"&lt;&gt;-")</f>
        <v>0.00641025641</v>
      </c>
      <c r="F164" s="107">
        <f>COUNTIFS(DATA!$G$2:$G181,D157,DATA!$D$2:$D181,D155,DATA!$B$2:$B181,D156,DATA!$I$2:$I181,F$12,DATA!$H$2:$H181,$C164)/
COUNTIFS(DATA!$G$2:$G181,D157,DATA!$D$2:$D181,D155,DATA!$B$2:$B181,D156,DATA!$I$2:$I181,F$12,DATA!$H$2:$H181,"&lt;&gt;-")</f>
        <v>0</v>
      </c>
      <c r="N164" s="152"/>
    </row>
    <row r="165">
      <c r="B165" s="144"/>
      <c r="C165" s="158" t="s">
        <v>361</v>
      </c>
      <c r="D165" s="159">
        <f t="shared" ref="D165:F165" si="12">SUM(D162:D164)</f>
        <v>1</v>
      </c>
      <c r="E165" s="159">
        <f t="shared" si="12"/>
        <v>1</v>
      </c>
      <c r="F165" s="159">
        <f t="shared" si="12"/>
        <v>1</v>
      </c>
      <c r="N165" s="152"/>
    </row>
    <row r="166">
      <c r="B166" s="144"/>
      <c r="C166" s="153"/>
      <c r="D166" s="151"/>
      <c r="E166" s="151"/>
      <c r="F166" s="151"/>
      <c r="G166" s="160"/>
      <c r="H166" s="160"/>
      <c r="N166" s="152"/>
    </row>
    <row r="167">
      <c r="B167" s="144"/>
      <c r="C167" s="161"/>
      <c r="D167" s="151"/>
      <c r="E167" s="151"/>
      <c r="F167" s="151"/>
      <c r="G167" s="160"/>
      <c r="H167" s="160"/>
      <c r="N167" s="152"/>
    </row>
    <row r="168">
      <c r="B168" s="144"/>
      <c r="D168" s="162"/>
      <c r="G168" s="160"/>
      <c r="H168" s="160"/>
      <c r="N168" s="152"/>
    </row>
    <row r="169">
      <c r="B169" s="144"/>
      <c r="D169" s="162"/>
      <c r="G169" s="160"/>
      <c r="H169" s="160"/>
      <c r="N169" s="152"/>
    </row>
    <row r="170">
      <c r="B170" s="144"/>
      <c r="D170" s="162"/>
      <c r="G170" s="160"/>
      <c r="H170" s="160"/>
      <c r="N170" s="152"/>
    </row>
    <row r="171">
      <c r="B171" s="144"/>
      <c r="D171" s="162"/>
      <c r="G171" s="160"/>
      <c r="H171" s="160"/>
      <c r="N171" s="152"/>
    </row>
    <row r="172">
      <c r="B172" s="144"/>
      <c r="N172" s="152"/>
    </row>
    <row r="173">
      <c r="B173" s="144"/>
      <c r="N173" s="152"/>
    </row>
    <row r="174">
      <c r="B174" s="144"/>
      <c r="N174" s="152"/>
    </row>
    <row r="175">
      <c r="B175" s="144"/>
      <c r="N175" s="152"/>
    </row>
    <row r="176">
      <c r="B176" s="144"/>
      <c r="N176" s="152"/>
    </row>
    <row r="177">
      <c r="B177" s="144"/>
      <c r="N177" s="152"/>
    </row>
    <row r="178">
      <c r="B178" s="144"/>
      <c r="N178" s="152"/>
    </row>
    <row r="179">
      <c r="B179" s="144"/>
      <c r="D179" s="162"/>
      <c r="G179" s="160"/>
      <c r="H179" s="160"/>
      <c r="N179" s="152"/>
    </row>
    <row r="180">
      <c r="B180" s="144"/>
      <c r="D180" s="162"/>
      <c r="G180" s="160"/>
      <c r="H180" s="160"/>
      <c r="N180" s="152"/>
    </row>
    <row r="181">
      <c r="B181" s="163"/>
      <c r="C181" s="164"/>
      <c r="D181" s="164"/>
      <c r="E181" s="164"/>
      <c r="F181" s="164"/>
      <c r="G181" s="165"/>
      <c r="H181" s="165"/>
      <c r="I181" s="166"/>
      <c r="J181" s="166"/>
      <c r="K181" s="166"/>
      <c r="L181" s="166"/>
      <c r="M181" s="166"/>
      <c r="N181" s="167"/>
    </row>
  </sheetData>
  <mergeCells count="24">
    <mergeCell ref="N34:N60"/>
    <mergeCell ref="N64:N89"/>
    <mergeCell ref="N93:N118"/>
    <mergeCell ref="N122:N150"/>
    <mergeCell ref="N154:N181"/>
    <mergeCell ref="N5:N30"/>
    <mergeCell ref="D6:E6"/>
    <mergeCell ref="D7:E7"/>
    <mergeCell ref="D8:E8"/>
    <mergeCell ref="D35:E35"/>
    <mergeCell ref="D36:E36"/>
    <mergeCell ref="D37:E37"/>
    <mergeCell ref="D124:E124"/>
    <mergeCell ref="D125:E125"/>
    <mergeCell ref="D155:E155"/>
    <mergeCell ref="D156:E156"/>
    <mergeCell ref="D157:E157"/>
    <mergeCell ref="D65:E65"/>
    <mergeCell ref="D66:E66"/>
    <mergeCell ref="D67:E67"/>
    <mergeCell ref="D94:E94"/>
    <mergeCell ref="D95:E95"/>
    <mergeCell ref="D96:E96"/>
    <mergeCell ref="D123:E123"/>
  </mergeCells>
  <dataValidations>
    <dataValidation type="list" allowBlank="1" showErrorMessage="1" sqref="D8 D37 D67 D96 D125 D157">
      <formula1>"*,Masculino,Femenino"</formula1>
    </dataValidation>
    <dataValidation type="list" allowBlank="1" showErrorMessage="1" sqref="D7 D36 D66 D95 D124 D156">
      <formula1>nombres!$K$4:$K$10</formula1>
    </dataValidation>
    <dataValidation type="list" allowBlank="1" showErrorMessage="1" sqref="D6 D35 D65 D94 D123 D155">
      <formula1>claves!$B$3:$B$10</formula1>
    </dataValidation>
  </dataValidations>
  <printOptions gridLines="1" horizontalCentered="1"/>
  <pageMargins bottom="0.75" footer="0.0" header="0.0" left="0.7" right="0.7" top="0.75"/>
  <pageSetup fitToHeight="0" paperSize="9" cellComments="atEnd" orientation="portrait" pageOrder="overThenDown"/>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75"/>
    <col customWidth="1" min="2" max="2" width="2.0"/>
    <col customWidth="1" min="3" max="3" width="18.88"/>
    <col customWidth="1" min="4" max="6" width="13.63"/>
    <col customWidth="1" min="12" max="12" width="7.63"/>
    <col customWidth="1" min="13" max="13" width="3.0"/>
    <col customWidth="1" min="14" max="14" width="37.0"/>
  </cols>
  <sheetData>
    <row r="2">
      <c r="C2" s="77" t="s">
        <v>362</v>
      </c>
    </row>
    <row r="4">
      <c r="B4" s="141"/>
      <c r="C4" s="142"/>
      <c r="D4" s="142"/>
      <c r="E4" s="142"/>
      <c r="F4" s="142"/>
      <c r="G4" s="142"/>
      <c r="H4" s="142"/>
      <c r="I4" s="142"/>
      <c r="J4" s="142"/>
      <c r="K4" s="142"/>
      <c r="L4" s="142"/>
      <c r="M4" s="142"/>
      <c r="N4" s="143" t="s">
        <v>360</v>
      </c>
    </row>
    <row r="5">
      <c r="B5" s="144"/>
      <c r="C5" s="145" t="s">
        <v>363</v>
      </c>
      <c r="D5" s="146"/>
      <c r="E5" s="146"/>
      <c r="N5" s="147" t="str">
        <f>callGEMINI("Analiza los datos proporcionados, que muestran los niveles de logro en "&amp;$C$2&amp;" de los estudiantes de "&amp;D6&amp;"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"&amp;MID(D6,1,1)&amp;"° de "&amp;MID(D6,3,20)&amp;"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crearJSONdesdeTabla(C12:F15,0))</f>
        <v>En el año 2024, los niveles de logro en Matemática de los estudiantes de 1° de Primaria de las redes Rurales Fe y Alegría muestran que un 89% se encuentra en nivel "Proceso".
Comparado con la linea base (2022), el nivel "Proceso" presenta un aumento de 77 puntos porcentuales.
Además, para el 2024 se observa una movilización de estudiantes desde el nivel "Inicio" hacia "Proceso", con una reducción del 77% en "Inicio" comparado con la linea base (2022) y un aumento del 77% en "Proceso" comparado con la linea base.
</v>
      </c>
    </row>
    <row r="6">
      <c r="B6" s="144"/>
      <c r="C6" s="148" t="s">
        <v>364</v>
      </c>
      <c r="D6" s="149" t="s">
        <v>175</v>
      </c>
      <c r="E6" s="150"/>
      <c r="F6" s="77" t="str">
        <f t="shared" ref="F6:F8" si="1">IF(D6="*","Todos","")</f>
        <v/>
      </c>
      <c r="I6" s="151"/>
      <c r="J6" s="151"/>
      <c r="K6" s="151"/>
      <c r="L6" s="151"/>
      <c r="M6" s="151"/>
      <c r="N6" s="152"/>
    </row>
    <row r="7">
      <c r="B7" s="144"/>
      <c r="C7" s="148" t="s">
        <v>366</v>
      </c>
      <c r="D7" s="149" t="s">
        <v>365</v>
      </c>
      <c r="E7" s="150"/>
      <c r="F7" s="77" t="str">
        <f t="shared" si="1"/>
        <v>Todos</v>
      </c>
      <c r="I7" s="153"/>
      <c r="J7" s="153"/>
      <c r="K7" s="153"/>
      <c r="L7" s="153"/>
      <c r="N7" s="152"/>
    </row>
    <row r="8">
      <c r="B8" s="144"/>
      <c r="C8" s="148" t="s">
        <v>6</v>
      </c>
      <c r="D8" s="149" t="s">
        <v>365</v>
      </c>
      <c r="E8" s="150"/>
      <c r="F8" s="77" t="str">
        <f t="shared" si="1"/>
        <v>Todos</v>
      </c>
      <c r="I8" s="151"/>
      <c r="J8" s="151"/>
      <c r="K8" s="151"/>
      <c r="L8" s="151"/>
      <c r="M8" s="151"/>
      <c r="N8" s="152"/>
    </row>
    <row r="9">
      <c r="B9" s="144"/>
      <c r="I9" s="151"/>
      <c r="J9" s="151"/>
      <c r="K9" s="151"/>
      <c r="L9" s="151"/>
      <c r="M9" s="151"/>
      <c r="N9" s="152"/>
    </row>
    <row r="10">
      <c r="B10" s="144"/>
      <c r="I10" s="151"/>
      <c r="J10" s="151"/>
      <c r="K10" s="151"/>
      <c r="N10" s="152"/>
    </row>
    <row r="11">
      <c r="B11" s="144"/>
      <c r="C11" s="172"/>
      <c r="D11" s="155"/>
      <c r="E11" s="155"/>
      <c r="F11" s="155"/>
      <c r="I11" s="151"/>
      <c r="J11" s="151"/>
      <c r="K11" s="151"/>
      <c r="N11" s="152"/>
    </row>
    <row r="12">
      <c r="B12" s="144"/>
      <c r="C12" s="156" t="s">
        <v>368</v>
      </c>
      <c r="D12" s="157">
        <v>2022.0</v>
      </c>
      <c r="E12" s="157">
        <v>2023.0</v>
      </c>
      <c r="F12" s="157">
        <v>2024.0</v>
      </c>
      <c r="I12" s="151"/>
      <c r="J12" s="151"/>
      <c r="K12" s="151"/>
      <c r="L12" s="151"/>
      <c r="M12" s="151"/>
      <c r="N12" s="152"/>
    </row>
    <row r="13">
      <c r="B13" s="144"/>
      <c r="C13" s="77" t="s">
        <v>18</v>
      </c>
      <c r="D13" s="107">
        <v>0.8793103448275862</v>
      </c>
      <c r="E13" s="107" t="e">
        <v>#DIV/0!</v>
      </c>
      <c r="F13" s="107">
        <v>0.1111111111111111</v>
      </c>
      <c r="I13" s="151"/>
      <c r="J13" s="151"/>
      <c r="K13" s="151"/>
      <c r="L13" s="151"/>
      <c r="M13" s="151"/>
      <c r="N13" s="152"/>
    </row>
    <row r="14">
      <c r="B14" s="144"/>
      <c r="C14" s="77" t="s">
        <v>24</v>
      </c>
      <c r="D14" s="107">
        <v>0.1206896551724138</v>
      </c>
      <c r="E14" s="107" t="e">
        <v>#DIV/0!</v>
      </c>
      <c r="F14" s="107">
        <v>0.8888888888888888</v>
      </c>
      <c r="I14" s="151"/>
      <c r="J14" s="151"/>
      <c r="K14" s="151"/>
      <c r="L14" s="151"/>
      <c r="M14" s="151"/>
      <c r="N14" s="152"/>
    </row>
    <row r="15">
      <c r="B15" s="144"/>
      <c r="C15" s="77" t="s">
        <v>32</v>
      </c>
      <c r="D15" s="107">
        <v>0.0</v>
      </c>
      <c r="E15" s="107" t="e">
        <v>#DIV/0!</v>
      </c>
      <c r="F15" s="107">
        <v>0.0</v>
      </c>
      <c r="N15" s="152"/>
    </row>
    <row r="16">
      <c r="B16" s="144"/>
      <c r="C16" s="158" t="s">
        <v>361</v>
      </c>
      <c r="D16" s="159">
        <v>1.0</v>
      </c>
      <c r="E16" s="159" t="e">
        <v>#DIV/0!</v>
      </c>
      <c r="F16" s="159">
        <v>1.0</v>
      </c>
      <c r="N16" s="152"/>
    </row>
    <row r="17">
      <c r="B17" s="144"/>
      <c r="C17" s="153"/>
      <c r="D17" s="151"/>
      <c r="E17" s="151"/>
      <c r="F17" s="151"/>
      <c r="G17" s="160"/>
      <c r="H17" s="160"/>
      <c r="N17" s="152"/>
    </row>
    <row r="18">
      <c r="B18" s="144"/>
      <c r="C18" s="161"/>
      <c r="D18" s="151"/>
      <c r="E18" s="151"/>
      <c r="F18" s="151"/>
      <c r="G18" s="160"/>
      <c r="H18" s="160"/>
      <c r="N18" s="152"/>
    </row>
    <row r="19">
      <c r="B19" s="144"/>
      <c r="D19" s="162"/>
      <c r="G19" s="160"/>
      <c r="H19" s="160"/>
      <c r="N19" s="152"/>
    </row>
    <row r="20">
      <c r="B20" s="144"/>
      <c r="D20" s="162"/>
      <c r="G20" s="160"/>
      <c r="H20" s="160"/>
      <c r="N20" s="152"/>
    </row>
    <row r="21">
      <c r="B21" s="144"/>
      <c r="N21" s="152"/>
    </row>
    <row r="22">
      <c r="B22" s="144"/>
      <c r="H22" s="79"/>
      <c r="I22" s="79"/>
      <c r="N22" s="152"/>
    </row>
    <row r="23">
      <c r="B23" s="144"/>
      <c r="H23" s="79"/>
      <c r="I23" s="79"/>
      <c r="N23" s="152"/>
    </row>
    <row r="24">
      <c r="B24" s="144"/>
      <c r="H24" s="79"/>
      <c r="I24" s="103"/>
      <c r="N24" s="152"/>
    </row>
    <row r="25">
      <c r="B25" s="144"/>
      <c r="H25" s="79"/>
      <c r="I25" s="103"/>
      <c r="N25" s="152"/>
    </row>
    <row r="26">
      <c r="B26" s="144"/>
      <c r="H26" s="79"/>
      <c r="I26" s="103"/>
      <c r="N26" s="152"/>
    </row>
    <row r="27">
      <c r="B27" s="144"/>
      <c r="D27" s="79"/>
      <c r="E27" s="103"/>
      <c r="F27" s="79"/>
      <c r="G27" s="103"/>
      <c r="H27" s="79"/>
      <c r="I27" s="103"/>
      <c r="N27" s="152"/>
    </row>
    <row r="28">
      <c r="B28" s="144"/>
      <c r="D28" s="162"/>
      <c r="G28" s="160"/>
      <c r="H28" s="160"/>
      <c r="N28" s="152"/>
    </row>
    <row r="29">
      <c r="B29" s="144"/>
      <c r="D29" s="162"/>
      <c r="G29" s="160"/>
      <c r="H29" s="160"/>
      <c r="N29" s="152"/>
    </row>
    <row r="30">
      <c r="B30" s="144"/>
      <c r="D30" s="162"/>
      <c r="G30" s="160"/>
      <c r="H30" s="160"/>
      <c r="N30" s="152"/>
    </row>
    <row r="31">
      <c r="B31" s="163"/>
      <c r="C31" s="164"/>
      <c r="D31" s="164"/>
      <c r="E31" s="164"/>
      <c r="F31" s="164"/>
      <c r="G31" s="165"/>
      <c r="H31" s="165"/>
      <c r="I31" s="166"/>
      <c r="J31" s="166"/>
      <c r="K31" s="166"/>
      <c r="L31" s="166"/>
      <c r="M31" s="166"/>
      <c r="N31" s="167"/>
    </row>
    <row r="32">
      <c r="C32" s="153"/>
      <c r="D32" s="151"/>
      <c r="E32" s="151"/>
      <c r="F32" s="151"/>
    </row>
    <row r="33">
      <c r="C33" s="153"/>
      <c r="D33" s="151"/>
      <c r="E33" s="151"/>
      <c r="F33" s="151"/>
    </row>
    <row r="34">
      <c r="B34" s="141"/>
      <c r="C34" s="142"/>
      <c r="D34" s="142"/>
      <c r="E34" s="142"/>
      <c r="F34" s="142"/>
      <c r="G34" s="142"/>
      <c r="H34" s="142"/>
      <c r="I34" s="142"/>
      <c r="J34" s="142"/>
      <c r="K34" s="142"/>
      <c r="L34" s="142"/>
      <c r="M34" s="142"/>
      <c r="N34" s="143" t="s">
        <v>360</v>
      </c>
    </row>
    <row r="35">
      <c r="B35" s="144"/>
      <c r="C35" s="145" t="s">
        <v>363</v>
      </c>
      <c r="D35" s="146"/>
      <c r="E35" s="146"/>
      <c r="N35" s="147" t="str">
        <f>callGEMINI("Analiza los datos proporcionados, que muestran los niveles de logro en "&amp;$C$2&amp;" de los estudiantes de "&amp;D36&amp;"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"&amp;MID(D36,1,1)&amp;"° de "&amp;MID(D36,3,20)&amp;"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crearJSONdesdeTabla(C42:F45,0))</f>
        <v>No se recibió una respuesta válida.</v>
      </c>
    </row>
    <row r="36">
      <c r="B36" s="144"/>
      <c r="C36" s="148" t="s">
        <v>364</v>
      </c>
      <c r="D36" s="149" t="s">
        <v>15</v>
      </c>
      <c r="E36" s="150"/>
      <c r="F36" s="77" t="str">
        <f t="shared" ref="F36:F38" si="2">IF(D36="*","Todos","")</f>
        <v/>
      </c>
      <c r="I36" s="151"/>
      <c r="J36" s="151"/>
      <c r="K36" s="151"/>
      <c r="L36" s="151"/>
      <c r="M36" s="151"/>
      <c r="N36" s="152"/>
    </row>
    <row r="37">
      <c r="B37" s="144"/>
      <c r="C37" s="148" t="s">
        <v>366</v>
      </c>
      <c r="D37" s="149" t="s">
        <v>365</v>
      </c>
      <c r="E37" s="150"/>
      <c r="F37" s="77" t="str">
        <f t="shared" si="2"/>
        <v>Todos</v>
      </c>
      <c r="I37" s="153"/>
      <c r="J37" s="153"/>
      <c r="K37" s="153"/>
      <c r="L37" s="153"/>
      <c r="N37" s="152"/>
    </row>
    <row r="38">
      <c r="B38" s="144"/>
      <c r="C38" s="148" t="s">
        <v>6</v>
      </c>
      <c r="D38" s="149" t="s">
        <v>365</v>
      </c>
      <c r="E38" s="150"/>
      <c r="F38" s="77" t="str">
        <f t="shared" si="2"/>
        <v>Todos</v>
      </c>
      <c r="I38" s="151"/>
      <c r="J38" s="151"/>
      <c r="K38" s="151"/>
      <c r="L38" s="151"/>
      <c r="M38" s="151"/>
      <c r="N38" s="152"/>
    </row>
    <row r="39">
      <c r="B39" s="144"/>
      <c r="I39" s="151"/>
      <c r="J39" s="151"/>
      <c r="K39" s="151"/>
      <c r="L39" s="151"/>
      <c r="M39" s="151"/>
      <c r="N39" s="152"/>
    </row>
    <row r="40">
      <c r="B40" s="144"/>
      <c r="I40" s="151"/>
      <c r="J40" s="151"/>
      <c r="K40" s="151"/>
      <c r="N40" s="152"/>
    </row>
    <row r="41">
      <c r="B41" s="144"/>
      <c r="C41" s="172"/>
      <c r="D41" s="155"/>
      <c r="E41" s="155"/>
      <c r="F41" s="155"/>
      <c r="I41" s="151"/>
      <c r="J41" s="151"/>
      <c r="K41" s="151"/>
      <c r="N41" s="152"/>
    </row>
    <row r="42">
      <c r="B42" s="144"/>
      <c r="C42" s="156" t="s">
        <v>368</v>
      </c>
      <c r="D42" s="157">
        <v>2022.0</v>
      </c>
      <c r="E42" s="157">
        <v>2023.0</v>
      </c>
      <c r="F42" s="157">
        <v>2024.0</v>
      </c>
      <c r="I42" s="151"/>
      <c r="J42" s="151"/>
      <c r="K42" s="151"/>
      <c r="L42" s="151"/>
      <c r="M42" s="151"/>
      <c r="N42" s="152"/>
    </row>
    <row r="43">
      <c r="B43" s="144"/>
      <c r="C43" s="77" t="s">
        <v>18</v>
      </c>
      <c r="D43" s="107">
        <f>COUNTIFS(DATA!$G$2:$G198,$D$8,DATA!$D$2:$D198,D36,DATA!$B$2:$B198,$D$7,DATA!$I$2:$I198,D$12,DATA!$H$2:$H198,$C43)/
COUNTIFS(DATA!$G$2:$G198,$D$8,DATA!$D$2:$D198,D36,DATA!$B$2:$B198,$D$7,DATA!$I$2:$I198,D$12,DATA!$H$2:$H198,"&lt;&gt;-")</f>
        <v>0.7015781923</v>
      </c>
      <c r="E43" s="107">
        <f>COUNTIFS(DATA!$G$2:$G198,$D$8,DATA!$D$2:$D198,D36,DATA!$B$2:$B198,$D$7,DATA!$I$2:$I198,E$12,DATA!$H$2:$H198,$C43)/
COUNTIFS(DATA!$G$2:$G198,$D$8,DATA!$D$2:$D198,D36,DATA!$B$2:$B198,$D$7,DATA!$I$2:$I198,E$12,DATA!$H$2:$H198,"&lt;&gt;-")</f>
        <v>0.4168674699</v>
      </c>
      <c r="F43" s="107">
        <f>COUNTIFS(DATA!$G$2:$G198,$D$8,DATA!$D$2:$D198,D36,DATA!$B$2:$B198,$D$7,DATA!$I$2:$I198,F$12,DATA!$H$2:$H198,$C43)/
COUNTIFS(DATA!$G$2:$G198,$D$8,DATA!$D$2:$D198,D36,DATA!$B$2:$B198,$D$7,DATA!$I$2:$I198,F$12,DATA!$H$2:$H198,"&lt;&gt;-")</f>
        <v>0.3116438356</v>
      </c>
      <c r="I43" s="151"/>
      <c r="J43" s="151"/>
      <c r="K43" s="151"/>
      <c r="L43" s="151"/>
      <c r="M43" s="151"/>
      <c r="N43" s="152"/>
    </row>
    <row r="44">
      <c r="B44" s="144"/>
      <c r="C44" s="77" t="s">
        <v>24</v>
      </c>
      <c r="D44" s="107">
        <f>COUNTIFS(DATA!$G$2:$G198,$D$8,DATA!$D$2:$D198,D36,DATA!$B$2:$B198,$D$7,DATA!$I$2:$I198,D$12,DATA!$H$2:$H198,$C44)/
COUNTIFS(DATA!$G$2:$G198,$D$8,DATA!$D$2:$D198,D36,DATA!$B$2:$B198,$D$7,DATA!$I$2:$I198,D$12,DATA!$H$2:$H198,"&lt;&gt;-")</f>
        <v>0.2941176471</v>
      </c>
      <c r="E44" s="107">
        <f>COUNTIFS(DATA!$G$2:$G198,$D$8,DATA!$D$2:$D198,D36,DATA!$B$2:$B198,$D$7,DATA!$I$2:$I198,E$12,DATA!$H$2:$H198,$C44)/
COUNTIFS(DATA!$G$2:$G198,$D$8,DATA!$D$2:$D198,D36,DATA!$B$2:$B198,$D$7,DATA!$I$2:$I198,E$12,DATA!$H$2:$H198,"&lt;&gt;-")</f>
        <v>0.5445783133</v>
      </c>
      <c r="F44" s="107">
        <f>COUNTIFS(DATA!$G$2:$G198,$D$8,DATA!$D$2:$D198,D36,DATA!$B$2:$B198,$D$7,DATA!$I$2:$I198,F$12,DATA!$H$2:$H198,$C44)/
COUNTIFS(DATA!$G$2:$G198,$D$8,DATA!$D$2:$D198,D36,DATA!$B$2:$B198,$D$7,DATA!$I$2:$I198,F$12,DATA!$H$2:$H198,"&lt;&gt;-")</f>
        <v>0.6267123288</v>
      </c>
      <c r="I44" s="151"/>
      <c r="J44" s="151"/>
      <c r="K44" s="151"/>
      <c r="L44" s="151"/>
      <c r="M44" s="151"/>
      <c r="N44" s="152"/>
    </row>
    <row r="45">
      <c r="B45" s="144"/>
      <c r="C45" s="77" t="s">
        <v>32</v>
      </c>
      <c r="D45" s="107">
        <f>COUNTIFS(DATA!$G$2:$G198,$D$8,DATA!$D$2:$D198,D36,DATA!$B$2:$B198,$D$7,DATA!$I$2:$I198,D$12,DATA!$H$2:$H198,$C45)/
COUNTIFS(DATA!$G$2:$G198,$D$8,DATA!$D$2:$D198,D36,DATA!$B$2:$B198,$D$7,DATA!$I$2:$I198,D$12,DATA!$H$2:$H198,"&lt;&gt;-")</f>
        <v>0.004304160689</v>
      </c>
      <c r="E45" s="107">
        <f>COUNTIFS(DATA!$G$2:$G198,$D$8,DATA!$D$2:$D198,D36,DATA!$B$2:$B198,$D$7,DATA!$I$2:$I198,E$12,DATA!$H$2:$H198,$C45)/
COUNTIFS(DATA!$G$2:$G198,$D$8,DATA!$D$2:$D198,D36,DATA!$B$2:$B198,$D$7,DATA!$I$2:$I198,E$12,DATA!$H$2:$H198,"&lt;&gt;-")</f>
        <v>0.03855421687</v>
      </c>
      <c r="F45" s="107">
        <f>COUNTIFS(DATA!$G$2:$G198,$D$8,DATA!$D$2:$D198,D36,DATA!$B$2:$B198,$D$7,DATA!$I$2:$I198,F$12,DATA!$H$2:$H198,$C45)/
COUNTIFS(DATA!$G$2:$G198,$D$8,DATA!$D$2:$D198,D36,DATA!$B$2:$B198,$D$7,DATA!$I$2:$I198,F$12,DATA!$H$2:$H198,"&lt;&gt;-")</f>
        <v>0.06164383562</v>
      </c>
      <c r="N45" s="152"/>
    </row>
    <row r="46">
      <c r="B46" s="144"/>
      <c r="C46" s="158" t="s">
        <v>361</v>
      </c>
      <c r="D46" s="159">
        <f t="shared" ref="D46:F46" si="3">SUM(D43:D45)</f>
        <v>1</v>
      </c>
      <c r="E46" s="159">
        <f t="shared" si="3"/>
        <v>1</v>
      </c>
      <c r="F46" s="159">
        <f t="shared" si="3"/>
        <v>1</v>
      </c>
      <c r="N46" s="152"/>
    </row>
    <row r="47">
      <c r="B47" s="144"/>
      <c r="C47" s="153"/>
      <c r="D47" s="151"/>
      <c r="E47" s="151"/>
      <c r="F47" s="151"/>
      <c r="G47" s="160"/>
      <c r="H47" s="160"/>
      <c r="N47" s="152"/>
    </row>
    <row r="48">
      <c r="B48" s="144"/>
      <c r="C48" s="161"/>
      <c r="D48" s="151"/>
      <c r="E48" s="151"/>
      <c r="F48" s="151"/>
      <c r="G48" s="160"/>
      <c r="H48" s="160"/>
      <c r="N48" s="152"/>
    </row>
    <row r="49">
      <c r="B49" s="144"/>
      <c r="D49" s="162"/>
      <c r="G49" s="160"/>
      <c r="H49" s="160"/>
      <c r="N49" s="152"/>
    </row>
    <row r="50">
      <c r="B50" s="144"/>
      <c r="D50" s="162"/>
      <c r="G50" s="160"/>
      <c r="H50" s="160"/>
      <c r="N50" s="152"/>
    </row>
    <row r="51">
      <c r="B51" s="144"/>
      <c r="D51" s="162"/>
      <c r="G51" s="160"/>
      <c r="H51" s="160"/>
      <c r="N51" s="152"/>
    </row>
    <row r="52">
      <c r="B52" s="144"/>
      <c r="N52" s="152"/>
    </row>
    <row r="53">
      <c r="B53" s="144"/>
      <c r="N53" s="152"/>
    </row>
    <row r="54">
      <c r="B54" s="144"/>
      <c r="N54" s="152"/>
    </row>
    <row r="55">
      <c r="B55" s="144"/>
      <c r="N55" s="152"/>
    </row>
    <row r="56">
      <c r="B56" s="144"/>
      <c r="N56" s="152"/>
    </row>
    <row r="57">
      <c r="B57" s="144"/>
      <c r="N57" s="152"/>
    </row>
    <row r="58">
      <c r="B58" s="144"/>
      <c r="N58" s="152"/>
    </row>
    <row r="59">
      <c r="B59" s="144"/>
      <c r="D59" s="162"/>
      <c r="G59" s="160"/>
      <c r="H59" s="160"/>
      <c r="N59" s="152"/>
    </row>
    <row r="60">
      <c r="B60" s="144"/>
      <c r="D60" s="162"/>
      <c r="G60" s="160"/>
      <c r="H60" s="160"/>
      <c r="N60" s="152"/>
    </row>
    <row r="61">
      <c r="B61" s="163"/>
      <c r="C61" s="164"/>
      <c r="D61" s="164"/>
      <c r="E61" s="164"/>
      <c r="F61" s="164"/>
      <c r="G61" s="165"/>
      <c r="H61" s="165"/>
      <c r="I61" s="166"/>
      <c r="J61" s="166"/>
      <c r="K61" s="166"/>
      <c r="L61" s="166"/>
      <c r="M61" s="166"/>
      <c r="N61" s="167"/>
    </row>
    <row r="62">
      <c r="C62" s="173"/>
      <c r="D62" s="174"/>
      <c r="E62" s="174"/>
    </row>
    <row r="63">
      <c r="C63" s="173"/>
      <c r="D63" s="174"/>
      <c r="E63" s="174"/>
    </row>
    <row r="64">
      <c r="B64" s="141"/>
      <c r="C64" s="142"/>
      <c r="D64" s="142"/>
      <c r="E64" s="142"/>
      <c r="F64" s="142"/>
      <c r="G64" s="142"/>
      <c r="H64" s="142"/>
      <c r="I64" s="142"/>
      <c r="J64" s="142"/>
      <c r="K64" s="142"/>
      <c r="L64" s="142"/>
      <c r="M64" s="142"/>
      <c r="N64" s="143" t="s">
        <v>360</v>
      </c>
    </row>
    <row r="65">
      <c r="B65" s="144"/>
      <c r="C65" s="145" t="s">
        <v>363</v>
      </c>
      <c r="D65" s="146"/>
      <c r="E65" s="146"/>
      <c r="N65" s="147" t="str">
        <f>callGEMINI("Analiza los datos proporcionados, que muestran los niveles de logro en "&amp;$C$2&amp;" de los estudiantes de "&amp;D66&amp;"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"&amp;MID(D66,1,1)&amp;"° de "&amp;MID(D66,3,20)&amp;"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crearJSONdesdeTabla(C72:F75,0))</f>
        <v>En el año 2024, los niveles de logro en Matemática de los estudiantes de 4° de Primaria de las redes Rurales Fe y Alegría muestran que un 59% se encuentra en el nivel "Proceso".
Comparado con el año 2023, el nivel "Proceso" aumentó en 10 puntos porcentuales. En cuanto al nivel "Satisfactorio", este aumentó en 2 puntos porcentuales comparado con 2023.
Además, para el 2024 se observa una movilización positiva de estudiantes desde el nivel "Inicio" hacia "Proceso", con una reducción del 42% en "Inicio" comparado con la linea base (2022) y un aumento del 39% en "Proceso" comparado con la linea base, lo que indica que más estudiantes están avanzando en sus aprendizajes.
</v>
      </c>
    </row>
    <row r="66">
      <c r="B66" s="144"/>
      <c r="C66" s="148" t="s">
        <v>364</v>
      </c>
      <c r="D66" s="149" t="s">
        <v>20</v>
      </c>
      <c r="E66" s="150"/>
      <c r="F66" s="77" t="str">
        <f t="shared" ref="F66:F68" si="4">IF(D66="*","Todos","")</f>
        <v/>
      </c>
      <c r="I66" s="151"/>
      <c r="J66" s="151"/>
      <c r="K66" s="151"/>
      <c r="L66" s="151"/>
      <c r="M66" s="151"/>
      <c r="N66" s="152"/>
    </row>
    <row r="67">
      <c r="B67" s="144"/>
      <c r="C67" s="148" t="s">
        <v>366</v>
      </c>
      <c r="D67" s="149" t="s">
        <v>365</v>
      </c>
      <c r="E67" s="150"/>
      <c r="F67" s="77" t="str">
        <f t="shared" si="4"/>
        <v>Todos</v>
      </c>
      <c r="I67" s="153"/>
      <c r="J67" s="153"/>
      <c r="K67" s="153"/>
      <c r="L67" s="153"/>
      <c r="N67" s="152"/>
    </row>
    <row r="68">
      <c r="B68" s="144"/>
      <c r="C68" s="148" t="s">
        <v>6</v>
      </c>
      <c r="D68" s="149" t="s">
        <v>365</v>
      </c>
      <c r="E68" s="150"/>
      <c r="F68" s="77" t="str">
        <f t="shared" si="4"/>
        <v>Todos</v>
      </c>
      <c r="I68" s="151"/>
      <c r="J68" s="151"/>
      <c r="K68" s="151"/>
      <c r="L68" s="151"/>
      <c r="M68" s="151"/>
      <c r="N68" s="152"/>
    </row>
    <row r="69">
      <c r="B69" s="144"/>
      <c r="I69" s="151"/>
      <c r="J69" s="151"/>
      <c r="K69" s="151"/>
      <c r="L69" s="151"/>
      <c r="M69" s="151"/>
      <c r="N69" s="152"/>
    </row>
    <row r="70">
      <c r="B70" s="144"/>
      <c r="I70" s="151"/>
      <c r="J70" s="151"/>
      <c r="K70" s="151"/>
      <c r="N70" s="152"/>
    </row>
    <row r="71">
      <c r="B71" s="144"/>
      <c r="C71" s="172"/>
      <c r="D71" s="155"/>
      <c r="E71" s="155"/>
      <c r="F71" s="155"/>
      <c r="I71" s="151"/>
      <c r="J71" s="151"/>
      <c r="K71" s="151"/>
      <c r="N71" s="152"/>
    </row>
    <row r="72">
      <c r="B72" s="144"/>
      <c r="C72" s="156" t="s">
        <v>368</v>
      </c>
      <c r="D72" s="157">
        <v>2022.0</v>
      </c>
      <c r="E72" s="157">
        <v>2023.0</v>
      </c>
      <c r="F72" s="157">
        <v>2024.0</v>
      </c>
      <c r="I72" s="151"/>
      <c r="J72" s="151"/>
      <c r="K72" s="151"/>
      <c r="L72" s="151"/>
      <c r="M72" s="151"/>
      <c r="N72" s="152"/>
    </row>
    <row r="73">
      <c r="B73" s="144"/>
      <c r="C73" s="77" t="s">
        <v>18</v>
      </c>
      <c r="D73" s="107">
        <f>COUNTIFS(DATA!$G$2:$G198,$D$8,DATA!$D$2:$D198,D66,DATA!$B$2:$B198,$D$7,DATA!$I$2:$I198,D$12,DATA!$H$2:$H198,$C73)/
COUNTIFS(DATA!$G$2:$G198,$D$8,DATA!$D$2:$D198,D66,DATA!$B$2:$B198,$D$7,DATA!$I$2:$I198,D$12,DATA!$H$2:$H198,"&lt;&gt;-")</f>
        <v>0.7948369565</v>
      </c>
      <c r="E73" s="107">
        <f>COUNTIFS(DATA!$G$2:$G198,$D$8,DATA!$D$2:$D198,D66,DATA!$B$2:$B198,$D$7,DATA!$I$2:$I198,E$12,DATA!$H$2:$H198,$C73)/
COUNTIFS(DATA!$G$2:$G198,$D$8,DATA!$D$2:$D198,D66,DATA!$B$2:$B198,$D$7,DATA!$I$2:$I198,E$12,DATA!$H$2:$H198,"&lt;&gt;-")</f>
        <v>0.4816625917</v>
      </c>
      <c r="F73" s="107">
        <f>COUNTIFS(DATA!$G$2:$G198,$D$8,DATA!$D$2:$D198,D66,DATA!$B$2:$B198,$D$7,DATA!$I$2:$I198,F$12,DATA!$H$2:$H198,$C73)/
COUNTIFS(DATA!$G$2:$G198,$D$8,DATA!$D$2:$D198,D66,DATA!$B$2:$B198,$D$7,DATA!$I$2:$I198,F$12,DATA!$H$2:$H198,"&lt;&gt;-")</f>
        <v>0.3658536585</v>
      </c>
      <c r="I73" s="151"/>
      <c r="J73" s="151"/>
      <c r="K73" s="151"/>
      <c r="L73" s="151"/>
      <c r="M73" s="151"/>
      <c r="N73" s="152"/>
    </row>
    <row r="74">
      <c r="B74" s="144"/>
      <c r="C74" s="77" t="s">
        <v>24</v>
      </c>
      <c r="D74" s="107">
        <f>COUNTIFS(DATA!$G$2:$G198,$D$8,DATA!$D$2:$D198,D66,DATA!$B$2:$B198,$D$7,DATA!$I$2:$I198,D$12,DATA!$H$2:$H198,$C74)/
COUNTIFS(DATA!$G$2:$G198,$D$8,DATA!$D$2:$D198,D66,DATA!$B$2:$B198,$D$7,DATA!$I$2:$I198,D$12,DATA!$H$2:$H198,"&lt;&gt;-")</f>
        <v>0.1983695652</v>
      </c>
      <c r="E74" s="107">
        <f>COUNTIFS(DATA!$G$2:$G198,$D$8,DATA!$D$2:$D198,D66,DATA!$B$2:$B198,$D$7,DATA!$I$2:$I198,E$12,DATA!$H$2:$H198,$C74)/
COUNTIFS(DATA!$G$2:$G198,$D$8,DATA!$D$2:$D198,D66,DATA!$B$2:$B198,$D$7,DATA!$I$2:$I198,E$12,DATA!$H$2:$H198,"&lt;&gt;-")</f>
        <v>0.4914425428</v>
      </c>
      <c r="F74" s="107">
        <f>COUNTIFS(DATA!$G$2:$G198,$D$8,DATA!$D$2:$D198,D66,DATA!$B$2:$B198,$D$7,DATA!$I$2:$I198,F$12,DATA!$H$2:$H198,$C74)/
COUNTIFS(DATA!$G$2:$G198,$D$8,DATA!$D$2:$D198,D66,DATA!$B$2:$B198,$D$7,DATA!$I$2:$I198,F$12,DATA!$H$2:$H198,"&lt;&gt;-")</f>
        <v>0.5888501742</v>
      </c>
      <c r="I74" s="151"/>
      <c r="J74" s="151"/>
      <c r="K74" s="151"/>
      <c r="L74" s="151"/>
      <c r="M74" s="151"/>
      <c r="N74" s="152"/>
    </row>
    <row r="75">
      <c r="B75" s="144"/>
      <c r="C75" s="77" t="s">
        <v>32</v>
      </c>
      <c r="D75" s="107">
        <f>COUNTIFS(DATA!$G$2:$G198,$D$8,DATA!$D$2:$D198,D66,DATA!$B$2:$B198,$D$7,DATA!$I$2:$I198,D$12,DATA!$H$2:$H198,$C75)/
COUNTIFS(DATA!$G$2:$G198,$D$8,DATA!$D$2:$D198,D66,DATA!$B$2:$B198,$D$7,DATA!$I$2:$I198,D$12,DATA!$H$2:$H198,"&lt;&gt;-")</f>
        <v>0.006793478261</v>
      </c>
      <c r="E75" s="107">
        <f>COUNTIFS(DATA!$G$2:$G198,$D$8,DATA!$D$2:$D198,D66,DATA!$B$2:$B198,$D$7,DATA!$I$2:$I198,E$12,DATA!$H$2:$H198,$C75)/
COUNTIFS(DATA!$G$2:$G198,$D$8,DATA!$D$2:$D198,D66,DATA!$B$2:$B198,$D$7,DATA!$I$2:$I198,E$12,DATA!$H$2:$H198,"&lt;&gt;-")</f>
        <v>0.02689486553</v>
      </c>
      <c r="F75" s="107">
        <f>COUNTIFS(DATA!$G$2:$G198,$D$8,DATA!$D$2:$D198,D66,DATA!$B$2:$B198,$D$7,DATA!$I$2:$I198,F$12,DATA!$H$2:$H198,$C75)/
COUNTIFS(DATA!$G$2:$G198,$D$8,DATA!$D$2:$D198,D66,DATA!$B$2:$B198,$D$7,DATA!$I$2:$I198,F$12,DATA!$H$2:$H198,"&lt;&gt;-")</f>
        <v>0.04529616725</v>
      </c>
      <c r="N75" s="152"/>
    </row>
    <row r="76">
      <c r="B76" s="144"/>
      <c r="C76" s="158" t="s">
        <v>361</v>
      </c>
      <c r="D76" s="159">
        <f t="shared" ref="D76:F76" si="5">SUM(D73:D75)</f>
        <v>1</v>
      </c>
      <c r="E76" s="159">
        <f t="shared" si="5"/>
        <v>1</v>
      </c>
      <c r="F76" s="159">
        <f t="shared" si="5"/>
        <v>1</v>
      </c>
      <c r="N76" s="152"/>
    </row>
    <row r="77">
      <c r="B77" s="144"/>
      <c r="C77" s="153"/>
      <c r="D77" s="151"/>
      <c r="E77" s="151"/>
      <c r="F77" s="151"/>
      <c r="G77" s="160"/>
      <c r="H77" s="160"/>
      <c r="N77" s="152"/>
    </row>
    <row r="78">
      <c r="B78" s="144"/>
      <c r="C78" s="161"/>
      <c r="D78" s="151"/>
      <c r="E78" s="151"/>
      <c r="F78" s="151"/>
      <c r="G78" s="160"/>
      <c r="H78" s="160"/>
      <c r="N78" s="152"/>
    </row>
    <row r="79">
      <c r="B79" s="144"/>
      <c r="D79" s="162"/>
      <c r="G79" s="160"/>
      <c r="H79" s="160"/>
      <c r="N79" s="152"/>
    </row>
    <row r="80">
      <c r="B80" s="144"/>
      <c r="D80" s="162"/>
      <c r="G80" s="160"/>
      <c r="H80" s="160"/>
      <c r="N80" s="152"/>
    </row>
    <row r="81">
      <c r="B81" s="144"/>
      <c r="D81" s="162"/>
      <c r="G81" s="160"/>
      <c r="H81" s="160"/>
      <c r="N81" s="152"/>
    </row>
    <row r="82">
      <c r="B82" s="144"/>
      <c r="D82" s="162"/>
      <c r="G82" s="160"/>
      <c r="H82" s="160"/>
      <c r="N82" s="152"/>
    </row>
    <row r="83">
      <c r="B83" s="144"/>
      <c r="N83" s="152"/>
    </row>
    <row r="84">
      <c r="B84" s="144"/>
      <c r="N84" s="152"/>
    </row>
    <row r="85">
      <c r="B85" s="144"/>
      <c r="N85" s="152"/>
    </row>
    <row r="86">
      <c r="B86" s="144"/>
      <c r="N86" s="152"/>
    </row>
    <row r="87">
      <c r="B87" s="144"/>
      <c r="N87" s="152"/>
    </row>
    <row r="88">
      <c r="B88" s="144"/>
      <c r="N88" s="152"/>
    </row>
    <row r="89">
      <c r="B89" s="144"/>
      <c r="N89" s="152"/>
    </row>
    <row r="90">
      <c r="B90" s="144"/>
      <c r="D90" s="162"/>
      <c r="G90" s="160"/>
      <c r="H90" s="160"/>
      <c r="N90" s="152"/>
    </row>
    <row r="91">
      <c r="B91" s="144"/>
      <c r="D91" s="162"/>
      <c r="G91" s="160"/>
      <c r="H91" s="160"/>
      <c r="N91" s="152"/>
    </row>
    <row r="92">
      <c r="B92" s="144"/>
      <c r="D92" s="162"/>
      <c r="G92" s="160"/>
      <c r="H92" s="160"/>
      <c r="N92" s="152"/>
    </row>
    <row r="93">
      <c r="B93" s="163"/>
      <c r="C93" s="164"/>
      <c r="D93" s="164"/>
      <c r="E93" s="164"/>
      <c r="F93" s="164"/>
      <c r="G93" s="165"/>
      <c r="H93" s="165"/>
      <c r="I93" s="166"/>
      <c r="J93" s="166"/>
      <c r="K93" s="166"/>
      <c r="L93" s="166"/>
      <c r="M93" s="166"/>
      <c r="N93" s="167"/>
    </row>
    <row r="94">
      <c r="C94" s="173"/>
      <c r="D94" s="174"/>
      <c r="E94" s="174"/>
    </row>
    <row r="95">
      <c r="C95" s="173"/>
      <c r="D95" s="174"/>
      <c r="E95" s="174"/>
    </row>
    <row r="96">
      <c r="B96" s="141"/>
      <c r="C96" s="142"/>
      <c r="D96" s="142"/>
      <c r="E96" s="142"/>
      <c r="F96" s="142"/>
      <c r="G96" s="142"/>
      <c r="H96" s="142"/>
      <c r="I96" s="142"/>
      <c r="J96" s="142"/>
      <c r="K96" s="142"/>
      <c r="L96" s="142"/>
      <c r="M96" s="142"/>
      <c r="N96" s="143" t="s">
        <v>360</v>
      </c>
    </row>
    <row r="97">
      <c r="B97" s="144"/>
      <c r="C97" s="145" t="s">
        <v>363</v>
      </c>
      <c r="D97" s="146"/>
      <c r="E97" s="146"/>
      <c r="N97" s="147" t="str">
        <f>callGEMINI("Analiza los datos proporcionados, que muestran los niveles de logro en "&amp;$C$2&amp;" de los estudiantes de "&amp;D98&amp;"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"&amp;MID(D98,1,1)&amp;"° de "&amp;MID(D98,3,20)&amp;"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crearJSONdesdeTabla(C104:F107,0))</f>
        <v>En el año 2024, los niveles de logro en Matemática de los estudiantes de 6° de Primaria de las redes Rurales Fe y Alegría muestran que un 47% se encuentra en el nivel "Proceso". Este valor representa un aumento de 12 puntos porcentuales en comparación con 2023 y un aumento de 32 puntos porcentuales respecto a la linea base (2022).
Además, para el 2024 se observa una movilización positiva de estudiantes desde el nivel "Inicio" hacia "Proceso", con una reducción del 38% en "Inicio" comparado con la linea base (2022) y un aumento del 32% en "Proceso" comparado con la linea base (2022), lo que indica que más estudiantes están avanzando en sus aprendizajes.
</v>
      </c>
    </row>
    <row r="98">
      <c r="B98" s="144"/>
      <c r="C98" s="148" t="s">
        <v>364</v>
      </c>
      <c r="D98" s="149" t="s">
        <v>22</v>
      </c>
      <c r="E98" s="150"/>
      <c r="F98" s="77" t="str">
        <f t="shared" ref="F98:F100" si="6">IF(D98="*","Todos","")</f>
        <v/>
      </c>
      <c r="I98" s="151"/>
      <c r="J98" s="151"/>
      <c r="K98" s="151"/>
      <c r="L98" s="151"/>
      <c r="M98" s="151"/>
      <c r="N98" s="152"/>
    </row>
    <row r="99">
      <c r="B99" s="144"/>
      <c r="C99" s="148" t="s">
        <v>366</v>
      </c>
      <c r="D99" s="149" t="s">
        <v>365</v>
      </c>
      <c r="E99" s="150"/>
      <c r="F99" s="77" t="str">
        <f t="shared" si="6"/>
        <v>Todos</v>
      </c>
      <c r="I99" s="153"/>
      <c r="J99" s="153"/>
      <c r="K99" s="153"/>
      <c r="L99" s="153"/>
      <c r="N99" s="152"/>
    </row>
    <row r="100">
      <c r="B100" s="144"/>
      <c r="C100" s="148" t="s">
        <v>6</v>
      </c>
      <c r="D100" s="149" t="s">
        <v>365</v>
      </c>
      <c r="E100" s="150"/>
      <c r="F100" s="77" t="str">
        <f t="shared" si="6"/>
        <v>Todos</v>
      </c>
      <c r="I100" s="151"/>
      <c r="J100" s="151"/>
      <c r="K100" s="151"/>
      <c r="L100" s="151"/>
      <c r="M100" s="151"/>
      <c r="N100" s="152"/>
    </row>
    <row r="101">
      <c r="B101" s="144"/>
      <c r="I101" s="151"/>
      <c r="J101" s="151"/>
      <c r="K101" s="151"/>
      <c r="L101" s="151"/>
      <c r="M101" s="151"/>
      <c r="N101" s="152"/>
    </row>
    <row r="102">
      <c r="B102" s="144"/>
      <c r="I102" s="151"/>
      <c r="J102" s="151"/>
      <c r="K102" s="151"/>
      <c r="N102" s="152"/>
    </row>
    <row r="103">
      <c r="B103" s="144"/>
      <c r="C103" s="172"/>
      <c r="D103" s="155"/>
      <c r="E103" s="155"/>
      <c r="F103" s="155"/>
      <c r="I103" s="151"/>
      <c r="J103" s="151"/>
      <c r="K103" s="151"/>
      <c r="N103" s="152"/>
    </row>
    <row r="104">
      <c r="B104" s="144"/>
      <c r="C104" s="156" t="s">
        <v>368</v>
      </c>
      <c r="D104" s="157">
        <v>2022.0</v>
      </c>
      <c r="E104" s="157">
        <v>2023.0</v>
      </c>
      <c r="F104" s="157">
        <v>2024.0</v>
      </c>
      <c r="I104" s="151"/>
      <c r="J104" s="151"/>
      <c r="K104" s="151"/>
      <c r="L104" s="151"/>
      <c r="M104" s="151"/>
      <c r="N104" s="152"/>
    </row>
    <row r="105">
      <c r="B105" s="144"/>
      <c r="C105" s="77" t="s">
        <v>18</v>
      </c>
      <c r="D105" s="107">
        <f>COUNTIFS(DATA!$G$2:$G198,$D$8,DATA!$D$2:$D198,D98,DATA!$B$2:$B198,$D$7,DATA!$I$2:$I198,D$12,DATA!$H$2:$H198,$C105)/
COUNTIFS(DATA!$G$2:$G198,$D$8,DATA!$D$2:$D198,D98,DATA!$B$2:$B198,$D$7,DATA!$I$2:$I198,D$12,DATA!$H$2:$H198,"&lt;&gt;-")</f>
        <v>0.8430813124</v>
      </c>
      <c r="E105" s="107">
        <f>COUNTIFS(DATA!$G$2:$G198,$D$8,DATA!$D$2:$D198,D98,DATA!$B$2:$B198,$D$7,DATA!$I$2:$I198,E$12,DATA!$H$2:$H198,$C105)/
COUNTIFS(DATA!$G$2:$G198,$D$8,DATA!$D$2:$D198,D98,DATA!$B$2:$B198,$D$7,DATA!$I$2:$I198,E$12,DATA!$H$2:$H198,"&lt;&gt;-")</f>
        <v>0.6215469613</v>
      </c>
      <c r="F105" s="107">
        <f>COUNTIFS(DATA!$G$2:$G198,$D$8,DATA!$D$2:$D198,D98,DATA!$B$2:$B198,$D$7,DATA!$I$2:$I198,F$12,DATA!$H$2:$H198,$C105)/
COUNTIFS(DATA!$G$2:$G198,$D$8,DATA!$D$2:$D198,D98,DATA!$B$2:$B198,$D$7,DATA!$I$2:$I198,F$12,DATA!$H$2:$H198,"&lt;&gt;-")</f>
        <v>0.4630872483</v>
      </c>
      <c r="I105" s="151"/>
      <c r="J105" s="151"/>
      <c r="K105" s="151"/>
      <c r="L105" s="151"/>
      <c r="M105" s="151"/>
      <c r="N105" s="152"/>
    </row>
    <row r="106">
      <c r="B106" s="144"/>
      <c r="C106" s="77" t="s">
        <v>24</v>
      </c>
      <c r="D106" s="107">
        <f>COUNTIFS(DATA!$G$2:$G198,$D$8,DATA!$D$2:$D198,D98,DATA!$B$2:$B198,$D$7,DATA!$I$2:$I198,D$12,DATA!$H$2:$H198,$C106)/
COUNTIFS(DATA!$G$2:$G198,$D$8,DATA!$D$2:$D198,D98,DATA!$B$2:$B198,$D$7,DATA!$I$2:$I198,D$12,DATA!$H$2:$H198,"&lt;&gt;-")</f>
        <v>0.1469329529</v>
      </c>
      <c r="E106" s="107">
        <f>COUNTIFS(DATA!$G$2:$G198,$D$8,DATA!$D$2:$D198,D98,DATA!$B$2:$B198,$D$7,DATA!$I$2:$I198,E$12,DATA!$H$2:$H198,$C106)/
COUNTIFS(DATA!$G$2:$G198,$D$8,DATA!$D$2:$D198,D98,DATA!$B$2:$B198,$D$7,DATA!$I$2:$I198,E$12,DATA!$H$2:$H198,"&lt;&gt;-")</f>
        <v>0.3535911602</v>
      </c>
      <c r="F106" s="107">
        <f>COUNTIFS(DATA!$G$2:$G198,$D$8,DATA!$D$2:$D198,D98,DATA!$B$2:$B198,$D$7,DATA!$I$2:$I198,F$12,DATA!$H$2:$H198,$C106)/
COUNTIFS(DATA!$G$2:$G198,$D$8,DATA!$D$2:$D198,D98,DATA!$B$2:$B198,$D$7,DATA!$I$2:$I198,F$12,DATA!$H$2:$H198,"&lt;&gt;-")</f>
        <v>0.466442953</v>
      </c>
      <c r="I106" s="151"/>
      <c r="J106" s="151"/>
      <c r="K106" s="151"/>
      <c r="L106" s="151"/>
      <c r="M106" s="151"/>
      <c r="N106" s="152"/>
    </row>
    <row r="107">
      <c r="B107" s="144"/>
      <c r="C107" s="77" t="s">
        <v>32</v>
      </c>
      <c r="D107" s="107">
        <f>COUNTIFS(DATA!$G$2:$G198,$D$8,DATA!$D$2:$D198,D98,DATA!$B$2:$B198,$D$7,DATA!$I$2:$I198,D$12,DATA!$H$2:$H198,$C107)/
COUNTIFS(DATA!$G$2:$G198,$D$8,DATA!$D$2:$D198,D98,DATA!$B$2:$B198,$D$7,DATA!$I$2:$I198,D$12,DATA!$H$2:$H198,"&lt;&gt;-")</f>
        <v>0.009985734665</v>
      </c>
      <c r="E107" s="107">
        <f>COUNTIFS(DATA!$G$2:$G198,$D$8,DATA!$D$2:$D198,D98,DATA!$B$2:$B198,$D$7,DATA!$I$2:$I198,E$12,DATA!$H$2:$H198,$C107)/
COUNTIFS(DATA!$G$2:$G198,$D$8,DATA!$D$2:$D198,D98,DATA!$B$2:$B198,$D$7,DATA!$I$2:$I198,E$12,DATA!$H$2:$H198,"&lt;&gt;-")</f>
        <v>0.02486187845</v>
      </c>
      <c r="F107" s="107">
        <f>COUNTIFS(DATA!$G$2:$G198,$D$8,DATA!$D$2:$D198,D98,DATA!$B$2:$B198,$D$7,DATA!$I$2:$I198,F$12,DATA!$H$2:$H198,$C107)/
COUNTIFS(DATA!$G$2:$G198,$D$8,DATA!$D$2:$D198,D98,DATA!$B$2:$B198,$D$7,DATA!$I$2:$I198,F$12,DATA!$H$2:$H198,"&lt;&gt;-")</f>
        <v>0.07046979866</v>
      </c>
      <c r="N107" s="152"/>
    </row>
    <row r="108">
      <c r="B108" s="144"/>
      <c r="C108" s="158" t="s">
        <v>361</v>
      </c>
      <c r="D108" s="159">
        <f t="shared" ref="D108:F108" si="7">SUM(D105:D107)</f>
        <v>1</v>
      </c>
      <c r="E108" s="159">
        <f t="shared" si="7"/>
        <v>1</v>
      </c>
      <c r="F108" s="159">
        <f t="shared" si="7"/>
        <v>1</v>
      </c>
      <c r="N108" s="152"/>
    </row>
    <row r="109">
      <c r="B109" s="144"/>
      <c r="C109" s="153"/>
      <c r="D109" s="151"/>
      <c r="E109" s="151"/>
      <c r="F109" s="151"/>
      <c r="G109" s="160"/>
      <c r="H109" s="160"/>
      <c r="N109" s="152"/>
    </row>
    <row r="110">
      <c r="B110" s="144"/>
      <c r="C110" s="161"/>
      <c r="D110" s="151"/>
      <c r="E110" s="151"/>
      <c r="F110" s="151"/>
      <c r="G110" s="160"/>
      <c r="H110" s="160"/>
      <c r="N110" s="152"/>
    </row>
    <row r="111">
      <c r="B111" s="144"/>
      <c r="D111" s="162"/>
      <c r="G111" s="160"/>
      <c r="H111" s="160"/>
      <c r="N111" s="152"/>
    </row>
    <row r="112">
      <c r="B112" s="144"/>
      <c r="D112" s="162"/>
      <c r="G112" s="160"/>
      <c r="H112" s="160"/>
      <c r="N112" s="152"/>
    </row>
    <row r="113">
      <c r="B113" s="144"/>
      <c r="N113" s="152"/>
    </row>
    <row r="114">
      <c r="B114" s="144"/>
      <c r="N114" s="152"/>
    </row>
    <row r="115">
      <c r="B115" s="144"/>
      <c r="N115" s="152"/>
    </row>
    <row r="116">
      <c r="B116" s="144"/>
      <c r="N116" s="152"/>
    </row>
    <row r="117">
      <c r="B117" s="144"/>
      <c r="N117" s="152"/>
    </row>
    <row r="118">
      <c r="B118" s="144"/>
      <c r="N118" s="152"/>
    </row>
    <row r="119">
      <c r="B119" s="144"/>
      <c r="N119" s="152"/>
    </row>
    <row r="120">
      <c r="B120" s="144"/>
      <c r="D120" s="162"/>
      <c r="G120" s="160"/>
      <c r="H120" s="160"/>
      <c r="N120" s="152"/>
    </row>
    <row r="121">
      <c r="B121" s="144"/>
      <c r="D121" s="162"/>
      <c r="G121" s="160"/>
      <c r="H121" s="160"/>
      <c r="N121" s="152"/>
    </row>
    <row r="122">
      <c r="B122" s="144"/>
      <c r="D122" s="162"/>
      <c r="G122" s="160"/>
      <c r="H122" s="160"/>
      <c r="N122" s="152"/>
    </row>
    <row r="123">
      <c r="B123" s="144"/>
      <c r="D123" s="162"/>
      <c r="G123" s="160"/>
      <c r="H123" s="160"/>
      <c r="N123" s="152"/>
    </row>
    <row r="124">
      <c r="B124" s="163"/>
      <c r="C124" s="164"/>
      <c r="D124" s="164"/>
      <c r="E124" s="164"/>
      <c r="F124" s="164"/>
      <c r="G124" s="165"/>
      <c r="H124" s="165"/>
      <c r="I124" s="166"/>
      <c r="J124" s="166"/>
      <c r="K124" s="166"/>
      <c r="L124" s="166"/>
      <c r="M124" s="166"/>
      <c r="N124" s="167"/>
    </row>
    <row r="125">
      <c r="C125" s="173"/>
      <c r="D125" s="174"/>
      <c r="E125" s="174"/>
    </row>
    <row r="126">
      <c r="C126" s="173"/>
      <c r="D126" s="174"/>
      <c r="E126" s="174"/>
    </row>
    <row r="127">
      <c r="B127" s="141"/>
      <c r="C127" s="142"/>
      <c r="D127" s="142"/>
      <c r="E127" s="142"/>
      <c r="F127" s="142"/>
      <c r="G127" s="142"/>
      <c r="H127" s="142"/>
      <c r="I127" s="142"/>
      <c r="J127" s="142"/>
      <c r="K127" s="142"/>
      <c r="L127" s="142"/>
      <c r="M127" s="142"/>
      <c r="N127" s="143" t="s">
        <v>360</v>
      </c>
    </row>
    <row r="128">
      <c r="B128" s="144"/>
      <c r="C128" s="145" t="s">
        <v>363</v>
      </c>
      <c r="D128" s="146"/>
      <c r="E128" s="146"/>
      <c r="N128" s="147" t="str">
        <f>callGEMINI("Analiza los datos proporcionados, que muestran los niveles de logro en "&amp;$C$2&amp;" de los estudiantes de "&amp;D129&amp;"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"&amp;MID(D129,1,1)&amp;"° de "&amp;MID(D129,3,20)&amp;"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crearJSONdesdeTabla(C135:F138,0))</f>
        <v>No se recibió una respuesta válida.</v>
      </c>
    </row>
    <row r="129">
      <c r="B129" s="144"/>
      <c r="C129" s="148" t="s">
        <v>364</v>
      </c>
      <c r="D129" s="149" t="s">
        <v>28</v>
      </c>
      <c r="E129" s="150"/>
      <c r="F129" s="77" t="str">
        <f t="shared" ref="F129:F131" si="8">IF(D129="*","Todos","")</f>
        <v/>
      </c>
      <c r="I129" s="151"/>
      <c r="J129" s="151"/>
      <c r="K129" s="151"/>
      <c r="L129" s="151"/>
      <c r="M129" s="151"/>
      <c r="N129" s="152"/>
    </row>
    <row r="130">
      <c r="B130" s="144"/>
      <c r="C130" s="148" t="s">
        <v>366</v>
      </c>
      <c r="D130" s="149" t="s">
        <v>365</v>
      </c>
      <c r="E130" s="150"/>
      <c r="F130" s="77" t="str">
        <f t="shared" si="8"/>
        <v>Todos</v>
      </c>
      <c r="I130" s="153"/>
      <c r="J130" s="153"/>
      <c r="K130" s="153"/>
      <c r="L130" s="153"/>
      <c r="N130" s="152"/>
    </row>
    <row r="131">
      <c r="B131" s="144"/>
      <c r="C131" s="148" t="s">
        <v>6</v>
      </c>
      <c r="D131" s="149" t="s">
        <v>365</v>
      </c>
      <c r="E131" s="150"/>
      <c r="F131" s="77" t="str">
        <f t="shared" si="8"/>
        <v>Todos</v>
      </c>
      <c r="I131" s="151"/>
      <c r="J131" s="151"/>
      <c r="K131" s="151"/>
      <c r="L131" s="151"/>
      <c r="M131" s="151"/>
      <c r="N131" s="152"/>
    </row>
    <row r="132">
      <c r="B132" s="144"/>
      <c r="I132" s="151"/>
      <c r="J132" s="151"/>
      <c r="K132" s="151"/>
      <c r="L132" s="151"/>
      <c r="M132" s="151"/>
      <c r="N132" s="152"/>
    </row>
    <row r="133">
      <c r="B133" s="144"/>
      <c r="I133" s="151"/>
      <c r="J133" s="151"/>
      <c r="K133" s="151"/>
      <c r="N133" s="152"/>
    </row>
    <row r="134">
      <c r="B134" s="144"/>
      <c r="C134" s="172"/>
      <c r="D134" s="155"/>
      <c r="E134" s="155"/>
      <c r="F134" s="155"/>
      <c r="I134" s="151"/>
      <c r="J134" s="151"/>
      <c r="K134" s="151"/>
      <c r="N134" s="152"/>
    </row>
    <row r="135">
      <c r="B135" s="144"/>
      <c r="C135" s="156" t="s">
        <v>368</v>
      </c>
      <c r="D135" s="157">
        <v>2022.0</v>
      </c>
      <c r="E135" s="157">
        <v>2023.0</v>
      </c>
      <c r="F135" s="157">
        <v>2024.0</v>
      </c>
      <c r="I135" s="151"/>
      <c r="J135" s="151"/>
      <c r="K135" s="151"/>
      <c r="L135" s="151"/>
      <c r="M135" s="151"/>
      <c r="N135" s="152"/>
    </row>
    <row r="136">
      <c r="B136" s="144"/>
      <c r="C136" s="77" t="s">
        <v>18</v>
      </c>
      <c r="D136" s="107">
        <f>COUNTIFS(DATA!$G$2:$G198,$D$8,DATA!$D$2:$D198,D129,DATA!$B$2:$B198,$D$7,DATA!$I$2:$I198,D$12,DATA!$H$2:$H198,$C136)/
COUNTIFS(DATA!$G$2:$G198,$D$8,DATA!$D$2:$D198,D129,DATA!$B$2:$B198,$D$7,DATA!$I$2:$I198,D$12,DATA!$H$2:$H198,"&lt;&gt;-")</f>
        <v>1</v>
      </c>
      <c r="E136" s="107">
        <f>COUNTIFS(DATA!$G$2:$G198,$D$8,DATA!$D$2:$D198,D129,DATA!$B$2:$B198,$D$7,DATA!$I$2:$I198,E$12,DATA!$H$2:$H198,$C136)/
COUNTIFS(DATA!$G$2:$G198,$D$8,DATA!$D$2:$D198,D129,DATA!$B$2:$B198,$D$7,DATA!$I$2:$I198,E$12,DATA!$H$2:$H198,"&lt;&gt;-")</f>
        <v>0.5918367347</v>
      </c>
      <c r="F136" s="107">
        <f>COUNTIFS(DATA!$G$2:$G198,$D$8,DATA!$D$2:$D198,D129,DATA!$B$2:$B198,$D$7,DATA!$I$2:$I198,F$12,DATA!$H$2:$H198,$C136)/
COUNTIFS(DATA!$G$2:$G198,$D$8,DATA!$D$2:$D198,D129,DATA!$B$2:$B198,$D$7,DATA!$I$2:$I198,F$12,DATA!$H$2:$H198,"&lt;&gt;-")</f>
        <v>0.8097560976</v>
      </c>
      <c r="I136" s="151"/>
      <c r="J136" s="151"/>
      <c r="K136" s="151"/>
      <c r="L136" s="151"/>
      <c r="M136" s="151"/>
      <c r="N136" s="152"/>
    </row>
    <row r="137">
      <c r="B137" s="144"/>
      <c r="C137" s="77" t="s">
        <v>24</v>
      </c>
      <c r="D137" s="107">
        <f>COUNTIFS(DATA!$G$2:$G198,$D$8,DATA!$D$2:$D198,D129,DATA!$B$2:$B198,$D$7,DATA!$I$2:$I198,D$12,DATA!$H$2:$H198,$C137)/
COUNTIFS(DATA!$G$2:$G198,$D$8,DATA!$D$2:$D198,D129,DATA!$B$2:$B198,$D$7,DATA!$I$2:$I198,D$12,DATA!$H$2:$H198,"&lt;&gt;-")</f>
        <v>0</v>
      </c>
      <c r="E137" s="107">
        <f>COUNTIFS(DATA!$G$2:$G198,$D$8,DATA!$D$2:$D198,D129,DATA!$B$2:$B198,$D$7,DATA!$I$2:$I198,E$12,DATA!$H$2:$H198,$C137)/
COUNTIFS(DATA!$G$2:$G198,$D$8,DATA!$D$2:$D198,D129,DATA!$B$2:$B198,$D$7,DATA!$I$2:$I198,E$12,DATA!$H$2:$H198,"&lt;&gt;-")</f>
        <v>0.4013605442</v>
      </c>
      <c r="F137" s="107">
        <f>COUNTIFS(DATA!$G$2:$G198,$D$8,DATA!$D$2:$D198,D129,DATA!$B$2:$B198,$D$7,DATA!$I$2:$I198,F$12,DATA!$H$2:$H198,$C137)/
COUNTIFS(DATA!$G$2:$G198,$D$8,DATA!$D$2:$D198,D129,DATA!$B$2:$B198,$D$7,DATA!$I$2:$I198,F$12,DATA!$H$2:$H198,"&lt;&gt;-")</f>
        <v>0.1902439024</v>
      </c>
      <c r="I137" s="151"/>
      <c r="J137" s="151"/>
      <c r="K137" s="151"/>
      <c r="L137" s="151"/>
      <c r="M137" s="151"/>
      <c r="N137" s="152"/>
    </row>
    <row r="138">
      <c r="B138" s="144"/>
      <c r="C138" s="77" t="s">
        <v>32</v>
      </c>
      <c r="D138" s="107">
        <f>COUNTIFS(DATA!$G$2:$G198,$D$8,DATA!$D$2:$D198,D129,DATA!$B$2:$B198,$D$7,DATA!$I$2:$I198,D$12,DATA!$H$2:$H198,$C138)/
COUNTIFS(DATA!$G$2:$G198,$D$8,DATA!$D$2:$D198,D129,DATA!$B$2:$B198,$D$7,DATA!$I$2:$I198,D$12,DATA!$H$2:$H198,"&lt;&gt;-")</f>
        <v>0</v>
      </c>
      <c r="E138" s="107">
        <f>COUNTIFS(DATA!$G$2:$G198,$D$8,DATA!$D$2:$D198,D129,DATA!$B$2:$B198,$D$7,DATA!$I$2:$I198,E$12,DATA!$H$2:$H198,$C138)/
COUNTIFS(DATA!$G$2:$G198,$D$8,DATA!$D$2:$D198,D129,DATA!$B$2:$B198,$D$7,DATA!$I$2:$I198,E$12,DATA!$H$2:$H198,"&lt;&gt;-")</f>
        <v>0.006802721088</v>
      </c>
      <c r="F138" s="107">
        <f>COUNTIFS(DATA!$G$2:$G198,$D$8,DATA!$D$2:$D198,D129,DATA!$B$2:$B198,$D$7,DATA!$I$2:$I198,F$12,DATA!$H$2:$H198,$C138)/
COUNTIFS(DATA!$G$2:$G198,$D$8,DATA!$D$2:$D198,D129,DATA!$B$2:$B198,$D$7,DATA!$I$2:$I198,F$12,DATA!$H$2:$H198,"&lt;&gt;-")</f>
        <v>0</v>
      </c>
      <c r="N138" s="152"/>
    </row>
    <row r="139">
      <c r="B139" s="144"/>
      <c r="C139" s="158" t="s">
        <v>361</v>
      </c>
      <c r="D139" s="159">
        <f t="shared" ref="D139:F139" si="9">SUM(D136:D138)</f>
        <v>1</v>
      </c>
      <c r="E139" s="159">
        <f t="shared" si="9"/>
        <v>1</v>
      </c>
      <c r="F139" s="159">
        <f t="shared" si="9"/>
        <v>1</v>
      </c>
      <c r="N139" s="152"/>
    </row>
    <row r="140">
      <c r="B140" s="144"/>
      <c r="C140" s="153"/>
      <c r="D140" s="151"/>
      <c r="E140" s="151"/>
      <c r="F140" s="151"/>
      <c r="G140" s="160"/>
      <c r="H140" s="160"/>
      <c r="N140" s="152"/>
    </row>
    <row r="141">
      <c r="B141" s="144"/>
      <c r="C141" s="161"/>
      <c r="D141" s="151"/>
      <c r="E141" s="151"/>
      <c r="F141" s="151"/>
      <c r="G141" s="160"/>
      <c r="H141" s="160"/>
      <c r="N141" s="152"/>
    </row>
    <row r="142">
      <c r="B142" s="144"/>
      <c r="D142" s="162"/>
      <c r="G142" s="160"/>
      <c r="H142" s="160"/>
      <c r="N142" s="152"/>
    </row>
    <row r="143">
      <c r="B143" s="144"/>
      <c r="D143" s="162"/>
      <c r="G143" s="160"/>
      <c r="H143" s="160"/>
      <c r="N143" s="152"/>
    </row>
    <row r="144">
      <c r="B144" s="144"/>
      <c r="D144" s="162"/>
      <c r="G144" s="160"/>
      <c r="H144" s="160"/>
      <c r="N144" s="152"/>
    </row>
    <row r="145">
      <c r="B145" s="144"/>
      <c r="N145" s="152"/>
    </row>
    <row r="146">
      <c r="B146" s="144"/>
      <c r="N146" s="152"/>
    </row>
    <row r="147">
      <c r="B147" s="144"/>
      <c r="N147" s="152"/>
    </row>
    <row r="148">
      <c r="B148" s="144"/>
      <c r="N148" s="152"/>
    </row>
    <row r="149">
      <c r="B149" s="144"/>
      <c r="N149" s="152"/>
    </row>
    <row r="150">
      <c r="B150" s="144"/>
      <c r="N150" s="152"/>
    </row>
    <row r="151">
      <c r="B151" s="144"/>
      <c r="N151" s="152"/>
    </row>
    <row r="152">
      <c r="B152" s="144"/>
      <c r="D152" s="162"/>
      <c r="G152" s="160"/>
      <c r="H152" s="160"/>
      <c r="N152" s="152"/>
    </row>
    <row r="153">
      <c r="B153" s="144"/>
      <c r="D153" s="162"/>
      <c r="G153" s="160"/>
      <c r="H153" s="160"/>
      <c r="N153" s="152"/>
    </row>
    <row r="154">
      <c r="B154" s="144"/>
      <c r="D154" s="162"/>
      <c r="G154" s="160"/>
      <c r="H154" s="160"/>
      <c r="N154" s="152"/>
    </row>
    <row r="155">
      <c r="B155" s="144"/>
      <c r="D155" s="162"/>
      <c r="G155" s="160"/>
      <c r="H155" s="160"/>
      <c r="N155" s="152"/>
    </row>
    <row r="156">
      <c r="B156" s="163"/>
      <c r="C156" s="164"/>
      <c r="D156" s="164"/>
      <c r="E156" s="164"/>
      <c r="F156" s="164"/>
      <c r="G156" s="165"/>
      <c r="H156" s="165"/>
      <c r="I156" s="166"/>
      <c r="J156" s="166"/>
      <c r="K156" s="166"/>
      <c r="L156" s="166"/>
      <c r="M156" s="166"/>
      <c r="N156" s="167"/>
    </row>
    <row r="157">
      <c r="C157" s="173"/>
      <c r="D157" s="174"/>
      <c r="E157" s="174"/>
    </row>
    <row r="158">
      <c r="C158" s="173"/>
      <c r="D158" s="174"/>
      <c r="E158" s="174"/>
      <c r="F158" s="175"/>
    </row>
    <row r="159">
      <c r="B159" s="141"/>
      <c r="C159" s="142"/>
      <c r="D159" s="142"/>
      <c r="E159" s="142"/>
      <c r="F159" s="142"/>
      <c r="G159" s="142"/>
      <c r="H159" s="142"/>
      <c r="I159" s="142"/>
      <c r="J159" s="142"/>
      <c r="K159" s="142"/>
      <c r="L159" s="142"/>
      <c r="M159" s="142"/>
      <c r="N159" s="143" t="s">
        <v>360</v>
      </c>
    </row>
    <row r="160">
      <c r="B160" s="144"/>
      <c r="C160" s="145" t="s">
        <v>363</v>
      </c>
      <c r="D160" s="146"/>
      <c r="E160" s="146"/>
      <c r="N160" s="147" t="str">
        <f>callGEMINI("Analiza los datos proporcionados, que muestran los niveles de logro en "&amp;$C$2&amp;" de los estudiantes de "&amp;D161&amp;"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"&amp;MID(D161,1,1)&amp;"° de "&amp;MID(D161,3,20)&amp;"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crearJSONdesdeTabla(C167:F170,0))</f>
        <v>No se recibió una respuesta válida.</v>
      </c>
    </row>
    <row r="161">
      <c r="B161" s="144"/>
      <c r="C161" s="148" t="s">
        <v>364</v>
      </c>
      <c r="D161" s="149" t="s">
        <v>30</v>
      </c>
      <c r="E161" s="150"/>
      <c r="F161" s="77" t="str">
        <f t="shared" ref="F161:F163" si="10">IF(D161="*","Todos","")</f>
        <v/>
      </c>
      <c r="I161" s="151"/>
      <c r="J161" s="151"/>
      <c r="K161" s="151"/>
      <c r="L161" s="151"/>
      <c r="M161" s="151"/>
      <c r="N161" s="152"/>
    </row>
    <row r="162">
      <c r="B162" s="144"/>
      <c r="C162" s="148" t="s">
        <v>366</v>
      </c>
      <c r="D162" s="149" t="s">
        <v>365</v>
      </c>
      <c r="E162" s="150"/>
      <c r="F162" s="77" t="str">
        <f t="shared" si="10"/>
        <v>Todos</v>
      </c>
      <c r="I162" s="153"/>
      <c r="J162" s="153"/>
      <c r="K162" s="153"/>
      <c r="L162" s="153"/>
      <c r="N162" s="152"/>
    </row>
    <row r="163">
      <c r="B163" s="144"/>
      <c r="C163" s="148" t="s">
        <v>6</v>
      </c>
      <c r="D163" s="149" t="s">
        <v>365</v>
      </c>
      <c r="E163" s="150"/>
      <c r="F163" s="77" t="str">
        <f t="shared" si="10"/>
        <v>Todos</v>
      </c>
      <c r="I163" s="151"/>
      <c r="J163" s="151"/>
      <c r="K163" s="151"/>
      <c r="L163" s="151"/>
      <c r="M163" s="151"/>
      <c r="N163" s="152"/>
    </row>
    <row r="164">
      <c r="B164" s="144"/>
      <c r="I164" s="151"/>
      <c r="J164" s="151"/>
      <c r="K164" s="151"/>
      <c r="L164" s="151"/>
      <c r="M164" s="151"/>
      <c r="N164" s="152"/>
    </row>
    <row r="165">
      <c r="B165" s="144"/>
      <c r="I165" s="151"/>
      <c r="J165" s="151"/>
      <c r="K165" s="151"/>
      <c r="N165" s="152"/>
    </row>
    <row r="166">
      <c r="B166" s="144"/>
      <c r="C166" s="172"/>
      <c r="D166" s="155"/>
      <c r="E166" s="155"/>
      <c r="F166" s="155"/>
      <c r="I166" s="151"/>
      <c r="J166" s="151"/>
      <c r="K166" s="151"/>
      <c r="N166" s="152"/>
    </row>
    <row r="167">
      <c r="B167" s="144"/>
      <c r="C167" s="156" t="s">
        <v>368</v>
      </c>
      <c r="D167" s="157">
        <v>2022.0</v>
      </c>
      <c r="E167" s="157">
        <v>2023.0</v>
      </c>
      <c r="F167" s="157">
        <v>2024.0</v>
      </c>
      <c r="I167" s="151"/>
      <c r="J167" s="151"/>
      <c r="K167" s="151"/>
      <c r="L167" s="151"/>
      <c r="M167" s="151"/>
      <c r="N167" s="152"/>
    </row>
    <row r="168">
      <c r="B168" s="144"/>
      <c r="C168" s="77" t="s">
        <v>18</v>
      </c>
      <c r="D168" s="107">
        <f>COUNTIFS(DATA!$G$2:$G198,$D$8,DATA!$D$2:$D198,D161,DATA!$B$2:$B198,$D$7,DATA!$I$2:$I198,D$12,DATA!$H$2:$H198,$C168)/
COUNTIFS(DATA!$G$2:$G198,$D$8,DATA!$D$2:$D198,D161,DATA!$B$2:$B198,$D$7,DATA!$I$2:$I198,D$12,DATA!$H$2:$H198,"&lt;&gt;-")</f>
        <v>0.9895287958</v>
      </c>
      <c r="E168" s="107">
        <f>COUNTIFS(DATA!$G$2:$G198,$D$8,DATA!$D$2:$D198,D161,DATA!$B$2:$B198,$D$7,DATA!$I$2:$I198,E$12,DATA!$H$2:$H198,$C168)/
COUNTIFS(DATA!$G$2:$G198,$D$8,DATA!$D$2:$D198,D161,DATA!$B$2:$B198,$D$7,DATA!$I$2:$I198,E$12,DATA!$H$2:$H198,"&lt;&gt;-")</f>
        <v>0.9722222222</v>
      </c>
      <c r="F168" s="107">
        <f>COUNTIFS(DATA!$G$2:$G198,$D$8,DATA!$D$2:$D198,D161,DATA!$B$2:$B198,$D$7,DATA!$I$2:$I198,F$12,DATA!$H$2:$H198,$C168)/
COUNTIFS(DATA!$G$2:$G198,$D$8,DATA!$D$2:$D198,D161,DATA!$B$2:$B198,$D$7,DATA!$I$2:$I198,F$12,DATA!$H$2:$H198,"&lt;&gt;-")</f>
        <v>0.85</v>
      </c>
      <c r="I168" s="151"/>
      <c r="J168" s="151"/>
      <c r="K168" s="151"/>
      <c r="L168" s="151"/>
      <c r="M168" s="151"/>
      <c r="N168" s="152"/>
    </row>
    <row r="169">
      <c r="B169" s="144"/>
      <c r="C169" s="77" t="s">
        <v>24</v>
      </c>
      <c r="D169" s="107">
        <f>COUNTIFS(DATA!$G$2:$G198,$D$8,DATA!$D$2:$D198,D161,DATA!$B$2:$B198,$D$7,DATA!$I$2:$I198,D$12,DATA!$H$2:$H198,$C169)/
COUNTIFS(DATA!$G$2:$G198,$D$8,DATA!$D$2:$D198,D161,DATA!$B$2:$B198,$D$7,DATA!$I$2:$I198,D$12,DATA!$H$2:$H198,"&lt;&gt;-")</f>
        <v>0.01047120419</v>
      </c>
      <c r="E169" s="107">
        <f>COUNTIFS(DATA!$G$2:$G198,$D$8,DATA!$D$2:$D198,D161,DATA!$B$2:$B198,$D$7,DATA!$I$2:$I198,E$12,DATA!$H$2:$H198,$C169)/
COUNTIFS(DATA!$G$2:$G198,$D$8,DATA!$D$2:$D198,D161,DATA!$B$2:$B198,$D$7,DATA!$I$2:$I198,E$12,DATA!$H$2:$H198,"&lt;&gt;-")</f>
        <v>0.02777777778</v>
      </c>
      <c r="F169" s="107">
        <f>COUNTIFS(DATA!$G$2:$G198,$D$8,DATA!$D$2:$D198,D161,DATA!$B$2:$B198,$D$7,DATA!$I$2:$I198,F$12,DATA!$H$2:$H198,$C169)/
COUNTIFS(DATA!$G$2:$G198,$D$8,DATA!$D$2:$D198,D161,DATA!$B$2:$B198,$D$7,DATA!$I$2:$I198,F$12,DATA!$H$2:$H198,"&lt;&gt;-")</f>
        <v>0.15</v>
      </c>
      <c r="I169" s="151"/>
      <c r="J169" s="151"/>
      <c r="K169" s="151"/>
      <c r="L169" s="151"/>
      <c r="M169" s="151"/>
      <c r="N169" s="152"/>
    </row>
    <row r="170">
      <c r="B170" s="144"/>
      <c r="C170" s="77" t="s">
        <v>32</v>
      </c>
      <c r="D170" s="107">
        <f>COUNTIFS(DATA!$G$2:$G198,$D$8,DATA!$D$2:$D198,D161,DATA!$B$2:$B198,$D$7,DATA!$I$2:$I198,D$12,DATA!$H$2:$H198,$C170)/
COUNTIFS(DATA!$G$2:$G198,$D$8,DATA!$D$2:$D198,D161,DATA!$B$2:$B198,$D$7,DATA!$I$2:$I198,D$12,DATA!$H$2:$H198,"&lt;&gt;-")</f>
        <v>0</v>
      </c>
      <c r="E170" s="107">
        <f>COUNTIFS(DATA!$G$2:$G198,$D$8,DATA!$D$2:$D198,D161,DATA!$B$2:$B198,$D$7,DATA!$I$2:$I198,E$12,DATA!$H$2:$H198,$C170)/
COUNTIFS(DATA!$G$2:$G198,$D$8,DATA!$D$2:$D198,D161,DATA!$B$2:$B198,$D$7,DATA!$I$2:$I198,E$12,DATA!$H$2:$H198,"&lt;&gt;-")</f>
        <v>0</v>
      </c>
      <c r="F170" s="107">
        <f>COUNTIFS(DATA!$G$2:$G198,$D$8,DATA!$D$2:$D198,D161,DATA!$B$2:$B198,$D$7,DATA!$I$2:$I198,F$12,DATA!$H$2:$H198,$C170)/
COUNTIFS(DATA!$G$2:$G198,$D$8,DATA!$D$2:$D198,D161,DATA!$B$2:$B198,$D$7,DATA!$I$2:$I198,F$12,DATA!$H$2:$H198,"&lt;&gt;-")</f>
        <v>0</v>
      </c>
      <c r="N170" s="152"/>
    </row>
    <row r="171">
      <c r="B171" s="144"/>
      <c r="C171" s="158" t="s">
        <v>361</v>
      </c>
      <c r="D171" s="159">
        <f t="shared" ref="D171:F171" si="11">SUM(D168:D170)</f>
        <v>1</v>
      </c>
      <c r="E171" s="159">
        <f t="shared" si="11"/>
        <v>1</v>
      </c>
      <c r="F171" s="159">
        <f t="shared" si="11"/>
        <v>1</v>
      </c>
      <c r="N171" s="152"/>
    </row>
    <row r="172">
      <c r="B172" s="144"/>
      <c r="C172" s="153"/>
      <c r="D172" s="151"/>
      <c r="E172" s="151"/>
      <c r="F172" s="151"/>
      <c r="G172" s="160"/>
      <c r="H172" s="160"/>
      <c r="N172" s="152"/>
    </row>
    <row r="173">
      <c r="B173" s="144"/>
      <c r="C173" s="161"/>
      <c r="D173" s="151"/>
      <c r="E173" s="151"/>
      <c r="F173" s="151"/>
      <c r="G173" s="160"/>
      <c r="H173" s="160"/>
      <c r="N173" s="152"/>
    </row>
    <row r="174">
      <c r="B174" s="144"/>
      <c r="D174" s="162"/>
      <c r="G174" s="160"/>
      <c r="H174" s="160"/>
      <c r="N174" s="152"/>
    </row>
    <row r="175">
      <c r="B175" s="144"/>
      <c r="D175" s="162"/>
      <c r="G175" s="160"/>
      <c r="H175" s="160"/>
      <c r="N175" s="152"/>
    </row>
    <row r="176">
      <c r="B176" s="144"/>
      <c r="D176" s="162"/>
      <c r="G176" s="160"/>
      <c r="H176" s="160"/>
      <c r="N176" s="152"/>
    </row>
    <row r="177">
      <c r="B177" s="144"/>
      <c r="N177" s="152"/>
    </row>
    <row r="178">
      <c r="B178" s="144"/>
      <c r="N178" s="152"/>
    </row>
    <row r="179">
      <c r="B179" s="144"/>
      <c r="N179" s="152"/>
    </row>
    <row r="180">
      <c r="B180" s="144"/>
      <c r="N180" s="152"/>
    </row>
    <row r="181">
      <c r="B181" s="144"/>
      <c r="N181" s="152"/>
    </row>
    <row r="182">
      <c r="B182" s="144"/>
      <c r="N182" s="152"/>
    </row>
    <row r="183">
      <c r="B183" s="144"/>
      <c r="D183" s="79"/>
      <c r="E183" s="103"/>
      <c r="F183" s="79"/>
      <c r="G183" s="103"/>
      <c r="H183" s="79"/>
      <c r="I183" s="103"/>
      <c r="N183" s="152"/>
    </row>
    <row r="184">
      <c r="B184" s="144"/>
      <c r="D184" s="162"/>
      <c r="G184" s="160"/>
      <c r="H184" s="160"/>
      <c r="N184" s="152"/>
    </row>
    <row r="185">
      <c r="B185" s="163"/>
      <c r="C185" s="164"/>
      <c r="D185" s="164"/>
      <c r="E185" s="164"/>
      <c r="F185" s="164"/>
      <c r="G185" s="165"/>
      <c r="H185" s="165"/>
      <c r="I185" s="166"/>
      <c r="J185" s="166"/>
      <c r="K185" s="166"/>
      <c r="L185" s="166"/>
      <c r="M185" s="166"/>
      <c r="N185" s="167"/>
    </row>
    <row r="186">
      <c r="D186" s="176"/>
      <c r="E186" s="176"/>
    </row>
  </sheetData>
  <mergeCells count="24">
    <mergeCell ref="N35:N61"/>
    <mergeCell ref="N65:N93"/>
    <mergeCell ref="N97:N124"/>
    <mergeCell ref="N128:N156"/>
    <mergeCell ref="N160:N185"/>
    <mergeCell ref="N5:N31"/>
    <mergeCell ref="D6:E6"/>
    <mergeCell ref="D7:E7"/>
    <mergeCell ref="D8:E8"/>
    <mergeCell ref="D36:E36"/>
    <mergeCell ref="D37:E37"/>
    <mergeCell ref="D38:E38"/>
    <mergeCell ref="D130:E130"/>
    <mergeCell ref="D131:E131"/>
    <mergeCell ref="D161:E161"/>
    <mergeCell ref="D162:E162"/>
    <mergeCell ref="D163:E163"/>
    <mergeCell ref="D66:E66"/>
    <mergeCell ref="D67:E67"/>
    <mergeCell ref="D68:E68"/>
    <mergeCell ref="D98:E98"/>
    <mergeCell ref="D99:E99"/>
    <mergeCell ref="D100:E100"/>
    <mergeCell ref="D129:E129"/>
  </mergeCells>
  <dataValidations>
    <dataValidation type="list" allowBlank="1" showErrorMessage="1" sqref="D8 D38 D68 D100 D131 D163">
      <formula1>"*,Masculino,Femenino"</formula1>
    </dataValidation>
    <dataValidation type="list" allowBlank="1" showErrorMessage="1" sqref="D6 D36 D66 D98 D129 D161">
      <formula1>claves!$B$3:$B$10</formula1>
    </dataValidation>
    <dataValidation type="list" allowBlank="1" showErrorMessage="1" sqref="D7 D37 D67 D99 D130 D162">
      <formula1>nombres!$O$4:$O$22</formula1>
    </dataValidation>
  </dataValidations>
  <printOptions gridLines="1" horizontalCentered="1"/>
  <pageMargins bottom="0.75" footer="0.0" header="0.0" left="0.7" right="0.7" top="0.75"/>
  <pageSetup fitToHeight="0" paperSize="9" cellComments="atEnd" orientation="portrait" pageOrder="overThenDown"/>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75"/>
    <col customWidth="1" min="2" max="2" width="2.0"/>
    <col customWidth="1" min="3" max="3" width="18.88"/>
    <col customWidth="1" min="4" max="6" width="13.63"/>
    <col customWidth="1" min="12" max="12" width="7.63"/>
    <col customWidth="1" min="13" max="13" width="3.0"/>
    <col customWidth="1" min="14" max="14" width="37.0"/>
  </cols>
  <sheetData>
    <row r="3">
      <c r="C3" s="145" t="s">
        <v>363</v>
      </c>
      <c r="D3" s="146"/>
      <c r="E3" s="146"/>
    </row>
    <row r="4">
      <c r="C4" s="148" t="s">
        <v>366</v>
      </c>
      <c r="D4" s="149" t="s">
        <v>375</v>
      </c>
      <c r="E4" s="150"/>
      <c r="F4" s="77" t="str">
        <f t="shared" ref="F4:F6" si="1">IF(D4="*","Todos","")</f>
        <v/>
      </c>
    </row>
    <row r="5">
      <c r="C5" s="148" t="s">
        <v>364</v>
      </c>
      <c r="D5" s="149" t="s">
        <v>365</v>
      </c>
      <c r="E5" s="150"/>
      <c r="F5" s="77" t="str">
        <f t="shared" si="1"/>
        <v>Todos</v>
      </c>
    </row>
    <row r="6">
      <c r="C6" s="148" t="s">
        <v>6</v>
      </c>
      <c r="D6" s="149" t="s">
        <v>365</v>
      </c>
      <c r="E6" s="150"/>
      <c r="F6" s="77" t="str">
        <f t="shared" si="1"/>
        <v>Todos</v>
      </c>
    </row>
    <row r="9">
      <c r="B9" s="166"/>
      <c r="C9" s="166"/>
      <c r="D9" s="166"/>
      <c r="E9" s="166"/>
      <c r="F9" s="166"/>
      <c r="G9" s="166"/>
      <c r="H9" s="166"/>
      <c r="I9" s="166"/>
      <c r="J9" s="166"/>
      <c r="K9" s="166"/>
      <c r="L9" s="166"/>
      <c r="M9" s="166"/>
      <c r="N9" s="166"/>
    </row>
    <row r="10">
      <c r="B10" s="144"/>
      <c r="N10" s="143" t="s">
        <v>360</v>
      </c>
    </row>
    <row r="11">
      <c r="B11" s="144"/>
      <c r="C11" s="172" t="str">
        <f>DATA!Q$1</f>
        <v>#REF!</v>
      </c>
      <c r="D11" s="155"/>
      <c r="E11" s="155"/>
      <c r="F11" s="155"/>
      <c r="N11" s="147" t="str">
        <f>callGEMINI("Analiza los datos proporcionados, que muestran la evolución de los docentes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 crearJSONdesdeTabla(C12:F16,0)&amp;" y corresponden a la dimensión "&amp;C19&amp;"
Redacta el análisis con una narrativa y estructura similar al siguiente EJEMPLO: 
En el año 2024, los docentes de la "&amp;$D$4&amp;" mostraron una evolución en su desarrollo profesional, registrándose un 42% de docentes que se encuentran en el nivel de Logro esperado. Asimismo, este representa un aumento del 24% de docentes que mejoraron su nivel de logro comparado con el 2023 y un au"&amp;"mento del 21% comparado con el 2022.
Por otro lado, se evidencia una disminución de docentes que se encontraban en un nivel básico y en proceso (docentes que necesitan mejorar su desarrollo profesional) en un 11% y 15% respectivamente.
// El grafico es"&amp;" olo un ejemplo, debes aoptar las palabras correctas para describir el grafico, sin salir del marco del ejemplo.
// Devuelveme el análisis en texto plano, con el mismo formato del ejemplo, sin agregar más información ni texto adicional. Prioricemos el ana"&amp;"lisis del estado y la evolucón de la etiqueta 'Logro esperado' destaca su diferencia comparada con el 2023 y 2022, para ser preciso en este calculo debes tomar el porcentaje redondeado de 2024 y restarlo de los años anteriores respectivamente redondeados "&amp;"en numeros enteros porcentuales. Respecto a los valores % en tu respuesta debe estar redondeada a 0 decimales, como por ejemplo 62%)")</f>
        <v>Dado que todos los valores en los datos proporcionados son "#DIV/0!", no es posible realizar un análisis significativo de la evolución de los docentes. El error "#DIV/0!" indica una división por cero o una división por una celda vacía, lo que sugiere que los datos reales no están disponibles o son incorrectos.
Por lo tanto, no puedo describir tendencias, identificar cambios significativos ni comparar los resultados de 2024 con los de 2023 y 2022.
</v>
      </c>
    </row>
    <row r="12">
      <c r="B12" s="144"/>
      <c r="C12" s="156" t="s">
        <v>368</v>
      </c>
      <c r="D12" s="157">
        <v>2022.0</v>
      </c>
      <c r="E12" s="157">
        <v>2023.0</v>
      </c>
      <c r="F12" s="157">
        <v>2024.0</v>
      </c>
      <c r="I12" s="153"/>
      <c r="J12" s="153"/>
      <c r="K12" s="153"/>
      <c r="L12" s="153"/>
      <c r="N12" s="152"/>
    </row>
    <row r="13">
      <c r="B13" s="144"/>
      <c r="C13" s="77" t="s">
        <v>376</v>
      </c>
      <c r="D13" s="107" t="str">
        <f>COUNTIFS(DATA!$D$2:$D247,$D$4,DATA!$H$2:$H247,$D$5, DATA!$G$2:$G247,$D$6,DATA!$B$2:$B247,D12, DATA!Q$2:Q247,C13)/
 COUNTIFS(DATA!$D$2:$D247,$D$4,DATA!$H$2:$H247,$D$5, DATA!$G$2:$G247,$D$6,DATA!$B$2:$B247,D12, DATA!Q$2:Q247,"&lt;&gt;-")
</f>
        <v>#DIV/0!</v>
      </c>
      <c r="E13" s="107" t="str">
        <f>COUNTIFS(DATA!$D$2:$D247,$D$4,DATA!$H$2:$H247,$D$5, DATA!$G$2:$G247,$D$6,DATA!$B$2:$B247,E12, DATA!Q$2:Q247,C13)/
 COUNTIFS(DATA!$D$2:$D247,$D$4,DATA!$H$2:$H247,$D$5, DATA!$G$2:$G247,$D$6,DATA!$B$2:$B247,E12, DATA!Q$2:Q247,"&lt;&gt;-")
</f>
        <v>#DIV/0!</v>
      </c>
      <c r="F13" s="107" t="str">
        <f>COUNTIFS(DATA!$D$2:$D247,$D$4,DATA!$H$2:$H247,$D$5, DATA!$G$2:$G247,$D$6,DATA!$B$2:$B247,F12, DATA!Q$2:Q247,C13)/
 COUNTIFS(DATA!$D$2:$D247,$D$4,DATA!$H$2:$H247,$D$5, DATA!$G$2:$G247,$D$6,DATA!$B$2:$B247,F12, DATA!Q$2:Q247,"&lt;&gt;-")
</f>
        <v>#DIV/0!</v>
      </c>
      <c r="I13" s="151"/>
      <c r="J13" s="151"/>
      <c r="K13" s="151"/>
      <c r="L13" s="151"/>
      <c r="M13" s="151"/>
      <c r="N13" s="152"/>
      <c r="O13" s="151"/>
      <c r="P13" s="151"/>
      <c r="Q13" s="15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1"/>
      <c r="BD13" s="151"/>
      <c r="BE13" s="151"/>
      <c r="BF13" s="151"/>
      <c r="BG13" s="151"/>
      <c r="BH13" s="151"/>
      <c r="BI13" s="151"/>
      <c r="BJ13" s="151"/>
      <c r="BK13" s="151"/>
      <c r="BL13" s="151"/>
      <c r="BM13" s="151"/>
      <c r="BN13" s="151"/>
      <c r="BO13" s="151"/>
      <c r="BP13" s="151"/>
      <c r="BQ13" s="151"/>
      <c r="BR13" s="151"/>
      <c r="BS13" s="151"/>
      <c r="BT13" s="151"/>
      <c r="BU13" s="151"/>
      <c r="BV13" s="151"/>
      <c r="BW13" s="151"/>
      <c r="BX13" s="151"/>
      <c r="BY13" s="151"/>
      <c r="BZ13" s="151"/>
      <c r="CA13" s="151"/>
      <c r="CB13" s="151"/>
      <c r="CC13" s="151"/>
      <c r="CD13" s="151"/>
      <c r="CE13" s="151"/>
      <c r="CF13" s="151"/>
      <c r="CG13" s="151"/>
      <c r="CH13" s="151"/>
      <c r="CI13" s="151"/>
      <c r="CJ13" s="151"/>
      <c r="CK13" s="151"/>
      <c r="CL13" s="151"/>
      <c r="CM13" s="151"/>
      <c r="CN13" s="151"/>
      <c r="CO13" s="151"/>
      <c r="CP13" s="151"/>
      <c r="CQ13" s="151"/>
      <c r="CR13" s="151"/>
      <c r="CS13" s="151"/>
      <c r="CT13" s="151"/>
      <c r="CU13" s="151"/>
      <c r="CV13" s="151"/>
      <c r="CW13" s="151"/>
      <c r="CX13" s="151"/>
      <c r="CY13" s="151"/>
      <c r="CZ13" s="151"/>
      <c r="DA13" s="151"/>
      <c r="DB13" s="151"/>
      <c r="DC13" s="151"/>
      <c r="DD13" s="151"/>
      <c r="DE13" s="151"/>
      <c r="DF13" s="151"/>
      <c r="DG13" s="151"/>
      <c r="DH13" s="151"/>
      <c r="DI13" s="151"/>
      <c r="DJ13" s="151"/>
      <c r="DK13" s="151"/>
      <c r="DL13" s="151"/>
      <c r="DM13" s="151"/>
      <c r="DN13" s="151"/>
      <c r="DO13" s="151"/>
      <c r="DP13" s="151"/>
      <c r="DQ13" s="151"/>
      <c r="DR13" s="151"/>
      <c r="DS13" s="151"/>
      <c r="DT13" s="151"/>
      <c r="DU13" s="151"/>
      <c r="DV13" s="151"/>
      <c r="DW13" s="151"/>
      <c r="DX13" s="151"/>
      <c r="DY13" s="151"/>
      <c r="DZ13" s="151"/>
      <c r="EA13" s="151"/>
      <c r="EB13" s="151"/>
      <c r="EC13" s="151"/>
      <c r="ED13" s="151"/>
      <c r="EE13" s="151"/>
      <c r="EF13" s="151"/>
      <c r="EG13" s="151"/>
      <c r="EH13" s="151"/>
      <c r="EI13" s="151"/>
      <c r="EJ13" s="151"/>
      <c r="EK13" s="151"/>
      <c r="EL13" s="151"/>
      <c r="EM13" s="151"/>
      <c r="EN13" s="151"/>
      <c r="EO13" s="151"/>
      <c r="EP13" s="151"/>
      <c r="EQ13" s="151"/>
      <c r="ER13" s="151"/>
      <c r="ES13" s="151"/>
      <c r="ET13" s="151"/>
      <c r="EU13" s="151"/>
      <c r="EV13" s="151"/>
      <c r="EW13" s="151"/>
      <c r="EX13" s="151"/>
      <c r="EY13" s="151"/>
      <c r="EZ13" s="151"/>
      <c r="FA13" s="151"/>
      <c r="FB13" s="151"/>
      <c r="FC13" s="151"/>
      <c r="FD13" s="151"/>
      <c r="FE13" s="151"/>
      <c r="FF13" s="151"/>
      <c r="FG13" s="151"/>
      <c r="FH13" s="151"/>
      <c r="FI13" s="151"/>
      <c r="FJ13" s="151"/>
      <c r="FK13" s="151"/>
      <c r="FL13" s="151"/>
      <c r="FM13" s="151"/>
      <c r="FN13" s="151"/>
      <c r="FO13" s="151"/>
      <c r="FP13" s="151"/>
      <c r="FQ13" s="151"/>
      <c r="FR13" s="151"/>
      <c r="FS13" s="151"/>
      <c r="FT13" s="151"/>
      <c r="FU13" s="151"/>
      <c r="FV13" s="151"/>
      <c r="FW13" s="151"/>
      <c r="FX13" s="151"/>
      <c r="FY13" s="151"/>
      <c r="FZ13" s="151"/>
      <c r="GA13" s="151"/>
      <c r="GB13" s="151"/>
      <c r="GC13" s="151"/>
      <c r="GD13" s="151"/>
      <c r="GE13" s="151"/>
      <c r="GF13" s="151"/>
      <c r="GG13" s="151"/>
      <c r="GH13" s="151"/>
      <c r="GI13" s="151"/>
      <c r="GJ13" s="151"/>
      <c r="GK13" s="151"/>
      <c r="GL13" s="151"/>
      <c r="GM13" s="151"/>
      <c r="GN13" s="151"/>
      <c r="GO13" s="151"/>
      <c r="GP13" s="151"/>
      <c r="GQ13" s="151"/>
      <c r="GR13" s="151"/>
      <c r="GS13" s="151"/>
      <c r="GT13" s="151"/>
      <c r="GU13" s="151"/>
      <c r="GV13" s="151"/>
      <c r="GW13" s="151"/>
      <c r="GX13" s="151"/>
      <c r="GY13" s="151"/>
      <c r="GZ13" s="151"/>
      <c r="HA13" s="151"/>
      <c r="HB13" s="151"/>
      <c r="HC13" s="151"/>
      <c r="HD13" s="151"/>
      <c r="HE13" s="151"/>
      <c r="HF13" s="151"/>
      <c r="HG13" s="151"/>
      <c r="HH13" s="151"/>
      <c r="HI13" s="151"/>
      <c r="HJ13" s="151"/>
      <c r="HK13" s="151"/>
      <c r="HL13" s="151"/>
      <c r="HM13" s="151"/>
      <c r="HN13" s="151"/>
      <c r="HO13" s="151"/>
      <c r="HP13" s="151"/>
      <c r="HQ13" s="151"/>
      <c r="HR13" s="151"/>
      <c r="HS13" s="151"/>
    </row>
    <row r="14">
      <c r="B14" s="144"/>
      <c r="C14" s="77" t="s">
        <v>377</v>
      </c>
      <c r="D14" s="107" t="str">
        <f>COUNTIFS(DATA!$D$2:$D247,$D$4,DATA!$H$2:$H247,$D$5, DATA!$G$2:$G247,$D$6,DATA!$B$2:$B247,D12, DATA!Q$2:Q247,C14)/
 COUNTIFS(DATA!$D$2:$D247,$D$4,DATA!$H$2:$H247,$D$5, DATA!$G$2:$G247,$D$6,DATA!$B$2:$B247,D12, DATA!Q$2:Q247,"&lt;&gt;-")
</f>
        <v>#DIV/0!</v>
      </c>
      <c r="E14" s="107" t="str">
        <f>COUNTIFS(DATA!$D$2:$D247,$D$4,DATA!$H$2:$H247,$D$5, DATA!$G$2:$G247,$D$6,DATA!$B$2:$B247,E12, DATA!Q$2:Q247,C14)/
 COUNTIFS(DATA!$D$2:$D247,$D$4,DATA!$H$2:$H247,$D$5, DATA!$G$2:$G247,$D$6,DATA!$B$2:$B247,E12, DATA!Q$2:Q247,"&lt;&gt;-")
</f>
        <v>#DIV/0!</v>
      </c>
      <c r="F14" s="107" t="str">
        <f>COUNTIFS(DATA!$D$2:$D247,$D$4,DATA!$H$2:$H247,$D$5, DATA!$G$2:$G247,$D$6,DATA!$B$2:$B247,F12, DATA!Q$2:Q247,C14)/
 COUNTIFS(DATA!$D$2:$D247,$D$4,DATA!$H$2:$H247,$D$5, DATA!$G$2:$G247,$D$6,DATA!$B$2:$B247,F12, DATA!Q$2:Q247,"&lt;&gt;-")
</f>
        <v>#DIV/0!</v>
      </c>
      <c r="I14" s="151"/>
      <c r="J14" s="151"/>
      <c r="K14" s="151"/>
      <c r="L14" s="151"/>
      <c r="M14" s="151"/>
      <c r="N14" s="152"/>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1"/>
      <c r="BD14" s="151"/>
      <c r="BE14" s="151"/>
      <c r="BF14" s="151"/>
      <c r="BG14" s="151"/>
      <c r="BH14" s="151"/>
      <c r="BI14" s="151"/>
      <c r="BJ14" s="151"/>
      <c r="BK14" s="151"/>
      <c r="BL14" s="151"/>
      <c r="BM14" s="151"/>
      <c r="BN14" s="151"/>
      <c r="BO14" s="151"/>
      <c r="BP14" s="151"/>
      <c r="BQ14" s="151"/>
      <c r="BR14" s="151"/>
      <c r="BS14" s="151"/>
      <c r="BT14" s="151"/>
      <c r="BU14" s="151"/>
      <c r="BV14" s="151"/>
      <c r="BW14" s="151"/>
      <c r="BX14" s="151"/>
      <c r="BY14" s="151"/>
      <c r="BZ14" s="151"/>
      <c r="CA14" s="151"/>
      <c r="CB14" s="151"/>
      <c r="CC14" s="151"/>
      <c r="CD14" s="151"/>
      <c r="CE14" s="151"/>
      <c r="CF14" s="151"/>
      <c r="CG14" s="151"/>
      <c r="CH14" s="151"/>
      <c r="CI14" s="151"/>
      <c r="CJ14" s="151"/>
      <c r="CK14" s="151"/>
      <c r="CL14" s="151"/>
      <c r="CM14" s="151"/>
      <c r="CN14" s="151"/>
      <c r="CO14" s="151"/>
      <c r="CP14" s="151"/>
      <c r="CQ14" s="151"/>
      <c r="CR14" s="151"/>
      <c r="CS14" s="151"/>
      <c r="CT14" s="151"/>
      <c r="CU14" s="151"/>
      <c r="CV14" s="151"/>
      <c r="CW14" s="151"/>
      <c r="CX14" s="151"/>
      <c r="CY14" s="151"/>
      <c r="CZ14" s="151"/>
      <c r="DA14" s="151"/>
      <c r="DB14" s="151"/>
      <c r="DC14" s="151"/>
      <c r="DD14" s="151"/>
      <c r="DE14" s="151"/>
      <c r="DF14" s="151"/>
      <c r="DG14" s="151"/>
      <c r="DH14" s="151"/>
      <c r="DI14" s="151"/>
      <c r="DJ14" s="151"/>
      <c r="DK14" s="151"/>
      <c r="DL14" s="151"/>
      <c r="DM14" s="151"/>
      <c r="DN14" s="151"/>
      <c r="DO14" s="151"/>
      <c r="DP14" s="151"/>
      <c r="DQ14" s="151"/>
      <c r="DR14" s="151"/>
      <c r="DS14" s="151"/>
      <c r="DT14" s="151"/>
      <c r="DU14" s="151"/>
      <c r="DV14" s="151"/>
      <c r="DW14" s="151"/>
      <c r="DX14" s="151"/>
      <c r="DY14" s="151"/>
      <c r="DZ14" s="151"/>
      <c r="EA14" s="151"/>
      <c r="EB14" s="151"/>
      <c r="EC14" s="151"/>
      <c r="ED14" s="151"/>
      <c r="EE14" s="151"/>
      <c r="EF14" s="151"/>
      <c r="EG14" s="151"/>
      <c r="EH14" s="151"/>
      <c r="EI14" s="151"/>
      <c r="EJ14" s="151"/>
      <c r="EK14" s="151"/>
      <c r="EL14" s="151"/>
      <c r="EM14" s="151"/>
      <c r="EN14" s="151"/>
      <c r="EO14" s="151"/>
      <c r="EP14" s="151"/>
      <c r="EQ14" s="151"/>
      <c r="ER14" s="151"/>
      <c r="ES14" s="151"/>
      <c r="ET14" s="151"/>
      <c r="EU14" s="151"/>
      <c r="EV14" s="151"/>
      <c r="EW14" s="151"/>
      <c r="EX14" s="151"/>
      <c r="EY14" s="151"/>
      <c r="EZ14" s="151"/>
      <c r="FA14" s="151"/>
      <c r="FB14" s="151"/>
      <c r="FC14" s="151"/>
      <c r="FD14" s="151"/>
      <c r="FE14" s="151"/>
      <c r="FF14" s="151"/>
      <c r="FG14" s="151"/>
      <c r="FH14" s="151"/>
      <c r="FI14" s="151"/>
      <c r="FJ14" s="151"/>
      <c r="FK14" s="151"/>
      <c r="FL14" s="151"/>
      <c r="FM14" s="151"/>
      <c r="FN14" s="151"/>
      <c r="FO14" s="151"/>
      <c r="FP14" s="151"/>
      <c r="FQ14" s="151"/>
      <c r="FR14" s="151"/>
      <c r="FS14" s="151"/>
      <c r="FT14" s="151"/>
      <c r="FU14" s="151"/>
      <c r="FV14" s="151"/>
      <c r="FW14" s="151"/>
      <c r="FX14" s="151"/>
      <c r="FY14" s="151"/>
      <c r="FZ14" s="151"/>
      <c r="GA14" s="151"/>
      <c r="GB14" s="151"/>
      <c r="GC14" s="151"/>
      <c r="GD14" s="151"/>
      <c r="GE14" s="151"/>
      <c r="GF14" s="151"/>
      <c r="GG14" s="151"/>
      <c r="GH14" s="151"/>
      <c r="GI14" s="151"/>
      <c r="GJ14" s="151"/>
      <c r="GK14" s="151"/>
      <c r="GL14" s="151"/>
      <c r="GM14" s="151"/>
      <c r="GN14" s="151"/>
      <c r="GO14" s="151"/>
      <c r="GP14" s="151"/>
      <c r="GQ14" s="151"/>
      <c r="GR14" s="151"/>
      <c r="GS14" s="151"/>
      <c r="GT14" s="151"/>
      <c r="GU14" s="151"/>
      <c r="GV14" s="151"/>
      <c r="GW14" s="151"/>
      <c r="GX14" s="151"/>
      <c r="GY14" s="151"/>
      <c r="GZ14" s="151"/>
      <c r="HA14" s="151"/>
      <c r="HB14" s="151"/>
      <c r="HC14" s="151"/>
      <c r="HD14" s="151"/>
      <c r="HE14" s="151"/>
      <c r="HF14" s="151"/>
      <c r="HG14" s="151"/>
      <c r="HH14" s="151"/>
      <c r="HI14" s="151"/>
      <c r="HJ14" s="151"/>
      <c r="HK14" s="151"/>
      <c r="HL14" s="151"/>
      <c r="HM14" s="151"/>
      <c r="HN14" s="151"/>
      <c r="HO14" s="151"/>
      <c r="HP14" s="151"/>
      <c r="HQ14" s="151"/>
      <c r="HR14" s="151"/>
      <c r="HS14" s="151"/>
    </row>
    <row r="15">
      <c r="B15" s="144"/>
      <c r="C15" s="77" t="s">
        <v>378</v>
      </c>
      <c r="D15" s="107" t="str">
        <f>COUNTIFS(DATA!$D$2:$D247,$D$4,DATA!$H$2:$H247,$D$5, DATA!$G$2:$G247,$D$6,DATA!$B$2:$B247,D12, DATA!Q$2:Q247,C15)/
 COUNTIFS(DATA!$D$2:$D247,$D$4,DATA!$H$2:$H247,$D$5, DATA!$G$2:$G247,$D$6,DATA!$B$2:$B247,D12, DATA!Q$2:Q247,"&lt;&gt;-")
</f>
        <v>#DIV/0!</v>
      </c>
      <c r="E15" s="107" t="str">
        <f>COUNTIFS(DATA!$D$2:$D247,$D$4,DATA!$H$2:$H247,$D$5, DATA!$G$2:$G247,$D$6,DATA!$B$2:$B247,E12, DATA!Q$2:Q247,C15)/
 COUNTIFS(DATA!$D$2:$D247,$D$4,DATA!$H$2:$H247,$D$5, DATA!$G$2:$G247,$D$6,DATA!$B$2:$B247,E12, DATA!Q$2:Q247,"&lt;&gt;-")
</f>
        <v>#DIV/0!</v>
      </c>
      <c r="F15" s="107" t="str">
        <f>COUNTIFS(DATA!$D$2:$D247,$D$4,DATA!$H$2:$H247,$D$5, DATA!$G$2:$G247,$D$6,DATA!$B$2:$B247,F12, DATA!Q$2:Q247,C15)/
 COUNTIFS(DATA!$D$2:$D247,$D$4,DATA!$H$2:$H247,$D$5, DATA!$G$2:$G247,$D$6,DATA!$B$2:$B247,F12, DATA!Q$2:Q247,"&lt;&gt;-")
</f>
        <v>#DIV/0!</v>
      </c>
      <c r="I15" s="151"/>
      <c r="J15" s="151"/>
      <c r="K15" s="151"/>
      <c r="L15" s="151"/>
      <c r="M15" s="151"/>
      <c r="N15" s="152"/>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1"/>
      <c r="BD15" s="151"/>
      <c r="BE15" s="151"/>
      <c r="BF15" s="151"/>
      <c r="BG15" s="151"/>
      <c r="BH15" s="151"/>
      <c r="BI15" s="151"/>
      <c r="BJ15" s="151"/>
      <c r="BK15" s="151"/>
      <c r="BL15" s="151"/>
      <c r="BM15" s="151"/>
      <c r="BN15" s="151"/>
      <c r="BO15" s="151"/>
      <c r="BP15" s="151"/>
      <c r="BQ15" s="151"/>
      <c r="BR15" s="151"/>
      <c r="BS15" s="151"/>
      <c r="BT15" s="151"/>
      <c r="BU15" s="151"/>
      <c r="BV15" s="151"/>
      <c r="BW15" s="151"/>
      <c r="BX15" s="151"/>
      <c r="BY15" s="151"/>
      <c r="BZ15" s="151"/>
      <c r="CA15" s="151"/>
      <c r="CB15" s="151"/>
      <c r="CC15" s="151"/>
      <c r="CD15" s="151"/>
      <c r="CE15" s="151"/>
      <c r="CF15" s="151"/>
      <c r="CG15" s="151"/>
      <c r="CH15" s="151"/>
      <c r="CI15" s="151"/>
      <c r="CJ15" s="151"/>
      <c r="CK15" s="151"/>
      <c r="CL15" s="151"/>
      <c r="CM15" s="151"/>
      <c r="CN15" s="151"/>
      <c r="CO15" s="151"/>
      <c r="CP15" s="151"/>
      <c r="CQ15" s="151"/>
      <c r="CR15" s="151"/>
      <c r="CS15" s="151"/>
      <c r="CT15" s="151"/>
      <c r="CU15" s="151"/>
      <c r="CV15" s="151"/>
      <c r="CW15" s="151"/>
      <c r="CX15" s="151"/>
      <c r="CY15" s="151"/>
      <c r="CZ15" s="151"/>
      <c r="DA15" s="151"/>
      <c r="DB15" s="151"/>
      <c r="DC15" s="151"/>
      <c r="DD15" s="151"/>
      <c r="DE15" s="151"/>
      <c r="DF15" s="151"/>
      <c r="DG15" s="151"/>
      <c r="DH15" s="151"/>
      <c r="DI15" s="151"/>
      <c r="DJ15" s="151"/>
      <c r="DK15" s="151"/>
      <c r="DL15" s="151"/>
      <c r="DM15" s="151"/>
      <c r="DN15" s="151"/>
      <c r="DO15" s="151"/>
      <c r="DP15" s="151"/>
      <c r="DQ15" s="151"/>
      <c r="DR15" s="151"/>
      <c r="DS15" s="151"/>
      <c r="DT15" s="151"/>
      <c r="DU15" s="151"/>
      <c r="DV15" s="151"/>
      <c r="DW15" s="151"/>
      <c r="DX15" s="151"/>
      <c r="DY15" s="151"/>
      <c r="DZ15" s="151"/>
      <c r="EA15" s="151"/>
      <c r="EB15" s="151"/>
      <c r="EC15" s="151"/>
      <c r="ED15" s="151"/>
      <c r="EE15" s="151"/>
      <c r="EF15" s="151"/>
      <c r="EG15" s="151"/>
      <c r="EH15" s="151"/>
      <c r="EI15" s="151"/>
      <c r="EJ15" s="151"/>
      <c r="EK15" s="151"/>
      <c r="EL15" s="151"/>
      <c r="EM15" s="151"/>
      <c r="EN15" s="151"/>
      <c r="EO15" s="151"/>
      <c r="EP15" s="151"/>
      <c r="EQ15" s="151"/>
      <c r="ER15" s="151"/>
      <c r="ES15" s="151"/>
      <c r="ET15" s="151"/>
      <c r="EU15" s="151"/>
      <c r="EV15" s="151"/>
      <c r="EW15" s="151"/>
      <c r="EX15" s="151"/>
      <c r="EY15" s="151"/>
      <c r="EZ15" s="151"/>
      <c r="FA15" s="151"/>
      <c r="FB15" s="151"/>
      <c r="FC15" s="151"/>
      <c r="FD15" s="151"/>
      <c r="FE15" s="151"/>
      <c r="FF15" s="151"/>
      <c r="FG15" s="151"/>
      <c r="FH15" s="151"/>
      <c r="FI15" s="151"/>
      <c r="FJ15" s="151"/>
      <c r="FK15" s="151"/>
      <c r="FL15" s="151"/>
      <c r="FM15" s="151"/>
      <c r="FN15" s="151"/>
      <c r="FO15" s="151"/>
      <c r="FP15" s="151"/>
      <c r="FQ15" s="151"/>
      <c r="FR15" s="151"/>
      <c r="FS15" s="151"/>
      <c r="FT15" s="151"/>
      <c r="FU15" s="151"/>
      <c r="FV15" s="151"/>
      <c r="FW15" s="151"/>
      <c r="FX15" s="151"/>
      <c r="FY15" s="151"/>
      <c r="FZ15" s="151"/>
      <c r="GA15" s="151"/>
      <c r="GB15" s="151"/>
      <c r="GC15" s="151"/>
      <c r="GD15" s="151"/>
      <c r="GE15" s="151"/>
      <c r="GF15" s="151"/>
      <c r="GG15" s="151"/>
      <c r="GH15" s="151"/>
      <c r="GI15" s="151"/>
      <c r="GJ15" s="151"/>
      <c r="GK15" s="151"/>
      <c r="GL15" s="151"/>
      <c r="GM15" s="151"/>
      <c r="GN15" s="151"/>
      <c r="GO15" s="151"/>
      <c r="GP15" s="151"/>
      <c r="GQ15" s="151"/>
      <c r="GR15" s="151"/>
      <c r="GS15" s="151"/>
      <c r="GT15" s="151"/>
      <c r="GU15" s="151"/>
      <c r="GV15" s="151"/>
      <c r="GW15" s="151"/>
      <c r="GX15" s="151"/>
      <c r="GY15" s="151"/>
      <c r="GZ15" s="151"/>
      <c r="HA15" s="151"/>
      <c r="HB15" s="151"/>
      <c r="HC15" s="151"/>
      <c r="HD15" s="151"/>
      <c r="HE15" s="151"/>
      <c r="HF15" s="151"/>
      <c r="HG15" s="151"/>
      <c r="HH15" s="151"/>
      <c r="HI15" s="151"/>
      <c r="HJ15" s="151"/>
      <c r="HK15" s="151"/>
      <c r="HL15" s="151"/>
      <c r="HM15" s="151"/>
      <c r="HN15" s="151"/>
      <c r="HO15" s="151"/>
      <c r="HP15" s="151"/>
      <c r="HQ15" s="151"/>
      <c r="HR15" s="151"/>
      <c r="HS15" s="151"/>
    </row>
    <row r="16">
      <c r="B16" s="144"/>
      <c r="C16" s="77" t="s">
        <v>379</v>
      </c>
      <c r="D16" s="107" t="str">
        <f>COUNTIFS(DATA!$D$2:$D247,$D$4,DATA!$H$2:$H247,$D$5, DATA!$G$2:$G247,$D$6,DATA!$B$2:$B247,D12, DATA!Q$2:Q247,C16)/
 COUNTIFS(DATA!$D$2:$D247,$D$4,DATA!$H$2:$H247,$D$5, DATA!$G$2:$G247,$D$6,DATA!$B$2:$B247,D12, DATA!Q$2:Q247,"&lt;&gt;-")
</f>
        <v>#DIV/0!</v>
      </c>
      <c r="E16" s="107" t="str">
        <f>COUNTIFS(DATA!$D$2:$D247,$D$4,DATA!$H$2:$H247,$D$5, DATA!$G$2:$G247,$D$6,DATA!$B$2:$B247,E12, DATA!Q$2:Q247,C16)/
 COUNTIFS(DATA!$D$2:$D247,$D$4,DATA!$H$2:$H247,$D$5, DATA!$G$2:$G247,$D$6,DATA!$B$2:$B247,E12, DATA!Q$2:Q247,"&lt;&gt;-")
</f>
        <v>#DIV/0!</v>
      </c>
      <c r="F16" s="107" t="str">
        <f>COUNTIFS(DATA!$D$2:$D247,$D$4,DATA!$H$2:$H247,$D$5, DATA!$G$2:$G247,$D$6,DATA!$B$2:$B247,F12, DATA!Q$2:Q247,C16)/
 COUNTIFS(DATA!$D$2:$D247,$D$4,DATA!$H$2:$H247,$D$5, DATA!$G$2:$G247,$D$6,DATA!$B$2:$B247,F12, DATA!Q$2:Q247,"&lt;&gt;-")
</f>
        <v>#DIV/0!</v>
      </c>
      <c r="H16" s="153"/>
      <c r="I16" s="151"/>
      <c r="J16" s="151"/>
      <c r="K16" s="151"/>
      <c r="N16" s="152"/>
    </row>
    <row r="17">
      <c r="B17" s="144"/>
      <c r="C17" s="158" t="s">
        <v>361</v>
      </c>
      <c r="D17" s="159" t="str">
        <f t="shared" ref="D17:F17" si="2">SUM(D13:D16)</f>
        <v>#DIV/0!</v>
      </c>
      <c r="E17" s="159" t="str">
        <f t="shared" si="2"/>
        <v>#DIV/0!</v>
      </c>
      <c r="F17" s="159" t="str">
        <f t="shared" si="2"/>
        <v>#DIV/0!</v>
      </c>
      <c r="I17" s="151"/>
      <c r="J17" s="151"/>
      <c r="K17" s="151"/>
      <c r="N17" s="152"/>
    </row>
    <row r="18">
      <c r="B18" s="144"/>
      <c r="C18" s="153"/>
      <c r="D18" s="151"/>
      <c r="E18" s="151"/>
      <c r="F18" s="151"/>
      <c r="I18" s="151"/>
      <c r="J18" s="151"/>
      <c r="K18" s="151"/>
      <c r="N18" s="152"/>
    </row>
    <row r="19">
      <c r="B19" s="144"/>
      <c r="C19" s="161" t="s">
        <v>369</v>
      </c>
      <c r="D19" s="151"/>
      <c r="E19" s="151"/>
      <c r="F19" s="151" t="str">
        <f>F16-E16</f>
        <v>#DIV/0!</v>
      </c>
      <c r="I19" s="151"/>
      <c r="J19" s="151"/>
      <c r="K19" s="151"/>
      <c r="L19" s="151"/>
      <c r="M19" s="151"/>
      <c r="N19" s="152"/>
      <c r="O19" s="151"/>
      <c r="P19" s="151"/>
      <c r="Q19" s="15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1"/>
      <c r="BD19" s="151"/>
      <c r="BE19" s="151"/>
      <c r="BF19" s="151"/>
      <c r="BG19" s="151"/>
      <c r="BH19" s="151"/>
      <c r="BI19" s="151"/>
      <c r="BJ19" s="151"/>
      <c r="BK19" s="151"/>
      <c r="BL19" s="151"/>
      <c r="BM19" s="151"/>
      <c r="BN19" s="151"/>
      <c r="BO19" s="151"/>
      <c r="BP19" s="151"/>
      <c r="BQ19" s="151"/>
      <c r="BR19" s="151"/>
      <c r="BS19" s="151"/>
      <c r="BT19" s="151"/>
      <c r="BU19" s="151"/>
      <c r="BV19" s="151"/>
      <c r="BW19" s="151"/>
      <c r="BX19" s="151"/>
      <c r="BY19" s="151"/>
      <c r="BZ19" s="151"/>
      <c r="CA19" s="151"/>
      <c r="CB19" s="151"/>
      <c r="CC19" s="151"/>
      <c r="CD19" s="151"/>
      <c r="CE19" s="151"/>
      <c r="CF19" s="151"/>
      <c r="CG19" s="151"/>
      <c r="CH19" s="151"/>
      <c r="CI19" s="151"/>
      <c r="CJ19" s="151"/>
      <c r="CK19" s="151"/>
      <c r="CL19" s="151"/>
      <c r="CM19" s="151"/>
      <c r="CN19" s="151"/>
      <c r="CO19" s="151"/>
      <c r="CP19" s="151"/>
      <c r="CQ19" s="151"/>
      <c r="CR19" s="151"/>
      <c r="CS19" s="151"/>
      <c r="CT19" s="151"/>
      <c r="CU19" s="151"/>
      <c r="CV19" s="151"/>
      <c r="CW19" s="151"/>
      <c r="CX19" s="151"/>
      <c r="CY19" s="151"/>
      <c r="CZ19" s="151"/>
      <c r="DA19" s="151"/>
      <c r="DB19" s="151"/>
      <c r="DC19" s="151"/>
      <c r="DD19" s="151"/>
      <c r="DE19" s="151"/>
      <c r="DF19" s="151"/>
      <c r="DG19" s="151"/>
      <c r="DH19" s="151"/>
      <c r="DI19" s="151"/>
      <c r="DJ19" s="151"/>
      <c r="DK19" s="151"/>
      <c r="DL19" s="151"/>
      <c r="DM19" s="151"/>
      <c r="DN19" s="151"/>
      <c r="DO19" s="151"/>
      <c r="DP19" s="151"/>
      <c r="DQ19" s="151"/>
      <c r="DR19" s="151"/>
      <c r="DS19" s="151"/>
      <c r="DT19" s="151"/>
      <c r="DU19" s="151"/>
      <c r="DV19" s="151"/>
      <c r="DW19" s="151"/>
      <c r="DX19" s="151"/>
      <c r="DY19" s="151"/>
      <c r="DZ19" s="151"/>
      <c r="EA19" s="151"/>
      <c r="EB19" s="151"/>
      <c r="EC19" s="151"/>
      <c r="ED19" s="151"/>
      <c r="EE19" s="151"/>
      <c r="EF19" s="151"/>
      <c r="EG19" s="151"/>
      <c r="EH19" s="151"/>
      <c r="EI19" s="151"/>
      <c r="EJ19" s="151"/>
      <c r="EK19" s="151"/>
      <c r="EL19" s="151"/>
      <c r="EM19" s="151"/>
      <c r="EN19" s="151"/>
      <c r="EO19" s="151"/>
      <c r="EP19" s="151"/>
      <c r="EQ19" s="151"/>
      <c r="ER19" s="151"/>
      <c r="ES19" s="151"/>
      <c r="ET19" s="151"/>
      <c r="EU19" s="151"/>
      <c r="EV19" s="151"/>
      <c r="EW19" s="151"/>
      <c r="EX19" s="151"/>
      <c r="EY19" s="151"/>
      <c r="EZ19" s="151"/>
      <c r="FA19" s="151"/>
      <c r="FB19" s="151"/>
      <c r="FC19" s="151"/>
      <c r="FD19" s="151"/>
      <c r="FE19" s="151"/>
      <c r="FF19" s="151"/>
      <c r="FG19" s="151"/>
      <c r="FH19" s="151"/>
      <c r="FI19" s="151"/>
      <c r="FJ19" s="151"/>
      <c r="FK19" s="151"/>
      <c r="FL19" s="151"/>
      <c r="FM19" s="151"/>
      <c r="FN19" s="151"/>
      <c r="FO19" s="151"/>
      <c r="FP19" s="151"/>
      <c r="FQ19" s="151"/>
      <c r="FR19" s="151"/>
      <c r="FS19" s="151"/>
      <c r="FT19" s="151"/>
      <c r="FU19" s="151"/>
      <c r="FV19" s="151"/>
      <c r="FW19" s="151"/>
      <c r="FX19" s="151"/>
      <c r="FY19" s="151"/>
      <c r="FZ19" s="151"/>
      <c r="GA19" s="151"/>
      <c r="GB19" s="151"/>
      <c r="GC19" s="151"/>
      <c r="GD19" s="151"/>
      <c r="GE19" s="151"/>
      <c r="GF19" s="151"/>
      <c r="GG19" s="151"/>
      <c r="GH19" s="151"/>
      <c r="GI19" s="151"/>
      <c r="GJ19" s="151"/>
      <c r="GK19" s="151"/>
      <c r="GL19" s="151"/>
      <c r="GM19" s="151"/>
      <c r="GN19" s="151"/>
      <c r="GO19" s="151"/>
      <c r="GP19" s="151"/>
      <c r="GQ19" s="151"/>
      <c r="GR19" s="151"/>
      <c r="GS19" s="151"/>
      <c r="GT19" s="151"/>
      <c r="GU19" s="151"/>
      <c r="GV19" s="151"/>
      <c r="GW19" s="151"/>
      <c r="GX19" s="151"/>
      <c r="GY19" s="151"/>
      <c r="GZ19" s="151"/>
      <c r="HA19" s="151"/>
      <c r="HB19" s="151"/>
      <c r="HC19" s="151"/>
      <c r="HD19" s="151"/>
      <c r="HE19" s="151"/>
      <c r="HF19" s="151"/>
      <c r="HG19" s="151"/>
      <c r="HH19" s="151"/>
      <c r="HI19" s="151"/>
      <c r="HJ19" s="151"/>
      <c r="HK19" s="151"/>
      <c r="HL19" s="151"/>
      <c r="HM19" s="151"/>
      <c r="HN19" s="151"/>
      <c r="HO19" s="151"/>
      <c r="HP19" s="151"/>
      <c r="HQ19" s="151"/>
      <c r="HR19" s="151"/>
      <c r="HS19" s="151"/>
    </row>
    <row r="20">
      <c r="B20" s="144"/>
      <c r="I20" s="151"/>
      <c r="J20" s="151"/>
      <c r="K20" s="151"/>
      <c r="L20" s="151"/>
      <c r="M20" s="151"/>
      <c r="N20" s="152"/>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1"/>
      <c r="BD20" s="151"/>
      <c r="BE20" s="151"/>
      <c r="BF20" s="151"/>
      <c r="BG20" s="151"/>
      <c r="BH20" s="151"/>
      <c r="BI20" s="151"/>
      <c r="BJ20" s="151"/>
      <c r="BK20" s="151"/>
      <c r="BL20" s="151"/>
      <c r="BM20" s="151"/>
      <c r="BN20" s="151"/>
      <c r="BO20" s="151"/>
      <c r="BP20" s="151"/>
      <c r="BQ20" s="151"/>
      <c r="BR20" s="151"/>
      <c r="BS20" s="151"/>
      <c r="BT20" s="151"/>
      <c r="BU20" s="151"/>
      <c r="BV20" s="151"/>
      <c r="BW20" s="151"/>
      <c r="BX20" s="151"/>
      <c r="BY20" s="151"/>
      <c r="BZ20" s="151"/>
      <c r="CA20" s="151"/>
      <c r="CB20" s="151"/>
      <c r="CC20" s="151"/>
      <c r="CD20" s="151"/>
      <c r="CE20" s="151"/>
      <c r="CF20" s="151"/>
      <c r="CG20" s="151"/>
      <c r="CH20" s="151"/>
      <c r="CI20" s="151"/>
      <c r="CJ20" s="151"/>
      <c r="CK20" s="151"/>
      <c r="CL20" s="151"/>
      <c r="CM20" s="151"/>
      <c r="CN20" s="151"/>
      <c r="CO20" s="151"/>
      <c r="CP20" s="151"/>
      <c r="CQ20" s="151"/>
      <c r="CR20" s="151"/>
      <c r="CS20" s="151"/>
      <c r="CT20" s="151"/>
      <c r="CU20" s="151"/>
      <c r="CV20" s="151"/>
      <c r="CW20" s="151"/>
      <c r="CX20" s="151"/>
      <c r="CY20" s="151"/>
      <c r="CZ20" s="151"/>
      <c r="DA20" s="151"/>
      <c r="DB20" s="151"/>
      <c r="DC20" s="151"/>
      <c r="DD20" s="151"/>
      <c r="DE20" s="151"/>
      <c r="DF20" s="151"/>
      <c r="DG20" s="151"/>
      <c r="DH20" s="151"/>
      <c r="DI20" s="151"/>
      <c r="DJ20" s="151"/>
      <c r="DK20" s="151"/>
      <c r="DL20" s="151"/>
      <c r="DM20" s="151"/>
      <c r="DN20" s="151"/>
      <c r="DO20" s="151"/>
      <c r="DP20" s="151"/>
      <c r="DQ20" s="151"/>
      <c r="DR20" s="151"/>
      <c r="DS20" s="151"/>
      <c r="DT20" s="151"/>
      <c r="DU20" s="151"/>
      <c r="DV20" s="151"/>
      <c r="DW20" s="151"/>
      <c r="DX20" s="151"/>
      <c r="DY20" s="151"/>
      <c r="DZ20" s="151"/>
      <c r="EA20" s="151"/>
      <c r="EB20" s="151"/>
      <c r="EC20" s="151"/>
      <c r="ED20" s="151"/>
      <c r="EE20" s="151"/>
      <c r="EF20" s="151"/>
      <c r="EG20" s="151"/>
      <c r="EH20" s="151"/>
      <c r="EI20" s="151"/>
      <c r="EJ20" s="151"/>
      <c r="EK20" s="151"/>
      <c r="EL20" s="151"/>
      <c r="EM20" s="151"/>
      <c r="EN20" s="151"/>
      <c r="EO20" s="151"/>
      <c r="EP20" s="151"/>
      <c r="EQ20" s="151"/>
      <c r="ER20" s="151"/>
      <c r="ES20" s="151"/>
      <c r="ET20" s="151"/>
      <c r="EU20" s="151"/>
      <c r="EV20" s="151"/>
      <c r="EW20" s="151"/>
      <c r="EX20" s="151"/>
      <c r="EY20" s="151"/>
      <c r="EZ20" s="151"/>
      <c r="FA20" s="151"/>
      <c r="FB20" s="151"/>
      <c r="FC20" s="151"/>
      <c r="FD20" s="151"/>
      <c r="FE20" s="151"/>
      <c r="FF20" s="151"/>
      <c r="FG20" s="151"/>
      <c r="FH20" s="151"/>
      <c r="FI20" s="151"/>
      <c r="FJ20" s="151"/>
      <c r="FK20" s="151"/>
      <c r="FL20" s="151"/>
      <c r="FM20" s="151"/>
      <c r="FN20" s="151"/>
      <c r="FO20" s="151"/>
      <c r="FP20" s="151"/>
      <c r="FQ20" s="151"/>
      <c r="FR20" s="151"/>
      <c r="FS20" s="151"/>
      <c r="FT20" s="151"/>
      <c r="FU20" s="151"/>
      <c r="FV20" s="151"/>
      <c r="FW20" s="151"/>
      <c r="FX20" s="151"/>
      <c r="FY20" s="151"/>
      <c r="FZ20" s="151"/>
      <c r="GA20" s="151"/>
      <c r="GB20" s="151"/>
      <c r="GC20" s="151"/>
      <c r="GD20" s="151"/>
      <c r="GE20" s="151"/>
      <c r="GF20" s="151"/>
      <c r="GG20" s="151"/>
      <c r="GH20" s="151"/>
      <c r="GI20" s="151"/>
      <c r="GJ20" s="151"/>
      <c r="GK20" s="151"/>
      <c r="GL20" s="151"/>
      <c r="GM20" s="151"/>
      <c r="GN20" s="151"/>
      <c r="GO20" s="151"/>
      <c r="GP20" s="151"/>
      <c r="GQ20" s="151"/>
      <c r="GR20" s="151"/>
      <c r="GS20" s="151"/>
      <c r="GT20" s="151"/>
      <c r="GU20" s="151"/>
      <c r="GV20" s="151"/>
      <c r="GW20" s="151"/>
      <c r="GX20" s="151"/>
      <c r="GY20" s="151"/>
      <c r="GZ20" s="151"/>
      <c r="HA20" s="151"/>
      <c r="HB20" s="151"/>
      <c r="HC20" s="151"/>
      <c r="HD20" s="151"/>
      <c r="HE20" s="151"/>
      <c r="HF20" s="151"/>
      <c r="HG20" s="151"/>
      <c r="HH20" s="151"/>
      <c r="HI20" s="151"/>
      <c r="HJ20" s="151"/>
      <c r="HK20" s="151"/>
      <c r="HL20" s="151"/>
      <c r="HM20" s="151"/>
      <c r="HN20" s="151"/>
      <c r="HO20" s="151"/>
      <c r="HP20" s="151"/>
      <c r="HQ20" s="151"/>
      <c r="HR20" s="151"/>
      <c r="HS20" s="151"/>
    </row>
    <row r="21">
      <c r="B21" s="144"/>
      <c r="D21" s="36"/>
      <c r="I21" s="151"/>
      <c r="J21" s="151"/>
      <c r="K21" s="151"/>
      <c r="L21" s="151"/>
      <c r="M21" s="151"/>
      <c r="N21" s="152"/>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151"/>
      <c r="BH21" s="151"/>
      <c r="BI21" s="151"/>
      <c r="BJ21" s="151"/>
      <c r="BK21" s="151"/>
      <c r="BL21" s="151"/>
      <c r="BM21" s="151"/>
      <c r="BN21" s="151"/>
      <c r="BO21" s="151"/>
      <c r="BP21" s="151"/>
      <c r="BQ21" s="151"/>
      <c r="BR21" s="151"/>
      <c r="BS21" s="151"/>
      <c r="BT21" s="151"/>
      <c r="BU21" s="151"/>
      <c r="BV21" s="151"/>
      <c r="BW21" s="151"/>
      <c r="BX21" s="151"/>
      <c r="BY21" s="151"/>
      <c r="BZ21" s="151"/>
      <c r="CA21" s="151"/>
      <c r="CB21" s="151"/>
      <c r="CC21" s="151"/>
      <c r="CD21" s="151"/>
      <c r="CE21" s="151"/>
      <c r="CF21" s="151"/>
      <c r="CG21" s="151"/>
      <c r="CH21" s="151"/>
      <c r="CI21" s="151"/>
      <c r="CJ21" s="151"/>
      <c r="CK21" s="151"/>
      <c r="CL21" s="151"/>
      <c r="CM21" s="151"/>
      <c r="CN21" s="151"/>
      <c r="CO21" s="151"/>
      <c r="CP21" s="151"/>
      <c r="CQ21" s="151"/>
      <c r="CR21" s="151"/>
      <c r="CS21" s="151"/>
      <c r="CT21" s="151"/>
      <c r="CU21" s="151"/>
      <c r="CV21" s="151"/>
      <c r="CW21" s="151"/>
      <c r="CX21" s="151"/>
      <c r="CY21" s="151"/>
      <c r="CZ21" s="151"/>
      <c r="DA21" s="151"/>
      <c r="DB21" s="151"/>
      <c r="DC21" s="151"/>
      <c r="DD21" s="151"/>
      <c r="DE21" s="151"/>
      <c r="DF21" s="151"/>
      <c r="DG21" s="151"/>
      <c r="DH21" s="151"/>
      <c r="DI21" s="151"/>
      <c r="DJ21" s="151"/>
      <c r="DK21" s="151"/>
      <c r="DL21" s="151"/>
      <c r="DM21" s="151"/>
      <c r="DN21" s="151"/>
      <c r="DO21" s="151"/>
      <c r="DP21" s="151"/>
      <c r="DQ21" s="151"/>
      <c r="DR21" s="151"/>
      <c r="DS21" s="151"/>
      <c r="DT21" s="151"/>
      <c r="DU21" s="151"/>
      <c r="DV21" s="151"/>
      <c r="DW21" s="151"/>
      <c r="DX21" s="151"/>
      <c r="DY21" s="151"/>
      <c r="DZ21" s="151"/>
      <c r="EA21" s="151"/>
      <c r="EB21" s="151"/>
      <c r="EC21" s="151"/>
      <c r="ED21" s="151"/>
      <c r="EE21" s="151"/>
      <c r="EF21" s="151"/>
      <c r="EG21" s="151"/>
      <c r="EH21" s="151"/>
      <c r="EI21" s="151"/>
      <c r="EJ21" s="151"/>
      <c r="EK21" s="151"/>
      <c r="EL21" s="151"/>
      <c r="EM21" s="151"/>
      <c r="EN21" s="151"/>
      <c r="EO21" s="151"/>
      <c r="EP21" s="151"/>
      <c r="EQ21" s="151"/>
      <c r="ER21" s="151"/>
      <c r="ES21" s="151"/>
      <c r="ET21" s="151"/>
      <c r="EU21" s="151"/>
      <c r="EV21" s="151"/>
      <c r="EW21" s="151"/>
      <c r="EX21" s="151"/>
      <c r="EY21" s="151"/>
      <c r="EZ21" s="151"/>
      <c r="FA21" s="151"/>
      <c r="FB21" s="151"/>
      <c r="FC21" s="151"/>
      <c r="FD21" s="151"/>
      <c r="FE21" s="151"/>
      <c r="FF21" s="151"/>
      <c r="FG21" s="151"/>
      <c r="FH21" s="151"/>
      <c r="FI21" s="151"/>
      <c r="FJ21" s="151"/>
      <c r="FK21" s="151"/>
      <c r="FL21" s="151"/>
      <c r="FM21" s="151"/>
      <c r="FN21" s="151"/>
      <c r="FO21" s="151"/>
      <c r="FP21" s="151"/>
      <c r="FQ21" s="151"/>
      <c r="FR21" s="151"/>
      <c r="FS21" s="151"/>
      <c r="FT21" s="151"/>
      <c r="FU21" s="151"/>
      <c r="FV21" s="151"/>
      <c r="FW21" s="151"/>
      <c r="FX21" s="151"/>
      <c r="FY21" s="151"/>
      <c r="FZ21" s="151"/>
      <c r="GA21" s="151"/>
      <c r="GB21" s="151"/>
      <c r="GC21" s="151"/>
      <c r="GD21" s="151"/>
      <c r="GE21" s="151"/>
      <c r="GF21" s="151"/>
      <c r="GG21" s="151"/>
      <c r="GH21" s="151"/>
      <c r="GI21" s="151"/>
      <c r="GJ21" s="151"/>
      <c r="GK21" s="151"/>
      <c r="GL21" s="151"/>
      <c r="GM21" s="151"/>
      <c r="GN21" s="151"/>
      <c r="GO21" s="151"/>
      <c r="GP21" s="151"/>
      <c r="GQ21" s="151"/>
      <c r="GR21" s="151"/>
      <c r="GS21" s="151"/>
      <c r="GT21" s="151"/>
      <c r="GU21" s="151"/>
      <c r="GV21" s="151"/>
      <c r="GW21" s="151"/>
      <c r="GX21" s="151"/>
      <c r="GY21" s="151"/>
      <c r="GZ21" s="151"/>
      <c r="HA21" s="151"/>
      <c r="HB21" s="151"/>
      <c r="HC21" s="151"/>
      <c r="HD21" s="151"/>
      <c r="HE21" s="151"/>
      <c r="HF21" s="151"/>
      <c r="HG21" s="151"/>
      <c r="HH21" s="151"/>
      <c r="HI21" s="151"/>
      <c r="HJ21" s="151"/>
      <c r="HK21" s="151"/>
      <c r="HL21" s="151"/>
      <c r="HM21" s="151"/>
      <c r="HN21" s="151"/>
      <c r="HO21" s="151"/>
      <c r="HP21" s="151"/>
      <c r="HQ21" s="151"/>
      <c r="HR21" s="151"/>
      <c r="HS21" s="151"/>
    </row>
    <row r="22">
      <c r="B22" s="144"/>
      <c r="D22" s="36"/>
      <c r="N22" s="152"/>
    </row>
    <row r="23">
      <c r="B23" s="144"/>
      <c r="D23" s="162"/>
      <c r="N23" s="152"/>
    </row>
    <row r="24">
      <c r="B24" s="144"/>
      <c r="D24" s="162"/>
      <c r="G24" s="160"/>
      <c r="H24" s="160"/>
      <c r="N24" s="152"/>
    </row>
    <row r="25">
      <c r="B25" s="144"/>
      <c r="D25" s="162"/>
      <c r="G25" s="160"/>
      <c r="H25" s="160"/>
      <c r="N25" s="152"/>
    </row>
    <row r="26">
      <c r="B26" s="144"/>
      <c r="D26" s="162"/>
      <c r="G26" s="160"/>
      <c r="H26" s="160"/>
      <c r="N26" s="152"/>
    </row>
    <row r="27">
      <c r="B27" s="144"/>
      <c r="D27" s="162"/>
      <c r="G27" s="160"/>
      <c r="H27" s="160"/>
      <c r="N27" s="152"/>
    </row>
    <row r="28">
      <c r="B28" s="163"/>
      <c r="C28" s="164"/>
      <c r="D28" s="164"/>
      <c r="E28" s="164"/>
      <c r="F28" s="164"/>
      <c r="G28" s="165"/>
      <c r="H28" s="165"/>
      <c r="I28" s="166"/>
      <c r="J28" s="166"/>
      <c r="K28" s="166"/>
      <c r="L28" s="166"/>
      <c r="M28" s="166"/>
      <c r="N28" s="152"/>
    </row>
    <row r="29">
      <c r="D29" s="36"/>
      <c r="N29" s="167"/>
    </row>
    <row r="31">
      <c r="B31" s="141"/>
      <c r="C31" s="142"/>
      <c r="D31" s="177"/>
      <c r="E31" s="177"/>
      <c r="F31" s="177"/>
      <c r="G31" s="142"/>
      <c r="H31" s="142"/>
      <c r="I31" s="142"/>
      <c r="J31" s="142"/>
      <c r="K31" s="142"/>
      <c r="L31" s="142"/>
      <c r="M31" s="142"/>
      <c r="N31" s="143" t="s">
        <v>360</v>
      </c>
    </row>
    <row r="32">
      <c r="B32" s="144"/>
      <c r="C32" s="172" t="str">
        <f>DATA!R$1</f>
        <v>#REF!</v>
      </c>
      <c r="D32" s="155"/>
      <c r="E32" s="155"/>
      <c r="F32" s="155"/>
      <c r="N32" s="147" t="str">
        <f>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"&amp;C32&amp;", datos: "&amp; crearJSONdesdeTabla(C33:F37,0)&amp;" y corresponden a la competencia "&amp;C40&amp;"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No se recibió una respuesta válida.</v>
      </c>
    </row>
    <row r="33">
      <c r="B33" s="144"/>
      <c r="C33" s="156" t="s">
        <v>368</v>
      </c>
      <c r="D33" s="157">
        <v>2022.0</v>
      </c>
      <c r="E33" s="157">
        <v>2023.0</v>
      </c>
      <c r="F33" s="157">
        <v>2024.0</v>
      </c>
      <c r="N33" s="152"/>
    </row>
    <row r="34">
      <c r="B34" s="144"/>
      <c r="C34" s="77" t="s">
        <v>376</v>
      </c>
      <c r="D34" s="107" t="str">
        <f>COUNTIFS(DATA!$D$2:$D247,$D$4,DATA!$H$2:$H247,$D$5, DATA!$G$2:$G247,$D$6,DATA!$B$2:$B247,D33, DATA!R$2:R247,C34)/
 COUNTIFS(DATA!$D$2:$D247,$D$4,DATA!$H$2:$H247,$D$5, DATA!$G$2:$G247,$D$6,DATA!$B$2:$B247,D33, DATA!R$2:R247,"&lt;&gt;-")
</f>
        <v>#DIV/0!</v>
      </c>
      <c r="E34" s="107" t="str">
        <f>COUNTIFS(DATA!$D$2:$D247,$D$4,DATA!$H$2:$H247,$D$5, DATA!$G$2:$G247,$D$6,DATA!$B$2:$B247,E33, DATA!R$2:R247,C34)/
 COUNTIFS(DATA!$D$2:$D247,$D$4,DATA!$H$2:$H247,$D$5, DATA!$G$2:$G247,$D$6,DATA!$B$2:$B247,E33, DATA!R$2:R247,"&lt;&gt;-")
</f>
        <v>#DIV/0!</v>
      </c>
      <c r="F34" s="107" t="str">
        <f>COUNTIFS(DATA!$D$2:$D247,$D$4,DATA!$H$2:$H247,$D$5, DATA!$G$2:$G247,$D$6,DATA!$B$2:$B247,F33, DATA!R$2:R247,C34)/
 COUNTIFS(DATA!$D$2:$D247,$D$4,DATA!$H$2:$H247,$D$5, DATA!$G$2:$G247,$D$6,DATA!$B$2:$B247,F33, DATA!R$2:R247,"&lt;&gt;-")
</f>
        <v>#DIV/0!</v>
      </c>
      <c r="N34" s="152"/>
    </row>
    <row r="35">
      <c r="B35" s="144"/>
      <c r="C35" s="77" t="s">
        <v>377</v>
      </c>
      <c r="D35" s="107" t="str">
        <f>COUNTIFS(DATA!$D$2:$D247,$D$4,DATA!$H$2:$H247,$D$5, DATA!$G$2:$G247,$D$6,DATA!$B$2:$B247,D33, DATA!R$2:R247,C35)/
 COUNTIFS(DATA!$D$2:$D247,$D$4,DATA!$H$2:$H247,$D$5, DATA!$G$2:$G247,$D$6,DATA!$B$2:$B247,D33, DATA!R$2:R247,"&lt;&gt;-")
</f>
        <v>#DIV/0!</v>
      </c>
      <c r="E35" s="107" t="str">
        <f>COUNTIFS(DATA!$D$2:$D247,$D$4,DATA!$H$2:$H247,$D$5, DATA!$G$2:$G247,$D$6,DATA!$B$2:$B247,E33, DATA!R$2:R247,C35)/
 COUNTIFS(DATA!$D$2:$D247,$D$4,DATA!$H$2:$H247,$D$5, DATA!$G$2:$G247,$D$6,DATA!$B$2:$B247,E33, DATA!R$2:R247,"&lt;&gt;-")
</f>
        <v>#DIV/0!</v>
      </c>
      <c r="F35" s="107" t="str">
        <f>COUNTIFS(DATA!$D$2:$D247,$D$4,DATA!$H$2:$H247,$D$5, DATA!$G$2:$G247,$D$6,DATA!$B$2:$B247,F33, DATA!R$2:R247,C35)/
 COUNTIFS(DATA!$D$2:$D247,$D$4,DATA!$H$2:$H247,$D$5, DATA!$G$2:$G247,$D$6,DATA!$B$2:$B247,F33, DATA!R$2:R247,"&lt;&gt;-")
</f>
        <v>#DIV/0!</v>
      </c>
      <c r="N35" s="152"/>
    </row>
    <row r="36">
      <c r="B36" s="144"/>
      <c r="C36" s="77" t="s">
        <v>378</v>
      </c>
      <c r="D36" s="107" t="str">
        <f>COUNTIFS(DATA!$D$2:$D247,$D$4,DATA!$H$2:$H247,$D$5, DATA!$G$2:$G247,$D$6,DATA!$B$2:$B247,D33, DATA!R$2:R247,C36)/
 COUNTIFS(DATA!$D$2:$D247,$D$4,DATA!$H$2:$H247,$D$5, DATA!$G$2:$G247,$D$6,DATA!$B$2:$B247,D33, DATA!R$2:R247,"&lt;&gt;-")
</f>
        <v>#DIV/0!</v>
      </c>
      <c r="E36" s="107" t="str">
        <f>COUNTIFS(DATA!$D$2:$D247,$D$4,DATA!$H$2:$H247,$D$5, DATA!$G$2:$G247,$D$6,DATA!$B$2:$B247,E33, DATA!R$2:R247,C36)/
 COUNTIFS(DATA!$D$2:$D247,$D$4,DATA!$H$2:$H247,$D$5, DATA!$G$2:$G247,$D$6,DATA!$B$2:$B247,E33, DATA!R$2:R247,"&lt;&gt;-")
</f>
        <v>#DIV/0!</v>
      </c>
      <c r="F36" s="107" t="str">
        <f>COUNTIFS(DATA!$D$2:$D247,$D$4,DATA!$H$2:$H247,$D$5, DATA!$G$2:$G247,$D$6,DATA!$B$2:$B247,F33, DATA!R$2:R247,C36)/
 COUNTIFS(DATA!$D$2:$D247,$D$4,DATA!$H$2:$H247,$D$5, DATA!$G$2:$G247,$D$6,DATA!$B$2:$B247,F33, DATA!R$2:R247,"&lt;&gt;-")
</f>
        <v>#DIV/0!</v>
      </c>
      <c r="N36" s="152"/>
    </row>
    <row r="37">
      <c r="B37" s="144"/>
      <c r="C37" s="77" t="s">
        <v>379</v>
      </c>
      <c r="D37" s="107" t="str">
        <f>COUNTIFS(DATA!$D$2:$D247,$D$4,DATA!$H$2:$H247,$D$5, DATA!$G$2:$G247,$D$6,DATA!$B$2:$B247,D33, DATA!R$2:R247,C37)/
 COUNTIFS(DATA!$D$2:$D247,$D$4,DATA!$H$2:$H247,$D$5, DATA!$G$2:$G247,$D$6,DATA!$B$2:$B247,D33, DATA!R$2:R247,"&lt;&gt;-")
</f>
        <v>#DIV/0!</v>
      </c>
      <c r="E37" s="107" t="str">
        <f>COUNTIFS(DATA!$D$2:$D247,$D$4,DATA!$H$2:$H247,$D$5, DATA!$G$2:$G247,$D$6,DATA!$B$2:$B247,E33, DATA!R$2:R247,C37)/
 COUNTIFS(DATA!$D$2:$D247,$D$4,DATA!$H$2:$H247,$D$5, DATA!$G$2:$G247,$D$6,DATA!$B$2:$B247,E33, DATA!R$2:R247,"&lt;&gt;-")
</f>
        <v>#DIV/0!</v>
      </c>
      <c r="F37" s="107" t="str">
        <f>COUNTIFS(DATA!$D$2:$D247,$D$4,DATA!$H$2:$H247,$D$5, DATA!$G$2:$G247,$D$6,DATA!$B$2:$B247,F33, DATA!R$2:R247,C37)/
 COUNTIFS(DATA!$D$2:$D247,$D$4,DATA!$H$2:$H247,$D$5, DATA!$G$2:$G247,$D$6,DATA!$B$2:$B247,F33, DATA!R$2:R247,"&lt;&gt;-")
</f>
        <v>#DIV/0!</v>
      </c>
      <c r="N37" s="152"/>
    </row>
    <row r="38">
      <c r="B38" s="144"/>
      <c r="C38" s="158" t="s">
        <v>361</v>
      </c>
      <c r="D38" s="159" t="str">
        <f t="shared" ref="D38:F38" si="3">SUM(D34:D37)</f>
        <v>#DIV/0!</v>
      </c>
      <c r="E38" s="159" t="str">
        <f t="shared" si="3"/>
        <v>#DIV/0!</v>
      </c>
      <c r="F38" s="159" t="str">
        <f t="shared" si="3"/>
        <v>#DIV/0!</v>
      </c>
      <c r="N38" s="152"/>
    </row>
    <row r="39">
      <c r="B39" s="144"/>
      <c r="D39" s="151"/>
      <c r="E39" s="151"/>
      <c r="F39" s="151"/>
      <c r="N39" s="152"/>
    </row>
    <row r="40">
      <c r="B40" s="144"/>
      <c r="C40" s="77" t="s">
        <v>380</v>
      </c>
      <c r="D40" s="151"/>
      <c r="E40" s="151"/>
      <c r="F40" s="151"/>
      <c r="N40" s="152"/>
    </row>
    <row r="41">
      <c r="B41" s="144"/>
      <c r="D41" s="151"/>
      <c r="E41" s="151"/>
      <c r="F41" s="151"/>
      <c r="N41" s="152"/>
    </row>
    <row r="42">
      <c r="B42" s="144"/>
      <c r="D42" s="178"/>
      <c r="E42" s="178"/>
      <c r="F42" s="178"/>
      <c r="N42" s="152"/>
    </row>
    <row r="43">
      <c r="B43" s="144"/>
      <c r="D43" s="178"/>
      <c r="E43" s="178"/>
      <c r="F43" s="178"/>
      <c r="N43" s="152"/>
    </row>
    <row r="44">
      <c r="B44" s="144"/>
      <c r="D44" s="178"/>
      <c r="E44" s="178"/>
      <c r="F44" s="178"/>
      <c r="N44" s="152"/>
    </row>
    <row r="45">
      <c r="B45" s="144"/>
      <c r="D45" s="178"/>
      <c r="E45" s="178"/>
      <c r="F45" s="178"/>
      <c r="N45" s="152"/>
    </row>
    <row r="46">
      <c r="B46" s="144"/>
      <c r="D46" s="107"/>
      <c r="E46" s="107"/>
      <c r="F46" s="178"/>
      <c r="N46" s="152"/>
    </row>
    <row r="47">
      <c r="B47" s="144"/>
      <c r="D47" s="107"/>
      <c r="E47" s="107"/>
      <c r="F47" s="151"/>
      <c r="N47" s="152"/>
    </row>
    <row r="48">
      <c r="B48" s="144"/>
      <c r="C48" s="153"/>
      <c r="D48" s="107"/>
      <c r="E48" s="107"/>
      <c r="F48" s="151"/>
      <c r="N48" s="152"/>
    </row>
    <row r="49">
      <c r="B49" s="144"/>
      <c r="C49" s="153"/>
      <c r="D49" s="107"/>
      <c r="E49" s="107"/>
      <c r="F49" s="151"/>
      <c r="N49" s="152"/>
    </row>
    <row r="50">
      <c r="B50" s="163"/>
      <c r="C50" s="166"/>
      <c r="D50" s="179"/>
      <c r="E50" s="179"/>
      <c r="F50" s="179"/>
      <c r="G50" s="166"/>
      <c r="H50" s="166"/>
      <c r="I50" s="166"/>
      <c r="J50" s="166"/>
      <c r="K50" s="166"/>
      <c r="L50" s="166"/>
      <c r="M50" s="166"/>
      <c r="N50" s="167"/>
    </row>
    <row r="51">
      <c r="C51" s="153"/>
      <c r="D51" s="151"/>
      <c r="E51" s="151"/>
      <c r="F51" s="151"/>
    </row>
    <row r="52">
      <c r="C52" s="153"/>
      <c r="D52" s="151"/>
      <c r="E52" s="151"/>
      <c r="F52" s="151"/>
    </row>
    <row r="53">
      <c r="B53" s="141"/>
      <c r="C53" s="142"/>
      <c r="D53" s="177"/>
      <c r="E53" s="177"/>
      <c r="F53" s="177"/>
      <c r="G53" s="142"/>
      <c r="H53" s="142"/>
      <c r="I53" s="142"/>
      <c r="J53" s="142"/>
      <c r="K53" s="142"/>
      <c r="L53" s="142"/>
      <c r="M53" s="142"/>
      <c r="N53" s="143" t="s">
        <v>360</v>
      </c>
    </row>
    <row r="54">
      <c r="B54" s="144"/>
      <c r="C54" s="172" t="str">
        <f>DATA!S$1</f>
        <v>#REF!</v>
      </c>
      <c r="D54" s="155"/>
      <c r="E54" s="155"/>
      <c r="F54" s="155"/>
      <c r="N54" s="147" t="str">
        <f>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"&amp;C54&amp;", datos: "&amp; crearJSONdesdeTabla(C55:F59,0)&amp;" y corresponden a la competencia "&amp;C62&amp;"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The "#REF!" error in Excel (and other spreadsheet programs) indicates that a formula refers to a cell that is no longer valid. This usually happens when:
*   **A cell or range referenced in the formula has been deleted.** For example, if your formula is `=SUM(A1:A10)` and you delete row 5, the formula might change to `=SUM(A1:A4,#REF!:A10)` or simply return `#REF!`.
*   **A cell has been moved, and the formula was not updated.**  If you cut and paste a cell that a formula depends on, the formula might not automatically adjust.
*   **A linked workbook is closed or the path has changed.** If your formula refers to a cell in another Excel file, and that file is closed, moved, or renamed, you'll get a `#REF!` error.
*   **A defined name is deleted.** If a formula uses a defined name (e.g., `=SUM(MyRange)`) and you delete the defined name "MyRange," the formula will return `#REF!`.
*   **A VBA macro is causing the error.** If you're using a custom function written in VBA, there might be an issue with the code that's causing the error.
**How to fix it:**
1.  **Identify the cell(s) with the `#REF!` error.**
2.  **Double-click the cell to see the formula.** This will show you which cell references are causing the problem.
3.  **Determine why the reference is invalid.**  Ask yourself:
    *   Was the referenced cell deleted?
    *   Was the referenced cell moved?
    *   Is the linked workbook accessible?
    *   Was a defined name deleted?
4.  **Correct the formula.**  Here are some possible solutions:
    *   **If the cell was deleted:**  Replace the `#REF!` reference with a valid cell reference.  You might need to adjust the formula to use a different cell or range.  If the deleted data is essential, you might need to undo the deletion (if possible) or re-enter the data.
    *   **If the cell was moved:**  Update the formula to point to the new location of the cell.
    *   **If the linked workbook is inaccessible:**  Open the linked workbook and make sure the path in the formula is correct.  You might need to re-establish the link.
    *   **If the defined name was deleted:**  Recreate the defined name or replace the name in the formula with the actual cell range.
    *   **If a VBA macro is causing the error:** Review the VBA code and correct any errors.
**Example:**
Let's say cell `B1` contains the formula `=A1+10`. If you then delete column `A`, cell `B1` will now display `#REF!`. To fix this, you would need to edit the formula in `B1` to refer to a valid cell, for example, `=C1+10` if you want to use the value in column `C` instead.
**Important Considerations:**
*   **Trace Error:** Excel has a "Trace Error" feature (under the "Formulas" tab) that can help you find the source of the error.
*   **Undo:** If you accidentally deleted something, try using "Undo" (Ctrl+Z) immediately.
*   **Backup:** Regularly back up your Excel files to prevent data loss.
By carefully examining the formula and the surrounding spreadsheet, you should be able to identify the cause of the `#REF!` error and correct it.
</v>
      </c>
    </row>
    <row r="55">
      <c r="B55" s="144"/>
      <c r="C55" s="156" t="s">
        <v>368</v>
      </c>
      <c r="D55" s="157">
        <v>2022.0</v>
      </c>
      <c r="E55" s="157">
        <v>2023.0</v>
      </c>
      <c r="F55" s="157">
        <v>2024.0</v>
      </c>
      <c r="N55" s="152"/>
    </row>
    <row r="56">
      <c r="B56" s="144"/>
      <c r="C56" s="77" t="s">
        <v>376</v>
      </c>
      <c r="D56" s="107" t="str">
        <f>COUNTIFS(DATA!$D$2:$D247,$D$4,DATA!$H$2:$H247,$D$5, DATA!$G$2:$G247,$D$6,DATA!$B$2:$B247,D55, DATA!S$2:S247,C56)/
 COUNTIFS(DATA!$D$2:$D247,$D$4,DATA!$H$2:$H247,$D$5, DATA!$G$2:$G247,$D$6,DATA!$B$2:$B247,D55, DATA!S$2:S247,"&lt;&gt;-")
</f>
        <v>#DIV/0!</v>
      </c>
      <c r="E56" s="107" t="str">
        <f>COUNTIFS(DATA!$D$2:$D247,$D$4,DATA!$H$2:$H247,$D$5, DATA!$G$2:$G247,$D$6,DATA!$B$2:$B247,E55, DATA!S$2:S247,C56)/
 COUNTIFS(DATA!$D$2:$D247,$D$4,DATA!$H$2:$H247,$D$5, DATA!$G$2:$G247,$D$6,DATA!$B$2:$B247,E55, DATA!S$2:S247,"&lt;&gt;-")
</f>
        <v>#DIV/0!</v>
      </c>
      <c r="F56" s="107" t="str">
        <f>COUNTIFS(DATA!$D$2:$D247,$D$4,DATA!$H$2:$H247,$D$5, DATA!$G$2:$G247,$D$6,DATA!$B$2:$B247,F55, DATA!S$2:S247,C56)/
 COUNTIFS(DATA!$D$2:$D247,$D$4,DATA!$H$2:$H247,$D$5, DATA!$G$2:$G247,$D$6,DATA!$B$2:$B247,F55, DATA!S$2:S247,"&lt;&gt;-")
</f>
        <v>#DIV/0!</v>
      </c>
      <c r="N56" s="152"/>
    </row>
    <row r="57">
      <c r="B57" s="144"/>
      <c r="C57" s="77" t="s">
        <v>377</v>
      </c>
      <c r="D57" s="107" t="str">
        <f>COUNTIFS(DATA!$D$2:$D247,$D$4,DATA!$H$2:$H247,$D$5, DATA!$G$2:$G247,$D$6,DATA!$B$2:$B247,D55, DATA!S$2:S247,C57)/
 COUNTIFS(DATA!$D$2:$D247,$D$4,DATA!$H$2:$H247,$D$5, DATA!$G$2:$G247,$D$6,DATA!$B$2:$B247,D55, DATA!S$2:S247,"&lt;&gt;-")
</f>
        <v>#DIV/0!</v>
      </c>
      <c r="E57" s="107" t="str">
        <f>COUNTIFS(DATA!$D$2:$D247,$D$4,DATA!$H$2:$H247,$D$5, DATA!$G$2:$G247,$D$6,DATA!$B$2:$B247,E55, DATA!S$2:S247,C57)/
 COUNTIFS(DATA!$D$2:$D247,$D$4,DATA!$H$2:$H247,$D$5, DATA!$G$2:$G247,$D$6,DATA!$B$2:$B247,E55, DATA!S$2:S247,"&lt;&gt;-")
</f>
        <v>#DIV/0!</v>
      </c>
      <c r="F57" s="107" t="str">
        <f>COUNTIFS(DATA!$D$2:$D247,$D$4,DATA!$H$2:$H247,$D$5, DATA!$G$2:$G247,$D$6,DATA!$B$2:$B247,F55, DATA!S$2:S247,C57)/
 COUNTIFS(DATA!$D$2:$D247,$D$4,DATA!$H$2:$H247,$D$5, DATA!$G$2:$G247,$D$6,DATA!$B$2:$B247,F55, DATA!S$2:S247,"&lt;&gt;-")
</f>
        <v>#DIV/0!</v>
      </c>
      <c r="N57" s="152"/>
    </row>
    <row r="58">
      <c r="B58" s="144"/>
      <c r="C58" s="77" t="s">
        <v>378</v>
      </c>
      <c r="D58" s="107" t="str">
        <f>COUNTIFS(DATA!$D$2:$D247,$D$4,DATA!$H$2:$H247,$D$5, DATA!$G$2:$G247,$D$6,DATA!$B$2:$B247,D55, DATA!S$2:S247,C58)/
 COUNTIFS(DATA!$D$2:$D247,$D$4,DATA!$H$2:$H247,$D$5, DATA!$G$2:$G247,$D$6,DATA!$B$2:$B247,D55, DATA!S$2:S247,"&lt;&gt;-")
</f>
        <v>#DIV/0!</v>
      </c>
      <c r="E58" s="107" t="str">
        <f>COUNTIFS(DATA!$D$2:$D247,$D$4,DATA!$H$2:$H247,$D$5, DATA!$G$2:$G247,$D$6,DATA!$B$2:$B247,E55, DATA!S$2:S247,C58)/
 COUNTIFS(DATA!$D$2:$D247,$D$4,DATA!$H$2:$H247,$D$5, DATA!$G$2:$G247,$D$6,DATA!$B$2:$B247,E55, DATA!S$2:S247,"&lt;&gt;-")
</f>
        <v>#DIV/0!</v>
      </c>
      <c r="F58" s="107" t="str">
        <f>COUNTIFS(DATA!$D$2:$D247,$D$4,DATA!$H$2:$H247,$D$5, DATA!$G$2:$G247,$D$6,DATA!$B$2:$B247,F55, DATA!S$2:S247,C58)/
 COUNTIFS(DATA!$D$2:$D247,$D$4,DATA!$H$2:$H247,$D$5, DATA!$G$2:$G247,$D$6,DATA!$B$2:$B247,F55, DATA!S$2:S247,"&lt;&gt;-")
</f>
        <v>#DIV/0!</v>
      </c>
      <c r="N58" s="152"/>
    </row>
    <row r="59">
      <c r="B59" s="144"/>
      <c r="C59" s="77" t="s">
        <v>379</v>
      </c>
      <c r="D59" s="107" t="str">
        <f>COUNTIFS(DATA!$D$2:$D247,$D$4,DATA!$H$2:$H247,$D$5, DATA!$G$2:$G247,$D$6,DATA!$B$2:$B247,D55, DATA!S$2:S247,C59)/
 COUNTIFS(DATA!$D$2:$D247,$D$4,DATA!$H$2:$H247,$D$5, DATA!$G$2:$G247,$D$6,DATA!$B$2:$B247,D55, DATA!S$2:S247,"&lt;&gt;-")
</f>
        <v>#DIV/0!</v>
      </c>
      <c r="E59" s="107" t="str">
        <f>COUNTIFS(DATA!$D$2:$D247,$D$4,DATA!$H$2:$H247,$D$5, DATA!$G$2:$G247,$D$6,DATA!$B$2:$B247,E55, DATA!S$2:S247,C59)/
 COUNTIFS(DATA!$D$2:$D247,$D$4,DATA!$H$2:$H247,$D$5, DATA!$G$2:$G247,$D$6,DATA!$B$2:$B247,E55, DATA!S$2:S247,"&lt;&gt;-")
</f>
        <v>#DIV/0!</v>
      </c>
      <c r="F59" s="107" t="str">
        <f>COUNTIFS(DATA!$D$2:$D247,$D$4,DATA!$H$2:$H247,$D$5, DATA!$G$2:$G247,$D$6,DATA!$B$2:$B247,F55, DATA!S$2:S247,C59)/
 COUNTIFS(DATA!$D$2:$D247,$D$4,DATA!$H$2:$H247,$D$5, DATA!$G$2:$G247,$D$6,DATA!$B$2:$B247,F55, DATA!S$2:S247,"&lt;&gt;-")
</f>
        <v>#DIV/0!</v>
      </c>
      <c r="N59" s="152"/>
    </row>
    <row r="60">
      <c r="B60" s="144"/>
      <c r="C60" s="158" t="s">
        <v>361</v>
      </c>
      <c r="D60" s="159" t="str">
        <f t="shared" ref="D60:F60" si="4">SUM(D56:D59)</f>
        <v>#DIV/0!</v>
      </c>
      <c r="E60" s="159" t="str">
        <f t="shared" si="4"/>
        <v>#DIV/0!</v>
      </c>
      <c r="F60" s="159" t="str">
        <f t="shared" si="4"/>
        <v>#DIV/0!</v>
      </c>
      <c r="N60" s="152"/>
    </row>
    <row r="61">
      <c r="B61" s="144"/>
      <c r="N61" s="152"/>
    </row>
    <row r="62">
      <c r="B62" s="144"/>
      <c r="C62" s="77" t="s">
        <v>381</v>
      </c>
      <c r="N62" s="152"/>
    </row>
    <row r="63">
      <c r="B63" s="144"/>
      <c r="N63" s="152"/>
    </row>
    <row r="64">
      <c r="B64" s="144"/>
      <c r="N64" s="152"/>
    </row>
    <row r="65">
      <c r="B65" s="144"/>
      <c r="N65" s="152"/>
    </row>
    <row r="66">
      <c r="B66" s="144"/>
      <c r="N66" s="152"/>
    </row>
    <row r="67">
      <c r="B67" s="144"/>
      <c r="N67" s="152"/>
    </row>
    <row r="68">
      <c r="B68" s="144"/>
      <c r="N68" s="152"/>
    </row>
    <row r="69">
      <c r="B69" s="144"/>
      <c r="N69" s="152"/>
    </row>
    <row r="70">
      <c r="B70" s="144"/>
      <c r="D70" s="151"/>
      <c r="E70" s="151"/>
      <c r="F70" s="151"/>
      <c r="N70" s="152"/>
    </row>
    <row r="71">
      <c r="B71" s="144"/>
      <c r="C71" s="153"/>
      <c r="D71" s="151"/>
      <c r="E71" s="151"/>
      <c r="F71" s="151"/>
      <c r="N71" s="152"/>
    </row>
    <row r="72">
      <c r="B72" s="144"/>
      <c r="C72" s="153"/>
      <c r="D72" s="151"/>
      <c r="E72" s="151"/>
      <c r="F72" s="151"/>
      <c r="N72" s="152"/>
    </row>
    <row r="73">
      <c r="B73" s="144"/>
      <c r="C73" s="153"/>
      <c r="D73" s="151"/>
      <c r="E73" s="151"/>
      <c r="F73" s="151"/>
      <c r="N73" s="152"/>
    </row>
    <row r="74">
      <c r="B74" s="163"/>
      <c r="C74" s="166"/>
      <c r="D74" s="179"/>
      <c r="E74" s="179"/>
      <c r="F74" s="179"/>
      <c r="G74" s="166"/>
      <c r="H74" s="166"/>
      <c r="I74" s="166"/>
      <c r="J74" s="166"/>
      <c r="K74" s="166"/>
      <c r="L74" s="166"/>
      <c r="M74" s="166"/>
      <c r="N74" s="167"/>
    </row>
    <row r="75">
      <c r="C75" s="173"/>
      <c r="D75" s="174"/>
      <c r="E75" s="174"/>
    </row>
    <row r="76">
      <c r="C76" s="173"/>
      <c r="D76" s="174"/>
      <c r="E76" s="174"/>
    </row>
    <row r="77">
      <c r="C77" s="173"/>
      <c r="D77" s="174"/>
      <c r="E77" s="174"/>
    </row>
    <row r="78">
      <c r="C78" s="173"/>
      <c r="D78" s="174"/>
      <c r="E78" s="174"/>
    </row>
    <row r="79">
      <c r="C79" s="173"/>
      <c r="D79" s="174"/>
      <c r="E79" s="174"/>
    </row>
    <row r="80">
      <c r="C80" s="173"/>
      <c r="D80" s="174"/>
      <c r="E80" s="174"/>
    </row>
    <row r="81">
      <c r="C81" s="173"/>
      <c r="D81" s="174"/>
      <c r="E81" s="174"/>
    </row>
    <row r="82">
      <c r="C82" s="173"/>
      <c r="D82" s="174"/>
      <c r="E82" s="174"/>
    </row>
    <row r="83">
      <c r="C83" s="173"/>
      <c r="D83" s="174"/>
      <c r="E83" s="174"/>
    </row>
    <row r="84">
      <c r="C84" s="173"/>
      <c r="D84" s="174"/>
      <c r="E84" s="174"/>
    </row>
    <row r="85">
      <c r="C85" s="173"/>
      <c r="D85" s="174"/>
      <c r="E85" s="174"/>
    </row>
    <row r="86">
      <c r="C86" s="173"/>
      <c r="D86" s="174"/>
      <c r="E86" s="174"/>
    </row>
    <row r="87">
      <c r="B87" s="141"/>
      <c r="C87" s="142"/>
      <c r="D87" s="177"/>
      <c r="E87" s="177"/>
      <c r="F87" s="177"/>
      <c r="G87" s="142"/>
      <c r="H87" s="142"/>
      <c r="I87" s="142"/>
      <c r="J87" s="142"/>
      <c r="K87" s="142"/>
      <c r="L87" s="142"/>
      <c r="M87" s="142"/>
      <c r="N87" s="143" t="s">
        <v>360</v>
      </c>
    </row>
    <row r="88">
      <c r="B88" s="144"/>
      <c r="C88" s="172" t="str">
        <f>DATA!T$1</f>
        <v>#REF!</v>
      </c>
      <c r="D88" s="155"/>
      <c r="E88" s="155"/>
      <c r="F88" s="155"/>
      <c r="N88" s="147" t="str">
        <f>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"&amp;C88&amp;", datos: "&amp; crearJSONdesdeTabla(C89:F93,0)&amp;" y corresponden a la competencia "&amp;C96&amp;"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The "#REF!" error in Excel (and other spreadsheet programs) indicates that a formula refers to a cell that is no longer valid. This usually happens when:
*   **A cell or range referenced in the formula has been deleted.** For example, if your formula is `=SUM(A1:A10)` and you delete row 5, the formula might change to `=SUM(A1:A4,#REF!:A10)` or simply return `#REF!`.
*   **A cell has been moved, and the formula was not updated.**  If you cut and paste a cell that a formula depends on, the formula might not automatically adjust.
*   **A linked workbook is closed or the path has changed.** If your formula refers to a cell in another Excel file, and that file is closed, moved, or renamed, you'll get a `#REF!` error.
*   **A defined name is deleted.** If a formula uses a defined name (e.g., `=SUM(MyRange)`) and you delete the defined name "MyRange," the formula will return `#REF!`.
*   **A VBA macro is causing the error.** If you're using a custom function written in VBA, there might be an issue with the code that's causing the error.
**How to fix it:**
1.  **Identify the cell(s) with the `#REF!` error.**
2.  **Double-click the cell to see the formula.** This will show you which cell references are causing the problem.
3.  **Determine why the reference is invalid.**  Ask yourself:
    *   Was the referenced cell deleted?
    *   Was the referenced cell moved?
    *   Is the linked workbook accessible?
    *   Was a defined name deleted?
4.  **Correct the formula.**  Here are some possible solutions:
    *   **If the cell was deleted:**  Replace the `#REF!` reference with a valid cell reference.  You might need to adjust the formula to use a different cell or range.  If the deleted data is essential, you might need to undo the deletion (if possible) or re-enter the data.
    *   **If the cell was moved:**  Update the formula to point to the new location of the cell.
    *   **If the linked workbook is inaccessible:**  Open the linked workbook and make sure the path in the formula is correct.  You might need to re-establish the link.
    *   **If the defined name was deleted:**  Recreate the defined name or replace the name in the formula with the actual cell range.
    *   **If a VBA macro is causing the error:** Review the VBA code and correct any errors.
**Example:**
Let's say cell `B1` contains the formula `=A1+10`. If you then delete column `A`, cell `B1` will now display `#REF!`. To fix this, you would need to edit the formula in `B1` to refer to a valid cell, for example, `=C1+10` if you want to use the value in column `C` instead.
**Important Considerations:**
*   **Trace Error:** Excel has a "Trace Error" feature (under the "Formulas" tab) that can help you find the source of the error.
*   **Undo:** If you accidentally deleted something, try using "Undo" (Ctrl+Z) immediately.
*   **Backup:** Regularly back up your Excel files to prevent data loss.
By carefully examining the formula and the surrounding spreadsheet, you should be able to identify the cause of the `#REF!` error and correct it.
</v>
      </c>
    </row>
    <row r="89">
      <c r="B89" s="144"/>
      <c r="C89" s="156" t="s">
        <v>368</v>
      </c>
      <c r="D89" s="157">
        <v>2022.0</v>
      </c>
      <c r="E89" s="157">
        <v>2023.0</v>
      </c>
      <c r="F89" s="157">
        <v>2024.0</v>
      </c>
      <c r="N89" s="152"/>
    </row>
    <row r="90">
      <c r="B90" s="144"/>
      <c r="C90" s="77" t="s">
        <v>376</v>
      </c>
      <c r="D90" s="107" t="str">
        <f>COUNTIFS(DATA!$D$2:$D247,$D$4,DATA!$H$2:$H247,$D$5, DATA!$G$2:$G247,$D$6,DATA!$B$2:$B247,D89, DATA!T$2:T247,C90)/
 COUNTIFS(DATA!$D$2:$D247,$D$4,DATA!$H$2:$H247,$D$5, DATA!$G$2:$G247,$D$6,DATA!$B$2:$B247,D89, DATA!T$2:T247,"&lt;&gt;-")
</f>
        <v>#DIV/0!</v>
      </c>
      <c r="E90" s="107" t="str">
        <f>COUNTIFS(DATA!$D$2:$D247,$D$4,DATA!$H$2:$H247,$D$5, DATA!$G$2:$G247,$D$6,DATA!$B$2:$B247,E89, DATA!T$2:T247,C90)/
 COUNTIFS(DATA!$D$2:$D247,$D$4,DATA!$H$2:$H247,$D$5, DATA!$G$2:$G247,$D$6,DATA!$B$2:$B247,E89, DATA!T$2:T247,"&lt;&gt;-")
</f>
        <v>#DIV/0!</v>
      </c>
      <c r="F90" s="107" t="str">
        <f>COUNTIFS(DATA!$D$2:$D247,$D$4,DATA!$H$2:$H247,$D$5, DATA!$G$2:$G247,$D$6,DATA!$B$2:$B247,F89, DATA!T$2:T247,C90)/
 COUNTIFS(DATA!$D$2:$D247,$D$4,DATA!$H$2:$H247,$D$5, DATA!$G$2:$G247,$D$6,DATA!$B$2:$B247,F89, DATA!T$2:T247,"&lt;&gt;-")
</f>
        <v>#DIV/0!</v>
      </c>
      <c r="N90" s="152"/>
    </row>
    <row r="91">
      <c r="B91" s="144"/>
      <c r="C91" s="77" t="s">
        <v>377</v>
      </c>
      <c r="D91" s="107" t="str">
        <f>COUNTIFS(DATA!$D$2:$D247,$D$4,DATA!$H$2:$H247,$D$5, DATA!$G$2:$G247,$D$6,DATA!$B$2:$B247,D89, DATA!T$2:T247,C91)/
 COUNTIFS(DATA!$D$2:$D247,$D$4,DATA!$H$2:$H247,$D$5, DATA!$G$2:$G247,$D$6,DATA!$B$2:$B247,D89, DATA!T$2:T247,"&lt;&gt;-")
</f>
        <v>#DIV/0!</v>
      </c>
      <c r="E91" s="107" t="str">
        <f>COUNTIFS(DATA!$D$2:$D247,$D$4,DATA!$H$2:$H247,$D$5, DATA!$G$2:$G247,$D$6,DATA!$B$2:$B247,E89, DATA!T$2:T247,C91)/
 COUNTIFS(DATA!$D$2:$D247,$D$4,DATA!$H$2:$H247,$D$5, DATA!$G$2:$G247,$D$6,DATA!$B$2:$B247,E89, DATA!T$2:T247,"&lt;&gt;-")
</f>
        <v>#DIV/0!</v>
      </c>
      <c r="F91" s="107" t="str">
        <f>COUNTIFS(DATA!$D$2:$D247,$D$4,DATA!$H$2:$H247,$D$5, DATA!$G$2:$G247,$D$6,DATA!$B$2:$B247,F89, DATA!T$2:T247,C91)/
 COUNTIFS(DATA!$D$2:$D247,$D$4,DATA!$H$2:$H247,$D$5, DATA!$G$2:$G247,$D$6,DATA!$B$2:$B247,F89, DATA!T$2:T247,"&lt;&gt;-")
</f>
        <v>#DIV/0!</v>
      </c>
      <c r="N91" s="152"/>
    </row>
    <row r="92">
      <c r="B92" s="144"/>
      <c r="C92" s="77" t="s">
        <v>378</v>
      </c>
      <c r="D92" s="107" t="str">
        <f>COUNTIFS(DATA!$D$2:$D247,$D$4,DATA!$H$2:$H247,$D$5, DATA!$G$2:$G247,$D$6,DATA!$B$2:$B247,D89, DATA!T$2:T247,C92)/
 COUNTIFS(DATA!$D$2:$D247,$D$4,DATA!$H$2:$H247,$D$5, DATA!$G$2:$G247,$D$6,DATA!$B$2:$B247,D89, DATA!T$2:T247,"&lt;&gt;-")
</f>
        <v>#DIV/0!</v>
      </c>
      <c r="E92" s="107" t="str">
        <f>COUNTIFS(DATA!$D$2:$D247,$D$4,DATA!$H$2:$H247,$D$5, DATA!$G$2:$G247,$D$6,DATA!$B$2:$B247,E89, DATA!T$2:T247,C92)/
 COUNTIFS(DATA!$D$2:$D247,$D$4,DATA!$H$2:$H247,$D$5, DATA!$G$2:$G247,$D$6,DATA!$B$2:$B247,E89, DATA!T$2:T247,"&lt;&gt;-")
</f>
        <v>#DIV/0!</v>
      </c>
      <c r="F92" s="107" t="str">
        <f>COUNTIFS(DATA!$D$2:$D247,$D$4,DATA!$H$2:$H247,$D$5, DATA!$G$2:$G247,$D$6,DATA!$B$2:$B247,F89, DATA!T$2:T247,C92)/
 COUNTIFS(DATA!$D$2:$D247,$D$4,DATA!$H$2:$H247,$D$5, DATA!$G$2:$G247,$D$6,DATA!$B$2:$B247,F89, DATA!T$2:T247,"&lt;&gt;-")
</f>
        <v>#DIV/0!</v>
      </c>
      <c r="N92" s="152"/>
    </row>
    <row r="93">
      <c r="B93" s="144"/>
      <c r="C93" s="77" t="s">
        <v>379</v>
      </c>
      <c r="D93" s="107" t="str">
        <f>COUNTIFS(DATA!$D$2:$D247,$D$4,DATA!$H$2:$H247,$D$5, DATA!$G$2:$G247,$D$6,DATA!$B$2:$B247,D89, DATA!T$2:T247,C93)/
 COUNTIFS(DATA!$D$2:$D247,$D$4,DATA!$H$2:$H247,$D$5, DATA!$G$2:$G247,$D$6,DATA!$B$2:$B247,D89, DATA!T$2:T247,"&lt;&gt;-")
</f>
        <v>#DIV/0!</v>
      </c>
      <c r="E93" s="107" t="str">
        <f>COUNTIFS(DATA!$D$2:$D247,$D$4,DATA!$H$2:$H247,$D$5, DATA!$G$2:$G247,$D$6,DATA!$B$2:$B247,E89, DATA!T$2:T247,C93)/
 COUNTIFS(DATA!$D$2:$D247,$D$4,DATA!$H$2:$H247,$D$5, DATA!$G$2:$G247,$D$6,DATA!$B$2:$B247,E89, DATA!T$2:T247,"&lt;&gt;-")
</f>
        <v>#DIV/0!</v>
      </c>
      <c r="F93" s="107" t="str">
        <f>COUNTIFS(DATA!$D$2:$D247,$D$4,DATA!$H$2:$H247,$D$5, DATA!$G$2:$G247,$D$6,DATA!$B$2:$B247,F89, DATA!T$2:T247,C93)/
 COUNTIFS(DATA!$D$2:$D247,$D$4,DATA!$H$2:$H247,$D$5, DATA!$G$2:$G247,$D$6,DATA!$B$2:$B247,F89, DATA!T$2:T247,"&lt;&gt;-")
</f>
        <v>#DIV/0!</v>
      </c>
      <c r="N93" s="152"/>
    </row>
    <row r="94">
      <c r="B94" s="144"/>
      <c r="C94" s="158" t="s">
        <v>361</v>
      </c>
      <c r="D94" s="159" t="str">
        <f t="shared" ref="D94:F94" si="5">SUM(D90:D93)</f>
        <v>#DIV/0!</v>
      </c>
      <c r="E94" s="159" t="str">
        <f t="shared" si="5"/>
        <v>#DIV/0!</v>
      </c>
      <c r="F94" s="159" t="str">
        <f t="shared" si="5"/>
        <v>#DIV/0!</v>
      </c>
      <c r="N94" s="152"/>
    </row>
    <row r="95">
      <c r="B95" s="144"/>
      <c r="N95" s="152"/>
    </row>
    <row r="96">
      <c r="B96" s="144"/>
      <c r="C96" s="77" t="s">
        <v>382</v>
      </c>
      <c r="N96" s="152"/>
    </row>
    <row r="97">
      <c r="B97" s="144"/>
      <c r="N97" s="152"/>
    </row>
    <row r="98">
      <c r="B98" s="144"/>
      <c r="N98" s="152"/>
    </row>
    <row r="99">
      <c r="B99" s="144"/>
      <c r="N99" s="152"/>
    </row>
    <row r="100">
      <c r="B100" s="144"/>
      <c r="N100" s="152"/>
    </row>
    <row r="101">
      <c r="B101" s="144"/>
      <c r="N101" s="152"/>
    </row>
    <row r="102">
      <c r="B102" s="144"/>
      <c r="N102" s="152"/>
    </row>
    <row r="103">
      <c r="B103" s="144"/>
      <c r="N103" s="152"/>
    </row>
    <row r="104">
      <c r="B104" s="144"/>
      <c r="N104" s="152"/>
    </row>
    <row r="105">
      <c r="B105" s="144"/>
      <c r="C105" s="153"/>
      <c r="D105" s="151"/>
      <c r="E105" s="151"/>
      <c r="F105" s="151"/>
      <c r="N105" s="152"/>
    </row>
    <row r="106">
      <c r="B106" s="144"/>
      <c r="C106" s="153"/>
      <c r="D106" s="151"/>
      <c r="E106" s="151"/>
      <c r="F106" s="151"/>
      <c r="N106" s="152"/>
    </row>
    <row r="107">
      <c r="B107" s="144"/>
      <c r="C107" s="153"/>
      <c r="D107" s="151"/>
      <c r="E107" s="151"/>
      <c r="F107" s="151"/>
      <c r="N107" s="152"/>
    </row>
    <row r="108">
      <c r="B108" s="163"/>
      <c r="C108" s="166"/>
      <c r="D108" s="179"/>
      <c r="E108" s="179"/>
      <c r="F108" s="179"/>
      <c r="G108" s="166"/>
      <c r="H108" s="166"/>
      <c r="I108" s="166"/>
      <c r="J108" s="166"/>
      <c r="K108" s="166"/>
      <c r="L108" s="166"/>
      <c r="M108" s="166"/>
      <c r="N108" s="167"/>
    </row>
    <row r="109">
      <c r="C109" s="173"/>
      <c r="D109" s="174"/>
      <c r="E109" s="174"/>
    </row>
    <row r="110">
      <c r="C110" s="173"/>
      <c r="D110" s="174"/>
      <c r="E110" s="174"/>
    </row>
    <row r="111">
      <c r="B111" s="141"/>
      <c r="C111" s="142"/>
      <c r="D111" s="177"/>
      <c r="E111" s="177"/>
      <c r="F111" s="177"/>
      <c r="G111" s="142"/>
      <c r="H111" s="142"/>
      <c r="I111" s="142"/>
      <c r="J111" s="142"/>
      <c r="K111" s="142"/>
      <c r="L111" s="142"/>
      <c r="M111" s="142"/>
      <c r="N111" s="143" t="s">
        <v>360</v>
      </c>
    </row>
    <row r="112">
      <c r="B112" s="144"/>
      <c r="C112" s="172" t="str">
        <f>DATA!U$1</f>
        <v>#REF!</v>
      </c>
      <c r="D112" s="155"/>
      <c r="E112" s="155"/>
      <c r="F112" s="155"/>
      <c r="N112" s="147" t="str">
        <f>callGEMINI("Analiza los datos proporcionados, que muestran la evolución de los docentes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 crearJSONdesdeTabla(C113:F117,0)&amp;" y corresponden a la dimensión "&amp;C120&amp;"
Redacta el análisis con una narrativa y estructura similar al siguiente EJEMPLO: 
En el año 2024, los docentes de la "&amp;$D$4&amp;" mostraron una evolución en su desarrollo profesional, registrándose un 42% de docentes que se encuentran en el nivel de Logro esperado. Asimismo, este representa un aumento del 24% de docentes que mejoraron su nivel de logro comparado con el 2023 y un au"&amp;"mento del 21% comparado con el 2022.
Por otro lado, se evidencia una disminución de docentes que se encontraban en un nivel básico y en proceso (docentes que necesitan mejorar su desarrollo profesional) en un 11% y 15% respectivamente.
// El grafico es"&amp;" olo un ejemplo, debes aoptar las palabras correctas para describir el grafico, sin salir del marco del ejemplo.
// Devuelveme el análisis en texto plano, con el mismo formato del ejemplo, sin agregar más información ni texto adicional. Prioricemos el ana"&amp;"lisis del estado y la evolucón de la etiqueta 'Logro esperado' destaca su diferencia comparada con el 2023 y 2022, para ser preciso en este calculo debes tomar el porcentaje redondeado de 2024 y restarlo de los años anteriores respectivamente redondeados "&amp;"en numeros enteros porcentuales. Respecto a los valores % en tu respuesta debe estar redondeada a 0 decimales, como por ejemplo 62%)")</f>
        <v>En el año 2024, los docentes de la RER Fe y Alegría 44 - Cusco mostraron una evolución en su desarrollo profesional, registrándose un #DIV/0!% de docentes que se encuentran en el nivel de Logro esperado. Asimismo, este representa un aumento del #DIV/0!% de docentes que mejoraron su nivel de logro comparado con el 2023 y un aumento del #DIV/0!% comparado con el 2022.
Por otro lado, se evidencia una disminución de docentes que se encontraban en un nivel básico y en proceso (docentes que necesitan mejorar su desarrollo profesional) en un #DIV/0!% y #DIV/0!% respectivamente.
</v>
      </c>
    </row>
    <row r="113">
      <c r="B113" s="144"/>
      <c r="C113" s="156" t="s">
        <v>368</v>
      </c>
      <c r="D113" s="157">
        <v>2022.0</v>
      </c>
      <c r="E113" s="157">
        <v>2023.0</v>
      </c>
      <c r="F113" s="157">
        <v>2024.0</v>
      </c>
      <c r="N113" s="152"/>
    </row>
    <row r="114">
      <c r="B114" s="144"/>
      <c r="C114" s="77" t="s">
        <v>376</v>
      </c>
      <c r="D114" s="107" t="str">
        <f>COUNTIFS(DATA!$D$2:$D247,$D$4,DATA!$H$2:$H247,$D$5, DATA!$G$2:$G247,$D$6,DATA!$B$2:$B247,D113, DATA!U$2:U247,C114)/
 COUNTIFS(DATA!$D$2:$D247,$D$4,DATA!$H$2:$H247,$D$5, DATA!$G$2:$G247,$D$6,DATA!$B$2:$B247,D113, DATA!U$2:U247,"&lt;&gt;-")
</f>
        <v>#DIV/0!</v>
      </c>
      <c r="E114" s="107" t="str">
        <f>COUNTIFS(DATA!$D$2:$D247,$D$4,DATA!$H$2:$H247,$D$5, DATA!$G$2:$G247,$D$6,DATA!$B$2:$B247,E113, DATA!U$2:U247,C114)/
 COUNTIFS(DATA!$D$2:$D247,$D$4,DATA!$H$2:$H247,$D$5, DATA!$G$2:$G247,$D$6,DATA!$B$2:$B247,E113, DATA!U$2:U247,"&lt;&gt;-")
</f>
        <v>#DIV/0!</v>
      </c>
      <c r="F114" s="107" t="str">
        <f>COUNTIFS(DATA!$D$2:$D247,$D$4,DATA!$H$2:$H247,$D$5, DATA!$G$2:$G247,$D$6,DATA!$B$2:$B247,F113, DATA!U$2:U247,C114)/
 COUNTIFS(DATA!$D$2:$D247,$D$4,DATA!$H$2:$H247,$D$5, DATA!$G$2:$G247,$D$6,DATA!$B$2:$B247,F113, DATA!U$2:U247,"&lt;&gt;-")
</f>
        <v>#DIV/0!</v>
      </c>
      <c r="N114" s="152"/>
    </row>
    <row r="115">
      <c r="B115" s="144"/>
      <c r="C115" s="77" t="s">
        <v>377</v>
      </c>
      <c r="D115" s="107" t="str">
        <f>COUNTIFS(DATA!$D$2:$D247,$D$4,DATA!$H$2:$H247,$D$5, DATA!$G$2:$G247,$D$6,DATA!$B$2:$B247,D113, DATA!U$2:U247,C115)/
 COUNTIFS(DATA!$D$2:$D247,$D$4,DATA!$H$2:$H247,$D$5, DATA!$G$2:$G247,$D$6,DATA!$B$2:$B247,D113, DATA!U$2:U247,"&lt;&gt;-")
</f>
        <v>#DIV/0!</v>
      </c>
      <c r="E115" s="107" t="str">
        <f>COUNTIFS(DATA!$D$2:$D247,$D$4,DATA!$H$2:$H247,$D$5, DATA!$G$2:$G247,$D$6,DATA!$B$2:$B247,E113, DATA!U$2:U247,C115)/
 COUNTIFS(DATA!$D$2:$D247,$D$4,DATA!$H$2:$H247,$D$5, DATA!$G$2:$G247,$D$6,DATA!$B$2:$B247,E113, DATA!U$2:U247,"&lt;&gt;-")
</f>
        <v>#DIV/0!</v>
      </c>
      <c r="F115" s="107" t="str">
        <f>COUNTIFS(DATA!$D$2:$D247,$D$4,DATA!$H$2:$H247,$D$5, DATA!$G$2:$G247,$D$6,DATA!$B$2:$B247,F113, DATA!U$2:U247,C115)/
 COUNTIFS(DATA!$D$2:$D247,$D$4,DATA!$H$2:$H247,$D$5, DATA!$G$2:$G247,$D$6,DATA!$B$2:$B247,F113, DATA!U$2:U247,"&lt;&gt;-")
</f>
        <v>#DIV/0!</v>
      </c>
      <c r="N115" s="152"/>
    </row>
    <row r="116">
      <c r="B116" s="144"/>
      <c r="C116" s="77" t="s">
        <v>378</v>
      </c>
      <c r="D116" s="107" t="str">
        <f>COUNTIFS(DATA!$D$2:$D247,$D$4,DATA!$H$2:$H247,$D$5, DATA!$G$2:$G247,$D$6,DATA!$B$2:$B247,D113, DATA!U$2:U247,C116)/
 COUNTIFS(DATA!$D$2:$D247,$D$4,DATA!$H$2:$H247,$D$5, DATA!$G$2:$G247,$D$6,DATA!$B$2:$B247,D113, DATA!U$2:U247,"&lt;&gt;-")
</f>
        <v>#DIV/0!</v>
      </c>
      <c r="E116" s="107" t="str">
        <f>COUNTIFS(DATA!$D$2:$D247,$D$4,DATA!$H$2:$H247,$D$5, DATA!$G$2:$G247,$D$6,DATA!$B$2:$B247,E113, DATA!U$2:U247,C116)/
 COUNTIFS(DATA!$D$2:$D247,$D$4,DATA!$H$2:$H247,$D$5, DATA!$G$2:$G247,$D$6,DATA!$B$2:$B247,E113, DATA!U$2:U247,"&lt;&gt;-")
</f>
        <v>#DIV/0!</v>
      </c>
      <c r="F116" s="107" t="str">
        <f>COUNTIFS(DATA!$D$2:$D247,$D$4,DATA!$H$2:$H247,$D$5, DATA!$G$2:$G247,$D$6,DATA!$B$2:$B247,F113, DATA!U$2:U247,C116)/
 COUNTIFS(DATA!$D$2:$D247,$D$4,DATA!$H$2:$H247,$D$5, DATA!$G$2:$G247,$D$6,DATA!$B$2:$B247,F113, DATA!U$2:U247,"&lt;&gt;-")
</f>
        <v>#DIV/0!</v>
      </c>
      <c r="N116" s="152"/>
    </row>
    <row r="117">
      <c r="B117" s="144"/>
      <c r="C117" s="77" t="s">
        <v>379</v>
      </c>
      <c r="D117" s="107" t="str">
        <f>COUNTIFS(DATA!$D$2:$D247,$D$4,DATA!$H$2:$H247,$D$5, DATA!$G$2:$G247,$D$6,DATA!$B$2:$B247,D113, DATA!U$2:U247,C117)/
 COUNTIFS(DATA!$D$2:$D247,$D$4,DATA!$H$2:$H247,$D$5, DATA!$G$2:$G247,$D$6,DATA!$B$2:$B247,D113, DATA!U$2:U247,"&lt;&gt;-")
</f>
        <v>#DIV/0!</v>
      </c>
      <c r="E117" s="107" t="str">
        <f>COUNTIFS(DATA!$D$2:$D247,$D$4,DATA!$H$2:$H247,$D$5, DATA!$G$2:$G247,$D$6,DATA!$B$2:$B247,E113, DATA!U$2:U247,C117)/
 COUNTIFS(DATA!$D$2:$D247,$D$4,DATA!$H$2:$H247,$D$5, DATA!$G$2:$G247,$D$6,DATA!$B$2:$B247,E113, DATA!U$2:U247,"&lt;&gt;-")
</f>
        <v>#DIV/0!</v>
      </c>
      <c r="F117" s="107" t="str">
        <f>COUNTIFS(DATA!$D$2:$D247,$D$4,DATA!$H$2:$H247,$D$5, DATA!$G$2:$G247,$D$6,DATA!$B$2:$B247,F113, DATA!U$2:U247,C117)/
 COUNTIFS(DATA!$D$2:$D247,$D$4,DATA!$H$2:$H247,$D$5, DATA!$G$2:$G247,$D$6,DATA!$B$2:$B247,F113, DATA!U$2:U247,"&lt;&gt;-")
</f>
        <v>#DIV/0!</v>
      </c>
      <c r="N117" s="152"/>
    </row>
    <row r="118">
      <c r="B118" s="144"/>
      <c r="C118" s="158" t="s">
        <v>361</v>
      </c>
      <c r="D118" s="159" t="str">
        <f t="shared" ref="D118:F118" si="6">SUM(D114:D117)</f>
        <v>#DIV/0!</v>
      </c>
      <c r="E118" s="159" t="str">
        <f t="shared" si="6"/>
        <v>#DIV/0!</v>
      </c>
      <c r="F118" s="159" t="str">
        <f t="shared" si="6"/>
        <v>#DIV/0!</v>
      </c>
      <c r="N118" s="152"/>
    </row>
    <row r="119">
      <c r="B119" s="144"/>
      <c r="N119" s="152"/>
    </row>
    <row r="120">
      <c r="B120" s="144"/>
      <c r="C120" s="161" t="s">
        <v>383</v>
      </c>
      <c r="N120" s="152"/>
    </row>
    <row r="121">
      <c r="B121" s="144"/>
      <c r="N121" s="152"/>
    </row>
    <row r="122">
      <c r="B122" s="144"/>
      <c r="N122" s="152"/>
    </row>
    <row r="123">
      <c r="B123" s="144"/>
      <c r="N123" s="152"/>
    </row>
    <row r="124">
      <c r="B124" s="144"/>
      <c r="N124" s="152"/>
    </row>
    <row r="125">
      <c r="B125" s="144"/>
      <c r="N125" s="152"/>
    </row>
    <row r="126">
      <c r="B126" s="144"/>
      <c r="N126" s="152"/>
    </row>
    <row r="127">
      <c r="B127" s="144"/>
      <c r="N127" s="152"/>
    </row>
    <row r="128">
      <c r="B128" s="144"/>
      <c r="N128" s="152"/>
    </row>
    <row r="129">
      <c r="B129" s="144"/>
      <c r="N129" s="152"/>
    </row>
    <row r="130">
      <c r="B130" s="144"/>
      <c r="C130" s="153"/>
      <c r="D130" s="151"/>
      <c r="E130" s="151"/>
      <c r="F130" s="151"/>
      <c r="N130" s="167"/>
    </row>
    <row r="131">
      <c r="B131" s="144"/>
      <c r="C131" s="153"/>
      <c r="D131" s="151"/>
      <c r="E131" s="151"/>
      <c r="F131" s="151"/>
      <c r="N131" s="180"/>
    </row>
    <row r="132">
      <c r="B132" s="163"/>
      <c r="C132" s="166"/>
      <c r="D132" s="179"/>
      <c r="E132" s="179"/>
      <c r="F132" s="179"/>
      <c r="G132" s="166"/>
      <c r="H132" s="166"/>
      <c r="I132" s="166"/>
      <c r="J132" s="166"/>
      <c r="K132" s="166"/>
      <c r="L132" s="166"/>
      <c r="M132" s="166"/>
      <c r="N132" s="181"/>
    </row>
    <row r="133">
      <c r="C133" s="173"/>
      <c r="D133" s="174"/>
      <c r="E133" s="174"/>
    </row>
    <row r="134">
      <c r="C134" s="173"/>
      <c r="D134" s="174"/>
      <c r="E134" s="174"/>
    </row>
    <row r="135">
      <c r="B135" s="141"/>
      <c r="C135" s="142"/>
      <c r="D135" s="177"/>
      <c r="E135" s="177"/>
      <c r="F135" s="177"/>
      <c r="G135" s="142"/>
      <c r="H135" s="142"/>
      <c r="I135" s="142"/>
      <c r="J135" s="142"/>
      <c r="K135" s="142"/>
      <c r="L135" s="142"/>
      <c r="M135" s="142"/>
      <c r="N135" s="143" t="s">
        <v>360</v>
      </c>
    </row>
    <row r="136">
      <c r="B136" s="144"/>
      <c r="C136" s="172" t="str">
        <f>DATA!V$1</f>
        <v>#REF!</v>
      </c>
      <c r="D136" s="155"/>
      <c r="E136" s="155"/>
      <c r="F136" s="155"/>
      <c r="N136" s="147" t="str">
        <f>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"&amp;C136&amp;", datos: "&amp; crearJSONdesdeTabla(C137:F141,0)&amp;" y corresponden a la competencia "&amp;C144&amp;"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No se recibió una respuesta válida.</v>
      </c>
    </row>
    <row r="137">
      <c r="B137" s="144"/>
      <c r="C137" s="156" t="s">
        <v>368</v>
      </c>
      <c r="D137" s="157">
        <v>2022.0</v>
      </c>
      <c r="E137" s="157">
        <v>2023.0</v>
      </c>
      <c r="F137" s="157">
        <v>2024.0</v>
      </c>
      <c r="N137" s="152"/>
    </row>
    <row r="138">
      <c r="B138" s="144"/>
      <c r="C138" s="77" t="s">
        <v>376</v>
      </c>
      <c r="D138" s="107" t="str">
        <f>COUNTIFS(DATA!$D$2:$D247,$D$4,DATA!$H$2:$H247,$D$5, DATA!$G$2:$G247,$D$6,DATA!$B$2:$B247,D137, DATA!V$2:V247,C138)/
 COUNTIFS(DATA!$D$2:$D247,$D$4,DATA!$H$2:$H247,$D$5, DATA!$G$2:$G247,$D$6,DATA!$B$2:$B247,D137, DATA!V$2:V247,"&lt;&gt;-")
</f>
        <v>#DIV/0!</v>
      </c>
      <c r="E138" s="107" t="str">
        <f>COUNTIFS(DATA!$D$2:$D247,$D$4,DATA!$H$2:$H247,$D$5, DATA!$G$2:$G247,$D$6,DATA!$B$2:$B247,E137, DATA!V$2:V247,C138)/
 COUNTIFS(DATA!$D$2:$D247,$D$4,DATA!$H$2:$H247,$D$5, DATA!$G$2:$G247,$D$6,DATA!$B$2:$B247,E137, DATA!V$2:V247,"&lt;&gt;-")
</f>
        <v>#DIV/0!</v>
      </c>
      <c r="F138" s="107" t="str">
        <f>COUNTIFS(DATA!$D$2:$D247,$D$4,DATA!$H$2:$H247,$D$5, DATA!$G$2:$G247,$D$6,DATA!$B$2:$B247,F137, DATA!V$2:V247,C138)/
 COUNTIFS(DATA!$D$2:$D247,$D$4,DATA!$H$2:$H247,$D$5, DATA!$G$2:$G247,$D$6,DATA!$B$2:$B247,F137, DATA!V$2:V247,"&lt;&gt;-")
</f>
        <v>#DIV/0!</v>
      </c>
      <c r="N138" s="152"/>
    </row>
    <row r="139">
      <c r="B139" s="144"/>
      <c r="C139" s="77" t="s">
        <v>377</v>
      </c>
      <c r="D139" s="107" t="str">
        <f>COUNTIFS(DATA!$D$2:$D247,$D$4,DATA!$H$2:$H247,$D$5, DATA!$G$2:$G247,$D$6,DATA!$B$2:$B247,D137, DATA!V$2:V247,C139)/
 COUNTIFS(DATA!$D$2:$D247,$D$4,DATA!$H$2:$H247,$D$5, DATA!$G$2:$G247,$D$6,DATA!$B$2:$B247,D137, DATA!V$2:V247,"&lt;&gt;-")
</f>
        <v>#DIV/0!</v>
      </c>
      <c r="E139" s="107" t="str">
        <f>COUNTIFS(DATA!$D$2:$D247,$D$4,DATA!$H$2:$H247,$D$5, DATA!$G$2:$G247,$D$6,DATA!$B$2:$B247,E137, DATA!V$2:V247,C139)/
 COUNTIFS(DATA!$D$2:$D247,$D$4,DATA!$H$2:$H247,$D$5, DATA!$G$2:$G247,$D$6,DATA!$B$2:$B247,E137, DATA!V$2:V247,"&lt;&gt;-")
</f>
        <v>#DIV/0!</v>
      </c>
      <c r="F139" s="107" t="str">
        <f>COUNTIFS(DATA!$D$2:$D247,$D$4,DATA!$H$2:$H247,$D$5, DATA!$G$2:$G247,$D$6,DATA!$B$2:$B247,F137, DATA!V$2:V247,C139)/
 COUNTIFS(DATA!$D$2:$D247,$D$4,DATA!$H$2:$H247,$D$5, DATA!$G$2:$G247,$D$6,DATA!$B$2:$B247,F137, DATA!V$2:V247,"&lt;&gt;-")
</f>
        <v>#DIV/0!</v>
      </c>
      <c r="N139" s="152"/>
    </row>
    <row r="140">
      <c r="B140" s="144"/>
      <c r="C140" s="77" t="s">
        <v>378</v>
      </c>
      <c r="D140" s="107" t="str">
        <f>COUNTIFS(DATA!$D$2:$D247,$D$4,DATA!$H$2:$H247,$D$5, DATA!$G$2:$G247,$D$6,DATA!$B$2:$B247,D137, DATA!V$2:V247,C140)/
 COUNTIFS(DATA!$D$2:$D247,$D$4,DATA!$H$2:$H247,$D$5, DATA!$G$2:$G247,$D$6,DATA!$B$2:$B247,D137, DATA!V$2:V247,"&lt;&gt;-")
</f>
        <v>#DIV/0!</v>
      </c>
      <c r="E140" s="107" t="str">
        <f>COUNTIFS(DATA!$D$2:$D247,$D$4,DATA!$H$2:$H247,$D$5, DATA!$G$2:$G247,$D$6,DATA!$B$2:$B247,E137, DATA!V$2:V247,C140)/
 COUNTIFS(DATA!$D$2:$D247,$D$4,DATA!$H$2:$H247,$D$5, DATA!$G$2:$G247,$D$6,DATA!$B$2:$B247,E137, DATA!V$2:V247,"&lt;&gt;-")
</f>
        <v>#DIV/0!</v>
      </c>
      <c r="F140" s="107" t="str">
        <f>COUNTIFS(DATA!$D$2:$D247,$D$4,DATA!$H$2:$H247,$D$5, DATA!$G$2:$G247,$D$6,DATA!$B$2:$B247,F137, DATA!V$2:V247,C140)/
 COUNTIFS(DATA!$D$2:$D247,$D$4,DATA!$H$2:$H247,$D$5, DATA!$G$2:$G247,$D$6,DATA!$B$2:$B247,F137, DATA!V$2:V247,"&lt;&gt;-")
</f>
        <v>#DIV/0!</v>
      </c>
      <c r="N140" s="152"/>
    </row>
    <row r="141">
      <c r="B141" s="144"/>
      <c r="C141" s="77" t="s">
        <v>379</v>
      </c>
      <c r="D141" s="107" t="str">
        <f>COUNTIFS(DATA!$D$2:$D247,$D$4,DATA!$H$2:$H247,$D$5, DATA!$G$2:$G247,$D$6,DATA!$B$2:$B247,D137, DATA!V$2:V247,C141)/
 COUNTIFS(DATA!$D$2:$D247,$D$4,DATA!$H$2:$H247,$D$5, DATA!$G$2:$G247,$D$6,DATA!$B$2:$B247,D137, DATA!V$2:V247,"&lt;&gt;-")
</f>
        <v>#DIV/0!</v>
      </c>
      <c r="E141" s="107" t="str">
        <f>COUNTIFS(DATA!$D$2:$D247,$D$4,DATA!$H$2:$H247,$D$5, DATA!$G$2:$G247,$D$6,DATA!$B$2:$B247,E137, DATA!V$2:V247,C141)/
 COUNTIFS(DATA!$D$2:$D247,$D$4,DATA!$H$2:$H247,$D$5, DATA!$G$2:$G247,$D$6,DATA!$B$2:$B247,E137, DATA!V$2:V247,"&lt;&gt;-")
</f>
        <v>#DIV/0!</v>
      </c>
      <c r="F141" s="107" t="str">
        <f>COUNTIFS(DATA!$D$2:$D247,$D$4,DATA!$H$2:$H247,$D$5, DATA!$G$2:$G247,$D$6,DATA!$B$2:$B247,F137, DATA!V$2:V247,C141)/
 COUNTIFS(DATA!$D$2:$D247,$D$4,DATA!$H$2:$H247,$D$5, DATA!$G$2:$G247,$D$6,DATA!$B$2:$B247,F137, DATA!V$2:V247,"&lt;&gt;-")
</f>
        <v>#DIV/0!</v>
      </c>
      <c r="N141" s="152"/>
    </row>
    <row r="142">
      <c r="B142" s="144"/>
      <c r="C142" s="158" t="s">
        <v>361</v>
      </c>
      <c r="D142" s="159" t="str">
        <f t="shared" ref="D142:F142" si="7">SUM(D138:D141)</f>
        <v>#DIV/0!</v>
      </c>
      <c r="E142" s="159" t="str">
        <f t="shared" si="7"/>
        <v>#DIV/0!</v>
      </c>
      <c r="F142" s="159" t="str">
        <f t="shared" si="7"/>
        <v>#DIV/0!</v>
      </c>
      <c r="N142" s="152"/>
    </row>
    <row r="143">
      <c r="B143" s="144"/>
      <c r="N143" s="152"/>
    </row>
    <row r="144">
      <c r="B144" s="144"/>
      <c r="C144" s="77" t="s">
        <v>384</v>
      </c>
      <c r="N144" s="152"/>
    </row>
    <row r="145">
      <c r="B145" s="144"/>
      <c r="N145" s="152"/>
    </row>
    <row r="146">
      <c r="B146" s="144"/>
      <c r="N146" s="152"/>
    </row>
    <row r="147">
      <c r="B147" s="144"/>
      <c r="N147" s="152"/>
    </row>
    <row r="148">
      <c r="B148" s="144"/>
      <c r="N148" s="152"/>
    </row>
    <row r="149">
      <c r="B149" s="144"/>
      <c r="N149" s="152"/>
    </row>
    <row r="150">
      <c r="B150" s="144"/>
      <c r="N150" s="152"/>
    </row>
    <row r="151">
      <c r="B151" s="144"/>
      <c r="N151" s="152"/>
    </row>
    <row r="152">
      <c r="B152" s="144"/>
      <c r="N152" s="152"/>
    </row>
    <row r="153">
      <c r="B153" s="144"/>
      <c r="C153" s="153"/>
      <c r="D153" s="151"/>
      <c r="E153" s="151"/>
      <c r="F153" s="151"/>
      <c r="N153" s="152"/>
    </row>
    <row r="154">
      <c r="B154" s="144"/>
      <c r="C154" s="153"/>
      <c r="D154" s="151"/>
      <c r="E154" s="151"/>
      <c r="F154" s="151"/>
      <c r="N154" s="152"/>
    </row>
    <row r="155">
      <c r="B155" s="144"/>
      <c r="C155" s="153"/>
      <c r="D155" s="151"/>
      <c r="E155" s="151"/>
      <c r="F155" s="151"/>
      <c r="N155" s="152"/>
    </row>
    <row r="156">
      <c r="B156" s="163"/>
      <c r="C156" s="166"/>
      <c r="D156" s="179"/>
      <c r="E156" s="179"/>
      <c r="F156" s="179"/>
      <c r="G156" s="166"/>
      <c r="H156" s="166"/>
      <c r="I156" s="166"/>
      <c r="J156" s="166"/>
      <c r="K156" s="166"/>
      <c r="L156" s="166"/>
      <c r="M156" s="166"/>
      <c r="N156" s="167"/>
    </row>
    <row r="157">
      <c r="C157" s="173"/>
      <c r="D157" s="174"/>
      <c r="E157" s="174"/>
    </row>
    <row r="158">
      <c r="C158" s="173"/>
      <c r="D158" s="174"/>
      <c r="E158" s="174"/>
    </row>
    <row r="159">
      <c r="C159" s="173"/>
      <c r="D159" s="174"/>
      <c r="E159" s="174"/>
    </row>
    <row r="160">
      <c r="C160" s="173"/>
      <c r="D160" s="174"/>
      <c r="E160" s="174"/>
    </row>
    <row r="161">
      <c r="C161" s="173"/>
      <c r="D161" s="174"/>
      <c r="E161" s="174"/>
    </row>
    <row r="162">
      <c r="C162" s="173"/>
      <c r="D162" s="174"/>
      <c r="E162" s="174"/>
    </row>
    <row r="163">
      <c r="C163" s="173"/>
      <c r="D163" s="174"/>
      <c r="E163" s="174"/>
    </row>
    <row r="164">
      <c r="C164" s="173"/>
      <c r="D164" s="174"/>
      <c r="E164" s="174"/>
    </row>
    <row r="165">
      <c r="C165" s="173"/>
      <c r="D165" s="174"/>
      <c r="E165" s="174"/>
    </row>
    <row r="166">
      <c r="C166" s="173"/>
      <c r="D166" s="174"/>
      <c r="E166" s="174"/>
    </row>
    <row r="167">
      <c r="C167" s="173"/>
      <c r="D167" s="174"/>
      <c r="E167" s="174"/>
    </row>
    <row r="168">
      <c r="C168" s="173"/>
      <c r="D168" s="174"/>
      <c r="E168" s="174"/>
    </row>
    <row r="169">
      <c r="C169" s="173"/>
      <c r="D169" s="174"/>
      <c r="E169" s="174"/>
    </row>
    <row r="170">
      <c r="C170" s="173"/>
      <c r="D170" s="174"/>
      <c r="E170" s="174"/>
    </row>
    <row r="171">
      <c r="C171" s="173"/>
      <c r="D171" s="174"/>
      <c r="E171" s="174"/>
    </row>
    <row r="172">
      <c r="C172" s="173"/>
      <c r="D172" s="174"/>
      <c r="E172" s="174"/>
    </row>
    <row r="173">
      <c r="C173" s="173"/>
      <c r="D173" s="174"/>
      <c r="E173" s="174"/>
    </row>
    <row r="174">
      <c r="C174" s="173"/>
      <c r="D174" s="174"/>
      <c r="E174" s="174"/>
    </row>
    <row r="175">
      <c r="C175" s="173"/>
      <c r="D175" s="174"/>
      <c r="E175" s="174"/>
      <c r="F175" s="175"/>
    </row>
    <row r="176">
      <c r="B176" s="182"/>
      <c r="C176" s="183"/>
      <c r="D176" s="184"/>
      <c r="E176" s="184"/>
      <c r="F176" s="184"/>
      <c r="G176" s="183"/>
      <c r="H176" s="183"/>
      <c r="I176" s="183"/>
      <c r="J176" s="183"/>
      <c r="K176" s="183"/>
      <c r="L176" s="183"/>
      <c r="M176" s="183"/>
      <c r="N176" s="185" t="s">
        <v>360</v>
      </c>
    </row>
    <row r="177">
      <c r="B177" s="186"/>
      <c r="C177" s="172" t="str">
        <f>DATA!W$1</f>
        <v>#REF!</v>
      </c>
      <c r="D177" s="155"/>
      <c r="E177" s="155"/>
      <c r="F177" s="155"/>
      <c r="J177" s="78"/>
      <c r="K177" s="78"/>
      <c r="L177" s="78"/>
      <c r="M177" s="78"/>
      <c r="N177" s="147" t="str">
        <f>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"&amp;C177&amp;", datos: "&amp; crearJSONdesdeTabla(C178:F182,0)&amp;" y corresponden a la competencia "&amp;C185&amp;"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The "#REF!" error in Excel (and other spreadsheet programs) indicates that a formula refers to a cell that is no longer valid. This usually happens when:
*   **A cell or range referenced in the formula has been deleted.** For example, if your formula is `=SUM(A1:A10)` and you delete row 5, the formula might change to `=SUM(A1:A4,#REF!:A10)` or simply return `#REF!`.
*   **A cell has been moved, and the formula was not updated.**  If you cut and paste a cell that a formula depends on, the formula might not automatically adjust.
*   **A linked workbook is closed or the path has changed.** If your formula refers to a cell in another Excel file, and that file is closed, moved, or renamed, you'll get a `#REF!` error.
*   **A defined name is deleted.** If a formula uses a defined name (e.g., `=SUM(MyRange)`) and you delete the defined name "MyRange," the formula will return `#REF!`.
*   **A VBA macro is causing the error.** If you're using a custom function written in VBA, there might be an issue with the code that's causing the error.
**How to fix it:**
1.  **Identify the cell(s) with the `#REF!` error.**
2.  **Double-click the cell to see the formula.** This will show you which cell references are causing the problem.
3.  **Determine why the reference is invalid.**  Ask yourself:
    *   Was the referenced cell deleted?
    *   Was the referenced cell moved?
    *   Is the linked workbook accessible?
    *   Was a defined name deleted?
4.  **Correct the formula.**  Here are some possible solutions:
    *   **If the cell was deleted:**  Replace the `#REF!` reference with a valid cell reference.  You might need to adjust the formula to use a different cell or range.  If the deleted data is essential, you might need to undo the deletion (if possible) or re-enter the data.
    *   **If the cell was moved:**  Update the formula to point to the new location of the cell.
    *   **If the linked workbook is inaccessible:**  Open the linked workbook and make sure the path in the formula is correct.  You might need to re-establish the link.
    *   **If the defined name was deleted:**  Recreate the defined name or replace the name in the formula with the actual cell range.
    *   **If a VBA macro is causing the error:** Review the VBA code and correct any errors.
**Example:**
Let's say cell `B1` contains the formula `=A1+10`. If you then delete column `A`, cell `B1` will now display `#REF!`. To fix this, you would need to edit the formula in `B1` to refer to a valid cell, for example, `=C1+10` if you want to use the value in column `C` instead.
**Important Considerations:**
*   **Trace Error:** Excel has a "Trace Error" feature (under the "Formulas" tab) that can help you find the source of the error.
*   **Undo:** If you accidentally deleted something, try using "Undo" (Ctrl+Z) immediately.
*   **Backup:** Regularly back up your Excel files to prevent data loss.
By carefully examining the formula and the surrounding spreadsheet, you should be able to identify the cause of the `#REF!` error and correct it.
</v>
      </c>
    </row>
    <row r="178">
      <c r="B178" s="186"/>
      <c r="C178" s="156" t="s">
        <v>368</v>
      </c>
      <c r="D178" s="157">
        <v>2022.0</v>
      </c>
      <c r="E178" s="157">
        <v>2023.0</v>
      </c>
      <c r="F178" s="157">
        <v>2024.0</v>
      </c>
      <c r="J178" s="78"/>
      <c r="K178" s="78"/>
      <c r="L178" s="78"/>
      <c r="M178" s="78"/>
      <c r="N178" s="152"/>
    </row>
    <row r="179">
      <c r="B179" s="186"/>
      <c r="C179" s="77" t="s">
        <v>376</v>
      </c>
      <c r="D179" s="107" t="str">
        <f>COUNTIFS(DATA!$D$2:$D247,$D$4,DATA!$H$2:$H247,$D$5, DATA!$G$2:$G247,$D$6,DATA!$B$2:$B247,D178, DATA!W$2:W247,C179)/
 COUNTIFS(DATA!$D$2:$D247,$D$4,DATA!$H$2:$H247,$D$5, DATA!$G$2:$G247,$D$6,DATA!$B$2:$B247,D178, DATA!W$2:W247,"&lt;&gt;-")
</f>
        <v>#DIV/0!</v>
      </c>
      <c r="E179" s="107" t="str">
        <f>COUNTIFS(DATA!$D$2:$D247,$D$4,DATA!$H$2:$H247,$D$5, DATA!$G$2:$G247,$D$6,DATA!$B$2:$B247,E178, DATA!W$2:W247,C179)/
 COUNTIFS(DATA!$D$2:$D247,$D$4,DATA!$H$2:$H247,$D$5, DATA!$G$2:$G247,$D$6,DATA!$B$2:$B247,E178, DATA!W$2:W247,"&lt;&gt;-")
</f>
        <v>#DIV/0!</v>
      </c>
      <c r="F179" s="107" t="str">
        <f>COUNTIFS(DATA!$D$2:$D247,$D$4,DATA!$H$2:$H247,$D$5, DATA!$G$2:$G247,$D$6,DATA!$B$2:$B247,F178, DATA!W$2:W247,C179)/
 COUNTIFS(DATA!$D$2:$D247,$D$4,DATA!$H$2:$H247,$D$5, DATA!$G$2:$G247,$D$6,DATA!$B$2:$B247,F178, DATA!W$2:W247,"&lt;&gt;-")
</f>
        <v>#DIV/0!</v>
      </c>
      <c r="J179" s="78"/>
      <c r="K179" s="78"/>
      <c r="L179" s="78"/>
      <c r="M179" s="78"/>
      <c r="N179" s="152"/>
    </row>
    <row r="180">
      <c r="B180" s="186"/>
      <c r="C180" s="77" t="s">
        <v>377</v>
      </c>
      <c r="D180" s="107" t="str">
        <f>COUNTIFS(DATA!$D$2:$D247,$D$4,DATA!$H$2:$H247,$D$5, DATA!$G$2:$G247,$D$6,DATA!$B$2:$B247,D178, DATA!W$2:W247,C180)/
 COUNTIFS(DATA!$D$2:$D247,$D$4,DATA!$H$2:$H247,$D$5, DATA!$G$2:$G247,$D$6,DATA!$B$2:$B247,D178, DATA!W$2:W247,"&lt;&gt;-")
</f>
        <v>#DIV/0!</v>
      </c>
      <c r="E180" s="107" t="str">
        <f>COUNTIFS(DATA!$D$2:$D247,$D$4,DATA!$H$2:$H247,$D$5, DATA!$G$2:$G247,$D$6,DATA!$B$2:$B247,E178, DATA!W$2:W247,C180)/
 COUNTIFS(DATA!$D$2:$D247,$D$4,DATA!$H$2:$H247,$D$5, DATA!$G$2:$G247,$D$6,DATA!$B$2:$B247,E178, DATA!W$2:W247,"&lt;&gt;-")
</f>
        <v>#DIV/0!</v>
      </c>
      <c r="F180" s="107" t="str">
        <f>COUNTIFS(DATA!$D$2:$D247,$D$4,DATA!$H$2:$H247,$D$5, DATA!$G$2:$G247,$D$6,DATA!$B$2:$B247,F178, DATA!W$2:W247,C180)/
 COUNTIFS(DATA!$D$2:$D247,$D$4,DATA!$H$2:$H247,$D$5, DATA!$G$2:$G247,$D$6,DATA!$B$2:$B247,F178, DATA!W$2:W247,"&lt;&gt;-")
</f>
        <v>#DIV/0!</v>
      </c>
      <c r="J180" s="78"/>
      <c r="K180" s="78"/>
      <c r="L180" s="78"/>
      <c r="M180" s="78"/>
      <c r="N180" s="152"/>
    </row>
    <row r="181">
      <c r="B181" s="186"/>
      <c r="C181" s="77" t="s">
        <v>378</v>
      </c>
      <c r="D181" s="107" t="str">
        <f>COUNTIFS(DATA!$D$2:$D247,$D$4,DATA!$H$2:$H247,$D$5, DATA!$G$2:$G247,$D$6,DATA!$B$2:$B247,D178, DATA!W$2:W247,C181)/
 COUNTIFS(DATA!$D$2:$D247,$D$4,DATA!$H$2:$H247,$D$5, DATA!$G$2:$G247,$D$6,DATA!$B$2:$B247,D178, DATA!W$2:W247,"&lt;&gt;-")
</f>
        <v>#DIV/0!</v>
      </c>
      <c r="E181" s="107" t="str">
        <f>COUNTIFS(DATA!$D$2:$D247,$D$4,DATA!$H$2:$H247,$D$5, DATA!$G$2:$G247,$D$6,DATA!$B$2:$B247,E178, DATA!W$2:W247,C181)/
 COUNTIFS(DATA!$D$2:$D247,$D$4,DATA!$H$2:$H247,$D$5, DATA!$G$2:$G247,$D$6,DATA!$B$2:$B247,E178, DATA!W$2:W247,"&lt;&gt;-")
</f>
        <v>#DIV/0!</v>
      </c>
      <c r="F181" s="107" t="str">
        <f>COUNTIFS(DATA!$D$2:$D247,$D$4,DATA!$H$2:$H247,$D$5, DATA!$G$2:$G247,$D$6,DATA!$B$2:$B247,F178, DATA!W$2:W247,C181)/
 COUNTIFS(DATA!$D$2:$D247,$D$4,DATA!$H$2:$H247,$D$5, DATA!$G$2:$G247,$D$6,DATA!$B$2:$B247,F178, DATA!W$2:W247,"&lt;&gt;-")
</f>
        <v>#DIV/0!</v>
      </c>
      <c r="J181" s="78"/>
      <c r="K181" s="78"/>
      <c r="L181" s="78"/>
      <c r="M181" s="78"/>
      <c r="N181" s="152"/>
    </row>
    <row r="182">
      <c r="B182" s="186"/>
      <c r="C182" s="77" t="s">
        <v>379</v>
      </c>
      <c r="D182" s="107" t="str">
        <f>COUNTIFS(DATA!$D$2:$D247,$D$4,DATA!$H$2:$H247,$D$5, DATA!$G$2:$G247,$D$6,DATA!$B$2:$B247,D178, DATA!W$2:W247,C182)/
 COUNTIFS(DATA!$D$2:$D247,$D$4,DATA!$H$2:$H247,$D$5, DATA!$G$2:$G247,$D$6,DATA!$B$2:$B247,D178, DATA!W$2:W247,"&lt;&gt;-")
</f>
        <v>#DIV/0!</v>
      </c>
      <c r="E182" s="107" t="str">
        <f>COUNTIFS(DATA!$D$2:$D247,$D$4,DATA!$H$2:$H247,$D$5, DATA!$G$2:$G247,$D$6,DATA!$B$2:$B247,E178, DATA!W$2:W247,C182)/
 COUNTIFS(DATA!$D$2:$D247,$D$4,DATA!$H$2:$H247,$D$5, DATA!$G$2:$G247,$D$6,DATA!$B$2:$B247,E178, DATA!W$2:W247,"&lt;&gt;-")
</f>
        <v>#DIV/0!</v>
      </c>
      <c r="F182" s="107" t="str">
        <f>COUNTIFS(DATA!$D$2:$D247,$D$4,DATA!$H$2:$H247,$D$5, DATA!$G$2:$G247,$D$6,DATA!$B$2:$B247,F178, DATA!W$2:W247,C182)/
 COUNTIFS(DATA!$D$2:$D247,$D$4,DATA!$H$2:$H247,$D$5, DATA!$G$2:$G247,$D$6,DATA!$B$2:$B247,F178, DATA!W$2:W247,"&lt;&gt;-")
</f>
        <v>#DIV/0!</v>
      </c>
      <c r="J182" s="78"/>
      <c r="K182" s="78"/>
      <c r="L182" s="78"/>
      <c r="M182" s="78"/>
      <c r="N182" s="152"/>
    </row>
    <row r="183">
      <c r="B183" s="186"/>
      <c r="C183" s="158" t="s">
        <v>361</v>
      </c>
      <c r="D183" s="159" t="str">
        <f t="shared" ref="D183:F183" si="8">SUM(D179:D182)</f>
        <v>#DIV/0!</v>
      </c>
      <c r="E183" s="159" t="str">
        <f t="shared" si="8"/>
        <v>#DIV/0!</v>
      </c>
      <c r="F183" s="159" t="str">
        <f t="shared" si="8"/>
        <v>#DIV/0!</v>
      </c>
      <c r="J183" s="78"/>
      <c r="K183" s="78"/>
      <c r="L183" s="78"/>
      <c r="M183" s="78"/>
      <c r="N183" s="152"/>
    </row>
    <row r="184">
      <c r="B184" s="186"/>
      <c r="C184" s="78"/>
      <c r="D184" s="78"/>
      <c r="E184" s="78"/>
      <c r="F184" s="78"/>
      <c r="J184" s="78"/>
      <c r="K184" s="78"/>
      <c r="L184" s="78"/>
      <c r="M184" s="78"/>
      <c r="N184" s="152"/>
    </row>
    <row r="185">
      <c r="B185" s="186"/>
      <c r="C185" s="187" t="s">
        <v>385</v>
      </c>
      <c r="D185" s="188"/>
      <c r="E185" s="188"/>
      <c r="F185" s="78"/>
      <c r="J185" s="78"/>
      <c r="K185" s="78"/>
      <c r="L185" s="78"/>
      <c r="M185" s="78"/>
      <c r="N185" s="152"/>
    </row>
    <row r="186">
      <c r="B186" s="186"/>
      <c r="C186" s="78"/>
      <c r="D186" s="188"/>
      <c r="E186" s="188"/>
      <c r="F186" s="78"/>
      <c r="J186" s="78"/>
      <c r="K186" s="78"/>
      <c r="L186" s="78"/>
      <c r="M186" s="78"/>
      <c r="N186" s="152"/>
    </row>
    <row r="187">
      <c r="B187" s="186"/>
      <c r="C187" s="78"/>
      <c r="D187" s="188"/>
      <c r="E187" s="188"/>
      <c r="F187" s="78"/>
      <c r="H187" s="78"/>
      <c r="I187" s="78"/>
      <c r="J187" s="78"/>
      <c r="K187" s="78"/>
      <c r="L187" s="78"/>
      <c r="M187" s="78"/>
      <c r="N187" s="152"/>
    </row>
    <row r="188">
      <c r="B188" s="186"/>
      <c r="C188" s="78"/>
      <c r="D188" s="188"/>
      <c r="E188" s="188"/>
      <c r="F188" s="78"/>
      <c r="H188" s="78"/>
      <c r="I188" s="78"/>
      <c r="J188" s="78"/>
      <c r="K188" s="78"/>
      <c r="L188" s="78"/>
      <c r="M188" s="78"/>
      <c r="N188" s="152"/>
    </row>
    <row r="189">
      <c r="B189" s="186"/>
      <c r="C189" s="78"/>
      <c r="D189" s="188"/>
      <c r="E189" s="188"/>
      <c r="F189" s="78"/>
      <c r="H189" s="78"/>
      <c r="I189" s="78"/>
      <c r="J189" s="78"/>
      <c r="K189" s="78"/>
      <c r="L189" s="78"/>
      <c r="M189" s="78"/>
      <c r="N189" s="152"/>
    </row>
    <row r="190">
      <c r="B190" s="186"/>
      <c r="C190" s="78"/>
      <c r="D190" s="188"/>
      <c r="E190" s="188"/>
      <c r="F190" s="78"/>
      <c r="H190" s="78"/>
      <c r="I190" s="78"/>
      <c r="J190" s="78"/>
      <c r="K190" s="78"/>
      <c r="L190" s="78"/>
      <c r="M190" s="78"/>
      <c r="N190" s="152"/>
    </row>
    <row r="191">
      <c r="B191" s="186"/>
      <c r="C191" s="78"/>
      <c r="D191" s="188"/>
      <c r="E191" s="188"/>
      <c r="F191" s="78"/>
      <c r="H191" s="78"/>
      <c r="I191" s="78"/>
      <c r="J191" s="78"/>
      <c r="K191" s="78"/>
      <c r="L191" s="78"/>
      <c r="M191" s="78"/>
      <c r="N191" s="152"/>
    </row>
    <row r="192">
      <c r="B192" s="186"/>
      <c r="C192" s="78"/>
      <c r="D192" s="188"/>
      <c r="E192" s="188"/>
      <c r="F192" s="78"/>
      <c r="H192" s="78"/>
      <c r="I192" s="78"/>
      <c r="J192" s="78"/>
      <c r="K192" s="78"/>
      <c r="L192" s="78"/>
      <c r="M192" s="78"/>
      <c r="N192" s="152"/>
    </row>
    <row r="193">
      <c r="B193" s="186"/>
      <c r="C193" s="78"/>
      <c r="D193" s="188"/>
      <c r="E193" s="188"/>
      <c r="F193" s="78"/>
      <c r="H193" s="78"/>
      <c r="I193" s="78"/>
      <c r="J193" s="78"/>
      <c r="K193" s="78"/>
      <c r="L193" s="78"/>
      <c r="M193" s="78"/>
      <c r="N193" s="152"/>
    </row>
    <row r="194">
      <c r="B194" s="186"/>
      <c r="C194" s="78"/>
      <c r="D194" s="188"/>
      <c r="E194" s="188"/>
      <c r="F194" s="78"/>
      <c r="G194" s="78"/>
      <c r="H194" s="78"/>
      <c r="I194" s="78"/>
      <c r="J194" s="78"/>
      <c r="K194" s="78"/>
      <c r="L194" s="78"/>
      <c r="M194" s="78"/>
      <c r="N194" s="152"/>
    </row>
    <row r="195">
      <c r="B195" s="186"/>
      <c r="C195" s="78"/>
      <c r="D195" s="188"/>
      <c r="E195" s="188"/>
      <c r="F195" s="78"/>
      <c r="G195" s="78"/>
      <c r="H195" s="78"/>
      <c r="I195" s="78"/>
      <c r="J195" s="78"/>
      <c r="K195" s="78"/>
      <c r="L195" s="78"/>
      <c r="M195" s="78"/>
      <c r="N195" s="152"/>
    </row>
    <row r="196">
      <c r="B196" s="186"/>
      <c r="C196" s="78"/>
      <c r="D196" s="189"/>
      <c r="E196" s="189"/>
      <c r="F196" s="189"/>
      <c r="G196" s="78"/>
      <c r="H196" s="78"/>
      <c r="I196" s="78"/>
      <c r="J196" s="78"/>
      <c r="K196" s="78"/>
      <c r="L196" s="78"/>
      <c r="M196" s="78"/>
      <c r="N196" s="152"/>
    </row>
    <row r="197">
      <c r="B197" s="190"/>
      <c r="C197" s="191"/>
      <c r="D197" s="192"/>
      <c r="E197" s="192"/>
      <c r="F197" s="192"/>
      <c r="G197" s="191"/>
      <c r="H197" s="191"/>
      <c r="I197" s="191"/>
      <c r="J197" s="191"/>
      <c r="K197" s="191"/>
      <c r="L197" s="191"/>
      <c r="M197" s="191"/>
      <c r="N197" s="167"/>
    </row>
    <row r="198">
      <c r="D198" s="176"/>
      <c r="E198" s="176"/>
    </row>
    <row r="199">
      <c r="C199" s="173"/>
      <c r="D199" s="174"/>
      <c r="E199" s="174"/>
    </row>
    <row r="200">
      <c r="B200" s="182"/>
      <c r="C200" s="183"/>
      <c r="D200" s="184"/>
      <c r="E200" s="184"/>
      <c r="F200" s="184"/>
      <c r="G200" s="183"/>
      <c r="H200" s="183"/>
      <c r="I200" s="183"/>
      <c r="J200" s="183"/>
      <c r="K200" s="183"/>
      <c r="L200" s="183"/>
      <c r="M200" s="183"/>
      <c r="N200" s="185" t="s">
        <v>360</v>
      </c>
    </row>
    <row r="201">
      <c r="B201" s="186"/>
      <c r="C201" s="172" t="str">
        <f>DATA!X$1</f>
        <v>#REF!</v>
      </c>
      <c r="D201" s="155"/>
      <c r="E201" s="155"/>
      <c r="F201" s="155"/>
      <c r="H201" s="78"/>
      <c r="I201" s="78"/>
      <c r="J201" s="78"/>
      <c r="K201" s="78"/>
      <c r="L201" s="78"/>
      <c r="M201" s="78"/>
      <c r="N201" s="147" t="str">
        <f>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"&amp;C201&amp;", datos: "&amp; crearJSONdesdeTabla(C202:F206,0)&amp;" y corresponden a la competencia "&amp;C209&amp;"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No se recibió una respuesta válida.</v>
      </c>
    </row>
    <row r="202">
      <c r="B202" s="186"/>
      <c r="C202" s="156" t="s">
        <v>368</v>
      </c>
      <c r="D202" s="157">
        <v>2022.0</v>
      </c>
      <c r="E202" s="157">
        <v>2023.0</v>
      </c>
      <c r="F202" s="157">
        <v>2024.0</v>
      </c>
      <c r="H202" s="78"/>
      <c r="I202" s="78"/>
      <c r="J202" s="78"/>
      <c r="K202" s="78"/>
      <c r="L202" s="78"/>
      <c r="M202" s="78"/>
      <c r="N202" s="152"/>
    </row>
    <row r="203">
      <c r="B203" s="186"/>
      <c r="C203" s="77" t="s">
        <v>376</v>
      </c>
      <c r="D203" s="107" t="str">
        <f>COUNTIFS(DATA!$D$2:$D247,$D$4,DATA!$H$2:$H247,$D$5, DATA!$G$2:$G247,$D$6,DATA!$B$2:$B247,D202, DATA!X$2:X247,C203)/
 COUNTIFS(DATA!$D$2:$D247,$D$4,DATA!$H$2:$H247,$D$5, DATA!$G$2:$G247,$D$6,DATA!$B$2:$B247,D202, DATA!X$2:X247,"&lt;&gt;-")
</f>
        <v>#DIV/0!</v>
      </c>
      <c r="E203" s="107" t="str">
        <f>COUNTIFS(DATA!$D$2:$D247,$D$4,DATA!$H$2:$H247,$D$5, DATA!$G$2:$G247,$D$6,DATA!$B$2:$B247,E202, DATA!X$2:X247,C203)/
 COUNTIFS(DATA!$D$2:$D247,$D$4,DATA!$H$2:$H247,$D$5, DATA!$G$2:$G247,$D$6,DATA!$B$2:$B247,E202, DATA!X$2:X247,"&lt;&gt;-")
</f>
        <v>#DIV/0!</v>
      </c>
      <c r="F203" s="107" t="str">
        <f>COUNTIFS(DATA!$D$2:$D247,$D$4,DATA!$H$2:$H247,$D$5, DATA!$G$2:$G247,$D$6,DATA!$B$2:$B247,F202, DATA!X$2:X247,C203)/
 COUNTIFS(DATA!$D$2:$D247,$D$4,DATA!$H$2:$H247,$D$5, DATA!$G$2:$G247,$D$6,DATA!$B$2:$B247,F202, DATA!X$2:X247,"&lt;&gt;-")
</f>
        <v>#DIV/0!</v>
      </c>
      <c r="H203" s="78"/>
      <c r="I203" s="78"/>
      <c r="J203" s="78"/>
      <c r="K203" s="78"/>
      <c r="L203" s="78"/>
      <c r="M203" s="78"/>
      <c r="N203" s="152"/>
    </row>
    <row r="204">
      <c r="B204" s="186"/>
      <c r="C204" s="77" t="s">
        <v>377</v>
      </c>
      <c r="D204" s="107" t="str">
        <f>COUNTIFS(DATA!$D$2:$D247,$D$4,DATA!$H$2:$H247,$D$5, DATA!$G$2:$G247,$D$6,DATA!$B$2:$B247,D202, DATA!X$2:X247,C204)/
 COUNTIFS(DATA!$D$2:$D247,$D$4,DATA!$H$2:$H247,$D$5, DATA!$G$2:$G247,$D$6,DATA!$B$2:$B247,D202, DATA!X$2:X247,"&lt;&gt;-")
</f>
        <v>#DIV/0!</v>
      </c>
      <c r="E204" s="107" t="str">
        <f>COUNTIFS(DATA!$D$2:$D247,$D$4,DATA!$H$2:$H247,$D$5, DATA!$G$2:$G247,$D$6,DATA!$B$2:$B247,E202, DATA!X$2:X247,C204)/
 COUNTIFS(DATA!$D$2:$D247,$D$4,DATA!$H$2:$H247,$D$5, DATA!$G$2:$G247,$D$6,DATA!$B$2:$B247,E202, DATA!X$2:X247,"&lt;&gt;-")
</f>
        <v>#DIV/0!</v>
      </c>
      <c r="F204" s="107" t="str">
        <f>COUNTIFS(DATA!$D$2:$D247,$D$4,DATA!$H$2:$H247,$D$5, DATA!$G$2:$G247,$D$6,DATA!$B$2:$B247,F202, DATA!X$2:X247,C204)/
 COUNTIFS(DATA!$D$2:$D247,$D$4,DATA!$H$2:$H247,$D$5, DATA!$G$2:$G247,$D$6,DATA!$B$2:$B247,F202, DATA!X$2:X247,"&lt;&gt;-")
</f>
        <v>#DIV/0!</v>
      </c>
      <c r="H204" s="78"/>
      <c r="I204" s="78"/>
      <c r="J204" s="78"/>
      <c r="K204" s="78"/>
      <c r="L204" s="78"/>
      <c r="M204" s="78"/>
      <c r="N204" s="152"/>
    </row>
    <row r="205">
      <c r="B205" s="186"/>
      <c r="C205" s="77" t="s">
        <v>378</v>
      </c>
      <c r="D205" s="107" t="str">
        <f>COUNTIFS(DATA!$D$2:$D247,$D$4,DATA!$H$2:$H247,$D$5, DATA!$G$2:$G247,$D$6,DATA!$B$2:$B247,D202, DATA!X$2:X247,C205)/
 COUNTIFS(DATA!$D$2:$D247,$D$4,DATA!$H$2:$H247,$D$5, DATA!$G$2:$G247,$D$6,DATA!$B$2:$B247,D202, DATA!X$2:X247,"&lt;&gt;-")
</f>
        <v>#DIV/0!</v>
      </c>
      <c r="E205" s="107" t="str">
        <f>COUNTIFS(DATA!$D$2:$D247,$D$4,DATA!$H$2:$H247,$D$5, DATA!$G$2:$G247,$D$6,DATA!$B$2:$B247,E202, DATA!X$2:X247,C205)/
 COUNTIFS(DATA!$D$2:$D247,$D$4,DATA!$H$2:$H247,$D$5, DATA!$G$2:$G247,$D$6,DATA!$B$2:$B247,E202, DATA!X$2:X247,"&lt;&gt;-")
</f>
        <v>#DIV/0!</v>
      </c>
      <c r="F205" s="107" t="str">
        <f>COUNTIFS(DATA!$D$2:$D247,$D$4,DATA!$H$2:$H247,$D$5, DATA!$G$2:$G247,$D$6,DATA!$B$2:$B247,F202, DATA!X$2:X247,C205)/
 COUNTIFS(DATA!$D$2:$D247,$D$4,DATA!$H$2:$H247,$D$5, DATA!$G$2:$G247,$D$6,DATA!$B$2:$B247,F202, DATA!X$2:X247,"&lt;&gt;-")
</f>
        <v>#DIV/0!</v>
      </c>
      <c r="H205" s="78"/>
      <c r="I205" s="78"/>
      <c r="J205" s="78"/>
      <c r="K205" s="78"/>
      <c r="L205" s="78"/>
      <c r="M205" s="78"/>
      <c r="N205" s="152"/>
    </row>
    <row r="206">
      <c r="B206" s="186"/>
      <c r="C206" s="77" t="s">
        <v>379</v>
      </c>
      <c r="D206" s="107" t="str">
        <f>COUNTIFS(DATA!$D$2:$D247,$D$4,DATA!$H$2:$H247,$D$5, DATA!$G$2:$G247,$D$6,DATA!$B$2:$B247,D202, DATA!X$2:X247,C206)/
 COUNTIFS(DATA!$D$2:$D247,$D$4,DATA!$H$2:$H247,$D$5, DATA!$G$2:$G247,$D$6,DATA!$B$2:$B247,D202, DATA!X$2:X247,"&lt;&gt;-")
</f>
        <v>#DIV/0!</v>
      </c>
      <c r="E206" s="107" t="str">
        <f>COUNTIFS(DATA!$D$2:$D247,$D$4,DATA!$H$2:$H247,$D$5, DATA!$G$2:$G247,$D$6,DATA!$B$2:$B247,E202, DATA!X$2:X247,C206)/
 COUNTIFS(DATA!$D$2:$D247,$D$4,DATA!$H$2:$H247,$D$5, DATA!$G$2:$G247,$D$6,DATA!$B$2:$B247,E202, DATA!X$2:X247,"&lt;&gt;-")
</f>
        <v>#DIV/0!</v>
      </c>
      <c r="F206" s="107" t="str">
        <f>COUNTIFS(DATA!$D$2:$D247,$D$4,DATA!$H$2:$H247,$D$5, DATA!$G$2:$G247,$D$6,DATA!$B$2:$B247,F202, DATA!X$2:X247,C206)/
 COUNTIFS(DATA!$D$2:$D247,$D$4,DATA!$H$2:$H247,$D$5, DATA!$G$2:$G247,$D$6,DATA!$B$2:$B247,F202, DATA!X$2:X247,"&lt;&gt;-")
</f>
        <v>#DIV/0!</v>
      </c>
      <c r="H206" s="78"/>
      <c r="I206" s="78"/>
      <c r="J206" s="78"/>
      <c r="K206" s="78"/>
      <c r="L206" s="78"/>
      <c r="M206" s="78"/>
      <c r="N206" s="152"/>
    </row>
    <row r="207">
      <c r="B207" s="186"/>
      <c r="C207" s="158" t="s">
        <v>361</v>
      </c>
      <c r="D207" s="159" t="str">
        <f t="shared" ref="D207:F207" si="9">SUM(D203:D206)</f>
        <v>#DIV/0!</v>
      </c>
      <c r="E207" s="159" t="str">
        <f t="shared" si="9"/>
        <v>#DIV/0!</v>
      </c>
      <c r="F207" s="159" t="str">
        <f t="shared" si="9"/>
        <v>#DIV/0!</v>
      </c>
      <c r="H207" s="78"/>
      <c r="I207" s="78"/>
      <c r="J207" s="78"/>
      <c r="K207" s="78"/>
      <c r="L207" s="78"/>
      <c r="M207" s="78"/>
      <c r="N207" s="152"/>
    </row>
    <row r="208">
      <c r="B208" s="186"/>
      <c r="C208" s="78"/>
      <c r="D208" s="78"/>
      <c r="E208" s="78"/>
      <c r="F208" s="78"/>
      <c r="H208" s="78"/>
      <c r="I208" s="78"/>
      <c r="J208" s="78"/>
      <c r="K208" s="78"/>
      <c r="L208" s="78"/>
      <c r="M208" s="78"/>
      <c r="N208" s="152"/>
    </row>
    <row r="209">
      <c r="B209" s="186"/>
      <c r="C209" s="187" t="s">
        <v>386</v>
      </c>
      <c r="D209" s="78"/>
      <c r="E209" s="78"/>
      <c r="F209" s="78"/>
      <c r="H209" s="78"/>
      <c r="I209" s="78"/>
      <c r="J209" s="78"/>
      <c r="K209" s="78"/>
      <c r="L209" s="78"/>
      <c r="M209" s="78"/>
      <c r="N209" s="152"/>
    </row>
    <row r="210">
      <c r="B210" s="186"/>
      <c r="C210" s="78"/>
      <c r="D210" s="78"/>
      <c r="E210" s="78"/>
      <c r="F210" s="78"/>
      <c r="H210" s="78"/>
      <c r="I210" s="78"/>
      <c r="J210" s="78"/>
      <c r="K210" s="78"/>
      <c r="L210" s="78"/>
      <c r="M210" s="78"/>
      <c r="N210" s="152"/>
    </row>
    <row r="211">
      <c r="B211" s="186"/>
      <c r="C211" s="78"/>
      <c r="D211" s="78"/>
      <c r="E211" s="78"/>
      <c r="F211" s="78"/>
      <c r="H211" s="78"/>
      <c r="I211" s="78"/>
      <c r="J211" s="78"/>
      <c r="K211" s="78"/>
      <c r="L211" s="78"/>
      <c r="M211" s="78"/>
      <c r="N211" s="152"/>
    </row>
    <row r="212">
      <c r="B212" s="186"/>
      <c r="C212" s="78"/>
      <c r="D212" s="78"/>
      <c r="E212" s="78"/>
      <c r="F212" s="78"/>
      <c r="H212" s="78"/>
      <c r="I212" s="78"/>
      <c r="J212" s="78"/>
      <c r="K212" s="78"/>
      <c r="L212" s="78"/>
      <c r="M212" s="78"/>
      <c r="N212" s="152"/>
    </row>
    <row r="213">
      <c r="B213" s="186"/>
      <c r="C213" s="78"/>
      <c r="D213" s="78"/>
      <c r="E213" s="78"/>
      <c r="F213" s="78"/>
      <c r="H213" s="78"/>
      <c r="I213" s="78"/>
      <c r="J213" s="78"/>
      <c r="K213" s="78"/>
      <c r="L213" s="78"/>
      <c r="M213" s="78"/>
      <c r="N213" s="152"/>
    </row>
    <row r="214">
      <c r="B214" s="186"/>
      <c r="C214" s="78"/>
      <c r="D214" s="78"/>
      <c r="E214" s="78"/>
      <c r="F214" s="78"/>
      <c r="H214" s="78"/>
      <c r="I214" s="78"/>
      <c r="J214" s="78"/>
      <c r="K214" s="78"/>
      <c r="L214" s="78"/>
      <c r="M214" s="78"/>
      <c r="N214" s="152"/>
    </row>
    <row r="215">
      <c r="B215" s="186"/>
      <c r="C215" s="78"/>
      <c r="D215" s="78"/>
      <c r="E215" s="78"/>
      <c r="F215" s="78"/>
      <c r="H215" s="78"/>
      <c r="I215" s="78"/>
      <c r="J215" s="78"/>
      <c r="K215" s="78"/>
      <c r="L215" s="78"/>
      <c r="M215" s="78"/>
      <c r="N215" s="152"/>
    </row>
    <row r="216">
      <c r="B216" s="186"/>
      <c r="C216" s="78"/>
      <c r="D216" s="78"/>
      <c r="E216" s="78"/>
      <c r="F216" s="78"/>
      <c r="H216" s="78"/>
      <c r="I216" s="78"/>
      <c r="J216" s="78"/>
      <c r="K216" s="78"/>
      <c r="L216" s="78"/>
      <c r="M216" s="78"/>
      <c r="N216" s="152"/>
    </row>
    <row r="217">
      <c r="B217" s="186"/>
      <c r="C217" s="78"/>
      <c r="D217" s="78"/>
      <c r="E217" s="78"/>
      <c r="F217" s="78"/>
      <c r="G217" s="78"/>
      <c r="H217" s="78"/>
      <c r="I217" s="78"/>
      <c r="J217" s="78"/>
      <c r="K217" s="78"/>
      <c r="L217" s="78"/>
      <c r="M217" s="78"/>
      <c r="N217" s="152"/>
    </row>
    <row r="218">
      <c r="B218" s="186"/>
      <c r="C218" s="78"/>
      <c r="D218" s="189"/>
      <c r="E218" s="189"/>
      <c r="F218" s="189"/>
      <c r="G218" s="78"/>
      <c r="H218" s="78"/>
      <c r="I218" s="78"/>
      <c r="J218" s="78"/>
      <c r="K218" s="78"/>
      <c r="L218" s="78"/>
      <c r="M218" s="78"/>
      <c r="N218" s="152"/>
    </row>
    <row r="219">
      <c r="B219" s="186"/>
      <c r="C219" s="78"/>
      <c r="D219" s="189"/>
      <c r="E219" s="189"/>
      <c r="F219" s="189"/>
      <c r="G219" s="78"/>
      <c r="H219" s="78"/>
      <c r="I219" s="78"/>
      <c r="J219" s="78"/>
      <c r="K219" s="78"/>
      <c r="L219" s="78"/>
      <c r="M219" s="78"/>
      <c r="N219" s="152"/>
    </row>
    <row r="220">
      <c r="B220" s="186"/>
      <c r="C220" s="78"/>
      <c r="D220" s="189"/>
      <c r="E220" s="189"/>
      <c r="F220" s="189"/>
      <c r="G220" s="78"/>
      <c r="H220" s="78"/>
      <c r="I220" s="78"/>
      <c r="J220" s="78"/>
      <c r="K220" s="78"/>
      <c r="L220" s="78"/>
      <c r="M220" s="78"/>
      <c r="N220" s="152"/>
    </row>
    <row r="221">
      <c r="B221" s="190"/>
      <c r="C221" s="191"/>
      <c r="D221" s="192"/>
      <c r="E221" s="192"/>
      <c r="F221" s="192"/>
      <c r="G221" s="191"/>
      <c r="H221" s="191"/>
      <c r="I221" s="191"/>
      <c r="J221" s="191"/>
      <c r="K221" s="191"/>
      <c r="L221" s="191"/>
      <c r="M221" s="191"/>
      <c r="N221" s="167"/>
    </row>
    <row r="224">
      <c r="B224" s="182"/>
      <c r="C224" s="183"/>
      <c r="D224" s="183"/>
      <c r="E224" s="183"/>
      <c r="F224" s="183"/>
      <c r="G224" s="183"/>
      <c r="H224" s="183"/>
      <c r="I224" s="183"/>
      <c r="J224" s="183"/>
      <c r="K224" s="183"/>
      <c r="L224" s="183"/>
      <c r="M224" s="183"/>
      <c r="N224" s="185" t="s">
        <v>360</v>
      </c>
    </row>
    <row r="225">
      <c r="B225" s="186"/>
      <c r="C225" s="193" t="str">
        <f>DATA!Y$1</f>
        <v>#REF!</v>
      </c>
      <c r="D225" s="194"/>
      <c r="E225" s="194"/>
      <c r="F225" s="194"/>
      <c r="J225" s="78"/>
      <c r="K225" s="78"/>
      <c r="L225" s="78"/>
      <c r="M225" s="78"/>
      <c r="N225" s="147" t="str">
        <f>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"&amp;C225&amp;", datos: "&amp; crearJSONdesdeTabla(C226:F230,0)&amp;" y corresponden a la competencia "&amp;C233&amp;"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The "#REF!" error in Excel (and other spreadsheet programs) indicates that a formula refers to a cell that is no longer valid. This usually happens when:
*   **A cell or range referenced in the formula has been deleted.** For example, if your formula is `=SUM(A1:A10)` and you delete row 5, the formula might change to `=SUM(A1:A4,#REF!:A10)` or simply return `#REF!`.
*   **A cell has been moved, and the formula was not updated.**  If you cut and paste a cell that a formula depends on, the formula might not automatically adjust.
*   **A linked workbook is closed or the path has changed.** If your formula refers to a cell in another Excel file, and that file is closed, moved, or renamed, you'll get a `#REF!` error.
*   **A defined name is deleted.** If a formula uses a defined name (e.g., `=SUM(MyRange)`) and you delete the defined name "MyRange," the formula will return `#REF!`.
*   **A VBA macro is causing the error.** If you're using a custom function written in VBA, there might be an issue with the code that's causing the error.
**How to fix it:**
1.  **Identify the cell(s) with the `#REF!` error.**
2.  **Double-click the cell to see the formula.** This will show you which cell references are causing the problem.
3.  **Determine why the reference is invalid.**  Ask yourself:
    *   Was the referenced cell deleted?
    *   Was the referenced cell moved?
    *   Is the linked workbook accessible?
    *   Was a defined name deleted?
4.  **Correct the formula.**  Here are some possible solutions:
    *   **If the cell was deleted:**  Replace the `#REF!` reference with a valid cell reference.  You might need to adjust the formula to use a different cell or range.  If the deleted data is essential, you might need to undo the deletion (if possible) or re-enter the data.
    *   **If the cell was moved:**  Update the formula to point to the new location of the cell.
    *   **If the linked workbook is inaccessible:**  Open the linked workbook and make sure the path in the formula is correct.  You might need to re-establish the link.
    *   **If the defined name was deleted:**  Recreate the defined name or replace the name in the formula with the actual cell range.
    *   **If a VBA macro is causing the error:** Review the VBA code and correct any errors.
**Example:**
Let's say cell `B1` contains the formula `=A1+10`. If you then delete column `A`, cell `B1` will now display `#REF!`. To fix this, you would need to edit the formula in `B1` to refer to a valid cell, for example, `=C1+10` if you want to use the value in column `C` instead.
**Important Considerations:**
*   **Trace Error:** Excel has a "Trace Error" feature (under the "Formulas" tab) that can help you find the source of the error.
*   **Undo:** If you accidentally deleted something, try using "Undo" (Ctrl+Z) immediately.
*   **Backup:** Regularly back up your Excel files to prevent data loss.
By carefully examining the formula and the surrounding spreadsheet, you should be able to identify the cause of the `#REF!` error and correct it.
</v>
      </c>
    </row>
    <row r="226">
      <c r="B226" s="186"/>
      <c r="C226" s="156" t="s">
        <v>368</v>
      </c>
      <c r="D226" s="157">
        <v>2022.0</v>
      </c>
      <c r="E226" s="157">
        <v>2023.0</v>
      </c>
      <c r="F226" s="157">
        <v>2024.0</v>
      </c>
      <c r="J226" s="78"/>
      <c r="K226" s="78"/>
      <c r="L226" s="78"/>
      <c r="M226" s="78"/>
      <c r="N226" s="152"/>
    </row>
    <row r="227">
      <c r="B227" s="186"/>
      <c r="C227" s="188" t="s">
        <v>376</v>
      </c>
      <c r="D227" s="195" t="str">
        <f>COUNTIFS(DATA!$D$2:$D247,$D$4,DATA!$H$2:$H247,$D$5, DATA!$G$2:$G247,$D$6,DATA!$B$2:$B247,D226, DATA!Y$2:Y247,C227)/
 COUNTIFS(DATA!$D$2:$D247,$D$4,DATA!$H$2:$H247,$D$5, DATA!$G$2:$G247,$D$6,DATA!$B$2:$B247,D226, DATA!Y$2:Y247,"&lt;&gt;-")
</f>
        <v>#DIV/0!</v>
      </c>
      <c r="E227" s="195" t="str">
        <f>COUNTIFS(DATA!$D$2:$D247,$D$4,DATA!$H$2:$H247,$D$5, DATA!$G$2:$G247,$D$6,DATA!$B$2:$B247,E226, DATA!Y$2:Y247,C227)/
 COUNTIFS(DATA!$D$2:$D247,$D$4,DATA!$H$2:$H247,$D$5, DATA!$G$2:$G247,$D$6,DATA!$B$2:$B247,E226, DATA!Y$2:Y247,"&lt;&gt;-")
</f>
        <v>#DIV/0!</v>
      </c>
      <c r="F227" s="195" t="str">
        <f>COUNTIFS(DATA!$D$2:$D247,$D$4,DATA!$H$2:$H247,$D$5, DATA!$G$2:$G247,$D$6,DATA!$B$2:$B247,F226, DATA!Y$2:Y247,C227)/
 COUNTIFS(DATA!$D$2:$D247,$D$4,DATA!$H$2:$H247,$D$5, DATA!$G$2:$G247,$D$6,DATA!$B$2:$B247,F226, DATA!Y$2:Y247,"&lt;&gt;-")
</f>
        <v>#DIV/0!</v>
      </c>
      <c r="J227" s="78"/>
      <c r="K227" s="78"/>
      <c r="L227" s="78"/>
      <c r="M227" s="78"/>
      <c r="N227" s="152"/>
    </row>
    <row r="228">
      <c r="B228" s="186"/>
      <c r="C228" s="188" t="s">
        <v>377</v>
      </c>
      <c r="D228" s="195" t="str">
        <f>COUNTIFS(DATA!$D$2:$D247,$D$4,DATA!$H$2:$H247,$D$5, DATA!$G$2:$G247,$D$6,DATA!$B$2:$B247,D226, DATA!Y$2:Y247,C228)/
 COUNTIFS(DATA!$D$2:$D247,$D$4,DATA!$H$2:$H247,$D$5, DATA!$G$2:$G247,$D$6,DATA!$B$2:$B247,D226, DATA!Y$2:Y247,"&lt;&gt;-")
</f>
        <v>#DIV/0!</v>
      </c>
      <c r="E228" s="195" t="str">
        <f>COUNTIFS(DATA!$D$2:$D247,$D$4,DATA!$H$2:$H247,$D$5, DATA!$G$2:$G247,$D$6,DATA!$B$2:$B247,E226, DATA!Y$2:Y247,C228)/
 COUNTIFS(DATA!$D$2:$D247,$D$4,DATA!$H$2:$H247,$D$5, DATA!$G$2:$G247,$D$6,DATA!$B$2:$B247,E226, DATA!Y$2:Y247,"&lt;&gt;-")
</f>
        <v>#DIV/0!</v>
      </c>
      <c r="F228" s="195" t="str">
        <f>COUNTIFS(DATA!$D$2:$D247,$D$4,DATA!$H$2:$H247,$D$5, DATA!$G$2:$G247,$D$6,DATA!$B$2:$B247,F226, DATA!Y$2:Y247,C228)/
 COUNTIFS(DATA!$D$2:$D247,$D$4,DATA!$H$2:$H247,$D$5, DATA!$G$2:$G247,$D$6,DATA!$B$2:$B247,F226, DATA!Y$2:Y247,"&lt;&gt;-")
</f>
        <v>#DIV/0!</v>
      </c>
      <c r="J228" s="78"/>
      <c r="K228" s="78"/>
      <c r="L228" s="78"/>
      <c r="M228" s="78"/>
      <c r="N228" s="152"/>
    </row>
    <row r="229">
      <c r="B229" s="186"/>
      <c r="C229" s="188" t="s">
        <v>378</v>
      </c>
      <c r="D229" s="195" t="str">
        <f>COUNTIFS(DATA!$D$2:$D247,$D$4,DATA!$H$2:$H247,$D$5, DATA!$G$2:$G247,$D$6,DATA!$B$2:$B247,D226, DATA!Y$2:Y247,C229)/
 COUNTIFS(DATA!$D$2:$D247,$D$4,DATA!$H$2:$H247,$D$5, DATA!$G$2:$G247,$D$6,DATA!$B$2:$B247,D226, DATA!Y$2:Y247,"&lt;&gt;-")
</f>
        <v>#DIV/0!</v>
      </c>
      <c r="E229" s="195" t="str">
        <f>COUNTIFS(DATA!$D$2:$D247,$D$4,DATA!$H$2:$H247,$D$5, DATA!$G$2:$G247,$D$6,DATA!$B$2:$B247,E226, DATA!Y$2:Y247,C229)/
 COUNTIFS(DATA!$D$2:$D247,$D$4,DATA!$H$2:$H247,$D$5, DATA!$G$2:$G247,$D$6,DATA!$B$2:$B247,E226, DATA!Y$2:Y247,"&lt;&gt;-")
</f>
        <v>#DIV/0!</v>
      </c>
      <c r="F229" s="195" t="str">
        <f>COUNTIFS(DATA!$D$2:$D247,$D$4,DATA!$H$2:$H247,$D$5, DATA!$G$2:$G247,$D$6,DATA!$B$2:$B247,F226, DATA!Y$2:Y247,C229)/
 COUNTIFS(DATA!$D$2:$D247,$D$4,DATA!$H$2:$H247,$D$5, DATA!$G$2:$G247,$D$6,DATA!$B$2:$B247,F226, DATA!Y$2:Y247,"&lt;&gt;-")
</f>
        <v>#DIV/0!</v>
      </c>
      <c r="J229" s="78"/>
      <c r="K229" s="78"/>
      <c r="L229" s="78"/>
      <c r="M229" s="78"/>
      <c r="N229" s="152"/>
    </row>
    <row r="230">
      <c r="B230" s="186"/>
      <c r="C230" s="188" t="s">
        <v>379</v>
      </c>
      <c r="D230" s="195" t="str">
        <f>COUNTIFS(DATA!$D$2:$D247,$D$4,DATA!$H$2:$H247,$D$5, DATA!$G$2:$G247,$D$6,DATA!$B$2:$B247,D226, DATA!Y$2:Y247,C230)/
 COUNTIFS(DATA!$D$2:$D247,$D$4,DATA!$H$2:$H247,$D$5, DATA!$G$2:$G247,$D$6,DATA!$B$2:$B247,D226, DATA!Y$2:Y247,"&lt;&gt;-")
</f>
        <v>#DIV/0!</v>
      </c>
      <c r="E230" s="195" t="str">
        <f>COUNTIFS(DATA!$D$2:$D247,$D$4,DATA!$H$2:$H247,$D$5, DATA!$G$2:$G247,$D$6,DATA!$B$2:$B247,E226, DATA!Y$2:Y247,C230)/
 COUNTIFS(DATA!$D$2:$D247,$D$4,DATA!$H$2:$H247,$D$5, DATA!$G$2:$G247,$D$6,DATA!$B$2:$B247,E226, DATA!Y$2:Y247,"&lt;&gt;-")
</f>
        <v>#DIV/0!</v>
      </c>
      <c r="F230" s="195" t="str">
        <f>COUNTIFS(DATA!$D$2:$D247,$D$4,DATA!$H$2:$H247,$D$5, DATA!$G$2:$G247,$D$6,DATA!$B$2:$B247,F226, DATA!Y$2:Y247,C230)/
 COUNTIFS(DATA!$D$2:$D247,$D$4,DATA!$H$2:$H247,$D$5, DATA!$G$2:$G247,$D$6,DATA!$B$2:$B247,F226, DATA!Y$2:Y247,"&lt;&gt;-")
</f>
        <v>#DIV/0!</v>
      </c>
      <c r="J230" s="78"/>
      <c r="K230" s="78"/>
      <c r="L230" s="78"/>
      <c r="M230" s="78"/>
      <c r="N230" s="152"/>
    </row>
    <row r="231">
      <c r="B231" s="186"/>
      <c r="C231" s="196" t="s">
        <v>361</v>
      </c>
      <c r="D231" s="197" t="str">
        <f t="shared" ref="D231:F231" si="10">SUM(D227:D230)</f>
        <v>#DIV/0!</v>
      </c>
      <c r="E231" s="197" t="str">
        <f t="shared" si="10"/>
        <v>#DIV/0!</v>
      </c>
      <c r="F231" s="197" t="str">
        <f t="shared" si="10"/>
        <v>#DIV/0!</v>
      </c>
      <c r="J231" s="78"/>
      <c r="K231" s="78"/>
      <c r="L231" s="78"/>
      <c r="M231" s="78"/>
      <c r="N231" s="152"/>
    </row>
    <row r="232">
      <c r="B232" s="186"/>
      <c r="J232" s="78"/>
      <c r="K232" s="78"/>
      <c r="L232" s="78"/>
      <c r="M232" s="78"/>
      <c r="N232" s="152"/>
    </row>
    <row r="233">
      <c r="B233" s="186"/>
      <c r="C233" s="77" t="s">
        <v>387</v>
      </c>
      <c r="J233" s="78"/>
      <c r="K233" s="78"/>
      <c r="L233" s="78"/>
      <c r="M233" s="78"/>
      <c r="N233" s="152"/>
    </row>
    <row r="234">
      <c r="B234" s="186"/>
      <c r="J234" s="78"/>
      <c r="K234" s="78"/>
      <c r="L234" s="78"/>
      <c r="M234" s="78"/>
      <c r="N234" s="152"/>
    </row>
    <row r="235">
      <c r="B235" s="186"/>
      <c r="H235" s="78"/>
      <c r="I235" s="78"/>
      <c r="J235" s="78"/>
      <c r="K235" s="78"/>
      <c r="L235" s="78"/>
      <c r="M235" s="78"/>
      <c r="N235" s="152"/>
    </row>
    <row r="236">
      <c r="B236" s="186"/>
      <c r="H236" s="78"/>
      <c r="I236" s="78"/>
      <c r="J236" s="78"/>
      <c r="K236" s="78"/>
      <c r="L236" s="78"/>
      <c r="M236" s="78"/>
      <c r="N236" s="152"/>
    </row>
    <row r="237">
      <c r="B237" s="186"/>
      <c r="H237" s="78"/>
      <c r="I237" s="78"/>
      <c r="J237" s="78"/>
      <c r="K237" s="78"/>
      <c r="L237" s="78"/>
      <c r="M237" s="78"/>
      <c r="N237" s="152"/>
    </row>
    <row r="238">
      <c r="B238" s="186"/>
      <c r="H238" s="78"/>
      <c r="I238" s="78"/>
      <c r="J238" s="78"/>
      <c r="K238" s="78"/>
      <c r="L238" s="78"/>
      <c r="M238" s="78"/>
      <c r="N238" s="152"/>
    </row>
    <row r="239">
      <c r="B239" s="186"/>
      <c r="H239" s="78"/>
      <c r="I239" s="78"/>
      <c r="J239" s="78"/>
      <c r="K239" s="78"/>
      <c r="L239" s="78"/>
      <c r="M239" s="78"/>
      <c r="N239" s="152"/>
    </row>
    <row r="240">
      <c r="B240" s="186"/>
      <c r="H240" s="78"/>
      <c r="I240" s="78"/>
      <c r="J240" s="78"/>
      <c r="K240" s="78"/>
      <c r="L240" s="78"/>
      <c r="M240" s="78"/>
      <c r="N240" s="152"/>
    </row>
    <row r="241">
      <c r="B241" s="186"/>
      <c r="G241" s="78"/>
      <c r="H241" s="78"/>
      <c r="I241" s="78"/>
      <c r="J241" s="78"/>
      <c r="K241" s="78"/>
      <c r="L241" s="78"/>
      <c r="M241" s="78"/>
      <c r="N241" s="152"/>
    </row>
    <row r="242">
      <c r="B242" s="186"/>
      <c r="C242" s="78"/>
      <c r="D242" s="189"/>
      <c r="E242" s="189"/>
      <c r="F242" s="189"/>
      <c r="G242" s="78"/>
      <c r="H242" s="78"/>
      <c r="I242" s="78"/>
      <c r="J242" s="78"/>
      <c r="K242" s="78"/>
      <c r="L242" s="78"/>
      <c r="M242" s="78"/>
      <c r="N242" s="152"/>
    </row>
    <row r="243">
      <c r="B243" s="186"/>
      <c r="C243" s="78"/>
      <c r="D243" s="189"/>
      <c r="E243" s="189"/>
      <c r="F243" s="189"/>
      <c r="G243" s="78"/>
      <c r="H243" s="78"/>
      <c r="I243" s="78"/>
      <c r="J243" s="78"/>
      <c r="K243" s="78"/>
      <c r="L243" s="78"/>
      <c r="M243" s="78"/>
      <c r="N243" s="152"/>
    </row>
    <row r="244">
      <c r="B244" s="186"/>
      <c r="C244" s="78"/>
      <c r="D244" s="189"/>
      <c r="E244" s="189"/>
      <c r="F244" s="189"/>
      <c r="G244" s="78"/>
      <c r="H244" s="78"/>
      <c r="I244" s="78"/>
      <c r="J244" s="78"/>
      <c r="K244" s="78"/>
      <c r="L244" s="78"/>
      <c r="M244" s="78"/>
      <c r="N244" s="152"/>
    </row>
    <row r="245">
      <c r="B245" s="190"/>
      <c r="C245" s="191"/>
      <c r="D245" s="192"/>
      <c r="E245" s="192"/>
      <c r="F245" s="192"/>
      <c r="G245" s="191"/>
      <c r="H245" s="191"/>
      <c r="I245" s="191"/>
      <c r="J245" s="191"/>
      <c r="K245" s="191"/>
      <c r="L245" s="191"/>
      <c r="M245" s="191"/>
      <c r="N245" s="167"/>
    </row>
  </sheetData>
  <mergeCells count="12">
    <mergeCell ref="N112:N130"/>
    <mergeCell ref="N136:N156"/>
    <mergeCell ref="N177:N197"/>
    <mergeCell ref="N201:N221"/>
    <mergeCell ref="N225:N245"/>
    <mergeCell ref="D4:E4"/>
    <mergeCell ref="D5:E5"/>
    <mergeCell ref="D6:E6"/>
    <mergeCell ref="N11:N29"/>
    <mergeCell ref="N32:N50"/>
    <mergeCell ref="N54:N74"/>
    <mergeCell ref="N88:N108"/>
  </mergeCells>
  <dataValidations>
    <dataValidation type="list" allowBlank="1" showErrorMessage="1" sqref="D4">
      <formula1>nombres!$J$4:$J$22</formula1>
    </dataValidation>
    <dataValidation type="list" allowBlank="1" showErrorMessage="1" sqref="D6">
      <formula1>"*,Masculino,Femenino"</formula1>
    </dataValidation>
    <dataValidation type="list" allowBlank="1" showErrorMessage="1" sqref="D5">
      <formula1>"*Primaria*,*Secundaria*,*"</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88"/>
    <col customWidth="1" min="3" max="4" width="8.25"/>
    <col customWidth="1" min="5" max="5" width="5.63"/>
    <col customWidth="1" min="6" max="6" width="18.88"/>
    <col customWidth="1" min="7" max="8" width="8.25"/>
    <col customWidth="1" min="9" max="9" width="9.88"/>
    <col customWidth="1" min="10" max="10" width="18.88"/>
    <col customWidth="1" min="11" max="12" width="8.25"/>
    <col customWidth="1" min="13" max="13" width="5.63"/>
    <col customWidth="1" min="14" max="14" width="18.88"/>
    <col customWidth="1" min="15" max="16" width="8.25"/>
  </cols>
  <sheetData>
    <row r="1">
      <c r="B1" s="77" t="s">
        <v>388</v>
      </c>
      <c r="C1" s="198">
        <v>2024.0</v>
      </c>
    </row>
    <row r="2">
      <c r="E2" s="199"/>
      <c r="F2" s="199"/>
      <c r="G2" s="199"/>
      <c r="H2" s="199"/>
      <c r="I2" s="199"/>
    </row>
    <row r="3" hidden="1">
      <c r="B3" s="200" t="s">
        <v>389</v>
      </c>
      <c r="C3" s="201"/>
      <c r="D3" s="201"/>
      <c r="E3" s="201"/>
      <c r="F3" s="201"/>
      <c r="G3" s="202" t="s">
        <v>390</v>
      </c>
      <c r="H3" s="203"/>
      <c r="I3" s="204"/>
      <c r="J3" s="202" t="s">
        <v>391</v>
      </c>
      <c r="K3" s="203"/>
      <c r="L3" s="203"/>
      <c r="M3" s="202" t="s">
        <v>392</v>
      </c>
      <c r="N3" s="203"/>
      <c r="O3" s="203"/>
      <c r="P3" s="205"/>
    </row>
    <row r="4" hidden="1">
      <c r="B4" s="206"/>
      <c r="C4" s="207"/>
      <c r="D4" s="207"/>
      <c r="E4" s="207"/>
      <c r="F4" s="207"/>
      <c r="G4" s="208">
        <f>SUM(muestra!J2:J1015)</f>
        <v>2933</v>
      </c>
      <c r="H4" s="209"/>
      <c r="I4" s="210"/>
      <c r="J4" s="208">
        <f>COUNTA(Encuestas!C2:C1015)</f>
        <v>1</v>
      </c>
      <c r="K4" s="209"/>
      <c r="L4" s="209"/>
      <c r="M4" s="211">
        <f>J4/G4</f>
        <v>0.000340947835</v>
      </c>
      <c r="N4" s="209"/>
      <c r="O4" s="209"/>
      <c r="P4" s="212"/>
    </row>
    <row r="5" ht="21.75" customHeight="1">
      <c r="B5" s="102"/>
      <c r="C5" s="102"/>
      <c r="D5" s="102"/>
      <c r="E5" s="102"/>
      <c r="F5" s="102"/>
      <c r="G5" s="102"/>
      <c r="H5" s="102"/>
    </row>
    <row r="6" ht="21.75" customHeight="1">
      <c r="B6" s="120" t="s">
        <v>393</v>
      </c>
      <c r="C6" s="102"/>
      <c r="D6" s="102"/>
      <c r="E6" s="102"/>
      <c r="F6" s="102"/>
      <c r="G6" s="102"/>
      <c r="H6" s="102"/>
    </row>
    <row r="7">
      <c r="B7" s="213" t="s">
        <v>394</v>
      </c>
      <c r="C7" s="201"/>
      <c r="D7" s="201"/>
      <c r="E7" s="201"/>
      <c r="F7" s="214"/>
      <c r="G7" s="202" t="s">
        <v>390</v>
      </c>
      <c r="H7" s="203"/>
      <c r="I7" s="204"/>
      <c r="J7" s="202" t="s">
        <v>391</v>
      </c>
      <c r="K7" s="203"/>
      <c r="L7" s="204"/>
      <c r="M7" s="202" t="s">
        <v>392</v>
      </c>
      <c r="N7" s="203"/>
      <c r="O7" s="203"/>
      <c r="P7" s="205"/>
    </row>
    <row r="8">
      <c r="B8" s="206"/>
      <c r="C8" s="207"/>
      <c r="D8" s="207"/>
      <c r="E8" s="207"/>
      <c r="F8" s="215"/>
      <c r="G8" s="216">
        <f>SUMIFS(muestra!J1:J1015,muestra!B1:B1015,B7)</f>
        <v>1142</v>
      </c>
      <c r="H8" s="209"/>
      <c r="I8" s="210"/>
      <c r="J8" s="216">
        <f>COUNTIFS(DATA!T3:T1015,2024)</f>
        <v>0</v>
      </c>
      <c r="K8" s="209"/>
      <c r="L8" s="210"/>
      <c r="M8" s="217">
        <f>J8/G8</f>
        <v>0</v>
      </c>
      <c r="N8" s="209"/>
      <c r="O8" s="209"/>
      <c r="P8" s="212"/>
    </row>
    <row r="9" ht="21.75" customHeight="1">
      <c r="B9" s="218"/>
      <c r="C9" s="219"/>
      <c r="D9" s="219"/>
      <c r="E9" s="102"/>
      <c r="F9" s="102"/>
      <c r="G9" s="102"/>
      <c r="H9" s="102"/>
    </row>
    <row r="10">
      <c r="B10" s="220" t="s">
        <v>395</v>
      </c>
      <c r="C10" s="219"/>
      <c r="D10" s="219"/>
      <c r="E10" s="102"/>
      <c r="F10" s="199"/>
      <c r="G10" s="102"/>
      <c r="H10" s="102"/>
      <c r="J10" s="220" t="s">
        <v>395</v>
      </c>
      <c r="M10" s="221"/>
      <c r="N10" s="199"/>
    </row>
    <row r="11">
      <c r="B11" s="222" t="s">
        <v>396</v>
      </c>
      <c r="C11" s="202" t="s">
        <v>390</v>
      </c>
      <c r="D11" s="204"/>
      <c r="E11" s="202" t="s">
        <v>397</v>
      </c>
      <c r="F11" s="204"/>
      <c r="G11" s="202" t="s">
        <v>371</v>
      </c>
      <c r="H11" s="205"/>
      <c r="I11" s="223"/>
      <c r="J11" s="222" t="s">
        <v>398</v>
      </c>
      <c r="K11" s="202" t="s">
        <v>390</v>
      </c>
      <c r="L11" s="204"/>
      <c r="M11" s="202" t="s">
        <v>397</v>
      </c>
      <c r="N11" s="204"/>
      <c r="O11" s="202" t="s">
        <v>371</v>
      </c>
      <c r="P11" s="205"/>
    </row>
    <row r="12">
      <c r="B12" s="224"/>
      <c r="C12" s="225">
        <f>SUMIFS(muestra!$J$2:$J1015,muestra!$B$2:$B1015,B7,muestra!$C$2:$C1015,B11)</f>
        <v>1142</v>
      </c>
      <c r="D12" s="210"/>
      <c r="E12" s="225" t="str">
        <f>COUNTIF(DATA!T3:T1015,"2024")</f>
        <v>#REF!</v>
      </c>
      <c r="F12" s="210"/>
      <c r="G12" s="226" t="str">
        <f>E12/C12</f>
        <v>#REF!</v>
      </c>
      <c r="H12" s="212"/>
      <c r="J12" s="224"/>
      <c r="K12" s="225">
        <f>SUMIFS(muestra!$J$2:$J1015,muestra!$B$2:$B1015,B7,muestra!$C$2:$C1015,J11)</f>
        <v>0</v>
      </c>
      <c r="L12" s="210"/>
      <c r="M12" s="225">
        <f>COUNTIFS(Encuestas!$D$2:$D1015,$B$7,Encuestas!$E$2:$E1015,J11)</f>
        <v>0</v>
      </c>
      <c r="N12" s="210"/>
      <c r="O12" s="226">
        <f>IFERROR(M12/K12,0)</f>
        <v>0</v>
      </c>
      <c r="P12" s="212"/>
    </row>
    <row r="13" ht="21.75" customHeight="1">
      <c r="B13" s="220"/>
      <c r="C13" s="219"/>
      <c r="D13" s="219"/>
      <c r="E13" s="102"/>
      <c r="F13" s="102"/>
      <c r="G13" s="102"/>
      <c r="H13" s="102"/>
    </row>
    <row r="14">
      <c r="B14" s="220" t="s">
        <v>399</v>
      </c>
      <c r="C14" s="219"/>
      <c r="D14" s="219"/>
      <c r="E14" s="102"/>
      <c r="F14" s="199" t="s">
        <v>400</v>
      </c>
      <c r="G14" s="102"/>
      <c r="H14" s="102"/>
      <c r="J14" s="220" t="s">
        <v>399</v>
      </c>
      <c r="M14" s="221"/>
      <c r="N14" s="199" t="s">
        <v>400</v>
      </c>
    </row>
    <row r="15">
      <c r="A15" s="227"/>
      <c r="B15" s="228" t="s">
        <v>401</v>
      </c>
      <c r="C15" s="229" t="s">
        <v>402</v>
      </c>
      <c r="D15" s="230" t="s">
        <v>397</v>
      </c>
      <c r="E15" s="231"/>
      <c r="F15" s="232" t="s">
        <v>403</v>
      </c>
      <c r="G15" s="229" t="s">
        <v>402</v>
      </c>
      <c r="H15" s="230" t="s">
        <v>371</v>
      </c>
      <c r="I15" s="227"/>
      <c r="J15" s="228" t="s">
        <v>401</v>
      </c>
      <c r="K15" s="229" t="s">
        <v>402</v>
      </c>
      <c r="L15" s="230" t="s">
        <v>371</v>
      </c>
      <c r="M15" s="231"/>
      <c r="N15" s="232" t="s">
        <v>403</v>
      </c>
      <c r="O15" s="229" t="s">
        <v>402</v>
      </c>
      <c r="P15" s="230" t="s">
        <v>371</v>
      </c>
      <c r="Q15" s="227"/>
      <c r="R15" s="227"/>
      <c r="S15" s="227"/>
      <c r="T15" s="227"/>
      <c r="U15" s="227"/>
      <c r="V15" s="227"/>
      <c r="W15" s="227"/>
      <c r="X15" s="227"/>
      <c r="Y15" s="227"/>
      <c r="Z15" s="227"/>
      <c r="AA15" s="227"/>
      <c r="AB15" s="227"/>
      <c r="AC15" s="227"/>
      <c r="AD15" s="227"/>
      <c r="AE15" s="227"/>
      <c r="AF15" s="227"/>
      <c r="AG15" s="227"/>
      <c r="AH15" s="227"/>
    </row>
    <row r="16">
      <c r="B16" s="233" t="s">
        <v>404</v>
      </c>
      <c r="C16" s="234">
        <f>SUMIFS(muestra!$J$2:$J1015,muestra!$B$2:$B1015,$B$7,muestra!$C$2:$C1015,$B$11,muestra!$D$2:$D1015,B16)</f>
        <v>0</v>
      </c>
      <c r="D16" s="235">
        <f t="shared" ref="D16:D18" si="1">COUNTIFS(DATA!$G$2:$G1015,B16,DATA!$AA$2:$AA1015,$C$1)</f>
        <v>0</v>
      </c>
      <c r="E16" s="236"/>
      <c r="F16" s="237" t="s">
        <v>405</v>
      </c>
      <c r="G16" s="238">
        <f>SUMIFS(muestra!$J$2:$J1015,muestra!$B$2:$B1015,$B$7,muestra!$C$2:$C1015,$B$11,muestra!$E$2:$E1015,F16)</f>
        <v>219</v>
      </c>
      <c r="H16" s="235">
        <f t="array" ref="H16">COUNTIFS(
DATA!T3:T1015,
DGET(nombres!$H$3:$N1015,nombres!$N$3,{nombres!$H$3;F16}),
DATA!$AC$2:$AC1015,
$C$1)</f>
        <v>0</v>
      </c>
      <c r="J16" s="233" t="s">
        <v>404</v>
      </c>
      <c r="K16" s="234">
        <f>SUMIFS(muestra!$J$2:$J1015,muestra!$B$2:$B1015,$B$7,muestra!$C$2:$C1015,$J$11,muestra!$D$2:$D1015,J16)</f>
        <v>0</v>
      </c>
      <c r="L16" s="239">
        <f t="shared" ref="L16:L18" si="2">COUNTIFS(Encuestas!$D$2:$D1015,$B$7,Encuestas!$E$2:$E1015,$J$11,Encuestas!$F$2:$F1015,J16)</f>
        <v>0</v>
      </c>
      <c r="M16" s="236"/>
      <c r="N16" s="237" t="s">
        <v>405</v>
      </c>
      <c r="O16" s="238">
        <f>SUMIFS(muestra!$J$2:$J1015,muestra!$B$2:$B1015,$B$7,muestra!$C$2:$C1015,$J$11,muestra!$E$2:$E1015,N16)</f>
        <v>0</v>
      </c>
      <c r="P16" s="240" t="str">
        <f t="shared" ref="P16:P21" si="3">COUNTIFS(Encuestas!$D$2:$D1015,$B$7,Encuestas!$E$2:$E1015,$J$11,Encuestas!$C$2:$C1015,N16)/O16</f>
        <v>#DIV/0!</v>
      </c>
    </row>
    <row r="17">
      <c r="B17" s="241" t="s">
        <v>406</v>
      </c>
      <c r="C17" s="242">
        <f>SUMIFS(muestra!$J$2:$J1015,muestra!$B$2:$B1015,$B$7,muestra!$C$2:$C1015,$B$11,muestra!$D$2:$D1015,B17)</f>
        <v>829</v>
      </c>
      <c r="D17" s="235">
        <f t="shared" si="1"/>
        <v>0</v>
      </c>
      <c r="E17" s="236"/>
      <c r="F17" s="243" t="s">
        <v>407</v>
      </c>
      <c r="G17" s="244">
        <f>SUMIFS(muestra!$J$2:$J1015,muestra!$B$2:$B1015,$B$7,muestra!$C$2:$C1015,$B$11,muestra!$E$2:$E1015,F17)</f>
        <v>346</v>
      </c>
      <c r="H17" s="235">
        <f t="array" ref="H17">COUNTIFS(
DATA!$B$2:$B1015,
DGET(nombres!$H$3:$N1015,nombres!$N$3,{nombres!$H$3;F17}),
DATA!$AA$2:$AA1015,
$C$1)</f>
        <v>0</v>
      </c>
      <c r="J17" s="241" t="s">
        <v>406</v>
      </c>
      <c r="K17" s="242">
        <f>SUMIFS(muestra!$J$2:$J1015,muestra!$B$2:$B1015,$B$7,muestra!$C$2:$C1015,$J$11,muestra!$D$2:$D1015,J17)</f>
        <v>0</v>
      </c>
      <c r="L17" s="245">
        <f t="shared" si="2"/>
        <v>0</v>
      </c>
      <c r="M17" s="236"/>
      <c r="N17" s="243" t="s">
        <v>407</v>
      </c>
      <c r="O17" s="244">
        <f>SUMIFS(muestra!$J$2:$J1015,muestra!$B$2:$B1015,$B$7,muestra!$C$2:$C1015,$J$11,muestra!$E$2:$E1015,N17)</f>
        <v>0</v>
      </c>
      <c r="P17" s="246" t="str">
        <f t="shared" si="3"/>
        <v>#DIV/0!</v>
      </c>
    </row>
    <row r="18">
      <c r="B18" s="241" t="s">
        <v>408</v>
      </c>
      <c r="C18" s="242">
        <f>SUMIFS(muestra!$J$2:$J1015,muestra!$B$2:$B1015,$B$7,muestra!$C$2:$C1015,$B$11,muestra!$D$2:$D1015,B18)</f>
        <v>313</v>
      </c>
      <c r="D18" s="235">
        <f t="shared" si="1"/>
        <v>0</v>
      </c>
      <c r="E18" s="236"/>
      <c r="F18" s="243" t="s">
        <v>409</v>
      </c>
      <c r="G18" s="244">
        <f>SUMIFS(muestra!$J$2:$J1015,muestra!$B$2:$B1015,$B$7,muestra!$C$2:$C1015,$B$11,muestra!$E$2:$E1015,F18)</f>
        <v>320</v>
      </c>
      <c r="H18" s="235">
        <f t="array" ref="H18">COUNTIFS(
DATA!$B$2:$B1015,
DGET(nombres!$H$3:$N1015,nombres!$N$3,{nombres!$H$3;F18}),
DATA!$AA$2:$AA1015,
$C$1)</f>
        <v>0</v>
      </c>
      <c r="J18" s="241" t="s">
        <v>408</v>
      </c>
      <c r="K18" s="242">
        <f>SUMIFS(muestra!$J$2:$J1015,muestra!$B$2:$B1015,$B$7,muestra!$C$2:$C1015,$J$11,muestra!$D$2:$D1015,J18)</f>
        <v>0</v>
      </c>
      <c r="L18" s="245">
        <f t="shared" si="2"/>
        <v>0</v>
      </c>
      <c r="M18" s="236"/>
      <c r="N18" s="243" t="s">
        <v>409</v>
      </c>
      <c r="O18" s="244">
        <f>SUMIFS(muestra!$J$2:$J1015,muestra!$B$2:$B1015,$B$7,muestra!$C$2:$C1015,$J$11,muestra!$E$2:$E1015,N18)</f>
        <v>0</v>
      </c>
      <c r="P18" s="246" t="str">
        <f t="shared" si="3"/>
        <v>#DIV/0!</v>
      </c>
    </row>
    <row r="19">
      <c r="B19" s="247"/>
      <c r="C19" s="244"/>
      <c r="D19" s="248"/>
      <c r="F19" s="243" t="s">
        <v>410</v>
      </c>
      <c r="G19" s="244">
        <f>SUMIFS(muestra!$J$2:$J1015,muestra!$B$2:$B1015,$B$7,muestra!$C$2:$C1015,$B$11,muestra!$E$2:$E1015,F19)</f>
        <v>77</v>
      </c>
      <c r="H19" s="235">
        <f t="array" ref="H19">COUNTIFS(
DATA!$B$2:$B1015,
DGET(nombres!$H$3:$N1015,nombres!$N$3,{nombres!$H$3;F19}),
DATA!$AA$2:$AA1015,
$C$1)</f>
        <v>0</v>
      </c>
      <c r="J19" s="247"/>
      <c r="K19" s="244"/>
      <c r="L19" s="246"/>
      <c r="N19" s="243" t="s">
        <v>410</v>
      </c>
      <c r="O19" s="244">
        <f>SUMIFS(muestra!$J$2:$J1015,muestra!$B$2:$B1015,$B$7,muestra!$C$2:$C1015,$J$11,muestra!$E$2:$E1015,N19)</f>
        <v>0</v>
      </c>
      <c r="P19" s="246" t="str">
        <f t="shared" si="3"/>
        <v>#DIV/0!</v>
      </c>
    </row>
    <row r="20">
      <c r="B20" s="247"/>
      <c r="C20" s="244"/>
      <c r="D20" s="248"/>
      <c r="F20" s="249" t="s">
        <v>411</v>
      </c>
      <c r="G20" s="244">
        <f>SUMIFS(muestra!$J$2:$J1015,muestra!$B$2:$B1015,$B$7,muestra!$C$2:$C1015,$B$11,muestra!$E$2:$E1015,F20)</f>
        <v>121</v>
      </c>
      <c r="H20" s="235">
        <f t="array" ref="H20">COUNTIFS(
DATA!$B$2:$B1015,
DGET(nombres!$H$3:$N1015,nombres!$N$3,{nombres!$H$3;F20}),
DATA!$AA$2:$AA1015,
$C$1)</f>
        <v>0</v>
      </c>
      <c r="J20" s="247"/>
      <c r="K20" s="244"/>
      <c r="L20" s="246"/>
      <c r="N20" s="249" t="s">
        <v>411</v>
      </c>
      <c r="O20" s="244">
        <f>SUMIFS(muestra!$J$2:$J1015,muestra!$B$2:$B1015,$B$7,muestra!$C$2:$C1015,$J$11,muestra!$E$2:$E1015,N20)</f>
        <v>0</v>
      </c>
      <c r="P20" s="246" t="str">
        <f t="shared" si="3"/>
        <v>#DIV/0!</v>
      </c>
    </row>
    <row r="21">
      <c r="B21" s="250"/>
      <c r="C21" s="251"/>
      <c r="D21" s="252"/>
      <c r="F21" s="253" t="s">
        <v>412</v>
      </c>
      <c r="G21" s="254">
        <f>SUMIFS(muestra!$J$2:$J1015,muestra!$B$2:$B1015,$B$7,muestra!$C$2:$C1015,$B$11,muestra!$E$2:$E1015,F21)</f>
        <v>59</v>
      </c>
      <c r="H21" s="235">
        <f t="array" ref="H21">COUNTIFS(
DATA!$B$2:$B1015,
DGET(nombres!$H$3:$N1015,nombres!$N$3,{nombres!$H$3;F21}),
DATA!$AA$2:$AA1015,
$C$1)</f>
        <v>0</v>
      </c>
      <c r="J21" s="255"/>
      <c r="K21" s="254"/>
      <c r="L21" s="256"/>
      <c r="N21" s="253" t="s">
        <v>412</v>
      </c>
      <c r="O21" s="254">
        <f>SUMIFS(muestra!$J$2:$J1015,muestra!$B$2:$B1015,$B$7,muestra!$C$2:$C1015,$J$11,muestra!$E$2:$E1015,N21)</f>
        <v>0</v>
      </c>
      <c r="P21" s="256" t="str">
        <f t="shared" si="3"/>
        <v>#DIV/0!</v>
      </c>
    </row>
    <row r="22">
      <c r="B22" s="257" t="s">
        <v>413</v>
      </c>
      <c r="C22" s="258">
        <f t="shared" ref="C22:D22" si="4">SUM(C16:C21)</f>
        <v>1142</v>
      </c>
      <c r="D22" s="258">
        <f t="shared" si="4"/>
        <v>0</v>
      </c>
      <c r="E22" s="221"/>
      <c r="F22" s="257" t="s">
        <v>413</v>
      </c>
      <c r="G22" s="258">
        <f t="shared" ref="G22:H22" si="5">SUM(G16:G21)</f>
        <v>1142</v>
      </c>
      <c r="H22" s="258">
        <f t="shared" si="5"/>
        <v>0</v>
      </c>
      <c r="M22" s="221"/>
      <c r="N22" s="221"/>
    </row>
    <row r="23">
      <c r="E23" s="221"/>
      <c r="F23" s="221"/>
      <c r="M23" s="221"/>
      <c r="N23" s="221"/>
    </row>
    <row r="24">
      <c r="E24" s="221"/>
      <c r="F24" s="199"/>
      <c r="J24" s="220"/>
      <c r="M24" s="221"/>
      <c r="N24" s="199"/>
    </row>
    <row r="25">
      <c r="B25" s="259" t="str">
        <f>B17</f>
        <v>PRIMARIA</v>
      </c>
      <c r="C25" s="201"/>
      <c r="D25" s="201"/>
      <c r="E25" s="201"/>
      <c r="F25" s="260"/>
      <c r="M25" s="221"/>
      <c r="N25" s="221"/>
    </row>
    <row r="26">
      <c r="B26" s="261" t="s">
        <v>414</v>
      </c>
      <c r="C26" s="262" t="s">
        <v>415</v>
      </c>
      <c r="D26" s="263"/>
      <c r="E26" s="264"/>
      <c r="F26" s="265" t="s">
        <v>416</v>
      </c>
      <c r="M26" s="221"/>
      <c r="N26" s="221"/>
    </row>
    <row r="27">
      <c r="B27" s="266"/>
      <c r="C27" s="267">
        <f>SUMIFS(muestra!$J$2:$J1015,muestra!$B$2:$B1015,$B$7,muestra!$C$2:$C1015,$B$11,muestra!$D$2:$D1015,B17,muestra!$H$2:$H1015,C26)</f>
        <v>424</v>
      </c>
      <c r="D27" s="207"/>
      <c r="E27" s="268"/>
      <c r="F27" s="269">
        <f>SUMIFS(muestra!$J$2:$J1015,muestra!$B$2:$B1015,$B$7,muestra!$C$2:$C1015,$B$11,muestra!$D$2:$D1015,B17,muestra!$H$2:$H1015,F26)</f>
        <v>405</v>
      </c>
      <c r="M27" s="221"/>
      <c r="N27" s="221"/>
    </row>
    <row r="28">
      <c r="B28" s="270" t="s">
        <v>417</v>
      </c>
      <c r="C28" s="271">
        <f>SUMIFS(muestra!$J$2:$J1015,muestra!$B$2:$B1015,$B$7,muestra!$C$2:$C1015,$B$11,muestra!$D$2:$D1015,$B$25,muestra!$H$2:$H1015,$C$26,muestra!$G$2:$G1015,B28)</f>
        <v>0</v>
      </c>
      <c r="E28" s="272"/>
      <c r="F28" s="273">
        <f>SUMIFS(muestra!$J$2:$J1015,muestra!$B$2:$B1015,$B$7,muestra!$C$2:$C1015,$B$11,muestra!$D$2:$D1015,$B$25,muestra!$H$2:$H1015,$F$26,muestra!$G$2:$G1015,B28)</f>
        <v>0</v>
      </c>
      <c r="M28" s="221"/>
      <c r="N28" s="221"/>
    </row>
    <row r="29">
      <c r="B29" s="270" t="s">
        <v>418</v>
      </c>
      <c r="C29" s="271">
        <f>SUMIFS(muestra!$J$2:$J1015,muestra!$B$2:$B1015,$B$7,muestra!$C$2:$C1015,$B$11,muestra!$D$2:$D1015,$B$25,muestra!$H$2:$H1015,$C$26,muestra!$G$2:$G1015,B29)</f>
        <v>141</v>
      </c>
      <c r="E29" s="272"/>
      <c r="F29" s="273">
        <f>SUMIFS(muestra!$J$2:$J1015,muestra!$B$2:$B1015,$B$7,muestra!$C$2:$C1015,$B$11,muestra!$D$2:$D1015,$B$25,muestra!$H$2:$H1015,$F$26,muestra!$G$2:$G1015,B29)</f>
        <v>130</v>
      </c>
      <c r="M29" s="221"/>
      <c r="N29" s="221"/>
    </row>
    <row r="30">
      <c r="B30" s="270" t="s">
        <v>419</v>
      </c>
      <c r="C30" s="271">
        <f>SUMIFS(muestra!$J$2:$J1015,muestra!$B$2:$B1015,$B$7,muestra!$C$2:$C1015,$B$11,muestra!$D$2:$D1015,$B$25,muestra!$H$2:$H1015,$C$26,muestra!$G$2:$G1015,B30)</f>
        <v>0</v>
      </c>
      <c r="E30" s="272"/>
      <c r="F30" s="273">
        <f>SUMIFS(muestra!$J$2:$J1015,muestra!$B$2:$B1015,$B$7,muestra!$C$2:$C1015,$B$11,muestra!$D$2:$D1015,$B$25,muestra!$H$2:$H1015,$F$26,muestra!$G$2:$G1015,B30)</f>
        <v>0</v>
      </c>
      <c r="M30" s="221"/>
      <c r="N30" s="221"/>
    </row>
    <row r="31">
      <c r="B31" s="270" t="s">
        <v>420</v>
      </c>
      <c r="C31" s="271">
        <f>SUMIFS(muestra!$J$2:$J1015,muestra!$B$2:$B1015,$B$7,muestra!$C$2:$C1015,$B$11,muestra!$D$2:$D1015,$B$25,muestra!$H$2:$H1015,$C$26,muestra!$G$2:$G1015,B31)</f>
        <v>146</v>
      </c>
      <c r="E31" s="272"/>
      <c r="F31" s="273">
        <f>SUMIFS(muestra!$J$2:$J1015,muestra!$B$2:$B1015,$B$7,muestra!$C$2:$C1015,$B$11,muestra!$D$2:$D1015,$B$25,muestra!$H$2:$H1015,$F$26,muestra!$G$2:$G1015,B31)</f>
        <v>133</v>
      </c>
      <c r="M31" s="221"/>
      <c r="N31" s="221"/>
    </row>
    <row r="32">
      <c r="B32" s="270" t="s">
        <v>421</v>
      </c>
      <c r="C32" s="271">
        <f>SUMIFS(muestra!$J$2:$J1015,muestra!$B$2:$B1015,$B$7,muestra!$C$2:$C1015,$B$11,muestra!$D$2:$D1015,$B$25,muestra!$H$2:$H1015,$C$26,muestra!$G$2:$G1015,B32)</f>
        <v>0</v>
      </c>
      <c r="E32" s="272"/>
      <c r="F32" s="273">
        <f>SUMIFS(muestra!$J$2:$J1015,muestra!$B$2:$B1015,$B$7,muestra!$C$2:$C1015,$B$11,muestra!$D$2:$D1015,$B$25,muestra!$H$2:$H1015,$F$26,muestra!$G$2:$G1015,B32)</f>
        <v>0</v>
      </c>
      <c r="M32" s="221"/>
      <c r="N32" s="221"/>
    </row>
    <row r="33">
      <c r="B33" s="274" t="s">
        <v>422</v>
      </c>
      <c r="C33" s="275">
        <f>SUMIFS(muestra!$J$2:$J1015,muestra!$B$2:$B1015,$B$7,muestra!$C$2:$C1015,$B$11,muestra!$D$2:$D1015,$B$25,muestra!$H$2:$H1015,$C$26,muestra!$G$2:$G1015,B33)</f>
        <v>137</v>
      </c>
      <c r="D33" s="207"/>
      <c r="E33" s="268"/>
      <c r="F33" s="276">
        <f>SUMIFS(muestra!$J$2:$J1015,muestra!$B$2:$B1015,$B$7,muestra!$C$2:$C1015,$B$11,muestra!$D$2:$D1015,$B$25,muestra!$H$2:$H1015,$F$26,muestra!$G$2:$G1015,B33)</f>
        <v>142</v>
      </c>
      <c r="M33" s="221"/>
      <c r="N33" s="221"/>
    </row>
    <row r="34">
      <c r="E34" s="221"/>
      <c r="F34" s="221"/>
      <c r="M34" s="221"/>
      <c r="N34" s="221"/>
    </row>
    <row r="35">
      <c r="E35" s="221"/>
      <c r="F35" s="221"/>
      <c r="M35" s="221"/>
      <c r="N35" s="221"/>
    </row>
    <row r="36">
      <c r="B36" s="259" t="str">
        <f>B18</f>
        <v>SECUNDARIA</v>
      </c>
      <c r="C36" s="201"/>
      <c r="D36" s="201"/>
      <c r="E36" s="201"/>
      <c r="F36" s="260"/>
      <c r="M36" s="221"/>
      <c r="N36" s="221"/>
    </row>
    <row r="37">
      <c r="B37" s="261" t="s">
        <v>414</v>
      </c>
      <c r="C37" s="262" t="s">
        <v>415</v>
      </c>
      <c r="D37" s="263"/>
      <c r="E37" s="264"/>
      <c r="F37" s="265" t="s">
        <v>416</v>
      </c>
      <c r="M37" s="221"/>
      <c r="N37" s="221"/>
    </row>
    <row r="38">
      <c r="B38" s="266"/>
      <c r="C38" s="267">
        <f>SUMIFS(muestra!$J$2:$J1015,muestra!$B$2:$B1015,$B$7,muestra!$C$2:$C1015,$B$11,muestra!$D$2:$D1015,B36,muestra!$H$2:$H1015,C37)</f>
        <v>157</v>
      </c>
      <c r="D38" s="207"/>
      <c r="E38" s="268"/>
      <c r="F38" s="269">
        <f>SUMIFS(muestra!$J$2:$J1015,muestra!$B$2:$B1015,$B$7,muestra!$C$2:$C1015,$B$11,muestra!$D$2:$D1015,B36,muestra!$H$2:$H1015,F37)</f>
        <v>156</v>
      </c>
      <c r="M38" s="221"/>
      <c r="N38" s="221"/>
    </row>
    <row r="39">
      <c r="B39" s="270" t="s">
        <v>417</v>
      </c>
      <c r="C39" s="271">
        <f>SUMIFS(muestra!$J$2:$J1015,muestra!$B$2:$B1015,$B$7,muestra!$C$2:$C1015,$B$11,muestra!$D$2:$D1015,$B$36,muestra!$H$2:$H1015,$C$26,muestra!$G$2:$G1015,B39)</f>
        <v>0</v>
      </c>
      <c r="E39" s="272"/>
      <c r="F39" s="273">
        <f>SUMIFS(muestra!$J$2:$J1015,muestra!$B$2:$B1015,$B$7,muestra!$C$2:$C1015,$B$11,muestra!$D$2:$D1015,$B$36,muestra!$H$2:$H1015,$F$26,muestra!$G$2:$G1015,B39)</f>
        <v>0</v>
      </c>
      <c r="M39" s="221"/>
      <c r="N39" s="221"/>
    </row>
    <row r="40">
      <c r="B40" s="270" t="s">
        <v>418</v>
      </c>
      <c r="C40" s="271">
        <f>SUMIFS(muestra!$J$2:$J1015,muestra!$B$2:$B1015,$B$7,muestra!$C$2:$C1015,$B$11,muestra!$D$2:$D1015,$B$36,muestra!$H$2:$H1015,$C$26,muestra!$G$2:$G1015,B40)</f>
        <v>80</v>
      </c>
      <c r="E40" s="272"/>
      <c r="F40" s="273">
        <f>SUMIFS(muestra!$J$2:$J1015,muestra!$B$2:$B1015,$B$7,muestra!$C$2:$C1015,$B$11,muestra!$D$2:$D1015,$B$36,muestra!$H$2:$H1015,$F$26,muestra!$G$2:$G1015,B40)</f>
        <v>85</v>
      </c>
      <c r="M40" s="221"/>
      <c r="N40" s="221"/>
    </row>
    <row r="41">
      <c r="B41" s="270" t="s">
        <v>419</v>
      </c>
      <c r="C41" s="271">
        <f>SUMIFS(muestra!$J$2:$J1015,muestra!$B$2:$B1015,$B$7,muestra!$C$2:$C1015,$B$11,muestra!$D$2:$D1015,$B$36,muestra!$H$2:$H1015,$C$26,muestra!$G$2:$G1015,B41)</f>
        <v>0</v>
      </c>
      <c r="E41" s="272"/>
      <c r="F41" s="273">
        <f>SUMIFS(muestra!$J$2:$J1015,muestra!$B$2:$B1015,$B$7,muestra!$C$2:$C1015,$B$11,muestra!$D$2:$D1015,$B$36,muestra!$H$2:$H1015,$F$26,muestra!$G$2:$G1015,B41)</f>
        <v>0</v>
      </c>
      <c r="M41" s="221"/>
      <c r="N41" s="221"/>
    </row>
    <row r="42">
      <c r="B42" s="270" t="s">
        <v>420</v>
      </c>
      <c r="C42" s="271">
        <f>SUMIFS(muestra!$J$2:$J1015,muestra!$B$2:$B1015,$B$7,muestra!$C$2:$C1015,$B$11,muestra!$D$2:$D1015,$B$36,muestra!$H$2:$H1015,$C$26,muestra!$G$2:$G1015,B42)</f>
        <v>77</v>
      </c>
      <c r="E42" s="272"/>
      <c r="F42" s="273">
        <f>SUMIFS(muestra!$J$2:$J1015,muestra!$B$2:$B1015,$B$7,muestra!$C$2:$C1015,$B$11,muestra!$D$2:$D1015,$B$36,muestra!$H$2:$H1015,$F$26,muestra!$G$2:$G1015,B42)</f>
        <v>71</v>
      </c>
      <c r="M42" s="221"/>
      <c r="N42" s="221"/>
    </row>
    <row r="43">
      <c r="B43" s="274" t="s">
        <v>421</v>
      </c>
      <c r="C43" s="275">
        <f>SUMIFS(muestra!$J$2:$J1015,muestra!$B$2:$B1015,$B$7,muestra!$C$2:$C1015,$B$11,muestra!$D$2:$D1015,$B$36,muestra!$H$2:$H1015,$C$26,muestra!$G$2:$G1015,B43)</f>
        <v>0</v>
      </c>
      <c r="D43" s="207"/>
      <c r="E43" s="268"/>
      <c r="F43" s="276">
        <f>SUMIFS(muestra!$J$2:$J1015,muestra!$B$2:$B1015,$B$7,muestra!$C$2:$C1015,$B$11,muestra!$D$2:$D1015,$B$36,muestra!$H$2:$H1015,$F$26,muestra!$G$2:$G1015,B43)</f>
        <v>0</v>
      </c>
      <c r="M43" s="221"/>
      <c r="N43" s="221"/>
    </row>
    <row r="44">
      <c r="M44" s="221"/>
      <c r="N44" s="221"/>
    </row>
    <row r="45">
      <c r="M45" s="221"/>
      <c r="N45" s="221"/>
    </row>
    <row r="46">
      <c r="M46" s="221"/>
      <c r="N46" s="221"/>
    </row>
    <row r="47">
      <c r="M47" s="221"/>
      <c r="N47" s="221"/>
    </row>
    <row r="48">
      <c r="M48" s="221"/>
      <c r="N48" s="221"/>
    </row>
    <row r="49">
      <c r="M49" s="221"/>
      <c r="N49" s="221"/>
    </row>
    <row r="50"/>
    <row r="51"/>
    <row r="52"/>
    <row r="53"/>
    <row r="54"/>
    <row r="55"/>
    <row r="56"/>
    <row r="57">
      <c r="A57" s="277"/>
    </row>
    <row r="58"/>
    <row r="59"/>
  </sheetData>
  <mergeCells count="47">
    <mergeCell ref="B3:F4"/>
    <mergeCell ref="G3:I3"/>
    <mergeCell ref="J3:L3"/>
    <mergeCell ref="M3:P3"/>
    <mergeCell ref="G4:I4"/>
    <mergeCell ref="J4:L4"/>
    <mergeCell ref="M4:P4"/>
    <mergeCell ref="B7:F8"/>
    <mergeCell ref="G7:I7"/>
    <mergeCell ref="J7:L7"/>
    <mergeCell ref="M7:P7"/>
    <mergeCell ref="G8:I8"/>
    <mergeCell ref="J8:L8"/>
    <mergeCell ref="M8:P8"/>
    <mergeCell ref="E12:F12"/>
    <mergeCell ref="G12:H12"/>
    <mergeCell ref="K12:L12"/>
    <mergeCell ref="M12:N12"/>
    <mergeCell ref="B11:B12"/>
    <mergeCell ref="E11:F11"/>
    <mergeCell ref="G11:H11"/>
    <mergeCell ref="J11:J12"/>
    <mergeCell ref="K11:L11"/>
    <mergeCell ref="M11:N11"/>
    <mergeCell ref="O11:P11"/>
    <mergeCell ref="O12:P12"/>
    <mergeCell ref="C11:D11"/>
    <mergeCell ref="C12:D12"/>
    <mergeCell ref="B25:F25"/>
    <mergeCell ref="B26:B27"/>
    <mergeCell ref="C26:E26"/>
    <mergeCell ref="C27:E27"/>
    <mergeCell ref="C28:E28"/>
    <mergeCell ref="C37:E37"/>
    <mergeCell ref="C38:E38"/>
    <mergeCell ref="C39:E39"/>
    <mergeCell ref="C40:E40"/>
    <mergeCell ref="C41:E41"/>
    <mergeCell ref="C42:E42"/>
    <mergeCell ref="C43:E43"/>
    <mergeCell ref="C29:E29"/>
    <mergeCell ref="C30:E30"/>
    <mergeCell ref="C31:E31"/>
    <mergeCell ref="C32:E32"/>
    <mergeCell ref="C33:E33"/>
    <mergeCell ref="B36:F36"/>
    <mergeCell ref="B37:B38"/>
  </mergeCells>
  <dataValidations>
    <dataValidation type="list" allowBlank="1" showErrorMessage="1" sqref="F16:F21 N16:N21">
      <formula1>nombres!$H$4:$H$21</formula1>
    </dataValidation>
    <dataValidation type="list" allowBlank="1" showErrorMessage="1" sqref="B7">
      <formula1>nombres!$B$4:$B$6</formula1>
    </dataValidation>
    <dataValidation type="list" allowBlank="1" showErrorMessage="1" sqref="C26 F26 C37 F37">
      <formula1>nombres!$U$4:$U1015</formula1>
    </dataValidation>
    <dataValidation type="list" allowBlank="1" showErrorMessage="1" sqref="B28:B33 B39:B43">
      <formula1>nombres!$S$4:$S1015</formula1>
    </dataValidation>
  </dataValidations>
  <printOptions gridLines="1" horizontalCentered="1"/>
  <pageMargins bottom="0.75" footer="0.0" header="0.0" left="0.7" right="0.7" top="0.75"/>
  <pageSetup paperSize="9" cellComments="atEnd" orientation="landscape" pageOrder="overThenDown"/>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79"/>
      <c r="D1" s="79"/>
      <c r="E1" s="79"/>
      <c r="F1" s="79"/>
      <c r="G1" s="79"/>
      <c r="H1" s="79"/>
      <c r="I1" s="79"/>
      <c r="J1" s="79"/>
    </row>
    <row r="2">
      <c r="C2" s="79"/>
      <c r="D2" s="79"/>
      <c r="E2" s="79"/>
      <c r="F2" s="79"/>
      <c r="G2" s="79"/>
      <c r="H2" s="79"/>
      <c r="I2" s="79"/>
      <c r="J2" s="79"/>
    </row>
    <row r="3"/>
    <row r="4"/>
    <row r="5"/>
    <row r="6"/>
    <row r="7"/>
    <row r="8"/>
    <row r="9"/>
    <row r="10"/>
    <row r="11"/>
    <row r="12"/>
    <row r="13">
      <c r="C13" s="79"/>
      <c r="D13" s="79"/>
      <c r="E13" s="79"/>
      <c r="F13" s="79"/>
      <c r="G13" s="79"/>
      <c r="H13" s="79"/>
      <c r="I13" s="79"/>
      <c r="J13" s="79"/>
    </row>
    <row r="14">
      <c r="C14" s="79"/>
      <c r="D14" s="79"/>
      <c r="E14" s="79"/>
      <c r="F14" s="79"/>
      <c r="G14" s="79"/>
      <c r="H14" s="79"/>
      <c r="I14" s="79"/>
      <c r="J14" s="79"/>
    </row>
    <row r="15">
      <c r="C15" s="79"/>
      <c r="D15" s="79"/>
      <c r="E15" s="79"/>
      <c r="F15" s="79"/>
      <c r="G15" s="79"/>
      <c r="H15" s="79"/>
      <c r="I15" s="79"/>
      <c r="J15" s="79"/>
    </row>
    <row r="16">
      <c r="C16" s="79"/>
      <c r="D16" s="79"/>
      <c r="E16" s="79"/>
      <c r="F16" s="79"/>
      <c r="G16" s="79"/>
      <c r="H16" s="79"/>
      <c r="I16" s="79"/>
      <c r="J16" s="79"/>
    </row>
    <row r="17">
      <c r="C17" s="79"/>
      <c r="D17" s="79"/>
      <c r="E17" s="79"/>
      <c r="F17" s="79"/>
      <c r="G17" s="79"/>
      <c r="H17" s="79"/>
      <c r="I17" s="79"/>
      <c r="J17" s="79"/>
    </row>
    <row r="18">
      <c r="C18" s="79"/>
      <c r="D18" s="79"/>
      <c r="E18" s="79"/>
      <c r="F18" s="79"/>
      <c r="G18" s="79"/>
      <c r="H18" s="79"/>
      <c r="I18" s="79"/>
      <c r="J18" s="79"/>
    </row>
    <row r="19">
      <c r="C19" s="79"/>
      <c r="D19" s="79"/>
      <c r="E19" s="79"/>
      <c r="F19" s="79"/>
      <c r="G19" s="79"/>
      <c r="H19" s="79"/>
      <c r="I19" s="79"/>
      <c r="J19" s="79"/>
    </row>
    <row r="20">
      <c r="C20" s="79"/>
      <c r="D20" s="79"/>
      <c r="E20" s="79"/>
      <c r="F20" s="79"/>
      <c r="G20" s="79"/>
      <c r="H20" s="79"/>
      <c r="I20" s="79"/>
      <c r="J20" s="79"/>
    </row>
    <row r="21">
      <c r="C21" s="79"/>
      <c r="D21" s="79"/>
      <c r="E21" s="79"/>
      <c r="F21" s="79"/>
      <c r="G21" s="79"/>
      <c r="H21" s="79"/>
      <c r="I21" s="79"/>
      <c r="J21" s="79"/>
    </row>
    <row r="22">
      <c r="C22" s="79"/>
      <c r="D22" s="79"/>
      <c r="E22" s="79"/>
      <c r="F22" s="79"/>
      <c r="G22" s="79"/>
      <c r="H22" s="79"/>
      <c r="I22" s="79"/>
      <c r="J22" s="79"/>
    </row>
    <row r="23">
      <c r="C23" s="79"/>
      <c r="D23" s="79"/>
      <c r="E23" s="79"/>
      <c r="F23" s="79"/>
      <c r="G23" s="79"/>
      <c r="H23" s="79"/>
      <c r="I23" s="79"/>
      <c r="J23" s="79"/>
    </row>
    <row r="24">
      <c r="C24" s="79"/>
      <c r="D24" s="79"/>
      <c r="E24" s="79"/>
      <c r="F24" s="79"/>
      <c r="G24" s="79"/>
      <c r="H24" s="79"/>
      <c r="I24" s="79"/>
      <c r="J24" s="79"/>
    </row>
    <row r="25">
      <c r="C25" s="79"/>
      <c r="D25" s="79"/>
      <c r="E25" s="79"/>
      <c r="F25" s="79"/>
      <c r="G25" s="79"/>
      <c r="H25" s="79"/>
      <c r="I25" s="79"/>
      <c r="J25" s="79"/>
    </row>
    <row r="26">
      <c r="C26" s="79"/>
      <c r="D26" s="79"/>
      <c r="E26" s="79"/>
      <c r="F26" s="79"/>
      <c r="G26" s="79"/>
      <c r="H26" s="79"/>
      <c r="I26" s="79"/>
      <c r="J26" s="79"/>
    </row>
    <row r="27">
      <c r="C27" s="79"/>
      <c r="D27" s="79"/>
      <c r="E27" s="79"/>
      <c r="F27" s="79"/>
      <c r="G27" s="79"/>
      <c r="H27" s="79"/>
      <c r="I27" s="79"/>
      <c r="J27" s="79"/>
    </row>
    <row r="28">
      <c r="C28" s="79"/>
      <c r="D28" s="79"/>
      <c r="E28" s="79"/>
      <c r="F28" s="79"/>
      <c r="G28" s="79"/>
      <c r="H28" s="79"/>
      <c r="I28" s="79"/>
      <c r="J28" s="79"/>
    </row>
    <row r="29">
      <c r="C29" s="79"/>
      <c r="D29" s="79"/>
      <c r="E29" s="79"/>
      <c r="F29" s="79"/>
      <c r="G29" s="79"/>
      <c r="H29" s="79"/>
      <c r="I29" s="79"/>
      <c r="J29" s="79"/>
    </row>
    <row r="30">
      <c r="C30" s="79"/>
      <c r="D30" s="79"/>
      <c r="E30" s="79"/>
      <c r="F30" s="79"/>
      <c r="G30" s="79"/>
      <c r="H30" s="79"/>
      <c r="I30" s="79"/>
      <c r="J30" s="79"/>
    </row>
    <row r="31">
      <c r="C31" s="79"/>
      <c r="D31" s="79"/>
      <c r="E31" s="79"/>
      <c r="F31" s="79"/>
      <c r="G31" s="79"/>
      <c r="H31" s="79"/>
      <c r="I31" s="79"/>
      <c r="J31" s="79"/>
    </row>
    <row r="32">
      <c r="C32" s="79"/>
      <c r="D32" s="79"/>
      <c r="E32" s="79"/>
      <c r="F32" s="79"/>
      <c r="G32" s="79"/>
      <c r="H32" s="79"/>
      <c r="I32" s="79"/>
      <c r="J32" s="79"/>
    </row>
    <row r="33">
      <c r="C33" s="79"/>
      <c r="D33" s="79"/>
      <c r="E33" s="79"/>
      <c r="F33" s="79"/>
      <c r="G33" s="79"/>
      <c r="H33" s="79"/>
      <c r="I33" s="79"/>
      <c r="J33" s="79"/>
    </row>
    <row r="34">
      <c r="C34" s="79"/>
      <c r="D34" s="79"/>
      <c r="E34" s="79"/>
      <c r="F34" s="79"/>
      <c r="G34" s="79"/>
      <c r="H34" s="79"/>
      <c r="I34" s="79"/>
      <c r="J34" s="79"/>
    </row>
    <row r="35">
      <c r="C35" s="79"/>
      <c r="D35" s="79"/>
      <c r="E35" s="79"/>
      <c r="F35" s="79"/>
      <c r="G35" s="79"/>
      <c r="H35" s="79"/>
      <c r="I35" s="79"/>
      <c r="J35" s="79"/>
    </row>
    <row r="36">
      <c r="C36" s="79"/>
      <c r="D36" s="79"/>
      <c r="E36" s="79"/>
      <c r="F36" s="79"/>
      <c r="G36" s="79"/>
      <c r="H36" s="79"/>
      <c r="I36" s="79"/>
      <c r="J36" s="79"/>
    </row>
    <row r="37">
      <c r="C37" s="79"/>
      <c r="D37" s="79"/>
      <c r="E37" s="79"/>
      <c r="F37" s="79"/>
      <c r="G37" s="79"/>
      <c r="H37" s="79"/>
      <c r="I37" s="79"/>
      <c r="J37" s="79"/>
    </row>
    <row r="38">
      <c r="C38" s="79"/>
      <c r="D38" s="79"/>
      <c r="E38" s="79"/>
      <c r="F38" s="79"/>
      <c r="G38" s="79"/>
      <c r="H38" s="79"/>
      <c r="I38" s="79"/>
      <c r="J38" s="79"/>
    </row>
    <row r="39">
      <c r="C39" s="79"/>
      <c r="D39" s="79"/>
      <c r="E39" s="79"/>
      <c r="F39" s="79"/>
      <c r="G39" s="79"/>
      <c r="H39" s="79"/>
      <c r="I39" s="79"/>
      <c r="J39" s="79"/>
    </row>
    <row r="40">
      <c r="C40" s="79"/>
      <c r="D40" s="79"/>
      <c r="E40" s="79"/>
      <c r="F40" s="79"/>
      <c r="G40" s="79"/>
      <c r="H40" s="79"/>
      <c r="I40" s="79"/>
      <c r="J40" s="79"/>
    </row>
    <row r="41">
      <c r="C41" s="79"/>
      <c r="D41" s="79"/>
      <c r="E41" s="79"/>
      <c r="F41" s="79"/>
      <c r="G41" s="79"/>
      <c r="H41" s="79"/>
      <c r="I41" s="79"/>
      <c r="J41" s="79"/>
    </row>
    <row r="42">
      <c r="C42" s="79"/>
      <c r="D42" s="79"/>
      <c r="E42" s="79"/>
      <c r="F42" s="79"/>
      <c r="G42" s="79"/>
      <c r="H42" s="79"/>
      <c r="I42" s="79"/>
      <c r="J42" s="79"/>
    </row>
    <row r="43">
      <c r="C43" s="79"/>
      <c r="D43" s="79"/>
      <c r="E43" s="79"/>
      <c r="F43" s="79"/>
      <c r="G43" s="79"/>
      <c r="H43" s="79"/>
      <c r="I43" s="79"/>
      <c r="J43" s="79"/>
    </row>
    <row r="44">
      <c r="C44" s="79"/>
      <c r="D44" s="79"/>
      <c r="E44" s="79"/>
      <c r="F44" s="79"/>
      <c r="G44" s="79"/>
      <c r="H44" s="79"/>
      <c r="I44" s="79"/>
      <c r="J44" s="79"/>
    </row>
    <row r="45">
      <c r="C45" s="79"/>
      <c r="D45" s="79"/>
      <c r="E45" s="79"/>
      <c r="F45" s="79"/>
      <c r="G45" s="79"/>
      <c r="H45" s="79"/>
      <c r="I45" s="79"/>
      <c r="J45" s="79"/>
    </row>
    <row r="46">
      <c r="C46" s="79"/>
      <c r="D46" s="79"/>
      <c r="E46" s="79"/>
      <c r="F46" s="79"/>
      <c r="G46" s="79"/>
      <c r="H46" s="79"/>
      <c r="I46" s="79"/>
      <c r="J46" s="79"/>
    </row>
    <row r="47">
      <c r="C47" s="79"/>
      <c r="D47" s="79"/>
      <c r="E47" s="79"/>
      <c r="F47" s="79"/>
      <c r="G47" s="79"/>
      <c r="H47" s="79"/>
      <c r="I47" s="79"/>
      <c r="J47" s="79"/>
    </row>
    <row r="48">
      <c r="C48" s="79"/>
      <c r="D48" s="79"/>
      <c r="E48" s="79"/>
      <c r="F48" s="79"/>
      <c r="G48" s="79"/>
      <c r="H48" s="79"/>
      <c r="I48" s="79"/>
      <c r="J48" s="79"/>
    </row>
    <row r="49">
      <c r="C49" s="79"/>
      <c r="D49" s="79"/>
      <c r="E49" s="79"/>
      <c r="F49" s="79"/>
      <c r="G49" s="79"/>
      <c r="H49" s="79"/>
      <c r="I49" s="79"/>
      <c r="J49" s="79"/>
    </row>
    <row r="50">
      <c r="C50" s="79"/>
      <c r="D50" s="79"/>
      <c r="E50" s="79"/>
      <c r="F50" s="79"/>
      <c r="G50" s="79"/>
      <c r="H50" s="79"/>
      <c r="I50" s="79"/>
      <c r="J50" s="79"/>
    </row>
    <row r="51">
      <c r="C51" s="79"/>
      <c r="D51" s="79"/>
      <c r="E51" s="79"/>
      <c r="F51" s="79"/>
      <c r="G51" s="79"/>
      <c r="H51" s="79"/>
      <c r="I51" s="79"/>
      <c r="J51" s="79"/>
    </row>
    <row r="52">
      <c r="C52" s="79"/>
      <c r="D52" s="79"/>
      <c r="E52" s="79"/>
      <c r="F52" s="79"/>
      <c r="G52" s="79"/>
      <c r="H52" s="79"/>
      <c r="I52" s="79"/>
      <c r="J52" s="79"/>
    </row>
    <row r="53">
      <c r="C53" s="79"/>
      <c r="D53" s="79"/>
      <c r="E53" s="79"/>
      <c r="F53" s="79"/>
      <c r="G53" s="79"/>
      <c r="H53" s="79"/>
      <c r="I53" s="79"/>
      <c r="J53" s="79"/>
    </row>
    <row r="54">
      <c r="C54" s="79"/>
      <c r="D54" s="79"/>
      <c r="E54" s="79"/>
      <c r="F54" s="79"/>
      <c r="G54" s="79"/>
      <c r="H54" s="79"/>
      <c r="I54" s="79"/>
      <c r="J54" s="79"/>
    </row>
    <row r="55">
      <c r="C55" s="79"/>
      <c r="D55" s="79"/>
      <c r="E55" s="79"/>
      <c r="F55" s="79"/>
      <c r="G55" s="79"/>
      <c r="H55" s="79"/>
      <c r="I55" s="79"/>
      <c r="J55" s="79"/>
    </row>
    <row r="56">
      <c r="C56" s="79"/>
      <c r="D56" s="79"/>
      <c r="E56" s="79"/>
      <c r="F56" s="79"/>
      <c r="G56" s="79"/>
      <c r="H56" s="79"/>
      <c r="I56" s="79"/>
      <c r="J56" s="79"/>
    </row>
    <row r="57">
      <c r="C57" s="79"/>
      <c r="D57" s="79"/>
      <c r="E57" s="79"/>
      <c r="F57" s="79"/>
      <c r="G57" s="79"/>
      <c r="H57" s="79"/>
      <c r="I57" s="79"/>
      <c r="J57" s="79"/>
    </row>
    <row r="58">
      <c r="C58" s="79"/>
      <c r="D58" s="79"/>
      <c r="E58" s="79"/>
      <c r="F58" s="79"/>
      <c r="G58" s="79"/>
      <c r="H58" s="79"/>
      <c r="I58" s="79"/>
      <c r="J58" s="79"/>
    </row>
    <row r="59">
      <c r="C59" s="79"/>
      <c r="D59" s="79"/>
      <c r="E59" s="79"/>
      <c r="F59" s="79"/>
      <c r="G59" s="79"/>
      <c r="H59" s="79"/>
      <c r="I59" s="79"/>
      <c r="J59" s="79"/>
    </row>
    <row r="60">
      <c r="C60" s="79"/>
      <c r="D60" s="79"/>
      <c r="E60" s="79"/>
      <c r="F60" s="79"/>
      <c r="G60" s="79"/>
      <c r="H60" s="79"/>
      <c r="I60" s="79"/>
      <c r="J60" s="79"/>
    </row>
    <row r="61">
      <c r="C61" s="79"/>
      <c r="D61" s="79"/>
      <c r="E61" s="79"/>
      <c r="F61" s="79"/>
      <c r="G61" s="79"/>
      <c r="H61" s="79"/>
      <c r="I61" s="79"/>
      <c r="J61" s="79"/>
    </row>
    <row r="62">
      <c r="C62" s="79"/>
      <c r="D62" s="79"/>
      <c r="E62" s="79"/>
      <c r="F62" s="79"/>
      <c r="G62" s="79"/>
      <c r="H62" s="79"/>
      <c r="I62" s="79"/>
      <c r="J62" s="79"/>
    </row>
    <row r="63">
      <c r="C63" s="79"/>
      <c r="D63" s="79"/>
      <c r="E63" s="79"/>
      <c r="F63" s="79"/>
      <c r="G63" s="79"/>
      <c r="H63" s="79"/>
      <c r="I63" s="79"/>
      <c r="J63" s="79"/>
    </row>
    <row r="64">
      <c r="C64" s="79"/>
      <c r="D64" s="79"/>
      <c r="E64" s="79"/>
      <c r="F64" s="79"/>
      <c r="G64" s="79"/>
      <c r="H64" s="79"/>
      <c r="I64" s="79"/>
      <c r="J64" s="79"/>
    </row>
    <row r="65">
      <c r="C65" s="79"/>
      <c r="D65" s="79"/>
      <c r="E65" s="79"/>
      <c r="F65" s="79"/>
      <c r="G65" s="79"/>
      <c r="H65" s="79"/>
      <c r="I65" s="79"/>
      <c r="J65" s="79"/>
    </row>
    <row r="66">
      <c r="C66" s="79"/>
      <c r="D66" s="79"/>
      <c r="E66" s="79"/>
      <c r="F66" s="79"/>
      <c r="G66" s="79"/>
      <c r="H66" s="79"/>
      <c r="I66" s="79"/>
      <c r="J66" s="79"/>
    </row>
    <row r="67">
      <c r="C67" s="79"/>
      <c r="D67" s="79"/>
      <c r="E67" s="79"/>
      <c r="F67" s="79"/>
      <c r="G67" s="79"/>
      <c r="H67" s="79"/>
      <c r="I67" s="79"/>
      <c r="J67" s="79"/>
    </row>
    <row r="68">
      <c r="C68" s="79"/>
      <c r="D68" s="79"/>
      <c r="E68" s="79"/>
      <c r="F68" s="79"/>
      <c r="G68" s="79"/>
      <c r="H68" s="79"/>
      <c r="I68" s="79"/>
      <c r="J68" s="79"/>
    </row>
    <row r="69">
      <c r="C69" s="79"/>
      <c r="D69" s="79"/>
      <c r="E69" s="79"/>
      <c r="F69" s="79"/>
      <c r="G69" s="79"/>
      <c r="H69" s="79"/>
      <c r="I69" s="79"/>
      <c r="J69" s="79"/>
    </row>
    <row r="70">
      <c r="C70" s="79"/>
      <c r="D70" s="79"/>
      <c r="E70" s="79"/>
      <c r="F70" s="79"/>
      <c r="G70" s="79"/>
      <c r="H70" s="79"/>
      <c r="I70" s="79"/>
      <c r="J70" s="79"/>
    </row>
    <row r="71">
      <c r="C71" s="79"/>
      <c r="D71" s="79"/>
      <c r="E71" s="79"/>
      <c r="F71" s="79"/>
      <c r="G71" s="79"/>
      <c r="H71" s="79"/>
      <c r="I71" s="79"/>
      <c r="J71" s="79"/>
    </row>
    <row r="72">
      <c r="C72" s="79"/>
      <c r="D72" s="79"/>
      <c r="E72" s="79"/>
      <c r="F72" s="79"/>
      <c r="G72" s="79"/>
      <c r="H72" s="79"/>
      <c r="I72" s="79"/>
      <c r="J72" s="79"/>
    </row>
    <row r="73">
      <c r="C73" s="79"/>
      <c r="D73" s="79"/>
      <c r="E73" s="79"/>
      <c r="F73" s="79"/>
      <c r="G73" s="79"/>
      <c r="H73" s="79"/>
      <c r="I73" s="79"/>
      <c r="J73" s="79"/>
    </row>
    <row r="74">
      <c r="C74" s="79"/>
      <c r="D74" s="79"/>
      <c r="E74" s="79"/>
      <c r="F74" s="79"/>
      <c r="G74" s="79"/>
      <c r="H74" s="79"/>
      <c r="I74" s="79"/>
      <c r="J74" s="79"/>
    </row>
    <row r="75">
      <c r="C75" s="79"/>
      <c r="D75" s="79"/>
      <c r="E75" s="79"/>
      <c r="F75" s="79"/>
      <c r="G75" s="79"/>
      <c r="H75" s="79"/>
      <c r="I75" s="79"/>
      <c r="J75" s="79"/>
    </row>
    <row r="76">
      <c r="C76" s="79"/>
      <c r="D76" s="79"/>
      <c r="E76" s="79"/>
      <c r="F76" s="79"/>
      <c r="G76" s="79"/>
      <c r="H76" s="79"/>
      <c r="I76" s="79"/>
      <c r="J76" s="79"/>
    </row>
    <row r="77">
      <c r="C77" s="79"/>
      <c r="D77" s="79"/>
      <c r="E77" s="79"/>
      <c r="F77" s="79"/>
      <c r="G77" s="79"/>
      <c r="H77" s="79"/>
      <c r="I77" s="79"/>
      <c r="J77" s="79"/>
    </row>
    <row r="78">
      <c r="C78" s="79"/>
      <c r="D78" s="79"/>
      <c r="E78" s="79"/>
      <c r="F78" s="79"/>
      <c r="G78" s="79"/>
      <c r="H78" s="79"/>
      <c r="I78" s="79"/>
      <c r="J78" s="79"/>
    </row>
    <row r="79">
      <c r="C79" s="79"/>
      <c r="D79" s="79"/>
      <c r="E79" s="79"/>
      <c r="F79" s="79"/>
      <c r="G79" s="79"/>
      <c r="H79" s="79"/>
      <c r="I79" s="79"/>
      <c r="J79" s="79"/>
    </row>
    <row r="80">
      <c r="C80" s="79"/>
      <c r="D80" s="79"/>
      <c r="E80" s="79"/>
      <c r="F80" s="79"/>
      <c r="G80" s="79"/>
      <c r="H80" s="79"/>
      <c r="I80" s="79"/>
      <c r="J80" s="79"/>
    </row>
    <row r="81">
      <c r="C81" s="79"/>
      <c r="D81" s="79"/>
      <c r="E81" s="79"/>
      <c r="F81" s="79"/>
      <c r="G81" s="79"/>
      <c r="H81" s="79"/>
      <c r="I81" s="79"/>
      <c r="J81" s="79"/>
    </row>
    <row r="82">
      <c r="C82" s="79"/>
      <c r="D82" s="79"/>
      <c r="E82" s="79"/>
      <c r="F82" s="79"/>
      <c r="G82" s="79"/>
      <c r="H82" s="79"/>
      <c r="I82" s="79"/>
      <c r="J82" s="79"/>
    </row>
    <row r="83">
      <c r="C83" s="79"/>
      <c r="D83" s="79"/>
      <c r="E83" s="79"/>
      <c r="F83" s="79"/>
      <c r="G83" s="79"/>
      <c r="H83" s="79"/>
      <c r="I83" s="79"/>
      <c r="J83" s="79"/>
    </row>
    <row r="84">
      <c r="C84" s="79"/>
      <c r="D84" s="79"/>
      <c r="E84" s="79"/>
      <c r="F84" s="79"/>
      <c r="G84" s="79"/>
      <c r="H84" s="79"/>
      <c r="I84" s="79"/>
      <c r="J84" s="79"/>
    </row>
    <row r="85">
      <c r="C85" s="79"/>
      <c r="D85" s="79"/>
      <c r="E85" s="79"/>
      <c r="F85" s="79"/>
      <c r="G85" s="79"/>
      <c r="H85" s="79"/>
      <c r="I85" s="79"/>
      <c r="J85" s="79"/>
    </row>
    <row r="86">
      <c r="C86" s="79"/>
      <c r="D86" s="79"/>
      <c r="E86" s="79"/>
      <c r="F86" s="79"/>
      <c r="G86" s="79"/>
      <c r="H86" s="79"/>
      <c r="I86" s="79"/>
      <c r="J86" s="79"/>
    </row>
    <row r="87">
      <c r="C87" s="79"/>
      <c r="D87" s="79"/>
      <c r="E87" s="79"/>
      <c r="F87" s="79"/>
      <c r="G87" s="79"/>
      <c r="H87" s="79"/>
      <c r="I87" s="79"/>
      <c r="J87" s="79"/>
    </row>
    <row r="88">
      <c r="C88" s="79"/>
      <c r="D88" s="79"/>
      <c r="E88" s="79"/>
      <c r="F88" s="79"/>
      <c r="G88" s="79"/>
      <c r="H88" s="79"/>
      <c r="I88" s="79"/>
      <c r="J88" s="79"/>
    </row>
    <row r="89">
      <c r="C89" s="79"/>
      <c r="D89" s="79"/>
      <c r="E89" s="79"/>
      <c r="F89" s="79"/>
      <c r="G89" s="79"/>
      <c r="H89" s="79"/>
      <c r="I89" s="79"/>
      <c r="J89" s="79"/>
    </row>
    <row r="90">
      <c r="C90" s="79"/>
      <c r="D90" s="79"/>
      <c r="E90" s="79"/>
      <c r="F90" s="79"/>
      <c r="G90" s="79"/>
      <c r="H90" s="79"/>
      <c r="I90" s="79"/>
      <c r="J90" s="79"/>
    </row>
    <row r="91">
      <c r="C91" s="79"/>
      <c r="D91" s="79"/>
      <c r="E91" s="79"/>
      <c r="F91" s="79"/>
      <c r="G91" s="79"/>
      <c r="H91" s="79"/>
      <c r="I91" s="79"/>
      <c r="J91" s="79"/>
    </row>
    <row r="92">
      <c r="C92" s="79"/>
      <c r="D92" s="79"/>
      <c r="E92" s="79"/>
      <c r="F92" s="79"/>
      <c r="G92" s="79"/>
      <c r="H92" s="79"/>
      <c r="I92" s="79"/>
      <c r="J92" s="79"/>
    </row>
    <row r="93">
      <c r="C93" s="79"/>
      <c r="D93" s="79"/>
      <c r="E93" s="79"/>
      <c r="F93" s="79"/>
      <c r="G93" s="79"/>
      <c r="H93" s="79"/>
      <c r="I93" s="79"/>
      <c r="J93" s="79"/>
    </row>
    <row r="94">
      <c r="C94" s="79"/>
      <c r="D94" s="79"/>
      <c r="E94" s="79"/>
      <c r="F94" s="79"/>
      <c r="G94" s="79"/>
      <c r="H94" s="79"/>
      <c r="I94" s="79"/>
      <c r="J94" s="79"/>
    </row>
    <row r="95">
      <c r="C95" s="79"/>
      <c r="D95" s="79"/>
      <c r="E95" s="79"/>
      <c r="F95" s="79"/>
      <c r="G95" s="79"/>
      <c r="H95" s="79"/>
      <c r="I95" s="79"/>
      <c r="J95" s="79"/>
    </row>
    <row r="96">
      <c r="C96" s="79"/>
      <c r="D96" s="79"/>
      <c r="E96" s="79"/>
      <c r="F96" s="79"/>
      <c r="G96" s="79"/>
      <c r="H96" s="79"/>
      <c r="I96" s="79"/>
      <c r="J96" s="79"/>
    </row>
    <row r="97">
      <c r="C97" s="79"/>
      <c r="D97" s="79"/>
      <c r="E97" s="79"/>
      <c r="F97" s="79"/>
      <c r="G97" s="79"/>
      <c r="H97" s="79"/>
      <c r="I97" s="79"/>
      <c r="J97" s="79"/>
    </row>
    <row r="98">
      <c r="C98" s="79"/>
      <c r="D98" s="79"/>
      <c r="E98" s="79"/>
      <c r="F98" s="79"/>
      <c r="G98" s="79"/>
      <c r="H98" s="79"/>
      <c r="I98" s="79"/>
      <c r="J98" s="79"/>
    </row>
    <row r="99">
      <c r="C99" s="79"/>
      <c r="D99" s="79"/>
      <c r="E99" s="79"/>
      <c r="F99" s="79"/>
      <c r="G99" s="79"/>
      <c r="H99" s="79"/>
      <c r="I99" s="79"/>
      <c r="J99" s="79"/>
    </row>
    <row r="100">
      <c r="C100" s="79"/>
      <c r="D100" s="79"/>
      <c r="E100" s="79"/>
      <c r="F100" s="79"/>
      <c r="G100" s="79"/>
      <c r="H100" s="79"/>
      <c r="I100" s="79"/>
      <c r="J100" s="79"/>
    </row>
    <row r="101">
      <c r="C101" s="79"/>
      <c r="D101" s="79"/>
      <c r="E101" s="79"/>
      <c r="F101" s="79"/>
      <c r="G101" s="79"/>
      <c r="H101" s="79"/>
      <c r="I101" s="79"/>
      <c r="J101" s="79"/>
    </row>
    <row r="102">
      <c r="C102" s="79"/>
      <c r="D102" s="79"/>
      <c r="E102" s="79"/>
      <c r="F102" s="79"/>
      <c r="G102" s="79"/>
      <c r="H102" s="79"/>
      <c r="I102" s="79"/>
      <c r="J102" s="79"/>
    </row>
    <row r="103">
      <c r="C103" s="79"/>
      <c r="D103" s="79"/>
      <c r="E103" s="79"/>
      <c r="F103" s="79"/>
      <c r="G103" s="79"/>
      <c r="H103" s="79"/>
      <c r="I103" s="79"/>
      <c r="J103" s="79"/>
    </row>
    <row r="104">
      <c r="C104" s="79"/>
      <c r="D104" s="79"/>
      <c r="E104" s="79"/>
      <c r="F104" s="79"/>
      <c r="G104" s="79"/>
      <c r="H104" s="79"/>
      <c r="I104" s="79"/>
      <c r="J104" s="79"/>
    </row>
    <row r="105">
      <c r="C105" s="79"/>
      <c r="D105" s="79"/>
      <c r="E105" s="79"/>
      <c r="F105" s="79"/>
      <c r="G105" s="79"/>
      <c r="H105" s="79"/>
      <c r="I105" s="79"/>
      <c r="J105" s="79"/>
    </row>
    <row r="106">
      <c r="C106" s="79"/>
      <c r="D106" s="79"/>
      <c r="E106" s="79"/>
      <c r="F106" s="79"/>
      <c r="G106" s="79"/>
      <c r="H106" s="79"/>
      <c r="I106" s="79"/>
      <c r="J106" s="79"/>
    </row>
    <row r="107">
      <c r="C107" s="79"/>
      <c r="D107" s="79"/>
      <c r="E107" s="79"/>
      <c r="F107" s="79"/>
      <c r="G107" s="79"/>
      <c r="H107" s="79"/>
      <c r="I107" s="79"/>
      <c r="J107" s="79"/>
    </row>
    <row r="108">
      <c r="C108" s="79"/>
      <c r="D108" s="79"/>
      <c r="E108" s="79"/>
      <c r="F108" s="79"/>
      <c r="G108" s="79"/>
      <c r="H108" s="79"/>
      <c r="I108" s="79"/>
      <c r="J108" s="79"/>
    </row>
    <row r="109">
      <c r="C109" s="79"/>
      <c r="D109" s="79"/>
      <c r="E109" s="79"/>
      <c r="F109" s="79"/>
      <c r="G109" s="79"/>
      <c r="H109" s="79"/>
      <c r="I109" s="79"/>
      <c r="J109" s="79"/>
    </row>
    <row r="110">
      <c r="C110" s="79"/>
      <c r="D110" s="79"/>
      <c r="E110" s="79"/>
      <c r="F110" s="79"/>
      <c r="G110" s="79"/>
      <c r="H110" s="79"/>
      <c r="I110" s="79"/>
      <c r="J110" s="79"/>
    </row>
    <row r="111">
      <c r="C111" s="79"/>
      <c r="D111" s="79"/>
      <c r="E111" s="79"/>
      <c r="F111" s="79"/>
      <c r="G111" s="79"/>
      <c r="H111" s="79"/>
      <c r="I111" s="79"/>
      <c r="J111" s="79"/>
    </row>
    <row r="112">
      <c r="C112" s="79"/>
      <c r="D112" s="79"/>
      <c r="E112" s="79"/>
      <c r="F112" s="79"/>
      <c r="G112" s="79"/>
      <c r="H112" s="79"/>
      <c r="I112" s="79"/>
      <c r="J112" s="79"/>
    </row>
    <row r="113">
      <c r="C113" s="79"/>
      <c r="D113" s="79"/>
      <c r="E113" s="79"/>
      <c r="F113" s="79"/>
      <c r="G113" s="79"/>
      <c r="H113" s="79"/>
      <c r="I113" s="79"/>
      <c r="J113" s="79"/>
    </row>
    <row r="114">
      <c r="C114" s="79"/>
      <c r="D114" s="79"/>
      <c r="E114" s="79"/>
      <c r="F114" s="79"/>
      <c r="G114" s="79"/>
      <c r="H114" s="79"/>
      <c r="I114" s="79"/>
      <c r="J114" s="79"/>
    </row>
    <row r="115">
      <c r="C115" s="79"/>
      <c r="D115" s="79"/>
      <c r="E115" s="79"/>
      <c r="F115" s="79"/>
      <c r="G115" s="79"/>
      <c r="H115" s="79"/>
      <c r="I115" s="79"/>
      <c r="J115" s="79"/>
    </row>
    <row r="116">
      <c r="C116" s="79"/>
      <c r="D116" s="79"/>
      <c r="E116" s="79"/>
      <c r="F116" s="79"/>
      <c r="G116" s="79"/>
      <c r="H116" s="79"/>
      <c r="I116" s="79"/>
      <c r="J116" s="79"/>
    </row>
    <row r="117">
      <c r="C117" s="79"/>
      <c r="D117" s="79"/>
      <c r="E117" s="79"/>
      <c r="F117" s="79"/>
      <c r="G117" s="79"/>
      <c r="H117" s="79"/>
      <c r="I117" s="79"/>
      <c r="J117" s="79"/>
    </row>
    <row r="118">
      <c r="C118" s="79"/>
      <c r="D118" s="79"/>
      <c r="E118" s="79"/>
      <c r="F118" s="79"/>
      <c r="G118" s="79"/>
      <c r="H118" s="79"/>
      <c r="I118" s="79"/>
      <c r="J118" s="79"/>
    </row>
    <row r="119">
      <c r="C119" s="79"/>
      <c r="D119" s="79"/>
      <c r="E119" s="79"/>
      <c r="F119" s="79"/>
      <c r="G119" s="79"/>
      <c r="H119" s="79"/>
      <c r="I119" s="79"/>
      <c r="J119" s="79"/>
    </row>
    <row r="120">
      <c r="C120" s="79"/>
      <c r="D120" s="79"/>
      <c r="E120" s="79"/>
      <c r="F120" s="79"/>
      <c r="G120" s="79"/>
      <c r="H120" s="79"/>
      <c r="I120" s="79"/>
      <c r="J120" s="79"/>
    </row>
    <row r="121">
      <c r="C121" s="79"/>
      <c r="D121" s="79"/>
      <c r="E121" s="79"/>
      <c r="F121" s="79"/>
      <c r="G121" s="79"/>
      <c r="H121" s="79"/>
      <c r="I121" s="79"/>
      <c r="J121" s="79"/>
    </row>
    <row r="122">
      <c r="C122" s="79"/>
      <c r="D122" s="79"/>
      <c r="E122" s="79"/>
      <c r="F122" s="79"/>
      <c r="G122" s="79"/>
      <c r="H122" s="79"/>
      <c r="I122" s="79"/>
      <c r="J122" s="79"/>
    </row>
    <row r="123">
      <c r="C123" s="79"/>
      <c r="D123" s="79"/>
      <c r="E123" s="79"/>
      <c r="F123" s="79"/>
      <c r="G123" s="79"/>
      <c r="H123" s="79"/>
      <c r="I123" s="79"/>
      <c r="J123" s="79"/>
    </row>
    <row r="124">
      <c r="C124" s="79"/>
      <c r="D124" s="79"/>
      <c r="E124" s="79"/>
      <c r="F124" s="79"/>
      <c r="G124" s="79"/>
      <c r="H124" s="79"/>
      <c r="I124" s="79"/>
      <c r="J124" s="79"/>
    </row>
    <row r="125">
      <c r="C125" s="79"/>
      <c r="D125" s="79"/>
      <c r="E125" s="79"/>
      <c r="F125" s="79"/>
      <c r="G125" s="79"/>
      <c r="H125" s="79"/>
      <c r="I125" s="79"/>
      <c r="J125" s="79"/>
    </row>
    <row r="126">
      <c r="C126" s="79"/>
      <c r="D126" s="79"/>
      <c r="E126" s="79"/>
      <c r="F126" s="79"/>
      <c r="G126" s="79"/>
      <c r="H126" s="79"/>
      <c r="I126" s="79"/>
      <c r="J126" s="79"/>
    </row>
    <row r="127">
      <c r="C127" s="79"/>
      <c r="D127" s="79"/>
      <c r="E127" s="79"/>
      <c r="F127" s="79"/>
      <c r="G127" s="79"/>
      <c r="H127" s="79"/>
      <c r="I127" s="79"/>
      <c r="J127" s="79"/>
    </row>
    <row r="128">
      <c r="C128" s="79"/>
      <c r="D128" s="79"/>
      <c r="E128" s="79"/>
      <c r="F128" s="79"/>
      <c r="G128" s="79"/>
      <c r="H128" s="79"/>
      <c r="I128" s="79"/>
      <c r="J128" s="79"/>
    </row>
    <row r="129">
      <c r="C129" s="79"/>
      <c r="D129" s="79"/>
      <c r="E129" s="79"/>
      <c r="F129" s="79"/>
      <c r="G129" s="79"/>
      <c r="H129" s="79"/>
      <c r="I129" s="79"/>
      <c r="J129" s="79"/>
    </row>
    <row r="130">
      <c r="C130" s="79"/>
      <c r="D130" s="79"/>
      <c r="E130" s="79"/>
      <c r="F130" s="79"/>
      <c r="G130" s="79"/>
      <c r="H130" s="79"/>
      <c r="I130" s="79"/>
      <c r="J130" s="79"/>
    </row>
    <row r="131">
      <c r="C131" s="79"/>
      <c r="D131" s="79"/>
      <c r="E131" s="79"/>
      <c r="F131" s="79"/>
      <c r="G131" s="79"/>
      <c r="H131" s="79"/>
      <c r="I131" s="79"/>
      <c r="J131" s="79"/>
    </row>
    <row r="132">
      <c r="C132" s="79"/>
      <c r="D132" s="79"/>
      <c r="E132" s="79"/>
      <c r="F132" s="79"/>
      <c r="G132" s="79"/>
      <c r="H132" s="79"/>
      <c r="I132" s="79"/>
      <c r="J132" s="79"/>
    </row>
    <row r="133">
      <c r="C133" s="79"/>
      <c r="D133" s="79"/>
      <c r="E133" s="79"/>
      <c r="F133" s="79"/>
      <c r="G133" s="79"/>
      <c r="H133" s="79"/>
      <c r="I133" s="79"/>
      <c r="J133" s="79"/>
    </row>
    <row r="134">
      <c r="C134" s="79"/>
      <c r="D134" s="79"/>
      <c r="E134" s="79"/>
      <c r="F134" s="79"/>
      <c r="G134" s="79"/>
      <c r="H134" s="79"/>
      <c r="I134" s="79"/>
      <c r="J134" s="79"/>
    </row>
    <row r="135">
      <c r="C135" s="79"/>
      <c r="D135" s="79"/>
      <c r="E135" s="79"/>
      <c r="F135" s="79"/>
      <c r="G135" s="79"/>
      <c r="H135" s="79"/>
      <c r="I135" s="79"/>
      <c r="J135" s="79"/>
    </row>
    <row r="136">
      <c r="C136" s="79"/>
      <c r="D136" s="79"/>
      <c r="E136" s="79"/>
      <c r="F136" s="79"/>
      <c r="G136" s="79"/>
      <c r="H136" s="79"/>
      <c r="I136" s="79"/>
      <c r="J136" s="79"/>
    </row>
    <row r="137">
      <c r="C137" s="79"/>
      <c r="D137" s="79"/>
      <c r="E137" s="79"/>
      <c r="F137" s="79"/>
      <c r="G137" s="79"/>
      <c r="H137" s="79"/>
      <c r="I137" s="79"/>
      <c r="J137" s="79"/>
    </row>
    <row r="138">
      <c r="C138" s="79"/>
      <c r="D138" s="79"/>
      <c r="E138" s="79"/>
      <c r="F138" s="79"/>
      <c r="G138" s="79"/>
      <c r="H138" s="79"/>
      <c r="I138" s="79"/>
      <c r="J138" s="79"/>
    </row>
    <row r="139">
      <c r="C139" s="79"/>
      <c r="D139" s="79"/>
      <c r="E139" s="79"/>
      <c r="F139" s="79"/>
      <c r="G139" s="79"/>
      <c r="H139" s="79"/>
      <c r="I139" s="79"/>
      <c r="J139" s="79"/>
    </row>
    <row r="140">
      <c r="C140" s="79"/>
      <c r="D140" s="79"/>
      <c r="E140" s="79"/>
      <c r="F140" s="79"/>
      <c r="G140" s="79"/>
      <c r="H140" s="79"/>
      <c r="I140" s="79"/>
      <c r="J140" s="79"/>
    </row>
    <row r="141">
      <c r="C141" s="79"/>
      <c r="D141" s="79"/>
      <c r="E141" s="79"/>
      <c r="F141" s="79"/>
      <c r="G141" s="79"/>
      <c r="H141" s="79"/>
      <c r="I141" s="79"/>
      <c r="J141" s="79"/>
    </row>
    <row r="142">
      <c r="C142" s="79"/>
      <c r="D142" s="79"/>
      <c r="E142" s="79"/>
      <c r="F142" s="79"/>
      <c r="G142" s="79"/>
      <c r="H142" s="79"/>
      <c r="I142" s="79"/>
      <c r="J142" s="79"/>
    </row>
    <row r="143">
      <c r="C143" s="79"/>
      <c r="D143" s="79"/>
      <c r="E143" s="79"/>
      <c r="F143" s="79"/>
      <c r="G143" s="79"/>
      <c r="H143" s="79"/>
      <c r="I143" s="79"/>
      <c r="J143" s="79"/>
    </row>
    <row r="144">
      <c r="C144" s="79"/>
      <c r="D144" s="79"/>
      <c r="E144" s="79"/>
      <c r="F144" s="79"/>
      <c r="G144" s="79"/>
      <c r="H144" s="79"/>
      <c r="I144" s="79"/>
      <c r="J144" s="79"/>
    </row>
    <row r="145">
      <c r="C145" s="79"/>
      <c r="D145" s="79"/>
      <c r="E145" s="79"/>
      <c r="F145" s="79"/>
      <c r="G145" s="79"/>
      <c r="H145" s="79"/>
      <c r="I145" s="79"/>
      <c r="J145" s="79"/>
    </row>
    <row r="146">
      <c r="C146" s="79"/>
      <c r="D146" s="79"/>
      <c r="E146" s="79"/>
      <c r="F146" s="79"/>
      <c r="G146" s="79"/>
      <c r="H146" s="79"/>
      <c r="I146" s="79"/>
      <c r="J146" s="79"/>
    </row>
    <row r="147">
      <c r="C147" s="79"/>
      <c r="D147" s="79"/>
      <c r="E147" s="79"/>
      <c r="F147" s="79"/>
      <c r="G147" s="79"/>
      <c r="H147" s="79"/>
      <c r="I147" s="79"/>
      <c r="J147" s="79"/>
    </row>
    <row r="148">
      <c r="C148" s="79"/>
      <c r="D148" s="79"/>
      <c r="E148" s="79"/>
      <c r="F148" s="79"/>
      <c r="G148" s="79"/>
      <c r="H148" s="79"/>
      <c r="I148" s="79"/>
      <c r="J148" s="79"/>
    </row>
    <row r="149">
      <c r="C149" s="79"/>
      <c r="D149" s="79"/>
      <c r="E149" s="79"/>
      <c r="F149" s="79"/>
      <c r="G149" s="79"/>
      <c r="H149" s="79"/>
      <c r="I149" s="79"/>
      <c r="J149" s="79"/>
    </row>
    <row r="150">
      <c r="C150" s="79"/>
      <c r="D150" s="79"/>
      <c r="E150" s="79"/>
      <c r="F150" s="79"/>
      <c r="G150" s="79"/>
      <c r="H150" s="79"/>
      <c r="I150" s="79"/>
      <c r="J150" s="79"/>
    </row>
    <row r="151">
      <c r="C151" s="79"/>
      <c r="D151" s="79"/>
      <c r="E151" s="79"/>
      <c r="F151" s="79"/>
      <c r="G151" s="79"/>
      <c r="H151" s="79"/>
      <c r="I151" s="79"/>
      <c r="J151" s="79"/>
    </row>
    <row r="152">
      <c r="C152" s="79"/>
      <c r="D152" s="79"/>
      <c r="E152" s="79"/>
      <c r="F152" s="79"/>
      <c r="G152" s="79"/>
      <c r="H152" s="79"/>
      <c r="I152" s="79"/>
      <c r="J152" s="79"/>
    </row>
    <row r="153">
      <c r="C153" s="79"/>
      <c r="D153" s="79"/>
      <c r="E153" s="79"/>
      <c r="F153" s="79"/>
      <c r="G153" s="79"/>
      <c r="H153" s="79"/>
      <c r="I153" s="79"/>
      <c r="J153" s="79"/>
    </row>
    <row r="154">
      <c r="C154" s="79"/>
      <c r="D154" s="79"/>
      <c r="E154" s="79"/>
      <c r="F154" s="79"/>
      <c r="G154" s="79"/>
      <c r="H154" s="79"/>
      <c r="I154" s="79"/>
      <c r="J154" s="79"/>
    </row>
    <row r="155">
      <c r="C155" s="79"/>
      <c r="D155" s="79"/>
      <c r="E155" s="79"/>
      <c r="F155" s="79"/>
      <c r="G155" s="79"/>
      <c r="H155" s="79"/>
      <c r="I155" s="79"/>
      <c r="J155" s="79"/>
    </row>
    <row r="156">
      <c r="C156" s="79"/>
      <c r="D156" s="79"/>
      <c r="E156" s="79"/>
      <c r="F156" s="79"/>
      <c r="G156" s="79"/>
      <c r="H156" s="79"/>
      <c r="I156" s="79"/>
      <c r="J156" s="79"/>
    </row>
    <row r="157">
      <c r="C157" s="79"/>
      <c r="D157" s="79"/>
      <c r="E157" s="79"/>
      <c r="F157" s="79"/>
      <c r="G157" s="79"/>
      <c r="H157" s="79"/>
      <c r="I157" s="79"/>
      <c r="J157" s="79"/>
    </row>
    <row r="158">
      <c r="C158" s="79"/>
      <c r="D158" s="79"/>
      <c r="E158" s="79"/>
      <c r="F158" s="79"/>
      <c r="G158" s="79"/>
      <c r="H158" s="79"/>
      <c r="I158" s="79"/>
      <c r="J158" s="79"/>
    </row>
    <row r="159">
      <c r="C159" s="79"/>
      <c r="D159" s="79"/>
      <c r="E159" s="79"/>
      <c r="F159" s="79"/>
      <c r="G159" s="79"/>
      <c r="H159" s="79"/>
      <c r="I159" s="79"/>
      <c r="J159" s="79"/>
    </row>
    <row r="160">
      <c r="C160" s="79"/>
      <c r="D160" s="79"/>
      <c r="E160" s="79"/>
      <c r="F160" s="79"/>
      <c r="G160" s="79"/>
      <c r="H160" s="79"/>
      <c r="I160" s="79"/>
      <c r="J160" s="79"/>
    </row>
    <row r="161">
      <c r="C161" s="79"/>
      <c r="D161" s="79"/>
      <c r="E161" s="79"/>
      <c r="F161" s="79"/>
      <c r="G161" s="79"/>
      <c r="H161" s="79"/>
      <c r="I161" s="79"/>
      <c r="J161" s="79"/>
    </row>
    <row r="162">
      <c r="C162" s="79"/>
      <c r="D162" s="79"/>
      <c r="E162" s="79"/>
      <c r="F162" s="79"/>
      <c r="G162" s="79"/>
      <c r="H162" s="79"/>
      <c r="I162" s="79"/>
      <c r="J162" s="79"/>
    </row>
    <row r="163">
      <c r="C163" s="79"/>
      <c r="D163" s="79"/>
      <c r="E163" s="79"/>
      <c r="F163" s="79"/>
      <c r="G163" s="79"/>
      <c r="H163" s="79"/>
      <c r="I163" s="79"/>
      <c r="J163" s="79"/>
    </row>
    <row r="164">
      <c r="C164" s="79"/>
      <c r="D164" s="79"/>
      <c r="E164" s="79"/>
      <c r="F164" s="79"/>
      <c r="G164" s="79"/>
      <c r="H164" s="79"/>
      <c r="I164" s="79"/>
      <c r="J164" s="79"/>
    </row>
    <row r="165">
      <c r="C165" s="79"/>
      <c r="D165" s="79"/>
      <c r="E165" s="79"/>
      <c r="F165" s="79"/>
      <c r="G165" s="79"/>
      <c r="H165" s="79"/>
      <c r="I165" s="79"/>
      <c r="J165" s="79"/>
    </row>
    <row r="166">
      <c r="C166" s="79"/>
      <c r="D166" s="79"/>
      <c r="E166" s="79"/>
      <c r="F166" s="79"/>
      <c r="G166" s="79"/>
      <c r="H166" s="79"/>
      <c r="I166" s="79"/>
      <c r="J166" s="79"/>
    </row>
    <row r="167">
      <c r="C167" s="79"/>
      <c r="D167" s="79"/>
      <c r="E167" s="79"/>
      <c r="F167" s="79"/>
      <c r="G167" s="79"/>
      <c r="H167" s="79"/>
      <c r="I167" s="79"/>
      <c r="J167" s="79"/>
    </row>
    <row r="168">
      <c r="C168" s="79"/>
      <c r="D168" s="79"/>
      <c r="E168" s="79"/>
      <c r="F168" s="79"/>
      <c r="G168" s="79"/>
      <c r="H168" s="79"/>
      <c r="I168" s="79"/>
      <c r="J168" s="79"/>
    </row>
    <row r="169">
      <c r="C169" s="79"/>
      <c r="D169" s="79"/>
      <c r="E169" s="79"/>
      <c r="F169" s="79"/>
      <c r="G169" s="79"/>
      <c r="H169" s="79"/>
      <c r="I169" s="79"/>
      <c r="J169" s="79"/>
    </row>
    <row r="170">
      <c r="C170" s="79"/>
      <c r="D170" s="79"/>
      <c r="E170" s="79"/>
      <c r="F170" s="79"/>
      <c r="G170" s="79"/>
      <c r="H170" s="79"/>
      <c r="I170" s="79"/>
      <c r="J170" s="79"/>
    </row>
    <row r="171">
      <c r="C171" s="79"/>
      <c r="D171" s="79"/>
      <c r="E171" s="79"/>
      <c r="F171" s="79"/>
      <c r="G171" s="79"/>
      <c r="H171" s="79"/>
      <c r="I171" s="79"/>
      <c r="J171" s="79"/>
    </row>
    <row r="172">
      <c r="C172" s="79"/>
      <c r="D172" s="79"/>
      <c r="E172" s="79"/>
      <c r="F172" s="79"/>
      <c r="G172" s="79"/>
      <c r="H172" s="79"/>
      <c r="I172" s="79"/>
      <c r="J172" s="79"/>
    </row>
    <row r="173">
      <c r="C173" s="79"/>
      <c r="D173" s="79"/>
      <c r="E173" s="79"/>
      <c r="F173" s="79"/>
      <c r="G173" s="79"/>
      <c r="H173" s="79"/>
      <c r="I173" s="79"/>
      <c r="J173" s="79"/>
    </row>
    <row r="174">
      <c r="C174" s="79"/>
      <c r="D174" s="79"/>
      <c r="E174" s="79"/>
      <c r="F174" s="79"/>
      <c r="G174" s="79"/>
      <c r="H174" s="79"/>
      <c r="I174" s="79"/>
      <c r="J174" s="79"/>
    </row>
    <row r="175">
      <c r="C175" s="79"/>
      <c r="D175" s="79"/>
      <c r="E175" s="79"/>
      <c r="F175" s="79"/>
      <c r="G175" s="79"/>
      <c r="H175" s="79"/>
      <c r="I175" s="79"/>
      <c r="J175" s="79"/>
    </row>
    <row r="176">
      <c r="C176" s="79"/>
      <c r="D176" s="79"/>
      <c r="E176" s="79"/>
      <c r="F176" s="79"/>
      <c r="G176" s="79"/>
      <c r="H176" s="79"/>
      <c r="I176" s="79"/>
      <c r="J176" s="79"/>
    </row>
    <row r="177">
      <c r="C177" s="79"/>
      <c r="D177" s="79"/>
      <c r="E177" s="79"/>
      <c r="F177" s="79"/>
      <c r="G177" s="79"/>
      <c r="H177" s="79"/>
      <c r="I177" s="79"/>
      <c r="J177" s="79"/>
    </row>
    <row r="178">
      <c r="C178" s="79"/>
      <c r="D178" s="79"/>
      <c r="E178" s="79"/>
      <c r="F178" s="79"/>
      <c r="G178" s="79"/>
      <c r="H178" s="79"/>
      <c r="I178" s="79"/>
      <c r="J178" s="79"/>
    </row>
    <row r="179">
      <c r="C179" s="79"/>
      <c r="D179" s="79"/>
      <c r="E179" s="79"/>
      <c r="F179" s="79"/>
      <c r="G179" s="79"/>
      <c r="H179" s="79"/>
      <c r="I179" s="79"/>
      <c r="J179" s="79"/>
    </row>
    <row r="180">
      <c r="C180" s="79"/>
      <c r="D180" s="79"/>
      <c r="E180" s="79"/>
      <c r="F180" s="79"/>
      <c r="G180" s="79"/>
      <c r="H180" s="79"/>
      <c r="I180" s="79"/>
      <c r="J180" s="79"/>
    </row>
    <row r="181">
      <c r="C181" s="79"/>
      <c r="D181" s="79"/>
      <c r="E181" s="79"/>
      <c r="F181" s="79"/>
      <c r="G181" s="79"/>
      <c r="H181" s="79"/>
      <c r="I181" s="79"/>
      <c r="J181" s="79"/>
    </row>
    <row r="182">
      <c r="C182" s="79"/>
      <c r="D182" s="79"/>
      <c r="E182" s="79"/>
      <c r="F182" s="79"/>
      <c r="G182" s="79"/>
      <c r="H182" s="79"/>
      <c r="I182" s="79"/>
      <c r="J182" s="79"/>
    </row>
    <row r="183">
      <c r="C183" s="79"/>
      <c r="D183" s="79"/>
      <c r="E183" s="79"/>
      <c r="F183" s="79"/>
      <c r="G183" s="79"/>
      <c r="H183" s="79"/>
      <c r="I183" s="79"/>
      <c r="J183" s="79"/>
    </row>
    <row r="184">
      <c r="C184" s="79"/>
      <c r="D184" s="79"/>
      <c r="E184" s="79"/>
      <c r="F184" s="79"/>
      <c r="G184" s="79"/>
      <c r="H184" s="79"/>
      <c r="I184" s="79"/>
      <c r="J184" s="79"/>
    </row>
    <row r="185">
      <c r="C185" s="79"/>
      <c r="D185" s="79"/>
      <c r="E185" s="79"/>
      <c r="F185" s="79"/>
      <c r="G185" s="79"/>
      <c r="H185" s="79"/>
      <c r="I185" s="79"/>
      <c r="J185" s="79"/>
    </row>
    <row r="186">
      <c r="C186" s="79"/>
      <c r="D186" s="79"/>
      <c r="E186" s="79"/>
      <c r="F186" s="79"/>
      <c r="G186" s="79"/>
      <c r="H186" s="79"/>
      <c r="I186" s="79"/>
      <c r="J186" s="79"/>
    </row>
    <row r="187">
      <c r="C187" s="79"/>
      <c r="D187" s="79"/>
      <c r="E187" s="79"/>
      <c r="F187" s="79"/>
      <c r="G187" s="79"/>
      <c r="H187" s="79"/>
      <c r="I187" s="79"/>
      <c r="J187" s="79"/>
    </row>
    <row r="188">
      <c r="C188" s="79"/>
      <c r="D188" s="79"/>
      <c r="E188" s="79"/>
      <c r="F188" s="79"/>
      <c r="G188" s="79"/>
      <c r="H188" s="79"/>
      <c r="I188" s="79"/>
      <c r="J188" s="79"/>
    </row>
    <row r="189">
      <c r="C189" s="79"/>
      <c r="D189" s="79"/>
      <c r="E189" s="79"/>
      <c r="F189" s="79"/>
      <c r="G189" s="79"/>
      <c r="H189" s="79"/>
      <c r="I189" s="79"/>
      <c r="J189" s="79"/>
    </row>
    <row r="190">
      <c r="C190" s="79"/>
      <c r="D190" s="79"/>
      <c r="E190" s="79"/>
      <c r="F190" s="79"/>
      <c r="G190" s="79"/>
      <c r="H190" s="79"/>
      <c r="I190" s="79"/>
      <c r="J190" s="79"/>
    </row>
    <row r="191">
      <c r="C191" s="79"/>
      <c r="D191" s="79"/>
      <c r="E191" s="79"/>
      <c r="F191" s="79"/>
      <c r="G191" s="79"/>
      <c r="H191" s="79"/>
      <c r="I191" s="79"/>
      <c r="J191" s="79"/>
    </row>
    <row r="192">
      <c r="C192" s="79"/>
      <c r="D192" s="79"/>
      <c r="E192" s="79"/>
      <c r="F192" s="79"/>
      <c r="G192" s="79"/>
      <c r="H192" s="79"/>
      <c r="I192" s="79"/>
      <c r="J192" s="79"/>
    </row>
    <row r="193">
      <c r="C193" s="79"/>
      <c r="D193" s="79"/>
      <c r="E193" s="79"/>
      <c r="F193" s="79"/>
      <c r="G193" s="79"/>
      <c r="H193" s="79"/>
      <c r="I193" s="79"/>
      <c r="J193" s="79"/>
    </row>
    <row r="194">
      <c r="C194" s="79"/>
      <c r="D194" s="79"/>
      <c r="E194" s="79"/>
      <c r="F194" s="79"/>
      <c r="G194" s="79"/>
      <c r="H194" s="79"/>
      <c r="I194" s="79"/>
      <c r="J194" s="79"/>
    </row>
    <row r="195">
      <c r="C195" s="79"/>
      <c r="D195" s="79"/>
      <c r="E195" s="79"/>
      <c r="F195" s="79"/>
      <c r="G195" s="79"/>
      <c r="H195" s="79"/>
      <c r="I195" s="79"/>
      <c r="J195" s="79"/>
    </row>
    <row r="196">
      <c r="C196" s="79"/>
      <c r="D196" s="79"/>
      <c r="E196" s="79"/>
      <c r="F196" s="79"/>
      <c r="G196" s="79"/>
      <c r="H196" s="79"/>
      <c r="I196" s="79"/>
      <c r="J196" s="79"/>
    </row>
    <row r="197">
      <c r="C197" s="79"/>
      <c r="D197" s="79"/>
      <c r="E197" s="79"/>
      <c r="F197" s="79"/>
      <c r="G197" s="79"/>
      <c r="H197" s="79"/>
      <c r="I197" s="79"/>
      <c r="J197" s="79"/>
    </row>
    <row r="198">
      <c r="C198" s="79"/>
      <c r="D198" s="79"/>
      <c r="E198" s="79"/>
      <c r="F198" s="79"/>
      <c r="G198" s="79"/>
      <c r="H198" s="79"/>
      <c r="I198" s="79"/>
      <c r="J198" s="79"/>
    </row>
    <row r="199">
      <c r="C199" s="79"/>
      <c r="D199" s="79"/>
      <c r="E199" s="79"/>
      <c r="F199" s="79"/>
      <c r="G199" s="79"/>
      <c r="H199" s="79"/>
      <c r="I199" s="79"/>
      <c r="J199" s="79"/>
    </row>
    <row r="200">
      <c r="C200" s="79"/>
      <c r="D200" s="79"/>
      <c r="E200" s="79"/>
      <c r="F200" s="79"/>
      <c r="G200" s="79"/>
      <c r="H200" s="79"/>
      <c r="I200" s="79"/>
      <c r="J200" s="79"/>
    </row>
    <row r="201">
      <c r="C201" s="79"/>
      <c r="D201" s="79"/>
      <c r="E201" s="79"/>
      <c r="F201" s="79"/>
      <c r="G201" s="79"/>
      <c r="H201" s="79"/>
      <c r="I201" s="79"/>
      <c r="J201" s="79"/>
    </row>
    <row r="202">
      <c r="C202" s="79"/>
      <c r="D202" s="79"/>
      <c r="E202" s="79"/>
      <c r="F202" s="79"/>
      <c r="G202" s="79"/>
      <c r="H202" s="79"/>
      <c r="I202" s="79"/>
      <c r="J202" s="79"/>
    </row>
    <row r="203">
      <c r="C203" s="79"/>
      <c r="D203" s="79"/>
      <c r="E203" s="79"/>
      <c r="F203" s="79"/>
      <c r="G203" s="79"/>
      <c r="H203" s="79"/>
      <c r="I203" s="79"/>
      <c r="J203" s="79"/>
    </row>
    <row r="204">
      <c r="C204" s="79"/>
      <c r="D204" s="79"/>
      <c r="E204" s="79"/>
      <c r="F204" s="79"/>
      <c r="G204" s="79"/>
      <c r="H204" s="79"/>
      <c r="I204" s="79"/>
      <c r="J204" s="79"/>
    </row>
    <row r="205">
      <c r="C205" s="79"/>
      <c r="D205" s="79"/>
      <c r="E205" s="79"/>
      <c r="F205" s="79"/>
      <c r="G205" s="79"/>
      <c r="H205" s="79"/>
      <c r="I205" s="79"/>
      <c r="J205" s="79"/>
    </row>
    <row r="206">
      <c r="C206" s="79"/>
      <c r="D206" s="79"/>
      <c r="E206" s="79"/>
      <c r="F206" s="79"/>
      <c r="G206" s="79"/>
      <c r="H206" s="79"/>
      <c r="I206" s="79"/>
      <c r="J206" s="79"/>
    </row>
    <row r="207">
      <c r="C207" s="79"/>
      <c r="D207" s="79"/>
      <c r="E207" s="79"/>
      <c r="F207" s="79"/>
      <c r="G207" s="79"/>
      <c r="H207" s="79"/>
      <c r="I207" s="79"/>
      <c r="J207" s="79"/>
    </row>
    <row r="208">
      <c r="C208" s="79"/>
      <c r="D208" s="79"/>
      <c r="E208" s="79"/>
      <c r="F208" s="79"/>
      <c r="G208" s="79"/>
      <c r="H208" s="79"/>
      <c r="I208" s="79"/>
      <c r="J208" s="79"/>
    </row>
    <row r="209">
      <c r="C209" s="79"/>
      <c r="D209" s="79"/>
      <c r="E209" s="79"/>
      <c r="F209" s="79"/>
      <c r="G209" s="79"/>
      <c r="H209" s="79"/>
      <c r="I209" s="79"/>
      <c r="J209" s="79"/>
    </row>
    <row r="210">
      <c r="C210" s="79"/>
      <c r="D210" s="79"/>
      <c r="E210" s="79"/>
      <c r="F210" s="79"/>
      <c r="G210" s="79"/>
      <c r="H210" s="79"/>
      <c r="I210" s="79"/>
      <c r="J210" s="79"/>
    </row>
    <row r="211">
      <c r="C211" s="79"/>
      <c r="D211" s="79"/>
      <c r="E211" s="79"/>
      <c r="F211" s="79"/>
      <c r="G211" s="79"/>
      <c r="H211" s="79"/>
      <c r="I211" s="79"/>
      <c r="J211" s="79"/>
    </row>
    <row r="212">
      <c r="C212" s="79"/>
      <c r="D212" s="79"/>
      <c r="E212" s="79"/>
      <c r="F212" s="79"/>
      <c r="G212" s="79"/>
      <c r="H212" s="79"/>
      <c r="I212" s="79"/>
      <c r="J212" s="79"/>
    </row>
    <row r="213">
      <c r="C213" s="79"/>
      <c r="D213" s="79"/>
      <c r="E213" s="79"/>
      <c r="F213" s="79"/>
      <c r="G213" s="79"/>
      <c r="H213" s="79"/>
      <c r="I213" s="79"/>
      <c r="J213" s="79"/>
    </row>
    <row r="214">
      <c r="C214" s="79"/>
      <c r="D214" s="79"/>
      <c r="E214" s="79"/>
      <c r="F214" s="79"/>
      <c r="G214" s="79"/>
      <c r="H214" s="79"/>
      <c r="I214" s="79"/>
      <c r="J214" s="79"/>
    </row>
    <row r="215">
      <c r="C215" s="79"/>
      <c r="D215" s="79"/>
      <c r="E215" s="79"/>
      <c r="F215" s="79"/>
      <c r="G215" s="79"/>
      <c r="H215" s="79"/>
      <c r="I215" s="79"/>
      <c r="J215" s="79"/>
    </row>
    <row r="216">
      <c r="C216" s="79"/>
      <c r="D216" s="79"/>
      <c r="E216" s="79"/>
      <c r="F216" s="79"/>
      <c r="G216" s="79"/>
      <c r="H216" s="79"/>
      <c r="I216" s="79"/>
      <c r="J216" s="79"/>
    </row>
    <row r="217">
      <c r="C217" s="79"/>
      <c r="D217" s="79"/>
      <c r="E217" s="79"/>
      <c r="F217" s="79"/>
      <c r="G217" s="79"/>
      <c r="H217" s="79"/>
      <c r="I217" s="79"/>
      <c r="J217" s="79"/>
    </row>
    <row r="218">
      <c r="C218" s="79"/>
      <c r="D218" s="79"/>
      <c r="E218" s="79"/>
      <c r="F218" s="79"/>
      <c r="G218" s="79"/>
      <c r="H218" s="79"/>
      <c r="I218" s="79"/>
      <c r="J218" s="79"/>
    </row>
    <row r="219">
      <c r="C219" s="79"/>
      <c r="D219" s="79"/>
      <c r="E219" s="79"/>
      <c r="F219" s="79"/>
      <c r="G219" s="79"/>
      <c r="H219" s="79"/>
      <c r="I219" s="79"/>
      <c r="J219" s="79"/>
    </row>
    <row r="220">
      <c r="C220" s="79"/>
      <c r="D220" s="79"/>
      <c r="E220" s="79"/>
      <c r="F220" s="79"/>
      <c r="G220" s="79"/>
      <c r="H220" s="79"/>
      <c r="I220" s="79"/>
      <c r="J220" s="79"/>
    </row>
    <row r="221">
      <c r="C221" s="79"/>
      <c r="D221" s="79"/>
      <c r="E221" s="79"/>
      <c r="F221" s="79"/>
      <c r="G221" s="79"/>
      <c r="H221" s="79"/>
      <c r="I221" s="79"/>
      <c r="J221" s="79"/>
    </row>
    <row r="222">
      <c r="C222" s="79"/>
      <c r="D222" s="79"/>
      <c r="E222" s="79"/>
      <c r="F222" s="79"/>
      <c r="G222" s="79"/>
      <c r="H222" s="79"/>
      <c r="I222" s="79"/>
      <c r="J222" s="79"/>
    </row>
    <row r="223">
      <c r="C223" s="79"/>
      <c r="D223" s="79"/>
      <c r="E223" s="79"/>
      <c r="F223" s="79"/>
      <c r="G223" s="79"/>
      <c r="H223" s="79"/>
      <c r="I223" s="79"/>
      <c r="J223" s="79"/>
    </row>
    <row r="224">
      <c r="C224" s="79"/>
      <c r="D224" s="79"/>
      <c r="E224" s="79"/>
      <c r="F224" s="79"/>
      <c r="G224" s="79"/>
      <c r="H224" s="79"/>
      <c r="I224" s="79"/>
      <c r="J224" s="79"/>
    </row>
    <row r="225">
      <c r="C225" s="79"/>
      <c r="D225" s="79"/>
      <c r="E225" s="79"/>
      <c r="F225" s="79"/>
      <c r="G225" s="79"/>
      <c r="H225" s="79"/>
      <c r="I225" s="79"/>
      <c r="J225" s="79"/>
    </row>
    <row r="226">
      <c r="C226" s="79"/>
      <c r="D226" s="79"/>
      <c r="E226" s="79"/>
      <c r="F226" s="79"/>
      <c r="G226" s="79"/>
      <c r="H226" s="79"/>
      <c r="I226" s="79"/>
      <c r="J226" s="79"/>
    </row>
    <row r="227">
      <c r="C227" s="79"/>
      <c r="D227" s="79"/>
      <c r="E227" s="79"/>
      <c r="F227" s="79"/>
      <c r="G227" s="79"/>
      <c r="H227" s="79"/>
      <c r="I227" s="79"/>
      <c r="J227" s="79"/>
    </row>
    <row r="228">
      <c r="C228" s="79"/>
      <c r="D228" s="79"/>
      <c r="E228" s="79"/>
      <c r="F228" s="79"/>
      <c r="G228" s="79"/>
      <c r="H228" s="79"/>
      <c r="I228" s="79"/>
      <c r="J228" s="79"/>
    </row>
    <row r="229">
      <c r="C229" s="79"/>
      <c r="D229" s="79"/>
      <c r="E229" s="79"/>
      <c r="F229" s="79"/>
      <c r="G229" s="79"/>
      <c r="H229" s="79"/>
      <c r="I229" s="79"/>
      <c r="J229" s="79"/>
    </row>
    <row r="230">
      <c r="C230" s="79"/>
      <c r="D230" s="79"/>
      <c r="E230" s="79"/>
      <c r="F230" s="79"/>
      <c r="G230" s="79"/>
      <c r="H230" s="79"/>
      <c r="I230" s="79"/>
      <c r="J230" s="79"/>
    </row>
    <row r="231">
      <c r="C231" s="79"/>
      <c r="D231" s="79"/>
      <c r="E231" s="79"/>
      <c r="F231" s="79"/>
      <c r="G231" s="79"/>
      <c r="H231" s="79"/>
      <c r="I231" s="79"/>
      <c r="J231" s="79"/>
    </row>
    <row r="232">
      <c r="C232" s="79"/>
      <c r="D232" s="79"/>
      <c r="E232" s="79"/>
      <c r="F232" s="79"/>
      <c r="G232" s="79"/>
      <c r="H232" s="79"/>
      <c r="I232" s="79"/>
      <c r="J232" s="79"/>
    </row>
    <row r="233">
      <c r="C233" s="79"/>
      <c r="D233" s="79"/>
      <c r="E233" s="79"/>
      <c r="F233" s="79"/>
      <c r="G233" s="79"/>
      <c r="H233" s="79"/>
      <c r="I233" s="79"/>
      <c r="J233" s="79"/>
    </row>
    <row r="234">
      <c r="C234" s="79"/>
      <c r="D234" s="79"/>
      <c r="E234" s="79"/>
      <c r="F234" s="79"/>
      <c r="G234" s="79"/>
      <c r="H234" s="79"/>
      <c r="I234" s="79"/>
      <c r="J234" s="79"/>
    </row>
    <row r="235">
      <c r="C235" s="79"/>
      <c r="D235" s="79"/>
      <c r="E235" s="79"/>
      <c r="F235" s="79"/>
      <c r="G235" s="79"/>
      <c r="H235" s="79"/>
      <c r="I235" s="79"/>
      <c r="J235" s="79"/>
    </row>
    <row r="236">
      <c r="C236" s="79"/>
      <c r="D236" s="79"/>
      <c r="E236" s="79"/>
      <c r="F236" s="79"/>
      <c r="G236" s="79"/>
      <c r="H236" s="79"/>
      <c r="I236" s="79"/>
      <c r="J236" s="79"/>
    </row>
    <row r="237">
      <c r="C237" s="79"/>
      <c r="D237" s="79"/>
      <c r="E237" s="79"/>
      <c r="F237" s="79"/>
      <c r="G237" s="79"/>
      <c r="H237" s="79"/>
      <c r="I237" s="79"/>
      <c r="J237" s="79"/>
    </row>
    <row r="238">
      <c r="C238" s="79"/>
      <c r="D238" s="79"/>
      <c r="E238" s="79"/>
      <c r="F238" s="79"/>
      <c r="G238" s="79"/>
      <c r="H238" s="79"/>
      <c r="I238" s="79"/>
      <c r="J238" s="79"/>
    </row>
    <row r="239">
      <c r="C239" s="79"/>
      <c r="D239" s="79"/>
      <c r="E239" s="79"/>
      <c r="F239" s="79"/>
      <c r="G239" s="79"/>
      <c r="H239" s="79"/>
      <c r="I239" s="79"/>
      <c r="J239" s="79"/>
    </row>
    <row r="240">
      <c r="C240" s="79"/>
      <c r="D240" s="79"/>
      <c r="E240" s="79"/>
      <c r="F240" s="79"/>
      <c r="G240" s="79"/>
      <c r="H240" s="79"/>
      <c r="I240" s="79"/>
      <c r="J240" s="79"/>
    </row>
    <row r="241">
      <c r="C241" s="79"/>
      <c r="D241" s="79"/>
      <c r="E241" s="79"/>
      <c r="F241" s="79"/>
      <c r="G241" s="79"/>
      <c r="H241" s="79"/>
      <c r="I241" s="79"/>
      <c r="J241" s="79"/>
    </row>
    <row r="242">
      <c r="C242" s="79"/>
      <c r="D242" s="79"/>
      <c r="E242" s="79"/>
      <c r="F242" s="79"/>
      <c r="G242" s="79"/>
      <c r="H242" s="79"/>
      <c r="I242" s="79"/>
      <c r="J242" s="79"/>
    </row>
    <row r="243">
      <c r="C243" s="79"/>
      <c r="D243" s="79"/>
      <c r="E243" s="79"/>
      <c r="F243" s="79"/>
      <c r="G243" s="79"/>
      <c r="H243" s="79"/>
      <c r="I243" s="79"/>
      <c r="J243" s="79"/>
    </row>
    <row r="244">
      <c r="C244" s="79"/>
      <c r="D244" s="79"/>
      <c r="E244" s="79"/>
      <c r="F244" s="79"/>
      <c r="G244" s="79"/>
      <c r="H244" s="79"/>
      <c r="I244" s="79"/>
      <c r="J244" s="79"/>
    </row>
    <row r="245">
      <c r="C245" s="79"/>
      <c r="D245" s="79"/>
      <c r="E245" s="79"/>
      <c r="F245" s="79"/>
      <c r="G245" s="79"/>
      <c r="H245" s="79"/>
      <c r="I245" s="79"/>
      <c r="J245" s="79"/>
    </row>
    <row r="246">
      <c r="C246" s="79"/>
      <c r="D246" s="79"/>
      <c r="E246" s="79"/>
      <c r="F246" s="79"/>
      <c r="G246" s="79"/>
      <c r="H246" s="79"/>
      <c r="I246" s="79"/>
      <c r="J246" s="79"/>
    </row>
    <row r="247">
      <c r="C247" s="79"/>
      <c r="D247" s="79"/>
      <c r="E247" s="79"/>
      <c r="F247" s="79"/>
      <c r="G247" s="79"/>
      <c r="H247" s="79"/>
      <c r="I247" s="79"/>
      <c r="J247" s="79"/>
    </row>
    <row r="248">
      <c r="C248" s="79"/>
      <c r="D248" s="79"/>
      <c r="E248" s="79"/>
      <c r="F248" s="79"/>
      <c r="G248" s="79"/>
      <c r="H248" s="79"/>
      <c r="I248" s="79"/>
      <c r="J248" s="79"/>
    </row>
    <row r="249">
      <c r="C249" s="79"/>
      <c r="D249" s="79"/>
      <c r="E249" s="79"/>
      <c r="F249" s="79"/>
      <c r="G249" s="79"/>
      <c r="H249" s="79"/>
      <c r="I249" s="79"/>
      <c r="J249" s="79"/>
    </row>
    <row r="250">
      <c r="C250" s="79"/>
      <c r="D250" s="79"/>
      <c r="E250" s="79"/>
      <c r="F250" s="79"/>
      <c r="G250" s="79"/>
      <c r="H250" s="79"/>
      <c r="I250" s="79"/>
      <c r="J250" s="79"/>
    </row>
    <row r="251">
      <c r="C251" s="79"/>
      <c r="D251" s="79"/>
      <c r="E251" s="79"/>
      <c r="F251" s="79"/>
      <c r="G251" s="79"/>
      <c r="H251" s="79"/>
      <c r="I251" s="79"/>
      <c r="J251" s="79"/>
    </row>
    <row r="252">
      <c r="C252" s="79"/>
      <c r="D252" s="79"/>
      <c r="E252" s="79"/>
      <c r="F252" s="79"/>
      <c r="G252" s="79"/>
      <c r="H252" s="79"/>
      <c r="I252" s="79"/>
      <c r="J252" s="79"/>
    </row>
    <row r="253">
      <c r="C253" s="79"/>
      <c r="D253" s="79"/>
      <c r="E253" s="79"/>
      <c r="F253" s="79"/>
      <c r="G253" s="79"/>
      <c r="H253" s="79"/>
      <c r="I253" s="79"/>
      <c r="J253" s="79"/>
    </row>
    <row r="254">
      <c r="C254" s="79"/>
      <c r="D254" s="79"/>
      <c r="E254" s="79"/>
      <c r="F254" s="79"/>
      <c r="G254" s="79"/>
      <c r="H254" s="79"/>
      <c r="I254" s="79"/>
      <c r="J254" s="79"/>
    </row>
    <row r="255">
      <c r="C255" s="79"/>
      <c r="D255" s="79"/>
      <c r="E255" s="79"/>
      <c r="F255" s="79"/>
      <c r="G255" s="79"/>
      <c r="H255" s="79"/>
      <c r="I255" s="79"/>
      <c r="J255" s="79"/>
    </row>
    <row r="256">
      <c r="C256" s="79"/>
      <c r="D256" s="79"/>
      <c r="E256" s="79"/>
      <c r="F256" s="79"/>
      <c r="G256" s="79"/>
      <c r="H256" s="79"/>
      <c r="I256" s="79"/>
      <c r="J256" s="79"/>
    </row>
    <row r="257">
      <c r="C257" s="79"/>
      <c r="D257" s="79"/>
      <c r="E257" s="79"/>
      <c r="F257" s="79"/>
      <c r="G257" s="79"/>
      <c r="H257" s="79"/>
      <c r="I257" s="79"/>
      <c r="J257" s="79"/>
    </row>
    <row r="258">
      <c r="C258" s="79"/>
      <c r="D258" s="79"/>
      <c r="E258" s="79"/>
      <c r="F258" s="79"/>
      <c r="G258" s="79"/>
      <c r="H258" s="79"/>
      <c r="I258" s="79"/>
      <c r="J258" s="79"/>
    </row>
    <row r="259">
      <c r="C259" s="79"/>
      <c r="D259" s="79"/>
      <c r="E259" s="79"/>
      <c r="F259" s="79"/>
      <c r="G259" s="79"/>
      <c r="H259" s="79"/>
      <c r="I259" s="79"/>
      <c r="J259" s="79"/>
    </row>
    <row r="260">
      <c r="C260" s="79"/>
      <c r="D260" s="79"/>
      <c r="E260" s="79"/>
      <c r="F260" s="79"/>
      <c r="G260" s="79"/>
      <c r="H260" s="79"/>
      <c r="I260" s="79"/>
      <c r="J260" s="79"/>
    </row>
    <row r="261">
      <c r="C261" s="79"/>
      <c r="D261" s="79"/>
      <c r="E261" s="79"/>
      <c r="F261" s="79"/>
      <c r="G261" s="79"/>
      <c r="H261" s="79"/>
      <c r="I261" s="79"/>
      <c r="J261" s="79"/>
    </row>
    <row r="262">
      <c r="C262" s="79"/>
      <c r="D262" s="79"/>
      <c r="E262" s="79"/>
      <c r="F262" s="79"/>
      <c r="G262" s="79"/>
      <c r="H262" s="79"/>
      <c r="I262" s="79"/>
      <c r="J262" s="79"/>
    </row>
    <row r="263">
      <c r="C263" s="79"/>
      <c r="D263" s="79"/>
      <c r="E263" s="79"/>
      <c r="F263" s="79"/>
      <c r="G263" s="79"/>
      <c r="H263" s="79"/>
      <c r="I263" s="79"/>
      <c r="J263" s="79"/>
    </row>
    <row r="264">
      <c r="C264" s="79"/>
      <c r="D264" s="79"/>
      <c r="E264" s="79"/>
      <c r="F264" s="79"/>
      <c r="G264" s="79"/>
      <c r="H264" s="79"/>
      <c r="I264" s="79"/>
      <c r="J264" s="79"/>
    </row>
    <row r="265">
      <c r="C265" s="79"/>
      <c r="D265" s="79"/>
      <c r="E265" s="79"/>
      <c r="F265" s="79"/>
      <c r="G265" s="79"/>
      <c r="H265" s="79"/>
      <c r="I265" s="79"/>
      <c r="J265" s="79"/>
    </row>
    <row r="266">
      <c r="C266" s="79"/>
      <c r="D266" s="79"/>
      <c r="E266" s="79"/>
      <c r="F266" s="79"/>
      <c r="G266" s="79"/>
      <c r="H266" s="79"/>
      <c r="I266" s="79"/>
      <c r="J266" s="79"/>
    </row>
    <row r="267">
      <c r="C267" s="79"/>
      <c r="D267" s="79"/>
      <c r="E267" s="79"/>
      <c r="F267" s="79"/>
      <c r="G267" s="79"/>
      <c r="H267" s="79"/>
      <c r="I267" s="79"/>
      <c r="J267" s="79"/>
    </row>
    <row r="268">
      <c r="C268" s="79"/>
      <c r="D268" s="79"/>
      <c r="E268" s="79"/>
      <c r="F268" s="79"/>
      <c r="G268" s="79"/>
      <c r="H268" s="79"/>
      <c r="I268" s="79"/>
      <c r="J268" s="79"/>
    </row>
    <row r="269">
      <c r="C269" s="79"/>
      <c r="D269" s="79"/>
      <c r="E269" s="79"/>
      <c r="F269" s="79"/>
      <c r="G269" s="79"/>
      <c r="H269" s="79"/>
      <c r="I269" s="79"/>
      <c r="J269" s="79"/>
    </row>
    <row r="270">
      <c r="C270" s="79"/>
      <c r="D270" s="79"/>
      <c r="E270" s="79"/>
      <c r="F270" s="79"/>
      <c r="G270" s="79"/>
      <c r="H270" s="79"/>
      <c r="I270" s="79"/>
      <c r="J270" s="79"/>
    </row>
    <row r="271">
      <c r="C271" s="79"/>
      <c r="D271" s="79"/>
      <c r="E271" s="79"/>
      <c r="F271" s="79"/>
      <c r="G271" s="79"/>
      <c r="H271" s="79"/>
      <c r="I271" s="79"/>
      <c r="J271" s="79"/>
    </row>
    <row r="272">
      <c r="C272" s="79"/>
      <c r="D272" s="79"/>
      <c r="E272" s="79"/>
      <c r="F272" s="79"/>
      <c r="G272" s="79"/>
      <c r="H272" s="79"/>
      <c r="I272" s="79"/>
      <c r="J272" s="79"/>
    </row>
    <row r="273">
      <c r="C273" s="79"/>
      <c r="D273" s="79"/>
      <c r="E273" s="79"/>
      <c r="F273" s="79"/>
      <c r="G273" s="79"/>
      <c r="H273" s="79"/>
      <c r="I273" s="79"/>
      <c r="J273" s="79"/>
    </row>
    <row r="274">
      <c r="C274" s="79"/>
      <c r="D274" s="79"/>
      <c r="E274" s="79"/>
      <c r="F274" s="79"/>
      <c r="G274" s="79"/>
      <c r="H274" s="79"/>
      <c r="I274" s="79"/>
      <c r="J274" s="79"/>
    </row>
    <row r="275">
      <c r="C275" s="79"/>
      <c r="D275" s="79"/>
      <c r="E275" s="79"/>
      <c r="F275" s="79"/>
      <c r="G275" s="79"/>
      <c r="H275" s="79"/>
      <c r="I275" s="79"/>
      <c r="J275" s="79"/>
    </row>
    <row r="276">
      <c r="C276" s="79"/>
      <c r="D276" s="79"/>
      <c r="E276" s="79"/>
      <c r="F276" s="79"/>
      <c r="G276" s="79"/>
      <c r="H276" s="79"/>
      <c r="I276" s="79"/>
      <c r="J276" s="79"/>
    </row>
    <row r="277">
      <c r="C277" s="79"/>
      <c r="D277" s="79"/>
      <c r="E277" s="79"/>
      <c r="F277" s="79"/>
      <c r="G277" s="79"/>
      <c r="H277" s="79"/>
      <c r="I277" s="79"/>
      <c r="J277" s="79"/>
    </row>
    <row r="278">
      <c r="C278" s="79"/>
      <c r="D278" s="79"/>
      <c r="E278" s="79"/>
      <c r="F278" s="79"/>
      <c r="G278" s="79"/>
      <c r="H278" s="79"/>
      <c r="I278" s="79"/>
      <c r="J278" s="79"/>
    </row>
    <row r="279">
      <c r="C279" s="79"/>
      <c r="D279" s="79"/>
      <c r="E279" s="79"/>
      <c r="F279" s="79"/>
      <c r="G279" s="79"/>
      <c r="H279" s="79"/>
      <c r="I279" s="79"/>
      <c r="J279" s="79"/>
    </row>
    <row r="280">
      <c r="C280" s="79"/>
      <c r="D280" s="79"/>
      <c r="E280" s="79"/>
      <c r="F280" s="79"/>
      <c r="G280" s="79"/>
      <c r="H280" s="79"/>
      <c r="I280" s="79"/>
      <c r="J280" s="79"/>
    </row>
    <row r="281">
      <c r="C281" s="79"/>
      <c r="D281" s="79"/>
      <c r="E281" s="79"/>
      <c r="F281" s="79"/>
      <c r="G281" s="79"/>
      <c r="H281" s="79"/>
      <c r="I281" s="79"/>
      <c r="J281" s="79"/>
    </row>
    <row r="282">
      <c r="C282" s="79"/>
      <c r="D282" s="79"/>
      <c r="E282" s="79"/>
      <c r="F282" s="79"/>
      <c r="G282" s="79"/>
      <c r="H282" s="79"/>
      <c r="I282" s="79"/>
      <c r="J282" s="79"/>
    </row>
    <row r="283">
      <c r="C283" s="79"/>
      <c r="D283" s="79"/>
      <c r="E283" s="79"/>
      <c r="F283" s="79"/>
      <c r="G283" s="79"/>
      <c r="H283" s="79"/>
      <c r="I283" s="79"/>
      <c r="J283" s="79"/>
    </row>
    <row r="284">
      <c r="C284" s="79"/>
      <c r="D284" s="79"/>
      <c r="E284" s="79"/>
      <c r="F284" s="79"/>
      <c r="G284" s="79"/>
      <c r="H284" s="79"/>
      <c r="I284" s="79"/>
      <c r="J284" s="79"/>
    </row>
    <row r="285">
      <c r="C285" s="79"/>
      <c r="D285" s="79"/>
      <c r="E285" s="79"/>
      <c r="F285" s="79"/>
      <c r="G285" s="79"/>
      <c r="H285" s="79"/>
      <c r="I285" s="79"/>
      <c r="J285" s="79"/>
    </row>
    <row r="286">
      <c r="C286" s="79"/>
      <c r="D286" s="79"/>
      <c r="E286" s="79"/>
      <c r="F286" s="79"/>
      <c r="G286" s="79"/>
      <c r="H286" s="79"/>
      <c r="I286" s="79"/>
      <c r="J286" s="79"/>
    </row>
    <row r="287">
      <c r="C287" s="79"/>
      <c r="D287" s="79"/>
      <c r="E287" s="79"/>
      <c r="F287" s="79"/>
      <c r="G287" s="79"/>
      <c r="H287" s="79"/>
      <c r="I287" s="79"/>
      <c r="J287" s="79"/>
    </row>
    <row r="288">
      <c r="C288" s="79"/>
      <c r="D288" s="79"/>
      <c r="E288" s="79"/>
      <c r="F288" s="79"/>
      <c r="G288" s="79"/>
      <c r="H288" s="79"/>
      <c r="I288" s="79"/>
      <c r="J288" s="79"/>
    </row>
    <row r="289">
      <c r="C289" s="79"/>
      <c r="D289" s="79"/>
      <c r="E289" s="79"/>
      <c r="F289" s="79"/>
      <c r="G289" s="79"/>
      <c r="H289" s="79"/>
      <c r="I289" s="79"/>
      <c r="J289" s="79"/>
    </row>
    <row r="290">
      <c r="C290" s="79"/>
      <c r="D290" s="79"/>
      <c r="E290" s="79"/>
      <c r="F290" s="79"/>
      <c r="G290" s="79"/>
      <c r="H290" s="79"/>
      <c r="I290" s="79"/>
      <c r="J290" s="79"/>
    </row>
    <row r="291">
      <c r="C291" s="79"/>
      <c r="D291" s="79"/>
      <c r="E291" s="79"/>
      <c r="F291" s="79"/>
      <c r="G291" s="79"/>
      <c r="H291" s="79"/>
      <c r="I291" s="79"/>
      <c r="J291" s="79"/>
    </row>
    <row r="292">
      <c r="C292" s="79"/>
      <c r="D292" s="79"/>
      <c r="E292" s="79"/>
      <c r="F292" s="79"/>
      <c r="G292" s="79"/>
      <c r="H292" s="79"/>
      <c r="I292" s="79"/>
      <c r="J292" s="79"/>
    </row>
    <row r="293">
      <c r="C293" s="79"/>
      <c r="D293" s="79"/>
      <c r="E293" s="79"/>
      <c r="F293" s="79"/>
      <c r="G293" s="79"/>
      <c r="H293" s="79"/>
      <c r="I293" s="79"/>
      <c r="J293" s="79"/>
    </row>
    <row r="294">
      <c r="C294" s="79"/>
      <c r="D294" s="79"/>
      <c r="E294" s="79"/>
      <c r="F294" s="79"/>
      <c r="G294" s="79"/>
      <c r="H294" s="79"/>
      <c r="I294" s="79"/>
      <c r="J294" s="79"/>
    </row>
    <row r="295">
      <c r="C295" s="79"/>
      <c r="D295" s="79"/>
      <c r="E295" s="79"/>
      <c r="F295" s="79"/>
      <c r="G295" s="79"/>
      <c r="H295" s="79"/>
      <c r="I295" s="79"/>
      <c r="J295" s="79"/>
    </row>
    <row r="296">
      <c r="C296" s="79"/>
      <c r="D296" s="79"/>
      <c r="E296" s="79"/>
      <c r="F296" s="79"/>
      <c r="G296" s="79"/>
      <c r="H296" s="79"/>
      <c r="I296" s="79"/>
      <c r="J296" s="79"/>
    </row>
    <row r="297">
      <c r="C297" s="79"/>
      <c r="D297" s="79"/>
      <c r="E297" s="79"/>
      <c r="F297" s="79"/>
      <c r="G297" s="79"/>
      <c r="H297" s="79"/>
      <c r="I297" s="79"/>
      <c r="J297" s="79"/>
    </row>
    <row r="298">
      <c r="C298" s="79"/>
      <c r="D298" s="79"/>
      <c r="E298" s="79"/>
      <c r="F298" s="79"/>
      <c r="G298" s="79"/>
      <c r="H298" s="79"/>
      <c r="I298" s="79"/>
      <c r="J298" s="79"/>
    </row>
    <row r="299">
      <c r="C299" s="79"/>
      <c r="D299" s="79"/>
      <c r="E299" s="79"/>
      <c r="F299" s="79"/>
      <c r="G299" s="79"/>
      <c r="H299" s="79"/>
      <c r="I299" s="79"/>
      <c r="J299" s="79"/>
    </row>
    <row r="300">
      <c r="C300" s="79"/>
      <c r="D300" s="79"/>
      <c r="E300" s="79"/>
      <c r="F300" s="79"/>
      <c r="G300" s="79"/>
      <c r="H300" s="79"/>
      <c r="I300" s="79"/>
      <c r="J300" s="79"/>
    </row>
    <row r="301">
      <c r="C301" s="79"/>
      <c r="D301" s="79"/>
      <c r="E301" s="79"/>
      <c r="F301" s="79"/>
      <c r="G301" s="79"/>
      <c r="H301" s="79"/>
      <c r="I301" s="79"/>
      <c r="J301" s="79"/>
    </row>
    <row r="302">
      <c r="C302" s="79"/>
      <c r="D302" s="79"/>
      <c r="E302" s="79"/>
      <c r="F302" s="79"/>
      <c r="G302" s="79"/>
      <c r="H302" s="79"/>
      <c r="I302" s="79"/>
      <c r="J302" s="79"/>
    </row>
    <row r="303">
      <c r="C303" s="79"/>
      <c r="D303" s="79"/>
      <c r="E303" s="79"/>
      <c r="F303" s="79"/>
      <c r="G303" s="79"/>
      <c r="H303" s="79"/>
      <c r="I303" s="79"/>
      <c r="J303" s="79"/>
    </row>
    <row r="304">
      <c r="C304" s="79"/>
      <c r="D304" s="79"/>
      <c r="E304" s="79"/>
      <c r="F304" s="79"/>
      <c r="G304" s="79"/>
      <c r="H304" s="79"/>
      <c r="I304" s="79"/>
      <c r="J304" s="79"/>
    </row>
    <row r="305">
      <c r="C305" s="79"/>
      <c r="D305" s="79"/>
      <c r="E305" s="79"/>
      <c r="F305" s="79"/>
      <c r="G305" s="79"/>
      <c r="H305" s="79"/>
      <c r="I305" s="79"/>
      <c r="J305" s="79"/>
    </row>
    <row r="306">
      <c r="C306" s="79"/>
      <c r="D306" s="79"/>
      <c r="E306" s="79"/>
      <c r="F306" s="79"/>
      <c r="G306" s="79"/>
      <c r="H306" s="79"/>
      <c r="I306" s="79"/>
      <c r="J306" s="79"/>
    </row>
    <row r="307">
      <c r="C307" s="79"/>
      <c r="D307" s="79"/>
      <c r="E307" s="79"/>
      <c r="F307" s="79"/>
      <c r="G307" s="79"/>
      <c r="H307" s="79"/>
      <c r="I307" s="79"/>
      <c r="J307" s="79"/>
    </row>
    <row r="308">
      <c r="C308" s="79"/>
      <c r="D308" s="79"/>
      <c r="E308" s="79"/>
      <c r="F308" s="79"/>
      <c r="G308" s="79"/>
      <c r="H308" s="79"/>
      <c r="I308" s="79"/>
      <c r="J308" s="79"/>
    </row>
    <row r="309">
      <c r="C309" s="79"/>
      <c r="D309" s="79"/>
      <c r="E309" s="79"/>
      <c r="F309" s="79"/>
      <c r="G309" s="79"/>
      <c r="H309" s="79"/>
      <c r="I309" s="79"/>
      <c r="J309" s="79"/>
    </row>
    <row r="310">
      <c r="C310" s="79"/>
      <c r="D310" s="79"/>
      <c r="E310" s="79"/>
      <c r="F310" s="79"/>
      <c r="G310" s="79"/>
      <c r="H310" s="79"/>
      <c r="I310" s="79"/>
      <c r="J310" s="79"/>
    </row>
    <row r="311">
      <c r="C311" s="79"/>
      <c r="D311" s="79"/>
      <c r="E311" s="79"/>
      <c r="F311" s="79"/>
      <c r="G311" s="79"/>
      <c r="H311" s="79"/>
      <c r="I311" s="79"/>
      <c r="J311" s="79"/>
    </row>
    <row r="312">
      <c r="C312" s="79"/>
      <c r="D312" s="79"/>
      <c r="E312" s="79"/>
      <c r="F312" s="79"/>
      <c r="G312" s="79"/>
      <c r="H312" s="79"/>
      <c r="I312" s="79"/>
      <c r="J312" s="79"/>
    </row>
    <row r="313">
      <c r="C313" s="79"/>
      <c r="D313" s="79"/>
      <c r="E313" s="79"/>
      <c r="F313" s="79"/>
      <c r="G313" s="79"/>
      <c r="H313" s="79"/>
      <c r="I313" s="79"/>
      <c r="J313" s="79"/>
    </row>
    <row r="314">
      <c r="C314" s="79"/>
      <c r="D314" s="79"/>
      <c r="E314" s="79"/>
      <c r="F314" s="79"/>
      <c r="G314" s="79"/>
      <c r="H314" s="79"/>
      <c r="I314" s="79"/>
      <c r="J314" s="79"/>
    </row>
    <row r="315">
      <c r="C315" s="79"/>
      <c r="D315" s="79"/>
      <c r="E315" s="79"/>
      <c r="F315" s="79"/>
      <c r="G315" s="79"/>
      <c r="H315" s="79"/>
      <c r="I315" s="79"/>
      <c r="J315" s="79"/>
    </row>
    <row r="316">
      <c r="C316" s="79"/>
      <c r="D316" s="79"/>
      <c r="E316" s="79"/>
      <c r="F316" s="79"/>
      <c r="G316" s="79"/>
      <c r="H316" s="79"/>
      <c r="I316" s="79"/>
      <c r="J316" s="79"/>
    </row>
    <row r="317">
      <c r="C317" s="79"/>
      <c r="D317" s="79"/>
      <c r="E317" s="79"/>
      <c r="F317" s="79"/>
      <c r="G317" s="79"/>
      <c r="H317" s="79"/>
      <c r="I317" s="79"/>
      <c r="J317" s="79"/>
    </row>
    <row r="318">
      <c r="C318" s="79"/>
      <c r="D318" s="79"/>
      <c r="E318" s="79"/>
      <c r="F318" s="79"/>
      <c r="G318" s="79"/>
      <c r="H318" s="79"/>
      <c r="I318" s="79"/>
      <c r="J318" s="79"/>
    </row>
    <row r="319">
      <c r="C319" s="79"/>
      <c r="D319" s="79"/>
      <c r="E319" s="79"/>
      <c r="F319" s="79"/>
      <c r="G319" s="79"/>
      <c r="H319" s="79"/>
      <c r="I319" s="79"/>
      <c r="J319" s="79"/>
    </row>
    <row r="320">
      <c r="C320" s="79"/>
      <c r="D320" s="79"/>
      <c r="E320" s="79"/>
      <c r="F320" s="79"/>
      <c r="G320" s="79"/>
      <c r="H320" s="79"/>
      <c r="I320" s="79"/>
      <c r="J320" s="79"/>
    </row>
    <row r="321">
      <c r="C321" s="79"/>
      <c r="D321" s="79"/>
      <c r="E321" s="79"/>
      <c r="F321" s="79"/>
      <c r="G321" s="79"/>
      <c r="H321" s="79"/>
      <c r="I321" s="79"/>
      <c r="J321" s="79"/>
    </row>
    <row r="322">
      <c r="C322" s="79"/>
      <c r="D322" s="79"/>
      <c r="E322" s="79"/>
      <c r="F322" s="79"/>
      <c r="G322" s="79"/>
      <c r="H322" s="79"/>
      <c r="I322" s="79"/>
      <c r="J322" s="79"/>
    </row>
    <row r="323">
      <c r="C323" s="79"/>
      <c r="D323" s="79"/>
      <c r="E323" s="79"/>
      <c r="F323" s="79"/>
      <c r="G323" s="79"/>
      <c r="H323" s="79"/>
      <c r="I323" s="79"/>
      <c r="J323" s="79"/>
    </row>
    <row r="324">
      <c r="C324" s="79"/>
      <c r="D324" s="79"/>
      <c r="E324" s="79"/>
      <c r="F324" s="79"/>
      <c r="G324" s="79"/>
      <c r="H324" s="79"/>
      <c r="I324" s="79"/>
      <c r="J324" s="79"/>
    </row>
    <row r="325">
      <c r="C325" s="79"/>
      <c r="D325" s="79"/>
      <c r="E325" s="79"/>
      <c r="F325" s="79"/>
      <c r="G325" s="79"/>
      <c r="H325" s="79"/>
      <c r="I325" s="79"/>
      <c r="J325" s="79"/>
    </row>
    <row r="326">
      <c r="C326" s="79"/>
      <c r="D326" s="79"/>
      <c r="E326" s="79"/>
      <c r="F326" s="79"/>
      <c r="G326" s="79"/>
      <c r="H326" s="79"/>
      <c r="I326" s="79"/>
      <c r="J326" s="79"/>
    </row>
    <row r="327">
      <c r="C327" s="79"/>
      <c r="D327" s="79"/>
      <c r="E327" s="79"/>
      <c r="F327" s="79"/>
      <c r="G327" s="79"/>
      <c r="H327" s="79"/>
      <c r="I327" s="79"/>
      <c r="J327" s="79"/>
    </row>
    <row r="328">
      <c r="C328" s="79"/>
      <c r="D328" s="79"/>
      <c r="E328" s="79"/>
      <c r="F328" s="79"/>
      <c r="G328" s="79"/>
      <c r="H328" s="79"/>
      <c r="I328" s="79"/>
      <c r="J328" s="79"/>
    </row>
    <row r="329">
      <c r="C329" s="79"/>
      <c r="D329" s="79"/>
      <c r="E329" s="79"/>
      <c r="F329" s="79"/>
      <c r="G329" s="79"/>
      <c r="H329" s="79"/>
      <c r="I329" s="79"/>
      <c r="J329" s="79"/>
    </row>
    <row r="330">
      <c r="C330" s="79"/>
      <c r="D330" s="79"/>
      <c r="E330" s="79"/>
      <c r="F330" s="79"/>
      <c r="G330" s="79"/>
      <c r="H330" s="79"/>
      <c r="I330" s="79"/>
      <c r="J330" s="79"/>
    </row>
    <row r="331">
      <c r="C331" s="79"/>
      <c r="D331" s="79"/>
      <c r="E331" s="79"/>
      <c r="F331" s="79"/>
      <c r="G331" s="79"/>
      <c r="H331" s="79"/>
      <c r="I331" s="79"/>
      <c r="J331" s="79"/>
    </row>
    <row r="332">
      <c r="C332" s="79"/>
      <c r="D332" s="79"/>
      <c r="E332" s="79"/>
      <c r="F332" s="79"/>
      <c r="G332" s="79"/>
      <c r="H332" s="79"/>
      <c r="I332" s="79"/>
      <c r="J332" s="79"/>
    </row>
    <row r="333">
      <c r="C333" s="79"/>
      <c r="D333" s="79"/>
      <c r="E333" s="79"/>
      <c r="F333" s="79"/>
      <c r="G333" s="79"/>
      <c r="H333" s="79"/>
      <c r="I333" s="79"/>
      <c r="J333" s="79"/>
    </row>
    <row r="334">
      <c r="C334" s="79"/>
      <c r="D334" s="79"/>
      <c r="E334" s="79"/>
      <c r="F334" s="79"/>
      <c r="G334" s="79"/>
      <c r="H334" s="79"/>
      <c r="I334" s="79"/>
      <c r="J334" s="79"/>
    </row>
    <row r="335">
      <c r="C335" s="79"/>
      <c r="D335" s="79"/>
      <c r="E335" s="79"/>
      <c r="F335" s="79"/>
      <c r="G335" s="79"/>
      <c r="H335" s="79"/>
      <c r="I335" s="79"/>
      <c r="J335" s="79"/>
    </row>
    <row r="336">
      <c r="C336" s="79"/>
      <c r="D336" s="79"/>
      <c r="E336" s="79"/>
      <c r="F336" s="79"/>
      <c r="G336" s="79"/>
      <c r="H336" s="79"/>
      <c r="I336" s="79"/>
      <c r="J336" s="79"/>
    </row>
    <row r="337">
      <c r="C337" s="79"/>
      <c r="D337" s="79"/>
      <c r="E337" s="79"/>
      <c r="F337" s="79"/>
      <c r="G337" s="79"/>
      <c r="H337" s="79"/>
      <c r="I337" s="79"/>
      <c r="J337" s="79"/>
    </row>
    <row r="338">
      <c r="C338" s="79"/>
      <c r="D338" s="79"/>
      <c r="E338" s="79"/>
      <c r="F338" s="79"/>
      <c r="G338" s="79"/>
      <c r="H338" s="79"/>
      <c r="I338" s="79"/>
      <c r="J338" s="79"/>
    </row>
    <row r="339">
      <c r="C339" s="79"/>
      <c r="D339" s="79"/>
      <c r="E339" s="79"/>
      <c r="F339" s="79"/>
      <c r="G339" s="79"/>
      <c r="H339" s="79"/>
      <c r="I339" s="79"/>
      <c r="J339" s="79"/>
    </row>
    <row r="340">
      <c r="C340" s="79"/>
      <c r="D340" s="79"/>
      <c r="E340" s="79"/>
      <c r="F340" s="79"/>
      <c r="G340" s="79"/>
      <c r="H340" s="79"/>
      <c r="I340" s="79"/>
      <c r="J340" s="79"/>
    </row>
    <row r="341">
      <c r="C341" s="79"/>
      <c r="D341" s="79"/>
      <c r="E341" s="79"/>
      <c r="F341" s="79"/>
      <c r="G341" s="79"/>
      <c r="H341" s="79"/>
      <c r="I341" s="79"/>
      <c r="J341" s="79"/>
    </row>
    <row r="342">
      <c r="C342" s="79"/>
      <c r="D342" s="79"/>
      <c r="E342" s="79"/>
      <c r="F342" s="79"/>
      <c r="G342" s="79"/>
      <c r="H342" s="79"/>
      <c r="I342" s="79"/>
      <c r="J342" s="79"/>
    </row>
    <row r="343">
      <c r="C343" s="79"/>
      <c r="D343" s="79"/>
      <c r="E343" s="79"/>
      <c r="F343" s="79"/>
      <c r="G343" s="79"/>
      <c r="H343" s="79"/>
      <c r="I343" s="79"/>
      <c r="J343" s="79"/>
    </row>
    <row r="344">
      <c r="C344" s="79"/>
      <c r="D344" s="79"/>
      <c r="E344" s="79"/>
      <c r="F344" s="79"/>
      <c r="G344" s="79"/>
      <c r="H344" s="79"/>
      <c r="I344" s="79"/>
      <c r="J344" s="79"/>
    </row>
    <row r="345">
      <c r="C345" s="79"/>
      <c r="D345" s="79"/>
      <c r="E345" s="79"/>
      <c r="F345" s="79"/>
      <c r="G345" s="79"/>
      <c r="H345" s="79"/>
      <c r="I345" s="79"/>
      <c r="J345" s="79"/>
    </row>
    <row r="346">
      <c r="C346" s="79"/>
      <c r="D346" s="79"/>
      <c r="E346" s="79"/>
      <c r="F346" s="79"/>
      <c r="G346" s="79"/>
      <c r="H346" s="79"/>
      <c r="I346" s="79"/>
      <c r="J346" s="79"/>
    </row>
    <row r="347">
      <c r="C347" s="79"/>
      <c r="D347" s="79"/>
      <c r="E347" s="79"/>
      <c r="F347" s="79"/>
      <c r="G347" s="79"/>
      <c r="H347" s="79"/>
      <c r="I347" s="79"/>
      <c r="J347" s="79"/>
    </row>
    <row r="348">
      <c r="C348" s="79"/>
      <c r="D348" s="79"/>
      <c r="E348" s="79"/>
      <c r="F348" s="79"/>
      <c r="G348" s="79"/>
      <c r="H348" s="79"/>
      <c r="I348" s="79"/>
      <c r="J348" s="79"/>
    </row>
    <row r="349">
      <c r="C349" s="79"/>
      <c r="D349" s="79"/>
      <c r="E349" s="79"/>
      <c r="F349" s="79"/>
      <c r="G349" s="79"/>
      <c r="H349" s="79"/>
      <c r="I349" s="79"/>
      <c r="J349" s="79"/>
    </row>
    <row r="350">
      <c r="C350" s="79"/>
      <c r="D350" s="79"/>
      <c r="E350" s="79"/>
      <c r="F350" s="79"/>
      <c r="G350" s="79"/>
      <c r="H350" s="79"/>
      <c r="I350" s="79"/>
      <c r="J350" s="79"/>
    </row>
    <row r="351">
      <c r="C351" s="79"/>
      <c r="D351" s="79"/>
      <c r="E351" s="79"/>
      <c r="F351" s="79"/>
      <c r="G351" s="79"/>
      <c r="H351" s="79"/>
      <c r="I351" s="79"/>
      <c r="J351" s="79"/>
    </row>
    <row r="352">
      <c r="C352" s="79"/>
      <c r="D352" s="79"/>
      <c r="E352" s="79"/>
      <c r="F352" s="79"/>
      <c r="G352" s="79"/>
      <c r="H352" s="79"/>
      <c r="I352" s="79"/>
      <c r="J352" s="79"/>
    </row>
    <row r="353">
      <c r="C353" s="79"/>
      <c r="D353" s="79"/>
      <c r="E353" s="79"/>
      <c r="F353" s="79"/>
      <c r="G353" s="79"/>
      <c r="H353" s="79"/>
      <c r="I353" s="79"/>
      <c r="J353" s="79"/>
    </row>
    <row r="354">
      <c r="C354" s="79"/>
      <c r="D354" s="79"/>
      <c r="E354" s="79"/>
      <c r="F354" s="79"/>
      <c r="G354" s="79"/>
      <c r="H354" s="79"/>
      <c r="I354" s="79"/>
      <c r="J354" s="79"/>
    </row>
    <row r="355">
      <c r="C355" s="79"/>
      <c r="D355" s="79"/>
      <c r="E355" s="79"/>
      <c r="F355" s="79"/>
      <c r="G355" s="79"/>
      <c r="H355" s="79"/>
      <c r="I355" s="79"/>
      <c r="J355" s="79"/>
    </row>
    <row r="356">
      <c r="C356" s="79"/>
      <c r="D356" s="79"/>
      <c r="E356" s="79"/>
      <c r="F356" s="79"/>
      <c r="G356" s="79"/>
      <c r="H356" s="79"/>
      <c r="I356" s="79"/>
      <c r="J356" s="79"/>
    </row>
    <row r="357">
      <c r="C357" s="79"/>
      <c r="D357" s="79"/>
      <c r="E357" s="79"/>
      <c r="F357" s="79"/>
      <c r="G357" s="79"/>
      <c r="H357" s="79"/>
      <c r="I357" s="79"/>
      <c r="J357" s="79"/>
    </row>
    <row r="358">
      <c r="C358" s="79"/>
      <c r="D358" s="79"/>
      <c r="E358" s="79"/>
      <c r="F358" s="79"/>
      <c r="G358" s="79"/>
      <c r="H358" s="79"/>
      <c r="I358" s="79"/>
      <c r="J358" s="79"/>
    </row>
    <row r="359">
      <c r="C359" s="79"/>
      <c r="D359" s="79"/>
      <c r="E359" s="79"/>
      <c r="F359" s="79"/>
      <c r="G359" s="79"/>
      <c r="H359" s="79"/>
      <c r="I359" s="79"/>
      <c r="J359" s="79"/>
    </row>
    <row r="360">
      <c r="C360" s="79"/>
      <c r="D360" s="79"/>
      <c r="E360" s="79"/>
      <c r="F360" s="79"/>
      <c r="G360" s="79"/>
      <c r="H360" s="79"/>
      <c r="I360" s="79"/>
      <c r="J360" s="79"/>
    </row>
    <row r="361">
      <c r="C361" s="79"/>
      <c r="D361" s="79"/>
      <c r="E361" s="79"/>
      <c r="F361" s="79"/>
      <c r="G361" s="79"/>
      <c r="H361" s="79"/>
      <c r="I361" s="79"/>
      <c r="J361" s="79"/>
    </row>
    <row r="362">
      <c r="C362" s="79"/>
      <c r="D362" s="79"/>
      <c r="E362" s="79"/>
      <c r="F362" s="79"/>
      <c r="G362" s="79"/>
      <c r="H362" s="79"/>
      <c r="I362" s="79"/>
      <c r="J362" s="79"/>
    </row>
    <row r="363">
      <c r="C363" s="79"/>
      <c r="D363" s="79"/>
      <c r="E363" s="79"/>
      <c r="F363" s="79"/>
      <c r="G363" s="79"/>
      <c r="H363" s="79"/>
      <c r="I363" s="79"/>
      <c r="J363" s="79"/>
    </row>
    <row r="364">
      <c r="C364" s="79"/>
      <c r="D364" s="79"/>
      <c r="E364" s="79"/>
      <c r="F364" s="79"/>
      <c r="G364" s="79"/>
      <c r="H364" s="79"/>
      <c r="I364" s="79"/>
      <c r="J364" s="79"/>
    </row>
    <row r="365">
      <c r="C365" s="79"/>
      <c r="D365" s="79"/>
      <c r="E365" s="79"/>
      <c r="F365" s="79"/>
      <c r="G365" s="79"/>
      <c r="H365" s="79"/>
      <c r="I365" s="79"/>
      <c r="J365" s="79"/>
    </row>
    <row r="366">
      <c r="C366" s="79"/>
      <c r="D366" s="79"/>
      <c r="E366" s="79"/>
      <c r="F366" s="79"/>
      <c r="G366" s="79"/>
      <c r="H366" s="79"/>
      <c r="I366" s="79"/>
      <c r="J366" s="79"/>
    </row>
    <row r="367">
      <c r="C367" s="79"/>
      <c r="D367" s="79"/>
      <c r="E367" s="79"/>
      <c r="F367" s="79"/>
      <c r="G367" s="79"/>
      <c r="H367" s="79"/>
      <c r="I367" s="79"/>
      <c r="J367" s="79"/>
    </row>
    <row r="368">
      <c r="C368" s="79"/>
      <c r="D368" s="79"/>
      <c r="E368" s="79"/>
      <c r="F368" s="79"/>
      <c r="G368" s="79"/>
      <c r="H368" s="79"/>
      <c r="I368" s="79"/>
      <c r="J368" s="79"/>
    </row>
    <row r="369">
      <c r="C369" s="79"/>
      <c r="D369" s="79"/>
      <c r="E369" s="79"/>
      <c r="F369" s="79"/>
      <c r="G369" s="79"/>
      <c r="H369" s="79"/>
      <c r="I369" s="79"/>
      <c r="J369" s="79"/>
    </row>
    <row r="370">
      <c r="C370" s="79"/>
      <c r="D370" s="79"/>
      <c r="E370" s="79"/>
      <c r="F370" s="79"/>
      <c r="G370" s="79"/>
      <c r="H370" s="79"/>
      <c r="I370" s="79"/>
      <c r="J370" s="79"/>
    </row>
    <row r="371">
      <c r="C371" s="79"/>
      <c r="D371" s="79"/>
      <c r="E371" s="79"/>
      <c r="F371" s="79"/>
      <c r="G371" s="79"/>
      <c r="H371" s="79"/>
      <c r="I371" s="79"/>
      <c r="J371" s="79"/>
    </row>
    <row r="372">
      <c r="C372" s="79"/>
      <c r="D372" s="79"/>
      <c r="E372" s="79"/>
      <c r="F372" s="79"/>
      <c r="G372" s="79"/>
      <c r="H372" s="79"/>
      <c r="I372" s="79"/>
      <c r="J372" s="79"/>
    </row>
    <row r="373">
      <c r="C373" s="79"/>
      <c r="D373" s="79"/>
      <c r="E373" s="79"/>
      <c r="F373" s="79"/>
      <c r="G373" s="79"/>
      <c r="H373" s="79"/>
      <c r="I373" s="79"/>
      <c r="J373" s="79"/>
    </row>
    <row r="374">
      <c r="C374" s="79"/>
      <c r="D374" s="79"/>
      <c r="E374" s="79"/>
      <c r="F374" s="79"/>
      <c r="G374" s="79"/>
      <c r="H374" s="79"/>
      <c r="I374" s="79"/>
      <c r="J374" s="79"/>
    </row>
    <row r="375">
      <c r="C375" s="79"/>
      <c r="D375" s="79"/>
      <c r="E375" s="79"/>
      <c r="F375" s="79"/>
      <c r="G375" s="79"/>
      <c r="H375" s="79"/>
      <c r="I375" s="79"/>
      <c r="J375" s="79"/>
    </row>
    <row r="376">
      <c r="C376" s="79"/>
      <c r="D376" s="79"/>
      <c r="E376" s="79"/>
      <c r="F376" s="79"/>
      <c r="G376" s="79"/>
      <c r="H376" s="79"/>
      <c r="I376" s="79"/>
      <c r="J376" s="79"/>
    </row>
    <row r="377">
      <c r="C377" s="79"/>
      <c r="D377" s="79"/>
      <c r="E377" s="79"/>
      <c r="F377" s="79"/>
      <c r="G377" s="79"/>
      <c r="H377" s="79"/>
      <c r="I377" s="79"/>
      <c r="J377" s="79"/>
    </row>
    <row r="378">
      <c r="C378" s="79"/>
      <c r="D378" s="79"/>
      <c r="E378" s="79"/>
      <c r="F378" s="79"/>
      <c r="G378" s="79"/>
      <c r="H378" s="79"/>
      <c r="I378" s="79"/>
      <c r="J378" s="79"/>
    </row>
    <row r="379">
      <c r="C379" s="79"/>
      <c r="D379" s="79"/>
      <c r="E379" s="79"/>
      <c r="F379" s="79"/>
      <c r="G379" s="79"/>
      <c r="H379" s="79"/>
      <c r="I379" s="79"/>
      <c r="J379" s="79"/>
    </row>
    <row r="380">
      <c r="C380" s="79"/>
      <c r="D380" s="79"/>
      <c r="E380" s="79"/>
      <c r="F380" s="79"/>
      <c r="G380" s="79"/>
      <c r="H380" s="79"/>
      <c r="I380" s="79"/>
      <c r="J380" s="79"/>
    </row>
    <row r="381">
      <c r="C381" s="79"/>
      <c r="D381" s="79"/>
      <c r="E381" s="79"/>
      <c r="F381" s="79"/>
      <c r="G381" s="79"/>
      <c r="H381" s="79"/>
      <c r="I381" s="79"/>
      <c r="J381" s="79"/>
    </row>
    <row r="382">
      <c r="C382" s="79"/>
      <c r="D382" s="79"/>
      <c r="E382" s="79"/>
      <c r="F382" s="79"/>
      <c r="G382" s="79"/>
      <c r="H382" s="79"/>
      <c r="I382" s="79"/>
      <c r="J382" s="79"/>
    </row>
    <row r="383">
      <c r="C383" s="79"/>
      <c r="D383" s="79"/>
      <c r="E383" s="79"/>
      <c r="F383" s="79"/>
      <c r="G383" s="79"/>
      <c r="H383" s="79"/>
      <c r="I383" s="79"/>
      <c r="J383" s="79"/>
    </row>
    <row r="384">
      <c r="C384" s="79"/>
      <c r="D384" s="79"/>
      <c r="E384" s="79"/>
      <c r="F384" s="79"/>
      <c r="G384" s="79"/>
      <c r="H384" s="79"/>
      <c r="I384" s="79"/>
      <c r="J384" s="79"/>
    </row>
    <row r="385">
      <c r="C385" s="79"/>
      <c r="D385" s="79"/>
      <c r="E385" s="79"/>
      <c r="F385" s="79"/>
      <c r="G385" s="79"/>
      <c r="H385" s="79"/>
      <c r="I385" s="79"/>
      <c r="J385" s="79"/>
    </row>
    <row r="386">
      <c r="C386" s="79"/>
      <c r="D386" s="79"/>
      <c r="E386" s="79"/>
      <c r="F386" s="79"/>
      <c r="G386" s="79"/>
      <c r="H386" s="79"/>
      <c r="I386" s="79"/>
      <c r="J386" s="79"/>
    </row>
    <row r="387">
      <c r="C387" s="79"/>
      <c r="D387" s="79"/>
      <c r="E387" s="79"/>
      <c r="F387" s="79"/>
      <c r="G387" s="79"/>
      <c r="H387" s="79"/>
      <c r="I387" s="79"/>
      <c r="J387" s="79"/>
    </row>
    <row r="388">
      <c r="C388" s="79"/>
      <c r="D388" s="79"/>
      <c r="E388" s="79"/>
      <c r="F388" s="79"/>
      <c r="G388" s="79"/>
      <c r="H388" s="79"/>
      <c r="I388" s="79"/>
      <c r="J388" s="79"/>
    </row>
    <row r="389">
      <c r="C389" s="79"/>
      <c r="D389" s="79"/>
      <c r="E389" s="79"/>
      <c r="F389" s="79"/>
      <c r="G389" s="79"/>
      <c r="H389" s="79"/>
      <c r="I389" s="79"/>
      <c r="J389" s="79"/>
    </row>
    <row r="390">
      <c r="C390" s="79"/>
      <c r="D390" s="79"/>
      <c r="E390" s="79"/>
      <c r="F390" s="79"/>
      <c r="G390" s="79"/>
      <c r="H390" s="79"/>
      <c r="I390" s="79"/>
      <c r="J390" s="79"/>
    </row>
    <row r="391">
      <c r="C391" s="79"/>
      <c r="D391" s="79"/>
      <c r="E391" s="79"/>
      <c r="F391" s="79"/>
      <c r="G391" s="79"/>
      <c r="H391" s="79"/>
      <c r="I391" s="79"/>
      <c r="J391" s="79"/>
    </row>
    <row r="392">
      <c r="C392" s="79"/>
      <c r="D392" s="79"/>
      <c r="E392" s="79"/>
      <c r="F392" s="79"/>
      <c r="G392" s="79"/>
      <c r="H392" s="79"/>
      <c r="I392" s="79"/>
      <c r="J392" s="79"/>
    </row>
    <row r="393">
      <c r="C393" s="79"/>
      <c r="D393" s="79"/>
      <c r="E393" s="79"/>
      <c r="F393" s="79"/>
      <c r="G393" s="79"/>
      <c r="H393" s="79"/>
      <c r="I393" s="79"/>
      <c r="J393" s="79"/>
    </row>
    <row r="394">
      <c r="C394" s="79"/>
      <c r="D394" s="79"/>
      <c r="E394" s="79"/>
      <c r="F394" s="79"/>
      <c r="G394" s="79"/>
      <c r="H394" s="79"/>
      <c r="I394" s="79"/>
      <c r="J394" s="79"/>
    </row>
    <row r="395">
      <c r="C395" s="79"/>
      <c r="D395" s="79"/>
      <c r="E395" s="79"/>
      <c r="F395" s="79"/>
      <c r="G395" s="79"/>
      <c r="H395" s="79"/>
      <c r="I395" s="79"/>
      <c r="J395" s="79"/>
    </row>
    <row r="396">
      <c r="C396" s="79"/>
      <c r="D396" s="79"/>
      <c r="E396" s="79"/>
      <c r="F396" s="79"/>
      <c r="G396" s="79"/>
      <c r="H396" s="79"/>
      <c r="I396" s="79"/>
      <c r="J396" s="79"/>
    </row>
    <row r="397">
      <c r="C397" s="79"/>
      <c r="D397" s="79"/>
      <c r="E397" s="79"/>
      <c r="F397" s="79"/>
      <c r="G397" s="79"/>
      <c r="H397" s="79"/>
      <c r="I397" s="79"/>
      <c r="J397" s="79"/>
    </row>
    <row r="398">
      <c r="C398" s="79"/>
      <c r="D398" s="79"/>
      <c r="E398" s="79"/>
      <c r="F398" s="79"/>
      <c r="G398" s="79"/>
      <c r="H398" s="79"/>
      <c r="I398" s="79"/>
      <c r="J398" s="79"/>
    </row>
    <row r="399">
      <c r="C399" s="79"/>
      <c r="D399" s="79"/>
      <c r="E399" s="79"/>
      <c r="F399" s="79"/>
      <c r="G399" s="79"/>
      <c r="H399" s="79"/>
      <c r="I399" s="79"/>
      <c r="J399" s="79"/>
    </row>
    <row r="400">
      <c r="C400" s="79"/>
      <c r="D400" s="79"/>
      <c r="E400" s="79"/>
      <c r="F400" s="79"/>
      <c r="G400" s="79"/>
      <c r="H400" s="79"/>
      <c r="I400" s="79"/>
      <c r="J400" s="79"/>
    </row>
    <row r="401">
      <c r="C401" s="79"/>
      <c r="D401" s="79"/>
      <c r="E401" s="79"/>
      <c r="F401" s="79"/>
      <c r="G401" s="79"/>
      <c r="H401" s="79"/>
      <c r="I401" s="79"/>
      <c r="J401" s="79"/>
    </row>
    <row r="402">
      <c r="C402" s="79"/>
      <c r="D402" s="79"/>
      <c r="E402" s="79"/>
      <c r="F402" s="79"/>
      <c r="G402" s="79"/>
      <c r="H402" s="79"/>
      <c r="I402" s="79"/>
      <c r="J402" s="79"/>
    </row>
    <row r="403">
      <c r="C403" s="79"/>
      <c r="D403" s="79"/>
      <c r="E403" s="79"/>
      <c r="F403" s="79"/>
      <c r="G403" s="79"/>
      <c r="H403" s="79"/>
      <c r="I403" s="79"/>
      <c r="J403" s="79"/>
    </row>
    <row r="404">
      <c r="C404" s="79"/>
      <c r="D404" s="79"/>
      <c r="E404" s="79"/>
      <c r="F404" s="79"/>
      <c r="G404" s="79"/>
      <c r="H404" s="79"/>
      <c r="I404" s="79"/>
      <c r="J404" s="79"/>
    </row>
    <row r="405">
      <c r="C405" s="79"/>
      <c r="D405" s="79"/>
      <c r="E405" s="79"/>
      <c r="F405" s="79"/>
      <c r="G405" s="79"/>
      <c r="H405" s="79"/>
      <c r="I405" s="79"/>
      <c r="J405" s="79"/>
    </row>
    <row r="406">
      <c r="C406" s="79"/>
      <c r="D406" s="79"/>
      <c r="E406" s="79"/>
      <c r="F406" s="79"/>
      <c r="G406" s="79"/>
      <c r="H406" s="79"/>
      <c r="I406" s="79"/>
      <c r="J406" s="79"/>
    </row>
    <row r="407">
      <c r="C407" s="79"/>
      <c r="D407" s="79"/>
      <c r="E407" s="79"/>
      <c r="F407" s="79"/>
      <c r="G407" s="79"/>
      <c r="H407" s="79"/>
      <c r="I407" s="79"/>
      <c r="J407" s="79"/>
    </row>
    <row r="408">
      <c r="C408" s="79"/>
      <c r="D408" s="79"/>
      <c r="E408" s="79"/>
      <c r="F408" s="79"/>
      <c r="G408" s="79"/>
      <c r="H408" s="79"/>
      <c r="I408" s="79"/>
      <c r="J408" s="79"/>
    </row>
    <row r="409">
      <c r="C409" s="79"/>
      <c r="D409" s="79"/>
      <c r="E409" s="79"/>
      <c r="F409" s="79"/>
      <c r="G409" s="79"/>
      <c r="H409" s="79"/>
      <c r="I409" s="79"/>
      <c r="J409" s="79"/>
    </row>
    <row r="410">
      <c r="C410" s="79"/>
      <c r="D410" s="79"/>
      <c r="E410" s="79"/>
      <c r="F410" s="79"/>
      <c r="G410" s="79"/>
      <c r="H410" s="79"/>
      <c r="I410" s="79"/>
      <c r="J410" s="79"/>
    </row>
    <row r="411">
      <c r="C411" s="79"/>
      <c r="D411" s="79"/>
      <c r="E411" s="79"/>
      <c r="F411" s="79"/>
      <c r="G411" s="79"/>
      <c r="H411" s="79"/>
      <c r="I411" s="79"/>
      <c r="J411" s="79"/>
    </row>
    <row r="412">
      <c r="C412" s="79"/>
      <c r="D412" s="79"/>
      <c r="E412" s="79"/>
      <c r="F412" s="79"/>
      <c r="G412" s="79"/>
      <c r="H412" s="79"/>
      <c r="I412" s="79"/>
      <c r="J412" s="79"/>
    </row>
    <row r="413">
      <c r="C413" s="79"/>
      <c r="D413" s="79"/>
      <c r="E413" s="79"/>
      <c r="F413" s="79"/>
      <c r="G413" s="79"/>
      <c r="H413" s="79"/>
      <c r="I413" s="79"/>
      <c r="J413" s="79"/>
    </row>
    <row r="414">
      <c r="C414" s="79"/>
      <c r="D414" s="79"/>
      <c r="E414" s="79"/>
      <c r="F414" s="79"/>
      <c r="G414" s="79"/>
      <c r="H414" s="79"/>
      <c r="I414" s="79"/>
      <c r="J414" s="79"/>
    </row>
    <row r="415">
      <c r="C415" s="79"/>
      <c r="D415" s="79"/>
      <c r="E415" s="79"/>
      <c r="F415" s="79"/>
      <c r="G415" s="79"/>
      <c r="H415" s="79"/>
      <c r="I415" s="79"/>
      <c r="J415" s="79"/>
    </row>
    <row r="416">
      <c r="C416" s="79"/>
      <c r="D416" s="79"/>
      <c r="E416" s="79"/>
      <c r="F416" s="79"/>
      <c r="G416" s="79"/>
      <c r="H416" s="79"/>
      <c r="I416" s="79"/>
      <c r="J416" s="79"/>
    </row>
    <row r="417">
      <c r="C417" s="79"/>
      <c r="D417" s="79"/>
      <c r="E417" s="79"/>
      <c r="F417" s="79"/>
      <c r="G417" s="79"/>
      <c r="H417" s="79"/>
      <c r="I417" s="79"/>
      <c r="J417" s="79"/>
    </row>
    <row r="418">
      <c r="C418" s="79"/>
      <c r="D418" s="79"/>
      <c r="E418" s="79"/>
      <c r="F418" s="79"/>
      <c r="G418" s="79"/>
      <c r="H418" s="79"/>
      <c r="I418" s="79"/>
      <c r="J418" s="79"/>
    </row>
    <row r="419">
      <c r="C419" s="79"/>
      <c r="D419" s="79"/>
      <c r="E419" s="79"/>
      <c r="F419" s="79"/>
      <c r="G419" s="79"/>
      <c r="H419" s="79"/>
      <c r="I419" s="79"/>
      <c r="J419" s="79"/>
    </row>
    <row r="420">
      <c r="C420" s="79"/>
      <c r="D420" s="79"/>
      <c r="E420" s="79"/>
      <c r="F420" s="79"/>
      <c r="G420" s="79"/>
      <c r="H420" s="79"/>
      <c r="I420" s="79"/>
      <c r="J420" s="79"/>
    </row>
    <row r="421">
      <c r="C421" s="79"/>
      <c r="D421" s="79"/>
      <c r="E421" s="79"/>
      <c r="F421" s="79"/>
      <c r="G421" s="79"/>
      <c r="H421" s="79"/>
      <c r="I421" s="79"/>
      <c r="J421" s="79"/>
    </row>
    <row r="422">
      <c r="C422" s="79"/>
      <c r="D422" s="79"/>
      <c r="E422" s="79"/>
      <c r="F422" s="79"/>
      <c r="G422" s="79"/>
      <c r="H422" s="79"/>
      <c r="I422" s="79"/>
      <c r="J422" s="79"/>
    </row>
    <row r="423">
      <c r="C423" s="79"/>
      <c r="D423" s="79"/>
      <c r="E423" s="79"/>
      <c r="F423" s="79"/>
      <c r="G423" s="79"/>
      <c r="H423" s="79"/>
      <c r="I423" s="79"/>
      <c r="J423" s="79"/>
    </row>
    <row r="424">
      <c r="C424" s="79"/>
      <c r="D424" s="79"/>
      <c r="E424" s="79"/>
      <c r="F424" s="79"/>
      <c r="G424" s="79"/>
      <c r="H424" s="79"/>
      <c r="I424" s="79"/>
      <c r="J424" s="79"/>
    </row>
    <row r="425">
      <c r="C425" s="79"/>
      <c r="D425" s="79"/>
      <c r="E425" s="79"/>
      <c r="F425" s="79"/>
      <c r="G425" s="79"/>
      <c r="H425" s="79"/>
      <c r="I425" s="79"/>
      <c r="J425" s="79"/>
    </row>
    <row r="426">
      <c r="C426" s="79"/>
      <c r="D426" s="79"/>
      <c r="E426" s="79"/>
      <c r="F426" s="79"/>
      <c r="G426" s="79"/>
      <c r="H426" s="79"/>
      <c r="I426" s="79"/>
      <c r="J426" s="79"/>
    </row>
    <row r="427">
      <c r="C427" s="79"/>
      <c r="D427" s="79"/>
      <c r="E427" s="79"/>
      <c r="F427" s="79"/>
      <c r="G427" s="79"/>
      <c r="H427" s="79"/>
      <c r="I427" s="79"/>
      <c r="J427" s="79"/>
    </row>
    <row r="428">
      <c r="C428" s="79"/>
      <c r="D428" s="79"/>
      <c r="E428" s="79"/>
      <c r="F428" s="79"/>
      <c r="G428" s="79"/>
      <c r="H428" s="79"/>
      <c r="I428" s="79"/>
      <c r="J428" s="79"/>
    </row>
    <row r="429">
      <c r="C429" s="79"/>
      <c r="D429" s="79"/>
      <c r="E429" s="79"/>
      <c r="F429" s="79"/>
      <c r="G429" s="79"/>
      <c r="H429" s="79"/>
      <c r="I429" s="79"/>
      <c r="J429" s="79"/>
    </row>
    <row r="430">
      <c r="C430" s="79"/>
      <c r="D430" s="79"/>
      <c r="E430" s="79"/>
      <c r="F430" s="79"/>
      <c r="G430" s="79"/>
      <c r="H430" s="79"/>
      <c r="I430" s="79"/>
      <c r="J430" s="79"/>
    </row>
    <row r="431">
      <c r="C431" s="79"/>
      <c r="D431" s="79"/>
      <c r="E431" s="79"/>
      <c r="F431" s="79"/>
      <c r="G431" s="79"/>
      <c r="H431" s="79"/>
      <c r="I431" s="79"/>
      <c r="J431" s="79"/>
    </row>
    <row r="432">
      <c r="C432" s="79"/>
      <c r="D432" s="79"/>
      <c r="E432" s="79"/>
      <c r="F432" s="79"/>
      <c r="G432" s="79"/>
      <c r="H432" s="79"/>
      <c r="I432" s="79"/>
      <c r="J432" s="79"/>
    </row>
    <row r="433">
      <c r="C433" s="79"/>
      <c r="D433" s="79"/>
      <c r="E433" s="79"/>
      <c r="F433" s="79"/>
      <c r="G433" s="79"/>
      <c r="H433" s="79"/>
      <c r="I433" s="79"/>
      <c r="J433" s="79"/>
    </row>
    <row r="434">
      <c r="C434" s="79"/>
      <c r="D434" s="79"/>
      <c r="E434" s="79"/>
      <c r="F434" s="79"/>
      <c r="G434" s="79"/>
      <c r="H434" s="79"/>
      <c r="I434" s="79"/>
      <c r="J434" s="79"/>
    </row>
    <row r="435">
      <c r="C435" s="79"/>
      <c r="D435" s="79"/>
      <c r="E435" s="79"/>
      <c r="F435" s="79"/>
      <c r="G435" s="79"/>
      <c r="H435" s="79"/>
      <c r="I435" s="79"/>
      <c r="J435" s="79"/>
    </row>
    <row r="436">
      <c r="C436" s="79"/>
      <c r="D436" s="79"/>
      <c r="E436" s="79"/>
      <c r="F436" s="79"/>
      <c r="G436" s="79"/>
      <c r="H436" s="79"/>
      <c r="I436" s="79"/>
      <c r="J436" s="79"/>
    </row>
    <row r="437">
      <c r="C437" s="79"/>
      <c r="D437" s="79"/>
      <c r="E437" s="79"/>
      <c r="F437" s="79"/>
      <c r="G437" s="79"/>
      <c r="H437" s="79"/>
      <c r="I437" s="79"/>
      <c r="J437" s="79"/>
    </row>
    <row r="438">
      <c r="C438" s="79"/>
      <c r="D438" s="79"/>
      <c r="E438" s="79"/>
      <c r="F438" s="79"/>
      <c r="G438" s="79"/>
      <c r="H438" s="79"/>
      <c r="I438" s="79"/>
      <c r="J438" s="79"/>
    </row>
    <row r="439">
      <c r="C439" s="79"/>
      <c r="D439" s="79"/>
      <c r="E439" s="79"/>
      <c r="F439" s="79"/>
      <c r="G439" s="79"/>
      <c r="H439" s="79"/>
      <c r="I439" s="79"/>
      <c r="J439" s="79"/>
    </row>
    <row r="440">
      <c r="C440" s="79"/>
      <c r="D440" s="79"/>
      <c r="E440" s="79"/>
      <c r="F440" s="79"/>
      <c r="G440" s="79"/>
      <c r="H440" s="79"/>
      <c r="I440" s="79"/>
      <c r="J440" s="79"/>
    </row>
    <row r="441">
      <c r="C441" s="79"/>
      <c r="D441" s="79"/>
      <c r="E441" s="79"/>
      <c r="F441" s="79"/>
      <c r="G441" s="79"/>
      <c r="H441" s="79"/>
      <c r="I441" s="79"/>
      <c r="J441" s="79"/>
    </row>
    <row r="442">
      <c r="C442" s="79"/>
      <c r="D442" s="79"/>
      <c r="E442" s="79"/>
      <c r="F442" s="79"/>
      <c r="G442" s="79"/>
      <c r="H442" s="79"/>
      <c r="I442" s="79"/>
      <c r="J442" s="79"/>
    </row>
    <row r="443">
      <c r="C443" s="79"/>
      <c r="D443" s="79"/>
      <c r="E443" s="79"/>
      <c r="F443" s="79"/>
      <c r="G443" s="79"/>
      <c r="H443" s="79"/>
      <c r="I443" s="79"/>
      <c r="J443" s="79"/>
    </row>
    <row r="444">
      <c r="C444" s="79"/>
      <c r="D444" s="79"/>
      <c r="E444" s="79"/>
      <c r="F444" s="79"/>
      <c r="G444" s="79"/>
      <c r="H444" s="79"/>
      <c r="I444" s="79"/>
      <c r="J444" s="79"/>
    </row>
    <row r="445">
      <c r="C445" s="79"/>
      <c r="D445" s="79"/>
      <c r="E445" s="79"/>
      <c r="F445" s="79"/>
      <c r="G445" s="79"/>
      <c r="H445" s="79"/>
      <c r="I445" s="79"/>
      <c r="J445" s="79"/>
    </row>
    <row r="446">
      <c r="C446" s="79"/>
      <c r="D446" s="79"/>
      <c r="E446" s="79"/>
      <c r="F446" s="79"/>
      <c r="G446" s="79"/>
      <c r="H446" s="79"/>
      <c r="I446" s="79"/>
      <c r="J446" s="79"/>
    </row>
    <row r="447">
      <c r="C447" s="79"/>
      <c r="D447" s="79"/>
      <c r="E447" s="79"/>
      <c r="F447" s="79"/>
      <c r="G447" s="79"/>
      <c r="H447" s="79"/>
      <c r="I447" s="79"/>
      <c r="J447" s="79"/>
    </row>
    <row r="448">
      <c r="C448" s="79"/>
      <c r="D448" s="79"/>
      <c r="E448" s="79"/>
      <c r="F448" s="79"/>
      <c r="G448" s="79"/>
      <c r="H448" s="79"/>
      <c r="I448" s="79"/>
      <c r="J448" s="79"/>
    </row>
    <row r="449">
      <c r="C449" s="79"/>
      <c r="D449" s="79"/>
      <c r="E449" s="79"/>
      <c r="F449" s="79"/>
      <c r="G449" s="79"/>
      <c r="H449" s="79"/>
      <c r="I449" s="79"/>
      <c r="J449" s="79"/>
    </row>
    <row r="450">
      <c r="C450" s="79"/>
      <c r="D450" s="79"/>
      <c r="E450" s="79"/>
      <c r="F450" s="79"/>
      <c r="G450" s="79"/>
      <c r="H450" s="79"/>
      <c r="I450" s="79"/>
      <c r="J450" s="79"/>
    </row>
    <row r="451">
      <c r="C451" s="79"/>
      <c r="D451" s="79"/>
      <c r="E451" s="79"/>
      <c r="F451" s="79"/>
      <c r="G451" s="79"/>
      <c r="H451" s="79"/>
      <c r="I451" s="79"/>
      <c r="J451" s="79"/>
    </row>
    <row r="452">
      <c r="C452" s="79"/>
      <c r="D452" s="79"/>
      <c r="E452" s="79"/>
      <c r="F452" s="79"/>
      <c r="G452" s="79"/>
      <c r="H452" s="79"/>
      <c r="I452" s="79"/>
      <c r="J452" s="79"/>
    </row>
    <row r="453">
      <c r="C453" s="79"/>
      <c r="D453" s="79"/>
      <c r="E453" s="79"/>
      <c r="F453" s="79"/>
      <c r="G453" s="79"/>
      <c r="H453" s="79"/>
      <c r="I453" s="79"/>
      <c r="J453" s="79"/>
    </row>
    <row r="454">
      <c r="C454" s="79"/>
      <c r="D454" s="79"/>
      <c r="E454" s="79"/>
      <c r="F454" s="79"/>
      <c r="G454" s="79"/>
      <c r="H454" s="79"/>
      <c r="I454" s="79"/>
      <c r="J454" s="79"/>
    </row>
    <row r="455">
      <c r="C455" s="79"/>
      <c r="D455" s="79"/>
      <c r="E455" s="79"/>
      <c r="F455" s="79"/>
      <c r="G455" s="79"/>
      <c r="H455" s="79"/>
      <c r="I455" s="79"/>
      <c r="J455" s="79"/>
    </row>
    <row r="456">
      <c r="C456" s="79"/>
      <c r="D456" s="79"/>
      <c r="E456" s="79"/>
      <c r="F456" s="79"/>
      <c r="G456" s="79"/>
      <c r="H456" s="79"/>
      <c r="I456" s="79"/>
      <c r="J456" s="79"/>
    </row>
    <row r="457">
      <c r="C457" s="79"/>
      <c r="D457" s="79"/>
      <c r="E457" s="79"/>
      <c r="F457" s="79"/>
      <c r="G457" s="79"/>
      <c r="H457" s="79"/>
      <c r="I457" s="79"/>
      <c r="J457" s="79"/>
    </row>
    <row r="458">
      <c r="C458" s="79"/>
      <c r="D458" s="79"/>
      <c r="E458" s="79"/>
      <c r="F458" s="79"/>
      <c r="G458" s="79"/>
      <c r="H458" s="79"/>
      <c r="I458" s="79"/>
      <c r="J458" s="79"/>
    </row>
    <row r="459">
      <c r="C459" s="79"/>
      <c r="D459" s="79"/>
      <c r="E459" s="79"/>
      <c r="F459" s="79"/>
      <c r="G459" s="79"/>
      <c r="H459" s="79"/>
      <c r="I459" s="79"/>
      <c r="J459" s="79"/>
    </row>
    <row r="460">
      <c r="C460" s="79"/>
      <c r="D460" s="79"/>
      <c r="E460" s="79"/>
      <c r="F460" s="79"/>
      <c r="G460" s="79"/>
      <c r="H460" s="79"/>
      <c r="I460" s="79"/>
      <c r="J460" s="79"/>
    </row>
    <row r="461">
      <c r="C461" s="79"/>
      <c r="D461" s="79"/>
      <c r="E461" s="79"/>
      <c r="F461" s="79"/>
      <c r="G461" s="79"/>
      <c r="H461" s="79"/>
      <c r="I461" s="79"/>
      <c r="J461" s="79"/>
    </row>
    <row r="462">
      <c r="C462" s="79"/>
      <c r="D462" s="79"/>
      <c r="E462" s="79"/>
      <c r="F462" s="79"/>
      <c r="G462" s="79"/>
      <c r="H462" s="79"/>
      <c r="I462" s="79"/>
      <c r="J462" s="79"/>
    </row>
    <row r="463">
      <c r="C463" s="79"/>
      <c r="D463" s="79"/>
      <c r="E463" s="79"/>
      <c r="F463" s="79"/>
      <c r="G463" s="79"/>
      <c r="H463" s="79"/>
      <c r="I463" s="79"/>
      <c r="J463" s="79"/>
    </row>
    <row r="464">
      <c r="C464" s="79"/>
      <c r="D464" s="79"/>
      <c r="E464" s="79"/>
      <c r="F464" s="79"/>
      <c r="G464" s="79"/>
      <c r="H464" s="79"/>
      <c r="I464" s="79"/>
      <c r="J464" s="79"/>
    </row>
    <row r="465">
      <c r="C465" s="79"/>
      <c r="D465" s="79"/>
      <c r="E465" s="79"/>
      <c r="F465" s="79"/>
      <c r="G465" s="79"/>
      <c r="H465" s="79"/>
      <c r="I465" s="79"/>
      <c r="J465" s="79"/>
    </row>
    <row r="466">
      <c r="C466" s="79"/>
      <c r="D466" s="79"/>
      <c r="E466" s="79"/>
      <c r="F466" s="79"/>
      <c r="G466" s="79"/>
      <c r="H466" s="79"/>
      <c r="I466" s="79"/>
      <c r="J466" s="79"/>
    </row>
    <row r="467">
      <c r="C467" s="79"/>
      <c r="D467" s="79"/>
      <c r="E467" s="79"/>
      <c r="F467" s="79"/>
      <c r="G467" s="79"/>
      <c r="H467" s="79"/>
      <c r="I467" s="79"/>
      <c r="J467" s="79"/>
    </row>
    <row r="468">
      <c r="C468" s="79"/>
      <c r="D468" s="79"/>
      <c r="E468" s="79"/>
      <c r="F468" s="79"/>
      <c r="G468" s="79"/>
      <c r="H468" s="79"/>
      <c r="I468" s="79"/>
      <c r="J468" s="79"/>
    </row>
    <row r="469">
      <c r="C469" s="79"/>
      <c r="D469" s="79"/>
      <c r="E469" s="79"/>
      <c r="F469" s="79"/>
      <c r="G469" s="79"/>
      <c r="H469" s="79"/>
      <c r="I469" s="79"/>
      <c r="J469" s="79"/>
    </row>
    <row r="470">
      <c r="C470" s="79"/>
      <c r="D470" s="79"/>
      <c r="E470" s="79"/>
      <c r="F470" s="79"/>
      <c r="G470" s="79"/>
      <c r="H470" s="79"/>
      <c r="I470" s="79"/>
      <c r="J470" s="79"/>
    </row>
    <row r="471">
      <c r="C471" s="79"/>
      <c r="D471" s="79"/>
      <c r="E471" s="79"/>
      <c r="F471" s="79"/>
      <c r="G471" s="79"/>
      <c r="H471" s="79"/>
      <c r="I471" s="79"/>
      <c r="J471" s="79"/>
    </row>
    <row r="472">
      <c r="C472" s="79"/>
      <c r="D472" s="79"/>
      <c r="E472" s="79"/>
      <c r="F472" s="79"/>
      <c r="G472" s="79"/>
      <c r="H472" s="79"/>
      <c r="I472" s="79"/>
      <c r="J472" s="79"/>
    </row>
    <row r="473">
      <c r="C473" s="79"/>
      <c r="D473" s="79"/>
      <c r="E473" s="79"/>
      <c r="F473" s="79"/>
      <c r="G473" s="79"/>
      <c r="H473" s="79"/>
      <c r="I473" s="79"/>
      <c r="J473" s="79"/>
    </row>
    <row r="474">
      <c r="C474" s="79"/>
      <c r="D474" s="79"/>
      <c r="E474" s="79"/>
      <c r="F474" s="79"/>
      <c r="G474" s="79"/>
      <c r="H474" s="79"/>
      <c r="I474" s="79"/>
      <c r="J474" s="79"/>
    </row>
    <row r="475">
      <c r="C475" s="79"/>
      <c r="D475" s="79"/>
      <c r="E475" s="79"/>
      <c r="F475" s="79"/>
      <c r="G475" s="79"/>
      <c r="H475" s="79"/>
      <c r="I475" s="79"/>
      <c r="J475" s="79"/>
    </row>
    <row r="476">
      <c r="C476" s="79"/>
      <c r="D476" s="79"/>
      <c r="E476" s="79"/>
      <c r="F476" s="79"/>
      <c r="G476" s="79"/>
      <c r="H476" s="79"/>
      <c r="I476" s="79"/>
      <c r="J476" s="79"/>
    </row>
    <row r="477">
      <c r="C477" s="79"/>
      <c r="D477" s="79"/>
      <c r="E477" s="79"/>
      <c r="F477" s="79"/>
      <c r="G477" s="79"/>
      <c r="H477" s="79"/>
      <c r="I477" s="79"/>
      <c r="J477" s="79"/>
    </row>
    <row r="478">
      <c r="C478" s="79"/>
      <c r="D478" s="79"/>
      <c r="E478" s="79"/>
      <c r="F478" s="79"/>
      <c r="G478" s="79"/>
      <c r="H478" s="79"/>
      <c r="I478" s="79"/>
      <c r="J478" s="79"/>
    </row>
    <row r="479">
      <c r="C479" s="79"/>
      <c r="D479" s="79"/>
      <c r="E479" s="79"/>
      <c r="F479" s="79"/>
      <c r="G479" s="79"/>
      <c r="H479" s="79"/>
      <c r="I479" s="79"/>
      <c r="J479" s="79"/>
    </row>
    <row r="480">
      <c r="C480" s="79"/>
      <c r="D480" s="79"/>
      <c r="E480" s="79"/>
      <c r="F480" s="79"/>
      <c r="G480" s="79"/>
      <c r="H480" s="79"/>
      <c r="I480" s="79"/>
      <c r="J480" s="79"/>
    </row>
    <row r="481">
      <c r="C481" s="79"/>
      <c r="D481" s="79"/>
      <c r="E481" s="79"/>
      <c r="F481" s="79"/>
      <c r="G481" s="79"/>
      <c r="H481" s="79"/>
      <c r="I481" s="79"/>
      <c r="J481" s="79"/>
    </row>
    <row r="482">
      <c r="C482" s="79"/>
      <c r="D482" s="79"/>
      <c r="E482" s="79"/>
      <c r="F482" s="79"/>
      <c r="G482" s="79"/>
      <c r="H482" s="79"/>
      <c r="I482" s="79"/>
      <c r="J482" s="79"/>
    </row>
    <row r="483">
      <c r="C483" s="79"/>
      <c r="D483" s="79"/>
      <c r="E483" s="79"/>
      <c r="F483" s="79"/>
      <c r="G483" s="79"/>
      <c r="H483" s="79"/>
      <c r="I483" s="79"/>
      <c r="J483" s="79"/>
    </row>
    <row r="484">
      <c r="C484" s="79"/>
      <c r="D484" s="79"/>
      <c r="E484" s="79"/>
      <c r="F484" s="79"/>
      <c r="G484" s="79"/>
      <c r="H484" s="79"/>
      <c r="I484" s="79"/>
      <c r="J484" s="79"/>
    </row>
    <row r="485">
      <c r="C485" s="79"/>
      <c r="D485" s="79"/>
      <c r="E485" s="79"/>
      <c r="F485" s="79"/>
      <c r="G485" s="79"/>
      <c r="H485" s="79"/>
      <c r="I485" s="79"/>
      <c r="J485" s="79"/>
    </row>
    <row r="486">
      <c r="C486" s="79"/>
      <c r="D486" s="79"/>
      <c r="E486" s="79"/>
      <c r="F486" s="79"/>
      <c r="G486" s="79"/>
      <c r="H486" s="79"/>
      <c r="I486" s="79"/>
      <c r="J486" s="79"/>
    </row>
    <row r="487">
      <c r="C487" s="79"/>
      <c r="D487" s="79"/>
      <c r="E487" s="79"/>
      <c r="F487" s="79"/>
      <c r="G487" s="79"/>
      <c r="H487" s="79"/>
      <c r="I487" s="79"/>
      <c r="J487" s="79"/>
    </row>
    <row r="488">
      <c r="C488" s="79"/>
      <c r="D488" s="79"/>
      <c r="E488" s="79"/>
      <c r="F488" s="79"/>
      <c r="G488" s="79"/>
      <c r="H488" s="79"/>
      <c r="I488" s="79"/>
      <c r="J488" s="79"/>
    </row>
    <row r="489">
      <c r="C489" s="79"/>
      <c r="D489" s="79"/>
      <c r="E489" s="79"/>
      <c r="F489" s="79"/>
      <c r="G489" s="79"/>
      <c r="H489" s="79"/>
      <c r="I489" s="79"/>
      <c r="J489" s="79"/>
    </row>
    <row r="490">
      <c r="C490" s="79"/>
      <c r="D490" s="79"/>
      <c r="E490" s="79"/>
      <c r="F490" s="79"/>
      <c r="G490" s="79"/>
      <c r="H490" s="79"/>
      <c r="I490" s="79"/>
      <c r="J490" s="79"/>
    </row>
    <row r="491">
      <c r="C491" s="79"/>
      <c r="D491" s="79"/>
      <c r="E491" s="79"/>
      <c r="F491" s="79"/>
      <c r="G491" s="79"/>
      <c r="H491" s="79"/>
      <c r="I491" s="79"/>
      <c r="J491" s="79"/>
    </row>
    <row r="492">
      <c r="C492" s="79"/>
      <c r="D492" s="79"/>
      <c r="E492" s="79"/>
      <c r="F492" s="79"/>
      <c r="G492" s="79"/>
      <c r="H492" s="79"/>
      <c r="I492" s="79"/>
      <c r="J492" s="79"/>
    </row>
    <row r="493">
      <c r="C493" s="79"/>
      <c r="D493" s="79"/>
      <c r="E493" s="79"/>
      <c r="F493" s="79"/>
      <c r="G493" s="79"/>
      <c r="H493" s="79"/>
      <c r="I493" s="79"/>
      <c r="J493" s="79"/>
    </row>
    <row r="494">
      <c r="C494" s="79"/>
      <c r="D494" s="79"/>
      <c r="E494" s="79"/>
      <c r="F494" s="79"/>
      <c r="G494" s="79"/>
      <c r="H494" s="79"/>
      <c r="I494" s="79"/>
      <c r="J494" s="79"/>
    </row>
    <row r="495">
      <c r="C495" s="79"/>
      <c r="D495" s="79"/>
      <c r="E495" s="79"/>
      <c r="F495" s="79"/>
      <c r="G495" s="79"/>
      <c r="H495" s="79"/>
      <c r="I495" s="79"/>
      <c r="J495" s="79"/>
    </row>
    <row r="496">
      <c r="C496" s="79"/>
      <c r="D496" s="79"/>
      <c r="E496" s="79"/>
      <c r="F496" s="79"/>
      <c r="G496" s="79"/>
      <c r="H496" s="79"/>
      <c r="I496" s="79"/>
      <c r="J496" s="79"/>
    </row>
    <row r="497">
      <c r="C497" s="79"/>
      <c r="D497" s="79"/>
      <c r="E497" s="79"/>
      <c r="F497" s="79"/>
      <c r="G497" s="79"/>
      <c r="H497" s="79"/>
      <c r="I497" s="79"/>
      <c r="J497" s="79"/>
    </row>
    <row r="498">
      <c r="C498" s="79"/>
      <c r="D498" s="79"/>
      <c r="E498" s="79"/>
      <c r="F498" s="79"/>
      <c r="G498" s="79"/>
      <c r="H498" s="79"/>
      <c r="I498" s="79"/>
      <c r="J498" s="79"/>
    </row>
    <row r="499">
      <c r="C499" s="79"/>
      <c r="D499" s="79"/>
      <c r="E499" s="79"/>
      <c r="F499" s="79"/>
      <c r="G499" s="79"/>
      <c r="H499" s="79"/>
      <c r="I499" s="79"/>
      <c r="J499" s="79"/>
    </row>
    <row r="500">
      <c r="C500" s="79"/>
      <c r="D500" s="79"/>
      <c r="E500" s="79"/>
      <c r="F500" s="79"/>
      <c r="G500" s="79"/>
      <c r="H500" s="79"/>
      <c r="I500" s="79"/>
      <c r="J500" s="79"/>
    </row>
    <row r="501">
      <c r="C501" s="79"/>
      <c r="D501" s="79"/>
      <c r="E501" s="79"/>
      <c r="F501" s="79"/>
      <c r="G501" s="79"/>
      <c r="H501" s="79"/>
      <c r="I501" s="79"/>
      <c r="J501" s="79"/>
    </row>
    <row r="502">
      <c r="C502" s="79"/>
      <c r="D502" s="79"/>
      <c r="E502" s="79"/>
      <c r="F502" s="79"/>
      <c r="G502" s="79"/>
      <c r="H502" s="79"/>
      <c r="I502" s="79"/>
      <c r="J502" s="79"/>
    </row>
    <row r="503">
      <c r="C503" s="79"/>
      <c r="D503" s="79"/>
      <c r="E503" s="79"/>
      <c r="F503" s="79"/>
      <c r="G503" s="79"/>
      <c r="H503" s="79"/>
      <c r="I503" s="79"/>
      <c r="J503" s="79"/>
    </row>
    <row r="504">
      <c r="C504" s="79"/>
      <c r="D504" s="79"/>
      <c r="E504" s="79"/>
      <c r="F504" s="79"/>
      <c r="G504" s="79"/>
      <c r="H504" s="79"/>
      <c r="I504" s="79"/>
      <c r="J504" s="79"/>
    </row>
    <row r="505">
      <c r="C505" s="79"/>
      <c r="D505" s="79"/>
      <c r="E505" s="79"/>
      <c r="F505" s="79"/>
      <c r="G505" s="79"/>
      <c r="H505" s="79"/>
      <c r="I505" s="79"/>
      <c r="J505" s="79"/>
    </row>
    <row r="506">
      <c r="C506" s="79"/>
      <c r="D506" s="79"/>
      <c r="E506" s="79"/>
      <c r="F506" s="79"/>
      <c r="G506" s="79"/>
      <c r="H506" s="79"/>
      <c r="I506" s="79"/>
      <c r="J506" s="79"/>
    </row>
    <row r="507">
      <c r="C507" s="79"/>
      <c r="D507" s="79"/>
      <c r="E507" s="79"/>
      <c r="F507" s="79"/>
      <c r="G507" s="79"/>
      <c r="H507" s="79"/>
      <c r="I507" s="79"/>
      <c r="J507" s="79"/>
    </row>
    <row r="508">
      <c r="C508" s="79"/>
      <c r="D508" s="79"/>
      <c r="E508" s="79"/>
      <c r="F508" s="79"/>
      <c r="G508" s="79"/>
      <c r="H508" s="79"/>
      <c r="I508" s="79"/>
      <c r="J508" s="79"/>
    </row>
    <row r="509">
      <c r="C509" s="79"/>
      <c r="D509" s="79"/>
      <c r="E509" s="79"/>
      <c r="F509" s="79"/>
      <c r="G509" s="79"/>
      <c r="H509" s="79"/>
      <c r="I509" s="79"/>
      <c r="J509" s="79"/>
    </row>
    <row r="510">
      <c r="C510" s="79"/>
      <c r="D510" s="79"/>
      <c r="E510" s="79"/>
      <c r="F510" s="79"/>
      <c r="G510" s="79"/>
      <c r="H510" s="79"/>
      <c r="I510" s="79"/>
      <c r="J510" s="79"/>
    </row>
    <row r="511">
      <c r="C511" s="79"/>
      <c r="D511" s="79"/>
      <c r="E511" s="79"/>
      <c r="F511" s="79"/>
      <c r="G511" s="79"/>
      <c r="H511" s="79"/>
      <c r="I511" s="79"/>
      <c r="J511" s="79"/>
    </row>
    <row r="512">
      <c r="C512" s="79"/>
      <c r="D512" s="79"/>
      <c r="E512" s="79"/>
      <c r="F512" s="79"/>
      <c r="G512" s="79"/>
      <c r="H512" s="79"/>
      <c r="I512" s="79"/>
      <c r="J512" s="79"/>
    </row>
    <row r="513">
      <c r="C513" s="79"/>
      <c r="D513" s="79"/>
      <c r="E513" s="79"/>
      <c r="F513" s="79"/>
      <c r="G513" s="79"/>
      <c r="H513" s="79"/>
      <c r="I513" s="79"/>
      <c r="J513" s="79"/>
    </row>
    <row r="514">
      <c r="C514" s="79"/>
      <c r="D514" s="79"/>
      <c r="E514" s="79"/>
      <c r="F514" s="79"/>
      <c r="G514" s="79"/>
      <c r="H514" s="79"/>
      <c r="I514" s="79"/>
      <c r="J514" s="79"/>
    </row>
    <row r="515">
      <c r="C515" s="79"/>
      <c r="D515" s="79"/>
      <c r="E515" s="79"/>
      <c r="F515" s="79"/>
      <c r="G515" s="79"/>
      <c r="H515" s="79"/>
      <c r="I515" s="79"/>
      <c r="J515" s="79"/>
    </row>
    <row r="516">
      <c r="C516" s="79"/>
      <c r="D516" s="79"/>
      <c r="E516" s="79"/>
      <c r="F516" s="79"/>
      <c r="G516" s="79"/>
      <c r="H516" s="79"/>
      <c r="I516" s="79"/>
      <c r="J516" s="79"/>
    </row>
    <row r="517">
      <c r="C517" s="79"/>
      <c r="D517" s="79"/>
      <c r="E517" s="79"/>
      <c r="F517" s="79"/>
      <c r="G517" s="79"/>
      <c r="H517" s="79"/>
      <c r="I517" s="79"/>
      <c r="J517" s="79"/>
    </row>
    <row r="518">
      <c r="C518" s="79"/>
      <c r="D518" s="79"/>
      <c r="E518" s="79"/>
      <c r="F518" s="79"/>
      <c r="G518" s="79"/>
      <c r="H518" s="79"/>
      <c r="I518" s="79"/>
      <c r="J518" s="79"/>
    </row>
    <row r="519">
      <c r="C519" s="79"/>
      <c r="D519" s="79"/>
      <c r="E519" s="79"/>
      <c r="F519" s="79"/>
      <c r="G519" s="79"/>
      <c r="H519" s="79"/>
      <c r="I519" s="79"/>
      <c r="J519" s="79"/>
    </row>
    <row r="520">
      <c r="C520" s="79"/>
      <c r="D520" s="79"/>
      <c r="E520" s="79"/>
      <c r="F520" s="79"/>
      <c r="G520" s="79"/>
      <c r="H520" s="79"/>
      <c r="I520" s="79"/>
      <c r="J520" s="79"/>
    </row>
    <row r="521">
      <c r="C521" s="79"/>
      <c r="D521" s="79"/>
      <c r="E521" s="79"/>
      <c r="F521" s="79"/>
      <c r="G521" s="79"/>
      <c r="H521" s="79"/>
      <c r="I521" s="79"/>
      <c r="J521" s="79"/>
    </row>
    <row r="522">
      <c r="C522" s="79"/>
      <c r="D522" s="79"/>
      <c r="E522" s="79"/>
      <c r="F522" s="79"/>
      <c r="G522" s="79"/>
      <c r="H522" s="79"/>
      <c r="I522" s="79"/>
      <c r="J522" s="79"/>
    </row>
    <row r="523">
      <c r="C523" s="79"/>
      <c r="D523" s="79"/>
      <c r="E523" s="79"/>
      <c r="F523" s="79"/>
      <c r="G523" s="79"/>
      <c r="H523" s="79"/>
      <c r="I523" s="79"/>
      <c r="J523" s="79"/>
    </row>
    <row r="524">
      <c r="C524" s="79"/>
      <c r="D524" s="79"/>
      <c r="E524" s="79"/>
      <c r="F524" s="79"/>
      <c r="G524" s="79"/>
      <c r="H524" s="79"/>
      <c r="I524" s="79"/>
      <c r="J524" s="79"/>
    </row>
    <row r="525">
      <c r="C525" s="79"/>
      <c r="D525" s="79"/>
      <c r="E525" s="79"/>
      <c r="F525" s="79"/>
      <c r="G525" s="79"/>
      <c r="H525" s="79"/>
      <c r="I525" s="79"/>
      <c r="J525" s="79"/>
    </row>
    <row r="526">
      <c r="C526" s="79"/>
      <c r="D526" s="79"/>
      <c r="E526" s="79"/>
      <c r="F526" s="79"/>
      <c r="G526" s="79"/>
      <c r="H526" s="79"/>
      <c r="I526" s="79"/>
      <c r="J526" s="79"/>
    </row>
    <row r="527">
      <c r="C527" s="79"/>
      <c r="D527" s="79"/>
      <c r="E527" s="79"/>
      <c r="F527" s="79"/>
      <c r="G527" s="79"/>
      <c r="H527" s="79"/>
      <c r="I527" s="79"/>
      <c r="J527" s="79"/>
    </row>
    <row r="528">
      <c r="C528" s="79"/>
      <c r="D528" s="79"/>
      <c r="E528" s="79"/>
      <c r="F528" s="79"/>
      <c r="G528" s="79"/>
      <c r="H528" s="79"/>
      <c r="I528" s="79"/>
      <c r="J528" s="79"/>
    </row>
    <row r="529">
      <c r="C529" s="79"/>
      <c r="D529" s="79"/>
      <c r="E529" s="79"/>
      <c r="F529" s="79"/>
      <c r="G529" s="79"/>
      <c r="H529" s="79"/>
      <c r="I529" s="79"/>
      <c r="J529" s="79"/>
    </row>
    <row r="530">
      <c r="C530" s="79"/>
      <c r="D530" s="79"/>
      <c r="E530" s="79"/>
      <c r="F530" s="79"/>
      <c r="G530" s="79"/>
      <c r="H530" s="79"/>
      <c r="I530" s="79"/>
      <c r="J530" s="79"/>
    </row>
    <row r="531">
      <c r="C531" s="79"/>
      <c r="D531" s="79"/>
      <c r="E531" s="79"/>
      <c r="F531" s="79"/>
      <c r="G531" s="79"/>
      <c r="H531" s="79"/>
      <c r="I531" s="79"/>
      <c r="J531" s="79"/>
    </row>
    <row r="532">
      <c r="C532" s="79"/>
      <c r="D532" s="79"/>
      <c r="E532" s="79"/>
      <c r="F532" s="79"/>
      <c r="G532" s="79"/>
      <c r="H532" s="79"/>
      <c r="I532" s="79"/>
      <c r="J532" s="79"/>
    </row>
    <row r="533">
      <c r="C533" s="79"/>
      <c r="D533" s="79"/>
      <c r="E533" s="79"/>
      <c r="F533" s="79"/>
      <c r="G533" s="79"/>
      <c r="H533" s="79"/>
      <c r="I533" s="79"/>
      <c r="J533" s="79"/>
    </row>
    <row r="534">
      <c r="C534" s="79"/>
      <c r="D534" s="79"/>
      <c r="E534" s="79"/>
      <c r="F534" s="79"/>
      <c r="G534" s="79"/>
      <c r="H534" s="79"/>
      <c r="I534" s="79"/>
      <c r="J534" s="79"/>
    </row>
    <row r="535">
      <c r="C535" s="79"/>
      <c r="D535" s="79"/>
      <c r="E535" s="79"/>
      <c r="F535" s="79"/>
      <c r="G535" s="79"/>
      <c r="H535" s="79"/>
      <c r="I535" s="79"/>
      <c r="J535" s="79"/>
    </row>
    <row r="536">
      <c r="C536" s="79"/>
      <c r="D536" s="79"/>
      <c r="E536" s="79"/>
      <c r="F536" s="79"/>
      <c r="G536" s="79"/>
      <c r="H536" s="79"/>
      <c r="I536" s="79"/>
      <c r="J536" s="79"/>
    </row>
    <row r="537">
      <c r="C537" s="79"/>
      <c r="D537" s="79"/>
      <c r="E537" s="79"/>
      <c r="F537" s="79"/>
      <c r="G537" s="79"/>
      <c r="H537" s="79"/>
      <c r="I537" s="79"/>
      <c r="J537" s="79"/>
    </row>
    <row r="538">
      <c r="C538" s="79"/>
      <c r="D538" s="79"/>
      <c r="E538" s="79"/>
      <c r="F538" s="79"/>
      <c r="G538" s="79"/>
      <c r="H538" s="79"/>
      <c r="I538" s="79"/>
      <c r="J538" s="79"/>
    </row>
    <row r="539">
      <c r="C539" s="79"/>
      <c r="D539" s="79"/>
      <c r="E539" s="79"/>
      <c r="F539" s="79"/>
      <c r="G539" s="79"/>
      <c r="H539" s="79"/>
      <c r="I539" s="79"/>
      <c r="J539" s="79"/>
    </row>
    <row r="540">
      <c r="C540" s="79"/>
      <c r="D540" s="79"/>
      <c r="E540" s="79"/>
      <c r="F540" s="79"/>
      <c r="G540" s="79"/>
      <c r="H540" s="79"/>
      <c r="I540" s="79"/>
      <c r="J540" s="79"/>
    </row>
    <row r="541">
      <c r="C541" s="79"/>
      <c r="D541" s="79"/>
      <c r="E541" s="79"/>
      <c r="F541" s="79"/>
      <c r="G541" s="79"/>
      <c r="H541" s="79"/>
      <c r="I541" s="79"/>
      <c r="J541" s="79"/>
    </row>
    <row r="542">
      <c r="C542" s="79"/>
      <c r="D542" s="79"/>
      <c r="E542" s="79"/>
      <c r="F542" s="79"/>
      <c r="G542" s="79"/>
      <c r="H542" s="79"/>
      <c r="I542" s="79"/>
      <c r="J542" s="79"/>
    </row>
    <row r="543">
      <c r="C543" s="79"/>
      <c r="D543" s="79"/>
      <c r="E543" s="79"/>
      <c r="F543" s="79"/>
      <c r="G543" s="79"/>
      <c r="H543" s="79"/>
      <c r="I543" s="79"/>
      <c r="J543" s="79"/>
    </row>
    <row r="544">
      <c r="C544" s="79"/>
      <c r="D544" s="79"/>
      <c r="E544" s="79"/>
      <c r="F544" s="79"/>
      <c r="G544" s="79"/>
      <c r="H544" s="79"/>
      <c r="I544" s="79"/>
      <c r="J544" s="79"/>
    </row>
    <row r="545">
      <c r="C545" s="79"/>
      <c r="D545" s="79"/>
      <c r="E545" s="79"/>
      <c r="F545" s="79"/>
      <c r="G545" s="79"/>
      <c r="H545" s="79"/>
      <c r="I545" s="79"/>
      <c r="J545" s="79"/>
    </row>
    <row r="546">
      <c r="C546" s="79"/>
      <c r="D546" s="79"/>
      <c r="E546" s="79"/>
      <c r="F546" s="79"/>
      <c r="G546" s="79"/>
      <c r="H546" s="79"/>
      <c r="I546" s="79"/>
      <c r="J546" s="79"/>
    </row>
    <row r="547">
      <c r="C547" s="79"/>
      <c r="D547" s="79"/>
      <c r="E547" s="79"/>
      <c r="F547" s="79"/>
      <c r="G547" s="79"/>
      <c r="H547" s="79"/>
      <c r="I547" s="79"/>
      <c r="J547" s="79"/>
    </row>
    <row r="548">
      <c r="C548" s="79"/>
      <c r="D548" s="79"/>
      <c r="E548" s="79"/>
      <c r="F548" s="79"/>
      <c r="G548" s="79"/>
      <c r="H548" s="79"/>
      <c r="I548" s="79"/>
      <c r="J548" s="79"/>
    </row>
    <row r="549">
      <c r="C549" s="79"/>
      <c r="D549" s="79"/>
      <c r="E549" s="79"/>
      <c r="F549" s="79"/>
      <c r="G549" s="79"/>
      <c r="H549" s="79"/>
      <c r="I549" s="79"/>
      <c r="J549" s="79"/>
    </row>
    <row r="550">
      <c r="C550" s="79"/>
      <c r="D550" s="79"/>
      <c r="E550" s="79"/>
      <c r="F550" s="79"/>
      <c r="G550" s="79"/>
      <c r="H550" s="79"/>
      <c r="I550" s="79"/>
      <c r="J550" s="79"/>
    </row>
    <row r="551">
      <c r="C551" s="79"/>
      <c r="D551" s="79"/>
      <c r="E551" s="79"/>
      <c r="F551" s="79"/>
      <c r="G551" s="79"/>
      <c r="H551" s="79"/>
      <c r="I551" s="79"/>
      <c r="J551" s="79"/>
    </row>
    <row r="552">
      <c r="C552" s="79"/>
      <c r="D552" s="79"/>
      <c r="E552" s="79"/>
      <c r="F552" s="79"/>
      <c r="G552" s="79"/>
      <c r="H552" s="79"/>
      <c r="I552" s="79"/>
      <c r="J552" s="79"/>
    </row>
    <row r="553">
      <c r="C553" s="79"/>
      <c r="D553" s="79"/>
      <c r="E553" s="79"/>
      <c r="F553" s="79"/>
      <c r="G553" s="79"/>
      <c r="H553" s="79"/>
      <c r="I553" s="79"/>
      <c r="J553" s="79"/>
    </row>
    <row r="554">
      <c r="C554" s="79"/>
      <c r="D554" s="79"/>
      <c r="E554" s="79"/>
      <c r="F554" s="79"/>
      <c r="G554" s="79"/>
      <c r="H554" s="79"/>
      <c r="I554" s="79"/>
      <c r="J554" s="79"/>
    </row>
    <row r="555">
      <c r="C555" s="79"/>
      <c r="D555" s="79"/>
      <c r="E555" s="79"/>
      <c r="F555" s="79"/>
      <c r="G555" s="79"/>
      <c r="H555" s="79"/>
      <c r="I555" s="79"/>
      <c r="J555" s="79"/>
    </row>
    <row r="556">
      <c r="C556" s="79"/>
      <c r="D556" s="79"/>
      <c r="E556" s="79"/>
      <c r="F556" s="79"/>
      <c r="G556" s="79"/>
      <c r="H556" s="79"/>
      <c r="I556" s="79"/>
      <c r="J556" s="79"/>
    </row>
    <row r="557">
      <c r="C557" s="79"/>
      <c r="D557" s="79"/>
      <c r="E557" s="79"/>
      <c r="F557" s="79"/>
      <c r="G557" s="79"/>
      <c r="H557" s="79"/>
      <c r="I557" s="79"/>
      <c r="J557" s="79"/>
    </row>
    <row r="558">
      <c r="C558" s="79"/>
      <c r="D558" s="79"/>
      <c r="E558" s="79"/>
      <c r="F558" s="79"/>
      <c r="G558" s="79"/>
      <c r="H558" s="79"/>
      <c r="I558" s="79"/>
      <c r="J558" s="79"/>
    </row>
    <row r="559">
      <c r="C559" s="79"/>
      <c r="D559" s="79"/>
      <c r="E559" s="79"/>
      <c r="F559" s="79"/>
      <c r="G559" s="79"/>
      <c r="H559" s="79"/>
      <c r="I559" s="79"/>
      <c r="J559" s="79"/>
    </row>
    <row r="560">
      <c r="C560" s="79"/>
      <c r="D560" s="79"/>
      <c r="E560" s="79"/>
      <c r="F560" s="79"/>
      <c r="G560" s="79"/>
      <c r="H560" s="79"/>
      <c r="I560" s="79"/>
      <c r="J560" s="79"/>
    </row>
    <row r="561">
      <c r="C561" s="79"/>
      <c r="D561" s="79"/>
      <c r="E561" s="79"/>
      <c r="F561" s="79"/>
      <c r="G561" s="79"/>
      <c r="H561" s="79"/>
      <c r="I561" s="79"/>
      <c r="J561" s="79"/>
    </row>
    <row r="562">
      <c r="C562" s="79"/>
      <c r="D562" s="79"/>
      <c r="E562" s="79"/>
      <c r="F562" s="79"/>
      <c r="G562" s="79"/>
      <c r="H562" s="79"/>
      <c r="I562" s="79"/>
      <c r="J562" s="79"/>
    </row>
    <row r="563">
      <c r="C563" s="79"/>
      <c r="D563" s="79"/>
      <c r="E563" s="79"/>
      <c r="F563" s="79"/>
      <c r="G563" s="79"/>
      <c r="H563" s="79"/>
      <c r="I563" s="79"/>
      <c r="J563" s="79"/>
    </row>
    <row r="564">
      <c r="C564" s="79"/>
      <c r="D564" s="79"/>
      <c r="E564" s="79"/>
      <c r="F564" s="79"/>
      <c r="G564" s="79"/>
      <c r="H564" s="79"/>
      <c r="I564" s="79"/>
      <c r="J564" s="79"/>
    </row>
    <row r="565">
      <c r="C565" s="79"/>
      <c r="D565" s="79"/>
      <c r="E565" s="79"/>
      <c r="F565" s="79"/>
      <c r="G565" s="79"/>
      <c r="H565" s="79"/>
      <c r="I565" s="79"/>
      <c r="J565" s="79"/>
    </row>
    <row r="566">
      <c r="C566" s="79"/>
      <c r="D566" s="79"/>
      <c r="E566" s="79"/>
      <c r="F566" s="79"/>
      <c r="G566" s="79"/>
      <c r="H566" s="79"/>
      <c r="I566" s="79"/>
      <c r="J566" s="79"/>
    </row>
    <row r="567">
      <c r="C567" s="79"/>
      <c r="D567" s="79"/>
      <c r="E567" s="79"/>
      <c r="F567" s="79"/>
      <c r="G567" s="79"/>
      <c r="H567" s="79"/>
      <c r="I567" s="79"/>
      <c r="J567" s="79"/>
    </row>
    <row r="568">
      <c r="C568" s="79"/>
      <c r="D568" s="79"/>
      <c r="E568" s="79"/>
      <c r="F568" s="79"/>
      <c r="G568" s="79"/>
      <c r="H568" s="79"/>
      <c r="I568" s="79"/>
      <c r="J568" s="79"/>
    </row>
    <row r="569">
      <c r="C569" s="79"/>
      <c r="D569" s="79"/>
      <c r="E569" s="79"/>
      <c r="F569" s="79"/>
      <c r="G569" s="79"/>
      <c r="H569" s="79"/>
      <c r="I569" s="79"/>
      <c r="J569" s="79"/>
    </row>
    <row r="570">
      <c r="C570" s="79"/>
      <c r="D570" s="79"/>
      <c r="E570" s="79"/>
      <c r="F570" s="79"/>
      <c r="G570" s="79"/>
      <c r="H570" s="79"/>
      <c r="I570" s="79"/>
      <c r="J570" s="79"/>
    </row>
    <row r="571">
      <c r="C571" s="79"/>
      <c r="D571" s="79"/>
      <c r="E571" s="79"/>
      <c r="F571" s="79"/>
      <c r="G571" s="79"/>
      <c r="H571" s="79"/>
      <c r="I571" s="79"/>
      <c r="J571" s="79"/>
    </row>
    <row r="572">
      <c r="C572" s="79"/>
      <c r="D572" s="79"/>
      <c r="E572" s="79"/>
      <c r="F572" s="79"/>
      <c r="G572" s="79"/>
      <c r="H572" s="79"/>
      <c r="I572" s="79"/>
      <c r="J572" s="79"/>
    </row>
    <row r="573">
      <c r="C573" s="79"/>
      <c r="D573" s="79"/>
      <c r="E573" s="79"/>
      <c r="F573" s="79"/>
      <c r="G573" s="79"/>
      <c r="H573" s="79"/>
      <c r="I573" s="79"/>
      <c r="J573" s="79"/>
    </row>
    <row r="574">
      <c r="C574" s="79"/>
      <c r="D574" s="79"/>
      <c r="E574" s="79"/>
      <c r="F574" s="79"/>
      <c r="G574" s="79"/>
      <c r="H574" s="79"/>
      <c r="I574" s="79"/>
      <c r="J574" s="79"/>
    </row>
    <row r="575">
      <c r="C575" s="79"/>
      <c r="D575" s="79"/>
      <c r="E575" s="79"/>
      <c r="F575" s="79"/>
      <c r="G575" s="79"/>
      <c r="H575" s="79"/>
      <c r="I575" s="79"/>
      <c r="J575" s="79"/>
    </row>
    <row r="576">
      <c r="C576" s="79"/>
      <c r="D576" s="79"/>
      <c r="E576" s="79"/>
      <c r="F576" s="79"/>
      <c r="G576" s="79"/>
      <c r="H576" s="79"/>
      <c r="I576" s="79"/>
      <c r="J576" s="79"/>
    </row>
    <row r="577">
      <c r="C577" s="79"/>
      <c r="D577" s="79"/>
      <c r="E577" s="79"/>
      <c r="F577" s="79"/>
      <c r="G577" s="79"/>
      <c r="H577" s="79"/>
      <c r="I577" s="79"/>
      <c r="J577" s="79"/>
    </row>
    <row r="578">
      <c r="C578" s="79"/>
      <c r="D578" s="79"/>
      <c r="E578" s="79"/>
      <c r="F578" s="79"/>
      <c r="G578" s="79"/>
      <c r="H578" s="79"/>
      <c r="I578" s="79"/>
      <c r="J578" s="79"/>
    </row>
    <row r="579">
      <c r="C579" s="79"/>
      <c r="D579" s="79"/>
      <c r="E579" s="79"/>
      <c r="F579" s="79"/>
      <c r="G579" s="79"/>
      <c r="H579" s="79"/>
      <c r="I579" s="79"/>
      <c r="J579" s="79"/>
    </row>
    <row r="580">
      <c r="C580" s="79"/>
      <c r="D580" s="79"/>
      <c r="E580" s="79"/>
      <c r="F580" s="79"/>
      <c r="G580" s="79"/>
      <c r="H580" s="79"/>
      <c r="I580" s="79"/>
      <c r="J580" s="79"/>
    </row>
    <row r="581">
      <c r="C581" s="79"/>
      <c r="D581" s="79"/>
      <c r="E581" s="79"/>
      <c r="F581" s="79"/>
      <c r="G581" s="79"/>
      <c r="H581" s="79"/>
      <c r="I581" s="79"/>
      <c r="J581" s="79"/>
    </row>
    <row r="582">
      <c r="C582" s="79"/>
      <c r="D582" s="79"/>
      <c r="E582" s="79"/>
      <c r="F582" s="79"/>
      <c r="G582" s="79"/>
      <c r="H582" s="79"/>
      <c r="I582" s="79"/>
      <c r="J582" s="79"/>
    </row>
    <row r="583">
      <c r="C583" s="79"/>
      <c r="D583" s="79"/>
      <c r="E583" s="79"/>
      <c r="F583" s="79"/>
      <c r="G583" s="79"/>
      <c r="H583" s="79"/>
      <c r="I583" s="79"/>
      <c r="J583" s="79"/>
    </row>
    <row r="584">
      <c r="C584" s="79"/>
      <c r="D584" s="79"/>
      <c r="E584" s="79"/>
      <c r="F584" s="79"/>
      <c r="G584" s="79"/>
      <c r="H584" s="79"/>
      <c r="I584" s="79"/>
      <c r="J584" s="79"/>
    </row>
    <row r="585">
      <c r="C585" s="79"/>
      <c r="D585" s="79"/>
      <c r="E585" s="79"/>
      <c r="F585" s="79"/>
      <c r="G585" s="79"/>
      <c r="H585" s="79"/>
      <c r="I585" s="79"/>
      <c r="J585" s="79"/>
    </row>
    <row r="586">
      <c r="C586" s="79"/>
      <c r="D586" s="79"/>
      <c r="E586" s="79"/>
      <c r="F586" s="79"/>
      <c r="G586" s="79"/>
      <c r="H586" s="79"/>
      <c r="I586" s="79"/>
      <c r="J586" s="79"/>
    </row>
    <row r="587">
      <c r="C587" s="79"/>
      <c r="D587" s="79"/>
      <c r="E587" s="79"/>
      <c r="F587" s="79"/>
      <c r="G587" s="79"/>
      <c r="H587" s="79"/>
      <c r="I587" s="79"/>
      <c r="J587" s="79"/>
    </row>
    <row r="588">
      <c r="C588" s="79"/>
      <c r="D588" s="79"/>
      <c r="E588" s="79"/>
      <c r="F588" s="79"/>
      <c r="G588" s="79"/>
      <c r="H588" s="79"/>
      <c r="I588" s="79"/>
      <c r="J588" s="79"/>
    </row>
    <row r="589">
      <c r="C589" s="79"/>
      <c r="D589" s="79"/>
      <c r="E589" s="79"/>
      <c r="F589" s="79"/>
      <c r="G589" s="79"/>
      <c r="H589" s="79"/>
      <c r="I589" s="79"/>
      <c r="J589" s="79"/>
    </row>
    <row r="590">
      <c r="C590" s="79"/>
      <c r="D590" s="79"/>
      <c r="E590" s="79"/>
      <c r="F590" s="79"/>
      <c r="G590" s="79"/>
      <c r="H590" s="79"/>
      <c r="I590" s="79"/>
      <c r="J590" s="79"/>
    </row>
    <row r="591">
      <c r="C591" s="79"/>
      <c r="D591" s="79"/>
      <c r="E591" s="79"/>
      <c r="F591" s="79"/>
      <c r="G591" s="79"/>
      <c r="H591" s="79"/>
      <c r="I591" s="79"/>
      <c r="J591" s="79"/>
    </row>
    <row r="592">
      <c r="C592" s="79"/>
      <c r="D592" s="79"/>
      <c r="E592" s="79"/>
      <c r="F592" s="79"/>
      <c r="G592" s="79"/>
      <c r="H592" s="79"/>
      <c r="I592" s="79"/>
      <c r="J592" s="79"/>
    </row>
    <row r="593">
      <c r="C593" s="79"/>
      <c r="D593" s="79"/>
      <c r="E593" s="79"/>
      <c r="F593" s="79"/>
      <c r="G593" s="79"/>
      <c r="H593" s="79"/>
      <c r="I593" s="79"/>
      <c r="J593" s="79"/>
    </row>
    <row r="594">
      <c r="C594" s="79"/>
      <c r="D594" s="79"/>
      <c r="E594" s="79"/>
      <c r="F594" s="79"/>
      <c r="G594" s="79"/>
      <c r="H594" s="79"/>
      <c r="I594" s="79"/>
      <c r="J594" s="79"/>
    </row>
    <row r="595">
      <c r="C595" s="79"/>
      <c r="D595" s="79"/>
      <c r="E595" s="79"/>
      <c r="F595" s="79"/>
      <c r="G595" s="79"/>
      <c r="H595" s="79"/>
      <c r="I595" s="79"/>
      <c r="J595" s="79"/>
    </row>
    <row r="596">
      <c r="C596" s="79"/>
      <c r="D596" s="79"/>
      <c r="E596" s="79"/>
      <c r="F596" s="79"/>
      <c r="G596" s="79"/>
      <c r="H596" s="79"/>
      <c r="I596" s="79"/>
      <c r="J596" s="79"/>
    </row>
    <row r="597">
      <c r="C597" s="79"/>
      <c r="D597" s="79"/>
      <c r="E597" s="79"/>
      <c r="F597" s="79"/>
      <c r="G597" s="79"/>
      <c r="H597" s="79"/>
      <c r="I597" s="79"/>
      <c r="J597" s="79"/>
    </row>
    <row r="598">
      <c r="C598" s="79"/>
      <c r="D598" s="79"/>
      <c r="E598" s="79"/>
      <c r="F598" s="79"/>
      <c r="G598" s="79"/>
      <c r="H598" s="79"/>
      <c r="I598" s="79"/>
      <c r="J598" s="79"/>
    </row>
    <row r="599">
      <c r="C599" s="79"/>
      <c r="D599" s="79"/>
      <c r="E599" s="79"/>
      <c r="F599" s="79"/>
      <c r="G599" s="79"/>
      <c r="H599" s="79"/>
      <c r="I599" s="79"/>
      <c r="J599" s="79"/>
    </row>
    <row r="600">
      <c r="C600" s="79"/>
      <c r="D600" s="79"/>
      <c r="E600" s="79"/>
      <c r="F600" s="79"/>
      <c r="G600" s="79"/>
      <c r="H600" s="79"/>
      <c r="I600" s="79"/>
      <c r="J600" s="79"/>
    </row>
    <row r="601">
      <c r="C601" s="79"/>
      <c r="D601" s="79"/>
      <c r="E601" s="79"/>
      <c r="F601" s="79"/>
      <c r="G601" s="79"/>
      <c r="H601" s="79"/>
      <c r="I601" s="79"/>
      <c r="J601" s="79"/>
    </row>
    <row r="602">
      <c r="C602" s="79"/>
      <c r="D602" s="79"/>
      <c r="E602" s="79"/>
      <c r="F602" s="79"/>
      <c r="G602" s="79"/>
      <c r="H602" s="79"/>
      <c r="I602" s="79"/>
      <c r="J602" s="79"/>
    </row>
    <row r="603">
      <c r="C603" s="79"/>
      <c r="D603" s="79"/>
      <c r="E603" s="79"/>
      <c r="F603" s="79"/>
      <c r="G603" s="79"/>
      <c r="H603" s="79"/>
      <c r="I603" s="79"/>
      <c r="J603" s="79"/>
    </row>
    <row r="604">
      <c r="C604" s="79"/>
      <c r="D604" s="79"/>
      <c r="E604" s="79"/>
      <c r="F604" s="79"/>
      <c r="G604" s="79"/>
      <c r="H604" s="79"/>
      <c r="I604" s="79"/>
      <c r="J604" s="79"/>
    </row>
    <row r="605">
      <c r="C605" s="79"/>
      <c r="D605" s="79"/>
      <c r="E605" s="79"/>
      <c r="F605" s="79"/>
      <c r="G605" s="79"/>
      <c r="H605" s="79"/>
      <c r="I605" s="79"/>
      <c r="J605" s="79"/>
    </row>
    <row r="606">
      <c r="C606" s="79"/>
      <c r="D606" s="79"/>
      <c r="E606" s="79"/>
      <c r="F606" s="79"/>
      <c r="G606" s="79"/>
      <c r="H606" s="79"/>
      <c r="I606" s="79"/>
      <c r="J606" s="79"/>
    </row>
    <row r="607">
      <c r="C607" s="79"/>
      <c r="D607" s="79"/>
      <c r="E607" s="79"/>
      <c r="F607" s="79"/>
      <c r="G607" s="79"/>
      <c r="H607" s="79"/>
      <c r="I607" s="79"/>
      <c r="J607" s="79"/>
    </row>
    <row r="608">
      <c r="C608" s="79"/>
      <c r="D608" s="79"/>
      <c r="E608" s="79"/>
      <c r="F608" s="79"/>
      <c r="G608" s="79"/>
      <c r="H608" s="79"/>
      <c r="I608" s="79"/>
      <c r="J608" s="79"/>
    </row>
    <row r="609">
      <c r="C609" s="79"/>
      <c r="D609" s="79"/>
      <c r="E609" s="79"/>
      <c r="F609" s="79"/>
      <c r="G609" s="79"/>
      <c r="H609" s="79"/>
      <c r="I609" s="79"/>
      <c r="J609" s="79"/>
    </row>
    <row r="610">
      <c r="C610" s="79"/>
      <c r="D610" s="79"/>
      <c r="E610" s="79"/>
      <c r="F610" s="79"/>
      <c r="G610" s="79"/>
      <c r="H610" s="79"/>
      <c r="I610" s="79"/>
      <c r="J610" s="79"/>
    </row>
    <row r="611">
      <c r="C611" s="79"/>
      <c r="D611" s="79"/>
      <c r="E611" s="79"/>
      <c r="F611" s="79"/>
      <c r="G611" s="79"/>
      <c r="H611" s="79"/>
      <c r="I611" s="79"/>
      <c r="J611" s="79"/>
    </row>
    <row r="612">
      <c r="C612" s="79"/>
      <c r="D612" s="79"/>
      <c r="E612" s="79"/>
      <c r="F612" s="79"/>
      <c r="G612" s="79"/>
      <c r="H612" s="79"/>
      <c r="I612" s="79"/>
      <c r="J612" s="79"/>
    </row>
    <row r="613">
      <c r="C613" s="79"/>
      <c r="D613" s="79"/>
      <c r="E613" s="79"/>
      <c r="F613" s="79"/>
      <c r="G613" s="79"/>
      <c r="H613" s="79"/>
      <c r="I613" s="79"/>
      <c r="J613" s="79"/>
    </row>
    <row r="614">
      <c r="C614" s="79"/>
      <c r="D614" s="79"/>
      <c r="E614" s="79"/>
      <c r="F614" s="79"/>
      <c r="G614" s="79"/>
      <c r="H614" s="79"/>
      <c r="I614" s="79"/>
      <c r="J614" s="79"/>
    </row>
    <row r="615">
      <c r="C615" s="79"/>
      <c r="D615" s="79"/>
      <c r="E615" s="79"/>
      <c r="F615" s="79"/>
      <c r="G615" s="79"/>
      <c r="H615" s="79"/>
      <c r="I615" s="79"/>
      <c r="J615" s="79"/>
    </row>
    <row r="616">
      <c r="C616" s="79"/>
      <c r="D616" s="79"/>
      <c r="E616" s="79"/>
      <c r="F616" s="79"/>
      <c r="G616" s="79"/>
      <c r="H616" s="79"/>
      <c r="I616" s="79"/>
      <c r="J616" s="79"/>
    </row>
    <row r="617">
      <c r="C617" s="79"/>
      <c r="D617" s="79"/>
      <c r="E617" s="79"/>
      <c r="F617" s="79"/>
      <c r="G617" s="79"/>
      <c r="H617" s="79"/>
      <c r="I617" s="79"/>
      <c r="J617" s="79"/>
    </row>
    <row r="618">
      <c r="C618" s="79"/>
      <c r="D618" s="79"/>
      <c r="E618" s="79"/>
      <c r="F618" s="79"/>
      <c r="G618" s="79"/>
      <c r="H618" s="79"/>
      <c r="I618" s="79"/>
      <c r="J618" s="79"/>
    </row>
    <row r="619">
      <c r="C619" s="79"/>
      <c r="D619" s="79"/>
      <c r="E619" s="79"/>
      <c r="F619" s="79"/>
      <c r="G619" s="79"/>
      <c r="H619" s="79"/>
      <c r="I619" s="79"/>
      <c r="J619" s="79"/>
    </row>
    <row r="620">
      <c r="C620" s="79"/>
      <c r="D620" s="79"/>
      <c r="E620" s="79"/>
      <c r="F620" s="79"/>
      <c r="G620" s="79"/>
      <c r="H620" s="79"/>
      <c r="I620" s="79"/>
      <c r="J620" s="79"/>
    </row>
    <row r="621">
      <c r="C621" s="79"/>
      <c r="D621" s="79"/>
      <c r="E621" s="79"/>
      <c r="F621" s="79"/>
      <c r="G621" s="79"/>
      <c r="H621" s="79"/>
      <c r="I621" s="79"/>
      <c r="J621" s="79"/>
    </row>
    <row r="622">
      <c r="C622" s="79"/>
      <c r="D622" s="79"/>
      <c r="E622" s="79"/>
      <c r="F622" s="79"/>
      <c r="G622" s="79"/>
      <c r="H622" s="79"/>
      <c r="I622" s="79"/>
      <c r="J622" s="79"/>
    </row>
    <row r="623">
      <c r="C623" s="79"/>
      <c r="D623" s="79"/>
      <c r="E623" s="79"/>
      <c r="F623" s="79"/>
      <c r="G623" s="79"/>
      <c r="H623" s="79"/>
      <c r="I623" s="79"/>
      <c r="J623" s="79"/>
    </row>
    <row r="624">
      <c r="C624" s="79"/>
      <c r="D624" s="79"/>
      <c r="E624" s="79"/>
      <c r="F624" s="79"/>
      <c r="G624" s="79"/>
      <c r="H624" s="79"/>
      <c r="I624" s="79"/>
      <c r="J624" s="79"/>
    </row>
    <row r="625">
      <c r="C625" s="79"/>
      <c r="D625" s="79"/>
      <c r="E625" s="79"/>
      <c r="F625" s="79"/>
      <c r="G625" s="79"/>
      <c r="H625" s="79"/>
      <c r="I625" s="79"/>
      <c r="J625" s="79"/>
    </row>
    <row r="626">
      <c r="C626" s="79"/>
      <c r="D626" s="79"/>
      <c r="E626" s="79"/>
      <c r="F626" s="79"/>
      <c r="G626" s="79"/>
      <c r="H626" s="79"/>
      <c r="I626" s="79"/>
      <c r="J626" s="79"/>
    </row>
    <row r="627">
      <c r="C627" s="79"/>
      <c r="D627" s="79"/>
      <c r="E627" s="79"/>
      <c r="F627" s="79"/>
      <c r="G627" s="79"/>
      <c r="H627" s="79"/>
      <c r="I627" s="79"/>
      <c r="J627" s="79"/>
    </row>
    <row r="628">
      <c r="C628" s="79"/>
      <c r="D628" s="79"/>
      <c r="E628" s="79"/>
      <c r="F628" s="79"/>
      <c r="G628" s="79"/>
      <c r="H628" s="79"/>
      <c r="I628" s="79"/>
      <c r="J628" s="79"/>
    </row>
    <row r="629">
      <c r="C629" s="79"/>
      <c r="D629" s="79"/>
      <c r="E629" s="79"/>
      <c r="F629" s="79"/>
      <c r="G629" s="79"/>
      <c r="H629" s="79"/>
      <c r="I629" s="79"/>
      <c r="J629" s="79"/>
    </row>
    <row r="630">
      <c r="C630" s="79"/>
      <c r="D630" s="79"/>
      <c r="E630" s="79"/>
      <c r="F630" s="79"/>
      <c r="G630" s="79"/>
      <c r="H630" s="79"/>
      <c r="I630" s="79"/>
      <c r="J630" s="79"/>
    </row>
    <row r="631">
      <c r="C631" s="79"/>
      <c r="D631" s="79"/>
      <c r="E631" s="79"/>
      <c r="F631" s="79"/>
      <c r="G631" s="79"/>
      <c r="H631" s="79"/>
      <c r="I631" s="79"/>
      <c r="J631" s="79"/>
    </row>
    <row r="632">
      <c r="C632" s="79"/>
      <c r="D632" s="79"/>
      <c r="E632" s="79"/>
      <c r="F632" s="79"/>
      <c r="G632" s="79"/>
      <c r="H632" s="79"/>
      <c r="I632" s="79"/>
      <c r="J632" s="79"/>
    </row>
    <row r="633">
      <c r="C633" s="79"/>
      <c r="D633" s="79"/>
      <c r="E633" s="79"/>
      <c r="F633" s="79"/>
      <c r="G633" s="79"/>
      <c r="H633" s="79"/>
      <c r="I633" s="79"/>
      <c r="J633" s="79"/>
    </row>
    <row r="634">
      <c r="C634" s="79"/>
      <c r="D634" s="79"/>
      <c r="E634" s="79"/>
      <c r="F634" s="79"/>
      <c r="G634" s="79"/>
      <c r="H634" s="79"/>
      <c r="I634" s="79"/>
      <c r="J634" s="79"/>
    </row>
    <row r="635">
      <c r="C635" s="79"/>
      <c r="D635" s="79"/>
      <c r="E635" s="79"/>
      <c r="F635" s="79"/>
      <c r="G635" s="79"/>
      <c r="H635" s="79"/>
      <c r="I635" s="79"/>
      <c r="J635" s="79"/>
    </row>
    <row r="636">
      <c r="C636" s="79"/>
      <c r="D636" s="79"/>
      <c r="E636" s="79"/>
      <c r="F636" s="79"/>
      <c r="G636" s="79"/>
      <c r="H636" s="79"/>
      <c r="I636" s="79"/>
      <c r="J636" s="79"/>
    </row>
    <row r="637">
      <c r="C637" s="79"/>
      <c r="D637" s="79"/>
      <c r="E637" s="79"/>
      <c r="F637" s="79"/>
      <c r="G637" s="79"/>
      <c r="H637" s="79"/>
      <c r="I637" s="79"/>
      <c r="J637" s="79"/>
    </row>
    <row r="638">
      <c r="C638" s="79"/>
      <c r="D638" s="79"/>
      <c r="E638" s="79"/>
      <c r="F638" s="79"/>
      <c r="G638" s="79"/>
      <c r="H638" s="79"/>
      <c r="I638" s="79"/>
      <c r="J638" s="79"/>
    </row>
    <row r="639">
      <c r="C639" s="79"/>
      <c r="D639" s="79"/>
      <c r="E639" s="79"/>
      <c r="F639" s="79"/>
      <c r="G639" s="79"/>
      <c r="H639" s="79"/>
      <c r="I639" s="79"/>
      <c r="J639" s="79"/>
    </row>
    <row r="640">
      <c r="C640" s="79"/>
      <c r="D640" s="79"/>
      <c r="E640" s="79"/>
      <c r="F640" s="79"/>
      <c r="G640" s="79"/>
      <c r="H640" s="79"/>
      <c r="I640" s="79"/>
      <c r="J640" s="79"/>
    </row>
    <row r="641">
      <c r="C641" s="79"/>
      <c r="D641" s="79"/>
      <c r="E641" s="79"/>
      <c r="F641" s="79"/>
      <c r="G641" s="79"/>
      <c r="H641" s="79"/>
      <c r="I641" s="79"/>
      <c r="J641" s="79"/>
    </row>
    <row r="642">
      <c r="C642" s="79"/>
      <c r="D642" s="79"/>
      <c r="E642" s="79"/>
      <c r="F642" s="79"/>
      <c r="G642" s="79"/>
      <c r="H642" s="79"/>
      <c r="I642" s="79"/>
      <c r="J642" s="79"/>
    </row>
    <row r="643">
      <c r="C643" s="79"/>
      <c r="D643" s="79"/>
      <c r="E643" s="79"/>
      <c r="F643" s="79"/>
      <c r="G643" s="79"/>
      <c r="H643" s="79"/>
      <c r="I643" s="79"/>
      <c r="J643" s="79"/>
    </row>
    <row r="644">
      <c r="C644" s="79"/>
      <c r="D644" s="79"/>
      <c r="E644" s="79"/>
      <c r="F644" s="79"/>
      <c r="G644" s="79"/>
      <c r="H644" s="79"/>
      <c r="I644" s="79"/>
      <c r="J644" s="79"/>
    </row>
    <row r="645">
      <c r="C645" s="79"/>
      <c r="D645" s="79"/>
      <c r="E645" s="79"/>
      <c r="F645" s="79"/>
      <c r="G645" s="79"/>
      <c r="H645" s="79"/>
      <c r="I645" s="79"/>
      <c r="J645" s="79"/>
    </row>
    <row r="646">
      <c r="C646" s="79"/>
      <c r="D646" s="79"/>
      <c r="E646" s="79"/>
      <c r="F646" s="79"/>
      <c r="G646" s="79"/>
      <c r="H646" s="79"/>
      <c r="I646" s="79"/>
      <c r="J646" s="79"/>
    </row>
    <row r="647">
      <c r="C647" s="79"/>
      <c r="D647" s="79"/>
      <c r="E647" s="79"/>
      <c r="F647" s="79"/>
      <c r="G647" s="79"/>
      <c r="H647" s="79"/>
      <c r="I647" s="79"/>
      <c r="J647" s="79"/>
    </row>
    <row r="648">
      <c r="C648" s="79"/>
      <c r="D648" s="79"/>
      <c r="E648" s="79"/>
      <c r="F648" s="79"/>
      <c r="G648" s="79"/>
      <c r="H648" s="79"/>
      <c r="I648" s="79"/>
      <c r="J648" s="79"/>
    </row>
    <row r="649">
      <c r="C649" s="79"/>
      <c r="D649" s="79"/>
      <c r="E649" s="79"/>
      <c r="F649" s="79"/>
      <c r="G649" s="79"/>
      <c r="H649" s="79"/>
      <c r="I649" s="79"/>
      <c r="J649" s="79"/>
    </row>
    <row r="650">
      <c r="C650" s="79"/>
      <c r="D650" s="79"/>
      <c r="E650" s="79"/>
      <c r="F650" s="79"/>
      <c r="G650" s="79"/>
      <c r="H650" s="79"/>
      <c r="I650" s="79"/>
      <c r="J650" s="79"/>
    </row>
    <row r="651">
      <c r="C651" s="79"/>
      <c r="D651" s="79"/>
      <c r="E651" s="79"/>
      <c r="F651" s="79"/>
      <c r="G651" s="79"/>
      <c r="H651" s="79"/>
      <c r="I651" s="79"/>
      <c r="J651" s="79"/>
    </row>
    <row r="652">
      <c r="C652" s="79"/>
      <c r="D652" s="79"/>
      <c r="E652" s="79"/>
      <c r="F652" s="79"/>
      <c r="G652" s="79"/>
      <c r="H652" s="79"/>
      <c r="I652" s="79"/>
      <c r="J652" s="79"/>
    </row>
    <row r="653">
      <c r="C653" s="79"/>
      <c r="D653" s="79"/>
      <c r="E653" s="79"/>
      <c r="F653" s="79"/>
      <c r="G653" s="79"/>
      <c r="H653" s="79"/>
      <c r="I653" s="79"/>
      <c r="J653" s="79"/>
    </row>
    <row r="654">
      <c r="C654" s="79"/>
      <c r="D654" s="79"/>
      <c r="E654" s="79"/>
      <c r="F654" s="79"/>
      <c r="G654" s="79"/>
      <c r="H654" s="79"/>
      <c r="I654" s="79"/>
      <c r="J654" s="79"/>
    </row>
    <row r="655">
      <c r="C655" s="79"/>
      <c r="D655" s="79"/>
      <c r="E655" s="79"/>
      <c r="F655" s="79"/>
      <c r="G655" s="79"/>
      <c r="H655" s="79"/>
      <c r="I655" s="79"/>
      <c r="J655" s="79"/>
    </row>
    <row r="656">
      <c r="C656" s="79"/>
      <c r="D656" s="79"/>
      <c r="E656" s="79"/>
      <c r="F656" s="79"/>
      <c r="G656" s="79"/>
      <c r="H656" s="79"/>
      <c r="I656" s="79"/>
      <c r="J656" s="79"/>
    </row>
    <row r="657">
      <c r="C657" s="79"/>
      <c r="D657" s="79"/>
      <c r="E657" s="79"/>
      <c r="F657" s="79"/>
      <c r="G657" s="79"/>
      <c r="H657" s="79"/>
      <c r="I657" s="79"/>
      <c r="J657" s="79"/>
    </row>
    <row r="658">
      <c r="C658" s="79"/>
      <c r="D658" s="79"/>
      <c r="E658" s="79"/>
      <c r="F658" s="79"/>
      <c r="G658" s="79"/>
      <c r="H658" s="79"/>
      <c r="I658" s="79"/>
      <c r="J658" s="79"/>
    </row>
    <row r="659">
      <c r="C659" s="79"/>
      <c r="D659" s="79"/>
      <c r="E659" s="79"/>
      <c r="F659" s="79"/>
      <c r="G659" s="79"/>
      <c r="H659" s="79"/>
      <c r="I659" s="79"/>
      <c r="J659" s="79"/>
    </row>
    <row r="660">
      <c r="C660" s="79"/>
      <c r="D660" s="79"/>
      <c r="E660" s="79"/>
      <c r="F660" s="79"/>
      <c r="G660" s="79"/>
      <c r="H660" s="79"/>
      <c r="I660" s="79"/>
      <c r="J660" s="79"/>
    </row>
    <row r="661">
      <c r="C661" s="79"/>
      <c r="D661" s="79"/>
      <c r="E661" s="79"/>
      <c r="F661" s="79"/>
      <c r="G661" s="79"/>
      <c r="H661" s="79"/>
      <c r="I661" s="79"/>
      <c r="J661" s="79"/>
    </row>
    <row r="662">
      <c r="C662" s="79"/>
      <c r="D662" s="79"/>
      <c r="E662" s="79"/>
      <c r="F662" s="79"/>
      <c r="G662" s="79"/>
      <c r="H662" s="79"/>
      <c r="I662" s="79"/>
      <c r="J662" s="79"/>
    </row>
    <row r="663">
      <c r="C663" s="79"/>
      <c r="D663" s="79"/>
      <c r="E663" s="79"/>
      <c r="F663" s="79"/>
      <c r="G663" s="79"/>
      <c r="H663" s="79"/>
      <c r="I663" s="79"/>
      <c r="J663" s="79"/>
    </row>
    <row r="664">
      <c r="C664" s="79"/>
      <c r="D664" s="79"/>
      <c r="E664" s="79"/>
      <c r="F664" s="79"/>
      <c r="G664" s="79"/>
      <c r="H664" s="79"/>
      <c r="I664" s="79"/>
      <c r="J664" s="79"/>
    </row>
    <row r="665">
      <c r="C665" s="79"/>
      <c r="D665" s="79"/>
      <c r="E665" s="79"/>
      <c r="F665" s="79"/>
      <c r="G665" s="79"/>
      <c r="H665" s="79"/>
      <c r="I665" s="79"/>
      <c r="J665" s="79"/>
    </row>
    <row r="666">
      <c r="C666" s="79"/>
      <c r="D666" s="79"/>
      <c r="E666" s="79"/>
      <c r="F666" s="79"/>
      <c r="G666" s="79"/>
      <c r="H666" s="79"/>
      <c r="I666" s="79"/>
      <c r="J666" s="79"/>
    </row>
    <row r="667">
      <c r="C667" s="79"/>
      <c r="D667" s="79"/>
      <c r="E667" s="79"/>
      <c r="F667" s="79"/>
      <c r="G667" s="79"/>
      <c r="H667" s="79"/>
      <c r="I667" s="79"/>
      <c r="J667" s="79"/>
    </row>
    <row r="668">
      <c r="C668" s="79"/>
      <c r="D668" s="79"/>
      <c r="E668" s="79"/>
      <c r="F668" s="79"/>
      <c r="G668" s="79"/>
      <c r="H668" s="79"/>
      <c r="I668" s="79"/>
      <c r="J668" s="79"/>
    </row>
    <row r="669">
      <c r="C669" s="79"/>
      <c r="D669" s="79"/>
      <c r="E669" s="79"/>
      <c r="F669" s="79"/>
      <c r="G669" s="79"/>
      <c r="H669" s="79"/>
      <c r="I669" s="79"/>
      <c r="J669" s="79"/>
    </row>
    <row r="670">
      <c r="C670" s="79"/>
      <c r="D670" s="79"/>
      <c r="E670" s="79"/>
      <c r="F670" s="79"/>
      <c r="G670" s="79"/>
      <c r="H670" s="79"/>
      <c r="I670" s="79"/>
      <c r="J670" s="79"/>
    </row>
    <row r="671">
      <c r="C671" s="79"/>
      <c r="D671" s="79"/>
      <c r="E671" s="79"/>
      <c r="F671" s="79"/>
      <c r="G671" s="79"/>
      <c r="H671" s="79"/>
      <c r="I671" s="79"/>
      <c r="J671" s="79"/>
    </row>
    <row r="672">
      <c r="C672" s="79"/>
      <c r="D672" s="79"/>
      <c r="E672" s="79"/>
      <c r="F672" s="79"/>
      <c r="G672" s="79"/>
      <c r="H672" s="79"/>
      <c r="I672" s="79"/>
      <c r="J672" s="79"/>
    </row>
    <row r="673">
      <c r="C673" s="79"/>
      <c r="D673" s="79"/>
      <c r="E673" s="79"/>
      <c r="F673" s="79"/>
      <c r="G673" s="79"/>
      <c r="H673" s="79"/>
      <c r="I673" s="79"/>
      <c r="J673" s="79"/>
    </row>
    <row r="674">
      <c r="C674" s="79"/>
      <c r="D674" s="79"/>
      <c r="E674" s="79"/>
      <c r="F674" s="79"/>
      <c r="G674" s="79"/>
      <c r="H674" s="79"/>
      <c r="I674" s="79"/>
      <c r="J674" s="79"/>
    </row>
    <row r="675">
      <c r="C675" s="79"/>
      <c r="D675" s="79"/>
      <c r="E675" s="79"/>
      <c r="F675" s="79"/>
      <c r="G675" s="79"/>
      <c r="H675" s="79"/>
      <c r="I675" s="79"/>
      <c r="J675" s="79"/>
    </row>
    <row r="676">
      <c r="C676" s="79"/>
      <c r="D676" s="79"/>
      <c r="E676" s="79"/>
      <c r="F676" s="79"/>
      <c r="G676" s="79"/>
      <c r="H676" s="79"/>
      <c r="I676" s="79"/>
      <c r="J676" s="79"/>
    </row>
    <row r="677">
      <c r="C677" s="79"/>
      <c r="D677" s="79"/>
      <c r="E677" s="79"/>
      <c r="F677" s="79"/>
      <c r="G677" s="79"/>
      <c r="H677" s="79"/>
      <c r="I677" s="79"/>
      <c r="J677" s="79"/>
    </row>
    <row r="678">
      <c r="C678" s="79"/>
      <c r="D678" s="79"/>
      <c r="E678" s="79"/>
      <c r="F678" s="79"/>
      <c r="G678" s="79"/>
      <c r="H678" s="79"/>
      <c r="I678" s="79"/>
      <c r="J678" s="79"/>
    </row>
    <row r="679">
      <c r="C679" s="79"/>
      <c r="D679" s="79"/>
      <c r="E679" s="79"/>
      <c r="F679" s="79"/>
      <c r="G679" s="79"/>
      <c r="H679" s="79"/>
      <c r="I679" s="79"/>
      <c r="J679" s="79"/>
    </row>
    <row r="680">
      <c r="C680" s="79"/>
      <c r="D680" s="79"/>
      <c r="E680" s="79"/>
      <c r="F680" s="79"/>
      <c r="G680" s="79"/>
      <c r="H680" s="79"/>
      <c r="I680" s="79"/>
      <c r="J680" s="79"/>
    </row>
    <row r="681">
      <c r="C681" s="79"/>
      <c r="D681" s="79"/>
      <c r="E681" s="79"/>
      <c r="F681" s="79"/>
      <c r="G681" s="79"/>
      <c r="H681" s="79"/>
      <c r="I681" s="79"/>
      <c r="J681" s="79"/>
    </row>
    <row r="682">
      <c r="C682" s="79"/>
      <c r="D682" s="79"/>
      <c r="E682" s="79"/>
      <c r="F682" s="79"/>
      <c r="G682" s="79"/>
      <c r="H682" s="79"/>
      <c r="I682" s="79"/>
      <c r="J682" s="79"/>
    </row>
    <row r="683">
      <c r="C683" s="79"/>
      <c r="D683" s="79"/>
      <c r="E683" s="79"/>
      <c r="F683" s="79"/>
      <c r="G683" s="79"/>
      <c r="H683" s="79"/>
      <c r="I683" s="79"/>
      <c r="J683" s="79"/>
    </row>
    <row r="684">
      <c r="C684" s="79"/>
      <c r="D684" s="79"/>
      <c r="E684" s="79"/>
      <c r="F684" s="79"/>
      <c r="G684" s="79"/>
      <c r="H684" s="79"/>
      <c r="I684" s="79"/>
      <c r="J684" s="79"/>
    </row>
    <row r="685">
      <c r="C685" s="79"/>
      <c r="D685" s="79"/>
      <c r="E685" s="79"/>
      <c r="F685" s="79"/>
      <c r="G685" s="79"/>
      <c r="H685" s="79"/>
      <c r="I685" s="79"/>
      <c r="J685" s="79"/>
    </row>
    <row r="686">
      <c r="C686" s="79"/>
      <c r="D686" s="79"/>
      <c r="E686" s="79"/>
      <c r="F686" s="79"/>
      <c r="G686" s="79"/>
      <c r="H686" s="79"/>
      <c r="I686" s="79"/>
      <c r="J686" s="79"/>
    </row>
    <row r="687">
      <c r="C687" s="79"/>
      <c r="D687" s="79"/>
      <c r="E687" s="79"/>
      <c r="F687" s="79"/>
      <c r="G687" s="79"/>
      <c r="H687" s="79"/>
      <c r="I687" s="79"/>
      <c r="J687" s="79"/>
    </row>
    <row r="688">
      <c r="C688" s="79"/>
      <c r="D688" s="79"/>
      <c r="E688" s="79"/>
      <c r="F688" s="79"/>
      <c r="G688" s="79"/>
      <c r="H688" s="79"/>
      <c r="I688" s="79"/>
      <c r="J688" s="79"/>
    </row>
    <row r="689">
      <c r="C689" s="79"/>
      <c r="D689" s="79"/>
      <c r="E689" s="79"/>
      <c r="F689" s="79"/>
      <c r="G689" s="79"/>
      <c r="H689" s="79"/>
      <c r="I689" s="79"/>
      <c r="J689" s="79"/>
    </row>
    <row r="690">
      <c r="C690" s="79"/>
      <c r="D690" s="79"/>
      <c r="E690" s="79"/>
      <c r="F690" s="79"/>
      <c r="G690" s="79"/>
      <c r="H690" s="79"/>
      <c r="I690" s="79"/>
      <c r="J690" s="79"/>
    </row>
    <row r="691">
      <c r="C691" s="79"/>
      <c r="D691" s="79"/>
      <c r="E691" s="79"/>
      <c r="F691" s="79"/>
      <c r="G691" s="79"/>
      <c r="H691" s="79"/>
      <c r="I691" s="79"/>
      <c r="J691" s="79"/>
    </row>
    <row r="692">
      <c r="C692" s="79"/>
      <c r="D692" s="79"/>
      <c r="E692" s="79"/>
      <c r="F692" s="79"/>
      <c r="G692" s="79"/>
      <c r="H692" s="79"/>
      <c r="I692" s="79"/>
      <c r="J692" s="79"/>
    </row>
    <row r="693">
      <c r="C693" s="79"/>
      <c r="D693" s="79"/>
      <c r="E693" s="79"/>
      <c r="F693" s="79"/>
      <c r="G693" s="79"/>
      <c r="H693" s="79"/>
      <c r="I693" s="79"/>
      <c r="J693" s="79"/>
    </row>
    <row r="694">
      <c r="C694" s="79"/>
      <c r="D694" s="79"/>
      <c r="E694" s="79"/>
      <c r="F694" s="79"/>
      <c r="G694" s="79"/>
      <c r="H694" s="79"/>
      <c r="I694" s="79"/>
      <c r="J694" s="79"/>
    </row>
    <row r="695">
      <c r="C695" s="79"/>
      <c r="D695" s="79"/>
      <c r="E695" s="79"/>
      <c r="F695" s="79"/>
      <c r="G695" s="79"/>
      <c r="H695" s="79"/>
      <c r="I695" s="79"/>
      <c r="J695" s="79"/>
    </row>
    <row r="696">
      <c r="C696" s="79"/>
      <c r="D696" s="79"/>
      <c r="E696" s="79"/>
      <c r="F696" s="79"/>
      <c r="G696" s="79"/>
      <c r="H696" s="79"/>
      <c r="I696" s="79"/>
      <c r="J696" s="79"/>
    </row>
    <row r="697">
      <c r="C697" s="79"/>
      <c r="D697" s="79"/>
      <c r="E697" s="79"/>
      <c r="F697" s="79"/>
      <c r="G697" s="79"/>
      <c r="H697" s="79"/>
      <c r="I697" s="79"/>
      <c r="J697" s="79"/>
    </row>
    <row r="698">
      <c r="C698" s="79"/>
      <c r="D698" s="79"/>
      <c r="E698" s="79"/>
      <c r="F698" s="79"/>
      <c r="G698" s="79"/>
      <c r="H698" s="79"/>
      <c r="I698" s="79"/>
      <c r="J698" s="79"/>
    </row>
    <row r="699">
      <c r="C699" s="79"/>
      <c r="D699" s="79"/>
      <c r="E699" s="79"/>
      <c r="F699" s="79"/>
      <c r="G699" s="79"/>
      <c r="H699" s="79"/>
      <c r="I699" s="79"/>
      <c r="J699" s="79"/>
    </row>
    <row r="700">
      <c r="C700" s="79"/>
      <c r="D700" s="79"/>
      <c r="E700" s="79"/>
      <c r="F700" s="79"/>
      <c r="G700" s="79"/>
      <c r="H700" s="79"/>
      <c r="I700" s="79"/>
      <c r="J700" s="79"/>
    </row>
    <row r="701">
      <c r="C701" s="79"/>
      <c r="D701" s="79"/>
      <c r="E701" s="79"/>
      <c r="F701" s="79"/>
      <c r="G701" s="79"/>
      <c r="H701" s="79"/>
      <c r="I701" s="79"/>
      <c r="J701" s="79"/>
    </row>
    <row r="702">
      <c r="C702" s="79"/>
      <c r="D702" s="79"/>
      <c r="E702" s="79"/>
      <c r="F702" s="79"/>
      <c r="G702" s="79"/>
      <c r="H702" s="79"/>
      <c r="I702" s="79"/>
      <c r="J702" s="79"/>
    </row>
    <row r="703">
      <c r="C703" s="79"/>
      <c r="D703" s="79"/>
      <c r="E703" s="79"/>
      <c r="F703" s="79"/>
      <c r="G703" s="79"/>
      <c r="H703" s="79"/>
      <c r="I703" s="79"/>
      <c r="J703" s="79"/>
    </row>
    <row r="704">
      <c r="C704" s="79"/>
      <c r="D704" s="79"/>
      <c r="E704" s="79"/>
      <c r="F704" s="79"/>
      <c r="G704" s="79"/>
      <c r="H704" s="79"/>
      <c r="I704" s="79"/>
      <c r="J704" s="79"/>
    </row>
    <row r="705">
      <c r="C705" s="79"/>
      <c r="D705" s="79"/>
      <c r="E705" s="79"/>
      <c r="F705" s="79"/>
      <c r="G705" s="79"/>
      <c r="H705" s="79"/>
      <c r="I705" s="79"/>
      <c r="J705" s="79"/>
    </row>
    <row r="706">
      <c r="C706" s="79"/>
      <c r="D706" s="79"/>
      <c r="E706" s="79"/>
      <c r="F706" s="79"/>
      <c r="G706" s="79"/>
      <c r="H706" s="79"/>
      <c r="I706" s="79"/>
      <c r="J706" s="79"/>
    </row>
    <row r="707">
      <c r="C707" s="79"/>
      <c r="D707" s="79"/>
      <c r="E707" s="79"/>
      <c r="F707" s="79"/>
      <c r="G707" s="79"/>
      <c r="H707" s="79"/>
      <c r="I707" s="79"/>
      <c r="J707" s="79"/>
    </row>
    <row r="708">
      <c r="C708" s="79"/>
      <c r="D708" s="79"/>
      <c r="E708" s="79"/>
      <c r="F708" s="79"/>
      <c r="G708" s="79"/>
      <c r="H708" s="79"/>
      <c r="I708" s="79"/>
      <c r="J708" s="79"/>
    </row>
    <row r="709">
      <c r="C709" s="79"/>
      <c r="D709" s="79"/>
      <c r="E709" s="79"/>
      <c r="F709" s="79"/>
      <c r="G709" s="79"/>
      <c r="H709" s="79"/>
      <c r="I709" s="79"/>
      <c r="J709" s="79"/>
    </row>
    <row r="710">
      <c r="C710" s="79"/>
      <c r="D710" s="79"/>
      <c r="E710" s="79"/>
      <c r="F710" s="79"/>
      <c r="G710" s="79"/>
      <c r="H710" s="79"/>
      <c r="I710" s="79"/>
      <c r="J710" s="79"/>
    </row>
    <row r="711">
      <c r="C711" s="79"/>
      <c r="D711" s="79"/>
      <c r="E711" s="79"/>
      <c r="F711" s="79"/>
      <c r="G711" s="79"/>
      <c r="H711" s="79"/>
      <c r="I711" s="79"/>
      <c r="J711" s="79"/>
    </row>
    <row r="712">
      <c r="C712" s="79"/>
      <c r="D712" s="79"/>
      <c r="E712" s="79"/>
      <c r="F712" s="79"/>
      <c r="G712" s="79"/>
      <c r="H712" s="79"/>
      <c r="I712" s="79"/>
      <c r="J712" s="79"/>
    </row>
    <row r="713">
      <c r="C713" s="79"/>
      <c r="D713" s="79"/>
      <c r="E713" s="79"/>
      <c r="F713" s="79"/>
      <c r="G713" s="79"/>
      <c r="H713" s="79"/>
      <c r="I713" s="79"/>
      <c r="J713" s="79"/>
    </row>
    <row r="714">
      <c r="C714" s="79"/>
      <c r="D714" s="79"/>
      <c r="E714" s="79"/>
      <c r="F714" s="79"/>
      <c r="G714" s="79"/>
      <c r="H714" s="79"/>
      <c r="I714" s="79"/>
      <c r="J714" s="79"/>
    </row>
    <row r="715">
      <c r="C715" s="79"/>
      <c r="D715" s="79"/>
      <c r="E715" s="79"/>
      <c r="F715" s="79"/>
      <c r="G715" s="79"/>
      <c r="H715" s="79"/>
      <c r="I715" s="79"/>
      <c r="J715" s="79"/>
    </row>
    <row r="716">
      <c r="C716" s="79"/>
      <c r="D716" s="79"/>
      <c r="E716" s="79"/>
      <c r="F716" s="79"/>
      <c r="G716" s="79"/>
      <c r="H716" s="79"/>
      <c r="I716" s="79"/>
      <c r="J716" s="79"/>
    </row>
    <row r="717">
      <c r="C717" s="79"/>
      <c r="D717" s="79"/>
      <c r="E717" s="79"/>
      <c r="F717" s="79"/>
      <c r="G717" s="79"/>
      <c r="H717" s="79"/>
      <c r="I717" s="79"/>
      <c r="J717" s="79"/>
    </row>
    <row r="718">
      <c r="C718" s="79"/>
      <c r="D718" s="79"/>
      <c r="E718" s="79"/>
      <c r="F718" s="79"/>
      <c r="G718" s="79"/>
      <c r="H718" s="79"/>
      <c r="I718" s="79"/>
      <c r="J718" s="79"/>
    </row>
    <row r="719">
      <c r="C719" s="79"/>
      <c r="D719" s="79"/>
      <c r="E719" s="79"/>
      <c r="F719" s="79"/>
      <c r="G719" s="79"/>
      <c r="H719" s="79"/>
      <c r="I719" s="79"/>
      <c r="J719" s="79"/>
    </row>
    <row r="720">
      <c r="C720" s="79"/>
      <c r="D720" s="79"/>
      <c r="E720" s="79"/>
      <c r="F720" s="79"/>
      <c r="G720" s="79"/>
      <c r="H720" s="79"/>
      <c r="I720" s="79"/>
      <c r="J720" s="79"/>
    </row>
    <row r="721">
      <c r="C721" s="79"/>
      <c r="D721" s="79"/>
      <c r="E721" s="79"/>
      <c r="F721" s="79"/>
      <c r="G721" s="79"/>
      <c r="H721" s="79"/>
      <c r="I721" s="79"/>
      <c r="J721" s="79"/>
    </row>
    <row r="722">
      <c r="C722" s="79"/>
      <c r="D722" s="79"/>
      <c r="E722" s="79"/>
      <c r="F722" s="79"/>
      <c r="G722" s="79"/>
      <c r="H722" s="79"/>
      <c r="I722" s="79"/>
      <c r="J722" s="79"/>
    </row>
    <row r="723">
      <c r="C723" s="79"/>
      <c r="D723" s="79"/>
      <c r="E723" s="79"/>
      <c r="F723" s="79"/>
      <c r="G723" s="79"/>
      <c r="H723" s="79"/>
      <c r="I723" s="79"/>
      <c r="J723" s="79"/>
    </row>
    <row r="724">
      <c r="C724" s="79"/>
      <c r="D724" s="79"/>
      <c r="E724" s="79"/>
      <c r="F724" s="79"/>
      <c r="G724" s="79"/>
      <c r="H724" s="79"/>
      <c r="I724" s="79"/>
      <c r="J724" s="79"/>
    </row>
    <row r="725">
      <c r="C725" s="79"/>
      <c r="D725" s="79"/>
      <c r="E725" s="79"/>
      <c r="F725" s="79"/>
      <c r="G725" s="79"/>
      <c r="H725" s="79"/>
      <c r="I725" s="79"/>
      <c r="J725" s="79"/>
    </row>
    <row r="726">
      <c r="C726" s="79"/>
      <c r="D726" s="79"/>
      <c r="E726" s="79"/>
      <c r="F726" s="79"/>
      <c r="G726" s="79"/>
      <c r="H726" s="79"/>
      <c r="I726" s="79"/>
      <c r="J726" s="79"/>
    </row>
    <row r="727">
      <c r="C727" s="79"/>
      <c r="D727" s="79"/>
      <c r="E727" s="79"/>
      <c r="F727" s="79"/>
      <c r="G727" s="79"/>
      <c r="H727" s="79"/>
      <c r="I727" s="79"/>
      <c r="J727" s="79"/>
    </row>
    <row r="728">
      <c r="C728" s="79"/>
      <c r="D728" s="79"/>
      <c r="E728" s="79"/>
      <c r="F728" s="79"/>
      <c r="G728" s="79"/>
      <c r="H728" s="79"/>
      <c r="I728" s="79"/>
      <c r="J728" s="79"/>
    </row>
    <row r="729">
      <c r="C729" s="79"/>
      <c r="D729" s="79"/>
      <c r="E729" s="79"/>
      <c r="F729" s="79"/>
      <c r="G729" s="79"/>
      <c r="H729" s="79"/>
      <c r="I729" s="79"/>
      <c r="J729" s="79"/>
    </row>
    <row r="730">
      <c r="C730" s="79"/>
      <c r="D730" s="79"/>
      <c r="E730" s="79"/>
      <c r="F730" s="79"/>
      <c r="G730" s="79"/>
      <c r="H730" s="79"/>
      <c r="I730" s="79"/>
      <c r="J730" s="79"/>
    </row>
    <row r="731">
      <c r="C731" s="79"/>
      <c r="D731" s="79"/>
      <c r="E731" s="79"/>
      <c r="F731" s="79"/>
      <c r="G731" s="79"/>
      <c r="H731" s="79"/>
      <c r="I731" s="79"/>
      <c r="J731" s="79"/>
    </row>
    <row r="732">
      <c r="C732" s="79"/>
      <c r="D732" s="79"/>
      <c r="E732" s="79"/>
      <c r="F732" s="79"/>
      <c r="G732" s="79"/>
      <c r="H732" s="79"/>
      <c r="I732" s="79"/>
      <c r="J732" s="79"/>
    </row>
    <row r="733">
      <c r="C733" s="79"/>
      <c r="D733" s="79"/>
      <c r="E733" s="79"/>
      <c r="F733" s="79"/>
      <c r="G733" s="79"/>
      <c r="H733" s="79"/>
      <c r="I733" s="79"/>
      <c r="J733" s="79"/>
    </row>
    <row r="734">
      <c r="C734" s="79"/>
      <c r="D734" s="79"/>
      <c r="E734" s="79"/>
      <c r="F734" s="79"/>
      <c r="G734" s="79"/>
      <c r="H734" s="79"/>
      <c r="I734" s="79"/>
      <c r="J734" s="79"/>
    </row>
    <row r="735">
      <c r="C735" s="79"/>
      <c r="D735" s="79"/>
      <c r="E735" s="79"/>
      <c r="F735" s="79"/>
      <c r="G735" s="79"/>
      <c r="H735" s="79"/>
      <c r="I735" s="79"/>
      <c r="J735" s="79"/>
    </row>
    <row r="736">
      <c r="C736" s="79"/>
      <c r="D736" s="79"/>
      <c r="E736" s="79"/>
      <c r="F736" s="79"/>
      <c r="G736" s="79"/>
      <c r="H736" s="79"/>
      <c r="I736" s="79"/>
      <c r="J736" s="79"/>
    </row>
    <row r="737">
      <c r="C737" s="79"/>
      <c r="D737" s="79"/>
      <c r="E737" s="79"/>
      <c r="F737" s="79"/>
      <c r="G737" s="79"/>
      <c r="H737" s="79"/>
      <c r="I737" s="79"/>
      <c r="J737" s="79"/>
    </row>
    <row r="738">
      <c r="C738" s="79"/>
      <c r="D738" s="79"/>
      <c r="E738" s="79"/>
      <c r="F738" s="79"/>
      <c r="G738" s="79"/>
      <c r="H738" s="79"/>
      <c r="I738" s="79"/>
      <c r="J738" s="79"/>
    </row>
    <row r="739">
      <c r="C739" s="79"/>
      <c r="D739" s="79"/>
      <c r="E739" s="79"/>
      <c r="F739" s="79"/>
      <c r="G739" s="79"/>
      <c r="H739" s="79"/>
      <c r="I739" s="79"/>
      <c r="J739" s="79"/>
    </row>
    <row r="740">
      <c r="C740" s="79"/>
      <c r="D740" s="79"/>
      <c r="E740" s="79"/>
      <c r="F740" s="79"/>
      <c r="G740" s="79"/>
      <c r="H740" s="79"/>
      <c r="I740" s="79"/>
      <c r="J740" s="79"/>
    </row>
    <row r="741">
      <c r="C741" s="79"/>
      <c r="D741" s="79"/>
      <c r="E741" s="79"/>
      <c r="F741" s="79"/>
      <c r="G741" s="79"/>
      <c r="H741" s="79"/>
      <c r="I741" s="79"/>
      <c r="J741" s="79"/>
    </row>
    <row r="742">
      <c r="C742" s="79"/>
      <c r="D742" s="79"/>
      <c r="E742" s="79"/>
      <c r="F742" s="79"/>
      <c r="G742" s="79"/>
      <c r="H742" s="79"/>
      <c r="I742" s="79"/>
      <c r="J742" s="79"/>
    </row>
    <row r="743">
      <c r="C743" s="79"/>
      <c r="D743" s="79"/>
      <c r="E743" s="79"/>
      <c r="F743" s="79"/>
      <c r="G743" s="79"/>
      <c r="H743" s="79"/>
      <c r="I743" s="79"/>
      <c r="J743" s="79"/>
    </row>
    <row r="744">
      <c r="C744" s="79"/>
      <c r="D744" s="79"/>
      <c r="E744" s="79"/>
      <c r="F744" s="79"/>
      <c r="G744" s="79"/>
      <c r="H744" s="79"/>
      <c r="I744" s="79"/>
      <c r="J744" s="79"/>
    </row>
    <row r="745">
      <c r="C745" s="79"/>
      <c r="D745" s="79"/>
      <c r="E745" s="79"/>
      <c r="F745" s="79"/>
      <c r="G745" s="79"/>
      <c r="H745" s="79"/>
      <c r="I745" s="79"/>
      <c r="J745" s="79"/>
    </row>
    <row r="746">
      <c r="C746" s="79"/>
      <c r="D746" s="79"/>
      <c r="E746" s="79"/>
      <c r="F746" s="79"/>
      <c r="G746" s="79"/>
      <c r="H746" s="79"/>
      <c r="I746" s="79"/>
      <c r="J746" s="79"/>
    </row>
    <row r="747">
      <c r="C747" s="79"/>
      <c r="D747" s="79"/>
      <c r="E747" s="79"/>
      <c r="F747" s="79"/>
      <c r="G747" s="79"/>
      <c r="H747" s="79"/>
      <c r="I747" s="79"/>
      <c r="J747" s="79"/>
    </row>
    <row r="748">
      <c r="C748" s="79"/>
      <c r="D748" s="79"/>
      <c r="E748" s="79"/>
      <c r="F748" s="79"/>
      <c r="G748" s="79"/>
      <c r="H748" s="79"/>
      <c r="I748" s="79"/>
      <c r="J748" s="79"/>
    </row>
    <row r="749">
      <c r="C749" s="79"/>
      <c r="D749" s="79"/>
      <c r="E749" s="79"/>
      <c r="F749" s="79"/>
      <c r="G749" s="79"/>
      <c r="H749" s="79"/>
      <c r="I749" s="79"/>
      <c r="J749" s="79"/>
    </row>
    <row r="750">
      <c r="C750" s="79"/>
      <c r="D750" s="79"/>
      <c r="E750" s="79"/>
      <c r="F750" s="79"/>
      <c r="G750" s="79"/>
      <c r="H750" s="79"/>
      <c r="I750" s="79"/>
      <c r="J750" s="79"/>
    </row>
    <row r="751">
      <c r="C751" s="79"/>
      <c r="D751" s="79"/>
      <c r="E751" s="79"/>
      <c r="F751" s="79"/>
      <c r="G751" s="79"/>
      <c r="H751" s="79"/>
      <c r="I751" s="79"/>
      <c r="J751" s="79"/>
    </row>
    <row r="752">
      <c r="C752" s="79"/>
      <c r="D752" s="79"/>
      <c r="E752" s="79"/>
      <c r="F752" s="79"/>
      <c r="G752" s="79"/>
      <c r="H752" s="79"/>
      <c r="I752" s="79"/>
      <c r="J752" s="79"/>
    </row>
    <row r="753">
      <c r="C753" s="79"/>
      <c r="D753" s="79"/>
      <c r="E753" s="79"/>
      <c r="F753" s="79"/>
      <c r="G753" s="79"/>
      <c r="H753" s="79"/>
      <c r="I753" s="79"/>
      <c r="J753" s="79"/>
    </row>
    <row r="754">
      <c r="C754" s="79"/>
      <c r="D754" s="79"/>
      <c r="E754" s="79"/>
      <c r="F754" s="79"/>
      <c r="G754" s="79"/>
      <c r="H754" s="79"/>
      <c r="I754" s="79"/>
      <c r="J754" s="79"/>
    </row>
    <row r="755">
      <c r="C755" s="79"/>
      <c r="D755" s="79"/>
      <c r="E755" s="79"/>
      <c r="F755" s="79"/>
      <c r="G755" s="79"/>
      <c r="H755" s="79"/>
      <c r="I755" s="79"/>
      <c r="J755" s="79"/>
    </row>
    <row r="756">
      <c r="C756" s="79"/>
      <c r="D756" s="79"/>
      <c r="E756" s="79"/>
      <c r="F756" s="79"/>
      <c r="G756" s="79"/>
      <c r="H756" s="79"/>
      <c r="I756" s="79"/>
      <c r="J756" s="79"/>
    </row>
    <row r="757">
      <c r="C757" s="79"/>
      <c r="D757" s="79"/>
      <c r="E757" s="79"/>
      <c r="F757" s="79"/>
      <c r="G757" s="79"/>
      <c r="H757" s="79"/>
      <c r="I757" s="79"/>
      <c r="J757" s="79"/>
    </row>
    <row r="758">
      <c r="C758" s="79"/>
      <c r="D758" s="79"/>
      <c r="E758" s="79"/>
      <c r="F758" s="79"/>
      <c r="G758" s="79"/>
      <c r="H758" s="79"/>
      <c r="I758" s="79"/>
      <c r="J758" s="79"/>
    </row>
    <row r="759">
      <c r="C759" s="79"/>
      <c r="D759" s="79"/>
      <c r="E759" s="79"/>
      <c r="F759" s="79"/>
      <c r="G759" s="79"/>
      <c r="H759" s="79"/>
      <c r="I759" s="79"/>
      <c r="J759" s="79"/>
    </row>
    <row r="760">
      <c r="C760" s="79"/>
      <c r="D760" s="79"/>
      <c r="E760" s="79"/>
      <c r="F760" s="79"/>
      <c r="G760" s="79"/>
      <c r="H760" s="79"/>
      <c r="I760" s="79"/>
      <c r="J760" s="79"/>
    </row>
    <row r="761">
      <c r="C761" s="79"/>
      <c r="D761" s="79"/>
      <c r="E761" s="79"/>
      <c r="F761" s="79"/>
      <c r="G761" s="79"/>
      <c r="H761" s="79"/>
      <c r="I761" s="79"/>
      <c r="J761" s="79"/>
    </row>
    <row r="762">
      <c r="C762" s="79"/>
      <c r="D762" s="79"/>
      <c r="E762" s="79"/>
      <c r="F762" s="79"/>
      <c r="G762" s="79"/>
      <c r="H762" s="79"/>
      <c r="I762" s="79"/>
      <c r="J762" s="79"/>
    </row>
    <row r="763">
      <c r="C763" s="79"/>
      <c r="D763" s="79"/>
      <c r="E763" s="79"/>
      <c r="F763" s="79"/>
      <c r="G763" s="79"/>
      <c r="H763" s="79"/>
      <c r="I763" s="79"/>
      <c r="J763" s="79"/>
    </row>
    <row r="764">
      <c r="C764" s="79"/>
      <c r="D764" s="79"/>
      <c r="E764" s="79"/>
      <c r="F764" s="79"/>
      <c r="G764" s="79"/>
      <c r="H764" s="79"/>
      <c r="I764" s="79"/>
      <c r="J764" s="79"/>
    </row>
    <row r="765">
      <c r="C765" s="79"/>
      <c r="D765" s="79"/>
      <c r="E765" s="79"/>
      <c r="F765" s="79"/>
      <c r="G765" s="79"/>
      <c r="H765" s="79"/>
      <c r="I765" s="79"/>
      <c r="J765" s="79"/>
    </row>
    <row r="766">
      <c r="C766" s="79"/>
      <c r="D766" s="79"/>
      <c r="E766" s="79"/>
      <c r="F766" s="79"/>
      <c r="G766" s="79"/>
      <c r="H766" s="79"/>
      <c r="I766" s="79"/>
      <c r="J766" s="79"/>
    </row>
    <row r="767">
      <c r="C767" s="79"/>
      <c r="D767" s="79"/>
      <c r="E767" s="79"/>
      <c r="F767" s="79"/>
      <c r="G767" s="79"/>
      <c r="H767" s="79"/>
      <c r="I767" s="79"/>
      <c r="J767" s="79"/>
    </row>
    <row r="768">
      <c r="C768" s="79"/>
      <c r="D768" s="79"/>
      <c r="E768" s="79"/>
      <c r="F768" s="79"/>
      <c r="G768" s="79"/>
      <c r="H768" s="79"/>
      <c r="I768" s="79"/>
      <c r="J768" s="79"/>
    </row>
    <row r="769">
      <c r="C769" s="79"/>
      <c r="D769" s="79"/>
      <c r="E769" s="79"/>
      <c r="F769" s="79"/>
      <c r="G769" s="79"/>
      <c r="H769" s="79"/>
      <c r="I769" s="79"/>
      <c r="J769" s="79"/>
    </row>
    <row r="770">
      <c r="C770" s="79"/>
      <c r="D770" s="79"/>
      <c r="E770" s="79"/>
      <c r="F770" s="79"/>
      <c r="G770" s="79"/>
      <c r="H770" s="79"/>
      <c r="I770" s="79"/>
      <c r="J770" s="79"/>
    </row>
    <row r="771">
      <c r="C771" s="79"/>
      <c r="D771" s="79"/>
      <c r="E771" s="79"/>
      <c r="F771" s="79"/>
      <c r="G771" s="79"/>
      <c r="H771" s="79"/>
      <c r="I771" s="79"/>
      <c r="J771" s="79"/>
    </row>
    <row r="772">
      <c r="C772" s="79"/>
      <c r="D772" s="79"/>
      <c r="E772" s="79"/>
      <c r="F772" s="79"/>
      <c r="G772" s="79"/>
      <c r="H772" s="79"/>
      <c r="I772" s="79"/>
      <c r="J772" s="79"/>
    </row>
    <row r="773">
      <c r="C773" s="79"/>
      <c r="D773" s="79"/>
      <c r="E773" s="79"/>
      <c r="F773" s="79"/>
      <c r="G773" s="79"/>
      <c r="H773" s="79"/>
      <c r="I773" s="79"/>
      <c r="J773" s="79"/>
    </row>
    <row r="774">
      <c r="C774" s="79"/>
      <c r="D774" s="79"/>
      <c r="E774" s="79"/>
      <c r="F774" s="79"/>
      <c r="G774" s="79"/>
      <c r="H774" s="79"/>
      <c r="I774" s="79"/>
      <c r="J774" s="79"/>
    </row>
    <row r="775">
      <c r="C775" s="79"/>
      <c r="D775" s="79"/>
      <c r="E775" s="79"/>
      <c r="F775" s="79"/>
      <c r="G775" s="79"/>
      <c r="H775" s="79"/>
      <c r="I775" s="79"/>
      <c r="J775" s="79"/>
    </row>
    <row r="776">
      <c r="C776" s="79"/>
      <c r="D776" s="79"/>
      <c r="E776" s="79"/>
      <c r="F776" s="79"/>
      <c r="G776" s="79"/>
      <c r="H776" s="79"/>
      <c r="I776" s="79"/>
      <c r="J776" s="79"/>
    </row>
    <row r="777">
      <c r="C777" s="79"/>
      <c r="D777" s="79"/>
      <c r="E777" s="79"/>
      <c r="F777" s="79"/>
      <c r="G777" s="79"/>
      <c r="H777" s="79"/>
      <c r="I777" s="79"/>
      <c r="J777" s="79"/>
    </row>
    <row r="778">
      <c r="C778" s="79"/>
      <c r="D778" s="79"/>
      <c r="E778" s="79"/>
      <c r="F778" s="79"/>
      <c r="G778" s="79"/>
      <c r="H778" s="79"/>
      <c r="I778" s="79"/>
      <c r="J778" s="79"/>
    </row>
    <row r="779">
      <c r="C779" s="79"/>
      <c r="D779" s="79"/>
      <c r="E779" s="79"/>
      <c r="F779" s="79"/>
      <c r="G779" s="79"/>
      <c r="H779" s="79"/>
      <c r="I779" s="79"/>
      <c r="J779" s="79"/>
    </row>
    <row r="780">
      <c r="C780" s="79"/>
      <c r="D780" s="79"/>
      <c r="E780" s="79"/>
      <c r="F780" s="79"/>
      <c r="G780" s="79"/>
      <c r="H780" s="79"/>
      <c r="I780" s="79"/>
      <c r="J780" s="79"/>
    </row>
    <row r="781">
      <c r="C781" s="79"/>
      <c r="D781" s="79"/>
      <c r="E781" s="79"/>
      <c r="F781" s="79"/>
      <c r="G781" s="79"/>
      <c r="H781" s="79"/>
      <c r="I781" s="79"/>
      <c r="J781" s="79"/>
    </row>
    <row r="782">
      <c r="C782" s="79"/>
      <c r="D782" s="79"/>
      <c r="E782" s="79"/>
      <c r="F782" s="79"/>
      <c r="G782" s="79"/>
      <c r="H782" s="79"/>
      <c r="I782" s="79"/>
      <c r="J782" s="79"/>
    </row>
    <row r="783">
      <c r="C783" s="79"/>
      <c r="D783" s="79"/>
      <c r="E783" s="79"/>
      <c r="F783" s="79"/>
      <c r="G783" s="79"/>
      <c r="H783" s="79"/>
      <c r="I783" s="79"/>
      <c r="J783" s="79"/>
    </row>
    <row r="784">
      <c r="C784" s="79"/>
      <c r="D784" s="79"/>
      <c r="E784" s="79"/>
      <c r="F784" s="79"/>
      <c r="G784" s="79"/>
      <c r="H784" s="79"/>
      <c r="I784" s="79"/>
      <c r="J784" s="79"/>
    </row>
    <row r="785">
      <c r="C785" s="79"/>
      <c r="D785" s="79"/>
      <c r="E785" s="79"/>
      <c r="F785" s="79"/>
      <c r="G785" s="79"/>
      <c r="H785" s="79"/>
      <c r="I785" s="79"/>
      <c r="J785" s="79"/>
    </row>
    <row r="786">
      <c r="C786" s="79"/>
      <c r="D786" s="79"/>
      <c r="E786" s="79"/>
      <c r="F786" s="79"/>
      <c r="G786" s="79"/>
      <c r="H786" s="79"/>
      <c r="I786" s="79"/>
      <c r="J786" s="79"/>
    </row>
    <row r="787">
      <c r="C787" s="79"/>
      <c r="D787" s="79"/>
      <c r="E787" s="79"/>
      <c r="F787" s="79"/>
      <c r="G787" s="79"/>
      <c r="H787" s="79"/>
      <c r="I787" s="79"/>
      <c r="J787" s="79"/>
    </row>
    <row r="788">
      <c r="C788" s="79"/>
      <c r="D788" s="79"/>
      <c r="E788" s="79"/>
      <c r="F788" s="79"/>
      <c r="G788" s="79"/>
      <c r="H788" s="79"/>
      <c r="I788" s="79"/>
      <c r="J788" s="79"/>
    </row>
    <row r="789">
      <c r="C789" s="79"/>
      <c r="D789" s="79"/>
      <c r="E789" s="79"/>
      <c r="F789" s="79"/>
      <c r="G789" s="79"/>
      <c r="H789" s="79"/>
      <c r="I789" s="79"/>
      <c r="J789" s="79"/>
    </row>
    <row r="790">
      <c r="C790" s="79"/>
      <c r="D790" s="79"/>
      <c r="E790" s="79"/>
      <c r="F790" s="79"/>
      <c r="G790" s="79"/>
      <c r="H790" s="79"/>
      <c r="I790" s="79"/>
      <c r="J790" s="79"/>
    </row>
    <row r="791">
      <c r="C791" s="79"/>
      <c r="D791" s="79"/>
      <c r="E791" s="79"/>
      <c r="F791" s="79"/>
      <c r="G791" s="79"/>
      <c r="H791" s="79"/>
      <c r="I791" s="79"/>
      <c r="J791" s="79"/>
    </row>
    <row r="792">
      <c r="C792" s="79"/>
      <c r="D792" s="79"/>
      <c r="E792" s="79"/>
      <c r="F792" s="79"/>
      <c r="G792" s="79"/>
      <c r="H792" s="79"/>
      <c r="I792" s="79"/>
      <c r="J792" s="79"/>
    </row>
    <row r="793">
      <c r="C793" s="79"/>
      <c r="D793" s="79"/>
      <c r="E793" s="79"/>
      <c r="F793" s="79"/>
      <c r="G793" s="79"/>
      <c r="H793" s="79"/>
      <c r="I793" s="79"/>
      <c r="J793" s="79"/>
    </row>
    <row r="794">
      <c r="C794" s="79"/>
      <c r="D794" s="79"/>
      <c r="E794" s="79"/>
      <c r="F794" s="79"/>
      <c r="G794" s="79"/>
      <c r="H794" s="79"/>
      <c r="I794" s="79"/>
      <c r="J794" s="79"/>
    </row>
    <row r="795">
      <c r="C795" s="79"/>
      <c r="D795" s="79"/>
      <c r="E795" s="79"/>
      <c r="F795" s="79"/>
      <c r="G795" s="79"/>
      <c r="H795" s="79"/>
      <c r="I795" s="79"/>
      <c r="J795" s="79"/>
    </row>
    <row r="796">
      <c r="C796" s="79"/>
      <c r="D796" s="79"/>
      <c r="E796" s="79"/>
      <c r="F796" s="79"/>
      <c r="G796" s="79"/>
      <c r="H796" s="79"/>
      <c r="I796" s="79"/>
      <c r="J796" s="79"/>
    </row>
    <row r="797">
      <c r="C797" s="79"/>
      <c r="D797" s="79"/>
      <c r="E797" s="79"/>
      <c r="F797" s="79"/>
      <c r="G797" s="79"/>
      <c r="H797" s="79"/>
      <c r="I797" s="79"/>
      <c r="J797" s="79"/>
    </row>
    <row r="798">
      <c r="C798" s="79"/>
      <c r="D798" s="79"/>
      <c r="E798" s="79"/>
      <c r="F798" s="79"/>
      <c r="G798" s="79"/>
      <c r="H798" s="79"/>
      <c r="I798" s="79"/>
      <c r="J798" s="79"/>
    </row>
    <row r="799">
      <c r="C799" s="79"/>
      <c r="D799" s="79"/>
      <c r="E799" s="79"/>
      <c r="F799" s="79"/>
      <c r="G799" s="79"/>
      <c r="H799" s="79"/>
      <c r="I799" s="79"/>
      <c r="J799" s="79"/>
    </row>
    <row r="800">
      <c r="C800" s="79"/>
      <c r="D800" s="79"/>
      <c r="E800" s="79"/>
      <c r="F800" s="79"/>
      <c r="G800" s="79"/>
      <c r="H800" s="79"/>
      <c r="I800" s="79"/>
      <c r="J800" s="79"/>
    </row>
    <row r="801">
      <c r="C801" s="79"/>
      <c r="D801" s="79"/>
      <c r="E801" s="79"/>
      <c r="F801" s="79"/>
      <c r="G801" s="79"/>
      <c r="H801" s="79"/>
      <c r="I801" s="79"/>
      <c r="J801" s="79"/>
    </row>
    <row r="802">
      <c r="C802" s="79"/>
      <c r="D802" s="79"/>
      <c r="E802" s="79"/>
      <c r="F802" s="79"/>
      <c r="G802" s="79"/>
      <c r="H802" s="79"/>
      <c r="I802" s="79"/>
      <c r="J802" s="79"/>
    </row>
    <row r="803">
      <c r="C803" s="79"/>
      <c r="D803" s="79"/>
      <c r="E803" s="79"/>
      <c r="F803" s="79"/>
      <c r="G803" s="79"/>
      <c r="H803" s="79"/>
      <c r="I803" s="79"/>
      <c r="J803" s="79"/>
    </row>
    <row r="804">
      <c r="C804" s="79"/>
      <c r="D804" s="79"/>
      <c r="E804" s="79"/>
      <c r="F804" s="79"/>
      <c r="G804" s="79"/>
      <c r="H804" s="79"/>
      <c r="I804" s="79"/>
      <c r="J804" s="79"/>
    </row>
    <row r="805">
      <c r="C805" s="79"/>
      <c r="D805" s="79"/>
      <c r="E805" s="79"/>
      <c r="F805" s="79"/>
      <c r="G805" s="79"/>
      <c r="H805" s="79"/>
      <c r="I805" s="79"/>
      <c r="J805" s="79"/>
    </row>
    <row r="806">
      <c r="C806" s="79"/>
      <c r="D806" s="79"/>
      <c r="E806" s="79"/>
      <c r="F806" s="79"/>
      <c r="G806" s="79"/>
      <c r="H806" s="79"/>
      <c r="I806" s="79"/>
      <c r="J806" s="79"/>
    </row>
    <row r="807">
      <c r="C807" s="79"/>
      <c r="D807" s="79"/>
      <c r="E807" s="79"/>
      <c r="F807" s="79"/>
      <c r="G807" s="79"/>
      <c r="H807" s="79"/>
      <c r="I807" s="79"/>
      <c r="J807" s="79"/>
    </row>
    <row r="808">
      <c r="C808" s="79"/>
      <c r="D808" s="79"/>
      <c r="E808" s="79"/>
      <c r="F808" s="79"/>
      <c r="G808" s="79"/>
      <c r="H808" s="79"/>
      <c r="I808" s="79"/>
      <c r="J808" s="79"/>
    </row>
    <row r="809">
      <c r="C809" s="79"/>
      <c r="D809" s="79"/>
      <c r="E809" s="79"/>
      <c r="F809" s="79"/>
      <c r="G809" s="79"/>
      <c r="H809" s="79"/>
      <c r="I809" s="79"/>
      <c r="J809" s="79"/>
    </row>
    <row r="810">
      <c r="C810" s="79"/>
      <c r="D810" s="79"/>
      <c r="E810" s="79"/>
      <c r="F810" s="79"/>
      <c r="G810" s="79"/>
      <c r="H810" s="79"/>
      <c r="I810" s="79"/>
      <c r="J810" s="79"/>
    </row>
    <row r="811">
      <c r="C811" s="79"/>
      <c r="D811" s="79"/>
      <c r="E811" s="79"/>
      <c r="F811" s="79"/>
      <c r="G811" s="79"/>
      <c r="H811" s="79"/>
      <c r="I811" s="79"/>
      <c r="J811" s="79"/>
    </row>
    <row r="812">
      <c r="C812" s="79"/>
      <c r="D812" s="79"/>
      <c r="E812" s="79"/>
      <c r="F812" s="79"/>
      <c r="G812" s="79"/>
      <c r="H812" s="79"/>
      <c r="I812" s="79"/>
      <c r="J812" s="79"/>
    </row>
    <row r="813">
      <c r="C813" s="79"/>
      <c r="D813" s="79"/>
      <c r="E813" s="79"/>
      <c r="F813" s="79"/>
      <c r="G813" s="79"/>
      <c r="H813" s="79"/>
      <c r="I813" s="79"/>
      <c r="J813" s="79"/>
    </row>
    <row r="814">
      <c r="C814" s="79"/>
      <c r="D814" s="79"/>
      <c r="E814" s="79"/>
      <c r="F814" s="79"/>
      <c r="G814" s="79"/>
      <c r="H814" s="79"/>
      <c r="I814" s="79"/>
      <c r="J814" s="79"/>
    </row>
    <row r="815">
      <c r="C815" s="79"/>
      <c r="D815" s="79"/>
      <c r="E815" s="79"/>
      <c r="F815" s="79"/>
      <c r="G815" s="79"/>
      <c r="H815" s="79"/>
      <c r="I815" s="79"/>
      <c r="J815" s="79"/>
    </row>
    <row r="816">
      <c r="C816" s="79"/>
      <c r="D816" s="79"/>
      <c r="E816" s="79"/>
      <c r="F816" s="79"/>
      <c r="G816" s="79"/>
      <c r="H816" s="79"/>
      <c r="I816" s="79"/>
      <c r="J816" s="79"/>
    </row>
    <row r="817">
      <c r="C817" s="79"/>
      <c r="D817" s="79"/>
      <c r="E817" s="79"/>
      <c r="F817" s="79"/>
      <c r="G817" s="79"/>
      <c r="H817" s="79"/>
      <c r="I817" s="79"/>
      <c r="J817" s="79"/>
    </row>
    <row r="818">
      <c r="C818" s="79"/>
      <c r="D818" s="79"/>
      <c r="E818" s="79"/>
      <c r="F818" s="79"/>
      <c r="G818" s="79"/>
      <c r="H818" s="79"/>
      <c r="I818" s="79"/>
      <c r="J818" s="79"/>
    </row>
    <row r="819">
      <c r="C819" s="79"/>
      <c r="D819" s="79"/>
      <c r="E819" s="79"/>
      <c r="F819" s="79"/>
      <c r="G819" s="79"/>
      <c r="H819" s="79"/>
      <c r="I819" s="79"/>
      <c r="J819" s="79"/>
    </row>
    <row r="820">
      <c r="C820" s="79"/>
      <c r="D820" s="79"/>
      <c r="E820" s="79"/>
      <c r="F820" s="79"/>
      <c r="G820" s="79"/>
      <c r="H820" s="79"/>
      <c r="I820" s="79"/>
      <c r="J820" s="79"/>
    </row>
    <row r="821">
      <c r="C821" s="79"/>
      <c r="D821" s="79"/>
      <c r="E821" s="79"/>
      <c r="F821" s="79"/>
      <c r="G821" s="79"/>
      <c r="H821" s="79"/>
      <c r="I821" s="79"/>
      <c r="J821" s="79"/>
    </row>
    <row r="822">
      <c r="C822" s="79"/>
      <c r="D822" s="79"/>
      <c r="E822" s="79"/>
      <c r="F822" s="79"/>
      <c r="G822" s="79"/>
      <c r="H822" s="79"/>
      <c r="I822" s="79"/>
      <c r="J822" s="79"/>
    </row>
    <row r="823">
      <c r="C823" s="79"/>
      <c r="D823" s="79"/>
      <c r="E823" s="79"/>
      <c r="F823" s="79"/>
      <c r="G823" s="79"/>
      <c r="H823" s="79"/>
      <c r="I823" s="79"/>
      <c r="J823" s="79"/>
    </row>
    <row r="824">
      <c r="C824" s="79"/>
      <c r="D824" s="79"/>
      <c r="E824" s="79"/>
      <c r="F824" s="79"/>
      <c r="G824" s="79"/>
      <c r="H824" s="79"/>
      <c r="I824" s="79"/>
      <c r="J824" s="79"/>
    </row>
    <row r="825">
      <c r="C825" s="79"/>
      <c r="D825" s="79"/>
      <c r="E825" s="79"/>
      <c r="F825" s="79"/>
      <c r="G825" s="79"/>
      <c r="H825" s="79"/>
      <c r="I825" s="79"/>
      <c r="J825" s="79"/>
    </row>
    <row r="826">
      <c r="C826" s="79"/>
      <c r="D826" s="79"/>
      <c r="E826" s="79"/>
      <c r="F826" s="79"/>
      <c r="G826" s="79"/>
      <c r="H826" s="79"/>
      <c r="I826" s="79"/>
      <c r="J826" s="79"/>
    </row>
    <row r="827">
      <c r="C827" s="79"/>
      <c r="D827" s="79"/>
      <c r="E827" s="79"/>
      <c r="F827" s="79"/>
      <c r="G827" s="79"/>
      <c r="H827" s="79"/>
      <c r="I827" s="79"/>
      <c r="J827" s="79"/>
    </row>
    <row r="828">
      <c r="C828" s="79"/>
      <c r="D828" s="79"/>
      <c r="E828" s="79"/>
      <c r="F828" s="79"/>
      <c r="G828" s="79"/>
      <c r="H828" s="79"/>
      <c r="I828" s="79"/>
      <c r="J828" s="79"/>
    </row>
    <row r="829">
      <c r="C829" s="79"/>
      <c r="D829" s="79"/>
      <c r="E829" s="79"/>
      <c r="F829" s="79"/>
      <c r="G829" s="79"/>
      <c r="H829" s="79"/>
      <c r="I829" s="79"/>
      <c r="J829" s="79"/>
    </row>
    <row r="830">
      <c r="C830" s="79"/>
      <c r="D830" s="79"/>
      <c r="E830" s="79"/>
      <c r="F830" s="79"/>
      <c r="G830" s="79"/>
      <c r="H830" s="79"/>
      <c r="I830" s="79"/>
      <c r="J830" s="79"/>
    </row>
    <row r="831">
      <c r="C831" s="79"/>
      <c r="D831" s="79"/>
      <c r="E831" s="79"/>
      <c r="F831" s="79"/>
      <c r="G831" s="79"/>
      <c r="H831" s="79"/>
      <c r="I831" s="79"/>
      <c r="J831" s="79"/>
    </row>
    <row r="832">
      <c r="C832" s="79"/>
      <c r="D832" s="79"/>
      <c r="E832" s="79"/>
      <c r="F832" s="79"/>
      <c r="G832" s="79"/>
      <c r="H832" s="79"/>
      <c r="I832" s="79"/>
      <c r="J832" s="79"/>
    </row>
    <row r="833">
      <c r="C833" s="79"/>
      <c r="D833" s="79"/>
      <c r="E833" s="79"/>
      <c r="F833" s="79"/>
      <c r="G833" s="79"/>
      <c r="H833" s="79"/>
      <c r="I833" s="79"/>
      <c r="J833" s="79"/>
    </row>
    <row r="834">
      <c r="C834" s="79"/>
      <c r="D834" s="79"/>
      <c r="E834" s="79"/>
      <c r="F834" s="79"/>
      <c r="G834" s="79"/>
      <c r="H834" s="79"/>
      <c r="I834" s="79"/>
      <c r="J834" s="79"/>
    </row>
    <row r="835">
      <c r="C835" s="79"/>
      <c r="D835" s="79"/>
      <c r="E835" s="79"/>
      <c r="F835" s="79"/>
      <c r="G835" s="79"/>
      <c r="H835" s="79"/>
      <c r="I835" s="79"/>
      <c r="J835" s="79"/>
    </row>
    <row r="836">
      <c r="C836" s="79"/>
      <c r="D836" s="79"/>
      <c r="E836" s="79"/>
      <c r="F836" s="79"/>
      <c r="G836" s="79"/>
      <c r="H836" s="79"/>
      <c r="I836" s="79"/>
      <c r="J836" s="79"/>
    </row>
    <row r="837">
      <c r="C837" s="79"/>
      <c r="D837" s="79"/>
      <c r="E837" s="79"/>
      <c r="F837" s="79"/>
      <c r="G837" s="79"/>
      <c r="H837" s="79"/>
      <c r="I837" s="79"/>
      <c r="J837" s="79"/>
    </row>
    <row r="838">
      <c r="C838" s="79"/>
      <c r="D838" s="79"/>
      <c r="E838" s="79"/>
      <c r="F838" s="79"/>
      <c r="G838" s="79"/>
      <c r="H838" s="79"/>
      <c r="I838" s="79"/>
      <c r="J838" s="79"/>
    </row>
    <row r="839">
      <c r="C839" s="79"/>
      <c r="D839" s="79"/>
      <c r="E839" s="79"/>
      <c r="F839" s="79"/>
      <c r="G839" s="79"/>
      <c r="H839" s="79"/>
      <c r="I839" s="79"/>
      <c r="J839" s="79"/>
    </row>
    <row r="840">
      <c r="C840" s="79"/>
      <c r="D840" s="79"/>
      <c r="E840" s="79"/>
      <c r="F840" s="79"/>
      <c r="G840" s="79"/>
      <c r="H840" s="79"/>
      <c r="I840" s="79"/>
      <c r="J840" s="79"/>
    </row>
    <row r="841">
      <c r="C841" s="79"/>
      <c r="D841" s="79"/>
      <c r="E841" s="79"/>
      <c r="F841" s="79"/>
      <c r="G841" s="79"/>
      <c r="H841" s="79"/>
      <c r="I841" s="79"/>
      <c r="J841" s="79"/>
    </row>
    <row r="842">
      <c r="C842" s="79"/>
      <c r="D842" s="79"/>
      <c r="E842" s="79"/>
      <c r="F842" s="79"/>
      <c r="G842" s="79"/>
      <c r="H842" s="79"/>
      <c r="I842" s="79"/>
      <c r="J842" s="79"/>
    </row>
    <row r="843">
      <c r="C843" s="79"/>
      <c r="D843" s="79"/>
      <c r="E843" s="79"/>
      <c r="F843" s="79"/>
      <c r="G843" s="79"/>
      <c r="H843" s="79"/>
      <c r="I843" s="79"/>
      <c r="J843" s="79"/>
    </row>
    <row r="844">
      <c r="C844" s="79"/>
      <c r="D844" s="79"/>
      <c r="E844" s="79"/>
      <c r="F844" s="79"/>
      <c r="G844" s="79"/>
      <c r="H844" s="79"/>
      <c r="I844" s="79"/>
      <c r="J844" s="79"/>
    </row>
    <row r="845">
      <c r="C845" s="79"/>
      <c r="D845" s="79"/>
      <c r="E845" s="79"/>
      <c r="F845" s="79"/>
      <c r="G845" s="79"/>
      <c r="H845" s="79"/>
      <c r="I845" s="79"/>
      <c r="J845" s="79"/>
    </row>
    <row r="846">
      <c r="C846" s="79"/>
      <c r="D846" s="79"/>
      <c r="E846" s="79"/>
      <c r="F846" s="79"/>
      <c r="G846" s="79"/>
      <c r="H846" s="79"/>
      <c r="I846" s="79"/>
      <c r="J846" s="79"/>
    </row>
    <row r="847">
      <c r="C847" s="79"/>
      <c r="D847" s="79"/>
      <c r="E847" s="79"/>
      <c r="F847" s="79"/>
      <c r="G847" s="79"/>
      <c r="H847" s="79"/>
      <c r="I847" s="79"/>
      <c r="J847" s="79"/>
    </row>
    <row r="848">
      <c r="C848" s="79"/>
      <c r="D848" s="79"/>
      <c r="E848" s="79"/>
      <c r="F848" s="79"/>
      <c r="G848" s="79"/>
      <c r="H848" s="79"/>
      <c r="I848" s="79"/>
      <c r="J848" s="79"/>
    </row>
    <row r="849">
      <c r="C849" s="79"/>
      <c r="D849" s="79"/>
      <c r="E849" s="79"/>
      <c r="F849" s="79"/>
      <c r="G849" s="79"/>
      <c r="H849" s="79"/>
      <c r="I849" s="79"/>
      <c r="J849" s="79"/>
    </row>
    <row r="850">
      <c r="C850" s="79"/>
      <c r="D850" s="79"/>
      <c r="E850" s="79"/>
      <c r="F850" s="79"/>
      <c r="G850" s="79"/>
      <c r="H850" s="79"/>
      <c r="I850" s="79"/>
      <c r="J850" s="79"/>
    </row>
    <row r="851">
      <c r="C851" s="79"/>
      <c r="D851" s="79"/>
      <c r="E851" s="79"/>
      <c r="F851" s="79"/>
      <c r="G851" s="79"/>
      <c r="H851" s="79"/>
      <c r="I851" s="79"/>
      <c r="J851" s="79"/>
    </row>
    <row r="852">
      <c r="C852" s="79"/>
      <c r="D852" s="79"/>
      <c r="E852" s="79"/>
      <c r="F852" s="79"/>
      <c r="G852" s="79"/>
      <c r="H852" s="79"/>
      <c r="I852" s="79"/>
      <c r="J852" s="79"/>
    </row>
    <row r="853">
      <c r="C853" s="79"/>
      <c r="D853" s="79"/>
      <c r="E853" s="79"/>
      <c r="F853" s="79"/>
      <c r="G853" s="79"/>
      <c r="H853" s="79"/>
      <c r="I853" s="79"/>
      <c r="J853" s="79"/>
    </row>
    <row r="854">
      <c r="C854" s="79"/>
      <c r="D854" s="79"/>
      <c r="E854" s="79"/>
      <c r="F854" s="79"/>
      <c r="G854" s="79"/>
      <c r="H854" s="79"/>
      <c r="I854" s="79"/>
      <c r="J854" s="79"/>
    </row>
    <row r="855">
      <c r="C855" s="79"/>
      <c r="D855" s="79"/>
      <c r="E855" s="79"/>
      <c r="F855" s="79"/>
      <c r="G855" s="79"/>
      <c r="H855" s="79"/>
      <c r="I855" s="79"/>
      <c r="J855" s="79"/>
    </row>
    <row r="856">
      <c r="C856" s="79"/>
      <c r="D856" s="79"/>
      <c r="E856" s="79"/>
      <c r="F856" s="79"/>
      <c r="G856" s="79"/>
      <c r="H856" s="79"/>
      <c r="I856" s="79"/>
      <c r="J856" s="79"/>
    </row>
    <row r="857">
      <c r="C857" s="79"/>
      <c r="D857" s="79"/>
      <c r="E857" s="79"/>
      <c r="F857" s="79"/>
      <c r="G857" s="79"/>
      <c r="H857" s="79"/>
      <c r="I857" s="79"/>
      <c r="J857" s="79"/>
    </row>
    <row r="858">
      <c r="C858" s="79"/>
      <c r="D858" s="79"/>
      <c r="E858" s="79"/>
      <c r="F858" s="79"/>
      <c r="G858" s="79"/>
      <c r="H858" s="79"/>
      <c r="I858" s="79"/>
      <c r="J858" s="79"/>
    </row>
    <row r="859">
      <c r="C859" s="79"/>
      <c r="D859" s="79"/>
      <c r="E859" s="79"/>
      <c r="F859" s="79"/>
      <c r="G859" s="79"/>
      <c r="H859" s="79"/>
      <c r="I859" s="79"/>
      <c r="J859" s="79"/>
    </row>
    <row r="860">
      <c r="C860" s="79"/>
      <c r="D860" s="79"/>
      <c r="E860" s="79"/>
      <c r="F860" s="79"/>
      <c r="G860" s="79"/>
      <c r="H860" s="79"/>
      <c r="I860" s="79"/>
      <c r="J860" s="79"/>
    </row>
    <row r="861">
      <c r="C861" s="79"/>
      <c r="D861" s="79"/>
      <c r="E861" s="79"/>
      <c r="F861" s="79"/>
      <c r="G861" s="79"/>
      <c r="H861" s="79"/>
      <c r="I861" s="79"/>
      <c r="J861" s="79"/>
    </row>
    <row r="862">
      <c r="C862" s="79"/>
      <c r="D862" s="79"/>
      <c r="E862" s="79"/>
      <c r="F862" s="79"/>
      <c r="G862" s="79"/>
      <c r="H862" s="79"/>
      <c r="I862" s="79"/>
      <c r="J862" s="79"/>
    </row>
    <row r="863">
      <c r="C863" s="79"/>
      <c r="D863" s="79"/>
      <c r="E863" s="79"/>
      <c r="F863" s="79"/>
      <c r="G863" s="79"/>
      <c r="H863" s="79"/>
      <c r="I863" s="79"/>
      <c r="J863" s="79"/>
    </row>
    <row r="864">
      <c r="C864" s="79"/>
      <c r="D864" s="79"/>
      <c r="E864" s="79"/>
      <c r="F864" s="79"/>
      <c r="G864" s="79"/>
      <c r="H864" s="79"/>
      <c r="I864" s="79"/>
      <c r="J864" s="79"/>
    </row>
    <row r="865">
      <c r="C865" s="79"/>
      <c r="D865" s="79"/>
      <c r="E865" s="79"/>
      <c r="F865" s="79"/>
      <c r="G865" s="79"/>
      <c r="H865" s="79"/>
      <c r="I865" s="79"/>
      <c r="J865" s="79"/>
    </row>
    <row r="866">
      <c r="C866" s="79"/>
      <c r="D866" s="79"/>
      <c r="E866" s="79"/>
      <c r="F866" s="79"/>
      <c r="G866" s="79"/>
      <c r="H866" s="79"/>
      <c r="I866" s="79"/>
      <c r="J866" s="79"/>
    </row>
    <row r="867">
      <c r="C867" s="79"/>
      <c r="D867" s="79"/>
      <c r="E867" s="79"/>
      <c r="F867" s="79"/>
      <c r="G867" s="79"/>
      <c r="H867" s="79"/>
      <c r="I867" s="79"/>
      <c r="J867" s="79"/>
    </row>
    <row r="868">
      <c r="C868" s="79"/>
      <c r="D868" s="79"/>
      <c r="E868" s="79"/>
      <c r="F868" s="79"/>
      <c r="G868" s="79"/>
      <c r="H868" s="79"/>
      <c r="I868" s="79"/>
      <c r="J868" s="79"/>
    </row>
    <row r="869">
      <c r="C869" s="79"/>
      <c r="D869" s="79"/>
      <c r="E869" s="79"/>
      <c r="F869" s="79"/>
      <c r="G869" s="79"/>
      <c r="H869" s="79"/>
      <c r="I869" s="79"/>
      <c r="J869" s="79"/>
    </row>
    <row r="870">
      <c r="C870" s="79"/>
      <c r="D870" s="79"/>
      <c r="E870" s="79"/>
      <c r="F870" s="79"/>
      <c r="G870" s="79"/>
      <c r="H870" s="79"/>
      <c r="I870" s="79"/>
      <c r="J870" s="79"/>
    </row>
    <row r="871">
      <c r="C871" s="79"/>
      <c r="D871" s="79"/>
      <c r="E871" s="79"/>
      <c r="F871" s="79"/>
      <c r="G871" s="79"/>
      <c r="H871" s="79"/>
      <c r="I871" s="79"/>
      <c r="J871" s="79"/>
    </row>
    <row r="872">
      <c r="C872" s="79"/>
      <c r="D872" s="79"/>
      <c r="E872" s="79"/>
      <c r="F872" s="79"/>
      <c r="G872" s="79"/>
      <c r="H872" s="79"/>
      <c r="I872" s="79"/>
      <c r="J872" s="79"/>
    </row>
    <row r="873">
      <c r="C873" s="79"/>
      <c r="D873" s="79"/>
      <c r="E873" s="79"/>
      <c r="F873" s="79"/>
      <c r="G873" s="79"/>
      <c r="H873" s="79"/>
      <c r="I873" s="79"/>
      <c r="J873" s="79"/>
    </row>
    <row r="874">
      <c r="C874" s="79"/>
      <c r="D874" s="79"/>
      <c r="E874" s="79"/>
      <c r="F874" s="79"/>
      <c r="G874" s="79"/>
      <c r="H874" s="79"/>
      <c r="I874" s="79"/>
      <c r="J874" s="79"/>
    </row>
    <row r="875">
      <c r="C875" s="79"/>
      <c r="D875" s="79"/>
      <c r="E875" s="79"/>
      <c r="F875" s="79"/>
      <c r="G875" s="79"/>
      <c r="H875" s="79"/>
      <c r="I875" s="79"/>
      <c r="J875" s="79"/>
    </row>
    <row r="876">
      <c r="C876" s="79"/>
      <c r="D876" s="79"/>
      <c r="E876" s="79"/>
      <c r="F876" s="79"/>
      <c r="G876" s="79"/>
      <c r="H876" s="79"/>
      <c r="I876" s="79"/>
      <c r="J876" s="79"/>
    </row>
    <row r="877">
      <c r="C877" s="79"/>
      <c r="D877" s="79"/>
      <c r="E877" s="79"/>
      <c r="F877" s="79"/>
      <c r="G877" s="79"/>
      <c r="H877" s="79"/>
      <c r="I877" s="79"/>
      <c r="J877" s="79"/>
    </row>
    <row r="878">
      <c r="C878" s="79"/>
      <c r="D878" s="79"/>
      <c r="E878" s="79"/>
      <c r="F878" s="79"/>
      <c r="G878" s="79"/>
      <c r="H878" s="79"/>
      <c r="I878" s="79"/>
      <c r="J878" s="79"/>
    </row>
    <row r="879">
      <c r="C879" s="79"/>
      <c r="D879" s="79"/>
      <c r="E879" s="79"/>
      <c r="F879" s="79"/>
      <c r="G879" s="79"/>
      <c r="H879" s="79"/>
      <c r="I879" s="79"/>
      <c r="J879" s="79"/>
    </row>
    <row r="880">
      <c r="C880" s="79"/>
      <c r="D880" s="79"/>
      <c r="E880" s="79"/>
      <c r="F880" s="79"/>
      <c r="G880" s="79"/>
      <c r="H880" s="79"/>
      <c r="I880" s="79"/>
      <c r="J880" s="79"/>
    </row>
    <row r="881">
      <c r="C881" s="79"/>
      <c r="D881" s="79"/>
      <c r="E881" s="79"/>
      <c r="F881" s="79"/>
      <c r="G881" s="79"/>
      <c r="H881" s="79"/>
      <c r="I881" s="79"/>
      <c r="J881" s="79"/>
    </row>
    <row r="882">
      <c r="C882" s="79"/>
      <c r="D882" s="79"/>
      <c r="E882" s="79"/>
      <c r="F882" s="79"/>
      <c r="G882" s="79"/>
      <c r="H882" s="79"/>
      <c r="I882" s="79"/>
      <c r="J882" s="79"/>
    </row>
    <row r="883">
      <c r="C883" s="79"/>
      <c r="D883" s="79"/>
      <c r="E883" s="79"/>
      <c r="F883" s="79"/>
      <c r="G883" s="79"/>
      <c r="H883" s="79"/>
      <c r="I883" s="79"/>
      <c r="J883" s="79"/>
    </row>
    <row r="884">
      <c r="C884" s="79"/>
      <c r="D884" s="79"/>
      <c r="E884" s="79"/>
      <c r="F884" s="79"/>
      <c r="G884" s="79"/>
      <c r="H884" s="79"/>
      <c r="I884" s="79"/>
      <c r="J884" s="79"/>
    </row>
    <row r="885">
      <c r="C885" s="79"/>
      <c r="D885" s="79"/>
      <c r="E885" s="79"/>
      <c r="F885" s="79"/>
      <c r="G885" s="79"/>
      <c r="H885" s="79"/>
      <c r="I885" s="79"/>
      <c r="J885" s="79"/>
    </row>
    <row r="886">
      <c r="C886" s="79"/>
      <c r="D886" s="79"/>
      <c r="E886" s="79"/>
      <c r="F886" s="79"/>
      <c r="G886" s="79"/>
      <c r="H886" s="79"/>
      <c r="I886" s="79"/>
      <c r="J886" s="79"/>
    </row>
    <row r="887">
      <c r="C887" s="79"/>
      <c r="D887" s="79"/>
      <c r="E887" s="79"/>
      <c r="F887" s="79"/>
      <c r="G887" s="79"/>
      <c r="H887" s="79"/>
      <c r="I887" s="79"/>
      <c r="J887" s="79"/>
    </row>
    <row r="888">
      <c r="C888" s="79"/>
      <c r="D888" s="79"/>
      <c r="E888" s="79"/>
      <c r="F888" s="79"/>
      <c r="G888" s="79"/>
      <c r="H888" s="79"/>
      <c r="I888" s="79"/>
      <c r="J888" s="79"/>
    </row>
    <row r="889">
      <c r="C889" s="79"/>
      <c r="D889" s="79"/>
      <c r="E889" s="79"/>
      <c r="F889" s="79"/>
      <c r="G889" s="79"/>
      <c r="H889" s="79"/>
      <c r="I889" s="79"/>
      <c r="J889" s="79"/>
    </row>
    <row r="890">
      <c r="C890" s="79"/>
      <c r="D890" s="79"/>
      <c r="E890" s="79"/>
      <c r="F890" s="79"/>
      <c r="G890" s="79"/>
      <c r="H890" s="79"/>
      <c r="I890" s="79"/>
      <c r="J890" s="79"/>
    </row>
    <row r="891">
      <c r="C891" s="79"/>
      <c r="D891" s="79"/>
      <c r="E891" s="79"/>
      <c r="F891" s="79"/>
      <c r="G891" s="79"/>
      <c r="H891" s="79"/>
      <c r="I891" s="79"/>
      <c r="J891" s="79"/>
    </row>
    <row r="892">
      <c r="C892" s="79"/>
      <c r="D892" s="79"/>
      <c r="E892" s="79"/>
      <c r="F892" s="79"/>
      <c r="G892" s="79"/>
      <c r="H892" s="79"/>
      <c r="I892" s="79"/>
      <c r="J892" s="79"/>
    </row>
    <row r="893">
      <c r="C893" s="79"/>
      <c r="D893" s="79"/>
      <c r="E893" s="79"/>
      <c r="F893" s="79"/>
      <c r="G893" s="79"/>
      <c r="H893" s="79"/>
      <c r="I893" s="79"/>
      <c r="J893" s="79"/>
    </row>
    <row r="894">
      <c r="C894" s="79"/>
      <c r="D894" s="79"/>
      <c r="E894" s="79"/>
      <c r="F894" s="79"/>
      <c r="G894" s="79"/>
      <c r="H894" s="79"/>
      <c r="I894" s="79"/>
      <c r="J894" s="79"/>
    </row>
    <row r="895">
      <c r="C895" s="79"/>
      <c r="D895" s="79"/>
      <c r="E895" s="79"/>
      <c r="F895" s="79"/>
      <c r="G895" s="79"/>
      <c r="H895" s="79"/>
      <c r="I895" s="79"/>
      <c r="J895" s="79"/>
    </row>
    <row r="896">
      <c r="C896" s="79"/>
      <c r="D896" s="79"/>
      <c r="E896" s="79"/>
      <c r="F896" s="79"/>
      <c r="G896" s="79"/>
      <c r="H896" s="79"/>
      <c r="I896" s="79"/>
      <c r="J896" s="79"/>
    </row>
    <row r="897">
      <c r="C897" s="79"/>
      <c r="D897" s="79"/>
      <c r="E897" s="79"/>
      <c r="F897" s="79"/>
      <c r="G897" s="79"/>
      <c r="H897" s="79"/>
      <c r="I897" s="79"/>
      <c r="J897" s="79"/>
    </row>
    <row r="898">
      <c r="C898" s="79"/>
      <c r="D898" s="79"/>
      <c r="E898" s="79"/>
      <c r="F898" s="79"/>
      <c r="G898" s="79"/>
      <c r="H898" s="79"/>
      <c r="I898" s="79"/>
      <c r="J898" s="79"/>
    </row>
    <row r="899">
      <c r="C899" s="79"/>
      <c r="D899" s="79"/>
      <c r="E899" s="79"/>
      <c r="F899" s="79"/>
      <c r="G899" s="79"/>
      <c r="H899" s="79"/>
      <c r="I899" s="79"/>
      <c r="J899" s="79"/>
    </row>
    <row r="900">
      <c r="C900" s="79"/>
      <c r="D900" s="79"/>
      <c r="E900" s="79"/>
      <c r="F900" s="79"/>
      <c r="G900" s="79"/>
      <c r="H900" s="79"/>
      <c r="I900" s="79"/>
      <c r="J900" s="79"/>
    </row>
    <row r="901">
      <c r="C901" s="79"/>
      <c r="D901" s="79"/>
      <c r="E901" s="79"/>
      <c r="F901" s="79"/>
      <c r="G901" s="79"/>
      <c r="H901" s="79"/>
      <c r="I901" s="79"/>
      <c r="J901" s="79"/>
    </row>
    <row r="902">
      <c r="C902" s="79"/>
      <c r="D902" s="79"/>
      <c r="E902" s="79"/>
      <c r="F902" s="79"/>
      <c r="G902" s="79"/>
      <c r="H902" s="79"/>
      <c r="I902" s="79"/>
      <c r="J902" s="79"/>
    </row>
    <row r="903">
      <c r="C903" s="79"/>
      <c r="D903" s="79"/>
      <c r="E903" s="79"/>
      <c r="F903" s="79"/>
      <c r="G903" s="79"/>
      <c r="H903" s="79"/>
      <c r="I903" s="79"/>
      <c r="J903" s="79"/>
    </row>
    <row r="904">
      <c r="C904" s="79"/>
      <c r="D904" s="79"/>
      <c r="E904" s="79"/>
      <c r="F904" s="79"/>
      <c r="G904" s="79"/>
      <c r="H904" s="79"/>
      <c r="I904" s="79"/>
      <c r="J904" s="79"/>
    </row>
    <row r="905">
      <c r="C905" s="79"/>
      <c r="D905" s="79"/>
      <c r="E905" s="79"/>
      <c r="F905" s="79"/>
      <c r="G905" s="79"/>
      <c r="H905" s="79"/>
      <c r="I905" s="79"/>
      <c r="J905" s="79"/>
    </row>
    <row r="906">
      <c r="C906" s="79"/>
      <c r="D906" s="79"/>
      <c r="E906" s="79"/>
      <c r="F906" s="79"/>
      <c r="G906" s="79"/>
      <c r="H906" s="79"/>
      <c r="I906" s="79"/>
      <c r="J906" s="79"/>
    </row>
    <row r="907">
      <c r="C907" s="79"/>
      <c r="D907" s="79"/>
      <c r="E907" s="79"/>
      <c r="F907" s="79"/>
      <c r="G907" s="79"/>
      <c r="H907" s="79"/>
      <c r="I907" s="79"/>
      <c r="J907" s="79"/>
    </row>
    <row r="908">
      <c r="C908" s="79"/>
      <c r="D908" s="79"/>
      <c r="E908" s="79"/>
      <c r="F908" s="79"/>
      <c r="G908" s="79"/>
      <c r="H908" s="79"/>
      <c r="I908" s="79"/>
      <c r="J908" s="79"/>
    </row>
    <row r="909">
      <c r="C909" s="79"/>
      <c r="D909" s="79"/>
      <c r="E909" s="79"/>
      <c r="F909" s="79"/>
      <c r="G909" s="79"/>
      <c r="H909" s="79"/>
      <c r="I909" s="79"/>
      <c r="J909" s="79"/>
    </row>
    <row r="910">
      <c r="C910" s="79"/>
      <c r="D910" s="79"/>
      <c r="E910" s="79"/>
      <c r="F910" s="79"/>
      <c r="G910" s="79"/>
      <c r="H910" s="79"/>
      <c r="I910" s="79"/>
      <c r="J910" s="79"/>
    </row>
    <row r="911">
      <c r="C911" s="79"/>
      <c r="D911" s="79"/>
      <c r="E911" s="79"/>
      <c r="F911" s="79"/>
      <c r="G911" s="79"/>
      <c r="H911" s="79"/>
      <c r="I911" s="79"/>
      <c r="J911" s="79"/>
    </row>
    <row r="912">
      <c r="C912" s="79"/>
      <c r="D912" s="79"/>
      <c r="E912" s="79"/>
      <c r="F912" s="79"/>
      <c r="G912" s="79"/>
      <c r="H912" s="79"/>
      <c r="I912" s="79"/>
      <c r="J912" s="79"/>
    </row>
    <row r="913">
      <c r="C913" s="79"/>
      <c r="D913" s="79"/>
      <c r="E913" s="79"/>
      <c r="F913" s="79"/>
      <c r="G913" s="79"/>
      <c r="H913" s="79"/>
      <c r="I913" s="79"/>
      <c r="J913" s="79"/>
    </row>
    <row r="914">
      <c r="C914" s="79"/>
      <c r="D914" s="79"/>
      <c r="E914" s="79"/>
      <c r="F914" s="79"/>
      <c r="G914" s="79"/>
      <c r="H914" s="79"/>
      <c r="I914" s="79"/>
      <c r="J914" s="79"/>
    </row>
    <row r="915">
      <c r="C915" s="79"/>
      <c r="D915" s="79"/>
      <c r="E915" s="79"/>
      <c r="F915" s="79"/>
      <c r="G915" s="79"/>
      <c r="H915" s="79"/>
      <c r="I915" s="79"/>
      <c r="J915" s="79"/>
    </row>
    <row r="916">
      <c r="C916" s="79"/>
      <c r="D916" s="79"/>
      <c r="E916" s="79"/>
      <c r="F916" s="79"/>
      <c r="G916" s="79"/>
      <c r="H916" s="79"/>
      <c r="I916" s="79"/>
      <c r="J916" s="79"/>
    </row>
    <row r="917">
      <c r="C917" s="79"/>
      <c r="D917" s="79"/>
      <c r="E917" s="79"/>
      <c r="F917" s="79"/>
      <c r="G917" s="79"/>
      <c r="H917" s="79"/>
      <c r="I917" s="79"/>
      <c r="J917" s="79"/>
    </row>
    <row r="918">
      <c r="C918" s="79"/>
      <c r="D918" s="79"/>
      <c r="E918" s="79"/>
      <c r="F918" s="79"/>
      <c r="G918" s="79"/>
      <c r="H918" s="79"/>
      <c r="I918" s="79"/>
      <c r="J918" s="79"/>
    </row>
    <row r="919">
      <c r="C919" s="79"/>
      <c r="D919" s="79"/>
      <c r="E919" s="79"/>
      <c r="F919" s="79"/>
      <c r="G919" s="79"/>
      <c r="H919" s="79"/>
      <c r="I919" s="79"/>
      <c r="J919" s="79"/>
    </row>
    <row r="920">
      <c r="C920" s="79"/>
      <c r="D920" s="79"/>
      <c r="E920" s="79"/>
      <c r="F920" s="79"/>
      <c r="G920" s="79"/>
      <c r="H920" s="79"/>
      <c r="I920" s="79"/>
      <c r="J920" s="79"/>
    </row>
    <row r="921">
      <c r="C921" s="79"/>
      <c r="D921" s="79"/>
      <c r="E921" s="79"/>
      <c r="F921" s="79"/>
      <c r="G921" s="79"/>
      <c r="H921" s="79"/>
      <c r="I921" s="79"/>
      <c r="J921" s="79"/>
    </row>
    <row r="922">
      <c r="C922" s="79"/>
      <c r="D922" s="79"/>
      <c r="E922" s="79"/>
      <c r="F922" s="79"/>
      <c r="G922" s="79"/>
      <c r="H922" s="79"/>
      <c r="I922" s="79"/>
      <c r="J922" s="79"/>
    </row>
    <row r="923">
      <c r="C923" s="79"/>
      <c r="D923" s="79"/>
      <c r="E923" s="79"/>
      <c r="F923" s="79"/>
      <c r="G923" s="79"/>
      <c r="H923" s="79"/>
      <c r="I923" s="79"/>
      <c r="J923" s="79"/>
    </row>
    <row r="924">
      <c r="C924" s="79"/>
      <c r="D924" s="79"/>
      <c r="E924" s="79"/>
      <c r="F924" s="79"/>
      <c r="G924" s="79"/>
      <c r="H924" s="79"/>
      <c r="I924" s="79"/>
      <c r="J924" s="79"/>
    </row>
    <row r="925">
      <c r="C925" s="79"/>
      <c r="D925" s="79"/>
      <c r="E925" s="79"/>
      <c r="F925" s="79"/>
      <c r="G925" s="79"/>
      <c r="H925" s="79"/>
      <c r="I925" s="79"/>
      <c r="J925" s="79"/>
    </row>
    <row r="926">
      <c r="C926" s="79"/>
      <c r="D926" s="79"/>
      <c r="E926" s="79"/>
      <c r="F926" s="79"/>
      <c r="G926" s="79"/>
      <c r="H926" s="79"/>
      <c r="I926" s="79"/>
      <c r="J926" s="79"/>
    </row>
    <row r="927">
      <c r="C927" s="79"/>
      <c r="D927" s="79"/>
      <c r="E927" s="79"/>
      <c r="F927" s="79"/>
      <c r="G927" s="79"/>
      <c r="H927" s="79"/>
      <c r="I927" s="79"/>
      <c r="J927" s="79"/>
    </row>
    <row r="928">
      <c r="C928" s="79"/>
      <c r="D928" s="79"/>
      <c r="E928" s="79"/>
      <c r="F928" s="79"/>
      <c r="G928" s="79"/>
      <c r="H928" s="79"/>
      <c r="I928" s="79"/>
      <c r="J928" s="79"/>
    </row>
    <row r="929">
      <c r="C929" s="79"/>
      <c r="D929" s="79"/>
      <c r="E929" s="79"/>
      <c r="F929" s="79"/>
      <c r="G929" s="79"/>
      <c r="H929" s="79"/>
      <c r="I929" s="79"/>
      <c r="J929" s="79"/>
    </row>
    <row r="930">
      <c r="C930" s="79"/>
      <c r="D930" s="79"/>
      <c r="E930" s="79"/>
      <c r="F930" s="79"/>
      <c r="G930" s="79"/>
      <c r="H930" s="79"/>
      <c r="I930" s="79"/>
      <c r="J930" s="79"/>
    </row>
    <row r="931">
      <c r="C931" s="79"/>
      <c r="D931" s="79"/>
      <c r="E931" s="79"/>
      <c r="F931" s="79"/>
      <c r="G931" s="79"/>
      <c r="H931" s="79"/>
      <c r="I931" s="79"/>
      <c r="J931" s="79"/>
    </row>
    <row r="932">
      <c r="C932" s="79"/>
      <c r="D932" s="79"/>
      <c r="E932" s="79"/>
      <c r="F932" s="79"/>
      <c r="G932" s="79"/>
      <c r="H932" s="79"/>
      <c r="I932" s="79"/>
      <c r="J932" s="79"/>
    </row>
    <row r="933">
      <c r="C933" s="79"/>
      <c r="D933" s="79"/>
      <c r="E933" s="79"/>
      <c r="F933" s="79"/>
      <c r="G933" s="79"/>
      <c r="H933" s="79"/>
      <c r="I933" s="79"/>
      <c r="J933" s="79"/>
    </row>
    <row r="934">
      <c r="C934" s="79"/>
      <c r="D934" s="79"/>
      <c r="E934" s="79"/>
      <c r="F934" s="79"/>
      <c r="G934" s="79"/>
      <c r="H934" s="79"/>
      <c r="I934" s="79"/>
      <c r="J934" s="79"/>
    </row>
    <row r="935">
      <c r="C935" s="79"/>
      <c r="D935" s="79"/>
      <c r="E935" s="79"/>
      <c r="F935" s="79"/>
      <c r="G935" s="79"/>
      <c r="H935" s="79"/>
      <c r="I935" s="79"/>
      <c r="J935" s="79"/>
    </row>
    <row r="936">
      <c r="C936" s="79"/>
      <c r="D936" s="79"/>
      <c r="E936" s="79"/>
      <c r="F936" s="79"/>
      <c r="G936" s="79"/>
      <c r="H936" s="79"/>
      <c r="I936" s="79"/>
      <c r="J936" s="79"/>
    </row>
    <row r="937">
      <c r="C937" s="79"/>
      <c r="D937" s="79"/>
      <c r="E937" s="79"/>
      <c r="F937" s="79"/>
      <c r="G937" s="79"/>
      <c r="H937" s="79"/>
      <c r="I937" s="79"/>
      <c r="J937" s="79"/>
    </row>
    <row r="938">
      <c r="C938" s="79"/>
      <c r="D938" s="79"/>
      <c r="E938" s="79"/>
      <c r="F938" s="79"/>
      <c r="G938" s="79"/>
      <c r="H938" s="79"/>
      <c r="I938" s="79"/>
      <c r="J938" s="79"/>
    </row>
    <row r="939">
      <c r="C939" s="79"/>
      <c r="D939" s="79"/>
      <c r="E939" s="79"/>
      <c r="F939" s="79"/>
      <c r="G939" s="79"/>
      <c r="H939" s="79"/>
      <c r="I939" s="79"/>
      <c r="J939" s="79"/>
    </row>
    <row r="940">
      <c r="C940" s="79"/>
      <c r="D940" s="79"/>
      <c r="E940" s="79"/>
      <c r="F940" s="79"/>
      <c r="G940" s="79"/>
      <c r="H940" s="79"/>
      <c r="I940" s="79"/>
      <c r="J940" s="79"/>
    </row>
    <row r="941">
      <c r="C941" s="79"/>
      <c r="D941" s="79"/>
      <c r="E941" s="79"/>
      <c r="F941" s="79"/>
      <c r="G941" s="79"/>
      <c r="H941" s="79"/>
      <c r="I941" s="79"/>
      <c r="J941" s="79"/>
    </row>
    <row r="942">
      <c r="C942" s="79"/>
      <c r="D942" s="79"/>
      <c r="E942" s="79"/>
      <c r="F942" s="79"/>
      <c r="G942" s="79"/>
      <c r="H942" s="79"/>
      <c r="I942" s="79"/>
      <c r="J942" s="79"/>
    </row>
    <row r="943">
      <c r="C943" s="79"/>
      <c r="D943" s="79"/>
      <c r="E943" s="79"/>
      <c r="F943" s="79"/>
      <c r="G943" s="79"/>
      <c r="H943" s="79"/>
      <c r="I943" s="79"/>
      <c r="J943" s="79"/>
    </row>
    <row r="944">
      <c r="C944" s="79"/>
      <c r="D944" s="79"/>
      <c r="E944" s="79"/>
      <c r="F944" s="79"/>
      <c r="G944" s="79"/>
      <c r="H944" s="79"/>
      <c r="I944" s="79"/>
      <c r="J944" s="79"/>
    </row>
    <row r="945">
      <c r="C945" s="79"/>
      <c r="D945" s="79"/>
      <c r="E945" s="79"/>
      <c r="F945" s="79"/>
      <c r="G945" s="79"/>
      <c r="H945" s="79"/>
      <c r="I945" s="79"/>
      <c r="J945" s="79"/>
    </row>
    <row r="946">
      <c r="C946" s="79"/>
      <c r="D946" s="79"/>
      <c r="E946" s="79"/>
      <c r="F946" s="79"/>
      <c r="G946" s="79"/>
      <c r="H946" s="79"/>
      <c r="I946" s="79"/>
      <c r="J946" s="79"/>
    </row>
    <row r="947">
      <c r="C947" s="79"/>
      <c r="D947" s="79"/>
      <c r="E947" s="79"/>
      <c r="F947" s="79"/>
      <c r="G947" s="79"/>
      <c r="H947" s="79"/>
      <c r="I947" s="79"/>
      <c r="J947" s="79"/>
    </row>
    <row r="948">
      <c r="C948" s="79"/>
      <c r="D948" s="79"/>
      <c r="E948" s="79"/>
      <c r="F948" s="79"/>
      <c r="G948" s="79"/>
      <c r="H948" s="79"/>
      <c r="I948" s="79"/>
      <c r="J948" s="79"/>
    </row>
    <row r="949">
      <c r="C949" s="79"/>
      <c r="D949" s="79"/>
      <c r="E949" s="79"/>
      <c r="F949" s="79"/>
      <c r="G949" s="79"/>
      <c r="H949" s="79"/>
      <c r="I949" s="79"/>
      <c r="J949" s="79"/>
    </row>
    <row r="950">
      <c r="C950" s="79"/>
      <c r="D950" s="79"/>
      <c r="E950" s="79"/>
      <c r="F950" s="79"/>
      <c r="G950" s="79"/>
      <c r="H950" s="79"/>
      <c r="I950" s="79"/>
      <c r="J950" s="79"/>
    </row>
    <row r="951">
      <c r="C951" s="79"/>
      <c r="D951" s="79"/>
      <c r="E951" s="79"/>
      <c r="F951" s="79"/>
      <c r="G951" s="79"/>
      <c r="H951" s="79"/>
      <c r="I951" s="79"/>
      <c r="J951" s="79"/>
    </row>
    <row r="952">
      <c r="C952" s="79"/>
      <c r="D952" s="79"/>
      <c r="E952" s="79"/>
      <c r="F952" s="79"/>
      <c r="G952" s="79"/>
      <c r="H952" s="79"/>
      <c r="I952" s="79"/>
      <c r="J952" s="79"/>
    </row>
    <row r="953">
      <c r="C953" s="79"/>
      <c r="D953" s="79"/>
      <c r="E953" s="79"/>
      <c r="F953" s="79"/>
      <c r="G953" s="79"/>
      <c r="H953" s="79"/>
      <c r="I953" s="79"/>
      <c r="J953" s="79"/>
    </row>
    <row r="954">
      <c r="C954" s="79"/>
      <c r="D954" s="79"/>
      <c r="E954" s="79"/>
      <c r="F954" s="79"/>
      <c r="G954" s="79"/>
      <c r="H954" s="79"/>
      <c r="I954" s="79"/>
      <c r="J954" s="79"/>
    </row>
    <row r="955">
      <c r="C955" s="79"/>
      <c r="D955" s="79"/>
      <c r="E955" s="79"/>
      <c r="F955" s="79"/>
      <c r="G955" s="79"/>
      <c r="H955" s="79"/>
      <c r="I955" s="79"/>
      <c r="J955" s="79"/>
    </row>
    <row r="956">
      <c r="C956" s="79"/>
      <c r="D956" s="79"/>
      <c r="E956" s="79"/>
      <c r="F956" s="79"/>
      <c r="G956" s="79"/>
      <c r="H956" s="79"/>
      <c r="I956" s="79"/>
      <c r="J956" s="79"/>
    </row>
    <row r="957">
      <c r="C957" s="79"/>
      <c r="D957" s="79"/>
      <c r="E957" s="79"/>
      <c r="F957" s="79"/>
      <c r="G957" s="79"/>
      <c r="H957" s="79"/>
      <c r="I957" s="79"/>
      <c r="J957" s="79"/>
    </row>
    <row r="958">
      <c r="C958" s="79"/>
      <c r="D958" s="79"/>
      <c r="E958" s="79"/>
      <c r="F958" s="79"/>
      <c r="G958" s="79"/>
      <c r="H958" s="79"/>
      <c r="I958" s="79"/>
      <c r="J958" s="79"/>
    </row>
    <row r="959">
      <c r="C959" s="79"/>
      <c r="D959" s="79"/>
      <c r="E959" s="79"/>
      <c r="F959" s="79"/>
      <c r="G959" s="79"/>
      <c r="H959" s="79"/>
      <c r="I959" s="79"/>
      <c r="J959" s="79"/>
    </row>
    <row r="960">
      <c r="C960" s="79"/>
      <c r="D960" s="79"/>
      <c r="E960" s="79"/>
      <c r="F960" s="79"/>
      <c r="G960" s="79"/>
      <c r="H960" s="79"/>
      <c r="I960" s="79"/>
      <c r="J960" s="79"/>
    </row>
    <row r="961">
      <c r="C961" s="79"/>
      <c r="D961" s="79"/>
      <c r="E961" s="79"/>
      <c r="F961" s="79"/>
      <c r="G961" s="79"/>
      <c r="H961" s="79"/>
      <c r="I961" s="79"/>
      <c r="J961" s="79"/>
    </row>
    <row r="962">
      <c r="C962" s="79"/>
      <c r="D962" s="79"/>
      <c r="E962" s="79"/>
      <c r="F962" s="79"/>
      <c r="G962" s="79"/>
      <c r="H962" s="79"/>
      <c r="I962" s="79"/>
      <c r="J962" s="79"/>
    </row>
    <row r="963">
      <c r="C963" s="79"/>
      <c r="D963" s="79"/>
      <c r="E963" s="79"/>
      <c r="F963" s="79"/>
      <c r="G963" s="79"/>
      <c r="H963" s="79"/>
      <c r="I963" s="79"/>
      <c r="J963" s="79"/>
    </row>
    <row r="964">
      <c r="C964" s="79"/>
      <c r="D964" s="79"/>
      <c r="E964" s="79"/>
      <c r="F964" s="79"/>
      <c r="G964" s="79"/>
      <c r="H964" s="79"/>
      <c r="I964" s="79"/>
      <c r="J964" s="79"/>
    </row>
    <row r="965">
      <c r="C965" s="79"/>
      <c r="D965" s="79"/>
      <c r="E965" s="79"/>
      <c r="F965" s="79"/>
      <c r="G965" s="79"/>
      <c r="H965" s="79"/>
      <c r="I965" s="79"/>
      <c r="J965" s="79"/>
    </row>
    <row r="966">
      <c r="C966" s="79"/>
      <c r="D966" s="79"/>
      <c r="E966" s="79"/>
      <c r="F966" s="79"/>
      <c r="G966" s="79"/>
      <c r="H966" s="79"/>
      <c r="I966" s="79"/>
      <c r="J966" s="79"/>
    </row>
    <row r="967">
      <c r="C967" s="79"/>
      <c r="D967" s="79"/>
      <c r="E967" s="79"/>
      <c r="F967" s="79"/>
      <c r="G967" s="79"/>
      <c r="H967" s="79"/>
      <c r="I967" s="79"/>
      <c r="J967" s="79"/>
    </row>
    <row r="968">
      <c r="C968" s="79"/>
      <c r="D968" s="79"/>
      <c r="E968" s="79"/>
      <c r="F968" s="79"/>
      <c r="G968" s="79"/>
      <c r="H968" s="79"/>
      <c r="I968" s="79"/>
      <c r="J968" s="79"/>
    </row>
    <row r="969">
      <c r="C969" s="79"/>
      <c r="D969" s="79"/>
      <c r="E969" s="79"/>
      <c r="F969" s="79"/>
      <c r="G969" s="79"/>
      <c r="H969" s="79"/>
      <c r="I969" s="79"/>
      <c r="J969" s="79"/>
    </row>
    <row r="970">
      <c r="C970" s="79"/>
      <c r="D970" s="79"/>
      <c r="E970" s="79"/>
      <c r="F970" s="79"/>
      <c r="G970" s="79"/>
      <c r="H970" s="79"/>
      <c r="I970" s="79"/>
      <c r="J970" s="79"/>
    </row>
    <row r="971">
      <c r="C971" s="79"/>
      <c r="D971" s="79"/>
      <c r="E971" s="79"/>
      <c r="F971" s="79"/>
      <c r="G971" s="79"/>
      <c r="H971" s="79"/>
      <c r="I971" s="79"/>
      <c r="J971" s="79"/>
    </row>
    <row r="972">
      <c r="C972" s="79"/>
      <c r="D972" s="79"/>
      <c r="E972" s="79"/>
      <c r="F972" s="79"/>
      <c r="G972" s="79"/>
      <c r="H972" s="79"/>
      <c r="I972" s="79"/>
      <c r="J972" s="79"/>
    </row>
    <row r="973">
      <c r="C973" s="79"/>
      <c r="D973" s="79"/>
      <c r="E973" s="79"/>
      <c r="F973" s="79"/>
      <c r="G973" s="79"/>
      <c r="H973" s="79"/>
      <c r="I973" s="79"/>
      <c r="J973" s="79"/>
    </row>
    <row r="974">
      <c r="C974" s="79"/>
      <c r="D974" s="79"/>
      <c r="E974" s="79"/>
      <c r="F974" s="79"/>
      <c r="G974" s="79"/>
      <c r="H974" s="79"/>
      <c r="I974" s="79"/>
      <c r="J974" s="79"/>
    </row>
    <row r="975">
      <c r="C975" s="79"/>
      <c r="D975" s="79"/>
      <c r="E975" s="79"/>
      <c r="F975" s="79"/>
      <c r="G975" s="79"/>
      <c r="H975" s="79"/>
      <c r="I975" s="79"/>
      <c r="J975" s="79"/>
    </row>
    <row r="976">
      <c r="C976" s="79"/>
      <c r="D976" s="79"/>
      <c r="E976" s="79"/>
      <c r="F976" s="79"/>
      <c r="G976" s="79"/>
      <c r="H976" s="79"/>
      <c r="I976" s="79"/>
      <c r="J976" s="79"/>
    </row>
    <row r="977">
      <c r="C977" s="79"/>
      <c r="D977" s="79"/>
      <c r="E977" s="79"/>
      <c r="F977" s="79"/>
      <c r="G977" s="79"/>
      <c r="H977" s="79"/>
      <c r="I977" s="79"/>
      <c r="J977" s="79"/>
    </row>
    <row r="978">
      <c r="C978" s="79"/>
      <c r="D978" s="79"/>
      <c r="E978" s="79"/>
      <c r="F978" s="79"/>
      <c r="G978" s="79"/>
      <c r="H978" s="79"/>
      <c r="I978" s="79"/>
      <c r="J978" s="79"/>
    </row>
    <row r="979">
      <c r="C979" s="79"/>
      <c r="D979" s="79"/>
      <c r="E979" s="79"/>
      <c r="F979" s="79"/>
      <c r="G979" s="79"/>
      <c r="H979" s="79"/>
      <c r="I979" s="79"/>
      <c r="J979" s="79"/>
    </row>
    <row r="980">
      <c r="C980" s="79"/>
      <c r="D980" s="79"/>
      <c r="E980" s="79"/>
      <c r="F980" s="79"/>
      <c r="G980" s="79"/>
      <c r="H980" s="79"/>
      <c r="I980" s="79"/>
      <c r="J980" s="79"/>
    </row>
    <row r="981">
      <c r="C981" s="79"/>
      <c r="D981" s="79"/>
      <c r="E981" s="79"/>
      <c r="F981" s="79"/>
      <c r="G981" s="79"/>
      <c r="H981" s="79"/>
      <c r="I981" s="79"/>
      <c r="J981" s="79"/>
    </row>
    <row r="982">
      <c r="C982" s="79"/>
      <c r="D982" s="79"/>
      <c r="E982" s="79"/>
      <c r="F982" s="79"/>
      <c r="G982" s="79"/>
      <c r="H982" s="79"/>
      <c r="I982" s="79"/>
      <c r="J982" s="79"/>
    </row>
    <row r="983">
      <c r="C983" s="79"/>
      <c r="D983" s="79"/>
      <c r="E983" s="79"/>
      <c r="F983" s="79"/>
      <c r="G983" s="79"/>
      <c r="H983" s="79"/>
      <c r="I983" s="79"/>
      <c r="J983" s="79"/>
    </row>
    <row r="984">
      <c r="C984" s="79"/>
      <c r="D984" s="79"/>
      <c r="E984" s="79"/>
      <c r="F984" s="79"/>
      <c r="G984" s="79"/>
      <c r="H984" s="79"/>
      <c r="I984" s="79"/>
      <c r="J984" s="79"/>
    </row>
    <row r="985">
      <c r="C985" s="79"/>
      <c r="D985" s="79"/>
      <c r="E985" s="79"/>
      <c r="F985" s="79"/>
      <c r="G985" s="79"/>
      <c r="H985" s="79"/>
      <c r="I985" s="79"/>
      <c r="J985" s="79"/>
    </row>
    <row r="986">
      <c r="C986" s="79"/>
      <c r="D986" s="79"/>
      <c r="E986" s="79"/>
      <c r="F986" s="79"/>
      <c r="G986" s="79"/>
      <c r="H986" s="79"/>
      <c r="I986" s="79"/>
      <c r="J986" s="79"/>
    </row>
    <row r="987">
      <c r="C987" s="79"/>
      <c r="D987" s="79"/>
      <c r="E987" s="79"/>
      <c r="F987" s="79"/>
      <c r="G987" s="79"/>
      <c r="H987" s="79"/>
      <c r="I987" s="79"/>
      <c r="J987" s="79"/>
    </row>
    <row r="988">
      <c r="C988" s="79"/>
      <c r="D988" s="79"/>
      <c r="E988" s="79"/>
      <c r="F988" s="79"/>
      <c r="G988" s="79"/>
      <c r="H988" s="79"/>
      <c r="I988" s="79"/>
      <c r="J988" s="79"/>
    </row>
    <row r="989">
      <c r="C989" s="79"/>
      <c r="D989" s="79"/>
      <c r="E989" s="79"/>
      <c r="F989" s="79"/>
      <c r="G989" s="79"/>
      <c r="H989" s="79"/>
      <c r="I989" s="79"/>
      <c r="J989" s="79"/>
    </row>
    <row r="990">
      <c r="C990" s="79"/>
      <c r="D990" s="79"/>
      <c r="E990" s="79"/>
      <c r="F990" s="79"/>
      <c r="G990" s="79"/>
      <c r="H990" s="79"/>
      <c r="I990" s="79"/>
      <c r="J990" s="79"/>
    </row>
    <row r="991">
      <c r="C991" s="79"/>
      <c r="D991" s="79"/>
      <c r="E991" s="79"/>
      <c r="F991" s="79"/>
      <c r="G991" s="79"/>
      <c r="H991" s="79"/>
      <c r="I991" s="79"/>
      <c r="J991" s="79"/>
    </row>
    <row r="992">
      <c r="C992" s="79"/>
      <c r="D992" s="79"/>
      <c r="E992" s="79"/>
      <c r="F992" s="79"/>
      <c r="G992" s="79"/>
      <c r="H992" s="79"/>
      <c r="I992" s="79"/>
      <c r="J992" s="79"/>
    </row>
    <row r="993">
      <c r="C993" s="79"/>
      <c r="D993" s="79"/>
      <c r="E993" s="79"/>
      <c r="F993" s="79"/>
      <c r="G993" s="79"/>
      <c r="H993" s="79"/>
      <c r="I993" s="79"/>
      <c r="J993" s="79"/>
    </row>
    <row r="994">
      <c r="C994" s="79"/>
      <c r="D994" s="79"/>
      <c r="E994" s="79"/>
      <c r="F994" s="79"/>
      <c r="G994" s="79"/>
      <c r="H994" s="79"/>
      <c r="I994" s="79"/>
      <c r="J994" s="79"/>
    </row>
    <row r="995">
      <c r="C995" s="79"/>
      <c r="D995" s="79"/>
      <c r="E995" s="79"/>
      <c r="F995" s="79"/>
      <c r="G995" s="79"/>
      <c r="H995" s="79"/>
      <c r="I995" s="79"/>
      <c r="J995" s="79"/>
    </row>
    <row r="996">
      <c r="C996" s="79"/>
      <c r="D996" s="79"/>
      <c r="E996" s="79"/>
      <c r="F996" s="79"/>
      <c r="G996" s="79"/>
      <c r="H996" s="79"/>
      <c r="I996" s="79"/>
      <c r="J996" s="79"/>
    </row>
    <row r="997">
      <c r="C997" s="79"/>
      <c r="D997" s="79"/>
      <c r="E997" s="79"/>
      <c r="F997" s="79"/>
      <c r="G997" s="79"/>
      <c r="H997" s="79"/>
      <c r="I997" s="79"/>
      <c r="J997" s="79"/>
    </row>
    <row r="998">
      <c r="C998" s="79"/>
      <c r="D998" s="79"/>
      <c r="E998" s="79"/>
      <c r="F998" s="79"/>
      <c r="G998" s="79"/>
      <c r="H998" s="79"/>
      <c r="I998" s="79"/>
      <c r="J998" s="79"/>
    </row>
    <row r="999">
      <c r="C999" s="79"/>
      <c r="D999" s="79"/>
      <c r="E999" s="79"/>
      <c r="F999" s="79"/>
      <c r="G999" s="79"/>
      <c r="H999" s="79"/>
      <c r="I999" s="79"/>
      <c r="J999" s="79"/>
    </row>
    <row r="1000">
      <c r="C1000" s="79"/>
      <c r="D1000" s="79"/>
      <c r="E1000" s="79"/>
      <c r="F1000" s="79"/>
      <c r="G1000" s="79"/>
      <c r="H1000" s="79"/>
      <c r="I1000" s="79"/>
      <c r="J1000" s="79"/>
    </row>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78" t="s">
        <v>426</v>
      </c>
      <c r="B1" s="279" t="s">
        <v>427</v>
      </c>
      <c r="C1" s="279" t="s">
        <v>8</v>
      </c>
      <c r="D1" s="279" t="s">
        <v>5</v>
      </c>
      <c r="E1" s="279" t="s">
        <v>3</v>
      </c>
      <c r="F1" s="279" t="s">
        <v>2</v>
      </c>
      <c r="G1" s="279" t="s">
        <v>3</v>
      </c>
      <c r="H1" s="279" t="s">
        <v>428</v>
      </c>
      <c r="I1" s="279" t="s">
        <v>6</v>
      </c>
      <c r="J1" s="279" t="s">
        <v>429</v>
      </c>
      <c r="K1" s="279" t="s">
        <v>430</v>
      </c>
      <c r="L1" s="279" t="s">
        <v>431</v>
      </c>
      <c r="M1" s="279" t="s">
        <v>432</v>
      </c>
      <c r="N1" s="279" t="s">
        <v>433</v>
      </c>
      <c r="O1" s="279" t="s">
        <v>434</v>
      </c>
      <c r="P1" s="279" t="s">
        <v>435</v>
      </c>
      <c r="Q1" s="279" t="s">
        <v>436</v>
      </c>
      <c r="R1" s="279" t="s">
        <v>437</v>
      </c>
      <c r="S1" s="279" t="s">
        <v>438</v>
      </c>
      <c r="T1" s="279" t="s">
        <v>439</v>
      </c>
      <c r="U1" s="279" t="s">
        <v>440</v>
      </c>
      <c r="V1" s="279" t="s">
        <v>441</v>
      </c>
      <c r="W1" s="279" t="s">
        <v>442</v>
      </c>
      <c r="X1" s="279" t="s">
        <v>443</v>
      </c>
      <c r="Y1" s="279" t="s">
        <v>444</v>
      </c>
      <c r="Z1" s="279" t="s">
        <v>445</v>
      </c>
      <c r="AA1" s="279" t="s">
        <v>446</v>
      </c>
      <c r="AB1" s="279" t="s">
        <v>447</v>
      </c>
      <c r="AC1" s="279" t="s">
        <v>448</v>
      </c>
      <c r="AD1" s="279" t="s">
        <v>449</v>
      </c>
      <c r="AE1" s="279" t="s">
        <v>450</v>
      </c>
      <c r="AF1" s="279" t="s">
        <v>451</v>
      </c>
      <c r="AG1" s="279" t="s">
        <v>452</v>
      </c>
      <c r="AH1" s="279" t="s">
        <v>453</v>
      </c>
      <c r="AI1" s="279" t="s">
        <v>454</v>
      </c>
      <c r="AJ1" s="279" t="s">
        <v>455</v>
      </c>
      <c r="AK1" s="279" t="s">
        <v>456</v>
      </c>
      <c r="AL1" s="279" t="s">
        <v>457</v>
      </c>
      <c r="AM1" s="279" t="s">
        <v>458</v>
      </c>
      <c r="AN1" s="279" t="s">
        <v>459</v>
      </c>
      <c r="AO1" s="279" t="s">
        <v>460</v>
      </c>
      <c r="AP1" s="279" t="s">
        <v>461</v>
      </c>
      <c r="AQ1" s="279" t="s">
        <v>462</v>
      </c>
      <c r="AR1" s="279" t="s">
        <v>463</v>
      </c>
      <c r="AS1" s="279" t="s">
        <v>464</v>
      </c>
      <c r="AT1" s="279" t="s">
        <v>465</v>
      </c>
      <c r="AU1" s="279" t="s">
        <v>466</v>
      </c>
      <c r="AV1" s="279" t="s">
        <v>467</v>
      </c>
      <c r="AW1" s="279" t="s">
        <v>468</v>
      </c>
      <c r="AX1" s="279" t="s">
        <v>469</v>
      </c>
      <c r="AY1" s="279" t="s">
        <v>470</v>
      </c>
      <c r="AZ1" s="279" t="s">
        <v>471</v>
      </c>
      <c r="BA1" s="279" t="s">
        <v>472</v>
      </c>
      <c r="BB1" s="279" t="s">
        <v>473</v>
      </c>
      <c r="BC1" s="279" t="s">
        <v>474</v>
      </c>
      <c r="BD1" s="280" t="s">
        <v>475</v>
      </c>
    </row>
    <row r="2">
      <c r="A2" s="281">
        <v>44797.76612619213</v>
      </c>
      <c r="B2" s="282" t="s">
        <v>375</v>
      </c>
      <c r="C2" s="282">
        <v>2022.0</v>
      </c>
      <c r="D2" s="282" t="s">
        <v>16</v>
      </c>
      <c r="E2" s="282" t="s">
        <v>476</v>
      </c>
      <c r="F2" s="282" t="s">
        <v>14</v>
      </c>
      <c r="G2" s="282" t="s">
        <v>477</v>
      </c>
      <c r="H2" s="282" t="s">
        <v>478</v>
      </c>
      <c r="I2" s="282" t="s">
        <v>17</v>
      </c>
      <c r="J2" s="282">
        <v>11.0</v>
      </c>
      <c r="K2" s="282" t="s">
        <v>479</v>
      </c>
      <c r="L2" s="282" t="s">
        <v>480</v>
      </c>
      <c r="M2" s="282" t="s">
        <v>479</v>
      </c>
      <c r="N2" s="282" t="s">
        <v>481</v>
      </c>
      <c r="O2" s="283"/>
      <c r="P2" s="283"/>
      <c r="Q2" s="283"/>
      <c r="R2" s="282" t="s">
        <v>377</v>
      </c>
      <c r="S2" s="282" t="s">
        <v>377</v>
      </c>
      <c r="T2" s="282" t="s">
        <v>32</v>
      </c>
      <c r="U2" s="282" t="s">
        <v>18</v>
      </c>
      <c r="V2" s="282" t="s">
        <v>32</v>
      </c>
      <c r="W2" s="282" t="s">
        <v>377</v>
      </c>
      <c r="X2" s="282" t="s">
        <v>32</v>
      </c>
      <c r="Y2" s="282" t="s">
        <v>377</v>
      </c>
      <c r="Z2" s="282" t="s">
        <v>377</v>
      </c>
      <c r="AA2" s="282" t="s">
        <v>377</v>
      </c>
      <c r="AB2" s="282" t="s">
        <v>32</v>
      </c>
      <c r="AC2" s="282" t="s">
        <v>32</v>
      </c>
      <c r="AD2" s="282" t="s">
        <v>32</v>
      </c>
      <c r="AE2" s="282" t="s">
        <v>377</v>
      </c>
      <c r="AF2" s="282" t="s">
        <v>32</v>
      </c>
      <c r="AG2" s="282" t="s">
        <v>32</v>
      </c>
      <c r="AH2" s="282" t="s">
        <v>32</v>
      </c>
      <c r="AI2" s="282" t="s">
        <v>377</v>
      </c>
      <c r="AJ2" s="282" t="s">
        <v>377</v>
      </c>
      <c r="AK2" s="282" t="s">
        <v>377</v>
      </c>
      <c r="AL2" s="282" t="s">
        <v>32</v>
      </c>
      <c r="AM2" s="282" t="s">
        <v>32</v>
      </c>
      <c r="AN2" s="282" t="s">
        <v>377</v>
      </c>
      <c r="AO2" s="282" t="s">
        <v>18</v>
      </c>
      <c r="AP2" s="282" t="s">
        <v>18</v>
      </c>
      <c r="AQ2" s="282" t="s">
        <v>18</v>
      </c>
      <c r="AR2" s="282" t="s">
        <v>377</v>
      </c>
      <c r="AS2" s="282" t="s">
        <v>32</v>
      </c>
      <c r="AT2" s="282" t="s">
        <v>32</v>
      </c>
      <c r="AU2" s="282" t="s">
        <v>32</v>
      </c>
      <c r="AV2" s="282" t="s">
        <v>32</v>
      </c>
      <c r="AW2" s="282" t="s">
        <v>32</v>
      </c>
      <c r="AX2" s="282" t="s">
        <v>32</v>
      </c>
      <c r="AY2" s="282" t="s">
        <v>32</v>
      </c>
      <c r="AZ2" s="282" t="s">
        <v>32</v>
      </c>
      <c r="BA2" s="282" t="s">
        <v>32</v>
      </c>
      <c r="BB2" s="282" t="s">
        <v>32</v>
      </c>
      <c r="BC2" s="282" t="s">
        <v>18</v>
      </c>
      <c r="BD2" s="284" t="s">
        <v>32</v>
      </c>
    </row>
    <row r="3">
      <c r="A3" s="281">
        <v>44797.8800590625</v>
      </c>
      <c r="B3" s="282" t="s">
        <v>375</v>
      </c>
      <c r="C3" s="282">
        <v>2022.0</v>
      </c>
      <c r="D3" s="282" t="s">
        <v>16</v>
      </c>
      <c r="E3" s="282" t="s">
        <v>476</v>
      </c>
      <c r="F3" s="282" t="s">
        <v>14</v>
      </c>
      <c r="G3" s="282" t="s">
        <v>477</v>
      </c>
      <c r="H3" s="282" t="s">
        <v>482</v>
      </c>
      <c r="I3" s="282" t="s">
        <v>21</v>
      </c>
      <c r="J3" s="282">
        <v>11.0</v>
      </c>
      <c r="K3" s="282" t="s">
        <v>479</v>
      </c>
      <c r="L3" s="282" t="s">
        <v>480</v>
      </c>
      <c r="M3" s="282" t="s">
        <v>479</v>
      </c>
      <c r="N3" s="282" t="s">
        <v>483</v>
      </c>
      <c r="O3" s="283"/>
      <c r="P3" s="283"/>
      <c r="Q3" s="283"/>
      <c r="R3" s="282" t="s">
        <v>377</v>
      </c>
      <c r="S3" s="282" t="s">
        <v>377</v>
      </c>
      <c r="T3" s="282" t="s">
        <v>377</v>
      </c>
      <c r="U3" s="282" t="s">
        <v>377</v>
      </c>
      <c r="V3" s="282" t="s">
        <v>377</v>
      </c>
      <c r="W3" s="282" t="s">
        <v>18</v>
      </c>
      <c r="X3" s="282" t="s">
        <v>377</v>
      </c>
      <c r="Y3" s="282" t="s">
        <v>377</v>
      </c>
      <c r="Z3" s="282" t="s">
        <v>377</v>
      </c>
      <c r="AA3" s="282" t="s">
        <v>377</v>
      </c>
      <c r="AB3" s="282" t="s">
        <v>377</v>
      </c>
      <c r="AC3" s="282" t="s">
        <v>377</v>
      </c>
      <c r="AD3" s="282" t="s">
        <v>377</v>
      </c>
      <c r="AE3" s="282" t="s">
        <v>377</v>
      </c>
      <c r="AF3" s="282" t="s">
        <v>32</v>
      </c>
      <c r="AG3" s="282" t="s">
        <v>32</v>
      </c>
      <c r="AH3" s="282" t="s">
        <v>377</v>
      </c>
      <c r="AI3" s="282" t="s">
        <v>32</v>
      </c>
      <c r="AJ3" s="282" t="s">
        <v>32</v>
      </c>
      <c r="AK3" s="282" t="s">
        <v>377</v>
      </c>
      <c r="AL3" s="282" t="s">
        <v>32</v>
      </c>
      <c r="AM3" s="282" t="s">
        <v>32</v>
      </c>
      <c r="AN3" s="282" t="s">
        <v>377</v>
      </c>
      <c r="AO3" s="282" t="s">
        <v>377</v>
      </c>
      <c r="AP3" s="282" t="s">
        <v>377</v>
      </c>
      <c r="AQ3" s="282" t="s">
        <v>377</v>
      </c>
      <c r="AR3" s="282" t="s">
        <v>377</v>
      </c>
      <c r="AS3" s="282" t="s">
        <v>32</v>
      </c>
      <c r="AT3" s="282" t="s">
        <v>32</v>
      </c>
      <c r="AU3" s="282" t="s">
        <v>32</v>
      </c>
      <c r="AV3" s="282" t="s">
        <v>32</v>
      </c>
      <c r="AW3" s="282" t="s">
        <v>32</v>
      </c>
      <c r="AX3" s="282" t="s">
        <v>32</v>
      </c>
      <c r="AY3" s="282" t="s">
        <v>32</v>
      </c>
      <c r="AZ3" s="282" t="s">
        <v>32</v>
      </c>
      <c r="BA3" s="282" t="s">
        <v>32</v>
      </c>
      <c r="BB3" s="282" t="s">
        <v>32</v>
      </c>
      <c r="BC3" s="282" t="s">
        <v>32</v>
      </c>
      <c r="BD3" s="284" t="s">
        <v>32</v>
      </c>
    </row>
    <row r="4">
      <c r="A4" s="281">
        <v>44798.40263033565</v>
      </c>
      <c r="B4" s="282" t="s">
        <v>375</v>
      </c>
      <c r="C4" s="282">
        <v>2022.0</v>
      </c>
      <c r="D4" s="282" t="s">
        <v>16</v>
      </c>
      <c r="E4" s="282" t="s">
        <v>476</v>
      </c>
      <c r="F4" s="282" t="s">
        <v>14</v>
      </c>
      <c r="G4" s="282" t="s">
        <v>477</v>
      </c>
      <c r="H4" s="282" t="s">
        <v>484</v>
      </c>
      <c r="I4" s="282" t="s">
        <v>17</v>
      </c>
      <c r="J4" s="282">
        <v>11.0</v>
      </c>
      <c r="K4" s="282" t="s">
        <v>479</v>
      </c>
      <c r="L4" s="282" t="s">
        <v>480</v>
      </c>
      <c r="M4" s="282" t="s">
        <v>479</v>
      </c>
      <c r="N4" s="282" t="s">
        <v>481</v>
      </c>
      <c r="O4" s="283"/>
      <c r="P4" s="283"/>
      <c r="Q4" s="283"/>
      <c r="R4" s="282" t="s">
        <v>377</v>
      </c>
      <c r="S4" s="282" t="s">
        <v>377</v>
      </c>
      <c r="T4" s="282" t="s">
        <v>18</v>
      </c>
      <c r="U4" s="282" t="s">
        <v>32</v>
      </c>
      <c r="V4" s="282" t="s">
        <v>32</v>
      </c>
      <c r="W4" s="282" t="s">
        <v>377</v>
      </c>
      <c r="X4" s="282" t="s">
        <v>32</v>
      </c>
      <c r="Y4" s="282" t="s">
        <v>32</v>
      </c>
      <c r="Z4" s="282" t="s">
        <v>32</v>
      </c>
      <c r="AA4" s="282" t="s">
        <v>32</v>
      </c>
      <c r="AB4" s="282" t="s">
        <v>377</v>
      </c>
      <c r="AC4" s="282" t="s">
        <v>377</v>
      </c>
      <c r="AD4" s="282" t="s">
        <v>377</v>
      </c>
      <c r="AE4" s="282" t="s">
        <v>377</v>
      </c>
      <c r="AF4" s="282" t="s">
        <v>32</v>
      </c>
      <c r="AG4" s="282" t="s">
        <v>377</v>
      </c>
      <c r="AH4" s="282" t="s">
        <v>32</v>
      </c>
      <c r="AI4" s="282" t="s">
        <v>32</v>
      </c>
      <c r="AJ4" s="282" t="s">
        <v>32</v>
      </c>
      <c r="AK4" s="282" t="s">
        <v>377</v>
      </c>
      <c r="AL4" s="282" t="s">
        <v>377</v>
      </c>
      <c r="AM4" s="282" t="s">
        <v>32</v>
      </c>
      <c r="AN4" s="282" t="s">
        <v>18</v>
      </c>
      <c r="AO4" s="282" t="s">
        <v>18</v>
      </c>
      <c r="AP4" s="282" t="s">
        <v>18</v>
      </c>
      <c r="AQ4" s="282" t="s">
        <v>18</v>
      </c>
      <c r="AR4" s="282" t="s">
        <v>377</v>
      </c>
      <c r="AS4" s="282" t="s">
        <v>377</v>
      </c>
      <c r="AT4" s="282" t="s">
        <v>18</v>
      </c>
      <c r="AU4" s="282" t="s">
        <v>377</v>
      </c>
      <c r="AV4" s="282" t="s">
        <v>377</v>
      </c>
      <c r="AW4" s="282" t="s">
        <v>377</v>
      </c>
      <c r="AX4" s="282" t="s">
        <v>18</v>
      </c>
      <c r="AY4" s="282" t="s">
        <v>377</v>
      </c>
      <c r="AZ4" s="282" t="s">
        <v>377</v>
      </c>
      <c r="BA4" s="282" t="s">
        <v>377</v>
      </c>
      <c r="BB4" s="282" t="s">
        <v>32</v>
      </c>
      <c r="BC4" s="282" t="s">
        <v>32</v>
      </c>
      <c r="BD4" s="284" t="s">
        <v>377</v>
      </c>
    </row>
    <row r="5">
      <c r="A5" s="281">
        <v>44798.43847543982</v>
      </c>
      <c r="B5" s="282" t="s">
        <v>375</v>
      </c>
      <c r="C5" s="282">
        <v>2022.0</v>
      </c>
      <c r="D5" s="282" t="s">
        <v>16</v>
      </c>
      <c r="E5" s="282" t="s">
        <v>476</v>
      </c>
      <c r="F5" s="282" t="s">
        <v>14</v>
      </c>
      <c r="G5" s="282" t="s">
        <v>477</v>
      </c>
      <c r="H5" s="282" t="s">
        <v>485</v>
      </c>
      <c r="I5" s="282" t="s">
        <v>17</v>
      </c>
      <c r="J5" s="282">
        <v>11.0</v>
      </c>
      <c r="K5" s="282" t="s">
        <v>479</v>
      </c>
      <c r="L5" s="282" t="s">
        <v>480</v>
      </c>
      <c r="M5" s="282" t="s">
        <v>479</v>
      </c>
      <c r="N5" s="282" t="s">
        <v>483</v>
      </c>
      <c r="O5" s="283"/>
      <c r="P5" s="283"/>
      <c r="Q5" s="283"/>
      <c r="R5" s="282" t="s">
        <v>377</v>
      </c>
      <c r="S5" s="282" t="s">
        <v>377</v>
      </c>
      <c r="T5" s="282" t="s">
        <v>377</v>
      </c>
      <c r="U5" s="282" t="s">
        <v>377</v>
      </c>
      <c r="V5" s="282" t="s">
        <v>377</v>
      </c>
      <c r="W5" s="282" t="s">
        <v>377</v>
      </c>
      <c r="X5" s="282" t="s">
        <v>377</v>
      </c>
      <c r="Y5" s="282" t="s">
        <v>32</v>
      </c>
      <c r="Z5" s="282" t="s">
        <v>32</v>
      </c>
      <c r="AA5" s="282" t="s">
        <v>377</v>
      </c>
      <c r="AB5" s="282" t="s">
        <v>18</v>
      </c>
      <c r="AC5" s="282" t="s">
        <v>18</v>
      </c>
      <c r="AD5" s="282" t="s">
        <v>18</v>
      </c>
      <c r="AE5" s="282" t="s">
        <v>377</v>
      </c>
      <c r="AF5" s="282" t="s">
        <v>32</v>
      </c>
      <c r="AG5" s="282" t="s">
        <v>377</v>
      </c>
      <c r="AH5" s="282" t="s">
        <v>32</v>
      </c>
      <c r="AI5" s="282" t="s">
        <v>377</v>
      </c>
      <c r="AJ5" s="282" t="s">
        <v>377</v>
      </c>
      <c r="AK5" s="282" t="s">
        <v>18</v>
      </c>
      <c r="AL5" s="282" t="s">
        <v>377</v>
      </c>
      <c r="AM5" s="282" t="s">
        <v>377</v>
      </c>
      <c r="AN5" s="282" t="s">
        <v>377</v>
      </c>
      <c r="AO5" s="282" t="s">
        <v>377</v>
      </c>
      <c r="AP5" s="282" t="s">
        <v>377</v>
      </c>
      <c r="AQ5" s="282" t="s">
        <v>377</v>
      </c>
      <c r="AR5" s="282" t="s">
        <v>377</v>
      </c>
      <c r="AS5" s="282" t="s">
        <v>32</v>
      </c>
      <c r="AT5" s="282" t="s">
        <v>377</v>
      </c>
      <c r="AU5" s="282" t="s">
        <v>32</v>
      </c>
      <c r="AV5" s="282" t="s">
        <v>32</v>
      </c>
      <c r="AW5" s="282" t="s">
        <v>32</v>
      </c>
      <c r="AX5" s="282" t="s">
        <v>32</v>
      </c>
      <c r="AY5" s="282" t="s">
        <v>377</v>
      </c>
      <c r="AZ5" s="282" t="s">
        <v>377</v>
      </c>
      <c r="BA5" s="282" t="s">
        <v>377</v>
      </c>
      <c r="BB5" s="282" t="s">
        <v>32</v>
      </c>
      <c r="BC5" s="282" t="s">
        <v>32</v>
      </c>
      <c r="BD5" s="284" t="s">
        <v>32</v>
      </c>
    </row>
    <row r="6">
      <c r="A6" s="281">
        <v>44789.802502453706</v>
      </c>
      <c r="B6" s="282" t="s">
        <v>486</v>
      </c>
      <c r="C6" s="282">
        <v>2022.0</v>
      </c>
      <c r="D6" s="282" t="s">
        <v>16</v>
      </c>
      <c r="E6" s="282" t="s">
        <v>476</v>
      </c>
      <c r="F6" s="282" t="s">
        <v>14</v>
      </c>
      <c r="G6" s="282" t="s">
        <v>477</v>
      </c>
      <c r="H6" s="282" t="s">
        <v>487</v>
      </c>
      <c r="I6" s="282" t="s">
        <v>17</v>
      </c>
      <c r="J6" s="282">
        <v>12.0</v>
      </c>
      <c r="K6" s="282" t="s">
        <v>479</v>
      </c>
      <c r="L6" s="282" t="s">
        <v>480</v>
      </c>
      <c r="M6" s="282" t="s">
        <v>479</v>
      </c>
      <c r="N6" s="282" t="s">
        <v>481</v>
      </c>
      <c r="O6" s="283"/>
      <c r="P6" s="283"/>
      <c r="Q6" s="283"/>
      <c r="R6" s="282" t="s">
        <v>377</v>
      </c>
      <c r="S6" s="282" t="s">
        <v>377</v>
      </c>
      <c r="T6" s="282" t="s">
        <v>377</v>
      </c>
      <c r="U6" s="282" t="s">
        <v>377</v>
      </c>
      <c r="V6" s="282" t="s">
        <v>32</v>
      </c>
      <c r="W6" s="282" t="s">
        <v>377</v>
      </c>
      <c r="X6" s="282" t="s">
        <v>32</v>
      </c>
      <c r="Y6" s="282" t="s">
        <v>32</v>
      </c>
      <c r="Z6" s="282" t="s">
        <v>32</v>
      </c>
      <c r="AA6" s="282" t="s">
        <v>377</v>
      </c>
      <c r="AB6" s="282" t="s">
        <v>377</v>
      </c>
      <c r="AC6" s="282" t="s">
        <v>377</v>
      </c>
      <c r="AD6" s="282" t="s">
        <v>377</v>
      </c>
      <c r="AE6" s="282" t="s">
        <v>377</v>
      </c>
      <c r="AF6" s="282" t="s">
        <v>32</v>
      </c>
      <c r="AG6" s="282" t="s">
        <v>377</v>
      </c>
      <c r="AH6" s="282" t="s">
        <v>32</v>
      </c>
      <c r="AI6" s="282" t="s">
        <v>377</v>
      </c>
      <c r="AJ6" s="282" t="s">
        <v>18</v>
      </c>
      <c r="AK6" s="282" t="s">
        <v>377</v>
      </c>
      <c r="AL6" s="282" t="s">
        <v>32</v>
      </c>
      <c r="AM6" s="282" t="s">
        <v>32</v>
      </c>
      <c r="AN6" s="282" t="s">
        <v>32</v>
      </c>
      <c r="AO6" s="282" t="s">
        <v>377</v>
      </c>
      <c r="AP6" s="282" t="s">
        <v>377</v>
      </c>
      <c r="AQ6" s="282" t="s">
        <v>377</v>
      </c>
      <c r="AR6" s="282" t="s">
        <v>377</v>
      </c>
      <c r="AS6" s="282" t="s">
        <v>32</v>
      </c>
      <c r="AT6" s="282" t="s">
        <v>32</v>
      </c>
      <c r="AU6" s="282" t="s">
        <v>377</v>
      </c>
      <c r="AV6" s="282" t="s">
        <v>32</v>
      </c>
      <c r="AW6" s="282" t="s">
        <v>32</v>
      </c>
      <c r="AX6" s="282" t="s">
        <v>32</v>
      </c>
      <c r="AY6" s="282" t="s">
        <v>32</v>
      </c>
      <c r="AZ6" s="282" t="s">
        <v>32</v>
      </c>
      <c r="BA6" s="282" t="s">
        <v>377</v>
      </c>
      <c r="BB6" s="282" t="s">
        <v>18</v>
      </c>
      <c r="BC6" s="282" t="s">
        <v>32</v>
      </c>
      <c r="BD6" s="284" t="s">
        <v>32</v>
      </c>
    </row>
    <row r="7">
      <c r="A7" s="281">
        <v>44797.47860402778</v>
      </c>
      <c r="B7" s="282" t="s">
        <v>375</v>
      </c>
      <c r="C7" s="282">
        <v>2022.0</v>
      </c>
      <c r="D7" s="282" t="s">
        <v>16</v>
      </c>
      <c r="E7" s="282" t="s">
        <v>476</v>
      </c>
      <c r="F7" s="282" t="s">
        <v>14</v>
      </c>
      <c r="G7" s="282" t="s">
        <v>477</v>
      </c>
      <c r="H7" s="282" t="s">
        <v>488</v>
      </c>
      <c r="I7" s="282" t="s">
        <v>17</v>
      </c>
      <c r="J7" s="282">
        <v>12.0</v>
      </c>
      <c r="K7" s="282" t="s">
        <v>479</v>
      </c>
      <c r="L7" s="282" t="s">
        <v>489</v>
      </c>
      <c r="M7" s="282" t="s">
        <v>479</v>
      </c>
      <c r="N7" s="282" t="s">
        <v>490</v>
      </c>
      <c r="O7" s="283"/>
      <c r="P7" s="283"/>
      <c r="Q7" s="283"/>
      <c r="R7" s="282" t="s">
        <v>377</v>
      </c>
      <c r="S7" s="282" t="s">
        <v>377</v>
      </c>
      <c r="T7" s="282" t="s">
        <v>377</v>
      </c>
      <c r="U7" s="282" t="s">
        <v>377</v>
      </c>
      <c r="V7" s="282" t="s">
        <v>32</v>
      </c>
      <c r="W7" s="282" t="s">
        <v>377</v>
      </c>
      <c r="X7" s="282" t="s">
        <v>32</v>
      </c>
      <c r="Y7" s="282" t="s">
        <v>32</v>
      </c>
      <c r="Z7" s="282" t="s">
        <v>32</v>
      </c>
      <c r="AA7" s="282" t="s">
        <v>32</v>
      </c>
      <c r="AB7" s="282" t="s">
        <v>377</v>
      </c>
      <c r="AC7" s="282" t="s">
        <v>377</v>
      </c>
      <c r="AD7" s="282" t="s">
        <v>18</v>
      </c>
      <c r="AE7" s="282" t="s">
        <v>377</v>
      </c>
      <c r="AF7" s="282" t="s">
        <v>32</v>
      </c>
      <c r="AG7" s="282" t="s">
        <v>377</v>
      </c>
      <c r="AH7" s="282" t="s">
        <v>32</v>
      </c>
      <c r="AI7" s="282" t="s">
        <v>377</v>
      </c>
      <c r="AJ7" s="282" t="s">
        <v>377</v>
      </c>
      <c r="AK7" s="282" t="s">
        <v>377</v>
      </c>
      <c r="AL7" s="282" t="s">
        <v>32</v>
      </c>
      <c r="AM7" s="282" t="s">
        <v>377</v>
      </c>
      <c r="AN7" s="282" t="s">
        <v>32</v>
      </c>
      <c r="AO7" s="282" t="s">
        <v>377</v>
      </c>
      <c r="AP7" s="282" t="s">
        <v>377</v>
      </c>
      <c r="AQ7" s="282" t="s">
        <v>18</v>
      </c>
      <c r="AR7" s="282" t="s">
        <v>377</v>
      </c>
      <c r="AS7" s="282" t="s">
        <v>32</v>
      </c>
      <c r="AT7" s="282" t="s">
        <v>32</v>
      </c>
      <c r="AU7" s="282" t="s">
        <v>32</v>
      </c>
      <c r="AV7" s="282" t="s">
        <v>32</v>
      </c>
      <c r="AW7" s="282" t="s">
        <v>32</v>
      </c>
      <c r="AX7" s="282" t="s">
        <v>377</v>
      </c>
      <c r="AY7" s="282" t="s">
        <v>32</v>
      </c>
      <c r="AZ7" s="282" t="s">
        <v>32</v>
      </c>
      <c r="BA7" s="282" t="s">
        <v>377</v>
      </c>
      <c r="BB7" s="282" t="s">
        <v>377</v>
      </c>
      <c r="BC7" s="282" t="s">
        <v>32</v>
      </c>
      <c r="BD7" s="284" t="s">
        <v>32</v>
      </c>
    </row>
    <row r="8">
      <c r="A8" s="281">
        <v>44797.7566358912</v>
      </c>
      <c r="B8" s="282" t="s">
        <v>375</v>
      </c>
      <c r="C8" s="282">
        <v>2022.0</v>
      </c>
      <c r="D8" s="282" t="s">
        <v>16</v>
      </c>
      <c r="E8" s="282" t="s">
        <v>476</v>
      </c>
      <c r="F8" s="282" t="s">
        <v>14</v>
      </c>
      <c r="G8" s="282" t="s">
        <v>477</v>
      </c>
      <c r="H8" s="282" t="s">
        <v>491</v>
      </c>
      <c r="I8" s="282" t="s">
        <v>17</v>
      </c>
      <c r="J8" s="282">
        <v>12.0</v>
      </c>
      <c r="K8" s="282" t="s">
        <v>479</v>
      </c>
      <c r="L8" s="282" t="s">
        <v>492</v>
      </c>
      <c r="M8" s="282" t="s">
        <v>479</v>
      </c>
      <c r="N8" s="282" t="s">
        <v>481</v>
      </c>
      <c r="O8" s="283"/>
      <c r="P8" s="283"/>
      <c r="Q8" s="283"/>
      <c r="R8" s="282" t="s">
        <v>377</v>
      </c>
      <c r="S8" s="282" t="s">
        <v>377</v>
      </c>
      <c r="T8" s="282" t="s">
        <v>32</v>
      </c>
      <c r="U8" s="282" t="s">
        <v>18</v>
      </c>
      <c r="V8" s="282" t="s">
        <v>377</v>
      </c>
      <c r="W8" s="282" t="s">
        <v>18</v>
      </c>
      <c r="X8" s="282" t="s">
        <v>32</v>
      </c>
      <c r="Y8" s="282" t="s">
        <v>377</v>
      </c>
      <c r="Z8" s="282" t="s">
        <v>377</v>
      </c>
      <c r="AA8" s="282" t="s">
        <v>18</v>
      </c>
      <c r="AB8" s="282" t="s">
        <v>377</v>
      </c>
      <c r="AC8" s="282" t="s">
        <v>32</v>
      </c>
      <c r="AD8" s="282" t="s">
        <v>18</v>
      </c>
      <c r="AE8" s="282" t="s">
        <v>377</v>
      </c>
      <c r="AF8" s="282" t="s">
        <v>32</v>
      </c>
      <c r="AG8" s="282" t="s">
        <v>377</v>
      </c>
      <c r="AH8" s="282" t="s">
        <v>32</v>
      </c>
      <c r="AI8" s="282" t="s">
        <v>377</v>
      </c>
      <c r="AJ8" s="282" t="s">
        <v>18</v>
      </c>
      <c r="AK8" s="282" t="s">
        <v>377</v>
      </c>
      <c r="AL8" s="282" t="s">
        <v>377</v>
      </c>
      <c r="AM8" s="282" t="s">
        <v>377</v>
      </c>
      <c r="AN8" s="282" t="s">
        <v>18</v>
      </c>
      <c r="AO8" s="282" t="s">
        <v>18</v>
      </c>
      <c r="AP8" s="282" t="s">
        <v>18</v>
      </c>
      <c r="AQ8" s="282" t="s">
        <v>18</v>
      </c>
      <c r="AR8" s="282" t="s">
        <v>377</v>
      </c>
      <c r="AS8" s="282" t="s">
        <v>32</v>
      </c>
      <c r="AT8" s="282" t="s">
        <v>32</v>
      </c>
      <c r="AU8" s="282" t="s">
        <v>32</v>
      </c>
      <c r="AV8" s="282" t="s">
        <v>32</v>
      </c>
      <c r="AW8" s="282" t="s">
        <v>32</v>
      </c>
      <c r="AX8" s="282" t="s">
        <v>32</v>
      </c>
      <c r="AY8" s="282" t="s">
        <v>32</v>
      </c>
      <c r="AZ8" s="282" t="s">
        <v>32</v>
      </c>
      <c r="BA8" s="282" t="s">
        <v>32</v>
      </c>
      <c r="BB8" s="282" t="s">
        <v>377</v>
      </c>
      <c r="BC8" s="282" t="s">
        <v>32</v>
      </c>
      <c r="BD8" s="284" t="s">
        <v>32</v>
      </c>
    </row>
    <row r="9">
      <c r="A9" s="281">
        <v>44789.81928340278</v>
      </c>
      <c r="B9" s="282" t="s">
        <v>486</v>
      </c>
      <c r="C9" s="282">
        <v>2022.0</v>
      </c>
      <c r="D9" s="282" t="s">
        <v>16</v>
      </c>
      <c r="E9" s="282" t="s">
        <v>476</v>
      </c>
      <c r="F9" s="282" t="s">
        <v>14</v>
      </c>
      <c r="G9" s="282" t="s">
        <v>477</v>
      </c>
      <c r="H9" s="282" t="s">
        <v>493</v>
      </c>
      <c r="I9" s="282" t="s">
        <v>17</v>
      </c>
      <c r="J9" s="282">
        <v>12.0</v>
      </c>
      <c r="K9" s="282" t="s">
        <v>479</v>
      </c>
      <c r="L9" s="282" t="s">
        <v>494</v>
      </c>
      <c r="M9" s="282" t="s">
        <v>479</v>
      </c>
      <c r="N9" s="282" t="s">
        <v>495</v>
      </c>
      <c r="O9" s="283"/>
      <c r="P9" s="283"/>
      <c r="Q9" s="283"/>
      <c r="R9" s="282" t="s">
        <v>377</v>
      </c>
      <c r="S9" s="282" t="s">
        <v>377</v>
      </c>
      <c r="T9" s="282" t="s">
        <v>377</v>
      </c>
      <c r="U9" s="282" t="s">
        <v>377</v>
      </c>
      <c r="V9" s="282" t="s">
        <v>377</v>
      </c>
      <c r="W9" s="282" t="s">
        <v>377</v>
      </c>
      <c r="X9" s="282" t="s">
        <v>18</v>
      </c>
      <c r="Y9" s="282" t="s">
        <v>32</v>
      </c>
      <c r="Z9" s="282" t="s">
        <v>32</v>
      </c>
      <c r="AA9" s="282" t="s">
        <v>377</v>
      </c>
      <c r="AB9" s="282" t="s">
        <v>377</v>
      </c>
      <c r="AC9" s="282" t="s">
        <v>377</v>
      </c>
      <c r="AD9" s="282" t="s">
        <v>18</v>
      </c>
      <c r="AE9" s="282" t="s">
        <v>377</v>
      </c>
      <c r="AF9" s="282" t="s">
        <v>377</v>
      </c>
      <c r="AG9" s="282" t="s">
        <v>377</v>
      </c>
      <c r="AH9" s="282" t="s">
        <v>18</v>
      </c>
      <c r="AI9" s="282" t="s">
        <v>377</v>
      </c>
      <c r="AJ9" s="282" t="s">
        <v>377</v>
      </c>
      <c r="AK9" s="282" t="s">
        <v>377</v>
      </c>
      <c r="AL9" s="282" t="s">
        <v>377</v>
      </c>
      <c r="AM9" s="282" t="s">
        <v>377</v>
      </c>
      <c r="AN9" s="282" t="s">
        <v>377</v>
      </c>
      <c r="AO9" s="282" t="s">
        <v>377</v>
      </c>
      <c r="AP9" s="282" t="s">
        <v>377</v>
      </c>
      <c r="AQ9" s="282" t="s">
        <v>377</v>
      </c>
      <c r="AR9" s="282" t="s">
        <v>32</v>
      </c>
      <c r="AS9" s="282" t="s">
        <v>377</v>
      </c>
      <c r="AT9" s="282" t="s">
        <v>377</v>
      </c>
      <c r="AU9" s="282" t="s">
        <v>377</v>
      </c>
      <c r="AV9" s="282" t="s">
        <v>377</v>
      </c>
      <c r="AW9" s="282" t="s">
        <v>377</v>
      </c>
      <c r="AX9" s="282" t="s">
        <v>377</v>
      </c>
      <c r="AY9" s="282" t="s">
        <v>377</v>
      </c>
      <c r="AZ9" s="282" t="s">
        <v>377</v>
      </c>
      <c r="BA9" s="282" t="s">
        <v>377</v>
      </c>
      <c r="BB9" s="282" t="s">
        <v>32</v>
      </c>
      <c r="BC9" s="282" t="s">
        <v>18</v>
      </c>
      <c r="BD9" s="284" t="s">
        <v>377</v>
      </c>
    </row>
    <row r="10">
      <c r="A10" s="281">
        <v>44797.42944774305</v>
      </c>
      <c r="B10" s="282" t="s">
        <v>375</v>
      </c>
      <c r="C10" s="282">
        <v>2022.0</v>
      </c>
      <c r="D10" s="282" t="s">
        <v>16</v>
      </c>
      <c r="E10" s="282" t="s">
        <v>476</v>
      </c>
      <c r="F10" s="282" t="s">
        <v>14</v>
      </c>
      <c r="G10" s="282" t="s">
        <v>477</v>
      </c>
      <c r="H10" s="282" t="s">
        <v>496</v>
      </c>
      <c r="I10" s="282" t="s">
        <v>21</v>
      </c>
      <c r="J10" s="282">
        <v>11.0</v>
      </c>
      <c r="K10" s="282" t="s">
        <v>497</v>
      </c>
      <c r="L10" s="282" t="s">
        <v>498</v>
      </c>
      <c r="M10" s="282" t="s">
        <v>479</v>
      </c>
      <c r="N10" s="282" t="s">
        <v>483</v>
      </c>
      <c r="O10" s="283"/>
      <c r="P10" s="283"/>
      <c r="Q10" s="283"/>
      <c r="R10" s="282" t="s">
        <v>377</v>
      </c>
      <c r="S10" s="282" t="s">
        <v>377</v>
      </c>
      <c r="T10" s="282" t="s">
        <v>18</v>
      </c>
      <c r="U10" s="282" t="s">
        <v>32</v>
      </c>
      <c r="V10" s="282" t="s">
        <v>377</v>
      </c>
      <c r="W10" s="282" t="s">
        <v>18</v>
      </c>
      <c r="X10" s="282" t="s">
        <v>32</v>
      </c>
      <c r="Y10" s="282" t="s">
        <v>18</v>
      </c>
      <c r="Z10" s="282" t="s">
        <v>18</v>
      </c>
      <c r="AA10" s="282" t="s">
        <v>18</v>
      </c>
      <c r="AB10" s="282" t="s">
        <v>377</v>
      </c>
      <c r="AC10" s="282" t="s">
        <v>32</v>
      </c>
      <c r="AD10" s="282" t="s">
        <v>18</v>
      </c>
      <c r="AE10" s="282" t="s">
        <v>18</v>
      </c>
      <c r="AF10" s="282" t="s">
        <v>18</v>
      </c>
      <c r="AG10" s="282" t="s">
        <v>18</v>
      </c>
      <c r="AH10" s="282" t="s">
        <v>18</v>
      </c>
      <c r="AI10" s="282" t="s">
        <v>18</v>
      </c>
      <c r="AJ10" s="282" t="s">
        <v>18</v>
      </c>
      <c r="AK10" s="282" t="s">
        <v>18</v>
      </c>
      <c r="AL10" s="282" t="s">
        <v>18</v>
      </c>
      <c r="AM10" s="282" t="s">
        <v>18</v>
      </c>
      <c r="AN10" s="282" t="s">
        <v>18</v>
      </c>
      <c r="AO10" s="282" t="s">
        <v>18</v>
      </c>
      <c r="AP10" s="282" t="s">
        <v>18</v>
      </c>
      <c r="AQ10" s="282" t="s">
        <v>18</v>
      </c>
      <c r="AR10" s="282" t="s">
        <v>377</v>
      </c>
      <c r="AS10" s="282" t="s">
        <v>377</v>
      </c>
      <c r="AT10" s="282" t="s">
        <v>18</v>
      </c>
      <c r="AU10" s="282" t="s">
        <v>32</v>
      </c>
      <c r="AV10" s="282" t="s">
        <v>32</v>
      </c>
      <c r="AW10" s="282" t="s">
        <v>32</v>
      </c>
      <c r="AX10" s="282" t="s">
        <v>32</v>
      </c>
      <c r="AY10" s="282" t="s">
        <v>18</v>
      </c>
      <c r="AZ10" s="282" t="s">
        <v>18</v>
      </c>
      <c r="BA10" s="282" t="s">
        <v>18</v>
      </c>
      <c r="BB10" s="282" t="s">
        <v>377</v>
      </c>
      <c r="BC10" s="282" t="s">
        <v>377</v>
      </c>
      <c r="BD10" s="284" t="s">
        <v>18</v>
      </c>
    </row>
    <row r="11">
      <c r="A11" s="281">
        <v>44797.4887918287</v>
      </c>
      <c r="B11" s="282" t="s">
        <v>375</v>
      </c>
      <c r="C11" s="282">
        <v>2022.0</v>
      </c>
      <c r="D11" s="282" t="s">
        <v>16</v>
      </c>
      <c r="E11" s="282" t="s">
        <v>476</v>
      </c>
      <c r="F11" s="282" t="s">
        <v>14</v>
      </c>
      <c r="G11" s="282" t="s">
        <v>477</v>
      </c>
      <c r="H11" s="282" t="s">
        <v>499</v>
      </c>
      <c r="I11" s="282" t="s">
        <v>21</v>
      </c>
      <c r="J11" s="282">
        <v>11.0</v>
      </c>
      <c r="K11" s="282" t="s">
        <v>497</v>
      </c>
      <c r="L11" s="282" t="s">
        <v>498</v>
      </c>
      <c r="M11" s="282" t="s">
        <v>479</v>
      </c>
      <c r="N11" s="282" t="s">
        <v>500</v>
      </c>
      <c r="O11" s="283"/>
      <c r="P11" s="283"/>
      <c r="Q11" s="283"/>
      <c r="R11" s="282" t="s">
        <v>377</v>
      </c>
      <c r="S11" s="282" t="s">
        <v>377</v>
      </c>
      <c r="T11" s="282" t="s">
        <v>377</v>
      </c>
      <c r="U11" s="282" t="s">
        <v>377</v>
      </c>
      <c r="V11" s="282" t="s">
        <v>377</v>
      </c>
      <c r="W11" s="282" t="s">
        <v>18</v>
      </c>
      <c r="X11" s="282" t="s">
        <v>377</v>
      </c>
      <c r="Y11" s="282" t="s">
        <v>377</v>
      </c>
      <c r="Z11" s="282" t="s">
        <v>18</v>
      </c>
      <c r="AA11" s="282" t="s">
        <v>377</v>
      </c>
      <c r="AB11" s="282" t="s">
        <v>18</v>
      </c>
      <c r="AC11" s="282" t="s">
        <v>18</v>
      </c>
      <c r="AD11" s="282" t="s">
        <v>18</v>
      </c>
      <c r="AE11" s="282" t="s">
        <v>18</v>
      </c>
      <c r="AF11" s="282" t="s">
        <v>18</v>
      </c>
      <c r="AG11" s="282" t="s">
        <v>18</v>
      </c>
      <c r="AH11" s="282" t="s">
        <v>18</v>
      </c>
      <c r="AI11" s="282" t="s">
        <v>377</v>
      </c>
      <c r="AJ11" s="282" t="s">
        <v>377</v>
      </c>
      <c r="AK11" s="282" t="s">
        <v>18</v>
      </c>
      <c r="AL11" s="282" t="s">
        <v>18</v>
      </c>
      <c r="AM11" s="282" t="s">
        <v>18</v>
      </c>
      <c r="AN11" s="282" t="s">
        <v>18</v>
      </c>
      <c r="AO11" s="282" t="s">
        <v>18</v>
      </c>
      <c r="AP11" s="282" t="s">
        <v>18</v>
      </c>
      <c r="AQ11" s="282" t="s">
        <v>18</v>
      </c>
      <c r="AR11" s="282" t="s">
        <v>32</v>
      </c>
      <c r="AS11" s="282" t="s">
        <v>18</v>
      </c>
      <c r="AT11" s="282" t="s">
        <v>18</v>
      </c>
      <c r="AU11" s="282" t="s">
        <v>18</v>
      </c>
      <c r="AV11" s="282" t="s">
        <v>377</v>
      </c>
      <c r="AW11" s="282" t="s">
        <v>377</v>
      </c>
      <c r="AX11" s="282" t="s">
        <v>377</v>
      </c>
      <c r="AY11" s="282" t="s">
        <v>18</v>
      </c>
      <c r="AZ11" s="282" t="s">
        <v>18</v>
      </c>
      <c r="BA11" s="282" t="s">
        <v>18</v>
      </c>
      <c r="BB11" s="282" t="s">
        <v>377</v>
      </c>
      <c r="BC11" s="282" t="s">
        <v>32</v>
      </c>
      <c r="BD11" s="284" t="s">
        <v>18</v>
      </c>
    </row>
    <row r="12">
      <c r="A12" s="281">
        <v>44798.42342391204</v>
      </c>
      <c r="B12" s="282" t="s">
        <v>375</v>
      </c>
      <c r="C12" s="282">
        <v>2022.0</v>
      </c>
      <c r="D12" s="282" t="s">
        <v>16</v>
      </c>
      <c r="E12" s="282" t="s">
        <v>476</v>
      </c>
      <c r="F12" s="282" t="s">
        <v>14</v>
      </c>
      <c r="G12" s="282" t="s">
        <v>477</v>
      </c>
      <c r="H12" s="282" t="s">
        <v>501</v>
      </c>
      <c r="I12" s="282" t="s">
        <v>17</v>
      </c>
      <c r="J12" s="282">
        <v>11.0</v>
      </c>
      <c r="K12" s="282" t="s">
        <v>497</v>
      </c>
      <c r="L12" s="282" t="s">
        <v>498</v>
      </c>
      <c r="M12" s="282" t="s">
        <v>479</v>
      </c>
      <c r="N12" s="282" t="s">
        <v>481</v>
      </c>
      <c r="O12" s="283"/>
      <c r="P12" s="283"/>
      <c r="Q12" s="283"/>
      <c r="R12" s="282" t="s">
        <v>377</v>
      </c>
      <c r="S12" s="282" t="s">
        <v>377</v>
      </c>
      <c r="T12" s="282" t="s">
        <v>377</v>
      </c>
      <c r="U12" s="282" t="s">
        <v>377</v>
      </c>
      <c r="V12" s="282" t="s">
        <v>377</v>
      </c>
      <c r="W12" s="282" t="s">
        <v>18</v>
      </c>
      <c r="X12" s="282" t="s">
        <v>32</v>
      </c>
      <c r="Y12" s="282" t="s">
        <v>18</v>
      </c>
      <c r="Z12" s="282" t="s">
        <v>18</v>
      </c>
      <c r="AA12" s="282" t="s">
        <v>18</v>
      </c>
      <c r="AB12" s="282" t="s">
        <v>377</v>
      </c>
      <c r="AC12" s="282" t="s">
        <v>377</v>
      </c>
      <c r="AD12" s="282" t="s">
        <v>18</v>
      </c>
      <c r="AE12" s="282" t="s">
        <v>377</v>
      </c>
      <c r="AF12" s="282" t="s">
        <v>32</v>
      </c>
      <c r="AG12" s="282" t="s">
        <v>377</v>
      </c>
      <c r="AH12" s="282" t="s">
        <v>32</v>
      </c>
      <c r="AI12" s="282" t="s">
        <v>377</v>
      </c>
      <c r="AJ12" s="282" t="s">
        <v>377</v>
      </c>
      <c r="AK12" s="282" t="s">
        <v>377</v>
      </c>
      <c r="AL12" s="282" t="s">
        <v>377</v>
      </c>
      <c r="AM12" s="282" t="s">
        <v>377</v>
      </c>
      <c r="AN12" s="282" t="s">
        <v>377</v>
      </c>
      <c r="AO12" s="282" t="s">
        <v>18</v>
      </c>
      <c r="AP12" s="282" t="s">
        <v>18</v>
      </c>
      <c r="AQ12" s="282" t="s">
        <v>18</v>
      </c>
      <c r="AR12" s="282" t="s">
        <v>32</v>
      </c>
      <c r="AS12" s="282" t="s">
        <v>32</v>
      </c>
      <c r="AT12" s="282" t="s">
        <v>32</v>
      </c>
      <c r="AU12" s="282" t="s">
        <v>32</v>
      </c>
      <c r="AV12" s="282" t="s">
        <v>32</v>
      </c>
      <c r="AW12" s="282" t="s">
        <v>32</v>
      </c>
      <c r="AX12" s="282" t="s">
        <v>32</v>
      </c>
      <c r="AY12" s="282" t="s">
        <v>377</v>
      </c>
      <c r="AZ12" s="282" t="s">
        <v>377</v>
      </c>
      <c r="BA12" s="282" t="s">
        <v>377</v>
      </c>
      <c r="BB12" s="282" t="s">
        <v>377</v>
      </c>
      <c r="BC12" s="282" t="s">
        <v>377</v>
      </c>
      <c r="BD12" s="284" t="s">
        <v>32</v>
      </c>
    </row>
    <row r="13">
      <c r="A13" s="281">
        <v>44798.442969490745</v>
      </c>
      <c r="B13" s="282" t="s">
        <v>375</v>
      </c>
      <c r="C13" s="282">
        <v>2022.0</v>
      </c>
      <c r="D13" s="282" t="s">
        <v>16</v>
      </c>
      <c r="E13" s="282" t="s">
        <v>476</v>
      </c>
      <c r="F13" s="282" t="s">
        <v>14</v>
      </c>
      <c r="G13" s="282" t="s">
        <v>477</v>
      </c>
      <c r="H13" s="282" t="s">
        <v>502</v>
      </c>
      <c r="I13" s="282" t="s">
        <v>21</v>
      </c>
      <c r="J13" s="282">
        <v>11.0</v>
      </c>
      <c r="K13" s="282" t="s">
        <v>497</v>
      </c>
      <c r="L13" s="282" t="s">
        <v>498</v>
      </c>
      <c r="M13" s="282" t="s">
        <v>479</v>
      </c>
      <c r="N13" s="282" t="s">
        <v>483</v>
      </c>
      <c r="O13" s="283"/>
      <c r="P13" s="283"/>
      <c r="Q13" s="283"/>
      <c r="R13" s="282" t="s">
        <v>377</v>
      </c>
      <c r="S13" s="282" t="s">
        <v>377</v>
      </c>
      <c r="T13" s="282" t="s">
        <v>32</v>
      </c>
      <c r="U13" s="282" t="s">
        <v>18</v>
      </c>
      <c r="V13" s="282" t="s">
        <v>377</v>
      </c>
      <c r="W13" s="282" t="s">
        <v>18</v>
      </c>
      <c r="X13" s="282" t="s">
        <v>32</v>
      </c>
      <c r="Y13" s="282" t="s">
        <v>32</v>
      </c>
      <c r="Z13" s="282" t="s">
        <v>377</v>
      </c>
      <c r="AA13" s="282" t="s">
        <v>32</v>
      </c>
      <c r="AB13" s="282" t="s">
        <v>377</v>
      </c>
      <c r="AC13" s="282" t="s">
        <v>18</v>
      </c>
      <c r="AD13" s="282" t="s">
        <v>32</v>
      </c>
      <c r="AE13" s="282" t="s">
        <v>377</v>
      </c>
      <c r="AF13" s="282" t="s">
        <v>32</v>
      </c>
      <c r="AG13" s="282" t="s">
        <v>377</v>
      </c>
      <c r="AH13" s="282" t="s">
        <v>32</v>
      </c>
      <c r="AI13" s="282" t="s">
        <v>377</v>
      </c>
      <c r="AJ13" s="282" t="s">
        <v>32</v>
      </c>
      <c r="AK13" s="282" t="s">
        <v>18</v>
      </c>
      <c r="AL13" s="282" t="s">
        <v>377</v>
      </c>
      <c r="AM13" s="282" t="s">
        <v>18</v>
      </c>
      <c r="AN13" s="282" t="s">
        <v>32</v>
      </c>
      <c r="AO13" s="282" t="s">
        <v>32</v>
      </c>
      <c r="AP13" s="282" t="s">
        <v>32</v>
      </c>
      <c r="AQ13" s="282" t="s">
        <v>377</v>
      </c>
      <c r="AR13" s="282" t="s">
        <v>32</v>
      </c>
      <c r="AS13" s="282" t="s">
        <v>32</v>
      </c>
      <c r="AT13" s="282" t="s">
        <v>32</v>
      </c>
      <c r="AU13" s="282" t="s">
        <v>32</v>
      </c>
      <c r="AV13" s="282" t="s">
        <v>32</v>
      </c>
      <c r="AW13" s="282" t="s">
        <v>377</v>
      </c>
      <c r="AX13" s="282" t="s">
        <v>32</v>
      </c>
      <c r="AY13" s="282" t="s">
        <v>32</v>
      </c>
      <c r="AZ13" s="282" t="s">
        <v>377</v>
      </c>
      <c r="BA13" s="282" t="s">
        <v>32</v>
      </c>
      <c r="BB13" s="282" t="s">
        <v>32</v>
      </c>
      <c r="BC13" s="282" t="s">
        <v>32</v>
      </c>
      <c r="BD13" s="284" t="s">
        <v>377</v>
      </c>
    </row>
    <row r="14">
      <c r="A14" s="281">
        <v>44792.50945375</v>
      </c>
      <c r="B14" s="282" t="s">
        <v>486</v>
      </c>
      <c r="C14" s="282">
        <v>2022.0</v>
      </c>
      <c r="D14" s="282" t="s">
        <v>16</v>
      </c>
      <c r="E14" s="282" t="s">
        <v>476</v>
      </c>
      <c r="F14" s="282" t="s">
        <v>14</v>
      </c>
      <c r="G14" s="282" t="s">
        <v>477</v>
      </c>
      <c r="H14" s="282" t="s">
        <v>503</v>
      </c>
      <c r="I14" s="282" t="s">
        <v>21</v>
      </c>
      <c r="J14" s="282">
        <v>11.0</v>
      </c>
      <c r="K14" s="282" t="s">
        <v>497</v>
      </c>
      <c r="L14" s="282" t="s">
        <v>498</v>
      </c>
      <c r="M14" s="282" t="s">
        <v>479</v>
      </c>
      <c r="N14" s="282" t="s">
        <v>481</v>
      </c>
      <c r="O14" s="283"/>
      <c r="P14" s="283"/>
      <c r="Q14" s="283"/>
      <c r="R14" s="282" t="s">
        <v>18</v>
      </c>
      <c r="S14" s="282" t="s">
        <v>377</v>
      </c>
      <c r="T14" s="282" t="s">
        <v>377</v>
      </c>
      <c r="U14" s="282" t="s">
        <v>18</v>
      </c>
      <c r="V14" s="282" t="s">
        <v>377</v>
      </c>
      <c r="W14" s="282" t="s">
        <v>18</v>
      </c>
      <c r="X14" s="282" t="s">
        <v>377</v>
      </c>
      <c r="Y14" s="282" t="s">
        <v>18</v>
      </c>
      <c r="Z14" s="282" t="s">
        <v>18</v>
      </c>
      <c r="AA14" s="282" t="s">
        <v>18</v>
      </c>
      <c r="AB14" s="282" t="s">
        <v>377</v>
      </c>
      <c r="AC14" s="282" t="s">
        <v>377</v>
      </c>
      <c r="AD14" s="282" t="s">
        <v>18</v>
      </c>
      <c r="AE14" s="282" t="s">
        <v>18</v>
      </c>
      <c r="AF14" s="282" t="s">
        <v>18</v>
      </c>
      <c r="AG14" s="282" t="s">
        <v>18</v>
      </c>
      <c r="AH14" s="282" t="s">
        <v>18</v>
      </c>
      <c r="AI14" s="282" t="s">
        <v>18</v>
      </c>
      <c r="AJ14" s="282" t="s">
        <v>18</v>
      </c>
      <c r="AK14" s="282" t="s">
        <v>18</v>
      </c>
      <c r="AL14" s="282" t="s">
        <v>18</v>
      </c>
      <c r="AM14" s="282" t="s">
        <v>18</v>
      </c>
      <c r="AN14" s="282" t="s">
        <v>18</v>
      </c>
      <c r="AO14" s="282" t="s">
        <v>18</v>
      </c>
      <c r="AP14" s="282" t="s">
        <v>18</v>
      </c>
      <c r="AQ14" s="282" t="s">
        <v>18</v>
      </c>
      <c r="AR14" s="282" t="s">
        <v>377</v>
      </c>
      <c r="AS14" s="282" t="s">
        <v>32</v>
      </c>
      <c r="AT14" s="282" t="s">
        <v>32</v>
      </c>
      <c r="AU14" s="282" t="s">
        <v>377</v>
      </c>
      <c r="AV14" s="282" t="s">
        <v>32</v>
      </c>
      <c r="AW14" s="282" t="s">
        <v>32</v>
      </c>
      <c r="AX14" s="282" t="s">
        <v>32</v>
      </c>
      <c r="AY14" s="282" t="s">
        <v>377</v>
      </c>
      <c r="AZ14" s="282" t="s">
        <v>377</v>
      </c>
      <c r="BA14" s="282" t="s">
        <v>377</v>
      </c>
      <c r="BB14" s="282" t="s">
        <v>18</v>
      </c>
      <c r="BC14" s="282" t="s">
        <v>18</v>
      </c>
      <c r="BD14" s="284" t="s">
        <v>32</v>
      </c>
    </row>
    <row r="15">
      <c r="A15" s="281">
        <v>44785.605628703706</v>
      </c>
      <c r="B15" s="282" t="s">
        <v>504</v>
      </c>
      <c r="C15" s="282">
        <v>2022.0</v>
      </c>
      <c r="D15" s="282" t="s">
        <v>16</v>
      </c>
      <c r="E15" s="282" t="s">
        <v>476</v>
      </c>
      <c r="F15" s="282" t="s">
        <v>14</v>
      </c>
      <c r="G15" s="282" t="s">
        <v>477</v>
      </c>
      <c r="H15" s="282" t="s">
        <v>505</v>
      </c>
      <c r="I15" s="282" t="s">
        <v>21</v>
      </c>
      <c r="J15" s="282">
        <v>11.0</v>
      </c>
      <c r="K15" s="282" t="s">
        <v>497</v>
      </c>
      <c r="L15" s="282" t="s">
        <v>498</v>
      </c>
      <c r="M15" s="282" t="s">
        <v>479</v>
      </c>
      <c r="N15" s="282" t="s">
        <v>481</v>
      </c>
      <c r="O15" s="283"/>
      <c r="P15" s="283"/>
      <c r="Q15" s="283"/>
      <c r="R15" s="282" t="s">
        <v>377</v>
      </c>
      <c r="S15" s="282" t="s">
        <v>377</v>
      </c>
      <c r="T15" s="282" t="s">
        <v>32</v>
      </c>
      <c r="U15" s="282" t="s">
        <v>18</v>
      </c>
      <c r="V15" s="282" t="s">
        <v>32</v>
      </c>
      <c r="W15" s="282" t="s">
        <v>32</v>
      </c>
      <c r="X15" s="282" t="s">
        <v>32</v>
      </c>
      <c r="Y15" s="282" t="s">
        <v>377</v>
      </c>
      <c r="Z15" s="282" t="s">
        <v>32</v>
      </c>
      <c r="AA15" s="282" t="s">
        <v>18</v>
      </c>
      <c r="AB15" s="282" t="s">
        <v>377</v>
      </c>
      <c r="AC15" s="282" t="s">
        <v>32</v>
      </c>
      <c r="AD15" s="282" t="s">
        <v>18</v>
      </c>
      <c r="AE15" s="282" t="s">
        <v>377</v>
      </c>
      <c r="AF15" s="282" t="s">
        <v>377</v>
      </c>
      <c r="AG15" s="282" t="s">
        <v>18</v>
      </c>
      <c r="AH15" s="282" t="s">
        <v>32</v>
      </c>
      <c r="AI15" s="282" t="s">
        <v>377</v>
      </c>
      <c r="AJ15" s="282" t="s">
        <v>377</v>
      </c>
      <c r="AK15" s="282" t="s">
        <v>18</v>
      </c>
      <c r="AL15" s="282" t="s">
        <v>377</v>
      </c>
      <c r="AM15" s="282" t="s">
        <v>377</v>
      </c>
      <c r="AN15" s="282" t="s">
        <v>18</v>
      </c>
      <c r="AO15" s="282" t="s">
        <v>18</v>
      </c>
      <c r="AP15" s="282" t="s">
        <v>18</v>
      </c>
      <c r="AQ15" s="282" t="s">
        <v>18</v>
      </c>
      <c r="AR15" s="282" t="s">
        <v>18</v>
      </c>
      <c r="AS15" s="282" t="s">
        <v>32</v>
      </c>
      <c r="AT15" s="282" t="s">
        <v>32</v>
      </c>
      <c r="AU15" s="282" t="s">
        <v>32</v>
      </c>
      <c r="AV15" s="282" t="s">
        <v>32</v>
      </c>
      <c r="AW15" s="282" t="s">
        <v>32</v>
      </c>
      <c r="AX15" s="282" t="s">
        <v>32</v>
      </c>
      <c r="AY15" s="282" t="s">
        <v>377</v>
      </c>
      <c r="AZ15" s="282" t="s">
        <v>377</v>
      </c>
      <c r="BA15" s="282" t="s">
        <v>377</v>
      </c>
      <c r="BB15" s="282" t="s">
        <v>18</v>
      </c>
      <c r="BC15" s="282" t="s">
        <v>32</v>
      </c>
      <c r="BD15" s="284" t="s">
        <v>32</v>
      </c>
    </row>
    <row r="16">
      <c r="A16" s="281">
        <v>44796.84898538195</v>
      </c>
      <c r="B16" s="282" t="s">
        <v>506</v>
      </c>
      <c r="C16" s="282">
        <v>2022.0</v>
      </c>
      <c r="D16" s="282" t="s">
        <v>16</v>
      </c>
      <c r="E16" s="282" t="s">
        <v>476</v>
      </c>
      <c r="F16" s="282" t="s">
        <v>14</v>
      </c>
      <c r="G16" s="282" t="s">
        <v>477</v>
      </c>
      <c r="H16" s="282" t="s">
        <v>507</v>
      </c>
      <c r="I16" s="282" t="s">
        <v>21</v>
      </c>
      <c r="J16" s="282">
        <v>12.0</v>
      </c>
      <c r="K16" s="282" t="s">
        <v>497</v>
      </c>
      <c r="L16" s="282" t="s">
        <v>508</v>
      </c>
      <c r="M16" s="282" t="s">
        <v>497</v>
      </c>
      <c r="N16" s="282" t="s">
        <v>509</v>
      </c>
      <c r="O16" s="283"/>
      <c r="P16" s="283"/>
      <c r="Q16" s="283"/>
      <c r="R16" s="282" t="s">
        <v>377</v>
      </c>
      <c r="S16" s="282" t="s">
        <v>377</v>
      </c>
      <c r="T16" s="282" t="s">
        <v>32</v>
      </c>
      <c r="U16" s="282" t="s">
        <v>18</v>
      </c>
      <c r="V16" s="282" t="s">
        <v>32</v>
      </c>
      <c r="W16" s="282" t="s">
        <v>32</v>
      </c>
      <c r="X16" s="282" t="s">
        <v>377</v>
      </c>
      <c r="Y16" s="282" t="s">
        <v>18</v>
      </c>
      <c r="Z16" s="282" t="s">
        <v>18</v>
      </c>
      <c r="AA16" s="282" t="s">
        <v>18</v>
      </c>
      <c r="AB16" s="282" t="s">
        <v>377</v>
      </c>
      <c r="AC16" s="282" t="s">
        <v>18</v>
      </c>
      <c r="AD16" s="282" t="s">
        <v>32</v>
      </c>
      <c r="AE16" s="282" t="s">
        <v>377</v>
      </c>
      <c r="AF16" s="282" t="s">
        <v>377</v>
      </c>
      <c r="AG16" s="282" t="s">
        <v>18</v>
      </c>
      <c r="AH16" s="282" t="s">
        <v>377</v>
      </c>
      <c r="AI16" s="282" t="s">
        <v>32</v>
      </c>
      <c r="AJ16" s="282" t="s">
        <v>377</v>
      </c>
      <c r="AK16" s="282" t="s">
        <v>32</v>
      </c>
      <c r="AL16" s="282" t="s">
        <v>377</v>
      </c>
      <c r="AM16" s="282" t="s">
        <v>18</v>
      </c>
      <c r="AN16" s="282" t="s">
        <v>32</v>
      </c>
      <c r="AO16" s="282" t="s">
        <v>377</v>
      </c>
      <c r="AP16" s="282" t="s">
        <v>377</v>
      </c>
      <c r="AQ16" s="282" t="s">
        <v>377</v>
      </c>
      <c r="AR16" s="282" t="s">
        <v>32</v>
      </c>
      <c r="AS16" s="282" t="s">
        <v>377</v>
      </c>
      <c r="AT16" s="282" t="s">
        <v>32</v>
      </c>
      <c r="AU16" s="282" t="s">
        <v>18</v>
      </c>
      <c r="AV16" s="282" t="s">
        <v>32</v>
      </c>
      <c r="AW16" s="282" t="s">
        <v>32</v>
      </c>
      <c r="AX16" s="282" t="s">
        <v>32</v>
      </c>
      <c r="AY16" s="282" t="s">
        <v>377</v>
      </c>
      <c r="AZ16" s="282" t="s">
        <v>18</v>
      </c>
      <c r="BA16" s="282" t="s">
        <v>377</v>
      </c>
      <c r="BB16" s="282" t="s">
        <v>32</v>
      </c>
      <c r="BC16" s="282" t="s">
        <v>377</v>
      </c>
      <c r="BD16" s="284" t="s">
        <v>32</v>
      </c>
    </row>
    <row r="17">
      <c r="A17" s="281">
        <v>44796.932414490744</v>
      </c>
      <c r="B17" s="282" t="s">
        <v>506</v>
      </c>
      <c r="C17" s="282">
        <v>2022.0</v>
      </c>
      <c r="D17" s="282" t="s">
        <v>16</v>
      </c>
      <c r="E17" s="282" t="s">
        <v>476</v>
      </c>
      <c r="F17" s="282" t="s">
        <v>14</v>
      </c>
      <c r="G17" s="282" t="s">
        <v>477</v>
      </c>
      <c r="H17" s="282" t="s">
        <v>510</v>
      </c>
      <c r="I17" s="282" t="s">
        <v>21</v>
      </c>
      <c r="J17" s="282">
        <v>12.0</v>
      </c>
      <c r="K17" s="282" t="s">
        <v>497</v>
      </c>
      <c r="L17" s="282" t="s">
        <v>508</v>
      </c>
      <c r="M17" s="282" t="s">
        <v>497</v>
      </c>
      <c r="N17" s="282" t="s">
        <v>509</v>
      </c>
      <c r="O17" s="283"/>
      <c r="P17" s="283"/>
      <c r="Q17" s="283"/>
      <c r="R17" s="282" t="s">
        <v>18</v>
      </c>
      <c r="S17" s="282" t="s">
        <v>377</v>
      </c>
      <c r="T17" s="282" t="s">
        <v>18</v>
      </c>
      <c r="U17" s="282" t="s">
        <v>377</v>
      </c>
      <c r="V17" s="282" t="s">
        <v>377</v>
      </c>
      <c r="W17" s="282" t="s">
        <v>18</v>
      </c>
      <c r="X17" s="282" t="s">
        <v>32</v>
      </c>
      <c r="Y17" s="282" t="s">
        <v>18</v>
      </c>
      <c r="Z17" s="282" t="s">
        <v>18</v>
      </c>
      <c r="AA17" s="282" t="s">
        <v>18</v>
      </c>
      <c r="AB17" s="282" t="s">
        <v>18</v>
      </c>
      <c r="AC17" s="282" t="s">
        <v>18</v>
      </c>
      <c r="AD17" s="282" t="s">
        <v>18</v>
      </c>
      <c r="AE17" s="282" t="s">
        <v>18</v>
      </c>
      <c r="AF17" s="282" t="s">
        <v>18</v>
      </c>
      <c r="AG17" s="282" t="s">
        <v>18</v>
      </c>
      <c r="AH17" s="282" t="s">
        <v>18</v>
      </c>
      <c r="AI17" s="282" t="s">
        <v>18</v>
      </c>
      <c r="AJ17" s="282" t="s">
        <v>18</v>
      </c>
      <c r="AK17" s="282" t="s">
        <v>18</v>
      </c>
      <c r="AL17" s="282" t="s">
        <v>18</v>
      </c>
      <c r="AM17" s="282" t="s">
        <v>18</v>
      </c>
      <c r="AN17" s="282" t="s">
        <v>18</v>
      </c>
      <c r="AO17" s="282" t="s">
        <v>18</v>
      </c>
      <c r="AP17" s="282" t="s">
        <v>18</v>
      </c>
      <c r="AQ17" s="282" t="s">
        <v>18</v>
      </c>
      <c r="AR17" s="282" t="s">
        <v>377</v>
      </c>
      <c r="AS17" s="282" t="s">
        <v>18</v>
      </c>
      <c r="AT17" s="282" t="s">
        <v>18</v>
      </c>
      <c r="AU17" s="282" t="s">
        <v>18</v>
      </c>
      <c r="AV17" s="282" t="s">
        <v>18</v>
      </c>
      <c r="AW17" s="282" t="s">
        <v>18</v>
      </c>
      <c r="AX17" s="282" t="s">
        <v>18</v>
      </c>
      <c r="AY17" s="282" t="s">
        <v>18</v>
      </c>
      <c r="AZ17" s="282" t="s">
        <v>18</v>
      </c>
      <c r="BA17" s="282" t="s">
        <v>18</v>
      </c>
      <c r="BB17" s="282" t="s">
        <v>18</v>
      </c>
      <c r="BC17" s="282" t="s">
        <v>18</v>
      </c>
      <c r="BD17" s="284" t="s">
        <v>18</v>
      </c>
    </row>
    <row r="18">
      <c r="A18" s="281">
        <v>44796.93745938657</v>
      </c>
      <c r="B18" s="282" t="s">
        <v>506</v>
      </c>
      <c r="C18" s="282">
        <v>2022.0</v>
      </c>
      <c r="D18" s="282" t="s">
        <v>16</v>
      </c>
      <c r="E18" s="282" t="s">
        <v>476</v>
      </c>
      <c r="F18" s="282" t="s">
        <v>14</v>
      </c>
      <c r="G18" s="282" t="s">
        <v>477</v>
      </c>
      <c r="H18" s="282" t="s">
        <v>511</v>
      </c>
      <c r="I18" s="282" t="s">
        <v>21</v>
      </c>
      <c r="J18" s="282">
        <v>12.0</v>
      </c>
      <c r="K18" s="282" t="s">
        <v>497</v>
      </c>
      <c r="L18" s="282" t="s">
        <v>508</v>
      </c>
      <c r="M18" s="282" t="s">
        <v>497</v>
      </c>
      <c r="N18" s="282" t="s">
        <v>509</v>
      </c>
      <c r="O18" s="283"/>
      <c r="P18" s="283"/>
      <c r="Q18" s="283"/>
      <c r="R18" s="282" t="s">
        <v>377</v>
      </c>
      <c r="S18" s="282" t="s">
        <v>377</v>
      </c>
      <c r="T18" s="282" t="s">
        <v>377</v>
      </c>
      <c r="U18" s="282" t="s">
        <v>377</v>
      </c>
      <c r="V18" s="282" t="s">
        <v>377</v>
      </c>
      <c r="W18" s="282" t="s">
        <v>18</v>
      </c>
      <c r="X18" s="282" t="s">
        <v>32</v>
      </c>
      <c r="Y18" s="282" t="s">
        <v>18</v>
      </c>
      <c r="Z18" s="282" t="s">
        <v>18</v>
      </c>
      <c r="AA18" s="282" t="s">
        <v>18</v>
      </c>
      <c r="AB18" s="282" t="s">
        <v>18</v>
      </c>
      <c r="AC18" s="282" t="s">
        <v>18</v>
      </c>
      <c r="AD18" s="282" t="s">
        <v>18</v>
      </c>
      <c r="AE18" s="282" t="s">
        <v>18</v>
      </c>
      <c r="AF18" s="282" t="s">
        <v>18</v>
      </c>
      <c r="AG18" s="282" t="s">
        <v>18</v>
      </c>
      <c r="AH18" s="282" t="s">
        <v>18</v>
      </c>
      <c r="AI18" s="282" t="s">
        <v>18</v>
      </c>
      <c r="AJ18" s="282" t="s">
        <v>18</v>
      </c>
      <c r="AK18" s="282" t="s">
        <v>18</v>
      </c>
      <c r="AL18" s="282" t="s">
        <v>18</v>
      </c>
      <c r="AM18" s="282" t="s">
        <v>18</v>
      </c>
      <c r="AN18" s="282" t="s">
        <v>18</v>
      </c>
      <c r="AO18" s="282" t="s">
        <v>18</v>
      </c>
      <c r="AP18" s="282" t="s">
        <v>18</v>
      </c>
      <c r="AQ18" s="282" t="s">
        <v>18</v>
      </c>
      <c r="AR18" s="282" t="s">
        <v>377</v>
      </c>
      <c r="AS18" s="282" t="s">
        <v>18</v>
      </c>
      <c r="AT18" s="282" t="s">
        <v>18</v>
      </c>
      <c r="AU18" s="282" t="s">
        <v>18</v>
      </c>
      <c r="AV18" s="282" t="s">
        <v>18</v>
      </c>
      <c r="AW18" s="282" t="s">
        <v>18</v>
      </c>
      <c r="AX18" s="282" t="s">
        <v>18</v>
      </c>
      <c r="AY18" s="282" t="s">
        <v>18</v>
      </c>
      <c r="AZ18" s="282" t="s">
        <v>18</v>
      </c>
      <c r="BA18" s="282" t="s">
        <v>18</v>
      </c>
      <c r="BB18" s="282" t="s">
        <v>377</v>
      </c>
      <c r="BC18" s="282" t="s">
        <v>18</v>
      </c>
      <c r="BD18" s="284" t="s">
        <v>18</v>
      </c>
    </row>
    <row r="19">
      <c r="A19" s="281">
        <v>44796.944038368056</v>
      </c>
      <c r="B19" s="282" t="s">
        <v>506</v>
      </c>
      <c r="C19" s="282">
        <v>2022.0</v>
      </c>
      <c r="D19" s="282" t="s">
        <v>16</v>
      </c>
      <c r="E19" s="282" t="s">
        <v>476</v>
      </c>
      <c r="F19" s="282" t="s">
        <v>14</v>
      </c>
      <c r="G19" s="282" t="s">
        <v>477</v>
      </c>
      <c r="H19" s="282" t="s">
        <v>512</v>
      </c>
      <c r="I19" s="282" t="s">
        <v>17</v>
      </c>
      <c r="J19" s="282">
        <v>11.0</v>
      </c>
      <c r="K19" s="282" t="s">
        <v>497</v>
      </c>
      <c r="L19" s="282" t="s">
        <v>508</v>
      </c>
      <c r="M19" s="282" t="s">
        <v>497</v>
      </c>
      <c r="N19" s="282" t="s">
        <v>509</v>
      </c>
      <c r="O19" s="283"/>
      <c r="P19" s="283"/>
      <c r="Q19" s="283"/>
      <c r="R19" s="282" t="s">
        <v>377</v>
      </c>
      <c r="S19" s="282" t="s">
        <v>377</v>
      </c>
      <c r="T19" s="282" t="s">
        <v>377</v>
      </c>
      <c r="U19" s="282" t="s">
        <v>377</v>
      </c>
      <c r="V19" s="282" t="s">
        <v>377</v>
      </c>
      <c r="W19" s="282" t="s">
        <v>18</v>
      </c>
      <c r="X19" s="282" t="s">
        <v>32</v>
      </c>
      <c r="Y19" s="282" t="s">
        <v>377</v>
      </c>
      <c r="Z19" s="282" t="s">
        <v>32</v>
      </c>
      <c r="AA19" s="282" t="s">
        <v>18</v>
      </c>
      <c r="AB19" s="282" t="s">
        <v>32</v>
      </c>
      <c r="AC19" s="282" t="s">
        <v>377</v>
      </c>
      <c r="AD19" s="282" t="s">
        <v>32</v>
      </c>
      <c r="AE19" s="282" t="s">
        <v>377</v>
      </c>
      <c r="AF19" s="282" t="s">
        <v>32</v>
      </c>
      <c r="AG19" s="282" t="s">
        <v>377</v>
      </c>
      <c r="AH19" s="282" t="s">
        <v>32</v>
      </c>
      <c r="AI19" s="282" t="s">
        <v>377</v>
      </c>
      <c r="AJ19" s="282" t="s">
        <v>377</v>
      </c>
      <c r="AK19" s="282" t="s">
        <v>18</v>
      </c>
      <c r="AL19" s="282" t="s">
        <v>32</v>
      </c>
      <c r="AM19" s="282" t="s">
        <v>32</v>
      </c>
      <c r="AN19" s="282" t="s">
        <v>32</v>
      </c>
      <c r="AO19" s="282" t="s">
        <v>377</v>
      </c>
      <c r="AP19" s="282" t="s">
        <v>18</v>
      </c>
      <c r="AQ19" s="282" t="s">
        <v>377</v>
      </c>
      <c r="AR19" s="282" t="s">
        <v>377</v>
      </c>
      <c r="AS19" s="282" t="s">
        <v>32</v>
      </c>
      <c r="AT19" s="282" t="s">
        <v>32</v>
      </c>
      <c r="AU19" s="282" t="s">
        <v>377</v>
      </c>
      <c r="AV19" s="282" t="s">
        <v>32</v>
      </c>
      <c r="AW19" s="282" t="s">
        <v>32</v>
      </c>
      <c r="AX19" s="282" t="s">
        <v>32</v>
      </c>
      <c r="AY19" s="282" t="s">
        <v>18</v>
      </c>
      <c r="AZ19" s="282" t="s">
        <v>18</v>
      </c>
      <c r="BA19" s="282" t="s">
        <v>18</v>
      </c>
      <c r="BB19" s="282" t="s">
        <v>377</v>
      </c>
      <c r="BC19" s="282" t="s">
        <v>18</v>
      </c>
      <c r="BD19" s="284" t="s">
        <v>32</v>
      </c>
    </row>
    <row r="20">
      <c r="A20" s="281">
        <v>44796.94610789352</v>
      </c>
      <c r="B20" s="282" t="s">
        <v>506</v>
      </c>
      <c r="C20" s="282">
        <v>2022.0</v>
      </c>
      <c r="D20" s="282" t="s">
        <v>16</v>
      </c>
      <c r="E20" s="282" t="s">
        <v>476</v>
      </c>
      <c r="F20" s="282" t="s">
        <v>14</v>
      </c>
      <c r="G20" s="282" t="s">
        <v>477</v>
      </c>
      <c r="H20" s="282" t="s">
        <v>513</v>
      </c>
      <c r="I20" s="282" t="s">
        <v>21</v>
      </c>
      <c r="J20" s="282">
        <v>12.0</v>
      </c>
      <c r="K20" s="282" t="s">
        <v>497</v>
      </c>
      <c r="L20" s="282" t="s">
        <v>508</v>
      </c>
      <c r="M20" s="282" t="s">
        <v>497</v>
      </c>
      <c r="N20" s="282" t="s">
        <v>509</v>
      </c>
      <c r="O20" s="283"/>
      <c r="P20" s="283"/>
      <c r="Q20" s="283"/>
      <c r="R20" s="282" t="s">
        <v>377</v>
      </c>
      <c r="S20" s="282" t="s">
        <v>377</v>
      </c>
      <c r="T20" s="282" t="s">
        <v>377</v>
      </c>
      <c r="U20" s="282" t="s">
        <v>377</v>
      </c>
      <c r="V20" s="282" t="s">
        <v>32</v>
      </c>
      <c r="W20" s="282" t="s">
        <v>377</v>
      </c>
      <c r="X20" s="282" t="s">
        <v>32</v>
      </c>
      <c r="Y20" s="282" t="s">
        <v>18</v>
      </c>
      <c r="Z20" s="282" t="s">
        <v>18</v>
      </c>
      <c r="AA20" s="282" t="s">
        <v>18</v>
      </c>
      <c r="AB20" s="282" t="s">
        <v>377</v>
      </c>
      <c r="AC20" s="282" t="s">
        <v>377</v>
      </c>
      <c r="AD20" s="282" t="s">
        <v>377</v>
      </c>
      <c r="AE20" s="282" t="s">
        <v>377</v>
      </c>
      <c r="AF20" s="282" t="s">
        <v>377</v>
      </c>
      <c r="AG20" s="282" t="s">
        <v>377</v>
      </c>
      <c r="AH20" s="282" t="s">
        <v>377</v>
      </c>
      <c r="AI20" s="282" t="s">
        <v>377</v>
      </c>
      <c r="AJ20" s="282" t="s">
        <v>377</v>
      </c>
      <c r="AK20" s="282" t="s">
        <v>377</v>
      </c>
      <c r="AL20" s="282" t="s">
        <v>377</v>
      </c>
      <c r="AM20" s="282" t="s">
        <v>377</v>
      </c>
      <c r="AN20" s="282" t="s">
        <v>377</v>
      </c>
      <c r="AO20" s="282" t="s">
        <v>377</v>
      </c>
      <c r="AP20" s="282" t="s">
        <v>377</v>
      </c>
      <c r="AQ20" s="282" t="s">
        <v>18</v>
      </c>
      <c r="AR20" s="282" t="s">
        <v>377</v>
      </c>
      <c r="AS20" s="282" t="s">
        <v>377</v>
      </c>
      <c r="AT20" s="282" t="s">
        <v>18</v>
      </c>
      <c r="AU20" s="282" t="s">
        <v>377</v>
      </c>
      <c r="AV20" s="282" t="s">
        <v>377</v>
      </c>
      <c r="AW20" s="282" t="s">
        <v>377</v>
      </c>
      <c r="AX20" s="282" t="s">
        <v>18</v>
      </c>
      <c r="AY20" s="282" t="s">
        <v>18</v>
      </c>
      <c r="AZ20" s="282" t="s">
        <v>18</v>
      </c>
      <c r="BA20" s="282" t="s">
        <v>18</v>
      </c>
      <c r="BB20" s="282" t="s">
        <v>32</v>
      </c>
      <c r="BC20" s="282" t="s">
        <v>18</v>
      </c>
      <c r="BD20" s="284" t="s">
        <v>18</v>
      </c>
    </row>
    <row r="21">
      <c r="A21" s="281">
        <v>44796.94886105324</v>
      </c>
      <c r="B21" s="282" t="s">
        <v>506</v>
      </c>
      <c r="C21" s="282">
        <v>2022.0</v>
      </c>
      <c r="D21" s="282" t="s">
        <v>16</v>
      </c>
      <c r="E21" s="282" t="s">
        <v>476</v>
      </c>
      <c r="F21" s="282" t="s">
        <v>14</v>
      </c>
      <c r="G21" s="282" t="s">
        <v>477</v>
      </c>
      <c r="H21" s="282" t="s">
        <v>514</v>
      </c>
      <c r="I21" s="282" t="s">
        <v>17</v>
      </c>
      <c r="J21" s="282">
        <v>14.0</v>
      </c>
      <c r="K21" s="282" t="s">
        <v>497</v>
      </c>
      <c r="L21" s="282" t="s">
        <v>508</v>
      </c>
      <c r="M21" s="282" t="s">
        <v>497</v>
      </c>
      <c r="N21" s="282" t="s">
        <v>509</v>
      </c>
      <c r="O21" s="283"/>
      <c r="P21" s="283"/>
      <c r="Q21" s="283"/>
      <c r="R21" s="282" t="s">
        <v>377</v>
      </c>
      <c r="S21" s="282" t="s">
        <v>377</v>
      </c>
      <c r="T21" s="282" t="s">
        <v>377</v>
      </c>
      <c r="U21" s="282" t="s">
        <v>18</v>
      </c>
      <c r="V21" s="282" t="s">
        <v>377</v>
      </c>
      <c r="W21" s="282" t="s">
        <v>18</v>
      </c>
      <c r="X21" s="282" t="s">
        <v>32</v>
      </c>
      <c r="Y21" s="282" t="s">
        <v>18</v>
      </c>
      <c r="Z21" s="282" t="s">
        <v>18</v>
      </c>
      <c r="AA21" s="282" t="s">
        <v>18</v>
      </c>
      <c r="AB21" s="282" t="s">
        <v>377</v>
      </c>
      <c r="AC21" s="282" t="s">
        <v>18</v>
      </c>
      <c r="AD21" s="282" t="s">
        <v>377</v>
      </c>
      <c r="AE21" s="282" t="s">
        <v>377</v>
      </c>
      <c r="AF21" s="282" t="s">
        <v>377</v>
      </c>
      <c r="AG21" s="282" t="s">
        <v>377</v>
      </c>
      <c r="AH21" s="282" t="s">
        <v>377</v>
      </c>
      <c r="AI21" s="282" t="s">
        <v>377</v>
      </c>
      <c r="AJ21" s="282" t="s">
        <v>377</v>
      </c>
      <c r="AK21" s="282" t="s">
        <v>377</v>
      </c>
      <c r="AL21" s="282" t="s">
        <v>377</v>
      </c>
      <c r="AM21" s="282" t="s">
        <v>377</v>
      </c>
      <c r="AN21" s="282" t="s">
        <v>18</v>
      </c>
      <c r="AO21" s="282" t="s">
        <v>18</v>
      </c>
      <c r="AP21" s="282" t="s">
        <v>18</v>
      </c>
      <c r="AQ21" s="282" t="s">
        <v>18</v>
      </c>
      <c r="AR21" s="282" t="s">
        <v>377</v>
      </c>
      <c r="AS21" s="282" t="s">
        <v>18</v>
      </c>
      <c r="AT21" s="282" t="s">
        <v>18</v>
      </c>
      <c r="AU21" s="282" t="s">
        <v>18</v>
      </c>
      <c r="AV21" s="282" t="s">
        <v>377</v>
      </c>
      <c r="AW21" s="282" t="s">
        <v>377</v>
      </c>
      <c r="AX21" s="282" t="s">
        <v>18</v>
      </c>
      <c r="AY21" s="282" t="s">
        <v>18</v>
      </c>
      <c r="AZ21" s="282" t="s">
        <v>18</v>
      </c>
      <c r="BA21" s="282" t="s">
        <v>18</v>
      </c>
      <c r="BB21" s="282" t="s">
        <v>377</v>
      </c>
      <c r="BC21" s="282" t="s">
        <v>18</v>
      </c>
      <c r="BD21" s="284" t="s">
        <v>18</v>
      </c>
    </row>
    <row r="22">
      <c r="A22" s="281">
        <v>44796.95953644676</v>
      </c>
      <c r="B22" s="282" t="s">
        <v>506</v>
      </c>
      <c r="C22" s="282">
        <v>2022.0</v>
      </c>
      <c r="D22" s="282" t="s">
        <v>16</v>
      </c>
      <c r="E22" s="282" t="s">
        <v>476</v>
      </c>
      <c r="F22" s="282" t="s">
        <v>14</v>
      </c>
      <c r="G22" s="282" t="s">
        <v>477</v>
      </c>
      <c r="H22" s="282" t="s">
        <v>515</v>
      </c>
      <c r="I22" s="282" t="s">
        <v>21</v>
      </c>
      <c r="J22" s="282">
        <v>12.0</v>
      </c>
      <c r="K22" s="282" t="s">
        <v>497</v>
      </c>
      <c r="L22" s="282" t="s">
        <v>508</v>
      </c>
      <c r="M22" s="282" t="s">
        <v>497</v>
      </c>
      <c r="N22" s="282" t="s">
        <v>509</v>
      </c>
      <c r="O22" s="283"/>
      <c r="P22" s="283"/>
      <c r="Q22" s="283"/>
      <c r="R22" s="282" t="s">
        <v>377</v>
      </c>
      <c r="S22" s="282" t="s">
        <v>377</v>
      </c>
      <c r="T22" s="282" t="s">
        <v>377</v>
      </c>
      <c r="U22" s="282" t="s">
        <v>18</v>
      </c>
      <c r="V22" s="282" t="s">
        <v>377</v>
      </c>
      <c r="W22" s="282" t="s">
        <v>18</v>
      </c>
      <c r="X22" s="282" t="s">
        <v>32</v>
      </c>
      <c r="Y22" s="282" t="s">
        <v>377</v>
      </c>
      <c r="Z22" s="282" t="s">
        <v>377</v>
      </c>
      <c r="AA22" s="282" t="s">
        <v>377</v>
      </c>
      <c r="AB22" s="282" t="s">
        <v>377</v>
      </c>
      <c r="AC22" s="282" t="s">
        <v>377</v>
      </c>
      <c r="AD22" s="282" t="s">
        <v>18</v>
      </c>
      <c r="AE22" s="282" t="s">
        <v>377</v>
      </c>
      <c r="AF22" s="282" t="s">
        <v>377</v>
      </c>
      <c r="AG22" s="282" t="s">
        <v>377</v>
      </c>
      <c r="AH22" s="282" t="s">
        <v>18</v>
      </c>
      <c r="AI22" s="282" t="s">
        <v>377</v>
      </c>
      <c r="AJ22" s="282" t="s">
        <v>377</v>
      </c>
      <c r="AK22" s="282" t="s">
        <v>18</v>
      </c>
      <c r="AL22" s="282" t="s">
        <v>377</v>
      </c>
      <c r="AM22" s="282" t="s">
        <v>377</v>
      </c>
      <c r="AN22" s="282" t="s">
        <v>18</v>
      </c>
      <c r="AO22" s="282" t="s">
        <v>377</v>
      </c>
      <c r="AP22" s="282" t="s">
        <v>18</v>
      </c>
      <c r="AQ22" s="282" t="s">
        <v>377</v>
      </c>
      <c r="AR22" s="282" t="s">
        <v>377</v>
      </c>
      <c r="AS22" s="282" t="s">
        <v>377</v>
      </c>
      <c r="AT22" s="282" t="s">
        <v>18</v>
      </c>
      <c r="AU22" s="282" t="s">
        <v>377</v>
      </c>
      <c r="AV22" s="282" t="s">
        <v>377</v>
      </c>
      <c r="AW22" s="282" t="s">
        <v>18</v>
      </c>
      <c r="AX22" s="282" t="s">
        <v>377</v>
      </c>
      <c r="AY22" s="282" t="s">
        <v>377</v>
      </c>
      <c r="AZ22" s="282" t="s">
        <v>18</v>
      </c>
      <c r="BA22" s="282" t="s">
        <v>377</v>
      </c>
      <c r="BB22" s="282" t="s">
        <v>32</v>
      </c>
      <c r="BC22" s="282" t="s">
        <v>377</v>
      </c>
      <c r="BD22" s="284" t="s">
        <v>377</v>
      </c>
    </row>
    <row r="23">
      <c r="A23" s="281">
        <v>44796.961588715276</v>
      </c>
      <c r="B23" s="282" t="s">
        <v>506</v>
      </c>
      <c r="C23" s="282">
        <v>2022.0</v>
      </c>
      <c r="D23" s="282" t="s">
        <v>16</v>
      </c>
      <c r="E23" s="282" t="s">
        <v>476</v>
      </c>
      <c r="F23" s="282" t="s">
        <v>14</v>
      </c>
      <c r="G23" s="282" t="s">
        <v>477</v>
      </c>
      <c r="H23" s="282" t="s">
        <v>516</v>
      </c>
      <c r="I23" s="282" t="s">
        <v>21</v>
      </c>
      <c r="J23" s="282">
        <v>14.0</v>
      </c>
      <c r="K23" s="282" t="s">
        <v>497</v>
      </c>
      <c r="L23" s="282" t="s">
        <v>508</v>
      </c>
      <c r="M23" s="282" t="s">
        <v>497</v>
      </c>
      <c r="N23" s="282" t="s">
        <v>509</v>
      </c>
      <c r="O23" s="283"/>
      <c r="P23" s="283"/>
      <c r="Q23" s="283"/>
      <c r="R23" s="282" t="s">
        <v>377</v>
      </c>
      <c r="S23" s="282" t="s">
        <v>377</v>
      </c>
      <c r="T23" s="282" t="s">
        <v>377</v>
      </c>
      <c r="U23" s="282" t="s">
        <v>377</v>
      </c>
      <c r="V23" s="282" t="s">
        <v>377</v>
      </c>
      <c r="W23" s="282" t="s">
        <v>377</v>
      </c>
      <c r="X23" s="282" t="s">
        <v>377</v>
      </c>
      <c r="Y23" s="282" t="s">
        <v>377</v>
      </c>
      <c r="Z23" s="282" t="s">
        <v>377</v>
      </c>
      <c r="AA23" s="282" t="s">
        <v>377</v>
      </c>
      <c r="AB23" s="282" t="s">
        <v>377</v>
      </c>
      <c r="AC23" s="282" t="s">
        <v>377</v>
      </c>
      <c r="AD23" s="282" t="s">
        <v>377</v>
      </c>
      <c r="AE23" s="282" t="s">
        <v>377</v>
      </c>
      <c r="AF23" s="282" t="s">
        <v>377</v>
      </c>
      <c r="AG23" s="282" t="s">
        <v>377</v>
      </c>
      <c r="AH23" s="282" t="s">
        <v>377</v>
      </c>
      <c r="AI23" s="282" t="s">
        <v>377</v>
      </c>
      <c r="AJ23" s="282" t="s">
        <v>377</v>
      </c>
      <c r="AK23" s="282" t="s">
        <v>18</v>
      </c>
      <c r="AL23" s="282" t="s">
        <v>377</v>
      </c>
      <c r="AM23" s="282" t="s">
        <v>377</v>
      </c>
      <c r="AN23" s="282" t="s">
        <v>377</v>
      </c>
      <c r="AO23" s="282" t="s">
        <v>377</v>
      </c>
      <c r="AP23" s="282" t="s">
        <v>377</v>
      </c>
      <c r="AQ23" s="282" t="s">
        <v>377</v>
      </c>
      <c r="AR23" s="282" t="s">
        <v>18</v>
      </c>
      <c r="AS23" s="282" t="s">
        <v>18</v>
      </c>
      <c r="AT23" s="282" t="s">
        <v>18</v>
      </c>
      <c r="AU23" s="282" t="s">
        <v>18</v>
      </c>
      <c r="AV23" s="282" t="s">
        <v>377</v>
      </c>
      <c r="AW23" s="282" t="s">
        <v>377</v>
      </c>
      <c r="AX23" s="282" t="s">
        <v>377</v>
      </c>
      <c r="AY23" s="282" t="s">
        <v>377</v>
      </c>
      <c r="AZ23" s="282" t="s">
        <v>377</v>
      </c>
      <c r="BA23" s="282" t="s">
        <v>377</v>
      </c>
      <c r="BB23" s="282" t="s">
        <v>18</v>
      </c>
      <c r="BC23" s="282" t="s">
        <v>18</v>
      </c>
      <c r="BD23" s="284" t="s">
        <v>377</v>
      </c>
    </row>
    <row r="24">
      <c r="A24" s="281">
        <v>44796.966009814816</v>
      </c>
      <c r="B24" s="282" t="s">
        <v>506</v>
      </c>
      <c r="C24" s="282">
        <v>2022.0</v>
      </c>
      <c r="D24" s="282" t="s">
        <v>16</v>
      </c>
      <c r="E24" s="282" t="s">
        <v>476</v>
      </c>
      <c r="F24" s="282" t="s">
        <v>14</v>
      </c>
      <c r="G24" s="282" t="s">
        <v>477</v>
      </c>
      <c r="H24" s="282" t="s">
        <v>517</v>
      </c>
      <c r="I24" s="282" t="s">
        <v>21</v>
      </c>
      <c r="J24" s="282">
        <v>11.0</v>
      </c>
      <c r="K24" s="282" t="s">
        <v>497</v>
      </c>
      <c r="L24" s="282" t="s">
        <v>508</v>
      </c>
      <c r="M24" s="282" t="s">
        <v>497</v>
      </c>
      <c r="N24" s="282" t="s">
        <v>509</v>
      </c>
      <c r="O24" s="283"/>
      <c r="P24" s="283"/>
      <c r="Q24" s="283"/>
      <c r="R24" s="282" t="s">
        <v>377</v>
      </c>
      <c r="S24" s="282" t="s">
        <v>377</v>
      </c>
      <c r="T24" s="282" t="s">
        <v>377</v>
      </c>
      <c r="U24" s="282" t="s">
        <v>377</v>
      </c>
      <c r="V24" s="282" t="s">
        <v>377</v>
      </c>
      <c r="W24" s="282" t="s">
        <v>377</v>
      </c>
      <c r="X24" s="282" t="s">
        <v>377</v>
      </c>
      <c r="Y24" s="282" t="s">
        <v>377</v>
      </c>
      <c r="Z24" s="282" t="s">
        <v>377</v>
      </c>
      <c r="AA24" s="282" t="s">
        <v>377</v>
      </c>
      <c r="AB24" s="282" t="s">
        <v>377</v>
      </c>
      <c r="AC24" s="282" t="s">
        <v>377</v>
      </c>
      <c r="AD24" s="282" t="s">
        <v>377</v>
      </c>
      <c r="AE24" s="282" t="s">
        <v>377</v>
      </c>
      <c r="AF24" s="282" t="s">
        <v>377</v>
      </c>
      <c r="AG24" s="282" t="s">
        <v>377</v>
      </c>
      <c r="AH24" s="282" t="s">
        <v>377</v>
      </c>
      <c r="AI24" s="282" t="s">
        <v>377</v>
      </c>
      <c r="AJ24" s="282" t="s">
        <v>18</v>
      </c>
      <c r="AK24" s="282" t="s">
        <v>377</v>
      </c>
      <c r="AL24" s="282" t="s">
        <v>377</v>
      </c>
      <c r="AM24" s="282" t="s">
        <v>377</v>
      </c>
      <c r="AN24" s="282" t="s">
        <v>377</v>
      </c>
      <c r="AO24" s="282" t="s">
        <v>377</v>
      </c>
      <c r="AP24" s="282" t="s">
        <v>377</v>
      </c>
      <c r="AQ24" s="282" t="s">
        <v>18</v>
      </c>
      <c r="AR24" s="282" t="s">
        <v>18</v>
      </c>
      <c r="AS24" s="282" t="s">
        <v>377</v>
      </c>
      <c r="AT24" s="282" t="s">
        <v>377</v>
      </c>
      <c r="AU24" s="282" t="s">
        <v>18</v>
      </c>
      <c r="AV24" s="282" t="s">
        <v>377</v>
      </c>
      <c r="AW24" s="282" t="s">
        <v>377</v>
      </c>
      <c r="AX24" s="282" t="s">
        <v>377</v>
      </c>
      <c r="AY24" s="282" t="s">
        <v>377</v>
      </c>
      <c r="AZ24" s="282" t="s">
        <v>18</v>
      </c>
      <c r="BA24" s="282" t="s">
        <v>377</v>
      </c>
      <c r="BB24" s="282" t="s">
        <v>18</v>
      </c>
      <c r="BC24" s="282" t="s">
        <v>18</v>
      </c>
      <c r="BD24" s="284" t="s">
        <v>18</v>
      </c>
    </row>
    <row r="25">
      <c r="A25" s="281">
        <v>44796.97000381944</v>
      </c>
      <c r="B25" s="282" t="s">
        <v>506</v>
      </c>
      <c r="C25" s="282">
        <v>2022.0</v>
      </c>
      <c r="D25" s="282" t="s">
        <v>16</v>
      </c>
      <c r="E25" s="282" t="s">
        <v>476</v>
      </c>
      <c r="F25" s="282" t="s">
        <v>14</v>
      </c>
      <c r="G25" s="282" t="s">
        <v>477</v>
      </c>
      <c r="H25" s="282" t="s">
        <v>518</v>
      </c>
      <c r="I25" s="282" t="s">
        <v>17</v>
      </c>
      <c r="J25" s="282">
        <v>13.0</v>
      </c>
      <c r="K25" s="282" t="s">
        <v>497</v>
      </c>
      <c r="L25" s="282" t="s">
        <v>508</v>
      </c>
      <c r="M25" s="282" t="s">
        <v>497</v>
      </c>
      <c r="N25" s="282" t="s">
        <v>509</v>
      </c>
      <c r="O25" s="283"/>
      <c r="P25" s="283"/>
      <c r="Q25" s="283"/>
      <c r="R25" s="282" t="s">
        <v>18</v>
      </c>
      <c r="S25" s="282" t="s">
        <v>377</v>
      </c>
      <c r="T25" s="282" t="s">
        <v>377</v>
      </c>
      <c r="U25" s="282" t="s">
        <v>18</v>
      </c>
      <c r="V25" s="282" t="s">
        <v>377</v>
      </c>
      <c r="W25" s="282" t="s">
        <v>18</v>
      </c>
      <c r="X25" s="282" t="s">
        <v>32</v>
      </c>
      <c r="Y25" s="282" t="s">
        <v>18</v>
      </c>
      <c r="Z25" s="282" t="s">
        <v>18</v>
      </c>
      <c r="AA25" s="282" t="s">
        <v>18</v>
      </c>
      <c r="AB25" s="282" t="s">
        <v>18</v>
      </c>
      <c r="AC25" s="282" t="s">
        <v>18</v>
      </c>
      <c r="AD25" s="282" t="s">
        <v>18</v>
      </c>
      <c r="AE25" s="282" t="s">
        <v>377</v>
      </c>
      <c r="AF25" s="282" t="s">
        <v>377</v>
      </c>
      <c r="AG25" s="282" t="s">
        <v>377</v>
      </c>
      <c r="AH25" s="282" t="s">
        <v>377</v>
      </c>
      <c r="AI25" s="282" t="s">
        <v>377</v>
      </c>
      <c r="AJ25" s="282" t="s">
        <v>377</v>
      </c>
      <c r="AK25" s="282" t="s">
        <v>377</v>
      </c>
      <c r="AL25" s="282" t="s">
        <v>377</v>
      </c>
      <c r="AM25" s="282" t="s">
        <v>377</v>
      </c>
      <c r="AN25" s="282" t="s">
        <v>18</v>
      </c>
      <c r="AO25" s="282" t="s">
        <v>18</v>
      </c>
      <c r="AP25" s="282" t="s">
        <v>18</v>
      </c>
      <c r="AQ25" s="282" t="s">
        <v>18</v>
      </c>
      <c r="AR25" s="282" t="s">
        <v>18</v>
      </c>
      <c r="AS25" s="282" t="s">
        <v>18</v>
      </c>
      <c r="AT25" s="282" t="s">
        <v>18</v>
      </c>
      <c r="AU25" s="282" t="s">
        <v>18</v>
      </c>
      <c r="AV25" s="282" t="s">
        <v>377</v>
      </c>
      <c r="AW25" s="282" t="s">
        <v>377</v>
      </c>
      <c r="AX25" s="282" t="s">
        <v>18</v>
      </c>
      <c r="AY25" s="282" t="s">
        <v>377</v>
      </c>
      <c r="AZ25" s="282" t="s">
        <v>377</v>
      </c>
      <c r="BA25" s="282" t="s">
        <v>18</v>
      </c>
      <c r="BB25" s="282" t="s">
        <v>18</v>
      </c>
      <c r="BC25" s="282" t="s">
        <v>18</v>
      </c>
      <c r="BD25" s="284" t="s">
        <v>18</v>
      </c>
    </row>
    <row r="26">
      <c r="A26" s="281">
        <v>44797.845050081014</v>
      </c>
      <c r="B26" s="282" t="s">
        <v>519</v>
      </c>
      <c r="C26" s="282">
        <v>2022.0</v>
      </c>
      <c r="D26" s="282" t="s">
        <v>16</v>
      </c>
      <c r="E26" s="282" t="s">
        <v>476</v>
      </c>
      <c r="F26" s="282" t="s">
        <v>14</v>
      </c>
      <c r="G26" s="282" t="s">
        <v>477</v>
      </c>
      <c r="H26" s="282" t="s">
        <v>520</v>
      </c>
      <c r="I26" s="282" t="s">
        <v>21</v>
      </c>
      <c r="J26" s="282">
        <v>12.0</v>
      </c>
      <c r="K26" s="282" t="s">
        <v>497</v>
      </c>
      <c r="L26" s="282" t="s">
        <v>498</v>
      </c>
      <c r="M26" s="282" t="s">
        <v>497</v>
      </c>
      <c r="N26" s="282" t="s">
        <v>509</v>
      </c>
      <c r="O26" s="283"/>
      <c r="P26" s="283"/>
      <c r="Q26" s="283"/>
      <c r="R26" s="282" t="s">
        <v>377</v>
      </c>
      <c r="S26" s="282" t="s">
        <v>377</v>
      </c>
      <c r="T26" s="282" t="s">
        <v>377</v>
      </c>
      <c r="U26" s="282" t="s">
        <v>377</v>
      </c>
      <c r="V26" s="282" t="s">
        <v>377</v>
      </c>
      <c r="W26" s="282" t="s">
        <v>377</v>
      </c>
      <c r="X26" s="282" t="s">
        <v>377</v>
      </c>
      <c r="Y26" s="282" t="s">
        <v>377</v>
      </c>
      <c r="Z26" s="282" t="s">
        <v>377</v>
      </c>
      <c r="AA26" s="282" t="s">
        <v>377</v>
      </c>
      <c r="AB26" s="282" t="s">
        <v>377</v>
      </c>
      <c r="AC26" s="282" t="s">
        <v>377</v>
      </c>
      <c r="AD26" s="282" t="s">
        <v>18</v>
      </c>
      <c r="AE26" s="282" t="s">
        <v>18</v>
      </c>
      <c r="AF26" s="282" t="s">
        <v>377</v>
      </c>
      <c r="AG26" s="282" t="s">
        <v>377</v>
      </c>
      <c r="AH26" s="282" t="s">
        <v>377</v>
      </c>
      <c r="AI26" s="282" t="s">
        <v>377</v>
      </c>
      <c r="AJ26" s="282" t="s">
        <v>377</v>
      </c>
      <c r="AK26" s="282" t="s">
        <v>18</v>
      </c>
      <c r="AL26" s="282" t="s">
        <v>18</v>
      </c>
      <c r="AM26" s="282" t="s">
        <v>18</v>
      </c>
      <c r="AN26" s="282" t="s">
        <v>18</v>
      </c>
      <c r="AO26" s="282" t="s">
        <v>18</v>
      </c>
      <c r="AP26" s="282" t="s">
        <v>18</v>
      </c>
      <c r="AQ26" s="282" t="s">
        <v>18</v>
      </c>
      <c r="AR26" s="282" t="s">
        <v>32</v>
      </c>
      <c r="AS26" s="282" t="s">
        <v>377</v>
      </c>
      <c r="AT26" s="282" t="s">
        <v>377</v>
      </c>
      <c r="AU26" s="282" t="s">
        <v>377</v>
      </c>
      <c r="AV26" s="282" t="s">
        <v>377</v>
      </c>
      <c r="AW26" s="282" t="s">
        <v>377</v>
      </c>
      <c r="AX26" s="282" t="s">
        <v>377</v>
      </c>
      <c r="AY26" s="282" t="s">
        <v>377</v>
      </c>
      <c r="AZ26" s="282" t="s">
        <v>377</v>
      </c>
      <c r="BA26" s="282" t="s">
        <v>377</v>
      </c>
      <c r="BB26" s="282" t="s">
        <v>32</v>
      </c>
      <c r="BC26" s="282" t="s">
        <v>377</v>
      </c>
      <c r="BD26" s="284" t="s">
        <v>377</v>
      </c>
    </row>
    <row r="27">
      <c r="A27" s="281">
        <v>44805.40223868056</v>
      </c>
      <c r="B27" s="282" t="s">
        <v>519</v>
      </c>
      <c r="C27" s="282">
        <v>2022.0</v>
      </c>
      <c r="D27" s="282" t="s">
        <v>16</v>
      </c>
      <c r="E27" s="282" t="s">
        <v>476</v>
      </c>
      <c r="F27" s="282" t="s">
        <v>14</v>
      </c>
      <c r="G27" s="282" t="s">
        <v>477</v>
      </c>
      <c r="H27" s="282" t="s">
        <v>521</v>
      </c>
      <c r="I27" s="282" t="s">
        <v>21</v>
      </c>
      <c r="J27" s="282">
        <v>12.0</v>
      </c>
      <c r="K27" s="282" t="s">
        <v>497</v>
      </c>
      <c r="L27" s="282" t="s">
        <v>498</v>
      </c>
      <c r="M27" s="282" t="s">
        <v>497</v>
      </c>
      <c r="N27" s="282" t="s">
        <v>509</v>
      </c>
      <c r="O27" s="283"/>
      <c r="P27" s="283"/>
      <c r="Q27" s="283"/>
      <c r="R27" s="282" t="s">
        <v>377</v>
      </c>
      <c r="S27" s="282" t="s">
        <v>377</v>
      </c>
      <c r="T27" s="282" t="s">
        <v>32</v>
      </c>
      <c r="U27" s="282" t="s">
        <v>18</v>
      </c>
      <c r="V27" s="282" t="s">
        <v>32</v>
      </c>
      <c r="W27" s="282" t="s">
        <v>377</v>
      </c>
      <c r="X27" s="282" t="s">
        <v>32</v>
      </c>
      <c r="Y27" s="282" t="s">
        <v>377</v>
      </c>
      <c r="Z27" s="282" t="s">
        <v>32</v>
      </c>
      <c r="AA27" s="282" t="s">
        <v>18</v>
      </c>
      <c r="AB27" s="282" t="s">
        <v>377</v>
      </c>
      <c r="AC27" s="282" t="s">
        <v>18</v>
      </c>
      <c r="AD27" s="282" t="s">
        <v>377</v>
      </c>
      <c r="AE27" s="282" t="s">
        <v>377</v>
      </c>
      <c r="AF27" s="282" t="s">
        <v>32</v>
      </c>
      <c r="AG27" s="282" t="s">
        <v>32</v>
      </c>
      <c r="AH27" s="282" t="s">
        <v>32</v>
      </c>
      <c r="AI27" s="282" t="s">
        <v>377</v>
      </c>
      <c r="AJ27" s="282" t="s">
        <v>377</v>
      </c>
      <c r="AK27" s="282" t="s">
        <v>377</v>
      </c>
      <c r="AL27" s="282" t="s">
        <v>377</v>
      </c>
      <c r="AM27" s="282" t="s">
        <v>32</v>
      </c>
      <c r="AN27" s="282" t="s">
        <v>18</v>
      </c>
      <c r="AO27" s="282" t="s">
        <v>18</v>
      </c>
      <c r="AP27" s="282" t="s">
        <v>18</v>
      </c>
      <c r="AQ27" s="282" t="s">
        <v>18</v>
      </c>
      <c r="AR27" s="282" t="s">
        <v>32</v>
      </c>
      <c r="AS27" s="282" t="s">
        <v>32</v>
      </c>
      <c r="AT27" s="282" t="s">
        <v>377</v>
      </c>
      <c r="AU27" s="282" t="s">
        <v>32</v>
      </c>
      <c r="AV27" s="282" t="s">
        <v>32</v>
      </c>
      <c r="AW27" s="282" t="s">
        <v>32</v>
      </c>
      <c r="AX27" s="282" t="s">
        <v>377</v>
      </c>
      <c r="AY27" s="282" t="s">
        <v>377</v>
      </c>
      <c r="AZ27" s="282" t="s">
        <v>377</v>
      </c>
      <c r="BA27" s="282" t="s">
        <v>377</v>
      </c>
      <c r="BB27" s="282" t="s">
        <v>32</v>
      </c>
      <c r="BC27" s="282" t="s">
        <v>32</v>
      </c>
      <c r="BD27" s="284" t="s">
        <v>32</v>
      </c>
    </row>
    <row r="28">
      <c r="A28" s="281">
        <v>44805.40374136574</v>
      </c>
      <c r="B28" s="282" t="s">
        <v>519</v>
      </c>
      <c r="C28" s="282">
        <v>2022.0</v>
      </c>
      <c r="D28" s="282" t="s">
        <v>16</v>
      </c>
      <c r="E28" s="282" t="s">
        <v>476</v>
      </c>
      <c r="F28" s="282" t="s">
        <v>14</v>
      </c>
      <c r="G28" s="282" t="s">
        <v>477</v>
      </c>
      <c r="H28" s="282" t="s">
        <v>522</v>
      </c>
      <c r="I28" s="282" t="s">
        <v>17</v>
      </c>
      <c r="J28" s="282">
        <v>12.0</v>
      </c>
      <c r="K28" s="282" t="s">
        <v>497</v>
      </c>
      <c r="L28" s="282" t="s">
        <v>498</v>
      </c>
      <c r="M28" s="282" t="s">
        <v>497</v>
      </c>
      <c r="N28" s="282" t="s">
        <v>509</v>
      </c>
      <c r="O28" s="283"/>
      <c r="P28" s="283"/>
      <c r="Q28" s="283"/>
      <c r="R28" s="282" t="s">
        <v>377</v>
      </c>
      <c r="S28" s="282" t="s">
        <v>377</v>
      </c>
      <c r="T28" s="282" t="s">
        <v>32</v>
      </c>
      <c r="U28" s="282" t="s">
        <v>18</v>
      </c>
      <c r="V28" s="282" t="s">
        <v>377</v>
      </c>
      <c r="W28" s="282" t="s">
        <v>18</v>
      </c>
      <c r="X28" s="282" t="s">
        <v>32</v>
      </c>
      <c r="Y28" s="282" t="s">
        <v>18</v>
      </c>
      <c r="Z28" s="282" t="s">
        <v>18</v>
      </c>
      <c r="AA28" s="282" t="s">
        <v>18</v>
      </c>
      <c r="AB28" s="282" t="s">
        <v>18</v>
      </c>
      <c r="AC28" s="282" t="s">
        <v>18</v>
      </c>
      <c r="AD28" s="282" t="s">
        <v>18</v>
      </c>
      <c r="AE28" s="282" t="s">
        <v>18</v>
      </c>
      <c r="AF28" s="282" t="s">
        <v>18</v>
      </c>
      <c r="AG28" s="282" t="s">
        <v>18</v>
      </c>
      <c r="AH28" s="282" t="s">
        <v>18</v>
      </c>
      <c r="AI28" s="282" t="s">
        <v>377</v>
      </c>
      <c r="AJ28" s="282" t="s">
        <v>32</v>
      </c>
      <c r="AK28" s="282" t="s">
        <v>18</v>
      </c>
      <c r="AL28" s="282" t="s">
        <v>18</v>
      </c>
      <c r="AM28" s="282" t="s">
        <v>18</v>
      </c>
      <c r="AN28" s="282" t="s">
        <v>18</v>
      </c>
      <c r="AO28" s="282" t="s">
        <v>18</v>
      </c>
      <c r="AP28" s="282" t="s">
        <v>18</v>
      </c>
      <c r="AQ28" s="282" t="s">
        <v>18</v>
      </c>
      <c r="AR28" s="282" t="s">
        <v>32</v>
      </c>
      <c r="AS28" s="282" t="s">
        <v>32</v>
      </c>
      <c r="AT28" s="282" t="s">
        <v>32</v>
      </c>
      <c r="AU28" s="282" t="s">
        <v>377</v>
      </c>
      <c r="AV28" s="282" t="s">
        <v>32</v>
      </c>
      <c r="AW28" s="282" t="s">
        <v>32</v>
      </c>
      <c r="AX28" s="282" t="s">
        <v>32</v>
      </c>
      <c r="AY28" s="282" t="s">
        <v>18</v>
      </c>
      <c r="AZ28" s="282" t="s">
        <v>18</v>
      </c>
      <c r="BA28" s="282" t="s">
        <v>18</v>
      </c>
      <c r="BB28" s="282" t="s">
        <v>32</v>
      </c>
      <c r="BC28" s="282" t="s">
        <v>32</v>
      </c>
      <c r="BD28" s="284" t="s">
        <v>32</v>
      </c>
    </row>
    <row r="29">
      <c r="A29" s="281">
        <v>44805.40514793982</v>
      </c>
      <c r="B29" s="282" t="s">
        <v>519</v>
      </c>
      <c r="C29" s="282">
        <v>2022.0</v>
      </c>
      <c r="D29" s="282" t="s">
        <v>16</v>
      </c>
      <c r="E29" s="282" t="s">
        <v>476</v>
      </c>
      <c r="F29" s="282" t="s">
        <v>14</v>
      </c>
      <c r="G29" s="282" t="s">
        <v>477</v>
      </c>
      <c r="H29" s="282" t="s">
        <v>523</v>
      </c>
      <c r="I29" s="282" t="s">
        <v>21</v>
      </c>
      <c r="J29" s="282">
        <v>12.0</v>
      </c>
      <c r="K29" s="282" t="s">
        <v>497</v>
      </c>
      <c r="L29" s="282" t="s">
        <v>498</v>
      </c>
      <c r="M29" s="282" t="s">
        <v>497</v>
      </c>
      <c r="N29" s="282" t="s">
        <v>509</v>
      </c>
      <c r="O29" s="283"/>
      <c r="P29" s="283"/>
      <c r="Q29" s="283"/>
      <c r="R29" s="282" t="s">
        <v>377</v>
      </c>
      <c r="S29" s="282" t="s">
        <v>377</v>
      </c>
      <c r="T29" s="282" t="s">
        <v>377</v>
      </c>
      <c r="U29" s="282" t="s">
        <v>18</v>
      </c>
      <c r="V29" s="282" t="s">
        <v>377</v>
      </c>
      <c r="W29" s="282" t="s">
        <v>377</v>
      </c>
      <c r="X29" s="282" t="s">
        <v>18</v>
      </c>
      <c r="Y29" s="282" t="s">
        <v>377</v>
      </c>
      <c r="Z29" s="282" t="s">
        <v>377</v>
      </c>
      <c r="AA29" s="282" t="s">
        <v>18</v>
      </c>
      <c r="AB29" s="282" t="s">
        <v>377</v>
      </c>
      <c r="AC29" s="282" t="s">
        <v>377</v>
      </c>
      <c r="AD29" s="282" t="s">
        <v>377</v>
      </c>
      <c r="AE29" s="282" t="s">
        <v>377</v>
      </c>
      <c r="AF29" s="282" t="s">
        <v>377</v>
      </c>
      <c r="AG29" s="282" t="s">
        <v>377</v>
      </c>
      <c r="AH29" s="282" t="s">
        <v>377</v>
      </c>
      <c r="AI29" s="282" t="s">
        <v>377</v>
      </c>
      <c r="AJ29" s="282" t="s">
        <v>377</v>
      </c>
      <c r="AK29" s="282" t="s">
        <v>377</v>
      </c>
      <c r="AL29" s="282" t="s">
        <v>377</v>
      </c>
      <c r="AM29" s="282" t="s">
        <v>377</v>
      </c>
      <c r="AN29" s="282" t="s">
        <v>377</v>
      </c>
      <c r="AO29" s="282" t="s">
        <v>377</v>
      </c>
      <c r="AP29" s="282" t="s">
        <v>377</v>
      </c>
      <c r="AQ29" s="282" t="s">
        <v>18</v>
      </c>
      <c r="AR29" s="282" t="s">
        <v>32</v>
      </c>
      <c r="AS29" s="282" t="s">
        <v>377</v>
      </c>
      <c r="AT29" s="282" t="s">
        <v>377</v>
      </c>
      <c r="AU29" s="282" t="s">
        <v>377</v>
      </c>
      <c r="AV29" s="282" t="s">
        <v>377</v>
      </c>
      <c r="AW29" s="282" t="s">
        <v>377</v>
      </c>
      <c r="AX29" s="282" t="s">
        <v>377</v>
      </c>
      <c r="AY29" s="282" t="s">
        <v>377</v>
      </c>
      <c r="AZ29" s="282" t="s">
        <v>377</v>
      </c>
      <c r="BA29" s="282" t="s">
        <v>377</v>
      </c>
      <c r="BB29" s="282" t="s">
        <v>32</v>
      </c>
      <c r="BC29" s="282" t="s">
        <v>377</v>
      </c>
      <c r="BD29" s="284" t="s">
        <v>377</v>
      </c>
    </row>
    <row r="30">
      <c r="A30" s="281">
        <v>44805.422709085644</v>
      </c>
      <c r="B30" s="282" t="s">
        <v>519</v>
      </c>
      <c r="C30" s="282">
        <v>2022.0</v>
      </c>
      <c r="D30" s="282" t="s">
        <v>16</v>
      </c>
      <c r="E30" s="282" t="s">
        <v>476</v>
      </c>
      <c r="F30" s="282" t="s">
        <v>14</v>
      </c>
      <c r="G30" s="282" t="s">
        <v>477</v>
      </c>
      <c r="H30" s="282" t="s">
        <v>524</v>
      </c>
      <c r="I30" s="282" t="s">
        <v>17</v>
      </c>
      <c r="J30" s="282">
        <v>11.0</v>
      </c>
      <c r="K30" s="282" t="s">
        <v>497</v>
      </c>
      <c r="L30" s="282" t="s">
        <v>498</v>
      </c>
      <c r="M30" s="282" t="s">
        <v>497</v>
      </c>
      <c r="N30" s="282" t="s">
        <v>509</v>
      </c>
      <c r="O30" s="283"/>
      <c r="P30" s="283"/>
      <c r="Q30" s="283"/>
      <c r="R30" s="282" t="s">
        <v>377</v>
      </c>
      <c r="S30" s="282" t="s">
        <v>377</v>
      </c>
      <c r="T30" s="282" t="s">
        <v>18</v>
      </c>
      <c r="U30" s="282" t="s">
        <v>32</v>
      </c>
      <c r="V30" s="282" t="s">
        <v>32</v>
      </c>
      <c r="W30" s="282" t="s">
        <v>32</v>
      </c>
      <c r="X30" s="282" t="s">
        <v>377</v>
      </c>
      <c r="Y30" s="282" t="s">
        <v>32</v>
      </c>
      <c r="Z30" s="282" t="s">
        <v>377</v>
      </c>
      <c r="AA30" s="282" t="s">
        <v>32</v>
      </c>
      <c r="AB30" s="282" t="s">
        <v>32</v>
      </c>
      <c r="AC30" s="282" t="s">
        <v>32</v>
      </c>
      <c r="AD30" s="282" t="s">
        <v>377</v>
      </c>
      <c r="AE30" s="282" t="s">
        <v>377</v>
      </c>
      <c r="AF30" s="282" t="s">
        <v>377</v>
      </c>
      <c r="AG30" s="282" t="s">
        <v>377</v>
      </c>
      <c r="AH30" s="282" t="s">
        <v>377</v>
      </c>
      <c r="AI30" s="282" t="s">
        <v>377</v>
      </c>
      <c r="AJ30" s="282" t="s">
        <v>377</v>
      </c>
      <c r="AK30" s="282" t="s">
        <v>18</v>
      </c>
      <c r="AL30" s="282" t="s">
        <v>32</v>
      </c>
      <c r="AM30" s="282" t="s">
        <v>32</v>
      </c>
      <c r="AN30" s="282" t="s">
        <v>32</v>
      </c>
      <c r="AO30" s="282" t="s">
        <v>18</v>
      </c>
      <c r="AP30" s="282" t="s">
        <v>18</v>
      </c>
      <c r="AQ30" s="282" t="s">
        <v>18</v>
      </c>
      <c r="AR30" s="282" t="s">
        <v>32</v>
      </c>
      <c r="AS30" s="282" t="s">
        <v>32</v>
      </c>
      <c r="AT30" s="282" t="s">
        <v>32</v>
      </c>
      <c r="AU30" s="282" t="s">
        <v>32</v>
      </c>
      <c r="AV30" s="282" t="s">
        <v>32</v>
      </c>
      <c r="AW30" s="282" t="s">
        <v>32</v>
      </c>
      <c r="AX30" s="282" t="s">
        <v>377</v>
      </c>
      <c r="AY30" s="282" t="s">
        <v>32</v>
      </c>
      <c r="AZ30" s="282" t="s">
        <v>32</v>
      </c>
      <c r="BA30" s="282" t="s">
        <v>32</v>
      </c>
      <c r="BB30" s="282" t="s">
        <v>32</v>
      </c>
      <c r="BC30" s="282" t="s">
        <v>32</v>
      </c>
      <c r="BD30" s="284" t="s">
        <v>377</v>
      </c>
    </row>
    <row r="31">
      <c r="A31" s="281">
        <v>44790.4817722338</v>
      </c>
      <c r="B31" s="282" t="s">
        <v>525</v>
      </c>
      <c r="C31" s="282">
        <v>2022.0</v>
      </c>
      <c r="D31" s="282" t="s">
        <v>16</v>
      </c>
      <c r="E31" s="282" t="s">
        <v>476</v>
      </c>
      <c r="F31" s="282" t="s">
        <v>14</v>
      </c>
      <c r="G31" s="282" t="s">
        <v>477</v>
      </c>
      <c r="H31" s="282" t="s">
        <v>526</v>
      </c>
      <c r="I31" s="282" t="s">
        <v>21</v>
      </c>
      <c r="J31" s="282">
        <v>11.0</v>
      </c>
      <c r="K31" s="282" t="s">
        <v>497</v>
      </c>
      <c r="L31" s="282" t="s">
        <v>498</v>
      </c>
      <c r="M31" s="282" t="s">
        <v>479</v>
      </c>
      <c r="N31" s="282" t="s">
        <v>481</v>
      </c>
      <c r="O31" s="283"/>
      <c r="P31" s="283"/>
      <c r="Q31" s="283"/>
      <c r="R31" s="282" t="s">
        <v>377</v>
      </c>
      <c r="S31" s="282" t="s">
        <v>377</v>
      </c>
      <c r="T31" s="282" t="s">
        <v>32</v>
      </c>
      <c r="U31" s="282" t="s">
        <v>18</v>
      </c>
      <c r="V31" s="282" t="s">
        <v>377</v>
      </c>
      <c r="W31" s="282" t="s">
        <v>18</v>
      </c>
      <c r="X31" s="282" t="s">
        <v>32</v>
      </c>
      <c r="Y31" s="282" t="s">
        <v>377</v>
      </c>
      <c r="Z31" s="282" t="s">
        <v>18</v>
      </c>
      <c r="AA31" s="282" t="s">
        <v>32</v>
      </c>
      <c r="AB31" s="282" t="s">
        <v>377</v>
      </c>
      <c r="AC31" s="282" t="s">
        <v>32</v>
      </c>
      <c r="AD31" s="282" t="s">
        <v>18</v>
      </c>
      <c r="AE31" s="282" t="s">
        <v>377</v>
      </c>
      <c r="AF31" s="282" t="s">
        <v>32</v>
      </c>
      <c r="AG31" s="282" t="s">
        <v>32</v>
      </c>
      <c r="AH31" s="282" t="s">
        <v>32</v>
      </c>
      <c r="AI31" s="282" t="s">
        <v>18</v>
      </c>
      <c r="AJ31" s="282" t="s">
        <v>18</v>
      </c>
      <c r="AK31" s="282" t="s">
        <v>18</v>
      </c>
      <c r="AL31" s="282" t="s">
        <v>18</v>
      </c>
      <c r="AM31" s="282" t="s">
        <v>18</v>
      </c>
      <c r="AN31" s="282" t="s">
        <v>18</v>
      </c>
      <c r="AO31" s="282" t="s">
        <v>18</v>
      </c>
      <c r="AP31" s="282" t="s">
        <v>18</v>
      </c>
      <c r="AQ31" s="282" t="s">
        <v>18</v>
      </c>
      <c r="AR31" s="282" t="s">
        <v>32</v>
      </c>
      <c r="AS31" s="282" t="s">
        <v>377</v>
      </c>
      <c r="AT31" s="282" t="s">
        <v>18</v>
      </c>
      <c r="AU31" s="282" t="s">
        <v>32</v>
      </c>
      <c r="AV31" s="282" t="s">
        <v>32</v>
      </c>
      <c r="AW31" s="282" t="s">
        <v>32</v>
      </c>
      <c r="AX31" s="282" t="s">
        <v>32</v>
      </c>
      <c r="AY31" s="282" t="s">
        <v>377</v>
      </c>
      <c r="AZ31" s="282" t="s">
        <v>18</v>
      </c>
      <c r="BA31" s="282" t="s">
        <v>32</v>
      </c>
      <c r="BB31" s="282" t="s">
        <v>32</v>
      </c>
      <c r="BC31" s="282" t="s">
        <v>18</v>
      </c>
      <c r="BD31" s="284" t="s">
        <v>18</v>
      </c>
    </row>
    <row r="32">
      <c r="A32" s="281">
        <v>44796.95530998842</v>
      </c>
      <c r="B32" s="282" t="s">
        <v>506</v>
      </c>
      <c r="C32" s="282">
        <v>2022.0</v>
      </c>
      <c r="D32" s="282" t="s">
        <v>16</v>
      </c>
      <c r="E32" s="282" t="s">
        <v>476</v>
      </c>
      <c r="F32" s="282" t="s">
        <v>14</v>
      </c>
      <c r="G32" s="282" t="s">
        <v>477</v>
      </c>
      <c r="H32" s="282" t="s">
        <v>527</v>
      </c>
      <c r="I32" s="282" t="s">
        <v>17</v>
      </c>
      <c r="J32" s="282">
        <v>11.0</v>
      </c>
      <c r="K32" s="282" t="s">
        <v>479</v>
      </c>
      <c r="L32" s="282" t="s">
        <v>508</v>
      </c>
      <c r="M32" s="282" t="s">
        <v>497</v>
      </c>
      <c r="N32" s="282" t="s">
        <v>509</v>
      </c>
      <c r="O32" s="283"/>
      <c r="P32" s="283"/>
      <c r="Q32" s="283"/>
      <c r="R32" s="282" t="s">
        <v>377</v>
      </c>
      <c r="S32" s="282" t="s">
        <v>377</v>
      </c>
      <c r="T32" s="282" t="s">
        <v>377</v>
      </c>
      <c r="U32" s="282" t="s">
        <v>377</v>
      </c>
      <c r="V32" s="282" t="s">
        <v>377</v>
      </c>
      <c r="W32" s="282" t="s">
        <v>18</v>
      </c>
      <c r="X32" s="282" t="s">
        <v>377</v>
      </c>
      <c r="Y32" s="282" t="s">
        <v>377</v>
      </c>
      <c r="Z32" s="282" t="s">
        <v>377</v>
      </c>
      <c r="AA32" s="282" t="s">
        <v>18</v>
      </c>
      <c r="AB32" s="282" t="s">
        <v>32</v>
      </c>
      <c r="AC32" s="282" t="s">
        <v>377</v>
      </c>
      <c r="AD32" s="282" t="s">
        <v>32</v>
      </c>
      <c r="AE32" s="282" t="s">
        <v>18</v>
      </c>
      <c r="AF32" s="282" t="s">
        <v>377</v>
      </c>
      <c r="AG32" s="282" t="s">
        <v>18</v>
      </c>
      <c r="AH32" s="282" t="s">
        <v>377</v>
      </c>
      <c r="AI32" s="282" t="s">
        <v>377</v>
      </c>
      <c r="AJ32" s="282" t="s">
        <v>377</v>
      </c>
      <c r="AK32" s="282" t="s">
        <v>18</v>
      </c>
      <c r="AL32" s="282" t="s">
        <v>377</v>
      </c>
      <c r="AM32" s="282" t="s">
        <v>377</v>
      </c>
      <c r="AN32" s="282" t="s">
        <v>18</v>
      </c>
      <c r="AO32" s="282" t="s">
        <v>18</v>
      </c>
      <c r="AP32" s="282" t="s">
        <v>18</v>
      </c>
      <c r="AQ32" s="282" t="s">
        <v>18</v>
      </c>
      <c r="AR32" s="282" t="s">
        <v>32</v>
      </c>
      <c r="AS32" s="282" t="s">
        <v>18</v>
      </c>
      <c r="AT32" s="282" t="s">
        <v>18</v>
      </c>
      <c r="AU32" s="282" t="s">
        <v>18</v>
      </c>
      <c r="AV32" s="282" t="s">
        <v>377</v>
      </c>
      <c r="AW32" s="282" t="s">
        <v>377</v>
      </c>
      <c r="AX32" s="282" t="s">
        <v>377</v>
      </c>
      <c r="AY32" s="282" t="s">
        <v>377</v>
      </c>
      <c r="AZ32" s="282" t="s">
        <v>18</v>
      </c>
      <c r="BA32" s="282" t="s">
        <v>377</v>
      </c>
      <c r="BB32" s="282" t="s">
        <v>32</v>
      </c>
      <c r="BC32" s="282" t="s">
        <v>18</v>
      </c>
      <c r="BD32" s="284" t="s">
        <v>377</v>
      </c>
    </row>
    <row r="33">
      <c r="A33" s="281">
        <v>44796.9577425</v>
      </c>
      <c r="B33" s="282" t="s">
        <v>506</v>
      </c>
      <c r="C33" s="282">
        <v>2022.0</v>
      </c>
      <c r="D33" s="282" t="s">
        <v>16</v>
      </c>
      <c r="E33" s="282" t="s">
        <v>476</v>
      </c>
      <c r="F33" s="282" t="s">
        <v>14</v>
      </c>
      <c r="G33" s="282" t="s">
        <v>477</v>
      </c>
      <c r="H33" s="282" t="s">
        <v>528</v>
      </c>
      <c r="I33" s="282" t="s">
        <v>21</v>
      </c>
      <c r="J33" s="282">
        <v>12.0</v>
      </c>
      <c r="K33" s="282" t="s">
        <v>479</v>
      </c>
      <c r="L33" s="282" t="s">
        <v>508</v>
      </c>
      <c r="M33" s="282" t="s">
        <v>497</v>
      </c>
      <c r="N33" s="282" t="s">
        <v>509</v>
      </c>
      <c r="O33" s="283"/>
      <c r="P33" s="283"/>
      <c r="Q33" s="283"/>
      <c r="R33" s="282" t="s">
        <v>18</v>
      </c>
      <c r="S33" s="282" t="s">
        <v>377</v>
      </c>
      <c r="T33" s="282" t="s">
        <v>377</v>
      </c>
      <c r="U33" s="282" t="s">
        <v>18</v>
      </c>
      <c r="V33" s="282" t="s">
        <v>377</v>
      </c>
      <c r="W33" s="282" t="s">
        <v>18</v>
      </c>
      <c r="X33" s="282" t="s">
        <v>377</v>
      </c>
      <c r="Y33" s="282" t="s">
        <v>18</v>
      </c>
      <c r="Z33" s="282" t="s">
        <v>18</v>
      </c>
      <c r="AA33" s="282" t="s">
        <v>18</v>
      </c>
      <c r="AB33" s="282" t="s">
        <v>18</v>
      </c>
      <c r="AC33" s="282" t="s">
        <v>18</v>
      </c>
      <c r="AD33" s="282" t="s">
        <v>18</v>
      </c>
      <c r="AE33" s="282" t="s">
        <v>18</v>
      </c>
      <c r="AF33" s="282" t="s">
        <v>377</v>
      </c>
      <c r="AG33" s="282" t="s">
        <v>377</v>
      </c>
      <c r="AH33" s="282" t="s">
        <v>18</v>
      </c>
      <c r="AI33" s="282" t="s">
        <v>18</v>
      </c>
      <c r="AJ33" s="282" t="s">
        <v>18</v>
      </c>
      <c r="AK33" s="282" t="s">
        <v>18</v>
      </c>
      <c r="AL33" s="282" t="s">
        <v>18</v>
      </c>
      <c r="AM33" s="282" t="s">
        <v>18</v>
      </c>
      <c r="AN33" s="282" t="s">
        <v>18</v>
      </c>
      <c r="AO33" s="282" t="s">
        <v>18</v>
      </c>
      <c r="AP33" s="282" t="s">
        <v>18</v>
      </c>
      <c r="AQ33" s="282" t="s">
        <v>18</v>
      </c>
      <c r="AR33" s="282" t="s">
        <v>377</v>
      </c>
      <c r="AS33" s="282" t="s">
        <v>18</v>
      </c>
      <c r="AT33" s="282" t="s">
        <v>18</v>
      </c>
      <c r="AU33" s="282" t="s">
        <v>18</v>
      </c>
      <c r="AV33" s="282" t="s">
        <v>377</v>
      </c>
      <c r="AW33" s="282" t="s">
        <v>18</v>
      </c>
      <c r="AX33" s="282" t="s">
        <v>377</v>
      </c>
      <c r="AY33" s="282" t="s">
        <v>18</v>
      </c>
      <c r="AZ33" s="282" t="s">
        <v>18</v>
      </c>
      <c r="BA33" s="282" t="s">
        <v>18</v>
      </c>
      <c r="BB33" s="282" t="s">
        <v>32</v>
      </c>
      <c r="BC33" s="282" t="s">
        <v>377</v>
      </c>
      <c r="BD33" s="284" t="s">
        <v>18</v>
      </c>
    </row>
    <row r="34">
      <c r="A34" s="281">
        <v>44796.96399842593</v>
      </c>
      <c r="B34" s="282" t="s">
        <v>506</v>
      </c>
      <c r="C34" s="282">
        <v>2022.0</v>
      </c>
      <c r="D34" s="282" t="s">
        <v>16</v>
      </c>
      <c r="E34" s="282" t="s">
        <v>476</v>
      </c>
      <c r="F34" s="282" t="s">
        <v>14</v>
      </c>
      <c r="G34" s="282" t="s">
        <v>477</v>
      </c>
      <c r="H34" s="282" t="s">
        <v>529</v>
      </c>
      <c r="I34" s="282" t="s">
        <v>21</v>
      </c>
      <c r="J34" s="282">
        <v>13.0</v>
      </c>
      <c r="K34" s="282" t="s">
        <v>479</v>
      </c>
      <c r="L34" s="282" t="s">
        <v>508</v>
      </c>
      <c r="M34" s="282" t="s">
        <v>497</v>
      </c>
      <c r="N34" s="282" t="s">
        <v>509</v>
      </c>
      <c r="O34" s="283"/>
      <c r="P34" s="283"/>
      <c r="Q34" s="283"/>
      <c r="R34" s="282" t="s">
        <v>18</v>
      </c>
      <c r="S34" s="282" t="s">
        <v>377</v>
      </c>
      <c r="T34" s="282" t="s">
        <v>377</v>
      </c>
      <c r="U34" s="282" t="s">
        <v>18</v>
      </c>
      <c r="V34" s="282" t="s">
        <v>377</v>
      </c>
      <c r="W34" s="282" t="s">
        <v>18</v>
      </c>
      <c r="X34" s="282" t="s">
        <v>377</v>
      </c>
      <c r="Y34" s="282" t="s">
        <v>18</v>
      </c>
      <c r="Z34" s="282" t="s">
        <v>18</v>
      </c>
      <c r="AA34" s="282" t="s">
        <v>18</v>
      </c>
      <c r="AB34" s="282" t="s">
        <v>18</v>
      </c>
      <c r="AC34" s="282" t="s">
        <v>18</v>
      </c>
      <c r="AD34" s="282" t="s">
        <v>18</v>
      </c>
      <c r="AE34" s="282" t="s">
        <v>377</v>
      </c>
      <c r="AF34" s="282" t="s">
        <v>377</v>
      </c>
      <c r="AG34" s="282" t="s">
        <v>18</v>
      </c>
      <c r="AH34" s="282" t="s">
        <v>377</v>
      </c>
      <c r="AI34" s="282" t="s">
        <v>377</v>
      </c>
      <c r="AJ34" s="282" t="s">
        <v>377</v>
      </c>
      <c r="AK34" s="282" t="s">
        <v>18</v>
      </c>
      <c r="AL34" s="282" t="s">
        <v>377</v>
      </c>
      <c r="AM34" s="282" t="s">
        <v>377</v>
      </c>
      <c r="AN34" s="282" t="s">
        <v>377</v>
      </c>
      <c r="AO34" s="282" t="s">
        <v>18</v>
      </c>
      <c r="AP34" s="282" t="s">
        <v>18</v>
      </c>
      <c r="AQ34" s="282" t="s">
        <v>18</v>
      </c>
      <c r="AR34" s="282" t="s">
        <v>377</v>
      </c>
      <c r="AS34" s="282" t="s">
        <v>377</v>
      </c>
      <c r="AT34" s="282" t="s">
        <v>377</v>
      </c>
      <c r="AU34" s="282" t="s">
        <v>18</v>
      </c>
      <c r="AV34" s="282" t="s">
        <v>18</v>
      </c>
      <c r="AW34" s="282" t="s">
        <v>18</v>
      </c>
      <c r="AX34" s="282" t="s">
        <v>18</v>
      </c>
      <c r="AY34" s="282" t="s">
        <v>18</v>
      </c>
      <c r="AZ34" s="282" t="s">
        <v>18</v>
      </c>
      <c r="BA34" s="282" t="s">
        <v>18</v>
      </c>
      <c r="BB34" s="282" t="s">
        <v>32</v>
      </c>
      <c r="BC34" s="282" t="s">
        <v>377</v>
      </c>
      <c r="BD34" s="284" t="s">
        <v>18</v>
      </c>
    </row>
    <row r="35">
      <c r="A35" s="281">
        <v>44796.96796891204</v>
      </c>
      <c r="B35" s="282" t="s">
        <v>506</v>
      </c>
      <c r="C35" s="282">
        <v>2022.0</v>
      </c>
      <c r="D35" s="282" t="s">
        <v>16</v>
      </c>
      <c r="E35" s="282" t="s">
        <v>476</v>
      </c>
      <c r="F35" s="282" t="s">
        <v>14</v>
      </c>
      <c r="G35" s="282" t="s">
        <v>477</v>
      </c>
      <c r="H35" s="282" t="s">
        <v>530</v>
      </c>
      <c r="I35" s="282" t="s">
        <v>17</v>
      </c>
      <c r="J35" s="282">
        <v>12.0</v>
      </c>
      <c r="K35" s="282" t="s">
        <v>479</v>
      </c>
      <c r="L35" s="282" t="s">
        <v>508</v>
      </c>
      <c r="M35" s="282" t="s">
        <v>497</v>
      </c>
      <c r="N35" s="282" t="s">
        <v>509</v>
      </c>
      <c r="O35" s="283"/>
      <c r="P35" s="283"/>
      <c r="Q35" s="283"/>
      <c r="R35" s="282" t="s">
        <v>377</v>
      </c>
      <c r="S35" s="282" t="s">
        <v>377</v>
      </c>
      <c r="T35" s="282" t="s">
        <v>377</v>
      </c>
      <c r="U35" s="282" t="s">
        <v>18</v>
      </c>
      <c r="V35" s="282" t="s">
        <v>18</v>
      </c>
      <c r="W35" s="282" t="s">
        <v>18</v>
      </c>
      <c r="X35" s="282" t="s">
        <v>18</v>
      </c>
      <c r="Y35" s="282" t="s">
        <v>377</v>
      </c>
      <c r="Z35" s="282" t="s">
        <v>377</v>
      </c>
      <c r="AA35" s="282" t="s">
        <v>18</v>
      </c>
      <c r="AB35" s="282" t="s">
        <v>377</v>
      </c>
      <c r="AC35" s="282" t="s">
        <v>377</v>
      </c>
      <c r="AD35" s="282" t="s">
        <v>377</v>
      </c>
      <c r="AE35" s="282" t="s">
        <v>377</v>
      </c>
      <c r="AF35" s="282" t="s">
        <v>377</v>
      </c>
      <c r="AG35" s="282" t="s">
        <v>377</v>
      </c>
      <c r="AH35" s="282" t="s">
        <v>377</v>
      </c>
      <c r="AI35" s="282" t="s">
        <v>377</v>
      </c>
      <c r="AJ35" s="282" t="s">
        <v>18</v>
      </c>
      <c r="AK35" s="282" t="s">
        <v>377</v>
      </c>
      <c r="AL35" s="282" t="s">
        <v>377</v>
      </c>
      <c r="AM35" s="282" t="s">
        <v>18</v>
      </c>
      <c r="AN35" s="282" t="s">
        <v>377</v>
      </c>
      <c r="AO35" s="282" t="s">
        <v>377</v>
      </c>
      <c r="AP35" s="282" t="s">
        <v>377</v>
      </c>
      <c r="AQ35" s="282" t="s">
        <v>18</v>
      </c>
      <c r="AR35" s="282" t="s">
        <v>377</v>
      </c>
      <c r="AS35" s="282" t="s">
        <v>377</v>
      </c>
      <c r="AT35" s="282" t="s">
        <v>377</v>
      </c>
      <c r="AU35" s="282" t="s">
        <v>377</v>
      </c>
      <c r="AV35" s="282" t="s">
        <v>377</v>
      </c>
      <c r="AW35" s="282" t="s">
        <v>377</v>
      </c>
      <c r="AX35" s="282" t="s">
        <v>377</v>
      </c>
      <c r="AY35" s="282" t="s">
        <v>377</v>
      </c>
      <c r="AZ35" s="282" t="s">
        <v>18</v>
      </c>
      <c r="BA35" s="282" t="s">
        <v>377</v>
      </c>
      <c r="BB35" s="282" t="s">
        <v>377</v>
      </c>
      <c r="BC35" s="282" t="s">
        <v>377</v>
      </c>
      <c r="BD35" s="284" t="s">
        <v>377</v>
      </c>
    </row>
    <row r="36">
      <c r="A36" s="281">
        <v>44797.452113692125</v>
      </c>
      <c r="B36" s="282" t="s">
        <v>375</v>
      </c>
      <c r="C36" s="282">
        <v>2022.0</v>
      </c>
      <c r="D36" s="282" t="s">
        <v>16</v>
      </c>
      <c r="E36" s="282" t="s">
        <v>476</v>
      </c>
      <c r="F36" s="282" t="s">
        <v>14</v>
      </c>
      <c r="G36" s="282" t="s">
        <v>477</v>
      </c>
      <c r="H36" s="282" t="s">
        <v>531</v>
      </c>
      <c r="I36" s="282" t="s">
        <v>17</v>
      </c>
      <c r="J36" s="282">
        <v>12.0</v>
      </c>
      <c r="K36" s="282" t="s">
        <v>479</v>
      </c>
      <c r="L36" s="282" t="s">
        <v>532</v>
      </c>
      <c r="M36" s="282" t="s">
        <v>479</v>
      </c>
      <c r="N36" s="282" t="s">
        <v>483</v>
      </c>
      <c r="O36" s="283"/>
      <c r="P36" s="283"/>
      <c r="Q36" s="283"/>
      <c r="R36" s="282" t="s">
        <v>377</v>
      </c>
      <c r="S36" s="282" t="s">
        <v>377</v>
      </c>
      <c r="T36" s="282" t="s">
        <v>18</v>
      </c>
      <c r="U36" s="282" t="s">
        <v>32</v>
      </c>
      <c r="V36" s="282" t="s">
        <v>377</v>
      </c>
      <c r="W36" s="282" t="s">
        <v>18</v>
      </c>
      <c r="X36" s="282" t="s">
        <v>32</v>
      </c>
      <c r="Y36" s="282" t="s">
        <v>32</v>
      </c>
      <c r="Z36" s="282" t="s">
        <v>32</v>
      </c>
      <c r="AA36" s="282" t="s">
        <v>32</v>
      </c>
      <c r="AB36" s="282" t="s">
        <v>377</v>
      </c>
      <c r="AC36" s="282" t="s">
        <v>18</v>
      </c>
      <c r="AD36" s="282" t="s">
        <v>32</v>
      </c>
      <c r="AE36" s="282" t="s">
        <v>377</v>
      </c>
      <c r="AF36" s="282" t="s">
        <v>32</v>
      </c>
      <c r="AG36" s="282" t="s">
        <v>377</v>
      </c>
      <c r="AH36" s="282" t="s">
        <v>32</v>
      </c>
      <c r="AI36" s="282" t="s">
        <v>377</v>
      </c>
      <c r="AJ36" s="282" t="s">
        <v>377</v>
      </c>
      <c r="AK36" s="282" t="s">
        <v>18</v>
      </c>
      <c r="AL36" s="282" t="s">
        <v>377</v>
      </c>
      <c r="AM36" s="282" t="s">
        <v>377</v>
      </c>
      <c r="AN36" s="282" t="s">
        <v>18</v>
      </c>
      <c r="AO36" s="282" t="s">
        <v>18</v>
      </c>
      <c r="AP36" s="282" t="s">
        <v>18</v>
      </c>
      <c r="AQ36" s="282" t="s">
        <v>18</v>
      </c>
      <c r="AR36" s="282" t="s">
        <v>377</v>
      </c>
      <c r="AS36" s="282" t="s">
        <v>32</v>
      </c>
      <c r="AT36" s="282" t="s">
        <v>32</v>
      </c>
      <c r="AU36" s="282" t="s">
        <v>32</v>
      </c>
      <c r="AV36" s="282" t="s">
        <v>32</v>
      </c>
      <c r="AW36" s="282" t="s">
        <v>377</v>
      </c>
      <c r="AX36" s="282" t="s">
        <v>32</v>
      </c>
      <c r="AY36" s="282" t="s">
        <v>18</v>
      </c>
      <c r="AZ36" s="282" t="s">
        <v>18</v>
      </c>
      <c r="BA36" s="282" t="s">
        <v>18</v>
      </c>
      <c r="BB36" s="282" t="s">
        <v>377</v>
      </c>
      <c r="BC36" s="282" t="s">
        <v>377</v>
      </c>
      <c r="BD36" s="284" t="s">
        <v>18</v>
      </c>
    </row>
    <row r="37">
      <c r="A37" s="281">
        <v>44797.762456666664</v>
      </c>
      <c r="B37" s="282" t="s">
        <v>375</v>
      </c>
      <c r="C37" s="282">
        <v>2022.0</v>
      </c>
      <c r="D37" s="282" t="s">
        <v>16</v>
      </c>
      <c r="E37" s="282" t="s">
        <v>476</v>
      </c>
      <c r="F37" s="282" t="s">
        <v>14</v>
      </c>
      <c r="G37" s="282" t="s">
        <v>477</v>
      </c>
      <c r="H37" s="282" t="s">
        <v>533</v>
      </c>
      <c r="I37" s="282" t="s">
        <v>17</v>
      </c>
      <c r="J37" s="282">
        <v>11.0</v>
      </c>
      <c r="K37" s="282" t="s">
        <v>479</v>
      </c>
      <c r="L37" s="282" t="s">
        <v>532</v>
      </c>
      <c r="M37" s="282" t="s">
        <v>479</v>
      </c>
      <c r="N37" s="282" t="s">
        <v>483</v>
      </c>
      <c r="O37" s="283"/>
      <c r="P37" s="283"/>
      <c r="Q37" s="283"/>
      <c r="R37" s="282" t="s">
        <v>377</v>
      </c>
      <c r="S37" s="282" t="s">
        <v>377</v>
      </c>
      <c r="T37" s="282" t="s">
        <v>32</v>
      </c>
      <c r="U37" s="282" t="s">
        <v>18</v>
      </c>
      <c r="V37" s="282" t="s">
        <v>32</v>
      </c>
      <c r="W37" s="282" t="s">
        <v>377</v>
      </c>
      <c r="X37" s="282" t="s">
        <v>32</v>
      </c>
      <c r="Y37" s="282" t="s">
        <v>32</v>
      </c>
      <c r="Z37" s="282" t="s">
        <v>32</v>
      </c>
      <c r="AA37" s="282" t="s">
        <v>377</v>
      </c>
      <c r="AB37" s="282" t="s">
        <v>377</v>
      </c>
      <c r="AC37" s="282" t="s">
        <v>377</v>
      </c>
      <c r="AD37" s="282" t="s">
        <v>18</v>
      </c>
      <c r="AE37" s="282" t="s">
        <v>377</v>
      </c>
      <c r="AF37" s="282" t="s">
        <v>32</v>
      </c>
      <c r="AG37" s="282" t="s">
        <v>32</v>
      </c>
      <c r="AH37" s="282" t="s">
        <v>32</v>
      </c>
      <c r="AI37" s="282" t="s">
        <v>377</v>
      </c>
      <c r="AJ37" s="282" t="s">
        <v>377</v>
      </c>
      <c r="AK37" s="282" t="s">
        <v>377</v>
      </c>
      <c r="AL37" s="282" t="s">
        <v>377</v>
      </c>
      <c r="AM37" s="282" t="s">
        <v>377</v>
      </c>
      <c r="AN37" s="282" t="s">
        <v>377</v>
      </c>
      <c r="AO37" s="282" t="s">
        <v>18</v>
      </c>
      <c r="AP37" s="282" t="s">
        <v>18</v>
      </c>
      <c r="AQ37" s="282" t="s">
        <v>18</v>
      </c>
      <c r="AR37" s="282" t="s">
        <v>377</v>
      </c>
      <c r="AS37" s="282" t="s">
        <v>377</v>
      </c>
      <c r="AT37" s="282" t="s">
        <v>377</v>
      </c>
      <c r="AU37" s="282" t="s">
        <v>377</v>
      </c>
      <c r="AV37" s="282" t="s">
        <v>32</v>
      </c>
      <c r="AW37" s="282" t="s">
        <v>32</v>
      </c>
      <c r="AX37" s="282" t="s">
        <v>32</v>
      </c>
      <c r="AY37" s="282" t="s">
        <v>377</v>
      </c>
      <c r="AZ37" s="282" t="s">
        <v>377</v>
      </c>
      <c r="BA37" s="282" t="s">
        <v>377</v>
      </c>
      <c r="BB37" s="282" t="s">
        <v>377</v>
      </c>
      <c r="BC37" s="282" t="s">
        <v>377</v>
      </c>
      <c r="BD37" s="284" t="s">
        <v>32</v>
      </c>
    </row>
    <row r="38">
      <c r="A38" s="281">
        <v>44798.32492834491</v>
      </c>
      <c r="B38" s="282" t="s">
        <v>375</v>
      </c>
      <c r="C38" s="282">
        <v>2022.0</v>
      </c>
      <c r="D38" s="282" t="s">
        <v>16</v>
      </c>
      <c r="E38" s="282" t="s">
        <v>476</v>
      </c>
      <c r="F38" s="282" t="s">
        <v>14</v>
      </c>
      <c r="G38" s="282" t="s">
        <v>477</v>
      </c>
      <c r="H38" s="282" t="s">
        <v>534</v>
      </c>
      <c r="I38" s="282" t="s">
        <v>17</v>
      </c>
      <c r="J38" s="282">
        <v>12.0</v>
      </c>
      <c r="K38" s="282" t="s">
        <v>479</v>
      </c>
      <c r="L38" s="282" t="s">
        <v>532</v>
      </c>
      <c r="M38" s="282" t="s">
        <v>479</v>
      </c>
      <c r="N38" s="282" t="s">
        <v>490</v>
      </c>
      <c r="O38" s="283"/>
      <c r="P38" s="283"/>
      <c r="Q38" s="283"/>
      <c r="R38" s="282" t="s">
        <v>377</v>
      </c>
      <c r="S38" s="282" t="s">
        <v>377</v>
      </c>
      <c r="T38" s="282" t="s">
        <v>377</v>
      </c>
      <c r="U38" s="282" t="s">
        <v>18</v>
      </c>
      <c r="V38" s="282" t="s">
        <v>32</v>
      </c>
      <c r="W38" s="282" t="s">
        <v>32</v>
      </c>
      <c r="X38" s="282" t="s">
        <v>32</v>
      </c>
      <c r="Y38" s="282" t="s">
        <v>377</v>
      </c>
      <c r="Z38" s="282" t="s">
        <v>32</v>
      </c>
      <c r="AA38" s="282" t="s">
        <v>18</v>
      </c>
      <c r="AB38" s="282" t="s">
        <v>32</v>
      </c>
      <c r="AC38" s="282" t="s">
        <v>377</v>
      </c>
      <c r="AD38" s="282" t="s">
        <v>32</v>
      </c>
      <c r="AE38" s="282" t="s">
        <v>377</v>
      </c>
      <c r="AF38" s="282" t="s">
        <v>32</v>
      </c>
      <c r="AG38" s="282" t="s">
        <v>377</v>
      </c>
      <c r="AH38" s="282" t="s">
        <v>32</v>
      </c>
      <c r="AI38" s="282" t="s">
        <v>377</v>
      </c>
      <c r="AJ38" s="282" t="s">
        <v>377</v>
      </c>
      <c r="AK38" s="282" t="s">
        <v>377</v>
      </c>
      <c r="AL38" s="282" t="s">
        <v>32</v>
      </c>
      <c r="AM38" s="282" t="s">
        <v>32</v>
      </c>
      <c r="AN38" s="282" t="s">
        <v>377</v>
      </c>
      <c r="AO38" s="282" t="s">
        <v>377</v>
      </c>
      <c r="AP38" s="282" t="s">
        <v>18</v>
      </c>
      <c r="AQ38" s="282" t="s">
        <v>377</v>
      </c>
      <c r="AR38" s="282" t="s">
        <v>32</v>
      </c>
      <c r="AS38" s="282" t="s">
        <v>377</v>
      </c>
      <c r="AT38" s="282" t="s">
        <v>32</v>
      </c>
      <c r="AU38" s="282" t="s">
        <v>18</v>
      </c>
      <c r="AV38" s="282" t="s">
        <v>32</v>
      </c>
      <c r="AW38" s="282" t="s">
        <v>32</v>
      </c>
      <c r="AX38" s="282" t="s">
        <v>32</v>
      </c>
      <c r="AY38" s="282" t="s">
        <v>32</v>
      </c>
      <c r="AZ38" s="282" t="s">
        <v>377</v>
      </c>
      <c r="BA38" s="282" t="s">
        <v>32</v>
      </c>
      <c r="BB38" s="282" t="s">
        <v>377</v>
      </c>
      <c r="BC38" s="282" t="s">
        <v>32</v>
      </c>
      <c r="BD38" s="284" t="s">
        <v>377</v>
      </c>
    </row>
    <row r="39">
      <c r="A39" s="281">
        <v>44798.38350846065</v>
      </c>
      <c r="B39" s="282" t="s">
        <v>375</v>
      </c>
      <c r="C39" s="282">
        <v>2022.0</v>
      </c>
      <c r="D39" s="282" t="s">
        <v>16</v>
      </c>
      <c r="E39" s="282" t="s">
        <v>476</v>
      </c>
      <c r="F39" s="282" t="s">
        <v>14</v>
      </c>
      <c r="G39" s="282" t="s">
        <v>477</v>
      </c>
      <c r="H39" s="282" t="s">
        <v>535</v>
      </c>
      <c r="I39" s="282" t="s">
        <v>21</v>
      </c>
      <c r="J39" s="282">
        <v>12.0</v>
      </c>
      <c r="K39" s="282" t="s">
        <v>479</v>
      </c>
      <c r="L39" s="282" t="s">
        <v>532</v>
      </c>
      <c r="M39" s="282" t="s">
        <v>479</v>
      </c>
      <c r="N39" s="282" t="s">
        <v>483</v>
      </c>
      <c r="O39" s="283"/>
      <c r="P39" s="283"/>
      <c r="Q39" s="283"/>
      <c r="R39" s="282" t="s">
        <v>32</v>
      </c>
      <c r="S39" s="282" t="s">
        <v>377</v>
      </c>
      <c r="T39" s="282" t="s">
        <v>18</v>
      </c>
      <c r="U39" s="282" t="s">
        <v>32</v>
      </c>
      <c r="V39" s="282" t="s">
        <v>32</v>
      </c>
      <c r="W39" s="282" t="s">
        <v>32</v>
      </c>
      <c r="X39" s="282" t="s">
        <v>32</v>
      </c>
      <c r="Y39" s="282" t="s">
        <v>32</v>
      </c>
      <c r="Z39" s="282" t="s">
        <v>32</v>
      </c>
      <c r="AA39" s="282" t="s">
        <v>32</v>
      </c>
      <c r="AB39" s="282" t="s">
        <v>32</v>
      </c>
      <c r="AC39" s="282" t="s">
        <v>32</v>
      </c>
      <c r="AD39" s="282" t="s">
        <v>32</v>
      </c>
      <c r="AE39" s="282" t="s">
        <v>32</v>
      </c>
      <c r="AF39" s="282" t="s">
        <v>32</v>
      </c>
      <c r="AG39" s="282" t="s">
        <v>32</v>
      </c>
      <c r="AH39" s="282" t="s">
        <v>32</v>
      </c>
      <c r="AI39" s="282" t="s">
        <v>32</v>
      </c>
      <c r="AJ39" s="282" t="s">
        <v>377</v>
      </c>
      <c r="AK39" s="282" t="s">
        <v>32</v>
      </c>
      <c r="AL39" s="282" t="s">
        <v>32</v>
      </c>
      <c r="AM39" s="282" t="s">
        <v>32</v>
      </c>
      <c r="AN39" s="282" t="s">
        <v>32</v>
      </c>
      <c r="AO39" s="282" t="s">
        <v>377</v>
      </c>
      <c r="AP39" s="282" t="s">
        <v>377</v>
      </c>
      <c r="AQ39" s="282" t="s">
        <v>377</v>
      </c>
      <c r="AR39" s="282" t="s">
        <v>377</v>
      </c>
      <c r="AS39" s="282" t="s">
        <v>32</v>
      </c>
      <c r="AT39" s="282" t="s">
        <v>377</v>
      </c>
      <c r="AU39" s="282" t="s">
        <v>32</v>
      </c>
      <c r="AV39" s="282" t="s">
        <v>32</v>
      </c>
      <c r="AW39" s="282" t="s">
        <v>32</v>
      </c>
      <c r="AX39" s="282" t="s">
        <v>377</v>
      </c>
      <c r="AY39" s="282" t="s">
        <v>32</v>
      </c>
      <c r="AZ39" s="282" t="s">
        <v>32</v>
      </c>
      <c r="BA39" s="282" t="s">
        <v>32</v>
      </c>
      <c r="BB39" s="282" t="s">
        <v>32</v>
      </c>
      <c r="BC39" s="282" t="s">
        <v>377</v>
      </c>
      <c r="BD39" s="284" t="s">
        <v>32</v>
      </c>
    </row>
    <row r="40">
      <c r="A40" s="281">
        <v>44798.38684568287</v>
      </c>
      <c r="B40" s="282" t="s">
        <v>375</v>
      </c>
      <c r="C40" s="282">
        <v>2022.0</v>
      </c>
      <c r="D40" s="282" t="s">
        <v>16</v>
      </c>
      <c r="E40" s="282" t="s">
        <v>476</v>
      </c>
      <c r="F40" s="282" t="s">
        <v>14</v>
      </c>
      <c r="G40" s="282" t="s">
        <v>477</v>
      </c>
      <c r="H40" s="282" t="s">
        <v>536</v>
      </c>
      <c r="I40" s="282" t="s">
        <v>17</v>
      </c>
      <c r="J40" s="282">
        <v>11.0</v>
      </c>
      <c r="K40" s="282" t="s">
        <v>479</v>
      </c>
      <c r="L40" s="282" t="s">
        <v>532</v>
      </c>
      <c r="M40" s="282" t="s">
        <v>479</v>
      </c>
      <c r="N40" s="282" t="s">
        <v>481</v>
      </c>
      <c r="O40" s="283"/>
      <c r="P40" s="283"/>
      <c r="Q40" s="283"/>
      <c r="R40" s="282" t="s">
        <v>377</v>
      </c>
      <c r="S40" s="282" t="s">
        <v>377</v>
      </c>
      <c r="T40" s="282" t="s">
        <v>18</v>
      </c>
      <c r="U40" s="282" t="s">
        <v>32</v>
      </c>
      <c r="V40" s="282" t="s">
        <v>32</v>
      </c>
      <c r="W40" s="282" t="s">
        <v>377</v>
      </c>
      <c r="X40" s="282" t="s">
        <v>32</v>
      </c>
      <c r="Y40" s="282" t="s">
        <v>377</v>
      </c>
      <c r="Z40" s="282" t="s">
        <v>32</v>
      </c>
      <c r="AA40" s="282" t="s">
        <v>18</v>
      </c>
      <c r="AB40" s="282" t="s">
        <v>377</v>
      </c>
      <c r="AC40" s="282" t="s">
        <v>377</v>
      </c>
      <c r="AD40" s="282" t="s">
        <v>18</v>
      </c>
      <c r="AE40" s="282" t="s">
        <v>377</v>
      </c>
      <c r="AF40" s="282" t="s">
        <v>377</v>
      </c>
      <c r="AG40" s="282" t="s">
        <v>377</v>
      </c>
      <c r="AH40" s="282" t="s">
        <v>377</v>
      </c>
      <c r="AI40" s="282" t="s">
        <v>32</v>
      </c>
      <c r="AJ40" s="282" t="s">
        <v>32</v>
      </c>
      <c r="AK40" s="282" t="s">
        <v>32</v>
      </c>
      <c r="AL40" s="282" t="s">
        <v>18</v>
      </c>
      <c r="AM40" s="282" t="s">
        <v>18</v>
      </c>
      <c r="AN40" s="282" t="s">
        <v>18</v>
      </c>
      <c r="AO40" s="282" t="s">
        <v>377</v>
      </c>
      <c r="AP40" s="282" t="s">
        <v>32</v>
      </c>
      <c r="AQ40" s="282" t="s">
        <v>18</v>
      </c>
      <c r="AR40" s="282" t="s">
        <v>377</v>
      </c>
      <c r="AS40" s="282" t="s">
        <v>377</v>
      </c>
      <c r="AT40" s="282" t="s">
        <v>18</v>
      </c>
      <c r="AU40" s="282" t="s">
        <v>32</v>
      </c>
      <c r="AV40" s="282" t="s">
        <v>377</v>
      </c>
      <c r="AW40" s="282" t="s">
        <v>18</v>
      </c>
      <c r="AX40" s="282" t="s">
        <v>32</v>
      </c>
      <c r="AY40" s="282" t="s">
        <v>377</v>
      </c>
      <c r="AZ40" s="282" t="s">
        <v>32</v>
      </c>
      <c r="BA40" s="282" t="s">
        <v>18</v>
      </c>
      <c r="BB40" s="282" t="s">
        <v>377</v>
      </c>
      <c r="BC40" s="282" t="s">
        <v>32</v>
      </c>
      <c r="BD40" s="284" t="s">
        <v>18</v>
      </c>
    </row>
    <row r="41">
      <c r="A41" s="281">
        <v>44798.44094380787</v>
      </c>
      <c r="B41" s="282" t="s">
        <v>375</v>
      </c>
      <c r="C41" s="282">
        <v>2022.0</v>
      </c>
      <c r="D41" s="282" t="s">
        <v>16</v>
      </c>
      <c r="E41" s="282" t="s">
        <v>476</v>
      </c>
      <c r="F41" s="282" t="s">
        <v>14</v>
      </c>
      <c r="G41" s="282" t="s">
        <v>477</v>
      </c>
      <c r="H41" s="282" t="s">
        <v>537</v>
      </c>
      <c r="I41" s="282" t="s">
        <v>17</v>
      </c>
      <c r="J41" s="282">
        <v>11.0</v>
      </c>
      <c r="K41" s="282" t="s">
        <v>479</v>
      </c>
      <c r="L41" s="282" t="s">
        <v>532</v>
      </c>
      <c r="M41" s="282" t="s">
        <v>479</v>
      </c>
      <c r="N41" s="282" t="s">
        <v>481</v>
      </c>
      <c r="O41" s="283"/>
      <c r="P41" s="283"/>
      <c r="Q41" s="283"/>
      <c r="R41" s="282" t="s">
        <v>377</v>
      </c>
      <c r="S41" s="282" t="s">
        <v>377</v>
      </c>
      <c r="T41" s="282" t="s">
        <v>377</v>
      </c>
      <c r="U41" s="282" t="s">
        <v>377</v>
      </c>
      <c r="V41" s="282" t="s">
        <v>377</v>
      </c>
      <c r="W41" s="282" t="s">
        <v>18</v>
      </c>
      <c r="X41" s="282" t="s">
        <v>32</v>
      </c>
      <c r="Y41" s="282" t="s">
        <v>377</v>
      </c>
      <c r="Z41" s="282" t="s">
        <v>377</v>
      </c>
      <c r="AA41" s="282" t="s">
        <v>18</v>
      </c>
      <c r="AB41" s="282" t="s">
        <v>377</v>
      </c>
      <c r="AC41" s="282" t="s">
        <v>18</v>
      </c>
      <c r="AD41" s="282" t="s">
        <v>377</v>
      </c>
      <c r="AE41" s="282" t="s">
        <v>377</v>
      </c>
      <c r="AF41" s="282" t="s">
        <v>377</v>
      </c>
      <c r="AG41" s="282" t="s">
        <v>377</v>
      </c>
      <c r="AH41" s="282" t="s">
        <v>377</v>
      </c>
      <c r="AI41" s="282" t="s">
        <v>32</v>
      </c>
      <c r="AJ41" s="282" t="s">
        <v>32</v>
      </c>
      <c r="AK41" s="282" t="s">
        <v>377</v>
      </c>
      <c r="AL41" s="282" t="s">
        <v>32</v>
      </c>
      <c r="AM41" s="282" t="s">
        <v>32</v>
      </c>
      <c r="AN41" s="282" t="s">
        <v>377</v>
      </c>
      <c r="AO41" s="282" t="s">
        <v>377</v>
      </c>
      <c r="AP41" s="282" t="s">
        <v>18</v>
      </c>
      <c r="AQ41" s="282" t="s">
        <v>377</v>
      </c>
      <c r="AR41" s="282" t="s">
        <v>32</v>
      </c>
      <c r="AS41" s="282" t="s">
        <v>377</v>
      </c>
      <c r="AT41" s="282" t="s">
        <v>18</v>
      </c>
      <c r="AU41" s="282" t="s">
        <v>32</v>
      </c>
      <c r="AV41" s="282" t="s">
        <v>32</v>
      </c>
      <c r="AW41" s="282" t="s">
        <v>32</v>
      </c>
      <c r="AX41" s="282" t="s">
        <v>32</v>
      </c>
      <c r="AY41" s="282" t="s">
        <v>32</v>
      </c>
      <c r="AZ41" s="282" t="s">
        <v>377</v>
      </c>
      <c r="BA41" s="282" t="s">
        <v>32</v>
      </c>
      <c r="BB41" s="282" t="s">
        <v>32</v>
      </c>
      <c r="BC41" s="282" t="s">
        <v>18</v>
      </c>
      <c r="BD41" s="284" t="s">
        <v>18</v>
      </c>
    </row>
    <row r="42">
      <c r="A42" s="281">
        <v>44789.79484366898</v>
      </c>
      <c r="B42" s="282" t="s">
        <v>486</v>
      </c>
      <c r="C42" s="282">
        <v>2022.0</v>
      </c>
      <c r="D42" s="282" t="s">
        <v>16</v>
      </c>
      <c r="E42" s="282" t="s">
        <v>476</v>
      </c>
      <c r="F42" s="282" t="s">
        <v>14</v>
      </c>
      <c r="G42" s="282" t="s">
        <v>477</v>
      </c>
      <c r="H42" s="282" t="s">
        <v>538</v>
      </c>
      <c r="I42" s="282" t="s">
        <v>17</v>
      </c>
      <c r="J42" s="282">
        <v>11.0</v>
      </c>
      <c r="K42" s="282" t="s">
        <v>479</v>
      </c>
      <c r="L42" s="282" t="s">
        <v>532</v>
      </c>
      <c r="M42" s="282" t="s">
        <v>479</v>
      </c>
      <c r="N42" s="282" t="s">
        <v>481</v>
      </c>
      <c r="O42" s="283"/>
      <c r="P42" s="283"/>
      <c r="Q42" s="283"/>
      <c r="R42" s="282" t="s">
        <v>377</v>
      </c>
      <c r="S42" s="282" t="s">
        <v>377</v>
      </c>
      <c r="T42" s="282" t="s">
        <v>377</v>
      </c>
      <c r="U42" s="282" t="s">
        <v>377</v>
      </c>
      <c r="V42" s="282" t="s">
        <v>32</v>
      </c>
      <c r="W42" s="282" t="s">
        <v>32</v>
      </c>
      <c r="X42" s="282" t="s">
        <v>377</v>
      </c>
      <c r="Y42" s="282" t="s">
        <v>377</v>
      </c>
      <c r="Z42" s="282" t="s">
        <v>32</v>
      </c>
      <c r="AA42" s="282" t="s">
        <v>18</v>
      </c>
      <c r="AB42" s="282" t="s">
        <v>377</v>
      </c>
      <c r="AC42" s="282" t="s">
        <v>377</v>
      </c>
      <c r="AD42" s="282" t="s">
        <v>377</v>
      </c>
      <c r="AE42" s="282" t="s">
        <v>377</v>
      </c>
      <c r="AF42" s="282" t="s">
        <v>377</v>
      </c>
      <c r="AG42" s="282" t="s">
        <v>377</v>
      </c>
      <c r="AH42" s="282" t="s">
        <v>377</v>
      </c>
      <c r="AI42" s="282" t="s">
        <v>32</v>
      </c>
      <c r="AJ42" s="282" t="s">
        <v>32</v>
      </c>
      <c r="AK42" s="282" t="s">
        <v>377</v>
      </c>
      <c r="AL42" s="282" t="s">
        <v>32</v>
      </c>
      <c r="AM42" s="282" t="s">
        <v>32</v>
      </c>
      <c r="AN42" s="282" t="s">
        <v>377</v>
      </c>
      <c r="AO42" s="282" t="s">
        <v>32</v>
      </c>
      <c r="AP42" s="282" t="s">
        <v>377</v>
      </c>
      <c r="AQ42" s="282" t="s">
        <v>32</v>
      </c>
      <c r="AR42" s="282" t="s">
        <v>377</v>
      </c>
      <c r="AS42" s="282" t="s">
        <v>377</v>
      </c>
      <c r="AT42" s="282" t="s">
        <v>377</v>
      </c>
      <c r="AU42" s="282" t="s">
        <v>377</v>
      </c>
      <c r="AV42" s="282" t="s">
        <v>377</v>
      </c>
      <c r="AW42" s="282" t="s">
        <v>377</v>
      </c>
      <c r="AX42" s="282" t="s">
        <v>377</v>
      </c>
      <c r="AY42" s="282" t="s">
        <v>32</v>
      </c>
      <c r="AZ42" s="282" t="s">
        <v>377</v>
      </c>
      <c r="BA42" s="282" t="s">
        <v>32</v>
      </c>
      <c r="BB42" s="282" t="s">
        <v>377</v>
      </c>
      <c r="BC42" s="282" t="s">
        <v>377</v>
      </c>
      <c r="BD42" s="284" t="s">
        <v>377</v>
      </c>
    </row>
    <row r="43">
      <c r="A43" s="281">
        <v>44785.44136350694</v>
      </c>
      <c r="B43" s="282" t="s">
        <v>504</v>
      </c>
      <c r="C43" s="282">
        <v>2022.0</v>
      </c>
      <c r="D43" s="282" t="s">
        <v>16</v>
      </c>
      <c r="E43" s="282" t="s">
        <v>476</v>
      </c>
      <c r="F43" s="282" t="s">
        <v>14</v>
      </c>
      <c r="G43" s="282" t="s">
        <v>477</v>
      </c>
      <c r="H43" s="282" t="s">
        <v>539</v>
      </c>
      <c r="I43" s="282" t="s">
        <v>21</v>
      </c>
      <c r="J43" s="282">
        <v>11.0</v>
      </c>
      <c r="K43" s="282" t="s">
        <v>479</v>
      </c>
      <c r="L43" s="282" t="s">
        <v>532</v>
      </c>
      <c r="M43" s="282" t="s">
        <v>497</v>
      </c>
      <c r="N43" s="282" t="s">
        <v>509</v>
      </c>
      <c r="O43" s="283"/>
      <c r="P43" s="283"/>
      <c r="Q43" s="283"/>
      <c r="R43" s="282" t="s">
        <v>377</v>
      </c>
      <c r="S43" s="282" t="s">
        <v>377</v>
      </c>
      <c r="T43" s="282" t="s">
        <v>32</v>
      </c>
      <c r="U43" s="282" t="s">
        <v>18</v>
      </c>
      <c r="V43" s="282" t="s">
        <v>32</v>
      </c>
      <c r="W43" s="282" t="s">
        <v>32</v>
      </c>
      <c r="X43" s="282" t="s">
        <v>32</v>
      </c>
      <c r="Y43" s="282" t="s">
        <v>377</v>
      </c>
      <c r="Z43" s="282" t="s">
        <v>32</v>
      </c>
      <c r="AA43" s="282" t="s">
        <v>18</v>
      </c>
      <c r="AB43" s="282" t="s">
        <v>377</v>
      </c>
      <c r="AC43" s="282" t="s">
        <v>32</v>
      </c>
      <c r="AD43" s="282" t="s">
        <v>18</v>
      </c>
      <c r="AE43" s="282" t="s">
        <v>377</v>
      </c>
      <c r="AF43" s="282" t="s">
        <v>377</v>
      </c>
      <c r="AG43" s="282" t="s">
        <v>32</v>
      </c>
      <c r="AH43" s="282" t="s">
        <v>18</v>
      </c>
      <c r="AI43" s="282" t="s">
        <v>18</v>
      </c>
      <c r="AJ43" s="282" t="s">
        <v>18</v>
      </c>
      <c r="AK43" s="282" t="s">
        <v>18</v>
      </c>
      <c r="AL43" s="282" t="s">
        <v>377</v>
      </c>
      <c r="AM43" s="282" t="s">
        <v>32</v>
      </c>
      <c r="AN43" s="282" t="s">
        <v>18</v>
      </c>
      <c r="AO43" s="282" t="s">
        <v>32</v>
      </c>
      <c r="AP43" s="282" t="s">
        <v>377</v>
      </c>
      <c r="AQ43" s="282" t="s">
        <v>32</v>
      </c>
      <c r="AR43" s="282" t="s">
        <v>32</v>
      </c>
      <c r="AS43" s="282" t="s">
        <v>32</v>
      </c>
      <c r="AT43" s="282" t="s">
        <v>377</v>
      </c>
      <c r="AU43" s="282" t="s">
        <v>32</v>
      </c>
      <c r="AV43" s="282" t="s">
        <v>32</v>
      </c>
      <c r="AW43" s="282" t="s">
        <v>32</v>
      </c>
      <c r="AX43" s="282" t="s">
        <v>32</v>
      </c>
      <c r="AY43" s="282" t="s">
        <v>32</v>
      </c>
      <c r="AZ43" s="282" t="s">
        <v>32</v>
      </c>
      <c r="BA43" s="282" t="s">
        <v>32</v>
      </c>
      <c r="BB43" s="282" t="s">
        <v>32</v>
      </c>
      <c r="BC43" s="282" t="s">
        <v>32</v>
      </c>
      <c r="BD43" s="284" t="s">
        <v>18</v>
      </c>
    </row>
    <row r="44">
      <c r="A44" s="281">
        <v>44785.45430626157</v>
      </c>
      <c r="B44" s="282" t="s">
        <v>504</v>
      </c>
      <c r="C44" s="282">
        <v>2022.0</v>
      </c>
      <c r="D44" s="282" t="s">
        <v>16</v>
      </c>
      <c r="E44" s="282" t="s">
        <v>476</v>
      </c>
      <c r="F44" s="282" t="s">
        <v>14</v>
      </c>
      <c r="G44" s="282" t="s">
        <v>477</v>
      </c>
      <c r="H44" s="282" t="s">
        <v>540</v>
      </c>
      <c r="I44" s="282" t="s">
        <v>21</v>
      </c>
      <c r="J44" s="282">
        <v>12.0</v>
      </c>
      <c r="K44" s="282" t="s">
        <v>479</v>
      </c>
      <c r="L44" s="282" t="s">
        <v>532</v>
      </c>
      <c r="M44" s="282" t="s">
        <v>497</v>
      </c>
      <c r="N44" s="282" t="s">
        <v>509</v>
      </c>
      <c r="O44" s="283"/>
      <c r="P44" s="283"/>
      <c r="Q44" s="283"/>
      <c r="R44" s="282" t="s">
        <v>377</v>
      </c>
      <c r="S44" s="282" t="s">
        <v>377</v>
      </c>
      <c r="T44" s="282" t="s">
        <v>32</v>
      </c>
      <c r="U44" s="282" t="s">
        <v>18</v>
      </c>
      <c r="V44" s="282" t="s">
        <v>377</v>
      </c>
      <c r="W44" s="282" t="s">
        <v>18</v>
      </c>
      <c r="X44" s="282" t="s">
        <v>32</v>
      </c>
      <c r="Y44" s="282" t="s">
        <v>377</v>
      </c>
      <c r="Z44" s="282" t="s">
        <v>32</v>
      </c>
      <c r="AA44" s="282" t="s">
        <v>18</v>
      </c>
      <c r="AB44" s="282" t="s">
        <v>377</v>
      </c>
      <c r="AC44" s="282" t="s">
        <v>32</v>
      </c>
      <c r="AD44" s="282" t="s">
        <v>18</v>
      </c>
      <c r="AE44" s="282" t="s">
        <v>377</v>
      </c>
      <c r="AF44" s="282" t="s">
        <v>32</v>
      </c>
      <c r="AG44" s="282" t="s">
        <v>32</v>
      </c>
      <c r="AH44" s="282" t="s">
        <v>377</v>
      </c>
      <c r="AI44" s="282" t="s">
        <v>377</v>
      </c>
      <c r="AJ44" s="282" t="s">
        <v>377</v>
      </c>
      <c r="AK44" s="282" t="s">
        <v>18</v>
      </c>
      <c r="AL44" s="282" t="s">
        <v>18</v>
      </c>
      <c r="AM44" s="282" t="s">
        <v>18</v>
      </c>
      <c r="AN44" s="282" t="s">
        <v>18</v>
      </c>
      <c r="AO44" s="282" t="s">
        <v>18</v>
      </c>
      <c r="AP44" s="282" t="s">
        <v>18</v>
      </c>
      <c r="AQ44" s="282" t="s">
        <v>18</v>
      </c>
      <c r="AR44" s="282" t="s">
        <v>377</v>
      </c>
      <c r="AS44" s="282" t="s">
        <v>32</v>
      </c>
      <c r="AT44" s="282" t="s">
        <v>32</v>
      </c>
      <c r="AU44" s="282" t="s">
        <v>32</v>
      </c>
      <c r="AV44" s="282" t="s">
        <v>32</v>
      </c>
      <c r="AW44" s="282" t="s">
        <v>32</v>
      </c>
      <c r="AX44" s="282" t="s">
        <v>32</v>
      </c>
      <c r="AY44" s="282" t="s">
        <v>32</v>
      </c>
      <c r="AZ44" s="282" t="s">
        <v>32</v>
      </c>
      <c r="BA44" s="282" t="s">
        <v>377</v>
      </c>
      <c r="BB44" s="282" t="s">
        <v>377</v>
      </c>
      <c r="BC44" s="282" t="s">
        <v>32</v>
      </c>
      <c r="BD44" s="284" t="s">
        <v>32</v>
      </c>
    </row>
    <row r="45">
      <c r="A45" s="281">
        <v>44785.46924332176</v>
      </c>
      <c r="B45" s="282" t="s">
        <v>504</v>
      </c>
      <c r="C45" s="282">
        <v>2022.0</v>
      </c>
      <c r="D45" s="282" t="s">
        <v>16</v>
      </c>
      <c r="E45" s="282" t="s">
        <v>476</v>
      </c>
      <c r="F45" s="282" t="s">
        <v>14</v>
      </c>
      <c r="G45" s="282" t="s">
        <v>477</v>
      </c>
      <c r="H45" s="282" t="s">
        <v>541</v>
      </c>
      <c r="I45" s="282" t="s">
        <v>17</v>
      </c>
      <c r="J45" s="282">
        <v>12.0</v>
      </c>
      <c r="K45" s="282" t="s">
        <v>479</v>
      </c>
      <c r="L45" s="282" t="s">
        <v>532</v>
      </c>
      <c r="M45" s="282" t="s">
        <v>497</v>
      </c>
      <c r="N45" s="282" t="s">
        <v>509</v>
      </c>
      <c r="O45" s="283"/>
      <c r="P45" s="283"/>
      <c r="Q45" s="283"/>
      <c r="R45" s="282" t="s">
        <v>377</v>
      </c>
      <c r="S45" s="282" t="s">
        <v>377</v>
      </c>
      <c r="T45" s="282" t="s">
        <v>377</v>
      </c>
      <c r="U45" s="282" t="s">
        <v>18</v>
      </c>
      <c r="V45" s="282" t="s">
        <v>377</v>
      </c>
      <c r="W45" s="282" t="s">
        <v>18</v>
      </c>
      <c r="X45" s="282" t="s">
        <v>32</v>
      </c>
      <c r="Y45" s="282" t="s">
        <v>18</v>
      </c>
      <c r="Z45" s="282" t="s">
        <v>18</v>
      </c>
      <c r="AA45" s="282" t="s">
        <v>18</v>
      </c>
      <c r="AB45" s="282" t="s">
        <v>377</v>
      </c>
      <c r="AC45" s="282" t="s">
        <v>32</v>
      </c>
      <c r="AD45" s="282" t="s">
        <v>18</v>
      </c>
      <c r="AE45" s="282" t="s">
        <v>377</v>
      </c>
      <c r="AF45" s="282" t="s">
        <v>377</v>
      </c>
      <c r="AG45" s="282" t="s">
        <v>377</v>
      </c>
      <c r="AH45" s="282" t="s">
        <v>18</v>
      </c>
      <c r="AI45" s="282" t="s">
        <v>377</v>
      </c>
      <c r="AJ45" s="282" t="s">
        <v>377</v>
      </c>
      <c r="AK45" s="282" t="s">
        <v>18</v>
      </c>
      <c r="AL45" s="282" t="s">
        <v>377</v>
      </c>
      <c r="AM45" s="282" t="s">
        <v>18</v>
      </c>
      <c r="AN45" s="282" t="s">
        <v>377</v>
      </c>
      <c r="AO45" s="282" t="s">
        <v>377</v>
      </c>
      <c r="AP45" s="282" t="s">
        <v>18</v>
      </c>
      <c r="AQ45" s="282" t="s">
        <v>377</v>
      </c>
      <c r="AR45" s="282" t="s">
        <v>32</v>
      </c>
      <c r="AS45" s="282" t="s">
        <v>18</v>
      </c>
      <c r="AT45" s="282" t="s">
        <v>18</v>
      </c>
      <c r="AU45" s="282" t="s">
        <v>18</v>
      </c>
      <c r="AV45" s="282" t="s">
        <v>377</v>
      </c>
      <c r="AW45" s="282" t="s">
        <v>377</v>
      </c>
      <c r="AX45" s="282" t="s">
        <v>18</v>
      </c>
      <c r="AY45" s="282" t="s">
        <v>18</v>
      </c>
      <c r="AZ45" s="282" t="s">
        <v>18</v>
      </c>
      <c r="BA45" s="282" t="s">
        <v>18</v>
      </c>
      <c r="BB45" s="282" t="s">
        <v>32</v>
      </c>
      <c r="BC45" s="282" t="s">
        <v>32</v>
      </c>
      <c r="BD45" s="284" t="s">
        <v>18</v>
      </c>
    </row>
    <row r="46">
      <c r="A46" s="281">
        <v>44785.48071142361</v>
      </c>
      <c r="B46" s="282" t="s">
        <v>504</v>
      </c>
      <c r="C46" s="282">
        <v>2022.0</v>
      </c>
      <c r="D46" s="282" t="s">
        <v>16</v>
      </c>
      <c r="E46" s="282" t="s">
        <v>476</v>
      </c>
      <c r="F46" s="282" t="s">
        <v>14</v>
      </c>
      <c r="G46" s="282" t="s">
        <v>477</v>
      </c>
      <c r="H46" s="282" t="s">
        <v>542</v>
      </c>
      <c r="I46" s="282" t="s">
        <v>17</v>
      </c>
      <c r="J46" s="282">
        <v>11.0</v>
      </c>
      <c r="K46" s="282" t="s">
        <v>479</v>
      </c>
      <c r="L46" s="282" t="s">
        <v>532</v>
      </c>
      <c r="M46" s="282" t="s">
        <v>497</v>
      </c>
      <c r="N46" s="282" t="s">
        <v>509</v>
      </c>
      <c r="O46" s="283"/>
      <c r="P46" s="283"/>
      <c r="Q46" s="283"/>
      <c r="R46" s="282" t="s">
        <v>377</v>
      </c>
      <c r="S46" s="282" t="s">
        <v>377</v>
      </c>
      <c r="T46" s="282" t="s">
        <v>377</v>
      </c>
      <c r="U46" s="282" t="s">
        <v>18</v>
      </c>
      <c r="V46" s="282" t="s">
        <v>32</v>
      </c>
      <c r="W46" s="282" t="s">
        <v>32</v>
      </c>
      <c r="X46" s="282" t="s">
        <v>32</v>
      </c>
      <c r="Y46" s="282" t="s">
        <v>18</v>
      </c>
      <c r="Z46" s="282" t="s">
        <v>18</v>
      </c>
      <c r="AA46" s="282" t="s">
        <v>18</v>
      </c>
      <c r="AB46" s="282" t="s">
        <v>377</v>
      </c>
      <c r="AC46" s="282" t="s">
        <v>377</v>
      </c>
      <c r="AD46" s="282" t="s">
        <v>377</v>
      </c>
      <c r="AE46" s="282" t="s">
        <v>18</v>
      </c>
      <c r="AF46" s="282" t="s">
        <v>377</v>
      </c>
      <c r="AG46" s="282" t="s">
        <v>377</v>
      </c>
      <c r="AH46" s="282" t="s">
        <v>18</v>
      </c>
      <c r="AI46" s="282" t="s">
        <v>377</v>
      </c>
      <c r="AJ46" s="282" t="s">
        <v>377</v>
      </c>
      <c r="AK46" s="282" t="s">
        <v>18</v>
      </c>
      <c r="AL46" s="282" t="s">
        <v>18</v>
      </c>
      <c r="AM46" s="282" t="s">
        <v>18</v>
      </c>
      <c r="AN46" s="282" t="s">
        <v>18</v>
      </c>
      <c r="AO46" s="282" t="s">
        <v>18</v>
      </c>
      <c r="AP46" s="282" t="s">
        <v>18</v>
      </c>
      <c r="AQ46" s="282" t="s">
        <v>18</v>
      </c>
      <c r="AR46" s="282" t="s">
        <v>32</v>
      </c>
      <c r="AS46" s="282" t="s">
        <v>377</v>
      </c>
      <c r="AT46" s="282" t="s">
        <v>32</v>
      </c>
      <c r="AU46" s="282" t="s">
        <v>18</v>
      </c>
      <c r="AV46" s="282" t="s">
        <v>32</v>
      </c>
      <c r="AW46" s="282" t="s">
        <v>32</v>
      </c>
      <c r="AX46" s="282" t="s">
        <v>32</v>
      </c>
      <c r="AY46" s="282" t="s">
        <v>18</v>
      </c>
      <c r="AZ46" s="282" t="s">
        <v>18</v>
      </c>
      <c r="BA46" s="282" t="s">
        <v>18</v>
      </c>
      <c r="BB46" s="282" t="s">
        <v>377</v>
      </c>
      <c r="BC46" s="282" t="s">
        <v>32</v>
      </c>
      <c r="BD46" s="284" t="s">
        <v>32</v>
      </c>
    </row>
    <row r="47">
      <c r="A47" s="281">
        <v>44796.82955497685</v>
      </c>
      <c r="B47" s="282" t="s">
        <v>506</v>
      </c>
      <c r="C47" s="282">
        <v>2022.0</v>
      </c>
      <c r="D47" s="282" t="s">
        <v>16</v>
      </c>
      <c r="E47" s="282" t="s">
        <v>476</v>
      </c>
      <c r="F47" s="282" t="s">
        <v>14</v>
      </c>
      <c r="G47" s="282" t="s">
        <v>477</v>
      </c>
      <c r="H47" s="282" t="s">
        <v>543</v>
      </c>
      <c r="I47" s="282" t="s">
        <v>21</v>
      </c>
      <c r="J47" s="282">
        <v>12.0</v>
      </c>
      <c r="K47" s="282" t="s">
        <v>479</v>
      </c>
      <c r="L47" s="282" t="s">
        <v>532</v>
      </c>
      <c r="M47" s="282" t="s">
        <v>497</v>
      </c>
      <c r="N47" s="282" t="s">
        <v>509</v>
      </c>
      <c r="O47" s="283"/>
      <c r="P47" s="283"/>
      <c r="Q47" s="283"/>
      <c r="R47" s="282" t="s">
        <v>32</v>
      </c>
      <c r="S47" s="282" t="s">
        <v>377</v>
      </c>
      <c r="T47" s="282" t="s">
        <v>18</v>
      </c>
      <c r="U47" s="282" t="s">
        <v>32</v>
      </c>
      <c r="V47" s="282" t="s">
        <v>32</v>
      </c>
      <c r="W47" s="282" t="s">
        <v>377</v>
      </c>
      <c r="X47" s="282" t="s">
        <v>32</v>
      </c>
      <c r="Y47" s="282" t="s">
        <v>32</v>
      </c>
      <c r="Z47" s="282" t="s">
        <v>32</v>
      </c>
      <c r="AA47" s="282" t="s">
        <v>32</v>
      </c>
      <c r="AB47" s="282" t="s">
        <v>32</v>
      </c>
      <c r="AC47" s="282" t="s">
        <v>377</v>
      </c>
      <c r="AD47" s="282" t="s">
        <v>32</v>
      </c>
      <c r="AE47" s="282" t="s">
        <v>32</v>
      </c>
      <c r="AF47" s="282" t="s">
        <v>377</v>
      </c>
      <c r="AG47" s="282" t="s">
        <v>18</v>
      </c>
      <c r="AH47" s="282" t="s">
        <v>32</v>
      </c>
      <c r="AI47" s="282" t="s">
        <v>32</v>
      </c>
      <c r="AJ47" s="282" t="s">
        <v>377</v>
      </c>
      <c r="AK47" s="282" t="s">
        <v>32</v>
      </c>
      <c r="AL47" s="282" t="s">
        <v>32</v>
      </c>
      <c r="AM47" s="282" t="s">
        <v>32</v>
      </c>
      <c r="AN47" s="282" t="s">
        <v>32</v>
      </c>
      <c r="AO47" s="282" t="s">
        <v>32</v>
      </c>
      <c r="AP47" s="282" t="s">
        <v>32</v>
      </c>
      <c r="AQ47" s="282" t="s">
        <v>32</v>
      </c>
      <c r="AR47" s="282" t="s">
        <v>377</v>
      </c>
      <c r="AS47" s="282" t="s">
        <v>32</v>
      </c>
      <c r="AT47" s="282" t="s">
        <v>32</v>
      </c>
      <c r="AU47" s="282" t="s">
        <v>32</v>
      </c>
      <c r="AV47" s="282" t="s">
        <v>32</v>
      </c>
      <c r="AW47" s="282" t="s">
        <v>32</v>
      </c>
      <c r="AX47" s="282" t="s">
        <v>32</v>
      </c>
      <c r="AY47" s="282" t="s">
        <v>377</v>
      </c>
      <c r="AZ47" s="282" t="s">
        <v>18</v>
      </c>
      <c r="BA47" s="282" t="s">
        <v>32</v>
      </c>
      <c r="BB47" s="282" t="s">
        <v>377</v>
      </c>
      <c r="BC47" s="282" t="s">
        <v>377</v>
      </c>
      <c r="BD47" s="284" t="s">
        <v>377</v>
      </c>
    </row>
    <row r="48">
      <c r="A48" s="281">
        <v>44797.95620238426</v>
      </c>
      <c r="B48" s="282" t="s">
        <v>375</v>
      </c>
      <c r="C48" s="282">
        <v>2022.0</v>
      </c>
      <c r="D48" s="282" t="s">
        <v>16</v>
      </c>
      <c r="E48" s="282" t="s">
        <v>476</v>
      </c>
      <c r="F48" s="282" t="s">
        <v>14</v>
      </c>
      <c r="G48" s="282" t="s">
        <v>477</v>
      </c>
      <c r="H48" s="282" t="s">
        <v>544</v>
      </c>
      <c r="I48" s="282" t="s">
        <v>21</v>
      </c>
      <c r="J48" s="282">
        <v>12.0</v>
      </c>
      <c r="K48" s="282" t="s">
        <v>479</v>
      </c>
      <c r="L48" s="282" t="s">
        <v>545</v>
      </c>
      <c r="M48" s="282" t="s">
        <v>479</v>
      </c>
      <c r="N48" s="282" t="s">
        <v>495</v>
      </c>
      <c r="O48" s="283"/>
      <c r="P48" s="283"/>
      <c r="Q48" s="283"/>
      <c r="R48" s="282" t="s">
        <v>377</v>
      </c>
      <c r="S48" s="282" t="s">
        <v>377</v>
      </c>
      <c r="T48" s="282" t="s">
        <v>377</v>
      </c>
      <c r="U48" s="282" t="s">
        <v>18</v>
      </c>
      <c r="V48" s="282" t="s">
        <v>32</v>
      </c>
      <c r="W48" s="282" t="s">
        <v>32</v>
      </c>
      <c r="X48" s="282" t="s">
        <v>377</v>
      </c>
      <c r="Y48" s="282" t="s">
        <v>377</v>
      </c>
      <c r="Z48" s="282" t="s">
        <v>377</v>
      </c>
      <c r="AA48" s="282" t="s">
        <v>377</v>
      </c>
      <c r="AB48" s="282" t="s">
        <v>32</v>
      </c>
      <c r="AC48" s="282" t="s">
        <v>32</v>
      </c>
      <c r="AD48" s="282" t="s">
        <v>377</v>
      </c>
      <c r="AE48" s="282" t="s">
        <v>377</v>
      </c>
      <c r="AF48" s="282" t="s">
        <v>32</v>
      </c>
      <c r="AG48" s="282" t="s">
        <v>377</v>
      </c>
      <c r="AH48" s="282" t="s">
        <v>32</v>
      </c>
      <c r="AI48" s="282" t="s">
        <v>377</v>
      </c>
      <c r="AJ48" s="282" t="s">
        <v>377</v>
      </c>
      <c r="AK48" s="282" t="s">
        <v>377</v>
      </c>
      <c r="AL48" s="282" t="s">
        <v>377</v>
      </c>
      <c r="AM48" s="282" t="s">
        <v>32</v>
      </c>
      <c r="AN48" s="282" t="s">
        <v>18</v>
      </c>
      <c r="AO48" s="282" t="s">
        <v>377</v>
      </c>
      <c r="AP48" s="282" t="s">
        <v>18</v>
      </c>
      <c r="AQ48" s="282" t="s">
        <v>377</v>
      </c>
      <c r="AR48" s="282" t="s">
        <v>32</v>
      </c>
      <c r="AS48" s="282" t="s">
        <v>32</v>
      </c>
      <c r="AT48" s="282" t="s">
        <v>32</v>
      </c>
      <c r="AU48" s="282" t="s">
        <v>32</v>
      </c>
      <c r="AV48" s="282" t="s">
        <v>32</v>
      </c>
      <c r="AW48" s="282" t="s">
        <v>32</v>
      </c>
      <c r="AX48" s="282" t="s">
        <v>32</v>
      </c>
      <c r="AY48" s="282" t="s">
        <v>32</v>
      </c>
      <c r="AZ48" s="282" t="s">
        <v>32</v>
      </c>
      <c r="BA48" s="282" t="s">
        <v>32</v>
      </c>
      <c r="BB48" s="282" t="s">
        <v>32</v>
      </c>
      <c r="BC48" s="282" t="s">
        <v>377</v>
      </c>
      <c r="BD48" s="284" t="s">
        <v>32</v>
      </c>
    </row>
    <row r="49">
      <c r="A49" s="281">
        <v>44798.06215596065</v>
      </c>
      <c r="B49" s="282" t="s">
        <v>375</v>
      </c>
      <c r="C49" s="282">
        <v>2022.0</v>
      </c>
      <c r="D49" s="282" t="s">
        <v>16</v>
      </c>
      <c r="E49" s="282" t="s">
        <v>476</v>
      </c>
      <c r="F49" s="282" t="s">
        <v>14</v>
      </c>
      <c r="G49" s="282" t="s">
        <v>477</v>
      </c>
      <c r="H49" s="282" t="s">
        <v>546</v>
      </c>
      <c r="I49" s="282" t="s">
        <v>21</v>
      </c>
      <c r="J49" s="282">
        <v>12.0</v>
      </c>
      <c r="K49" s="282" t="s">
        <v>479</v>
      </c>
      <c r="L49" s="282" t="s">
        <v>545</v>
      </c>
      <c r="M49" s="282" t="s">
        <v>479</v>
      </c>
      <c r="N49" s="282" t="s">
        <v>495</v>
      </c>
      <c r="O49" s="283"/>
      <c r="P49" s="283"/>
      <c r="Q49" s="283"/>
      <c r="R49" s="282" t="s">
        <v>377</v>
      </c>
      <c r="S49" s="282" t="s">
        <v>377</v>
      </c>
      <c r="T49" s="282" t="s">
        <v>377</v>
      </c>
      <c r="U49" s="282" t="s">
        <v>377</v>
      </c>
      <c r="V49" s="282" t="s">
        <v>377</v>
      </c>
      <c r="W49" s="282" t="s">
        <v>18</v>
      </c>
      <c r="X49" s="282" t="s">
        <v>32</v>
      </c>
      <c r="Y49" s="282" t="s">
        <v>377</v>
      </c>
      <c r="Z49" s="282" t="s">
        <v>377</v>
      </c>
      <c r="AA49" s="282" t="s">
        <v>377</v>
      </c>
      <c r="AB49" s="282" t="s">
        <v>377</v>
      </c>
      <c r="AC49" s="282" t="s">
        <v>377</v>
      </c>
      <c r="AD49" s="282" t="s">
        <v>377</v>
      </c>
      <c r="AE49" s="282" t="s">
        <v>377</v>
      </c>
      <c r="AF49" s="282" t="s">
        <v>377</v>
      </c>
      <c r="AG49" s="282" t="s">
        <v>32</v>
      </c>
      <c r="AH49" s="282" t="s">
        <v>18</v>
      </c>
      <c r="AI49" s="282" t="s">
        <v>377</v>
      </c>
      <c r="AJ49" s="282" t="s">
        <v>377</v>
      </c>
      <c r="AK49" s="282" t="s">
        <v>377</v>
      </c>
      <c r="AL49" s="282" t="s">
        <v>32</v>
      </c>
      <c r="AM49" s="282" t="s">
        <v>32</v>
      </c>
      <c r="AN49" s="282" t="s">
        <v>32</v>
      </c>
      <c r="AO49" s="282" t="s">
        <v>377</v>
      </c>
      <c r="AP49" s="282" t="s">
        <v>377</v>
      </c>
      <c r="AQ49" s="282" t="s">
        <v>377</v>
      </c>
      <c r="AR49" s="282" t="s">
        <v>32</v>
      </c>
      <c r="AS49" s="282" t="s">
        <v>32</v>
      </c>
      <c r="AT49" s="282" t="s">
        <v>377</v>
      </c>
      <c r="AU49" s="282" t="s">
        <v>32</v>
      </c>
      <c r="AV49" s="282" t="s">
        <v>32</v>
      </c>
      <c r="AW49" s="282" t="s">
        <v>32</v>
      </c>
      <c r="AX49" s="282" t="s">
        <v>32</v>
      </c>
      <c r="AY49" s="282" t="s">
        <v>377</v>
      </c>
      <c r="AZ49" s="282" t="s">
        <v>377</v>
      </c>
      <c r="BA49" s="282" t="s">
        <v>377</v>
      </c>
      <c r="BB49" s="282" t="s">
        <v>32</v>
      </c>
      <c r="BC49" s="282" t="s">
        <v>377</v>
      </c>
      <c r="BD49" s="284" t="s">
        <v>377</v>
      </c>
    </row>
    <row r="50">
      <c r="A50" s="281">
        <v>44789.76071777778</v>
      </c>
      <c r="B50" s="282" t="s">
        <v>486</v>
      </c>
      <c r="C50" s="282">
        <v>2022.0</v>
      </c>
      <c r="D50" s="282" t="s">
        <v>16</v>
      </c>
      <c r="E50" s="282" t="s">
        <v>476</v>
      </c>
      <c r="F50" s="282" t="s">
        <v>14</v>
      </c>
      <c r="G50" s="282" t="s">
        <v>477</v>
      </c>
      <c r="H50" s="282" t="s">
        <v>547</v>
      </c>
      <c r="I50" s="282" t="s">
        <v>21</v>
      </c>
      <c r="J50" s="282">
        <v>11.0</v>
      </c>
      <c r="K50" s="282" t="s">
        <v>479</v>
      </c>
      <c r="L50" s="282" t="s">
        <v>545</v>
      </c>
      <c r="M50" s="282" t="s">
        <v>479</v>
      </c>
      <c r="N50" s="282" t="s">
        <v>481</v>
      </c>
      <c r="O50" s="283"/>
      <c r="P50" s="283"/>
      <c r="Q50" s="283"/>
      <c r="R50" s="282" t="s">
        <v>377</v>
      </c>
      <c r="S50" s="282" t="s">
        <v>377</v>
      </c>
      <c r="T50" s="282" t="s">
        <v>377</v>
      </c>
      <c r="U50" s="282" t="s">
        <v>18</v>
      </c>
      <c r="V50" s="282" t="s">
        <v>32</v>
      </c>
      <c r="W50" s="282" t="s">
        <v>377</v>
      </c>
      <c r="X50" s="282" t="s">
        <v>32</v>
      </c>
      <c r="Y50" s="282" t="s">
        <v>32</v>
      </c>
      <c r="Z50" s="282" t="s">
        <v>32</v>
      </c>
      <c r="AA50" s="282" t="s">
        <v>377</v>
      </c>
      <c r="AB50" s="282" t="s">
        <v>377</v>
      </c>
      <c r="AC50" s="282" t="s">
        <v>18</v>
      </c>
      <c r="AD50" s="282" t="s">
        <v>377</v>
      </c>
      <c r="AE50" s="282" t="s">
        <v>377</v>
      </c>
      <c r="AF50" s="282" t="s">
        <v>377</v>
      </c>
      <c r="AG50" s="282" t="s">
        <v>18</v>
      </c>
      <c r="AH50" s="282" t="s">
        <v>377</v>
      </c>
      <c r="AI50" s="282" t="s">
        <v>377</v>
      </c>
      <c r="AJ50" s="282" t="s">
        <v>377</v>
      </c>
      <c r="AK50" s="282" t="s">
        <v>18</v>
      </c>
      <c r="AL50" s="282" t="s">
        <v>377</v>
      </c>
      <c r="AM50" s="282" t="s">
        <v>377</v>
      </c>
      <c r="AN50" s="282" t="s">
        <v>377</v>
      </c>
      <c r="AO50" s="282" t="s">
        <v>377</v>
      </c>
      <c r="AP50" s="282" t="s">
        <v>377</v>
      </c>
      <c r="AQ50" s="282" t="s">
        <v>377</v>
      </c>
      <c r="AR50" s="282" t="s">
        <v>32</v>
      </c>
      <c r="AS50" s="282" t="s">
        <v>32</v>
      </c>
      <c r="AT50" s="282" t="s">
        <v>32</v>
      </c>
      <c r="AU50" s="282" t="s">
        <v>377</v>
      </c>
      <c r="AV50" s="282" t="s">
        <v>377</v>
      </c>
      <c r="AW50" s="282" t="s">
        <v>18</v>
      </c>
      <c r="AX50" s="282" t="s">
        <v>377</v>
      </c>
      <c r="AY50" s="282" t="s">
        <v>377</v>
      </c>
      <c r="AZ50" s="282" t="s">
        <v>377</v>
      </c>
      <c r="BA50" s="282" t="s">
        <v>377</v>
      </c>
      <c r="BB50" s="282" t="s">
        <v>32</v>
      </c>
      <c r="BC50" s="282" t="s">
        <v>377</v>
      </c>
      <c r="BD50" s="284" t="s">
        <v>377</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25"/>
    <col customWidth="1" min="3" max="3" width="17.75"/>
    <col customWidth="1" min="4" max="4" width="7.88"/>
    <col customWidth="1" min="5" max="5" width="13.0"/>
    <col customWidth="1" min="6" max="6" width="26.25"/>
    <col customWidth="1" min="7" max="7" width="11.38"/>
    <col customWidth="1" min="8" max="8" width="8.0"/>
    <col customWidth="1" min="9" max="9" width="7.0"/>
    <col customWidth="1" min="10" max="11" width="15.25"/>
    <col customWidth="1" min="12" max="12" width="9.0"/>
    <col customWidth="1" min="13" max="14" width="13.13"/>
    <col customWidth="1" min="15" max="16" width="10.13"/>
    <col customWidth="1" min="17" max="28" width="6.0"/>
    <col customWidth="1" min="29" max="29" width="8.88"/>
    <col customWidth="1" min="30" max="41" width="6.0"/>
    <col customWidth="1" min="42" max="42" width="9.63"/>
    <col customWidth="1" min="43" max="54" width="6.0"/>
    <col customWidth="1" min="55" max="55" width="8.88"/>
    <col customWidth="1" min="56" max="56" width="18.88"/>
  </cols>
  <sheetData>
    <row r="1" ht="12.75" customHeight="1">
      <c r="A1" s="285" t="s">
        <v>426</v>
      </c>
      <c r="B1" s="286" t="s">
        <v>427</v>
      </c>
      <c r="C1" s="287" t="s">
        <v>548</v>
      </c>
      <c r="D1" s="285" t="s">
        <v>5</v>
      </c>
      <c r="E1" s="285" t="s">
        <v>3</v>
      </c>
      <c r="F1" s="285" t="s">
        <v>428</v>
      </c>
      <c r="G1" s="285" t="s">
        <v>6</v>
      </c>
      <c r="H1" s="285" t="s">
        <v>429</v>
      </c>
      <c r="I1" s="287" t="s">
        <v>430</v>
      </c>
      <c r="J1" s="287" t="s">
        <v>431</v>
      </c>
      <c r="K1" s="287" t="s">
        <v>549</v>
      </c>
      <c r="L1" s="287" t="s">
        <v>432</v>
      </c>
      <c r="M1" s="287" t="s">
        <v>433</v>
      </c>
      <c r="N1" s="287" t="s">
        <v>434</v>
      </c>
      <c r="O1" s="286" t="s">
        <v>435</v>
      </c>
      <c r="P1" s="287" t="s">
        <v>436</v>
      </c>
      <c r="Q1" s="287" t="s">
        <v>439</v>
      </c>
      <c r="R1" s="287" t="s">
        <v>440</v>
      </c>
      <c r="S1" s="288" t="s">
        <v>550</v>
      </c>
      <c r="T1" s="287" t="s">
        <v>442</v>
      </c>
      <c r="U1" s="287" t="s">
        <v>443</v>
      </c>
      <c r="V1" s="288" t="s">
        <v>441</v>
      </c>
      <c r="W1" s="287" t="s">
        <v>445</v>
      </c>
      <c r="X1" s="287" t="s">
        <v>446</v>
      </c>
      <c r="Y1" s="288" t="s">
        <v>551</v>
      </c>
      <c r="Z1" s="287" t="s">
        <v>448</v>
      </c>
      <c r="AA1" s="287" t="s">
        <v>449</v>
      </c>
      <c r="AB1" s="288" t="s">
        <v>552</v>
      </c>
      <c r="AC1" s="289" t="s">
        <v>437</v>
      </c>
      <c r="AD1" s="287" t="s">
        <v>452</v>
      </c>
      <c r="AE1" s="287" t="s">
        <v>453</v>
      </c>
      <c r="AF1" s="288" t="s">
        <v>451</v>
      </c>
      <c r="AG1" s="287" t="s">
        <v>455</v>
      </c>
      <c r="AH1" s="287" t="s">
        <v>456</v>
      </c>
      <c r="AI1" s="288" t="s">
        <v>553</v>
      </c>
      <c r="AJ1" s="287" t="s">
        <v>458</v>
      </c>
      <c r="AK1" s="287" t="s">
        <v>459</v>
      </c>
      <c r="AL1" s="288" t="s">
        <v>457</v>
      </c>
      <c r="AM1" s="287" t="s">
        <v>461</v>
      </c>
      <c r="AN1" s="287" t="s">
        <v>462</v>
      </c>
      <c r="AO1" s="288" t="s">
        <v>554</v>
      </c>
      <c r="AP1" s="290" t="s">
        <v>450</v>
      </c>
      <c r="AQ1" s="287" t="s">
        <v>465</v>
      </c>
      <c r="AR1" s="287" t="s">
        <v>466</v>
      </c>
      <c r="AS1" s="288" t="s">
        <v>555</v>
      </c>
      <c r="AT1" s="287" t="s">
        <v>468</v>
      </c>
      <c r="AU1" s="287" t="s">
        <v>469</v>
      </c>
      <c r="AV1" s="288" t="s">
        <v>556</v>
      </c>
      <c r="AW1" s="287" t="s">
        <v>471</v>
      </c>
      <c r="AX1" s="287" t="s">
        <v>472</v>
      </c>
      <c r="AY1" s="288" t="s">
        <v>557</v>
      </c>
      <c r="AZ1" s="287" t="s">
        <v>474</v>
      </c>
      <c r="BA1" s="287" t="s">
        <v>475</v>
      </c>
      <c r="BB1" s="288" t="s">
        <v>558</v>
      </c>
      <c r="BC1" s="291" t="s">
        <v>463</v>
      </c>
      <c r="BD1" s="292"/>
    </row>
    <row r="2" ht="12.75" customHeight="1">
      <c r="A2" s="293">
        <v>45257.35339608796</v>
      </c>
      <c r="B2" s="286" t="s">
        <v>375</v>
      </c>
      <c r="C2" s="287" t="s">
        <v>559</v>
      </c>
      <c r="D2" s="285" t="s">
        <v>16</v>
      </c>
      <c r="E2" s="285" t="s">
        <v>476</v>
      </c>
      <c r="F2" s="287" t="s">
        <v>560</v>
      </c>
      <c r="G2" s="285" t="s">
        <v>21</v>
      </c>
      <c r="H2" s="285">
        <v>12.0</v>
      </c>
      <c r="I2" s="287" t="s">
        <v>479</v>
      </c>
      <c r="J2" s="287" t="s">
        <v>480</v>
      </c>
      <c r="K2" s="287" t="s">
        <v>480</v>
      </c>
      <c r="L2" s="287" t="s">
        <v>479</v>
      </c>
      <c r="M2" s="287" t="s">
        <v>483</v>
      </c>
      <c r="N2" s="287" t="s">
        <v>561</v>
      </c>
      <c r="O2" s="287"/>
      <c r="P2" s="287"/>
      <c r="Q2" s="294" t="s">
        <v>32</v>
      </c>
      <c r="R2" s="294" t="s">
        <v>32</v>
      </c>
      <c r="S2" s="295" t="s">
        <v>32</v>
      </c>
      <c r="T2" s="294" t="s">
        <v>32</v>
      </c>
      <c r="U2" s="294" t="s">
        <v>32</v>
      </c>
      <c r="V2" s="295" t="s">
        <v>32</v>
      </c>
      <c r="W2" s="294" t="s">
        <v>32</v>
      </c>
      <c r="X2" s="294" t="s">
        <v>32</v>
      </c>
      <c r="Y2" s="295" t="s">
        <v>32</v>
      </c>
      <c r="Z2" s="294" t="s">
        <v>32</v>
      </c>
      <c r="AA2" s="294" t="s">
        <v>32</v>
      </c>
      <c r="AB2" s="295" t="s">
        <v>32</v>
      </c>
      <c r="AC2" s="296" t="s">
        <v>32</v>
      </c>
      <c r="AD2" s="294" t="s">
        <v>32</v>
      </c>
      <c r="AE2" s="294" t="s">
        <v>32</v>
      </c>
      <c r="AF2" s="295" t="s">
        <v>32</v>
      </c>
      <c r="AG2" s="287" t="s">
        <v>377</v>
      </c>
      <c r="AH2" s="287" t="s">
        <v>18</v>
      </c>
      <c r="AI2" s="288" t="s">
        <v>377</v>
      </c>
      <c r="AJ2" s="287" t="s">
        <v>377</v>
      </c>
      <c r="AK2" s="294" t="s">
        <v>32</v>
      </c>
      <c r="AL2" s="295" t="s">
        <v>32</v>
      </c>
      <c r="AM2" s="294" t="s">
        <v>32</v>
      </c>
      <c r="AN2" s="287" t="s">
        <v>377</v>
      </c>
      <c r="AO2" s="295" t="s">
        <v>32</v>
      </c>
      <c r="AP2" s="289" t="s">
        <v>377</v>
      </c>
      <c r="AQ2" s="294" t="s">
        <v>32</v>
      </c>
      <c r="AR2" s="287" t="s">
        <v>377</v>
      </c>
      <c r="AS2" s="295" t="s">
        <v>32</v>
      </c>
      <c r="AT2" s="294" t="s">
        <v>32</v>
      </c>
      <c r="AU2" s="294" t="s">
        <v>32</v>
      </c>
      <c r="AV2" s="295" t="s">
        <v>32</v>
      </c>
      <c r="AW2" s="287" t="s">
        <v>377</v>
      </c>
      <c r="AX2" s="294" t="s">
        <v>32</v>
      </c>
      <c r="AY2" s="295" t="s">
        <v>32</v>
      </c>
      <c r="AZ2" s="287" t="s">
        <v>377</v>
      </c>
      <c r="BA2" s="294" t="s">
        <v>32</v>
      </c>
      <c r="BB2" s="288" t="s">
        <v>377</v>
      </c>
      <c r="BC2" s="289" t="s">
        <v>377</v>
      </c>
      <c r="BD2" s="292"/>
    </row>
    <row r="3" ht="12.75" customHeight="1">
      <c r="A3" s="293">
        <v>45257.399656747686</v>
      </c>
      <c r="B3" s="286" t="s">
        <v>375</v>
      </c>
      <c r="C3" s="287" t="s">
        <v>559</v>
      </c>
      <c r="D3" s="285" t="s">
        <v>16</v>
      </c>
      <c r="E3" s="285" t="s">
        <v>476</v>
      </c>
      <c r="F3" s="287" t="s">
        <v>562</v>
      </c>
      <c r="G3" s="285" t="s">
        <v>17</v>
      </c>
      <c r="H3" s="285">
        <v>12.0</v>
      </c>
      <c r="I3" s="287" t="s">
        <v>479</v>
      </c>
      <c r="J3" s="287" t="s">
        <v>480</v>
      </c>
      <c r="K3" s="287" t="s">
        <v>480</v>
      </c>
      <c r="L3" s="287" t="s">
        <v>479</v>
      </c>
      <c r="M3" s="287" t="s">
        <v>495</v>
      </c>
      <c r="N3" s="287" t="s">
        <v>561</v>
      </c>
      <c r="O3" s="287"/>
      <c r="P3" s="287"/>
      <c r="Q3" s="294" t="s">
        <v>32</v>
      </c>
      <c r="R3" s="287" t="s">
        <v>377</v>
      </c>
      <c r="S3" s="295" t="s">
        <v>32</v>
      </c>
      <c r="T3" s="287" t="s">
        <v>18</v>
      </c>
      <c r="U3" s="294" t="s">
        <v>32</v>
      </c>
      <c r="V3" s="288" t="s">
        <v>377</v>
      </c>
      <c r="W3" s="287" t="s">
        <v>377</v>
      </c>
      <c r="X3" s="287" t="s">
        <v>18</v>
      </c>
      <c r="Y3" s="288" t="s">
        <v>377</v>
      </c>
      <c r="Z3" s="287" t="s">
        <v>377</v>
      </c>
      <c r="AA3" s="287" t="s">
        <v>377</v>
      </c>
      <c r="AB3" s="288" t="s">
        <v>377</v>
      </c>
      <c r="AC3" s="289" t="s">
        <v>377</v>
      </c>
      <c r="AD3" s="287" t="s">
        <v>377</v>
      </c>
      <c r="AE3" s="294" t="s">
        <v>32</v>
      </c>
      <c r="AF3" s="295" t="s">
        <v>32</v>
      </c>
      <c r="AG3" s="287" t="s">
        <v>18</v>
      </c>
      <c r="AH3" s="287" t="s">
        <v>18</v>
      </c>
      <c r="AI3" s="288" t="s">
        <v>18</v>
      </c>
      <c r="AJ3" s="287" t="s">
        <v>377</v>
      </c>
      <c r="AK3" s="287" t="s">
        <v>18</v>
      </c>
      <c r="AL3" s="288" t="s">
        <v>377</v>
      </c>
      <c r="AM3" s="287" t="s">
        <v>18</v>
      </c>
      <c r="AN3" s="287" t="s">
        <v>18</v>
      </c>
      <c r="AO3" s="288" t="s">
        <v>18</v>
      </c>
      <c r="AP3" s="289" t="s">
        <v>377</v>
      </c>
      <c r="AQ3" s="294" t="s">
        <v>32</v>
      </c>
      <c r="AR3" s="287" t="s">
        <v>377</v>
      </c>
      <c r="AS3" s="295" t="s">
        <v>32</v>
      </c>
      <c r="AT3" s="294" t="s">
        <v>32</v>
      </c>
      <c r="AU3" s="294" t="s">
        <v>32</v>
      </c>
      <c r="AV3" s="295" t="s">
        <v>32</v>
      </c>
      <c r="AW3" s="287" t="s">
        <v>377</v>
      </c>
      <c r="AX3" s="287" t="s">
        <v>377</v>
      </c>
      <c r="AY3" s="288" t="s">
        <v>377</v>
      </c>
      <c r="AZ3" s="287" t="s">
        <v>18</v>
      </c>
      <c r="BA3" s="294" t="s">
        <v>32</v>
      </c>
      <c r="BB3" s="295" t="s">
        <v>32</v>
      </c>
      <c r="BC3" s="296" t="s">
        <v>32</v>
      </c>
      <c r="BD3" s="292"/>
    </row>
    <row r="4" ht="12.75" customHeight="1">
      <c r="A4" s="293">
        <v>45257.41478255787</v>
      </c>
      <c r="B4" s="286" t="s">
        <v>375</v>
      </c>
      <c r="C4" s="287" t="s">
        <v>559</v>
      </c>
      <c r="D4" s="285" t="s">
        <v>16</v>
      </c>
      <c r="E4" s="285" t="s">
        <v>476</v>
      </c>
      <c r="F4" s="287" t="s">
        <v>563</v>
      </c>
      <c r="G4" s="285" t="s">
        <v>21</v>
      </c>
      <c r="H4" s="285">
        <v>12.0</v>
      </c>
      <c r="I4" s="287" t="s">
        <v>479</v>
      </c>
      <c r="J4" s="287" t="s">
        <v>480</v>
      </c>
      <c r="K4" s="287" t="s">
        <v>480</v>
      </c>
      <c r="L4" s="287" t="s">
        <v>479</v>
      </c>
      <c r="M4" s="287" t="s">
        <v>495</v>
      </c>
      <c r="N4" s="287" t="s">
        <v>561</v>
      </c>
      <c r="O4" s="287"/>
      <c r="P4" s="287"/>
      <c r="Q4" s="294" t="s">
        <v>32</v>
      </c>
      <c r="R4" s="294" t="s">
        <v>32</v>
      </c>
      <c r="S4" s="295" t="s">
        <v>32</v>
      </c>
      <c r="T4" s="294" t="s">
        <v>32</v>
      </c>
      <c r="U4" s="294" t="s">
        <v>32</v>
      </c>
      <c r="V4" s="295" t="s">
        <v>32</v>
      </c>
      <c r="W4" s="287" t="s">
        <v>377</v>
      </c>
      <c r="X4" s="287" t="s">
        <v>18</v>
      </c>
      <c r="Y4" s="288" t="s">
        <v>377</v>
      </c>
      <c r="Z4" s="287" t="s">
        <v>377</v>
      </c>
      <c r="AA4" s="287" t="s">
        <v>18</v>
      </c>
      <c r="AB4" s="288" t="s">
        <v>377</v>
      </c>
      <c r="AC4" s="289" t="s">
        <v>377</v>
      </c>
      <c r="AD4" s="287" t="s">
        <v>377</v>
      </c>
      <c r="AE4" s="294" t="s">
        <v>32</v>
      </c>
      <c r="AF4" s="295" t="s">
        <v>32</v>
      </c>
      <c r="AG4" s="287" t="s">
        <v>377</v>
      </c>
      <c r="AH4" s="287" t="s">
        <v>18</v>
      </c>
      <c r="AI4" s="288" t="s">
        <v>377</v>
      </c>
      <c r="AJ4" s="287" t="s">
        <v>377</v>
      </c>
      <c r="AK4" s="287" t="s">
        <v>18</v>
      </c>
      <c r="AL4" s="288" t="s">
        <v>377</v>
      </c>
      <c r="AM4" s="287" t="s">
        <v>377</v>
      </c>
      <c r="AN4" s="287" t="s">
        <v>18</v>
      </c>
      <c r="AO4" s="288" t="s">
        <v>377</v>
      </c>
      <c r="AP4" s="289" t="s">
        <v>377</v>
      </c>
      <c r="AQ4" s="287" t="s">
        <v>18</v>
      </c>
      <c r="AR4" s="287" t="s">
        <v>377</v>
      </c>
      <c r="AS4" s="288" t="s">
        <v>377</v>
      </c>
      <c r="AT4" s="287" t="s">
        <v>18</v>
      </c>
      <c r="AU4" s="287" t="s">
        <v>18</v>
      </c>
      <c r="AV4" s="288" t="s">
        <v>18</v>
      </c>
      <c r="AW4" s="287" t="s">
        <v>377</v>
      </c>
      <c r="AX4" s="287" t="s">
        <v>18</v>
      </c>
      <c r="AY4" s="288" t="s">
        <v>377</v>
      </c>
      <c r="AZ4" s="287" t="s">
        <v>377</v>
      </c>
      <c r="BA4" s="287" t="s">
        <v>18</v>
      </c>
      <c r="BB4" s="288" t="s">
        <v>377</v>
      </c>
      <c r="BC4" s="289" t="s">
        <v>377</v>
      </c>
      <c r="BD4" s="292"/>
    </row>
    <row r="5" ht="12.75" customHeight="1">
      <c r="A5" s="293">
        <v>45257.41901403935</v>
      </c>
      <c r="B5" s="286" t="s">
        <v>375</v>
      </c>
      <c r="C5" s="287" t="s">
        <v>559</v>
      </c>
      <c r="D5" s="285" t="s">
        <v>16</v>
      </c>
      <c r="E5" s="285" t="s">
        <v>476</v>
      </c>
      <c r="F5" s="287" t="s">
        <v>564</v>
      </c>
      <c r="G5" s="285" t="s">
        <v>21</v>
      </c>
      <c r="H5" s="285">
        <v>12.0</v>
      </c>
      <c r="I5" s="287" t="s">
        <v>479</v>
      </c>
      <c r="J5" s="287" t="s">
        <v>480</v>
      </c>
      <c r="K5" s="287" t="s">
        <v>480</v>
      </c>
      <c r="L5" s="287" t="s">
        <v>479</v>
      </c>
      <c r="M5" s="287" t="s">
        <v>483</v>
      </c>
      <c r="N5" s="287" t="s">
        <v>561</v>
      </c>
      <c r="O5" s="287"/>
      <c r="P5" s="287"/>
      <c r="Q5" s="294" t="s">
        <v>32</v>
      </c>
      <c r="R5" s="294" t="s">
        <v>32</v>
      </c>
      <c r="S5" s="295" t="s">
        <v>32</v>
      </c>
      <c r="T5" s="294" t="s">
        <v>32</v>
      </c>
      <c r="U5" s="294" t="s">
        <v>32</v>
      </c>
      <c r="V5" s="295" t="s">
        <v>32</v>
      </c>
      <c r="W5" s="294" t="s">
        <v>32</v>
      </c>
      <c r="X5" s="294" t="s">
        <v>32</v>
      </c>
      <c r="Y5" s="295" t="s">
        <v>32</v>
      </c>
      <c r="Z5" s="294" t="s">
        <v>32</v>
      </c>
      <c r="AA5" s="294" t="s">
        <v>32</v>
      </c>
      <c r="AB5" s="295" t="s">
        <v>32</v>
      </c>
      <c r="AC5" s="296" t="s">
        <v>32</v>
      </c>
      <c r="AD5" s="294" t="s">
        <v>32</v>
      </c>
      <c r="AE5" s="294" t="s">
        <v>32</v>
      </c>
      <c r="AF5" s="295" t="s">
        <v>32</v>
      </c>
      <c r="AG5" s="294" t="s">
        <v>32</v>
      </c>
      <c r="AH5" s="294" t="s">
        <v>32</v>
      </c>
      <c r="AI5" s="295" t="s">
        <v>32</v>
      </c>
      <c r="AJ5" s="294" t="s">
        <v>32</v>
      </c>
      <c r="AK5" s="294" t="s">
        <v>32</v>
      </c>
      <c r="AL5" s="295" t="s">
        <v>32</v>
      </c>
      <c r="AM5" s="294" t="s">
        <v>32</v>
      </c>
      <c r="AN5" s="294" t="s">
        <v>32</v>
      </c>
      <c r="AO5" s="295" t="s">
        <v>32</v>
      </c>
      <c r="AP5" s="296" t="s">
        <v>32</v>
      </c>
      <c r="AQ5" s="294" t="s">
        <v>32</v>
      </c>
      <c r="AR5" s="294" t="s">
        <v>32</v>
      </c>
      <c r="AS5" s="295" t="s">
        <v>32</v>
      </c>
      <c r="AT5" s="294" t="s">
        <v>32</v>
      </c>
      <c r="AU5" s="294" t="s">
        <v>32</v>
      </c>
      <c r="AV5" s="295" t="s">
        <v>32</v>
      </c>
      <c r="AW5" s="294" t="s">
        <v>32</v>
      </c>
      <c r="AX5" s="294" t="s">
        <v>32</v>
      </c>
      <c r="AY5" s="295" t="s">
        <v>32</v>
      </c>
      <c r="AZ5" s="294" t="s">
        <v>32</v>
      </c>
      <c r="BA5" s="294" t="s">
        <v>32</v>
      </c>
      <c r="BB5" s="288" t="s">
        <v>377</v>
      </c>
      <c r="BC5" s="296" t="s">
        <v>32</v>
      </c>
      <c r="BD5" s="292"/>
    </row>
    <row r="6" ht="12.75" customHeight="1">
      <c r="A6" s="293">
        <v>45257.45245667824</v>
      </c>
      <c r="B6" s="286" t="s">
        <v>375</v>
      </c>
      <c r="C6" s="287" t="s">
        <v>559</v>
      </c>
      <c r="D6" s="285" t="s">
        <v>16</v>
      </c>
      <c r="E6" s="285" t="s">
        <v>476</v>
      </c>
      <c r="F6" s="287" t="s">
        <v>565</v>
      </c>
      <c r="G6" s="285" t="s">
        <v>21</v>
      </c>
      <c r="H6" s="285">
        <v>12.0</v>
      </c>
      <c r="I6" s="287" t="s">
        <v>479</v>
      </c>
      <c r="J6" s="287" t="s">
        <v>480</v>
      </c>
      <c r="K6" s="287" t="s">
        <v>480</v>
      </c>
      <c r="L6" s="287" t="s">
        <v>479</v>
      </c>
      <c r="M6" s="287" t="s">
        <v>490</v>
      </c>
      <c r="N6" s="287" t="s">
        <v>561</v>
      </c>
      <c r="O6" s="287"/>
      <c r="P6" s="287"/>
      <c r="Q6" s="294" t="s">
        <v>32</v>
      </c>
      <c r="R6" s="294" t="s">
        <v>32</v>
      </c>
      <c r="S6" s="295" t="s">
        <v>32</v>
      </c>
      <c r="T6" s="294" t="s">
        <v>32</v>
      </c>
      <c r="U6" s="294" t="s">
        <v>32</v>
      </c>
      <c r="V6" s="295" t="s">
        <v>32</v>
      </c>
      <c r="W6" s="294" t="s">
        <v>32</v>
      </c>
      <c r="X6" s="287" t="s">
        <v>377</v>
      </c>
      <c r="Y6" s="295" t="s">
        <v>32</v>
      </c>
      <c r="Z6" s="294" t="s">
        <v>32</v>
      </c>
      <c r="AA6" s="294" t="s">
        <v>32</v>
      </c>
      <c r="AB6" s="295" t="s">
        <v>32</v>
      </c>
      <c r="AC6" s="296" t="s">
        <v>32</v>
      </c>
      <c r="AD6" s="294" t="s">
        <v>32</v>
      </c>
      <c r="AE6" s="287" t="s">
        <v>377</v>
      </c>
      <c r="AF6" s="295" t="s">
        <v>32</v>
      </c>
      <c r="AG6" s="287" t="s">
        <v>377</v>
      </c>
      <c r="AH6" s="287" t="s">
        <v>377</v>
      </c>
      <c r="AI6" s="288" t="s">
        <v>377</v>
      </c>
      <c r="AJ6" s="294" t="s">
        <v>32</v>
      </c>
      <c r="AK6" s="294" t="s">
        <v>32</v>
      </c>
      <c r="AL6" s="295" t="s">
        <v>32</v>
      </c>
      <c r="AM6" s="294" t="s">
        <v>32</v>
      </c>
      <c r="AN6" s="287" t="s">
        <v>377</v>
      </c>
      <c r="AO6" s="295" t="s">
        <v>32</v>
      </c>
      <c r="AP6" s="296" t="s">
        <v>32</v>
      </c>
      <c r="AQ6" s="294" t="s">
        <v>32</v>
      </c>
      <c r="AR6" s="294" t="s">
        <v>32</v>
      </c>
      <c r="AS6" s="295" t="s">
        <v>32</v>
      </c>
      <c r="AT6" s="294" t="s">
        <v>32</v>
      </c>
      <c r="AU6" s="294" t="s">
        <v>32</v>
      </c>
      <c r="AV6" s="295" t="s">
        <v>32</v>
      </c>
      <c r="AW6" s="294" t="s">
        <v>32</v>
      </c>
      <c r="AX6" s="287" t="s">
        <v>377</v>
      </c>
      <c r="AY6" s="295" t="s">
        <v>32</v>
      </c>
      <c r="AZ6" s="287" t="s">
        <v>18</v>
      </c>
      <c r="BA6" s="287" t="s">
        <v>377</v>
      </c>
      <c r="BB6" s="288" t="s">
        <v>377</v>
      </c>
      <c r="BC6" s="289" t="s">
        <v>377</v>
      </c>
      <c r="BD6" s="292"/>
    </row>
    <row r="7" ht="12.75" customHeight="1">
      <c r="A7" s="293">
        <v>45257.45480628472</v>
      </c>
      <c r="B7" s="286" t="s">
        <v>375</v>
      </c>
      <c r="C7" s="287" t="s">
        <v>559</v>
      </c>
      <c r="D7" s="285" t="s">
        <v>16</v>
      </c>
      <c r="E7" s="285" t="s">
        <v>476</v>
      </c>
      <c r="F7" s="287" t="s">
        <v>566</v>
      </c>
      <c r="G7" s="285" t="s">
        <v>17</v>
      </c>
      <c r="H7" s="285">
        <v>13.0</v>
      </c>
      <c r="I7" s="287" t="s">
        <v>479</v>
      </c>
      <c r="J7" s="287" t="s">
        <v>480</v>
      </c>
      <c r="K7" s="287" t="s">
        <v>480</v>
      </c>
      <c r="L7" s="287" t="s">
        <v>497</v>
      </c>
      <c r="M7" s="292"/>
      <c r="N7" s="292"/>
      <c r="O7" s="292"/>
      <c r="P7" s="292"/>
      <c r="Q7" s="287" t="s">
        <v>18</v>
      </c>
      <c r="R7" s="294" t="s">
        <v>32</v>
      </c>
      <c r="S7" s="288" t="s">
        <v>377</v>
      </c>
      <c r="T7" s="294" t="s">
        <v>32</v>
      </c>
      <c r="U7" s="287" t="s">
        <v>377</v>
      </c>
      <c r="V7" s="295" t="s">
        <v>32</v>
      </c>
      <c r="W7" s="287" t="s">
        <v>18</v>
      </c>
      <c r="X7" s="294" t="s">
        <v>32</v>
      </c>
      <c r="Y7" s="288" t="s">
        <v>377</v>
      </c>
      <c r="Z7" s="294" t="s">
        <v>32</v>
      </c>
      <c r="AA7" s="287" t="s">
        <v>377</v>
      </c>
      <c r="AB7" s="295" t="s">
        <v>32</v>
      </c>
      <c r="AC7" s="289" t="s">
        <v>377</v>
      </c>
      <c r="AD7" s="287" t="s">
        <v>377</v>
      </c>
      <c r="AE7" s="294" t="s">
        <v>32</v>
      </c>
      <c r="AF7" s="295" t="s">
        <v>32</v>
      </c>
      <c r="AG7" s="294" t="s">
        <v>32</v>
      </c>
      <c r="AH7" s="287" t="s">
        <v>18</v>
      </c>
      <c r="AI7" s="288" t="s">
        <v>377</v>
      </c>
      <c r="AJ7" s="287" t="s">
        <v>377</v>
      </c>
      <c r="AK7" s="294" t="s">
        <v>32</v>
      </c>
      <c r="AL7" s="295" t="s">
        <v>32</v>
      </c>
      <c r="AM7" s="287" t="s">
        <v>18</v>
      </c>
      <c r="AN7" s="294" t="s">
        <v>32</v>
      </c>
      <c r="AO7" s="288" t="s">
        <v>377</v>
      </c>
      <c r="AP7" s="289" t="s">
        <v>377</v>
      </c>
      <c r="AQ7" s="287" t="s">
        <v>377</v>
      </c>
      <c r="AR7" s="287" t="s">
        <v>18</v>
      </c>
      <c r="AS7" s="288" t="s">
        <v>377</v>
      </c>
      <c r="AT7" s="294" t="s">
        <v>32</v>
      </c>
      <c r="AU7" s="287" t="s">
        <v>18</v>
      </c>
      <c r="AV7" s="288" t="s">
        <v>377</v>
      </c>
      <c r="AW7" s="287" t="s">
        <v>377</v>
      </c>
      <c r="AX7" s="287" t="s">
        <v>18</v>
      </c>
      <c r="AY7" s="288" t="s">
        <v>377</v>
      </c>
      <c r="AZ7" s="287" t="s">
        <v>377</v>
      </c>
      <c r="BA7" s="294" t="s">
        <v>32</v>
      </c>
      <c r="BB7" s="288" t="s">
        <v>18</v>
      </c>
      <c r="BC7" s="289" t="s">
        <v>377</v>
      </c>
      <c r="BD7" s="292"/>
    </row>
    <row r="8" ht="12.75" customHeight="1">
      <c r="A8" s="293">
        <v>44797.4462808449</v>
      </c>
      <c r="B8" s="297" t="s">
        <v>375</v>
      </c>
      <c r="C8" s="298" t="s">
        <v>567</v>
      </c>
      <c r="D8" s="298" t="s">
        <v>16</v>
      </c>
      <c r="E8" s="285" t="s">
        <v>476</v>
      </c>
      <c r="F8" s="292" t="s">
        <v>568</v>
      </c>
      <c r="G8" s="298" t="s">
        <v>17</v>
      </c>
      <c r="H8" s="298">
        <v>11.0</v>
      </c>
      <c r="I8" s="292" t="s">
        <v>479</v>
      </c>
      <c r="J8" s="292" t="s">
        <v>480</v>
      </c>
      <c r="K8" s="287" t="s">
        <v>480</v>
      </c>
      <c r="L8" s="292" t="s">
        <v>479</v>
      </c>
      <c r="M8" s="292" t="s">
        <v>490</v>
      </c>
      <c r="N8" s="292"/>
      <c r="O8" s="292"/>
      <c r="P8" s="292"/>
      <c r="Q8" s="299" t="s">
        <v>32</v>
      </c>
      <c r="R8" s="299" t="s">
        <v>32</v>
      </c>
      <c r="S8" s="295" t="s">
        <v>32</v>
      </c>
      <c r="T8" s="292" t="s">
        <v>18</v>
      </c>
      <c r="U8" s="299" t="s">
        <v>32</v>
      </c>
      <c r="V8" s="288" t="s">
        <v>377</v>
      </c>
      <c r="W8" s="299" t="s">
        <v>32</v>
      </c>
      <c r="X8" s="292" t="s">
        <v>377</v>
      </c>
      <c r="Y8" s="295" t="s">
        <v>32</v>
      </c>
      <c r="Z8" s="299" t="s">
        <v>32</v>
      </c>
      <c r="AA8" s="299" t="s">
        <v>32</v>
      </c>
      <c r="AB8" s="295" t="s">
        <v>32</v>
      </c>
      <c r="AC8" s="296" t="s">
        <v>32</v>
      </c>
      <c r="AD8" s="292" t="s">
        <v>377</v>
      </c>
      <c r="AE8" s="292" t="s">
        <v>377</v>
      </c>
      <c r="AF8" s="288" t="s">
        <v>377</v>
      </c>
      <c r="AG8" s="292" t="s">
        <v>18</v>
      </c>
      <c r="AH8" s="292" t="s">
        <v>18</v>
      </c>
      <c r="AI8" s="288" t="s">
        <v>18</v>
      </c>
      <c r="AJ8" s="292" t="s">
        <v>377</v>
      </c>
      <c r="AK8" s="292" t="s">
        <v>18</v>
      </c>
      <c r="AL8" s="288" t="s">
        <v>377</v>
      </c>
      <c r="AM8" s="292" t="s">
        <v>18</v>
      </c>
      <c r="AN8" s="292" t="s">
        <v>18</v>
      </c>
      <c r="AO8" s="288" t="s">
        <v>18</v>
      </c>
      <c r="AP8" s="289" t="s">
        <v>18</v>
      </c>
      <c r="AQ8" s="292" t="s">
        <v>377</v>
      </c>
      <c r="AR8" s="299" t="s">
        <v>32</v>
      </c>
      <c r="AS8" s="295" t="s">
        <v>32</v>
      </c>
      <c r="AT8" s="292" t="s">
        <v>377</v>
      </c>
      <c r="AU8" s="299" t="s">
        <v>32</v>
      </c>
      <c r="AV8" s="295" t="s">
        <v>32</v>
      </c>
      <c r="AW8" s="292" t="s">
        <v>377</v>
      </c>
      <c r="AX8" s="292" t="s">
        <v>377</v>
      </c>
      <c r="AY8" s="288" t="s">
        <v>377</v>
      </c>
      <c r="AZ8" s="292" t="s">
        <v>377</v>
      </c>
      <c r="BA8" s="292" t="s">
        <v>18</v>
      </c>
      <c r="BB8" s="295" t="s">
        <v>32</v>
      </c>
      <c r="BC8" s="296" t="s">
        <v>32</v>
      </c>
      <c r="BD8" s="292"/>
    </row>
    <row r="9" ht="12.75" customHeight="1">
      <c r="A9" s="293">
        <v>44797.76612619213</v>
      </c>
      <c r="B9" s="297" t="s">
        <v>375</v>
      </c>
      <c r="C9" s="298" t="s">
        <v>567</v>
      </c>
      <c r="D9" s="298" t="s">
        <v>16</v>
      </c>
      <c r="E9" s="285" t="s">
        <v>476</v>
      </c>
      <c r="F9" s="292" t="s">
        <v>478</v>
      </c>
      <c r="G9" s="298" t="s">
        <v>17</v>
      </c>
      <c r="H9" s="298">
        <v>11.0</v>
      </c>
      <c r="I9" s="292" t="s">
        <v>479</v>
      </c>
      <c r="J9" s="292" t="s">
        <v>480</v>
      </c>
      <c r="K9" s="287" t="s">
        <v>480</v>
      </c>
      <c r="L9" s="292" t="s">
        <v>479</v>
      </c>
      <c r="M9" s="292" t="s">
        <v>481</v>
      </c>
      <c r="N9" s="292"/>
      <c r="O9" s="292"/>
      <c r="P9" s="292"/>
      <c r="Q9" s="299" t="s">
        <v>32</v>
      </c>
      <c r="R9" s="292" t="s">
        <v>18</v>
      </c>
      <c r="S9" s="288" t="s">
        <v>377</v>
      </c>
      <c r="T9" s="292" t="s">
        <v>377</v>
      </c>
      <c r="U9" s="299" t="s">
        <v>32</v>
      </c>
      <c r="V9" s="295" t="s">
        <v>32</v>
      </c>
      <c r="W9" s="292" t="s">
        <v>377</v>
      </c>
      <c r="X9" s="292" t="s">
        <v>377</v>
      </c>
      <c r="Y9" s="288" t="s">
        <v>377</v>
      </c>
      <c r="Z9" s="299" t="s">
        <v>32</v>
      </c>
      <c r="AA9" s="299" t="s">
        <v>32</v>
      </c>
      <c r="AB9" s="295" t="s">
        <v>32</v>
      </c>
      <c r="AC9" s="289" t="s">
        <v>377</v>
      </c>
      <c r="AD9" s="299" t="s">
        <v>32</v>
      </c>
      <c r="AE9" s="299" t="s">
        <v>32</v>
      </c>
      <c r="AF9" s="295" t="s">
        <v>32</v>
      </c>
      <c r="AG9" s="292" t="s">
        <v>377</v>
      </c>
      <c r="AH9" s="292" t="s">
        <v>377</v>
      </c>
      <c r="AI9" s="288" t="s">
        <v>377</v>
      </c>
      <c r="AJ9" s="299" t="s">
        <v>32</v>
      </c>
      <c r="AK9" s="292" t="s">
        <v>377</v>
      </c>
      <c r="AL9" s="295" t="s">
        <v>32</v>
      </c>
      <c r="AM9" s="292" t="s">
        <v>18</v>
      </c>
      <c r="AN9" s="292" t="s">
        <v>18</v>
      </c>
      <c r="AO9" s="288" t="s">
        <v>18</v>
      </c>
      <c r="AP9" s="289" t="s">
        <v>377</v>
      </c>
      <c r="AQ9" s="299" t="s">
        <v>32</v>
      </c>
      <c r="AR9" s="299" t="s">
        <v>32</v>
      </c>
      <c r="AS9" s="295" t="s">
        <v>32</v>
      </c>
      <c r="AT9" s="299" t="s">
        <v>32</v>
      </c>
      <c r="AU9" s="299" t="s">
        <v>32</v>
      </c>
      <c r="AV9" s="295" t="s">
        <v>32</v>
      </c>
      <c r="AW9" s="299" t="s">
        <v>32</v>
      </c>
      <c r="AX9" s="299" t="s">
        <v>32</v>
      </c>
      <c r="AY9" s="295" t="s">
        <v>32</v>
      </c>
      <c r="AZ9" s="292" t="s">
        <v>18</v>
      </c>
      <c r="BA9" s="299" t="s">
        <v>32</v>
      </c>
      <c r="BB9" s="295" t="s">
        <v>32</v>
      </c>
      <c r="BC9" s="289" t="s">
        <v>377</v>
      </c>
      <c r="BD9" s="292"/>
    </row>
    <row r="10" ht="12.75" customHeight="1">
      <c r="A10" s="293">
        <v>44797.8800590625</v>
      </c>
      <c r="B10" s="297" t="s">
        <v>375</v>
      </c>
      <c r="C10" s="298" t="s">
        <v>567</v>
      </c>
      <c r="D10" s="298" t="s">
        <v>16</v>
      </c>
      <c r="E10" s="285" t="s">
        <v>476</v>
      </c>
      <c r="F10" s="292" t="s">
        <v>482</v>
      </c>
      <c r="G10" s="298" t="s">
        <v>21</v>
      </c>
      <c r="H10" s="298">
        <v>11.0</v>
      </c>
      <c r="I10" s="292" t="s">
        <v>479</v>
      </c>
      <c r="J10" s="292" t="s">
        <v>480</v>
      </c>
      <c r="K10" s="287" t="s">
        <v>480</v>
      </c>
      <c r="L10" s="292" t="s">
        <v>479</v>
      </c>
      <c r="M10" s="292" t="s">
        <v>483</v>
      </c>
      <c r="N10" s="292"/>
      <c r="O10" s="292"/>
      <c r="P10" s="292"/>
      <c r="Q10" s="292" t="s">
        <v>377</v>
      </c>
      <c r="R10" s="292" t="s">
        <v>377</v>
      </c>
      <c r="S10" s="288" t="s">
        <v>377</v>
      </c>
      <c r="T10" s="292" t="s">
        <v>18</v>
      </c>
      <c r="U10" s="292" t="s">
        <v>377</v>
      </c>
      <c r="V10" s="288" t="s">
        <v>377</v>
      </c>
      <c r="W10" s="292" t="s">
        <v>377</v>
      </c>
      <c r="X10" s="292" t="s">
        <v>377</v>
      </c>
      <c r="Y10" s="288" t="s">
        <v>377</v>
      </c>
      <c r="Z10" s="292" t="s">
        <v>377</v>
      </c>
      <c r="AA10" s="292" t="s">
        <v>377</v>
      </c>
      <c r="AB10" s="288" t="s">
        <v>377</v>
      </c>
      <c r="AC10" s="289" t="s">
        <v>377</v>
      </c>
      <c r="AD10" s="299" t="s">
        <v>32</v>
      </c>
      <c r="AE10" s="292" t="s">
        <v>377</v>
      </c>
      <c r="AF10" s="295" t="s">
        <v>32</v>
      </c>
      <c r="AG10" s="299" t="s">
        <v>32</v>
      </c>
      <c r="AH10" s="292" t="s">
        <v>377</v>
      </c>
      <c r="AI10" s="295" t="s">
        <v>32</v>
      </c>
      <c r="AJ10" s="299" t="s">
        <v>32</v>
      </c>
      <c r="AK10" s="292" t="s">
        <v>377</v>
      </c>
      <c r="AL10" s="295" t="s">
        <v>32</v>
      </c>
      <c r="AM10" s="292" t="s">
        <v>377</v>
      </c>
      <c r="AN10" s="292" t="s">
        <v>377</v>
      </c>
      <c r="AO10" s="288" t="s">
        <v>377</v>
      </c>
      <c r="AP10" s="289" t="s">
        <v>377</v>
      </c>
      <c r="AQ10" s="299" t="s">
        <v>32</v>
      </c>
      <c r="AR10" s="299" t="s">
        <v>32</v>
      </c>
      <c r="AS10" s="295" t="s">
        <v>32</v>
      </c>
      <c r="AT10" s="299" t="s">
        <v>32</v>
      </c>
      <c r="AU10" s="299" t="s">
        <v>32</v>
      </c>
      <c r="AV10" s="295" t="s">
        <v>32</v>
      </c>
      <c r="AW10" s="299" t="s">
        <v>32</v>
      </c>
      <c r="AX10" s="299" t="s">
        <v>32</v>
      </c>
      <c r="AY10" s="295" t="s">
        <v>32</v>
      </c>
      <c r="AZ10" s="299" t="s">
        <v>32</v>
      </c>
      <c r="BA10" s="299" t="s">
        <v>32</v>
      </c>
      <c r="BB10" s="295" t="s">
        <v>32</v>
      </c>
      <c r="BC10" s="289" t="s">
        <v>377</v>
      </c>
      <c r="BD10" s="292"/>
    </row>
    <row r="11" ht="12.75" customHeight="1">
      <c r="A11" s="293">
        <v>44798.393190787036</v>
      </c>
      <c r="B11" s="297" t="s">
        <v>375</v>
      </c>
      <c r="C11" s="298" t="s">
        <v>567</v>
      </c>
      <c r="D11" s="298" t="s">
        <v>16</v>
      </c>
      <c r="E11" s="285" t="s">
        <v>476</v>
      </c>
      <c r="F11" s="292" t="s">
        <v>569</v>
      </c>
      <c r="G11" s="298" t="s">
        <v>21</v>
      </c>
      <c r="H11" s="298">
        <v>12.0</v>
      </c>
      <c r="I11" s="292" t="s">
        <v>479</v>
      </c>
      <c r="J11" s="292" t="s">
        <v>480</v>
      </c>
      <c r="K11" s="287" t="s">
        <v>480</v>
      </c>
      <c r="L11" s="292" t="s">
        <v>479</v>
      </c>
      <c r="M11" s="292" t="s">
        <v>495</v>
      </c>
      <c r="N11" s="292"/>
      <c r="O11" s="292"/>
      <c r="P11" s="292"/>
      <c r="Q11" s="299" t="s">
        <v>32</v>
      </c>
      <c r="R11" s="292" t="s">
        <v>377</v>
      </c>
      <c r="S11" s="295" t="s">
        <v>32</v>
      </c>
      <c r="T11" s="292" t="s">
        <v>18</v>
      </c>
      <c r="U11" s="299" t="s">
        <v>32</v>
      </c>
      <c r="V11" s="288" t="s">
        <v>377</v>
      </c>
      <c r="W11" s="292" t="s">
        <v>18</v>
      </c>
      <c r="X11" s="299" t="s">
        <v>32</v>
      </c>
      <c r="Y11" s="288" t="s">
        <v>377</v>
      </c>
      <c r="Z11" s="292" t="s">
        <v>377</v>
      </c>
      <c r="AA11" s="292" t="s">
        <v>18</v>
      </c>
      <c r="AB11" s="288" t="s">
        <v>377</v>
      </c>
      <c r="AC11" s="289" t="s">
        <v>377</v>
      </c>
      <c r="AD11" s="292" t="s">
        <v>18</v>
      </c>
      <c r="AE11" s="299" t="s">
        <v>32</v>
      </c>
      <c r="AF11" s="288" t="s">
        <v>377</v>
      </c>
      <c r="AG11" s="292" t="s">
        <v>18</v>
      </c>
      <c r="AH11" s="292" t="s">
        <v>18</v>
      </c>
      <c r="AI11" s="288" t="s">
        <v>18</v>
      </c>
      <c r="AJ11" s="292" t="s">
        <v>18</v>
      </c>
      <c r="AK11" s="292" t="s">
        <v>377</v>
      </c>
      <c r="AL11" s="288" t="s">
        <v>377</v>
      </c>
      <c r="AM11" s="292" t="s">
        <v>377</v>
      </c>
      <c r="AN11" s="292" t="s">
        <v>18</v>
      </c>
      <c r="AO11" s="288" t="s">
        <v>377</v>
      </c>
      <c r="AP11" s="289" t="s">
        <v>377</v>
      </c>
      <c r="AQ11" s="299" t="s">
        <v>32</v>
      </c>
      <c r="AR11" s="299" t="s">
        <v>32</v>
      </c>
      <c r="AS11" s="295" t="s">
        <v>32</v>
      </c>
      <c r="AT11" s="299" t="s">
        <v>32</v>
      </c>
      <c r="AU11" s="292" t="s">
        <v>377</v>
      </c>
      <c r="AV11" s="295" t="s">
        <v>32</v>
      </c>
      <c r="AW11" s="292" t="s">
        <v>377</v>
      </c>
      <c r="AX11" s="299" t="s">
        <v>32</v>
      </c>
      <c r="AY11" s="295" t="s">
        <v>32</v>
      </c>
      <c r="AZ11" s="299" t="s">
        <v>32</v>
      </c>
      <c r="BA11" s="299" t="s">
        <v>32</v>
      </c>
      <c r="BB11" s="288" t="s">
        <v>18</v>
      </c>
      <c r="BC11" s="289" t="s">
        <v>377</v>
      </c>
      <c r="BD11" s="292"/>
    </row>
    <row r="12" ht="12.75" customHeight="1">
      <c r="A12" s="293">
        <v>44798.40263033565</v>
      </c>
      <c r="B12" s="297" t="s">
        <v>375</v>
      </c>
      <c r="C12" s="298" t="s">
        <v>567</v>
      </c>
      <c r="D12" s="298" t="s">
        <v>16</v>
      </c>
      <c r="E12" s="285" t="s">
        <v>476</v>
      </c>
      <c r="F12" s="292" t="s">
        <v>484</v>
      </c>
      <c r="G12" s="298" t="s">
        <v>17</v>
      </c>
      <c r="H12" s="298">
        <v>11.0</v>
      </c>
      <c r="I12" s="292" t="s">
        <v>479</v>
      </c>
      <c r="J12" s="292" t="s">
        <v>480</v>
      </c>
      <c r="K12" s="287" t="s">
        <v>480</v>
      </c>
      <c r="L12" s="292" t="s">
        <v>479</v>
      </c>
      <c r="M12" s="292" t="s">
        <v>481</v>
      </c>
      <c r="N12" s="292"/>
      <c r="O12" s="292"/>
      <c r="P12" s="292"/>
      <c r="Q12" s="292" t="s">
        <v>18</v>
      </c>
      <c r="R12" s="299" t="s">
        <v>32</v>
      </c>
      <c r="S12" s="288" t="s">
        <v>377</v>
      </c>
      <c r="T12" s="292" t="s">
        <v>377</v>
      </c>
      <c r="U12" s="299" t="s">
        <v>32</v>
      </c>
      <c r="V12" s="295" t="s">
        <v>32</v>
      </c>
      <c r="W12" s="299" t="s">
        <v>32</v>
      </c>
      <c r="X12" s="299" t="s">
        <v>32</v>
      </c>
      <c r="Y12" s="295" t="s">
        <v>32</v>
      </c>
      <c r="Z12" s="292" t="s">
        <v>377</v>
      </c>
      <c r="AA12" s="292" t="s">
        <v>377</v>
      </c>
      <c r="AB12" s="288" t="s">
        <v>377</v>
      </c>
      <c r="AC12" s="289" t="s">
        <v>377</v>
      </c>
      <c r="AD12" s="292" t="s">
        <v>377</v>
      </c>
      <c r="AE12" s="299" t="s">
        <v>32</v>
      </c>
      <c r="AF12" s="295" t="s">
        <v>32</v>
      </c>
      <c r="AG12" s="299" t="s">
        <v>32</v>
      </c>
      <c r="AH12" s="292" t="s">
        <v>377</v>
      </c>
      <c r="AI12" s="295" t="s">
        <v>32</v>
      </c>
      <c r="AJ12" s="299" t="s">
        <v>32</v>
      </c>
      <c r="AK12" s="292" t="s">
        <v>18</v>
      </c>
      <c r="AL12" s="288" t="s">
        <v>377</v>
      </c>
      <c r="AM12" s="292" t="s">
        <v>18</v>
      </c>
      <c r="AN12" s="292" t="s">
        <v>18</v>
      </c>
      <c r="AO12" s="288" t="s">
        <v>18</v>
      </c>
      <c r="AP12" s="289" t="s">
        <v>377</v>
      </c>
      <c r="AQ12" s="292" t="s">
        <v>18</v>
      </c>
      <c r="AR12" s="292" t="s">
        <v>377</v>
      </c>
      <c r="AS12" s="288" t="s">
        <v>377</v>
      </c>
      <c r="AT12" s="292" t="s">
        <v>377</v>
      </c>
      <c r="AU12" s="292" t="s">
        <v>18</v>
      </c>
      <c r="AV12" s="288" t="s">
        <v>377</v>
      </c>
      <c r="AW12" s="292" t="s">
        <v>377</v>
      </c>
      <c r="AX12" s="292" t="s">
        <v>377</v>
      </c>
      <c r="AY12" s="288" t="s">
        <v>377</v>
      </c>
      <c r="AZ12" s="299" t="s">
        <v>32</v>
      </c>
      <c r="BA12" s="292" t="s">
        <v>377</v>
      </c>
      <c r="BB12" s="295" t="s">
        <v>32</v>
      </c>
      <c r="BC12" s="289" t="s">
        <v>377</v>
      </c>
      <c r="BD12" s="292"/>
    </row>
    <row r="13" ht="12.75" customHeight="1">
      <c r="A13" s="293">
        <v>44798.43847543982</v>
      </c>
      <c r="B13" s="297" t="s">
        <v>375</v>
      </c>
      <c r="C13" s="298" t="s">
        <v>567</v>
      </c>
      <c r="D13" s="298" t="s">
        <v>16</v>
      </c>
      <c r="E13" s="285" t="s">
        <v>476</v>
      </c>
      <c r="F13" s="292" t="s">
        <v>485</v>
      </c>
      <c r="G13" s="298" t="s">
        <v>17</v>
      </c>
      <c r="H13" s="298">
        <v>11.0</v>
      </c>
      <c r="I13" s="292" t="s">
        <v>479</v>
      </c>
      <c r="J13" s="292" t="s">
        <v>480</v>
      </c>
      <c r="K13" s="287" t="s">
        <v>480</v>
      </c>
      <c r="L13" s="292" t="s">
        <v>479</v>
      </c>
      <c r="M13" s="292" t="s">
        <v>483</v>
      </c>
      <c r="N13" s="292"/>
      <c r="O13" s="292"/>
      <c r="P13" s="292"/>
      <c r="Q13" s="292" t="s">
        <v>377</v>
      </c>
      <c r="R13" s="292" t="s">
        <v>377</v>
      </c>
      <c r="S13" s="288" t="s">
        <v>377</v>
      </c>
      <c r="T13" s="292" t="s">
        <v>377</v>
      </c>
      <c r="U13" s="292" t="s">
        <v>377</v>
      </c>
      <c r="V13" s="288" t="s">
        <v>377</v>
      </c>
      <c r="W13" s="299" t="s">
        <v>32</v>
      </c>
      <c r="X13" s="292" t="s">
        <v>377</v>
      </c>
      <c r="Y13" s="295" t="s">
        <v>32</v>
      </c>
      <c r="Z13" s="292" t="s">
        <v>18</v>
      </c>
      <c r="AA13" s="292" t="s">
        <v>18</v>
      </c>
      <c r="AB13" s="288" t="s">
        <v>18</v>
      </c>
      <c r="AC13" s="289" t="s">
        <v>377</v>
      </c>
      <c r="AD13" s="292" t="s">
        <v>377</v>
      </c>
      <c r="AE13" s="299" t="s">
        <v>32</v>
      </c>
      <c r="AF13" s="295" t="s">
        <v>32</v>
      </c>
      <c r="AG13" s="292" t="s">
        <v>377</v>
      </c>
      <c r="AH13" s="292" t="s">
        <v>18</v>
      </c>
      <c r="AI13" s="288" t="s">
        <v>377</v>
      </c>
      <c r="AJ13" s="292" t="s">
        <v>377</v>
      </c>
      <c r="AK13" s="292" t="s">
        <v>377</v>
      </c>
      <c r="AL13" s="288" t="s">
        <v>377</v>
      </c>
      <c r="AM13" s="292" t="s">
        <v>377</v>
      </c>
      <c r="AN13" s="292" t="s">
        <v>377</v>
      </c>
      <c r="AO13" s="288" t="s">
        <v>377</v>
      </c>
      <c r="AP13" s="289" t="s">
        <v>377</v>
      </c>
      <c r="AQ13" s="292" t="s">
        <v>377</v>
      </c>
      <c r="AR13" s="299" t="s">
        <v>32</v>
      </c>
      <c r="AS13" s="295" t="s">
        <v>32</v>
      </c>
      <c r="AT13" s="299" t="s">
        <v>32</v>
      </c>
      <c r="AU13" s="299" t="s">
        <v>32</v>
      </c>
      <c r="AV13" s="295" t="s">
        <v>32</v>
      </c>
      <c r="AW13" s="292" t="s">
        <v>377</v>
      </c>
      <c r="AX13" s="292" t="s">
        <v>377</v>
      </c>
      <c r="AY13" s="288" t="s">
        <v>377</v>
      </c>
      <c r="AZ13" s="299" t="s">
        <v>32</v>
      </c>
      <c r="BA13" s="299" t="s">
        <v>32</v>
      </c>
      <c r="BB13" s="295" t="s">
        <v>32</v>
      </c>
      <c r="BC13" s="289" t="s">
        <v>377</v>
      </c>
      <c r="BD13" s="292"/>
    </row>
    <row r="14" ht="12.75" customHeight="1">
      <c r="A14" s="293">
        <v>45265.42240753472</v>
      </c>
      <c r="B14" s="286" t="s">
        <v>486</v>
      </c>
      <c r="C14" s="287" t="s">
        <v>559</v>
      </c>
      <c r="D14" s="285" t="s">
        <v>16</v>
      </c>
      <c r="E14" s="285" t="s">
        <v>476</v>
      </c>
      <c r="F14" s="287" t="s">
        <v>570</v>
      </c>
      <c r="G14" s="285" t="s">
        <v>21</v>
      </c>
      <c r="H14" s="285">
        <v>12.0</v>
      </c>
      <c r="I14" s="287" t="s">
        <v>479</v>
      </c>
      <c r="J14" s="287" t="s">
        <v>480</v>
      </c>
      <c r="K14" s="287" t="s">
        <v>480</v>
      </c>
      <c r="L14" s="287" t="s">
        <v>479</v>
      </c>
      <c r="M14" s="287" t="s">
        <v>481</v>
      </c>
      <c r="N14" s="287" t="s">
        <v>561</v>
      </c>
      <c r="O14" s="287"/>
      <c r="P14" s="287"/>
      <c r="Q14" s="294" t="s">
        <v>32</v>
      </c>
      <c r="R14" s="294" t="s">
        <v>32</v>
      </c>
      <c r="S14" s="295" t="s">
        <v>32</v>
      </c>
      <c r="T14" s="294" t="s">
        <v>32</v>
      </c>
      <c r="U14" s="294" t="s">
        <v>32</v>
      </c>
      <c r="V14" s="295" t="s">
        <v>32</v>
      </c>
      <c r="W14" s="294" t="s">
        <v>32</v>
      </c>
      <c r="X14" s="294" t="s">
        <v>32</v>
      </c>
      <c r="Y14" s="295" t="s">
        <v>32</v>
      </c>
      <c r="Z14" s="294" t="s">
        <v>32</v>
      </c>
      <c r="AA14" s="294" t="s">
        <v>32</v>
      </c>
      <c r="AB14" s="295" t="s">
        <v>32</v>
      </c>
      <c r="AC14" s="296" t="s">
        <v>32</v>
      </c>
      <c r="AD14" s="294" t="s">
        <v>32</v>
      </c>
      <c r="AE14" s="294" t="s">
        <v>32</v>
      </c>
      <c r="AF14" s="295" t="s">
        <v>32</v>
      </c>
      <c r="AG14" s="294" t="s">
        <v>32</v>
      </c>
      <c r="AH14" s="294" t="s">
        <v>32</v>
      </c>
      <c r="AI14" s="295" t="s">
        <v>32</v>
      </c>
      <c r="AJ14" s="294" t="s">
        <v>32</v>
      </c>
      <c r="AK14" s="294" t="s">
        <v>32</v>
      </c>
      <c r="AL14" s="295" t="s">
        <v>32</v>
      </c>
      <c r="AM14" s="294" t="s">
        <v>32</v>
      </c>
      <c r="AN14" s="294" t="s">
        <v>32</v>
      </c>
      <c r="AO14" s="295" t="s">
        <v>32</v>
      </c>
      <c r="AP14" s="296" t="s">
        <v>32</v>
      </c>
      <c r="AQ14" s="294" t="s">
        <v>32</v>
      </c>
      <c r="AR14" s="294" t="s">
        <v>32</v>
      </c>
      <c r="AS14" s="295" t="s">
        <v>32</v>
      </c>
      <c r="AT14" s="294" t="s">
        <v>32</v>
      </c>
      <c r="AU14" s="294" t="s">
        <v>32</v>
      </c>
      <c r="AV14" s="295" t="s">
        <v>32</v>
      </c>
      <c r="AW14" s="294" t="s">
        <v>32</v>
      </c>
      <c r="AX14" s="294" t="s">
        <v>32</v>
      </c>
      <c r="AY14" s="295" t="s">
        <v>32</v>
      </c>
      <c r="AZ14" s="294" t="s">
        <v>32</v>
      </c>
      <c r="BA14" s="294" t="s">
        <v>32</v>
      </c>
      <c r="BB14" s="295" t="s">
        <v>32</v>
      </c>
      <c r="BC14" s="296" t="s">
        <v>32</v>
      </c>
      <c r="BD14" s="292"/>
    </row>
    <row r="15" ht="12.75" customHeight="1">
      <c r="A15" s="293">
        <v>45266.86498292824</v>
      </c>
      <c r="B15" s="286" t="s">
        <v>486</v>
      </c>
      <c r="C15" s="287" t="s">
        <v>559</v>
      </c>
      <c r="D15" s="285" t="s">
        <v>16</v>
      </c>
      <c r="E15" s="285" t="s">
        <v>476</v>
      </c>
      <c r="F15" s="287" t="s">
        <v>571</v>
      </c>
      <c r="G15" s="285" t="s">
        <v>21</v>
      </c>
      <c r="H15" s="285">
        <v>11.0</v>
      </c>
      <c r="I15" s="287" t="s">
        <v>479</v>
      </c>
      <c r="J15" s="287" t="s">
        <v>480</v>
      </c>
      <c r="K15" s="287" t="s">
        <v>480</v>
      </c>
      <c r="L15" s="287" t="s">
        <v>497</v>
      </c>
      <c r="M15" s="292"/>
      <c r="N15" s="292"/>
      <c r="O15" s="292"/>
      <c r="P15" s="292"/>
      <c r="Q15" s="294" t="s">
        <v>32</v>
      </c>
      <c r="R15" s="287" t="s">
        <v>377</v>
      </c>
      <c r="S15" s="295" t="s">
        <v>32</v>
      </c>
      <c r="T15" s="287" t="s">
        <v>18</v>
      </c>
      <c r="U15" s="294" t="s">
        <v>32</v>
      </c>
      <c r="V15" s="288" t="s">
        <v>377</v>
      </c>
      <c r="W15" s="294" t="s">
        <v>32</v>
      </c>
      <c r="X15" s="294" t="s">
        <v>32</v>
      </c>
      <c r="Y15" s="295" t="s">
        <v>32</v>
      </c>
      <c r="Z15" s="287" t="s">
        <v>18</v>
      </c>
      <c r="AA15" s="287" t="s">
        <v>377</v>
      </c>
      <c r="AB15" s="288" t="s">
        <v>377</v>
      </c>
      <c r="AC15" s="289" t="s">
        <v>377</v>
      </c>
      <c r="AD15" s="287" t="s">
        <v>377</v>
      </c>
      <c r="AE15" s="287" t="s">
        <v>377</v>
      </c>
      <c r="AF15" s="288" t="s">
        <v>377</v>
      </c>
      <c r="AG15" s="287" t="s">
        <v>18</v>
      </c>
      <c r="AH15" s="294" t="s">
        <v>32</v>
      </c>
      <c r="AI15" s="288" t="s">
        <v>377</v>
      </c>
      <c r="AJ15" s="287" t="s">
        <v>377</v>
      </c>
      <c r="AK15" s="287" t="s">
        <v>377</v>
      </c>
      <c r="AL15" s="288" t="s">
        <v>377</v>
      </c>
      <c r="AM15" s="287" t="s">
        <v>377</v>
      </c>
      <c r="AN15" s="294" t="s">
        <v>32</v>
      </c>
      <c r="AO15" s="295" t="s">
        <v>32</v>
      </c>
      <c r="AP15" s="289" t="s">
        <v>377</v>
      </c>
      <c r="AQ15" s="287" t="s">
        <v>377</v>
      </c>
      <c r="AR15" s="287" t="s">
        <v>18</v>
      </c>
      <c r="AS15" s="288" t="s">
        <v>377</v>
      </c>
      <c r="AT15" s="294" t="s">
        <v>32</v>
      </c>
      <c r="AU15" s="294" t="s">
        <v>32</v>
      </c>
      <c r="AV15" s="295" t="s">
        <v>32</v>
      </c>
      <c r="AW15" s="294" t="s">
        <v>32</v>
      </c>
      <c r="AX15" s="287" t="s">
        <v>377</v>
      </c>
      <c r="AY15" s="295" t="s">
        <v>32</v>
      </c>
      <c r="AZ15" s="294" t="s">
        <v>32</v>
      </c>
      <c r="BA15" s="287" t="s">
        <v>18</v>
      </c>
      <c r="BB15" s="295" t="s">
        <v>32</v>
      </c>
      <c r="BC15" s="289" t="s">
        <v>377</v>
      </c>
      <c r="BD15" s="292"/>
    </row>
    <row r="16" ht="12.75" customHeight="1">
      <c r="A16" s="293">
        <v>45266.883425300926</v>
      </c>
      <c r="B16" s="286" t="s">
        <v>486</v>
      </c>
      <c r="C16" s="287" t="s">
        <v>559</v>
      </c>
      <c r="D16" s="285" t="s">
        <v>16</v>
      </c>
      <c r="E16" s="285" t="s">
        <v>476</v>
      </c>
      <c r="F16" s="287" t="s">
        <v>572</v>
      </c>
      <c r="G16" s="285" t="s">
        <v>21</v>
      </c>
      <c r="H16" s="285">
        <v>12.0</v>
      </c>
      <c r="I16" s="287" t="s">
        <v>479</v>
      </c>
      <c r="J16" s="287" t="s">
        <v>480</v>
      </c>
      <c r="K16" s="287" t="s">
        <v>480</v>
      </c>
      <c r="L16" s="287" t="s">
        <v>479</v>
      </c>
      <c r="M16" s="287" t="s">
        <v>483</v>
      </c>
      <c r="N16" s="287" t="s">
        <v>483</v>
      </c>
      <c r="O16" s="287"/>
      <c r="P16" s="287"/>
      <c r="Q16" s="294" t="s">
        <v>32</v>
      </c>
      <c r="R16" s="294" t="s">
        <v>32</v>
      </c>
      <c r="S16" s="295" t="s">
        <v>32</v>
      </c>
      <c r="T16" s="287" t="s">
        <v>377</v>
      </c>
      <c r="U16" s="294" t="s">
        <v>32</v>
      </c>
      <c r="V16" s="295" t="s">
        <v>32</v>
      </c>
      <c r="W16" s="287" t="s">
        <v>377</v>
      </c>
      <c r="X16" s="287" t="s">
        <v>377</v>
      </c>
      <c r="Y16" s="288" t="s">
        <v>377</v>
      </c>
      <c r="Z16" s="294" t="s">
        <v>32</v>
      </c>
      <c r="AA16" s="294" t="s">
        <v>32</v>
      </c>
      <c r="AB16" s="295" t="s">
        <v>32</v>
      </c>
      <c r="AC16" s="296" t="s">
        <v>32</v>
      </c>
      <c r="AD16" s="287" t="s">
        <v>377</v>
      </c>
      <c r="AE16" s="287" t="s">
        <v>377</v>
      </c>
      <c r="AF16" s="288" t="s">
        <v>377</v>
      </c>
      <c r="AG16" s="294" t="s">
        <v>32</v>
      </c>
      <c r="AH16" s="287" t="s">
        <v>377</v>
      </c>
      <c r="AI16" s="295" t="s">
        <v>32</v>
      </c>
      <c r="AJ16" s="287" t="s">
        <v>377</v>
      </c>
      <c r="AK16" s="294" t="s">
        <v>32</v>
      </c>
      <c r="AL16" s="295" t="s">
        <v>32</v>
      </c>
      <c r="AM16" s="287" t="s">
        <v>377</v>
      </c>
      <c r="AN16" s="287" t="s">
        <v>377</v>
      </c>
      <c r="AO16" s="288" t="s">
        <v>377</v>
      </c>
      <c r="AP16" s="289" t="s">
        <v>377</v>
      </c>
      <c r="AQ16" s="294" t="s">
        <v>32</v>
      </c>
      <c r="AR16" s="287" t="s">
        <v>377</v>
      </c>
      <c r="AS16" s="295" t="s">
        <v>32</v>
      </c>
      <c r="AT16" s="287" t="s">
        <v>377</v>
      </c>
      <c r="AU16" s="287" t="s">
        <v>377</v>
      </c>
      <c r="AV16" s="288" t="s">
        <v>377</v>
      </c>
      <c r="AW16" s="287" t="s">
        <v>377</v>
      </c>
      <c r="AX16" s="294" t="s">
        <v>32</v>
      </c>
      <c r="AY16" s="295" t="s">
        <v>32</v>
      </c>
      <c r="AZ16" s="287" t="s">
        <v>377</v>
      </c>
      <c r="BA16" s="287" t="s">
        <v>377</v>
      </c>
      <c r="BB16" s="295" t="s">
        <v>32</v>
      </c>
      <c r="BC16" s="289" t="s">
        <v>377</v>
      </c>
      <c r="BD16" s="292"/>
    </row>
    <row r="17" ht="12.75" customHeight="1">
      <c r="A17" s="293">
        <v>44789.802502453706</v>
      </c>
      <c r="B17" s="297" t="s">
        <v>486</v>
      </c>
      <c r="C17" s="298" t="s">
        <v>567</v>
      </c>
      <c r="D17" s="298" t="s">
        <v>16</v>
      </c>
      <c r="E17" s="285" t="s">
        <v>476</v>
      </c>
      <c r="F17" s="292" t="s">
        <v>487</v>
      </c>
      <c r="G17" s="298" t="s">
        <v>17</v>
      </c>
      <c r="H17" s="298">
        <v>12.0</v>
      </c>
      <c r="I17" s="292" t="s">
        <v>479</v>
      </c>
      <c r="J17" s="292" t="s">
        <v>480</v>
      </c>
      <c r="K17" s="287" t="s">
        <v>480</v>
      </c>
      <c r="L17" s="292" t="s">
        <v>479</v>
      </c>
      <c r="M17" s="292" t="s">
        <v>481</v>
      </c>
      <c r="N17" s="292"/>
      <c r="O17" s="292"/>
      <c r="P17" s="292"/>
      <c r="Q17" s="292" t="s">
        <v>377</v>
      </c>
      <c r="R17" s="292" t="s">
        <v>377</v>
      </c>
      <c r="S17" s="288" t="s">
        <v>377</v>
      </c>
      <c r="T17" s="292" t="s">
        <v>377</v>
      </c>
      <c r="U17" s="299" t="s">
        <v>32</v>
      </c>
      <c r="V17" s="295" t="s">
        <v>32</v>
      </c>
      <c r="W17" s="299" t="s">
        <v>32</v>
      </c>
      <c r="X17" s="292" t="s">
        <v>377</v>
      </c>
      <c r="Y17" s="295" t="s">
        <v>32</v>
      </c>
      <c r="Z17" s="292" t="s">
        <v>377</v>
      </c>
      <c r="AA17" s="292" t="s">
        <v>377</v>
      </c>
      <c r="AB17" s="288" t="s">
        <v>377</v>
      </c>
      <c r="AC17" s="289" t="s">
        <v>377</v>
      </c>
      <c r="AD17" s="292" t="s">
        <v>377</v>
      </c>
      <c r="AE17" s="299" t="s">
        <v>32</v>
      </c>
      <c r="AF17" s="295" t="s">
        <v>32</v>
      </c>
      <c r="AG17" s="292" t="s">
        <v>18</v>
      </c>
      <c r="AH17" s="292" t="s">
        <v>377</v>
      </c>
      <c r="AI17" s="288" t="s">
        <v>377</v>
      </c>
      <c r="AJ17" s="299" t="s">
        <v>32</v>
      </c>
      <c r="AK17" s="299" t="s">
        <v>32</v>
      </c>
      <c r="AL17" s="295" t="s">
        <v>32</v>
      </c>
      <c r="AM17" s="292" t="s">
        <v>377</v>
      </c>
      <c r="AN17" s="292" t="s">
        <v>377</v>
      </c>
      <c r="AO17" s="288" t="s">
        <v>377</v>
      </c>
      <c r="AP17" s="289" t="s">
        <v>377</v>
      </c>
      <c r="AQ17" s="299" t="s">
        <v>32</v>
      </c>
      <c r="AR17" s="292" t="s">
        <v>377</v>
      </c>
      <c r="AS17" s="295" t="s">
        <v>32</v>
      </c>
      <c r="AT17" s="299" t="s">
        <v>32</v>
      </c>
      <c r="AU17" s="299" t="s">
        <v>32</v>
      </c>
      <c r="AV17" s="295" t="s">
        <v>32</v>
      </c>
      <c r="AW17" s="299" t="s">
        <v>32</v>
      </c>
      <c r="AX17" s="292" t="s">
        <v>377</v>
      </c>
      <c r="AY17" s="295" t="s">
        <v>32</v>
      </c>
      <c r="AZ17" s="299" t="s">
        <v>32</v>
      </c>
      <c r="BA17" s="299" t="s">
        <v>32</v>
      </c>
      <c r="BB17" s="288" t="s">
        <v>18</v>
      </c>
      <c r="BC17" s="289" t="s">
        <v>377</v>
      </c>
      <c r="BD17" s="292"/>
    </row>
    <row r="18" ht="12.75" customHeight="1">
      <c r="A18" s="293">
        <v>44789.80736305556</v>
      </c>
      <c r="B18" s="297" t="s">
        <v>486</v>
      </c>
      <c r="C18" s="298" t="s">
        <v>567</v>
      </c>
      <c r="D18" s="298" t="s">
        <v>16</v>
      </c>
      <c r="E18" s="285" t="s">
        <v>476</v>
      </c>
      <c r="F18" s="292" t="s">
        <v>573</v>
      </c>
      <c r="G18" s="298" t="s">
        <v>21</v>
      </c>
      <c r="H18" s="298">
        <v>11.0</v>
      </c>
      <c r="I18" s="292" t="s">
        <v>479</v>
      </c>
      <c r="J18" s="292" t="s">
        <v>480</v>
      </c>
      <c r="K18" s="287" t="s">
        <v>480</v>
      </c>
      <c r="L18" s="292" t="s">
        <v>479</v>
      </c>
      <c r="M18" s="292" t="s">
        <v>483</v>
      </c>
      <c r="N18" s="292"/>
      <c r="O18" s="292"/>
      <c r="P18" s="292"/>
      <c r="Q18" s="292" t="s">
        <v>377</v>
      </c>
      <c r="R18" s="299" t="s">
        <v>32</v>
      </c>
      <c r="S18" s="295" t="s">
        <v>32</v>
      </c>
      <c r="T18" s="292" t="s">
        <v>377</v>
      </c>
      <c r="U18" s="299" t="s">
        <v>32</v>
      </c>
      <c r="V18" s="295" t="s">
        <v>32</v>
      </c>
      <c r="W18" s="299" t="s">
        <v>32</v>
      </c>
      <c r="X18" s="292" t="s">
        <v>377</v>
      </c>
      <c r="Y18" s="295" t="s">
        <v>32</v>
      </c>
      <c r="Z18" s="292" t="s">
        <v>377</v>
      </c>
      <c r="AA18" s="292" t="s">
        <v>18</v>
      </c>
      <c r="AB18" s="288" t="s">
        <v>377</v>
      </c>
      <c r="AC18" s="289" t="s">
        <v>377</v>
      </c>
      <c r="AD18" s="292" t="s">
        <v>377</v>
      </c>
      <c r="AE18" s="299" t="s">
        <v>32</v>
      </c>
      <c r="AF18" s="295" t="s">
        <v>32</v>
      </c>
      <c r="AG18" s="292" t="s">
        <v>377</v>
      </c>
      <c r="AH18" s="292" t="s">
        <v>377</v>
      </c>
      <c r="AI18" s="288" t="s">
        <v>377</v>
      </c>
      <c r="AJ18" s="292" t="s">
        <v>18</v>
      </c>
      <c r="AK18" s="292" t="s">
        <v>18</v>
      </c>
      <c r="AL18" s="288" t="s">
        <v>18</v>
      </c>
      <c r="AM18" s="292" t="s">
        <v>377</v>
      </c>
      <c r="AN18" s="292" t="s">
        <v>18</v>
      </c>
      <c r="AO18" s="288" t="s">
        <v>377</v>
      </c>
      <c r="AP18" s="289" t="s">
        <v>377</v>
      </c>
      <c r="AQ18" s="292" t="s">
        <v>377</v>
      </c>
      <c r="AR18" s="299" t="s">
        <v>32</v>
      </c>
      <c r="AS18" s="295" t="s">
        <v>32</v>
      </c>
      <c r="AT18" s="299" t="s">
        <v>32</v>
      </c>
      <c r="AU18" s="299" t="s">
        <v>32</v>
      </c>
      <c r="AV18" s="295" t="s">
        <v>32</v>
      </c>
      <c r="AW18" s="292" t="s">
        <v>377</v>
      </c>
      <c r="AX18" s="292" t="s">
        <v>377</v>
      </c>
      <c r="AY18" s="288" t="s">
        <v>377</v>
      </c>
      <c r="AZ18" s="299" t="s">
        <v>32</v>
      </c>
      <c r="BA18" s="299" t="s">
        <v>32</v>
      </c>
      <c r="BB18" s="295" t="s">
        <v>32</v>
      </c>
      <c r="BC18" s="296" t="s">
        <v>32</v>
      </c>
      <c r="BD18" s="292"/>
    </row>
    <row r="19" ht="12.75" customHeight="1">
      <c r="A19" s="293">
        <v>44789.81395001158</v>
      </c>
      <c r="B19" s="297" t="s">
        <v>486</v>
      </c>
      <c r="C19" s="298" t="s">
        <v>567</v>
      </c>
      <c r="D19" s="298" t="s">
        <v>16</v>
      </c>
      <c r="E19" s="285" t="s">
        <v>476</v>
      </c>
      <c r="F19" s="292" t="s">
        <v>574</v>
      </c>
      <c r="G19" s="298" t="s">
        <v>21</v>
      </c>
      <c r="H19" s="298">
        <v>11.0</v>
      </c>
      <c r="I19" s="292" t="s">
        <v>479</v>
      </c>
      <c r="J19" s="292" t="s">
        <v>480</v>
      </c>
      <c r="K19" s="287" t="s">
        <v>480</v>
      </c>
      <c r="L19" s="292" t="s">
        <v>479</v>
      </c>
      <c r="M19" s="292" t="s">
        <v>481</v>
      </c>
      <c r="N19" s="292"/>
      <c r="O19" s="292"/>
      <c r="P19" s="292"/>
      <c r="Q19" s="299" t="s">
        <v>32</v>
      </c>
      <c r="R19" s="299" t="s">
        <v>32</v>
      </c>
      <c r="S19" s="295" t="s">
        <v>32</v>
      </c>
      <c r="T19" s="299" t="s">
        <v>32</v>
      </c>
      <c r="U19" s="299" t="s">
        <v>32</v>
      </c>
      <c r="V19" s="295" t="s">
        <v>32</v>
      </c>
      <c r="W19" s="299" t="s">
        <v>32</v>
      </c>
      <c r="X19" s="292" t="s">
        <v>377</v>
      </c>
      <c r="Y19" s="295" t="s">
        <v>32</v>
      </c>
      <c r="Z19" s="299" t="s">
        <v>32</v>
      </c>
      <c r="AA19" s="292" t="s">
        <v>377</v>
      </c>
      <c r="AB19" s="295" t="s">
        <v>32</v>
      </c>
      <c r="AC19" s="296" t="s">
        <v>32</v>
      </c>
      <c r="AD19" s="299" t="s">
        <v>32</v>
      </c>
      <c r="AE19" s="299" t="s">
        <v>32</v>
      </c>
      <c r="AF19" s="295" t="s">
        <v>32</v>
      </c>
      <c r="AG19" s="299" t="s">
        <v>32</v>
      </c>
      <c r="AH19" s="292" t="s">
        <v>377</v>
      </c>
      <c r="AI19" s="295" t="s">
        <v>32</v>
      </c>
      <c r="AJ19" s="299" t="s">
        <v>32</v>
      </c>
      <c r="AK19" s="292" t="s">
        <v>377</v>
      </c>
      <c r="AL19" s="295" t="s">
        <v>32</v>
      </c>
      <c r="AM19" s="292" t="s">
        <v>377</v>
      </c>
      <c r="AN19" s="292" t="s">
        <v>377</v>
      </c>
      <c r="AO19" s="288" t="s">
        <v>377</v>
      </c>
      <c r="AP19" s="296" t="s">
        <v>32</v>
      </c>
      <c r="AQ19" s="299" t="s">
        <v>32</v>
      </c>
      <c r="AR19" s="299" t="s">
        <v>32</v>
      </c>
      <c r="AS19" s="295" t="s">
        <v>32</v>
      </c>
      <c r="AT19" s="292" t="s">
        <v>377</v>
      </c>
      <c r="AU19" s="299" t="s">
        <v>32</v>
      </c>
      <c r="AV19" s="295" t="s">
        <v>32</v>
      </c>
      <c r="AW19" s="299" t="s">
        <v>32</v>
      </c>
      <c r="AX19" s="292" t="s">
        <v>377</v>
      </c>
      <c r="AY19" s="295" t="s">
        <v>32</v>
      </c>
      <c r="AZ19" s="292" t="s">
        <v>377</v>
      </c>
      <c r="BA19" s="299" t="s">
        <v>32</v>
      </c>
      <c r="BB19" s="288" t="s">
        <v>377</v>
      </c>
      <c r="BC19" s="289" t="s">
        <v>377</v>
      </c>
      <c r="BD19" s="292"/>
    </row>
    <row r="20" ht="12.75" customHeight="1">
      <c r="A20" s="293">
        <v>44789.81671377315</v>
      </c>
      <c r="B20" s="297" t="s">
        <v>486</v>
      </c>
      <c r="C20" s="298" t="s">
        <v>567</v>
      </c>
      <c r="D20" s="298" t="s">
        <v>16</v>
      </c>
      <c r="E20" s="285" t="s">
        <v>476</v>
      </c>
      <c r="F20" s="292" t="s">
        <v>575</v>
      </c>
      <c r="G20" s="298" t="s">
        <v>21</v>
      </c>
      <c r="H20" s="298">
        <v>13.0</v>
      </c>
      <c r="I20" s="292" t="s">
        <v>479</v>
      </c>
      <c r="J20" s="292" t="s">
        <v>480</v>
      </c>
      <c r="K20" s="287" t="s">
        <v>480</v>
      </c>
      <c r="L20" s="292" t="s">
        <v>479</v>
      </c>
      <c r="M20" s="292" t="s">
        <v>483</v>
      </c>
      <c r="N20" s="292"/>
      <c r="O20" s="292"/>
      <c r="P20" s="292"/>
      <c r="Q20" s="292" t="s">
        <v>377</v>
      </c>
      <c r="R20" s="299" t="s">
        <v>32</v>
      </c>
      <c r="S20" s="295" t="s">
        <v>32</v>
      </c>
      <c r="T20" s="299" t="s">
        <v>32</v>
      </c>
      <c r="U20" s="299" t="s">
        <v>32</v>
      </c>
      <c r="V20" s="295" t="s">
        <v>32</v>
      </c>
      <c r="W20" s="292" t="s">
        <v>377</v>
      </c>
      <c r="X20" s="299" t="s">
        <v>32</v>
      </c>
      <c r="Y20" s="295" t="s">
        <v>32</v>
      </c>
      <c r="Z20" s="299" t="s">
        <v>32</v>
      </c>
      <c r="AA20" s="292" t="s">
        <v>377</v>
      </c>
      <c r="AB20" s="295" t="s">
        <v>32</v>
      </c>
      <c r="AC20" s="296" t="s">
        <v>32</v>
      </c>
      <c r="AD20" s="292" t="s">
        <v>18</v>
      </c>
      <c r="AE20" s="299" t="s">
        <v>32</v>
      </c>
      <c r="AF20" s="288" t="s">
        <v>377</v>
      </c>
      <c r="AG20" s="292" t="s">
        <v>377</v>
      </c>
      <c r="AH20" s="292" t="s">
        <v>377</v>
      </c>
      <c r="AI20" s="288" t="s">
        <v>377</v>
      </c>
      <c r="AJ20" s="292" t="s">
        <v>377</v>
      </c>
      <c r="AK20" s="292" t="s">
        <v>18</v>
      </c>
      <c r="AL20" s="288" t="s">
        <v>377</v>
      </c>
      <c r="AM20" s="292" t="s">
        <v>377</v>
      </c>
      <c r="AN20" s="292" t="s">
        <v>18</v>
      </c>
      <c r="AO20" s="288" t="s">
        <v>377</v>
      </c>
      <c r="AP20" s="289" t="s">
        <v>377</v>
      </c>
      <c r="AQ20" s="292" t="s">
        <v>377</v>
      </c>
      <c r="AR20" s="299" t="s">
        <v>32</v>
      </c>
      <c r="AS20" s="295" t="s">
        <v>32</v>
      </c>
      <c r="AT20" s="299" t="s">
        <v>32</v>
      </c>
      <c r="AU20" s="299" t="s">
        <v>32</v>
      </c>
      <c r="AV20" s="295" t="s">
        <v>32</v>
      </c>
      <c r="AW20" s="292" t="s">
        <v>377</v>
      </c>
      <c r="AX20" s="292" t="s">
        <v>377</v>
      </c>
      <c r="AY20" s="288" t="s">
        <v>377</v>
      </c>
      <c r="AZ20" s="299" t="s">
        <v>32</v>
      </c>
      <c r="BA20" s="299" t="s">
        <v>32</v>
      </c>
      <c r="BB20" s="295" t="s">
        <v>32</v>
      </c>
      <c r="BC20" s="296" t="s">
        <v>32</v>
      </c>
      <c r="BD20" s="292"/>
    </row>
    <row r="21" ht="12.75" customHeight="1">
      <c r="A21" s="293">
        <v>44789.82796880787</v>
      </c>
      <c r="B21" s="297" t="s">
        <v>486</v>
      </c>
      <c r="C21" s="298" t="s">
        <v>567</v>
      </c>
      <c r="D21" s="298" t="s">
        <v>16</v>
      </c>
      <c r="E21" s="285" t="s">
        <v>476</v>
      </c>
      <c r="F21" s="292" t="s">
        <v>576</v>
      </c>
      <c r="G21" s="298" t="s">
        <v>21</v>
      </c>
      <c r="H21" s="298">
        <v>12.0</v>
      </c>
      <c r="I21" s="292" t="s">
        <v>479</v>
      </c>
      <c r="J21" s="292" t="s">
        <v>480</v>
      </c>
      <c r="K21" s="287" t="s">
        <v>480</v>
      </c>
      <c r="L21" s="292" t="s">
        <v>479</v>
      </c>
      <c r="M21" s="292" t="s">
        <v>481</v>
      </c>
      <c r="N21" s="292"/>
      <c r="O21" s="292"/>
      <c r="P21" s="292"/>
      <c r="Q21" s="299" t="s">
        <v>32</v>
      </c>
      <c r="R21" s="299" t="s">
        <v>32</v>
      </c>
      <c r="S21" s="295" t="s">
        <v>32</v>
      </c>
      <c r="T21" s="292" t="s">
        <v>377</v>
      </c>
      <c r="U21" s="299" t="s">
        <v>32</v>
      </c>
      <c r="V21" s="295" t="s">
        <v>32</v>
      </c>
      <c r="W21" s="299" t="s">
        <v>32</v>
      </c>
      <c r="X21" s="299" t="s">
        <v>32</v>
      </c>
      <c r="Y21" s="295" t="s">
        <v>32</v>
      </c>
      <c r="Z21" s="299" t="s">
        <v>32</v>
      </c>
      <c r="AA21" s="299" t="s">
        <v>32</v>
      </c>
      <c r="AB21" s="295" t="s">
        <v>32</v>
      </c>
      <c r="AC21" s="296" t="s">
        <v>32</v>
      </c>
      <c r="AD21" s="299" t="s">
        <v>32</v>
      </c>
      <c r="AE21" s="299" t="s">
        <v>32</v>
      </c>
      <c r="AF21" s="295" t="s">
        <v>32</v>
      </c>
      <c r="AG21" s="299" t="s">
        <v>32</v>
      </c>
      <c r="AH21" s="299" t="s">
        <v>32</v>
      </c>
      <c r="AI21" s="295" t="s">
        <v>32</v>
      </c>
      <c r="AJ21" s="292" t="s">
        <v>377</v>
      </c>
      <c r="AK21" s="292" t="s">
        <v>377</v>
      </c>
      <c r="AL21" s="288" t="s">
        <v>377</v>
      </c>
      <c r="AM21" s="292" t="s">
        <v>18</v>
      </c>
      <c r="AN21" s="292" t="s">
        <v>18</v>
      </c>
      <c r="AO21" s="288" t="s">
        <v>18</v>
      </c>
      <c r="AP21" s="289" t="s">
        <v>377</v>
      </c>
      <c r="AQ21" s="299" t="s">
        <v>32</v>
      </c>
      <c r="AR21" s="299" t="s">
        <v>32</v>
      </c>
      <c r="AS21" s="295" t="s">
        <v>32</v>
      </c>
      <c r="AT21" s="299" t="s">
        <v>32</v>
      </c>
      <c r="AU21" s="299" t="s">
        <v>32</v>
      </c>
      <c r="AV21" s="295" t="s">
        <v>32</v>
      </c>
      <c r="AW21" s="292" t="s">
        <v>377</v>
      </c>
      <c r="AX21" s="292" t="s">
        <v>377</v>
      </c>
      <c r="AY21" s="288" t="s">
        <v>377</v>
      </c>
      <c r="AZ21" s="299" t="s">
        <v>32</v>
      </c>
      <c r="BA21" s="299" t="s">
        <v>32</v>
      </c>
      <c r="BB21" s="295" t="s">
        <v>32</v>
      </c>
      <c r="BC21" s="296" t="s">
        <v>32</v>
      </c>
      <c r="BD21" s="292"/>
    </row>
    <row r="22" ht="12.75" customHeight="1">
      <c r="A22" s="293">
        <v>45267.74127899305</v>
      </c>
      <c r="B22" s="286" t="s">
        <v>486</v>
      </c>
      <c r="C22" s="285" t="s">
        <v>559</v>
      </c>
      <c r="D22" s="285" t="s">
        <v>16</v>
      </c>
      <c r="E22" s="285" t="s">
        <v>577</v>
      </c>
      <c r="F22" s="287" t="s">
        <v>578</v>
      </c>
      <c r="G22" s="285" t="s">
        <v>17</v>
      </c>
      <c r="H22" s="285">
        <v>16.0</v>
      </c>
      <c r="I22" s="287" t="s">
        <v>479</v>
      </c>
      <c r="J22" s="287" t="s">
        <v>480</v>
      </c>
      <c r="K22" s="287" t="s">
        <v>480</v>
      </c>
      <c r="L22" s="287" t="s">
        <v>497</v>
      </c>
      <c r="M22" s="292"/>
      <c r="N22" s="292"/>
      <c r="O22" s="285" t="s">
        <v>497</v>
      </c>
      <c r="P22" s="292"/>
      <c r="Q22" s="294" t="s">
        <v>32</v>
      </c>
      <c r="R22" s="294" t="s">
        <v>32</v>
      </c>
      <c r="S22" s="295" t="s">
        <v>32</v>
      </c>
      <c r="T22" s="294" t="s">
        <v>32</v>
      </c>
      <c r="U22" s="294" t="s">
        <v>32</v>
      </c>
      <c r="V22" s="295" t="s">
        <v>32</v>
      </c>
      <c r="W22" s="287" t="s">
        <v>377</v>
      </c>
      <c r="X22" s="294" t="s">
        <v>32</v>
      </c>
      <c r="Y22" s="295" t="s">
        <v>32</v>
      </c>
      <c r="Z22" s="294" t="s">
        <v>32</v>
      </c>
      <c r="AA22" s="294" t="s">
        <v>32</v>
      </c>
      <c r="AB22" s="295" t="s">
        <v>32</v>
      </c>
      <c r="AC22" s="296" t="s">
        <v>32</v>
      </c>
      <c r="AD22" s="294" t="s">
        <v>32</v>
      </c>
      <c r="AE22" s="294" t="s">
        <v>32</v>
      </c>
      <c r="AF22" s="295" t="s">
        <v>32</v>
      </c>
      <c r="AG22" s="294" t="s">
        <v>32</v>
      </c>
      <c r="AH22" s="294" t="s">
        <v>32</v>
      </c>
      <c r="AI22" s="295" t="s">
        <v>32</v>
      </c>
      <c r="AJ22" s="294" t="s">
        <v>32</v>
      </c>
      <c r="AK22" s="294" t="s">
        <v>32</v>
      </c>
      <c r="AL22" s="295" t="s">
        <v>32</v>
      </c>
      <c r="AM22" s="287" t="s">
        <v>377</v>
      </c>
      <c r="AN22" s="287" t="s">
        <v>377</v>
      </c>
      <c r="AO22" s="288" t="s">
        <v>377</v>
      </c>
      <c r="AP22" s="296" t="s">
        <v>32</v>
      </c>
      <c r="AQ22" s="294" t="s">
        <v>32</v>
      </c>
      <c r="AR22" s="294" t="s">
        <v>32</v>
      </c>
      <c r="AS22" s="295" t="s">
        <v>32</v>
      </c>
      <c r="AT22" s="294" t="s">
        <v>32</v>
      </c>
      <c r="AU22" s="294" t="s">
        <v>32</v>
      </c>
      <c r="AV22" s="295" t="s">
        <v>32</v>
      </c>
      <c r="AW22" s="294" t="s">
        <v>32</v>
      </c>
      <c r="AX22" s="294" t="s">
        <v>32</v>
      </c>
      <c r="AY22" s="295" t="s">
        <v>32</v>
      </c>
      <c r="AZ22" s="294" t="s">
        <v>32</v>
      </c>
      <c r="BA22" s="294" t="s">
        <v>32</v>
      </c>
      <c r="BB22" s="295" t="s">
        <v>32</v>
      </c>
      <c r="BC22" s="296" t="s">
        <v>32</v>
      </c>
      <c r="BD22" s="292"/>
    </row>
    <row r="23" ht="12.75" customHeight="1">
      <c r="A23" s="298">
        <v>72.0</v>
      </c>
      <c r="B23" s="297" t="s">
        <v>486</v>
      </c>
      <c r="C23" s="298" t="s">
        <v>567</v>
      </c>
      <c r="D23" s="298" t="s">
        <v>16</v>
      </c>
      <c r="E23" s="285" t="s">
        <v>577</v>
      </c>
      <c r="F23" s="292" t="s">
        <v>579</v>
      </c>
      <c r="G23" s="298" t="s">
        <v>21</v>
      </c>
      <c r="H23" s="298">
        <v>12.0</v>
      </c>
      <c r="I23" s="292" t="s">
        <v>479</v>
      </c>
      <c r="J23" s="292" t="s">
        <v>480</v>
      </c>
      <c r="K23" s="287" t="s">
        <v>480</v>
      </c>
      <c r="L23" s="292" t="s">
        <v>479</v>
      </c>
      <c r="M23" s="292" t="s">
        <v>490</v>
      </c>
      <c r="N23" s="292"/>
      <c r="O23" s="298" t="s">
        <v>479</v>
      </c>
      <c r="P23" s="292" t="s">
        <v>580</v>
      </c>
      <c r="Q23" s="299" t="s">
        <v>32</v>
      </c>
      <c r="R23" s="292" t="s">
        <v>377</v>
      </c>
      <c r="S23" s="295" t="s">
        <v>32</v>
      </c>
      <c r="T23" s="299" t="s">
        <v>32</v>
      </c>
      <c r="U23" s="299" t="s">
        <v>32</v>
      </c>
      <c r="V23" s="295" t="s">
        <v>32</v>
      </c>
      <c r="W23" s="292" t="s">
        <v>377</v>
      </c>
      <c r="X23" s="299" t="s">
        <v>32</v>
      </c>
      <c r="Y23" s="295" t="s">
        <v>32</v>
      </c>
      <c r="Z23" s="299" t="s">
        <v>32</v>
      </c>
      <c r="AA23" s="292" t="s">
        <v>377</v>
      </c>
      <c r="AB23" s="295" t="s">
        <v>32</v>
      </c>
      <c r="AC23" s="296" t="s">
        <v>32</v>
      </c>
      <c r="AD23" s="292" t="s">
        <v>377</v>
      </c>
      <c r="AE23" s="299" t="s">
        <v>32</v>
      </c>
      <c r="AF23" s="295" t="s">
        <v>32</v>
      </c>
      <c r="AG23" s="299" t="s">
        <v>32</v>
      </c>
      <c r="AH23" s="299" t="s">
        <v>32</v>
      </c>
      <c r="AI23" s="295" t="s">
        <v>32</v>
      </c>
      <c r="AJ23" s="299" t="s">
        <v>32</v>
      </c>
      <c r="AK23" s="292" t="s">
        <v>377</v>
      </c>
      <c r="AL23" s="295" t="s">
        <v>32</v>
      </c>
      <c r="AM23" s="299" t="s">
        <v>32</v>
      </c>
      <c r="AN23" s="292" t="s">
        <v>377</v>
      </c>
      <c r="AO23" s="295" t="s">
        <v>32</v>
      </c>
      <c r="AP23" s="296" t="s">
        <v>32</v>
      </c>
      <c r="AQ23" s="299" t="s">
        <v>32</v>
      </c>
      <c r="AR23" s="299" t="s">
        <v>32</v>
      </c>
      <c r="AS23" s="295" t="s">
        <v>32</v>
      </c>
      <c r="AT23" s="292" t="s">
        <v>377</v>
      </c>
      <c r="AU23" s="299" t="s">
        <v>32</v>
      </c>
      <c r="AV23" s="295" t="s">
        <v>32</v>
      </c>
      <c r="AW23" s="299" t="s">
        <v>32</v>
      </c>
      <c r="AX23" s="299" t="s">
        <v>32</v>
      </c>
      <c r="AY23" s="295" t="s">
        <v>32</v>
      </c>
      <c r="AZ23" s="299" t="s">
        <v>32</v>
      </c>
      <c r="BA23" s="299" t="s">
        <v>32</v>
      </c>
      <c r="BB23" s="288" t="s">
        <v>18</v>
      </c>
      <c r="BC23" s="289" t="s">
        <v>377</v>
      </c>
      <c r="BD23" s="292"/>
    </row>
    <row r="24" ht="12.75" customHeight="1">
      <c r="A24" s="293">
        <v>45257.646243020834</v>
      </c>
      <c r="B24" s="286" t="s">
        <v>504</v>
      </c>
      <c r="C24" s="287" t="s">
        <v>559</v>
      </c>
      <c r="D24" s="285" t="s">
        <v>16</v>
      </c>
      <c r="E24" s="285" t="s">
        <v>476</v>
      </c>
      <c r="F24" s="287" t="s">
        <v>581</v>
      </c>
      <c r="G24" s="285" t="s">
        <v>21</v>
      </c>
      <c r="H24" s="285">
        <v>12.0</v>
      </c>
      <c r="I24" s="287" t="s">
        <v>479</v>
      </c>
      <c r="J24" s="287" t="s">
        <v>480</v>
      </c>
      <c r="K24" s="287" t="s">
        <v>480</v>
      </c>
      <c r="L24" s="287" t="s">
        <v>497</v>
      </c>
      <c r="M24" s="292"/>
      <c r="N24" s="292"/>
      <c r="O24" s="292"/>
      <c r="P24" s="292"/>
      <c r="Q24" s="287" t="s">
        <v>377</v>
      </c>
      <c r="R24" s="287" t="s">
        <v>377</v>
      </c>
      <c r="S24" s="288" t="s">
        <v>377</v>
      </c>
      <c r="T24" s="287" t="s">
        <v>18</v>
      </c>
      <c r="U24" s="287" t="s">
        <v>377</v>
      </c>
      <c r="V24" s="288" t="s">
        <v>377</v>
      </c>
      <c r="W24" s="287" t="s">
        <v>18</v>
      </c>
      <c r="X24" s="287" t="s">
        <v>18</v>
      </c>
      <c r="Y24" s="288" t="s">
        <v>18</v>
      </c>
      <c r="Z24" s="287" t="s">
        <v>18</v>
      </c>
      <c r="AA24" s="287" t="s">
        <v>18</v>
      </c>
      <c r="AB24" s="288" t="s">
        <v>18</v>
      </c>
      <c r="AC24" s="289" t="s">
        <v>18</v>
      </c>
      <c r="AD24" s="287" t="s">
        <v>377</v>
      </c>
      <c r="AE24" s="287" t="s">
        <v>377</v>
      </c>
      <c r="AF24" s="288" t="s">
        <v>377</v>
      </c>
      <c r="AG24" s="287" t="s">
        <v>377</v>
      </c>
      <c r="AH24" s="287" t="s">
        <v>18</v>
      </c>
      <c r="AI24" s="288" t="s">
        <v>377</v>
      </c>
      <c r="AJ24" s="287" t="s">
        <v>18</v>
      </c>
      <c r="AK24" s="287" t="s">
        <v>18</v>
      </c>
      <c r="AL24" s="288" t="s">
        <v>18</v>
      </c>
      <c r="AM24" s="287" t="s">
        <v>18</v>
      </c>
      <c r="AN24" s="287" t="s">
        <v>18</v>
      </c>
      <c r="AO24" s="288" t="s">
        <v>18</v>
      </c>
      <c r="AP24" s="289" t="s">
        <v>18</v>
      </c>
      <c r="AQ24" s="287" t="s">
        <v>18</v>
      </c>
      <c r="AR24" s="287" t="s">
        <v>377</v>
      </c>
      <c r="AS24" s="288" t="s">
        <v>377</v>
      </c>
      <c r="AT24" s="294" t="s">
        <v>32</v>
      </c>
      <c r="AU24" s="287" t="s">
        <v>18</v>
      </c>
      <c r="AV24" s="288" t="s">
        <v>377</v>
      </c>
      <c r="AW24" s="287" t="s">
        <v>377</v>
      </c>
      <c r="AX24" s="287" t="s">
        <v>18</v>
      </c>
      <c r="AY24" s="288" t="s">
        <v>377</v>
      </c>
      <c r="AZ24" s="287" t="s">
        <v>18</v>
      </c>
      <c r="BA24" s="287" t="s">
        <v>18</v>
      </c>
      <c r="BB24" s="295" t="s">
        <v>32</v>
      </c>
      <c r="BC24" s="296" t="s">
        <v>32</v>
      </c>
      <c r="BD24" s="292"/>
    </row>
    <row r="25" ht="12.75" customHeight="1">
      <c r="A25" s="293">
        <v>45271.917590439814</v>
      </c>
      <c r="B25" s="286" t="s">
        <v>504</v>
      </c>
      <c r="C25" s="287" t="s">
        <v>559</v>
      </c>
      <c r="D25" s="285" t="s">
        <v>16</v>
      </c>
      <c r="E25" s="285" t="s">
        <v>476</v>
      </c>
      <c r="F25" s="287" t="s">
        <v>582</v>
      </c>
      <c r="G25" s="285" t="s">
        <v>17</v>
      </c>
      <c r="H25" s="285">
        <v>12.0</v>
      </c>
      <c r="I25" s="287" t="s">
        <v>479</v>
      </c>
      <c r="J25" s="287" t="s">
        <v>480</v>
      </c>
      <c r="K25" s="287" t="s">
        <v>480</v>
      </c>
      <c r="L25" s="287" t="s">
        <v>497</v>
      </c>
      <c r="M25" s="292"/>
      <c r="N25" s="292"/>
      <c r="O25" s="292"/>
      <c r="P25" s="292"/>
      <c r="Q25" s="294" t="s">
        <v>32</v>
      </c>
      <c r="R25" s="287" t="s">
        <v>18</v>
      </c>
      <c r="S25" s="288" t="s">
        <v>377</v>
      </c>
      <c r="T25" s="287" t="s">
        <v>18</v>
      </c>
      <c r="U25" s="294" t="s">
        <v>32</v>
      </c>
      <c r="V25" s="288" t="s">
        <v>377</v>
      </c>
      <c r="W25" s="287" t="s">
        <v>18</v>
      </c>
      <c r="X25" s="287" t="s">
        <v>18</v>
      </c>
      <c r="Y25" s="288" t="s">
        <v>18</v>
      </c>
      <c r="Z25" s="294" t="s">
        <v>32</v>
      </c>
      <c r="AA25" s="294" t="s">
        <v>32</v>
      </c>
      <c r="AB25" s="295" t="s">
        <v>32</v>
      </c>
      <c r="AC25" s="289" t="s">
        <v>377</v>
      </c>
      <c r="AD25" s="294" t="s">
        <v>32</v>
      </c>
      <c r="AE25" s="294" t="s">
        <v>32</v>
      </c>
      <c r="AF25" s="295" t="s">
        <v>32</v>
      </c>
      <c r="AG25" s="287" t="s">
        <v>18</v>
      </c>
      <c r="AH25" s="287" t="s">
        <v>18</v>
      </c>
      <c r="AI25" s="288" t="s">
        <v>18</v>
      </c>
      <c r="AJ25" s="287" t="s">
        <v>18</v>
      </c>
      <c r="AK25" s="287" t="s">
        <v>18</v>
      </c>
      <c r="AL25" s="288" t="s">
        <v>18</v>
      </c>
      <c r="AM25" s="287" t="s">
        <v>18</v>
      </c>
      <c r="AN25" s="287" t="s">
        <v>18</v>
      </c>
      <c r="AO25" s="288" t="s">
        <v>18</v>
      </c>
      <c r="AP25" s="289" t="s">
        <v>377</v>
      </c>
      <c r="AQ25" s="294" t="s">
        <v>32</v>
      </c>
      <c r="AR25" s="294" t="s">
        <v>32</v>
      </c>
      <c r="AS25" s="295" t="s">
        <v>32</v>
      </c>
      <c r="AT25" s="294" t="s">
        <v>32</v>
      </c>
      <c r="AU25" s="294" t="s">
        <v>32</v>
      </c>
      <c r="AV25" s="295" t="s">
        <v>32</v>
      </c>
      <c r="AW25" s="287" t="s">
        <v>18</v>
      </c>
      <c r="AX25" s="287" t="s">
        <v>18</v>
      </c>
      <c r="AY25" s="288" t="s">
        <v>18</v>
      </c>
      <c r="AZ25" s="287" t="s">
        <v>18</v>
      </c>
      <c r="BA25" s="287" t="s">
        <v>18</v>
      </c>
      <c r="BB25" s="295" t="s">
        <v>32</v>
      </c>
      <c r="BC25" s="289" t="s">
        <v>377</v>
      </c>
      <c r="BD25" s="292"/>
    </row>
    <row r="26" ht="12.75" customHeight="1">
      <c r="A26" s="293">
        <v>45243.42952549769</v>
      </c>
      <c r="B26" s="286" t="s">
        <v>506</v>
      </c>
      <c r="C26" s="287" t="s">
        <v>559</v>
      </c>
      <c r="D26" s="285" t="s">
        <v>16</v>
      </c>
      <c r="E26" s="285" t="s">
        <v>476</v>
      </c>
      <c r="F26" s="287" t="s">
        <v>583</v>
      </c>
      <c r="G26" s="285" t="s">
        <v>21</v>
      </c>
      <c r="H26" s="285">
        <v>12.0</v>
      </c>
      <c r="I26" s="287" t="s">
        <v>479</v>
      </c>
      <c r="J26" s="287" t="s">
        <v>480</v>
      </c>
      <c r="K26" s="287" t="s">
        <v>480</v>
      </c>
      <c r="L26" s="287" t="s">
        <v>479</v>
      </c>
      <c r="M26" s="287" t="s">
        <v>481</v>
      </c>
      <c r="N26" s="287" t="s">
        <v>561</v>
      </c>
      <c r="O26" s="287"/>
      <c r="P26" s="287"/>
      <c r="Q26" s="294" t="s">
        <v>32</v>
      </c>
      <c r="R26" s="287" t="s">
        <v>377</v>
      </c>
      <c r="S26" s="295" t="s">
        <v>32</v>
      </c>
      <c r="T26" s="294" t="s">
        <v>32</v>
      </c>
      <c r="U26" s="294" t="s">
        <v>32</v>
      </c>
      <c r="V26" s="295" t="s">
        <v>32</v>
      </c>
      <c r="W26" s="294" t="s">
        <v>32</v>
      </c>
      <c r="X26" s="294" t="s">
        <v>32</v>
      </c>
      <c r="Y26" s="295" t="s">
        <v>32</v>
      </c>
      <c r="Z26" s="294" t="s">
        <v>32</v>
      </c>
      <c r="AA26" s="287" t="s">
        <v>377</v>
      </c>
      <c r="AB26" s="295" t="s">
        <v>32</v>
      </c>
      <c r="AC26" s="296" t="s">
        <v>32</v>
      </c>
      <c r="AD26" s="294" t="s">
        <v>32</v>
      </c>
      <c r="AE26" s="294" t="s">
        <v>32</v>
      </c>
      <c r="AF26" s="295" t="s">
        <v>32</v>
      </c>
      <c r="AG26" s="287" t="s">
        <v>18</v>
      </c>
      <c r="AH26" s="287" t="s">
        <v>18</v>
      </c>
      <c r="AI26" s="288" t="s">
        <v>18</v>
      </c>
      <c r="AJ26" s="294" t="s">
        <v>32</v>
      </c>
      <c r="AK26" s="287" t="s">
        <v>377</v>
      </c>
      <c r="AL26" s="295" t="s">
        <v>32</v>
      </c>
      <c r="AM26" s="287" t="s">
        <v>18</v>
      </c>
      <c r="AN26" s="294" t="s">
        <v>32</v>
      </c>
      <c r="AO26" s="288" t="s">
        <v>377</v>
      </c>
      <c r="AP26" s="289" t="s">
        <v>377</v>
      </c>
      <c r="AQ26" s="287" t="s">
        <v>18</v>
      </c>
      <c r="AR26" s="294" t="s">
        <v>32</v>
      </c>
      <c r="AS26" s="288" t="s">
        <v>377</v>
      </c>
      <c r="AT26" s="294" t="s">
        <v>32</v>
      </c>
      <c r="AU26" s="294" t="s">
        <v>32</v>
      </c>
      <c r="AV26" s="295" t="s">
        <v>32</v>
      </c>
      <c r="AW26" s="287" t="s">
        <v>377</v>
      </c>
      <c r="AX26" s="294" t="s">
        <v>32</v>
      </c>
      <c r="AY26" s="295" t="s">
        <v>32</v>
      </c>
      <c r="AZ26" s="294" t="s">
        <v>32</v>
      </c>
      <c r="BA26" s="294" t="s">
        <v>32</v>
      </c>
      <c r="BB26" s="295" t="s">
        <v>32</v>
      </c>
      <c r="BC26" s="296" t="s">
        <v>32</v>
      </c>
      <c r="BD26" s="292"/>
    </row>
    <row r="27" ht="12.75" customHeight="1">
      <c r="A27" s="293">
        <v>45243.43330380787</v>
      </c>
      <c r="B27" s="286" t="s">
        <v>506</v>
      </c>
      <c r="C27" s="287" t="s">
        <v>559</v>
      </c>
      <c r="D27" s="285" t="s">
        <v>16</v>
      </c>
      <c r="E27" s="285" t="s">
        <v>476</v>
      </c>
      <c r="F27" s="287" t="s">
        <v>584</v>
      </c>
      <c r="G27" s="285" t="s">
        <v>21</v>
      </c>
      <c r="H27" s="285">
        <v>12.0</v>
      </c>
      <c r="I27" s="287" t="s">
        <v>479</v>
      </c>
      <c r="J27" s="287" t="s">
        <v>480</v>
      </c>
      <c r="K27" s="287" t="s">
        <v>480</v>
      </c>
      <c r="L27" s="287" t="s">
        <v>479</v>
      </c>
      <c r="M27" s="287" t="s">
        <v>483</v>
      </c>
      <c r="N27" s="287" t="s">
        <v>561</v>
      </c>
      <c r="O27" s="287"/>
      <c r="P27" s="287"/>
      <c r="Q27" s="294" t="s">
        <v>32</v>
      </c>
      <c r="R27" s="287" t="s">
        <v>18</v>
      </c>
      <c r="S27" s="288" t="s">
        <v>377</v>
      </c>
      <c r="T27" s="287" t="s">
        <v>18</v>
      </c>
      <c r="U27" s="287" t="s">
        <v>18</v>
      </c>
      <c r="V27" s="288" t="s">
        <v>18</v>
      </c>
      <c r="W27" s="294" t="s">
        <v>32</v>
      </c>
      <c r="X27" s="287" t="s">
        <v>18</v>
      </c>
      <c r="Y27" s="288" t="s">
        <v>377</v>
      </c>
      <c r="Z27" s="294" t="s">
        <v>32</v>
      </c>
      <c r="AA27" s="287" t="s">
        <v>18</v>
      </c>
      <c r="AB27" s="288" t="s">
        <v>377</v>
      </c>
      <c r="AC27" s="289" t="s">
        <v>377</v>
      </c>
      <c r="AD27" s="294" t="s">
        <v>32</v>
      </c>
      <c r="AE27" s="294" t="s">
        <v>32</v>
      </c>
      <c r="AF27" s="295" t="s">
        <v>32</v>
      </c>
      <c r="AG27" s="287" t="s">
        <v>18</v>
      </c>
      <c r="AH27" s="287" t="s">
        <v>18</v>
      </c>
      <c r="AI27" s="288" t="s">
        <v>18</v>
      </c>
      <c r="AJ27" s="294" t="s">
        <v>32</v>
      </c>
      <c r="AK27" s="287" t="s">
        <v>18</v>
      </c>
      <c r="AL27" s="288" t="s">
        <v>377</v>
      </c>
      <c r="AM27" s="287" t="s">
        <v>18</v>
      </c>
      <c r="AN27" s="287" t="s">
        <v>18</v>
      </c>
      <c r="AO27" s="288" t="s">
        <v>18</v>
      </c>
      <c r="AP27" s="289" t="s">
        <v>377</v>
      </c>
      <c r="AQ27" s="294" t="s">
        <v>32</v>
      </c>
      <c r="AR27" s="287" t="s">
        <v>18</v>
      </c>
      <c r="AS27" s="288" t="s">
        <v>377</v>
      </c>
      <c r="AT27" s="294" t="s">
        <v>32</v>
      </c>
      <c r="AU27" s="294" t="s">
        <v>32</v>
      </c>
      <c r="AV27" s="295" t="s">
        <v>32</v>
      </c>
      <c r="AW27" s="287" t="s">
        <v>18</v>
      </c>
      <c r="AX27" s="294" t="s">
        <v>32</v>
      </c>
      <c r="AY27" s="288" t="s">
        <v>377</v>
      </c>
      <c r="AZ27" s="294" t="s">
        <v>32</v>
      </c>
      <c r="BA27" s="294" t="s">
        <v>32</v>
      </c>
      <c r="BB27" s="295" t="s">
        <v>32</v>
      </c>
      <c r="BC27" s="296" t="s">
        <v>32</v>
      </c>
      <c r="BD27" s="292"/>
    </row>
    <row r="28" ht="12.75" customHeight="1">
      <c r="A28" s="293">
        <v>44796.674572337964</v>
      </c>
      <c r="B28" s="297" t="s">
        <v>506</v>
      </c>
      <c r="C28" s="298" t="s">
        <v>567</v>
      </c>
      <c r="D28" s="298" t="s">
        <v>16</v>
      </c>
      <c r="E28" s="285" t="s">
        <v>476</v>
      </c>
      <c r="F28" s="292" t="s">
        <v>585</v>
      </c>
      <c r="G28" s="298" t="s">
        <v>21</v>
      </c>
      <c r="H28" s="298">
        <v>11.0</v>
      </c>
      <c r="I28" s="292" t="s">
        <v>479</v>
      </c>
      <c r="J28" s="292" t="s">
        <v>480</v>
      </c>
      <c r="K28" s="287" t="s">
        <v>480</v>
      </c>
      <c r="L28" s="292" t="s">
        <v>497</v>
      </c>
      <c r="M28" s="292" t="s">
        <v>586</v>
      </c>
      <c r="N28" s="292"/>
      <c r="O28" s="292"/>
      <c r="P28" s="292"/>
      <c r="Q28" s="299" t="s">
        <v>32</v>
      </c>
      <c r="R28" s="292" t="s">
        <v>377</v>
      </c>
      <c r="S28" s="295" t="s">
        <v>32</v>
      </c>
      <c r="T28" s="299" t="s">
        <v>32</v>
      </c>
      <c r="U28" s="299" t="s">
        <v>32</v>
      </c>
      <c r="V28" s="295" t="s">
        <v>32</v>
      </c>
      <c r="W28" s="299" t="s">
        <v>32</v>
      </c>
      <c r="X28" s="292" t="s">
        <v>377</v>
      </c>
      <c r="Y28" s="295" t="s">
        <v>32</v>
      </c>
      <c r="Z28" s="299" t="s">
        <v>32</v>
      </c>
      <c r="AA28" s="299" t="s">
        <v>32</v>
      </c>
      <c r="AB28" s="295" t="s">
        <v>32</v>
      </c>
      <c r="AC28" s="296" t="s">
        <v>32</v>
      </c>
      <c r="AD28" s="292" t="s">
        <v>377</v>
      </c>
      <c r="AE28" s="299" t="s">
        <v>32</v>
      </c>
      <c r="AF28" s="295" t="s">
        <v>32</v>
      </c>
      <c r="AG28" s="292" t="s">
        <v>377</v>
      </c>
      <c r="AH28" s="299" t="s">
        <v>32</v>
      </c>
      <c r="AI28" s="295" t="s">
        <v>32</v>
      </c>
      <c r="AJ28" s="292" t="s">
        <v>377</v>
      </c>
      <c r="AK28" s="299" t="s">
        <v>32</v>
      </c>
      <c r="AL28" s="295" t="s">
        <v>32</v>
      </c>
      <c r="AM28" s="292" t="s">
        <v>18</v>
      </c>
      <c r="AN28" s="292" t="s">
        <v>377</v>
      </c>
      <c r="AO28" s="288" t="s">
        <v>377</v>
      </c>
      <c r="AP28" s="289" t="s">
        <v>377</v>
      </c>
      <c r="AQ28" s="292" t="s">
        <v>377</v>
      </c>
      <c r="AR28" s="299" t="s">
        <v>32</v>
      </c>
      <c r="AS28" s="295" t="s">
        <v>32</v>
      </c>
      <c r="AT28" s="292" t="s">
        <v>18</v>
      </c>
      <c r="AU28" s="299" t="s">
        <v>32</v>
      </c>
      <c r="AV28" s="288" t="s">
        <v>377</v>
      </c>
      <c r="AW28" s="292" t="s">
        <v>18</v>
      </c>
      <c r="AX28" s="292" t="s">
        <v>18</v>
      </c>
      <c r="AY28" s="288" t="s">
        <v>18</v>
      </c>
      <c r="AZ28" s="299" t="s">
        <v>32</v>
      </c>
      <c r="BA28" s="292" t="s">
        <v>18</v>
      </c>
      <c r="BB28" s="295" t="s">
        <v>32</v>
      </c>
      <c r="BC28" s="296" t="s">
        <v>32</v>
      </c>
      <c r="BD28" s="292"/>
    </row>
    <row r="29" ht="12.75" customHeight="1">
      <c r="A29" s="293">
        <v>45257.44769961806</v>
      </c>
      <c r="B29" s="286" t="s">
        <v>375</v>
      </c>
      <c r="C29" s="287" t="s">
        <v>559</v>
      </c>
      <c r="D29" s="285" t="s">
        <v>16</v>
      </c>
      <c r="E29" s="285" t="s">
        <v>476</v>
      </c>
      <c r="F29" s="287" t="s">
        <v>587</v>
      </c>
      <c r="G29" s="285" t="s">
        <v>17</v>
      </c>
      <c r="H29" s="285">
        <v>13.0</v>
      </c>
      <c r="I29" s="287" t="s">
        <v>479</v>
      </c>
      <c r="J29" s="287" t="s">
        <v>588</v>
      </c>
      <c r="K29" s="287" t="s">
        <v>589</v>
      </c>
      <c r="L29" s="287" t="s">
        <v>497</v>
      </c>
      <c r="M29" s="292"/>
      <c r="N29" s="292"/>
      <c r="O29" s="292"/>
      <c r="P29" s="292"/>
      <c r="Q29" s="294" t="s">
        <v>32</v>
      </c>
      <c r="R29" s="287" t="s">
        <v>377</v>
      </c>
      <c r="S29" s="295" t="s">
        <v>32</v>
      </c>
      <c r="T29" s="287" t="s">
        <v>18</v>
      </c>
      <c r="U29" s="294" t="s">
        <v>32</v>
      </c>
      <c r="V29" s="288" t="s">
        <v>377</v>
      </c>
      <c r="W29" s="287" t="s">
        <v>377</v>
      </c>
      <c r="X29" s="287" t="s">
        <v>18</v>
      </c>
      <c r="Y29" s="288" t="s">
        <v>377</v>
      </c>
      <c r="Z29" s="294" t="s">
        <v>32</v>
      </c>
      <c r="AA29" s="294" t="s">
        <v>32</v>
      </c>
      <c r="AB29" s="295" t="s">
        <v>32</v>
      </c>
      <c r="AC29" s="289" t="s">
        <v>377</v>
      </c>
      <c r="AD29" s="287" t="s">
        <v>377</v>
      </c>
      <c r="AE29" s="287" t="s">
        <v>377</v>
      </c>
      <c r="AF29" s="288" t="s">
        <v>377</v>
      </c>
      <c r="AG29" s="294" t="s">
        <v>32</v>
      </c>
      <c r="AH29" s="287" t="s">
        <v>377</v>
      </c>
      <c r="AI29" s="295" t="s">
        <v>32</v>
      </c>
      <c r="AJ29" s="287" t="s">
        <v>377</v>
      </c>
      <c r="AK29" s="287" t="s">
        <v>377</v>
      </c>
      <c r="AL29" s="288" t="s">
        <v>377</v>
      </c>
      <c r="AM29" s="287" t="s">
        <v>377</v>
      </c>
      <c r="AN29" s="287" t="s">
        <v>377</v>
      </c>
      <c r="AO29" s="288" t="s">
        <v>377</v>
      </c>
      <c r="AP29" s="289" t="s">
        <v>377</v>
      </c>
      <c r="AQ29" s="294" t="s">
        <v>32</v>
      </c>
      <c r="AR29" s="287" t="s">
        <v>377</v>
      </c>
      <c r="AS29" s="295" t="s">
        <v>32</v>
      </c>
      <c r="AT29" s="294" t="s">
        <v>32</v>
      </c>
      <c r="AU29" s="294" t="s">
        <v>32</v>
      </c>
      <c r="AV29" s="295" t="s">
        <v>32</v>
      </c>
      <c r="AW29" s="294" t="s">
        <v>32</v>
      </c>
      <c r="AX29" s="287" t="s">
        <v>377</v>
      </c>
      <c r="AY29" s="295" t="s">
        <v>32</v>
      </c>
      <c r="AZ29" s="294" t="s">
        <v>32</v>
      </c>
      <c r="BA29" s="294" t="s">
        <v>32</v>
      </c>
      <c r="BB29" s="295" t="s">
        <v>32</v>
      </c>
      <c r="BC29" s="296" t="s">
        <v>32</v>
      </c>
      <c r="BD29" s="292"/>
    </row>
    <row r="30" ht="12.75" customHeight="1">
      <c r="A30" s="293">
        <v>45257.510499641205</v>
      </c>
      <c r="B30" s="286" t="s">
        <v>375</v>
      </c>
      <c r="C30" s="287" t="s">
        <v>559</v>
      </c>
      <c r="D30" s="285" t="s">
        <v>16</v>
      </c>
      <c r="E30" s="285" t="s">
        <v>476</v>
      </c>
      <c r="F30" s="287" t="s">
        <v>590</v>
      </c>
      <c r="G30" s="285" t="s">
        <v>21</v>
      </c>
      <c r="H30" s="285">
        <v>12.0</v>
      </c>
      <c r="I30" s="287" t="s">
        <v>479</v>
      </c>
      <c r="J30" s="287" t="s">
        <v>588</v>
      </c>
      <c r="K30" s="287" t="s">
        <v>589</v>
      </c>
      <c r="L30" s="287" t="s">
        <v>479</v>
      </c>
      <c r="M30" s="287" t="s">
        <v>481</v>
      </c>
      <c r="N30" s="287" t="s">
        <v>561</v>
      </c>
      <c r="O30" s="287"/>
      <c r="P30" s="287"/>
      <c r="Q30" s="294" t="s">
        <v>32</v>
      </c>
      <c r="R30" s="294" t="s">
        <v>32</v>
      </c>
      <c r="S30" s="295" t="s">
        <v>32</v>
      </c>
      <c r="T30" s="294" t="s">
        <v>32</v>
      </c>
      <c r="U30" s="294" t="s">
        <v>32</v>
      </c>
      <c r="V30" s="295" t="s">
        <v>32</v>
      </c>
      <c r="W30" s="294" t="s">
        <v>32</v>
      </c>
      <c r="X30" s="287" t="s">
        <v>377</v>
      </c>
      <c r="Y30" s="295" t="s">
        <v>32</v>
      </c>
      <c r="Z30" s="294" t="s">
        <v>32</v>
      </c>
      <c r="AA30" s="294" t="s">
        <v>32</v>
      </c>
      <c r="AB30" s="295" t="s">
        <v>32</v>
      </c>
      <c r="AC30" s="296" t="s">
        <v>32</v>
      </c>
      <c r="AD30" s="287" t="s">
        <v>377</v>
      </c>
      <c r="AE30" s="294" t="s">
        <v>32</v>
      </c>
      <c r="AF30" s="295" t="s">
        <v>32</v>
      </c>
      <c r="AG30" s="294" t="s">
        <v>32</v>
      </c>
      <c r="AH30" s="287" t="s">
        <v>377</v>
      </c>
      <c r="AI30" s="295" t="s">
        <v>32</v>
      </c>
      <c r="AJ30" s="294" t="s">
        <v>32</v>
      </c>
      <c r="AK30" s="294" t="s">
        <v>32</v>
      </c>
      <c r="AL30" s="295" t="s">
        <v>32</v>
      </c>
      <c r="AM30" s="294" t="s">
        <v>32</v>
      </c>
      <c r="AN30" s="287" t="s">
        <v>377</v>
      </c>
      <c r="AO30" s="295" t="s">
        <v>32</v>
      </c>
      <c r="AP30" s="296" t="s">
        <v>32</v>
      </c>
      <c r="AQ30" s="294" t="s">
        <v>32</v>
      </c>
      <c r="AR30" s="294" t="s">
        <v>32</v>
      </c>
      <c r="AS30" s="295" t="s">
        <v>32</v>
      </c>
      <c r="AT30" s="287" t="s">
        <v>377</v>
      </c>
      <c r="AU30" s="294" t="s">
        <v>32</v>
      </c>
      <c r="AV30" s="295" t="s">
        <v>32</v>
      </c>
      <c r="AW30" s="294" t="s">
        <v>32</v>
      </c>
      <c r="AX30" s="287" t="s">
        <v>377</v>
      </c>
      <c r="AY30" s="295" t="s">
        <v>32</v>
      </c>
      <c r="AZ30" s="287" t="s">
        <v>377</v>
      </c>
      <c r="BA30" s="294" t="s">
        <v>32</v>
      </c>
      <c r="BB30" s="288" t="s">
        <v>18</v>
      </c>
      <c r="BC30" s="289" t="s">
        <v>377</v>
      </c>
      <c r="BD30" s="292"/>
    </row>
    <row r="31" ht="12.75" customHeight="1">
      <c r="A31" s="293">
        <v>44797.47263579861</v>
      </c>
      <c r="B31" s="297" t="s">
        <v>375</v>
      </c>
      <c r="C31" s="298" t="s">
        <v>567</v>
      </c>
      <c r="D31" s="298" t="s">
        <v>16</v>
      </c>
      <c r="E31" s="285" t="s">
        <v>476</v>
      </c>
      <c r="F31" s="292" t="s">
        <v>591</v>
      </c>
      <c r="G31" s="298" t="s">
        <v>21</v>
      </c>
      <c r="H31" s="298">
        <v>11.0</v>
      </c>
      <c r="I31" s="292" t="s">
        <v>479</v>
      </c>
      <c r="J31" s="292" t="s">
        <v>592</v>
      </c>
      <c r="K31" s="287" t="s">
        <v>589</v>
      </c>
      <c r="L31" s="292" t="s">
        <v>479</v>
      </c>
      <c r="M31" s="292" t="s">
        <v>490</v>
      </c>
      <c r="N31" s="292"/>
      <c r="O31" s="292"/>
      <c r="P31" s="292"/>
      <c r="Q31" s="299" t="s">
        <v>32</v>
      </c>
      <c r="R31" s="299" t="s">
        <v>32</v>
      </c>
      <c r="S31" s="295" t="s">
        <v>32</v>
      </c>
      <c r="T31" s="299" t="s">
        <v>32</v>
      </c>
      <c r="U31" s="299" t="s">
        <v>32</v>
      </c>
      <c r="V31" s="295" t="s">
        <v>32</v>
      </c>
      <c r="W31" s="299" t="s">
        <v>32</v>
      </c>
      <c r="X31" s="299" t="s">
        <v>32</v>
      </c>
      <c r="Y31" s="295" t="s">
        <v>32</v>
      </c>
      <c r="Z31" s="299" t="s">
        <v>32</v>
      </c>
      <c r="AA31" s="299" t="s">
        <v>32</v>
      </c>
      <c r="AB31" s="295" t="s">
        <v>32</v>
      </c>
      <c r="AC31" s="296" t="s">
        <v>32</v>
      </c>
      <c r="AD31" s="299" t="s">
        <v>32</v>
      </c>
      <c r="AE31" s="299" t="s">
        <v>32</v>
      </c>
      <c r="AF31" s="295" t="s">
        <v>32</v>
      </c>
      <c r="AG31" s="299" t="s">
        <v>32</v>
      </c>
      <c r="AH31" s="299" t="s">
        <v>32</v>
      </c>
      <c r="AI31" s="295" t="s">
        <v>32</v>
      </c>
      <c r="AJ31" s="299" t="s">
        <v>32</v>
      </c>
      <c r="AK31" s="299" t="s">
        <v>32</v>
      </c>
      <c r="AL31" s="295" t="s">
        <v>32</v>
      </c>
      <c r="AM31" s="299" t="s">
        <v>32</v>
      </c>
      <c r="AN31" s="292" t="s">
        <v>377</v>
      </c>
      <c r="AO31" s="295" t="s">
        <v>32</v>
      </c>
      <c r="AP31" s="296" t="s">
        <v>32</v>
      </c>
      <c r="AQ31" s="299" t="s">
        <v>32</v>
      </c>
      <c r="AR31" s="299" t="s">
        <v>32</v>
      </c>
      <c r="AS31" s="295" t="s">
        <v>32</v>
      </c>
      <c r="AT31" s="299" t="s">
        <v>32</v>
      </c>
      <c r="AU31" s="299" t="s">
        <v>32</v>
      </c>
      <c r="AV31" s="295" t="s">
        <v>32</v>
      </c>
      <c r="AW31" s="299" t="s">
        <v>32</v>
      </c>
      <c r="AX31" s="299" t="s">
        <v>32</v>
      </c>
      <c r="AY31" s="295" t="s">
        <v>32</v>
      </c>
      <c r="AZ31" s="299" t="s">
        <v>32</v>
      </c>
      <c r="BA31" s="292" t="s">
        <v>377</v>
      </c>
      <c r="BB31" s="288" t="s">
        <v>377</v>
      </c>
      <c r="BC31" s="289" t="s">
        <v>377</v>
      </c>
      <c r="BD31" s="292"/>
    </row>
    <row r="32" ht="12.75" customHeight="1">
      <c r="A32" s="293">
        <v>44797.47860402778</v>
      </c>
      <c r="B32" s="297" t="s">
        <v>375</v>
      </c>
      <c r="C32" s="298" t="s">
        <v>567</v>
      </c>
      <c r="D32" s="298" t="s">
        <v>16</v>
      </c>
      <c r="E32" s="285" t="s">
        <v>476</v>
      </c>
      <c r="F32" s="292" t="s">
        <v>488</v>
      </c>
      <c r="G32" s="298" t="s">
        <v>17</v>
      </c>
      <c r="H32" s="298">
        <v>12.0</v>
      </c>
      <c r="I32" s="292" t="s">
        <v>479</v>
      </c>
      <c r="J32" s="292" t="s">
        <v>489</v>
      </c>
      <c r="K32" s="287" t="s">
        <v>589</v>
      </c>
      <c r="L32" s="292" t="s">
        <v>479</v>
      </c>
      <c r="M32" s="292" t="s">
        <v>490</v>
      </c>
      <c r="N32" s="292"/>
      <c r="O32" s="292"/>
      <c r="P32" s="292"/>
      <c r="Q32" s="292" t="s">
        <v>377</v>
      </c>
      <c r="R32" s="292" t="s">
        <v>377</v>
      </c>
      <c r="S32" s="288" t="s">
        <v>377</v>
      </c>
      <c r="T32" s="292" t="s">
        <v>377</v>
      </c>
      <c r="U32" s="299" t="s">
        <v>32</v>
      </c>
      <c r="V32" s="295" t="s">
        <v>32</v>
      </c>
      <c r="W32" s="299" t="s">
        <v>32</v>
      </c>
      <c r="X32" s="299" t="s">
        <v>32</v>
      </c>
      <c r="Y32" s="295" t="s">
        <v>32</v>
      </c>
      <c r="Z32" s="292" t="s">
        <v>377</v>
      </c>
      <c r="AA32" s="292" t="s">
        <v>18</v>
      </c>
      <c r="AB32" s="288" t="s">
        <v>377</v>
      </c>
      <c r="AC32" s="289" t="s">
        <v>377</v>
      </c>
      <c r="AD32" s="292" t="s">
        <v>377</v>
      </c>
      <c r="AE32" s="299" t="s">
        <v>32</v>
      </c>
      <c r="AF32" s="295" t="s">
        <v>32</v>
      </c>
      <c r="AG32" s="292" t="s">
        <v>377</v>
      </c>
      <c r="AH32" s="292" t="s">
        <v>377</v>
      </c>
      <c r="AI32" s="288" t="s">
        <v>377</v>
      </c>
      <c r="AJ32" s="292" t="s">
        <v>377</v>
      </c>
      <c r="AK32" s="299" t="s">
        <v>32</v>
      </c>
      <c r="AL32" s="295" t="s">
        <v>32</v>
      </c>
      <c r="AM32" s="292" t="s">
        <v>377</v>
      </c>
      <c r="AN32" s="292" t="s">
        <v>18</v>
      </c>
      <c r="AO32" s="288" t="s">
        <v>377</v>
      </c>
      <c r="AP32" s="289" t="s">
        <v>377</v>
      </c>
      <c r="AQ32" s="299" t="s">
        <v>32</v>
      </c>
      <c r="AR32" s="299" t="s">
        <v>32</v>
      </c>
      <c r="AS32" s="295" t="s">
        <v>32</v>
      </c>
      <c r="AT32" s="299" t="s">
        <v>32</v>
      </c>
      <c r="AU32" s="292" t="s">
        <v>377</v>
      </c>
      <c r="AV32" s="295" t="s">
        <v>32</v>
      </c>
      <c r="AW32" s="299" t="s">
        <v>32</v>
      </c>
      <c r="AX32" s="292" t="s">
        <v>377</v>
      </c>
      <c r="AY32" s="295" t="s">
        <v>32</v>
      </c>
      <c r="AZ32" s="299" t="s">
        <v>32</v>
      </c>
      <c r="BA32" s="299" t="s">
        <v>32</v>
      </c>
      <c r="BB32" s="288" t="s">
        <v>377</v>
      </c>
      <c r="BC32" s="289" t="s">
        <v>377</v>
      </c>
      <c r="BD32" s="292"/>
    </row>
    <row r="33" ht="12.75" customHeight="1">
      <c r="A33" s="293">
        <v>44797.681963854164</v>
      </c>
      <c r="B33" s="297" t="s">
        <v>375</v>
      </c>
      <c r="C33" s="298" t="s">
        <v>567</v>
      </c>
      <c r="D33" s="298" t="s">
        <v>16</v>
      </c>
      <c r="E33" s="285" t="s">
        <v>476</v>
      </c>
      <c r="F33" s="292" t="s">
        <v>593</v>
      </c>
      <c r="G33" s="298" t="s">
        <v>17</v>
      </c>
      <c r="H33" s="298">
        <v>11.0</v>
      </c>
      <c r="I33" s="292" t="s">
        <v>479</v>
      </c>
      <c r="J33" s="292" t="s">
        <v>594</v>
      </c>
      <c r="K33" s="287" t="s">
        <v>589</v>
      </c>
      <c r="L33" s="292" t="s">
        <v>479</v>
      </c>
      <c r="M33" s="292" t="s">
        <v>481</v>
      </c>
      <c r="N33" s="292"/>
      <c r="O33" s="292"/>
      <c r="P33" s="292"/>
      <c r="Q33" s="299" t="s">
        <v>32</v>
      </c>
      <c r="R33" s="299" t="s">
        <v>32</v>
      </c>
      <c r="S33" s="295" t="s">
        <v>32</v>
      </c>
      <c r="T33" s="292" t="s">
        <v>377</v>
      </c>
      <c r="U33" s="299" t="s">
        <v>32</v>
      </c>
      <c r="V33" s="295" t="s">
        <v>32</v>
      </c>
      <c r="W33" s="299" t="s">
        <v>32</v>
      </c>
      <c r="X33" s="292" t="s">
        <v>377</v>
      </c>
      <c r="Y33" s="295" t="s">
        <v>32</v>
      </c>
      <c r="Z33" s="299" t="s">
        <v>32</v>
      </c>
      <c r="AA33" s="299" t="s">
        <v>32</v>
      </c>
      <c r="AB33" s="295" t="s">
        <v>32</v>
      </c>
      <c r="AC33" s="296" t="s">
        <v>32</v>
      </c>
      <c r="AD33" s="292" t="s">
        <v>377</v>
      </c>
      <c r="AE33" s="299" t="s">
        <v>32</v>
      </c>
      <c r="AF33" s="295" t="s">
        <v>32</v>
      </c>
      <c r="AG33" s="292" t="s">
        <v>377</v>
      </c>
      <c r="AH33" s="292" t="s">
        <v>377</v>
      </c>
      <c r="AI33" s="288" t="s">
        <v>377</v>
      </c>
      <c r="AJ33" s="292" t="s">
        <v>18</v>
      </c>
      <c r="AK33" s="299" t="s">
        <v>32</v>
      </c>
      <c r="AL33" s="288" t="s">
        <v>377</v>
      </c>
      <c r="AM33" s="299" t="s">
        <v>32</v>
      </c>
      <c r="AN33" s="292" t="s">
        <v>18</v>
      </c>
      <c r="AO33" s="288" t="s">
        <v>377</v>
      </c>
      <c r="AP33" s="289" t="s">
        <v>377</v>
      </c>
      <c r="AQ33" s="299" t="s">
        <v>32</v>
      </c>
      <c r="AR33" s="299" t="s">
        <v>32</v>
      </c>
      <c r="AS33" s="295" t="s">
        <v>32</v>
      </c>
      <c r="AT33" s="299" t="s">
        <v>32</v>
      </c>
      <c r="AU33" s="299" t="s">
        <v>32</v>
      </c>
      <c r="AV33" s="295" t="s">
        <v>32</v>
      </c>
      <c r="AW33" s="299" t="s">
        <v>32</v>
      </c>
      <c r="AX33" s="299" t="s">
        <v>32</v>
      </c>
      <c r="AY33" s="295" t="s">
        <v>32</v>
      </c>
      <c r="AZ33" s="299" t="s">
        <v>32</v>
      </c>
      <c r="BA33" s="299" t="s">
        <v>32</v>
      </c>
      <c r="BB33" s="295" t="s">
        <v>32</v>
      </c>
      <c r="BC33" s="289" t="s">
        <v>377</v>
      </c>
      <c r="BD33" s="292"/>
    </row>
    <row r="34" ht="12.75" customHeight="1">
      <c r="A34" s="293">
        <v>44797.73350513889</v>
      </c>
      <c r="B34" s="297" t="s">
        <v>375</v>
      </c>
      <c r="C34" s="298" t="s">
        <v>567</v>
      </c>
      <c r="D34" s="298" t="s">
        <v>16</v>
      </c>
      <c r="E34" s="285" t="s">
        <v>476</v>
      </c>
      <c r="F34" s="292" t="s">
        <v>595</v>
      </c>
      <c r="G34" s="298" t="s">
        <v>17</v>
      </c>
      <c r="H34" s="298">
        <v>12.0</v>
      </c>
      <c r="I34" s="292" t="s">
        <v>479</v>
      </c>
      <c r="J34" s="292" t="s">
        <v>492</v>
      </c>
      <c r="K34" s="287" t="s">
        <v>589</v>
      </c>
      <c r="L34" s="292" t="s">
        <v>479</v>
      </c>
      <c r="M34" s="292" t="s">
        <v>483</v>
      </c>
      <c r="N34" s="292"/>
      <c r="O34" s="292"/>
      <c r="P34" s="292"/>
      <c r="Q34" s="299" t="s">
        <v>32</v>
      </c>
      <c r="R34" s="299" t="s">
        <v>32</v>
      </c>
      <c r="S34" s="295" t="s">
        <v>32</v>
      </c>
      <c r="T34" s="299" t="s">
        <v>32</v>
      </c>
      <c r="U34" s="299" t="s">
        <v>32</v>
      </c>
      <c r="V34" s="295" t="s">
        <v>32</v>
      </c>
      <c r="W34" s="299" t="s">
        <v>32</v>
      </c>
      <c r="X34" s="292" t="s">
        <v>377</v>
      </c>
      <c r="Y34" s="295" t="s">
        <v>32</v>
      </c>
      <c r="Z34" s="299" t="s">
        <v>32</v>
      </c>
      <c r="AA34" s="292" t="s">
        <v>377</v>
      </c>
      <c r="AB34" s="295" t="s">
        <v>32</v>
      </c>
      <c r="AC34" s="296" t="s">
        <v>32</v>
      </c>
      <c r="AD34" s="299" t="s">
        <v>32</v>
      </c>
      <c r="AE34" s="292" t="s">
        <v>377</v>
      </c>
      <c r="AF34" s="295" t="s">
        <v>32</v>
      </c>
      <c r="AG34" s="299" t="s">
        <v>32</v>
      </c>
      <c r="AH34" s="292" t="s">
        <v>377</v>
      </c>
      <c r="AI34" s="295" t="s">
        <v>32</v>
      </c>
      <c r="AJ34" s="292" t="s">
        <v>377</v>
      </c>
      <c r="AK34" s="299" t="s">
        <v>32</v>
      </c>
      <c r="AL34" s="295" t="s">
        <v>32</v>
      </c>
      <c r="AM34" s="299" t="s">
        <v>32</v>
      </c>
      <c r="AN34" s="292" t="s">
        <v>377</v>
      </c>
      <c r="AO34" s="295" t="s">
        <v>32</v>
      </c>
      <c r="AP34" s="296" t="s">
        <v>32</v>
      </c>
      <c r="AQ34" s="292" t="s">
        <v>377</v>
      </c>
      <c r="AR34" s="299" t="s">
        <v>32</v>
      </c>
      <c r="AS34" s="295" t="s">
        <v>32</v>
      </c>
      <c r="AT34" s="299" t="s">
        <v>32</v>
      </c>
      <c r="AU34" s="299" t="s">
        <v>32</v>
      </c>
      <c r="AV34" s="295" t="s">
        <v>32</v>
      </c>
      <c r="AW34" s="292" t="s">
        <v>377</v>
      </c>
      <c r="AX34" s="292" t="s">
        <v>377</v>
      </c>
      <c r="AY34" s="288" t="s">
        <v>377</v>
      </c>
      <c r="AZ34" s="299" t="s">
        <v>32</v>
      </c>
      <c r="BA34" s="299" t="s">
        <v>32</v>
      </c>
      <c r="BB34" s="288" t="s">
        <v>377</v>
      </c>
      <c r="BC34" s="289" t="s">
        <v>377</v>
      </c>
      <c r="BD34" s="292"/>
    </row>
    <row r="35" ht="12.75" customHeight="1">
      <c r="A35" s="293">
        <v>44797.7566358912</v>
      </c>
      <c r="B35" s="297" t="s">
        <v>375</v>
      </c>
      <c r="C35" s="298" t="s">
        <v>567</v>
      </c>
      <c r="D35" s="298" t="s">
        <v>16</v>
      </c>
      <c r="E35" s="285" t="s">
        <v>476</v>
      </c>
      <c r="F35" s="292" t="s">
        <v>491</v>
      </c>
      <c r="G35" s="298" t="s">
        <v>17</v>
      </c>
      <c r="H35" s="298">
        <v>12.0</v>
      </c>
      <c r="I35" s="292" t="s">
        <v>479</v>
      </c>
      <c r="J35" s="292" t="s">
        <v>492</v>
      </c>
      <c r="K35" s="287" t="s">
        <v>589</v>
      </c>
      <c r="L35" s="292" t="s">
        <v>479</v>
      </c>
      <c r="M35" s="292" t="s">
        <v>481</v>
      </c>
      <c r="N35" s="292"/>
      <c r="O35" s="292"/>
      <c r="P35" s="292"/>
      <c r="Q35" s="299" t="s">
        <v>32</v>
      </c>
      <c r="R35" s="292" t="s">
        <v>18</v>
      </c>
      <c r="S35" s="288" t="s">
        <v>377</v>
      </c>
      <c r="T35" s="292" t="s">
        <v>18</v>
      </c>
      <c r="U35" s="299" t="s">
        <v>32</v>
      </c>
      <c r="V35" s="288" t="s">
        <v>377</v>
      </c>
      <c r="W35" s="292" t="s">
        <v>377</v>
      </c>
      <c r="X35" s="292" t="s">
        <v>18</v>
      </c>
      <c r="Y35" s="288" t="s">
        <v>377</v>
      </c>
      <c r="Z35" s="299" t="s">
        <v>32</v>
      </c>
      <c r="AA35" s="292" t="s">
        <v>18</v>
      </c>
      <c r="AB35" s="288" t="s">
        <v>377</v>
      </c>
      <c r="AC35" s="289" t="s">
        <v>377</v>
      </c>
      <c r="AD35" s="292" t="s">
        <v>377</v>
      </c>
      <c r="AE35" s="299" t="s">
        <v>32</v>
      </c>
      <c r="AF35" s="295" t="s">
        <v>32</v>
      </c>
      <c r="AG35" s="292" t="s">
        <v>18</v>
      </c>
      <c r="AH35" s="292" t="s">
        <v>377</v>
      </c>
      <c r="AI35" s="288" t="s">
        <v>377</v>
      </c>
      <c r="AJ35" s="292" t="s">
        <v>377</v>
      </c>
      <c r="AK35" s="292" t="s">
        <v>18</v>
      </c>
      <c r="AL35" s="288" t="s">
        <v>377</v>
      </c>
      <c r="AM35" s="292" t="s">
        <v>18</v>
      </c>
      <c r="AN35" s="292" t="s">
        <v>18</v>
      </c>
      <c r="AO35" s="288" t="s">
        <v>18</v>
      </c>
      <c r="AP35" s="289" t="s">
        <v>377</v>
      </c>
      <c r="AQ35" s="299" t="s">
        <v>32</v>
      </c>
      <c r="AR35" s="299" t="s">
        <v>32</v>
      </c>
      <c r="AS35" s="295" t="s">
        <v>32</v>
      </c>
      <c r="AT35" s="299" t="s">
        <v>32</v>
      </c>
      <c r="AU35" s="299" t="s">
        <v>32</v>
      </c>
      <c r="AV35" s="295" t="s">
        <v>32</v>
      </c>
      <c r="AW35" s="299" t="s">
        <v>32</v>
      </c>
      <c r="AX35" s="299" t="s">
        <v>32</v>
      </c>
      <c r="AY35" s="295" t="s">
        <v>32</v>
      </c>
      <c r="AZ35" s="299" t="s">
        <v>32</v>
      </c>
      <c r="BA35" s="299" t="s">
        <v>32</v>
      </c>
      <c r="BB35" s="288" t="s">
        <v>377</v>
      </c>
      <c r="BC35" s="289" t="s">
        <v>377</v>
      </c>
      <c r="BD35" s="292"/>
    </row>
    <row r="36" ht="12.75" customHeight="1">
      <c r="A36" s="293">
        <v>44797.77171714121</v>
      </c>
      <c r="B36" s="297" t="s">
        <v>375</v>
      </c>
      <c r="C36" s="298" t="s">
        <v>567</v>
      </c>
      <c r="D36" s="298" t="s">
        <v>16</v>
      </c>
      <c r="E36" s="285" t="s">
        <v>476</v>
      </c>
      <c r="F36" s="292" t="s">
        <v>596</v>
      </c>
      <c r="G36" s="298" t="s">
        <v>17</v>
      </c>
      <c r="H36" s="298">
        <v>12.0</v>
      </c>
      <c r="I36" s="292" t="s">
        <v>479</v>
      </c>
      <c r="J36" s="292" t="s">
        <v>592</v>
      </c>
      <c r="K36" s="287" t="s">
        <v>589</v>
      </c>
      <c r="L36" s="292" t="s">
        <v>479</v>
      </c>
      <c r="M36" s="292" t="s">
        <v>483</v>
      </c>
      <c r="N36" s="292"/>
      <c r="O36" s="292"/>
      <c r="P36" s="292"/>
      <c r="Q36" s="299" t="s">
        <v>32</v>
      </c>
      <c r="R36" s="299" t="s">
        <v>32</v>
      </c>
      <c r="S36" s="295" t="s">
        <v>32</v>
      </c>
      <c r="T36" s="299" t="s">
        <v>32</v>
      </c>
      <c r="U36" s="299" t="s">
        <v>32</v>
      </c>
      <c r="V36" s="295" t="s">
        <v>32</v>
      </c>
      <c r="W36" s="292" t="s">
        <v>377</v>
      </c>
      <c r="X36" s="299" t="s">
        <v>32</v>
      </c>
      <c r="Y36" s="295" t="s">
        <v>32</v>
      </c>
      <c r="Z36" s="299" t="s">
        <v>32</v>
      </c>
      <c r="AA36" s="299" t="s">
        <v>32</v>
      </c>
      <c r="AB36" s="295" t="s">
        <v>32</v>
      </c>
      <c r="AC36" s="296" t="s">
        <v>32</v>
      </c>
      <c r="AD36" s="299" t="s">
        <v>32</v>
      </c>
      <c r="AE36" s="299" t="s">
        <v>32</v>
      </c>
      <c r="AF36" s="295" t="s">
        <v>32</v>
      </c>
      <c r="AG36" s="299" t="s">
        <v>32</v>
      </c>
      <c r="AH36" s="299" t="s">
        <v>32</v>
      </c>
      <c r="AI36" s="295" t="s">
        <v>32</v>
      </c>
      <c r="AJ36" s="299" t="s">
        <v>32</v>
      </c>
      <c r="AK36" s="292" t="s">
        <v>377</v>
      </c>
      <c r="AL36" s="295" t="s">
        <v>32</v>
      </c>
      <c r="AM36" s="292" t="s">
        <v>18</v>
      </c>
      <c r="AN36" s="292" t="s">
        <v>377</v>
      </c>
      <c r="AO36" s="288" t="s">
        <v>377</v>
      </c>
      <c r="AP36" s="296" t="s">
        <v>32</v>
      </c>
      <c r="AQ36" s="292" t="s">
        <v>377</v>
      </c>
      <c r="AR36" s="299" t="s">
        <v>32</v>
      </c>
      <c r="AS36" s="295" t="s">
        <v>32</v>
      </c>
      <c r="AT36" s="299" t="s">
        <v>32</v>
      </c>
      <c r="AU36" s="299" t="s">
        <v>32</v>
      </c>
      <c r="AV36" s="295" t="s">
        <v>32</v>
      </c>
      <c r="AW36" s="299" t="s">
        <v>32</v>
      </c>
      <c r="AX36" s="299" t="s">
        <v>32</v>
      </c>
      <c r="AY36" s="295" t="s">
        <v>32</v>
      </c>
      <c r="AZ36" s="299" t="s">
        <v>32</v>
      </c>
      <c r="BA36" s="299" t="s">
        <v>32</v>
      </c>
      <c r="BB36" s="288" t="s">
        <v>18</v>
      </c>
      <c r="BC36" s="289" t="s">
        <v>377</v>
      </c>
      <c r="BD36" s="292"/>
    </row>
    <row r="37" ht="12.75" customHeight="1">
      <c r="A37" s="293">
        <v>44797.77439133102</v>
      </c>
      <c r="B37" s="297" t="s">
        <v>375</v>
      </c>
      <c r="C37" s="298" t="s">
        <v>567</v>
      </c>
      <c r="D37" s="298" t="s">
        <v>16</v>
      </c>
      <c r="E37" s="285" t="s">
        <v>476</v>
      </c>
      <c r="F37" s="292" t="s">
        <v>597</v>
      </c>
      <c r="G37" s="298" t="s">
        <v>17</v>
      </c>
      <c r="H37" s="298">
        <v>12.0</v>
      </c>
      <c r="I37" s="292" t="s">
        <v>479</v>
      </c>
      <c r="J37" s="292" t="s">
        <v>588</v>
      </c>
      <c r="K37" s="287" t="s">
        <v>589</v>
      </c>
      <c r="L37" s="292" t="s">
        <v>479</v>
      </c>
      <c r="M37" s="292" t="s">
        <v>483</v>
      </c>
      <c r="N37" s="292"/>
      <c r="O37" s="292"/>
      <c r="P37" s="292"/>
      <c r="Q37" s="299" t="s">
        <v>32</v>
      </c>
      <c r="R37" s="299" t="s">
        <v>32</v>
      </c>
      <c r="S37" s="295" t="s">
        <v>32</v>
      </c>
      <c r="T37" s="299" t="s">
        <v>32</v>
      </c>
      <c r="U37" s="299" t="s">
        <v>32</v>
      </c>
      <c r="V37" s="295" t="s">
        <v>32</v>
      </c>
      <c r="W37" s="299" t="s">
        <v>32</v>
      </c>
      <c r="X37" s="299" t="s">
        <v>32</v>
      </c>
      <c r="Y37" s="295" t="s">
        <v>32</v>
      </c>
      <c r="Z37" s="299" t="s">
        <v>32</v>
      </c>
      <c r="AA37" s="299" t="s">
        <v>32</v>
      </c>
      <c r="AB37" s="295" t="s">
        <v>32</v>
      </c>
      <c r="AC37" s="296" t="s">
        <v>32</v>
      </c>
      <c r="AD37" s="292" t="s">
        <v>377</v>
      </c>
      <c r="AE37" s="299" t="s">
        <v>32</v>
      </c>
      <c r="AF37" s="295" t="s">
        <v>32</v>
      </c>
      <c r="AG37" s="299" t="s">
        <v>32</v>
      </c>
      <c r="AH37" s="299" t="s">
        <v>32</v>
      </c>
      <c r="AI37" s="295" t="s">
        <v>32</v>
      </c>
      <c r="AJ37" s="299" t="s">
        <v>32</v>
      </c>
      <c r="AK37" s="299" t="s">
        <v>32</v>
      </c>
      <c r="AL37" s="295" t="s">
        <v>32</v>
      </c>
      <c r="AM37" s="292" t="s">
        <v>18</v>
      </c>
      <c r="AN37" s="292" t="s">
        <v>377</v>
      </c>
      <c r="AO37" s="288" t="s">
        <v>377</v>
      </c>
      <c r="AP37" s="296" t="s">
        <v>32</v>
      </c>
      <c r="AQ37" s="299" t="s">
        <v>32</v>
      </c>
      <c r="AR37" s="299" t="s">
        <v>32</v>
      </c>
      <c r="AS37" s="295" t="s">
        <v>32</v>
      </c>
      <c r="AT37" s="299" t="s">
        <v>32</v>
      </c>
      <c r="AU37" s="299" t="s">
        <v>32</v>
      </c>
      <c r="AV37" s="295" t="s">
        <v>32</v>
      </c>
      <c r="AW37" s="299" t="s">
        <v>32</v>
      </c>
      <c r="AX37" s="299" t="s">
        <v>32</v>
      </c>
      <c r="AY37" s="295" t="s">
        <v>32</v>
      </c>
      <c r="AZ37" s="299" t="s">
        <v>32</v>
      </c>
      <c r="BA37" s="299" t="s">
        <v>32</v>
      </c>
      <c r="BB37" s="288" t="s">
        <v>377</v>
      </c>
      <c r="BC37" s="296" t="s">
        <v>32</v>
      </c>
      <c r="BD37" s="292"/>
    </row>
    <row r="38" ht="12.75" customHeight="1">
      <c r="A38" s="293">
        <v>44797.77960006944</v>
      </c>
      <c r="B38" s="297" t="s">
        <v>375</v>
      </c>
      <c r="C38" s="298" t="s">
        <v>567</v>
      </c>
      <c r="D38" s="298" t="s">
        <v>16</v>
      </c>
      <c r="E38" s="285" t="s">
        <v>476</v>
      </c>
      <c r="F38" s="292" t="s">
        <v>598</v>
      </c>
      <c r="G38" s="298" t="s">
        <v>17</v>
      </c>
      <c r="H38" s="298">
        <v>12.0</v>
      </c>
      <c r="I38" s="292" t="s">
        <v>479</v>
      </c>
      <c r="J38" s="292" t="s">
        <v>592</v>
      </c>
      <c r="K38" s="287" t="s">
        <v>589</v>
      </c>
      <c r="L38" s="292" t="s">
        <v>479</v>
      </c>
      <c r="M38" s="292" t="s">
        <v>481</v>
      </c>
      <c r="N38" s="292"/>
      <c r="O38" s="292"/>
      <c r="P38" s="292"/>
      <c r="Q38" s="299" t="s">
        <v>32</v>
      </c>
      <c r="R38" s="299" t="s">
        <v>32</v>
      </c>
      <c r="S38" s="295" t="s">
        <v>32</v>
      </c>
      <c r="T38" s="292" t="s">
        <v>377</v>
      </c>
      <c r="U38" s="299" t="s">
        <v>32</v>
      </c>
      <c r="V38" s="295" t="s">
        <v>32</v>
      </c>
      <c r="W38" s="292" t="s">
        <v>377</v>
      </c>
      <c r="X38" s="292" t="s">
        <v>377</v>
      </c>
      <c r="Y38" s="288" t="s">
        <v>377</v>
      </c>
      <c r="Z38" s="292" t="s">
        <v>377</v>
      </c>
      <c r="AA38" s="292" t="s">
        <v>377</v>
      </c>
      <c r="AB38" s="288" t="s">
        <v>377</v>
      </c>
      <c r="AC38" s="289" t="s">
        <v>377</v>
      </c>
      <c r="AD38" s="292" t="s">
        <v>377</v>
      </c>
      <c r="AE38" s="299" t="s">
        <v>32</v>
      </c>
      <c r="AF38" s="295" t="s">
        <v>32</v>
      </c>
      <c r="AG38" s="299" t="s">
        <v>32</v>
      </c>
      <c r="AH38" s="299" t="s">
        <v>32</v>
      </c>
      <c r="AI38" s="295" t="s">
        <v>32</v>
      </c>
      <c r="AJ38" s="292" t="s">
        <v>377</v>
      </c>
      <c r="AK38" s="299" t="s">
        <v>32</v>
      </c>
      <c r="AL38" s="295" t="s">
        <v>32</v>
      </c>
      <c r="AM38" s="299" t="s">
        <v>32</v>
      </c>
      <c r="AN38" s="292" t="s">
        <v>377</v>
      </c>
      <c r="AO38" s="295" t="s">
        <v>32</v>
      </c>
      <c r="AP38" s="296" t="s">
        <v>32</v>
      </c>
      <c r="AQ38" s="292" t="s">
        <v>377</v>
      </c>
      <c r="AR38" s="292" t="s">
        <v>377</v>
      </c>
      <c r="AS38" s="288" t="s">
        <v>377</v>
      </c>
      <c r="AT38" s="292" t="s">
        <v>377</v>
      </c>
      <c r="AU38" s="292" t="s">
        <v>377</v>
      </c>
      <c r="AV38" s="288" t="s">
        <v>377</v>
      </c>
      <c r="AW38" s="292" t="s">
        <v>377</v>
      </c>
      <c r="AX38" s="299" t="s">
        <v>32</v>
      </c>
      <c r="AY38" s="295" t="s">
        <v>32</v>
      </c>
      <c r="AZ38" s="299" t="s">
        <v>32</v>
      </c>
      <c r="BA38" s="299" t="s">
        <v>32</v>
      </c>
      <c r="BB38" s="288" t="s">
        <v>377</v>
      </c>
      <c r="BC38" s="289" t="s">
        <v>377</v>
      </c>
      <c r="BD38" s="292"/>
    </row>
    <row r="39" ht="12.75" customHeight="1">
      <c r="A39" s="293">
        <v>44797.78209148148</v>
      </c>
      <c r="B39" s="297" t="s">
        <v>375</v>
      </c>
      <c r="C39" s="298" t="s">
        <v>567</v>
      </c>
      <c r="D39" s="298" t="s">
        <v>16</v>
      </c>
      <c r="E39" s="285" t="s">
        <v>476</v>
      </c>
      <c r="F39" s="292" t="s">
        <v>599</v>
      </c>
      <c r="G39" s="298" t="s">
        <v>17</v>
      </c>
      <c r="H39" s="298">
        <v>12.0</v>
      </c>
      <c r="I39" s="292" t="s">
        <v>479</v>
      </c>
      <c r="J39" s="292" t="s">
        <v>592</v>
      </c>
      <c r="K39" s="287" t="s">
        <v>589</v>
      </c>
      <c r="L39" s="292" t="s">
        <v>479</v>
      </c>
      <c r="M39" s="292" t="s">
        <v>481</v>
      </c>
      <c r="N39" s="292"/>
      <c r="O39" s="292"/>
      <c r="P39" s="292"/>
      <c r="Q39" s="299" t="s">
        <v>32</v>
      </c>
      <c r="R39" s="299" t="s">
        <v>32</v>
      </c>
      <c r="S39" s="295" t="s">
        <v>32</v>
      </c>
      <c r="T39" s="292" t="s">
        <v>377</v>
      </c>
      <c r="U39" s="299" t="s">
        <v>32</v>
      </c>
      <c r="V39" s="295" t="s">
        <v>32</v>
      </c>
      <c r="W39" s="292" t="s">
        <v>377</v>
      </c>
      <c r="X39" s="292" t="s">
        <v>377</v>
      </c>
      <c r="Y39" s="288" t="s">
        <v>377</v>
      </c>
      <c r="Z39" s="292" t="s">
        <v>377</v>
      </c>
      <c r="AA39" s="292" t="s">
        <v>377</v>
      </c>
      <c r="AB39" s="288" t="s">
        <v>377</v>
      </c>
      <c r="AC39" s="289" t="s">
        <v>377</v>
      </c>
      <c r="AD39" s="292" t="s">
        <v>377</v>
      </c>
      <c r="AE39" s="299" t="s">
        <v>32</v>
      </c>
      <c r="AF39" s="295" t="s">
        <v>32</v>
      </c>
      <c r="AG39" s="292" t="s">
        <v>377</v>
      </c>
      <c r="AH39" s="292" t="s">
        <v>18</v>
      </c>
      <c r="AI39" s="288" t="s">
        <v>377</v>
      </c>
      <c r="AJ39" s="292" t="s">
        <v>377</v>
      </c>
      <c r="AK39" s="299" t="s">
        <v>32</v>
      </c>
      <c r="AL39" s="295" t="s">
        <v>32</v>
      </c>
      <c r="AM39" s="292" t="s">
        <v>377</v>
      </c>
      <c r="AN39" s="292" t="s">
        <v>18</v>
      </c>
      <c r="AO39" s="288" t="s">
        <v>377</v>
      </c>
      <c r="AP39" s="289" t="s">
        <v>377</v>
      </c>
      <c r="AQ39" s="292" t="s">
        <v>377</v>
      </c>
      <c r="AR39" s="292" t="s">
        <v>377</v>
      </c>
      <c r="AS39" s="288" t="s">
        <v>377</v>
      </c>
      <c r="AT39" s="299" t="s">
        <v>32</v>
      </c>
      <c r="AU39" s="292" t="s">
        <v>377</v>
      </c>
      <c r="AV39" s="295" t="s">
        <v>32</v>
      </c>
      <c r="AW39" s="299" t="s">
        <v>32</v>
      </c>
      <c r="AX39" s="292" t="s">
        <v>18</v>
      </c>
      <c r="AY39" s="288" t="s">
        <v>377</v>
      </c>
      <c r="AZ39" s="292" t="s">
        <v>377</v>
      </c>
      <c r="BA39" s="292" t="s">
        <v>377</v>
      </c>
      <c r="BB39" s="295" t="s">
        <v>32</v>
      </c>
      <c r="BC39" s="296" t="s">
        <v>32</v>
      </c>
      <c r="BD39" s="292"/>
    </row>
    <row r="40" ht="12.75" customHeight="1">
      <c r="A40" s="293">
        <v>44797.795083414356</v>
      </c>
      <c r="B40" s="297" t="s">
        <v>375</v>
      </c>
      <c r="C40" s="298" t="s">
        <v>567</v>
      </c>
      <c r="D40" s="298" t="s">
        <v>16</v>
      </c>
      <c r="E40" s="285" t="s">
        <v>476</v>
      </c>
      <c r="F40" s="292" t="s">
        <v>600</v>
      </c>
      <c r="G40" s="298" t="s">
        <v>17</v>
      </c>
      <c r="H40" s="298">
        <v>12.0</v>
      </c>
      <c r="I40" s="292" t="s">
        <v>479</v>
      </c>
      <c r="J40" s="292" t="s">
        <v>492</v>
      </c>
      <c r="K40" s="287" t="s">
        <v>589</v>
      </c>
      <c r="L40" s="292" t="s">
        <v>479</v>
      </c>
      <c r="M40" s="292" t="s">
        <v>483</v>
      </c>
      <c r="N40" s="292"/>
      <c r="O40" s="292"/>
      <c r="P40" s="292"/>
      <c r="Q40" s="292" t="s">
        <v>377</v>
      </c>
      <c r="R40" s="299" t="s">
        <v>32</v>
      </c>
      <c r="S40" s="295" t="s">
        <v>32</v>
      </c>
      <c r="T40" s="292" t="s">
        <v>377</v>
      </c>
      <c r="U40" s="299" t="s">
        <v>32</v>
      </c>
      <c r="V40" s="295" t="s">
        <v>32</v>
      </c>
      <c r="W40" s="299" t="s">
        <v>32</v>
      </c>
      <c r="X40" s="292" t="s">
        <v>18</v>
      </c>
      <c r="Y40" s="288" t="s">
        <v>377</v>
      </c>
      <c r="Z40" s="292" t="s">
        <v>377</v>
      </c>
      <c r="AA40" s="299" t="s">
        <v>32</v>
      </c>
      <c r="AB40" s="295" t="s">
        <v>32</v>
      </c>
      <c r="AC40" s="289" t="s">
        <v>377</v>
      </c>
      <c r="AD40" s="292" t="s">
        <v>18</v>
      </c>
      <c r="AE40" s="292" t="s">
        <v>377</v>
      </c>
      <c r="AF40" s="288" t="s">
        <v>377</v>
      </c>
      <c r="AG40" s="299" t="s">
        <v>32</v>
      </c>
      <c r="AH40" s="292" t="s">
        <v>377</v>
      </c>
      <c r="AI40" s="295" t="s">
        <v>32</v>
      </c>
      <c r="AJ40" s="292" t="s">
        <v>377</v>
      </c>
      <c r="AK40" s="292" t="s">
        <v>377</v>
      </c>
      <c r="AL40" s="288" t="s">
        <v>377</v>
      </c>
      <c r="AM40" s="292" t="s">
        <v>18</v>
      </c>
      <c r="AN40" s="299" t="s">
        <v>32</v>
      </c>
      <c r="AO40" s="288" t="s">
        <v>377</v>
      </c>
      <c r="AP40" s="289" t="s">
        <v>377</v>
      </c>
      <c r="AQ40" s="299" t="s">
        <v>32</v>
      </c>
      <c r="AR40" s="292" t="s">
        <v>377</v>
      </c>
      <c r="AS40" s="295" t="s">
        <v>32</v>
      </c>
      <c r="AT40" s="292" t="s">
        <v>18</v>
      </c>
      <c r="AU40" s="299" t="s">
        <v>32</v>
      </c>
      <c r="AV40" s="288" t="s">
        <v>377</v>
      </c>
      <c r="AW40" s="299" t="s">
        <v>32</v>
      </c>
      <c r="AX40" s="292" t="s">
        <v>377</v>
      </c>
      <c r="AY40" s="295" t="s">
        <v>32</v>
      </c>
      <c r="AZ40" s="299" t="s">
        <v>32</v>
      </c>
      <c r="BA40" s="299" t="s">
        <v>32</v>
      </c>
      <c r="BB40" s="295" t="s">
        <v>32</v>
      </c>
      <c r="BC40" s="296" t="s">
        <v>32</v>
      </c>
      <c r="BD40" s="292"/>
    </row>
    <row r="41" ht="12.75" customHeight="1">
      <c r="A41" s="293">
        <v>44797.87273487268</v>
      </c>
      <c r="B41" s="297" t="s">
        <v>375</v>
      </c>
      <c r="C41" s="298" t="s">
        <v>567</v>
      </c>
      <c r="D41" s="298" t="s">
        <v>16</v>
      </c>
      <c r="E41" s="285" t="s">
        <v>476</v>
      </c>
      <c r="F41" s="292" t="s">
        <v>601</v>
      </c>
      <c r="G41" s="298" t="s">
        <v>21</v>
      </c>
      <c r="H41" s="298">
        <v>11.0</v>
      </c>
      <c r="I41" s="292" t="s">
        <v>479</v>
      </c>
      <c r="J41" s="292" t="s">
        <v>594</v>
      </c>
      <c r="K41" s="287" t="s">
        <v>589</v>
      </c>
      <c r="L41" s="292" t="s">
        <v>479</v>
      </c>
      <c r="M41" s="292" t="s">
        <v>483</v>
      </c>
      <c r="N41" s="292"/>
      <c r="O41" s="292"/>
      <c r="P41" s="292"/>
      <c r="Q41" s="299" t="s">
        <v>32</v>
      </c>
      <c r="R41" s="292" t="s">
        <v>377</v>
      </c>
      <c r="S41" s="295" t="s">
        <v>32</v>
      </c>
      <c r="T41" s="292" t="s">
        <v>377</v>
      </c>
      <c r="U41" s="299" t="s">
        <v>32</v>
      </c>
      <c r="V41" s="295" t="s">
        <v>32</v>
      </c>
      <c r="W41" s="292" t="s">
        <v>377</v>
      </c>
      <c r="X41" s="299" t="s">
        <v>32</v>
      </c>
      <c r="Y41" s="295" t="s">
        <v>32</v>
      </c>
      <c r="Z41" s="299" t="s">
        <v>32</v>
      </c>
      <c r="AA41" s="299" t="s">
        <v>32</v>
      </c>
      <c r="AB41" s="295" t="s">
        <v>32</v>
      </c>
      <c r="AC41" s="296" t="s">
        <v>32</v>
      </c>
      <c r="AD41" s="292" t="s">
        <v>377</v>
      </c>
      <c r="AE41" s="292" t="s">
        <v>377</v>
      </c>
      <c r="AF41" s="288" t="s">
        <v>377</v>
      </c>
      <c r="AG41" s="292" t="s">
        <v>18</v>
      </c>
      <c r="AH41" s="292" t="s">
        <v>377</v>
      </c>
      <c r="AI41" s="288" t="s">
        <v>377</v>
      </c>
      <c r="AJ41" s="292" t="s">
        <v>377</v>
      </c>
      <c r="AK41" s="299" t="s">
        <v>32</v>
      </c>
      <c r="AL41" s="295" t="s">
        <v>32</v>
      </c>
      <c r="AM41" s="292" t="s">
        <v>18</v>
      </c>
      <c r="AN41" s="292" t="s">
        <v>377</v>
      </c>
      <c r="AO41" s="288" t="s">
        <v>377</v>
      </c>
      <c r="AP41" s="289" t="s">
        <v>377</v>
      </c>
      <c r="AQ41" s="292" t="s">
        <v>377</v>
      </c>
      <c r="AR41" s="299" t="s">
        <v>32</v>
      </c>
      <c r="AS41" s="295" t="s">
        <v>32</v>
      </c>
      <c r="AT41" s="299" t="s">
        <v>32</v>
      </c>
      <c r="AU41" s="299" t="s">
        <v>32</v>
      </c>
      <c r="AV41" s="295" t="s">
        <v>32</v>
      </c>
      <c r="AW41" s="292" t="s">
        <v>377</v>
      </c>
      <c r="AX41" s="292" t="s">
        <v>377</v>
      </c>
      <c r="AY41" s="288" t="s">
        <v>377</v>
      </c>
      <c r="AZ41" s="299" t="s">
        <v>32</v>
      </c>
      <c r="BA41" s="292" t="s">
        <v>377</v>
      </c>
      <c r="BB41" s="295" t="s">
        <v>32</v>
      </c>
      <c r="BC41" s="289" t="s">
        <v>377</v>
      </c>
      <c r="BD41" s="292"/>
    </row>
    <row r="42" ht="12.75" customHeight="1">
      <c r="A42" s="293">
        <v>44797.905684467594</v>
      </c>
      <c r="B42" s="297" t="s">
        <v>375</v>
      </c>
      <c r="C42" s="298" t="s">
        <v>567</v>
      </c>
      <c r="D42" s="298" t="s">
        <v>16</v>
      </c>
      <c r="E42" s="285" t="s">
        <v>476</v>
      </c>
      <c r="F42" s="292" t="s">
        <v>602</v>
      </c>
      <c r="G42" s="298" t="s">
        <v>21</v>
      </c>
      <c r="H42" s="298">
        <v>12.0</v>
      </c>
      <c r="I42" s="292" t="s">
        <v>479</v>
      </c>
      <c r="J42" s="292" t="s">
        <v>592</v>
      </c>
      <c r="K42" s="287" t="s">
        <v>589</v>
      </c>
      <c r="L42" s="292" t="s">
        <v>479</v>
      </c>
      <c r="M42" s="292" t="s">
        <v>481</v>
      </c>
      <c r="N42" s="292"/>
      <c r="O42" s="292"/>
      <c r="P42" s="292"/>
      <c r="Q42" s="299" t="s">
        <v>32</v>
      </c>
      <c r="R42" s="292" t="s">
        <v>377</v>
      </c>
      <c r="S42" s="295" t="s">
        <v>32</v>
      </c>
      <c r="T42" s="299" t="s">
        <v>32</v>
      </c>
      <c r="U42" s="299" t="s">
        <v>32</v>
      </c>
      <c r="V42" s="295" t="s">
        <v>32</v>
      </c>
      <c r="W42" s="299" t="s">
        <v>32</v>
      </c>
      <c r="X42" s="292" t="s">
        <v>18</v>
      </c>
      <c r="Y42" s="288" t="s">
        <v>377</v>
      </c>
      <c r="Z42" s="299" t="s">
        <v>32</v>
      </c>
      <c r="AA42" s="292" t="s">
        <v>377</v>
      </c>
      <c r="AB42" s="295" t="s">
        <v>32</v>
      </c>
      <c r="AC42" s="296" t="s">
        <v>32</v>
      </c>
      <c r="AD42" s="292" t="s">
        <v>18</v>
      </c>
      <c r="AE42" s="299" t="s">
        <v>32</v>
      </c>
      <c r="AF42" s="288" t="s">
        <v>377</v>
      </c>
      <c r="AG42" s="292" t="s">
        <v>377</v>
      </c>
      <c r="AH42" s="292" t="s">
        <v>18</v>
      </c>
      <c r="AI42" s="288" t="s">
        <v>377</v>
      </c>
      <c r="AJ42" s="292" t="s">
        <v>18</v>
      </c>
      <c r="AK42" s="299" t="s">
        <v>32</v>
      </c>
      <c r="AL42" s="288" t="s">
        <v>377</v>
      </c>
      <c r="AM42" s="292" t="s">
        <v>18</v>
      </c>
      <c r="AN42" s="292" t="s">
        <v>18</v>
      </c>
      <c r="AO42" s="288" t="s">
        <v>18</v>
      </c>
      <c r="AP42" s="289" t="s">
        <v>377</v>
      </c>
      <c r="AQ42" s="292" t="s">
        <v>18</v>
      </c>
      <c r="AR42" s="299" t="s">
        <v>32</v>
      </c>
      <c r="AS42" s="288" t="s">
        <v>377</v>
      </c>
      <c r="AT42" s="299" t="s">
        <v>32</v>
      </c>
      <c r="AU42" s="299" t="s">
        <v>32</v>
      </c>
      <c r="AV42" s="295" t="s">
        <v>32</v>
      </c>
      <c r="AW42" s="292" t="s">
        <v>377</v>
      </c>
      <c r="AX42" s="299" t="s">
        <v>32</v>
      </c>
      <c r="AY42" s="295" t="s">
        <v>32</v>
      </c>
      <c r="AZ42" s="299" t="s">
        <v>32</v>
      </c>
      <c r="BA42" s="299" t="s">
        <v>32</v>
      </c>
      <c r="BB42" s="295" t="s">
        <v>32</v>
      </c>
      <c r="BC42" s="289" t="s">
        <v>377</v>
      </c>
      <c r="BD42" s="292"/>
    </row>
    <row r="43" ht="12.75" customHeight="1">
      <c r="A43" s="293">
        <v>44797.93468020833</v>
      </c>
      <c r="B43" s="297" t="s">
        <v>375</v>
      </c>
      <c r="C43" s="298" t="s">
        <v>567</v>
      </c>
      <c r="D43" s="298" t="s">
        <v>16</v>
      </c>
      <c r="E43" s="285" t="s">
        <v>476</v>
      </c>
      <c r="F43" s="292" t="s">
        <v>603</v>
      </c>
      <c r="G43" s="298" t="s">
        <v>21</v>
      </c>
      <c r="H43" s="298">
        <v>12.0</v>
      </c>
      <c r="I43" s="292" t="s">
        <v>479</v>
      </c>
      <c r="J43" s="292" t="s">
        <v>604</v>
      </c>
      <c r="K43" s="287" t="s">
        <v>589</v>
      </c>
      <c r="L43" s="292" t="s">
        <v>479</v>
      </c>
      <c r="M43" s="292" t="s">
        <v>483</v>
      </c>
      <c r="N43" s="292"/>
      <c r="O43" s="292"/>
      <c r="P43" s="292"/>
      <c r="Q43" s="299" t="s">
        <v>32</v>
      </c>
      <c r="R43" s="299" t="s">
        <v>32</v>
      </c>
      <c r="S43" s="295" t="s">
        <v>32</v>
      </c>
      <c r="T43" s="292" t="s">
        <v>377</v>
      </c>
      <c r="U43" s="299" t="s">
        <v>32</v>
      </c>
      <c r="V43" s="295" t="s">
        <v>32</v>
      </c>
      <c r="W43" s="292" t="s">
        <v>377</v>
      </c>
      <c r="X43" s="292" t="s">
        <v>377</v>
      </c>
      <c r="Y43" s="288" t="s">
        <v>377</v>
      </c>
      <c r="Z43" s="299" t="s">
        <v>32</v>
      </c>
      <c r="AA43" s="299" t="s">
        <v>32</v>
      </c>
      <c r="AB43" s="295" t="s">
        <v>32</v>
      </c>
      <c r="AC43" s="296" t="s">
        <v>32</v>
      </c>
      <c r="AD43" s="292" t="s">
        <v>377</v>
      </c>
      <c r="AE43" s="292" t="s">
        <v>377</v>
      </c>
      <c r="AF43" s="288" t="s">
        <v>377</v>
      </c>
      <c r="AG43" s="299" t="s">
        <v>32</v>
      </c>
      <c r="AH43" s="292" t="s">
        <v>377</v>
      </c>
      <c r="AI43" s="295" t="s">
        <v>32</v>
      </c>
      <c r="AJ43" s="292" t="s">
        <v>377</v>
      </c>
      <c r="AK43" s="299" t="s">
        <v>32</v>
      </c>
      <c r="AL43" s="295" t="s">
        <v>32</v>
      </c>
      <c r="AM43" s="299" t="s">
        <v>32</v>
      </c>
      <c r="AN43" s="292" t="s">
        <v>377</v>
      </c>
      <c r="AO43" s="295" t="s">
        <v>32</v>
      </c>
      <c r="AP43" s="289" t="s">
        <v>377</v>
      </c>
      <c r="AQ43" s="292" t="s">
        <v>377</v>
      </c>
      <c r="AR43" s="299" t="s">
        <v>32</v>
      </c>
      <c r="AS43" s="295" t="s">
        <v>32</v>
      </c>
      <c r="AT43" s="299" t="s">
        <v>32</v>
      </c>
      <c r="AU43" s="299" t="s">
        <v>32</v>
      </c>
      <c r="AV43" s="295" t="s">
        <v>32</v>
      </c>
      <c r="AW43" s="299" t="s">
        <v>32</v>
      </c>
      <c r="AX43" s="299" t="s">
        <v>32</v>
      </c>
      <c r="AY43" s="295" t="s">
        <v>32</v>
      </c>
      <c r="AZ43" s="292" t="s">
        <v>377</v>
      </c>
      <c r="BA43" s="299" t="s">
        <v>32</v>
      </c>
      <c r="BB43" s="295" t="s">
        <v>32</v>
      </c>
      <c r="BC43" s="289" t="s">
        <v>377</v>
      </c>
      <c r="BD43" s="292"/>
    </row>
    <row r="44" ht="12.75" customHeight="1">
      <c r="A44" s="293">
        <v>44797.9407158449</v>
      </c>
      <c r="B44" s="297" t="s">
        <v>375</v>
      </c>
      <c r="C44" s="298" t="s">
        <v>567</v>
      </c>
      <c r="D44" s="298" t="s">
        <v>16</v>
      </c>
      <c r="E44" s="285" t="s">
        <v>476</v>
      </c>
      <c r="F44" s="292" t="s">
        <v>605</v>
      </c>
      <c r="G44" s="298" t="s">
        <v>21</v>
      </c>
      <c r="H44" s="298">
        <v>12.0</v>
      </c>
      <c r="I44" s="292" t="s">
        <v>479</v>
      </c>
      <c r="J44" s="292" t="s">
        <v>604</v>
      </c>
      <c r="K44" s="287" t="s">
        <v>589</v>
      </c>
      <c r="L44" s="292" t="s">
        <v>479</v>
      </c>
      <c r="M44" s="292" t="s">
        <v>481</v>
      </c>
      <c r="N44" s="292"/>
      <c r="O44" s="292"/>
      <c r="P44" s="292"/>
      <c r="Q44" s="299" t="s">
        <v>32</v>
      </c>
      <c r="R44" s="299" t="s">
        <v>32</v>
      </c>
      <c r="S44" s="295" t="s">
        <v>32</v>
      </c>
      <c r="T44" s="299" t="s">
        <v>32</v>
      </c>
      <c r="U44" s="299" t="s">
        <v>32</v>
      </c>
      <c r="V44" s="295" t="s">
        <v>32</v>
      </c>
      <c r="W44" s="299" t="s">
        <v>32</v>
      </c>
      <c r="X44" s="292" t="s">
        <v>18</v>
      </c>
      <c r="Y44" s="288" t="s">
        <v>377</v>
      </c>
      <c r="Z44" s="299" t="s">
        <v>32</v>
      </c>
      <c r="AA44" s="299" t="s">
        <v>32</v>
      </c>
      <c r="AB44" s="295" t="s">
        <v>32</v>
      </c>
      <c r="AC44" s="296" t="s">
        <v>32</v>
      </c>
      <c r="AD44" s="299" t="s">
        <v>32</v>
      </c>
      <c r="AE44" s="299" t="s">
        <v>32</v>
      </c>
      <c r="AF44" s="295" t="s">
        <v>32</v>
      </c>
      <c r="AG44" s="292" t="s">
        <v>18</v>
      </c>
      <c r="AH44" s="299" t="s">
        <v>32</v>
      </c>
      <c r="AI44" s="288" t="s">
        <v>377</v>
      </c>
      <c r="AJ44" s="292" t="s">
        <v>18</v>
      </c>
      <c r="AK44" s="299" t="s">
        <v>32</v>
      </c>
      <c r="AL44" s="288" t="s">
        <v>377</v>
      </c>
      <c r="AM44" s="299" t="s">
        <v>32</v>
      </c>
      <c r="AN44" s="299" t="s">
        <v>32</v>
      </c>
      <c r="AO44" s="295" t="s">
        <v>32</v>
      </c>
      <c r="AP44" s="296" t="s">
        <v>32</v>
      </c>
      <c r="AQ44" s="292" t="s">
        <v>18</v>
      </c>
      <c r="AR44" s="299" t="s">
        <v>32</v>
      </c>
      <c r="AS44" s="288" t="s">
        <v>377</v>
      </c>
      <c r="AT44" s="299" t="s">
        <v>32</v>
      </c>
      <c r="AU44" s="299" t="s">
        <v>32</v>
      </c>
      <c r="AV44" s="295" t="s">
        <v>32</v>
      </c>
      <c r="AW44" s="299" t="s">
        <v>32</v>
      </c>
      <c r="AX44" s="299" t="s">
        <v>32</v>
      </c>
      <c r="AY44" s="295" t="s">
        <v>32</v>
      </c>
      <c r="AZ44" s="299" t="s">
        <v>32</v>
      </c>
      <c r="BA44" s="299" t="s">
        <v>32</v>
      </c>
      <c r="BB44" s="295" t="s">
        <v>32</v>
      </c>
      <c r="BC44" s="289" t="s">
        <v>377</v>
      </c>
      <c r="BD44" s="292"/>
    </row>
    <row r="45" ht="12.75" customHeight="1">
      <c r="A45" s="293">
        <v>44797.97191042824</v>
      </c>
      <c r="B45" s="297" t="s">
        <v>375</v>
      </c>
      <c r="C45" s="298" t="s">
        <v>567</v>
      </c>
      <c r="D45" s="298" t="s">
        <v>16</v>
      </c>
      <c r="E45" s="285" t="s">
        <v>476</v>
      </c>
      <c r="F45" s="292" t="s">
        <v>606</v>
      </c>
      <c r="G45" s="298" t="s">
        <v>17</v>
      </c>
      <c r="H45" s="298">
        <v>11.0</v>
      </c>
      <c r="I45" s="292" t="s">
        <v>479</v>
      </c>
      <c r="J45" s="292" t="s">
        <v>604</v>
      </c>
      <c r="K45" s="287" t="s">
        <v>589</v>
      </c>
      <c r="L45" s="292" t="s">
        <v>479</v>
      </c>
      <c r="M45" s="292" t="s">
        <v>481</v>
      </c>
      <c r="N45" s="292"/>
      <c r="O45" s="292"/>
      <c r="P45" s="292"/>
      <c r="Q45" s="299" t="s">
        <v>32</v>
      </c>
      <c r="R45" s="299" t="s">
        <v>32</v>
      </c>
      <c r="S45" s="295" t="s">
        <v>32</v>
      </c>
      <c r="T45" s="292" t="s">
        <v>18</v>
      </c>
      <c r="U45" s="299" t="s">
        <v>32</v>
      </c>
      <c r="V45" s="288" t="s">
        <v>377</v>
      </c>
      <c r="W45" s="292" t="s">
        <v>377</v>
      </c>
      <c r="X45" s="299" t="s">
        <v>32</v>
      </c>
      <c r="Y45" s="295" t="s">
        <v>32</v>
      </c>
      <c r="Z45" s="292" t="s">
        <v>377</v>
      </c>
      <c r="AA45" s="292" t="s">
        <v>18</v>
      </c>
      <c r="AB45" s="288" t="s">
        <v>377</v>
      </c>
      <c r="AC45" s="289" t="s">
        <v>377</v>
      </c>
      <c r="AD45" s="292" t="s">
        <v>377</v>
      </c>
      <c r="AE45" s="299" t="s">
        <v>32</v>
      </c>
      <c r="AF45" s="295" t="s">
        <v>32</v>
      </c>
      <c r="AG45" s="292" t="s">
        <v>377</v>
      </c>
      <c r="AH45" s="292" t="s">
        <v>18</v>
      </c>
      <c r="AI45" s="288" t="s">
        <v>377</v>
      </c>
      <c r="AJ45" s="292" t="s">
        <v>377</v>
      </c>
      <c r="AK45" s="292" t="s">
        <v>18</v>
      </c>
      <c r="AL45" s="288" t="s">
        <v>377</v>
      </c>
      <c r="AM45" s="292" t="s">
        <v>18</v>
      </c>
      <c r="AN45" s="292" t="s">
        <v>18</v>
      </c>
      <c r="AO45" s="288" t="s">
        <v>18</v>
      </c>
      <c r="AP45" s="289" t="s">
        <v>377</v>
      </c>
      <c r="AQ45" s="299" t="s">
        <v>32</v>
      </c>
      <c r="AR45" s="292" t="s">
        <v>377</v>
      </c>
      <c r="AS45" s="295" t="s">
        <v>32</v>
      </c>
      <c r="AT45" s="299" t="s">
        <v>32</v>
      </c>
      <c r="AU45" s="299" t="s">
        <v>32</v>
      </c>
      <c r="AV45" s="295" t="s">
        <v>32</v>
      </c>
      <c r="AW45" s="292" t="s">
        <v>18</v>
      </c>
      <c r="AX45" s="292" t="s">
        <v>377</v>
      </c>
      <c r="AY45" s="288" t="s">
        <v>377</v>
      </c>
      <c r="AZ45" s="299" t="s">
        <v>32</v>
      </c>
      <c r="BA45" s="299" t="s">
        <v>32</v>
      </c>
      <c r="BB45" s="295" t="s">
        <v>32</v>
      </c>
      <c r="BC45" s="296" t="s">
        <v>32</v>
      </c>
      <c r="BD45" s="292"/>
    </row>
    <row r="46" ht="12.75" customHeight="1">
      <c r="A46" s="293">
        <v>45265.474715856486</v>
      </c>
      <c r="B46" s="286" t="s">
        <v>486</v>
      </c>
      <c r="C46" s="287" t="s">
        <v>559</v>
      </c>
      <c r="D46" s="285" t="s">
        <v>16</v>
      </c>
      <c r="E46" s="285" t="s">
        <v>476</v>
      </c>
      <c r="F46" s="287" t="s">
        <v>607</v>
      </c>
      <c r="G46" s="285" t="s">
        <v>21</v>
      </c>
      <c r="H46" s="285">
        <v>11.0</v>
      </c>
      <c r="I46" s="287" t="s">
        <v>479</v>
      </c>
      <c r="J46" s="287" t="s">
        <v>608</v>
      </c>
      <c r="K46" s="287" t="s">
        <v>589</v>
      </c>
      <c r="L46" s="287" t="s">
        <v>479</v>
      </c>
      <c r="M46" s="287" t="s">
        <v>490</v>
      </c>
      <c r="N46" s="287" t="s">
        <v>495</v>
      </c>
      <c r="O46" s="287"/>
      <c r="P46" s="287"/>
      <c r="Q46" s="294" t="s">
        <v>32</v>
      </c>
      <c r="R46" s="287" t="s">
        <v>18</v>
      </c>
      <c r="S46" s="288" t="s">
        <v>377</v>
      </c>
      <c r="T46" s="294" t="s">
        <v>32</v>
      </c>
      <c r="U46" s="287" t="s">
        <v>18</v>
      </c>
      <c r="V46" s="288" t="s">
        <v>377</v>
      </c>
      <c r="W46" s="287" t="s">
        <v>18</v>
      </c>
      <c r="X46" s="287" t="s">
        <v>18</v>
      </c>
      <c r="Y46" s="288" t="s">
        <v>18</v>
      </c>
      <c r="Z46" s="294" t="s">
        <v>32</v>
      </c>
      <c r="AA46" s="287" t="s">
        <v>18</v>
      </c>
      <c r="AB46" s="288" t="s">
        <v>377</v>
      </c>
      <c r="AC46" s="289" t="s">
        <v>377</v>
      </c>
      <c r="AD46" s="294" t="s">
        <v>32</v>
      </c>
      <c r="AE46" s="294" t="s">
        <v>32</v>
      </c>
      <c r="AF46" s="295" t="s">
        <v>32</v>
      </c>
      <c r="AG46" s="294" t="s">
        <v>32</v>
      </c>
      <c r="AH46" s="294" t="s">
        <v>32</v>
      </c>
      <c r="AI46" s="295" t="s">
        <v>32</v>
      </c>
      <c r="AJ46" s="294" t="s">
        <v>32</v>
      </c>
      <c r="AK46" s="294" t="s">
        <v>32</v>
      </c>
      <c r="AL46" s="295" t="s">
        <v>32</v>
      </c>
      <c r="AM46" s="294" t="s">
        <v>32</v>
      </c>
      <c r="AN46" s="294" t="s">
        <v>32</v>
      </c>
      <c r="AO46" s="295" t="s">
        <v>32</v>
      </c>
      <c r="AP46" s="296" t="s">
        <v>32</v>
      </c>
      <c r="AQ46" s="294" t="s">
        <v>32</v>
      </c>
      <c r="AR46" s="294" t="s">
        <v>32</v>
      </c>
      <c r="AS46" s="295" t="s">
        <v>32</v>
      </c>
      <c r="AT46" s="294" t="s">
        <v>32</v>
      </c>
      <c r="AU46" s="294" t="s">
        <v>32</v>
      </c>
      <c r="AV46" s="295" t="s">
        <v>32</v>
      </c>
      <c r="AW46" s="294" t="s">
        <v>32</v>
      </c>
      <c r="AX46" s="294" t="s">
        <v>32</v>
      </c>
      <c r="AY46" s="295" t="s">
        <v>32</v>
      </c>
      <c r="AZ46" s="287" t="s">
        <v>377</v>
      </c>
      <c r="BA46" s="287" t="s">
        <v>18</v>
      </c>
      <c r="BB46" s="295" t="s">
        <v>32</v>
      </c>
      <c r="BC46" s="289" t="s">
        <v>377</v>
      </c>
      <c r="BD46" s="292"/>
    </row>
    <row r="47" ht="12.75" customHeight="1">
      <c r="A47" s="293">
        <v>45267.73911693287</v>
      </c>
      <c r="B47" s="286" t="s">
        <v>486</v>
      </c>
      <c r="C47" s="285" t="s">
        <v>559</v>
      </c>
      <c r="D47" s="285" t="s">
        <v>16</v>
      </c>
      <c r="E47" s="285" t="s">
        <v>577</v>
      </c>
      <c r="F47" s="287" t="s">
        <v>609</v>
      </c>
      <c r="G47" s="285" t="s">
        <v>17</v>
      </c>
      <c r="H47" s="285">
        <v>15.0</v>
      </c>
      <c r="I47" s="287" t="s">
        <v>479</v>
      </c>
      <c r="J47" s="287" t="s">
        <v>588</v>
      </c>
      <c r="K47" s="287" t="s">
        <v>589</v>
      </c>
      <c r="L47" s="287" t="s">
        <v>497</v>
      </c>
      <c r="M47" s="292"/>
      <c r="N47" s="292"/>
      <c r="O47" s="285" t="s">
        <v>479</v>
      </c>
      <c r="P47" s="287" t="s">
        <v>610</v>
      </c>
      <c r="Q47" s="294" t="s">
        <v>32</v>
      </c>
      <c r="R47" s="294" t="s">
        <v>32</v>
      </c>
      <c r="S47" s="295" t="s">
        <v>32</v>
      </c>
      <c r="T47" s="287" t="s">
        <v>377</v>
      </c>
      <c r="U47" s="294" t="s">
        <v>32</v>
      </c>
      <c r="V47" s="295" t="s">
        <v>32</v>
      </c>
      <c r="W47" s="294" t="s">
        <v>32</v>
      </c>
      <c r="X47" s="294" t="s">
        <v>32</v>
      </c>
      <c r="Y47" s="295" t="s">
        <v>32</v>
      </c>
      <c r="Z47" s="294" t="s">
        <v>32</v>
      </c>
      <c r="AA47" s="294" t="s">
        <v>32</v>
      </c>
      <c r="AB47" s="295" t="s">
        <v>32</v>
      </c>
      <c r="AC47" s="296" t="s">
        <v>32</v>
      </c>
      <c r="AD47" s="294" t="s">
        <v>32</v>
      </c>
      <c r="AE47" s="294" t="s">
        <v>32</v>
      </c>
      <c r="AF47" s="295" t="s">
        <v>32</v>
      </c>
      <c r="AG47" s="287" t="s">
        <v>377</v>
      </c>
      <c r="AH47" s="287" t="s">
        <v>377</v>
      </c>
      <c r="AI47" s="288" t="s">
        <v>377</v>
      </c>
      <c r="AJ47" s="294" t="s">
        <v>32</v>
      </c>
      <c r="AK47" s="287" t="s">
        <v>377</v>
      </c>
      <c r="AL47" s="295" t="s">
        <v>32</v>
      </c>
      <c r="AM47" s="287" t="s">
        <v>18</v>
      </c>
      <c r="AN47" s="287" t="s">
        <v>377</v>
      </c>
      <c r="AO47" s="288" t="s">
        <v>377</v>
      </c>
      <c r="AP47" s="289" t="s">
        <v>377</v>
      </c>
      <c r="AQ47" s="294" t="s">
        <v>32</v>
      </c>
      <c r="AR47" s="294" t="s">
        <v>32</v>
      </c>
      <c r="AS47" s="295" t="s">
        <v>32</v>
      </c>
      <c r="AT47" s="294" t="s">
        <v>32</v>
      </c>
      <c r="AU47" s="294" t="s">
        <v>32</v>
      </c>
      <c r="AV47" s="295" t="s">
        <v>32</v>
      </c>
      <c r="AW47" s="294" t="s">
        <v>32</v>
      </c>
      <c r="AX47" s="287" t="s">
        <v>377</v>
      </c>
      <c r="AY47" s="295" t="s">
        <v>32</v>
      </c>
      <c r="AZ47" s="294" t="s">
        <v>32</v>
      </c>
      <c r="BA47" s="294" t="s">
        <v>32</v>
      </c>
      <c r="BB47" s="295" t="s">
        <v>32</v>
      </c>
      <c r="BC47" s="296" t="s">
        <v>32</v>
      </c>
      <c r="BD47" s="292"/>
    </row>
    <row r="48" ht="12.75" customHeight="1">
      <c r="A48" s="298">
        <v>18.0</v>
      </c>
      <c r="B48" s="297" t="s">
        <v>486</v>
      </c>
      <c r="C48" s="298" t="s">
        <v>567</v>
      </c>
      <c r="D48" s="298" t="s">
        <v>16</v>
      </c>
      <c r="E48" s="285" t="s">
        <v>577</v>
      </c>
      <c r="F48" s="292" t="s">
        <v>611</v>
      </c>
      <c r="G48" s="298" t="s">
        <v>21</v>
      </c>
      <c r="H48" s="298">
        <v>21.0</v>
      </c>
      <c r="I48" s="292" t="s">
        <v>479</v>
      </c>
      <c r="J48" s="292" t="s">
        <v>592</v>
      </c>
      <c r="K48" s="287" t="s">
        <v>589</v>
      </c>
      <c r="L48" s="292" t="s">
        <v>479</v>
      </c>
      <c r="M48" s="292" t="s">
        <v>490</v>
      </c>
      <c r="N48" s="292"/>
      <c r="O48" s="298" t="s">
        <v>497</v>
      </c>
      <c r="P48" s="292" t="s">
        <v>612</v>
      </c>
      <c r="Q48" s="292" t="s">
        <v>18</v>
      </c>
      <c r="R48" s="292" t="s">
        <v>377</v>
      </c>
      <c r="S48" s="288" t="s">
        <v>377</v>
      </c>
      <c r="T48" s="292" t="s">
        <v>377</v>
      </c>
      <c r="U48" s="292" t="s">
        <v>377</v>
      </c>
      <c r="V48" s="288" t="s">
        <v>377</v>
      </c>
      <c r="W48" s="292" t="s">
        <v>377</v>
      </c>
      <c r="X48" s="292" t="s">
        <v>377</v>
      </c>
      <c r="Y48" s="288" t="s">
        <v>377</v>
      </c>
      <c r="Z48" s="292" t="s">
        <v>377</v>
      </c>
      <c r="AA48" s="292" t="s">
        <v>377</v>
      </c>
      <c r="AB48" s="288" t="s">
        <v>377</v>
      </c>
      <c r="AC48" s="289" t="s">
        <v>377</v>
      </c>
      <c r="AD48" s="292" t="s">
        <v>18</v>
      </c>
      <c r="AE48" s="292" t="s">
        <v>377</v>
      </c>
      <c r="AF48" s="288" t="s">
        <v>377</v>
      </c>
      <c r="AG48" s="292" t="s">
        <v>18</v>
      </c>
      <c r="AH48" s="292" t="s">
        <v>18</v>
      </c>
      <c r="AI48" s="288" t="s">
        <v>18</v>
      </c>
      <c r="AJ48" s="299" t="s">
        <v>32</v>
      </c>
      <c r="AK48" s="292" t="s">
        <v>377</v>
      </c>
      <c r="AL48" s="295" t="s">
        <v>32</v>
      </c>
      <c r="AM48" s="292" t="s">
        <v>18</v>
      </c>
      <c r="AN48" s="292" t="s">
        <v>377</v>
      </c>
      <c r="AO48" s="288" t="s">
        <v>377</v>
      </c>
      <c r="AP48" s="289" t="s">
        <v>377</v>
      </c>
      <c r="AQ48" s="299" t="s">
        <v>32</v>
      </c>
      <c r="AR48" s="299" t="s">
        <v>32</v>
      </c>
      <c r="AS48" s="295" t="s">
        <v>32</v>
      </c>
      <c r="AT48" s="299" t="s">
        <v>32</v>
      </c>
      <c r="AU48" s="299" t="s">
        <v>32</v>
      </c>
      <c r="AV48" s="295" t="s">
        <v>32</v>
      </c>
      <c r="AW48" s="292" t="s">
        <v>377</v>
      </c>
      <c r="AX48" s="292" t="s">
        <v>377</v>
      </c>
      <c r="AY48" s="288" t="s">
        <v>377</v>
      </c>
      <c r="AZ48" s="299" t="s">
        <v>32</v>
      </c>
      <c r="BA48" s="299" t="s">
        <v>32</v>
      </c>
      <c r="BB48" s="288" t="s">
        <v>377</v>
      </c>
      <c r="BC48" s="289" t="s">
        <v>377</v>
      </c>
      <c r="BD48" s="292"/>
    </row>
    <row r="49" ht="12.75" customHeight="1">
      <c r="A49" s="293">
        <v>45260.40356711806</v>
      </c>
      <c r="B49" s="286" t="s">
        <v>504</v>
      </c>
      <c r="C49" s="287" t="s">
        <v>559</v>
      </c>
      <c r="D49" s="285" t="s">
        <v>16</v>
      </c>
      <c r="E49" s="285" t="s">
        <v>476</v>
      </c>
      <c r="F49" s="287" t="s">
        <v>613</v>
      </c>
      <c r="G49" s="285" t="s">
        <v>17</v>
      </c>
      <c r="H49" s="285">
        <v>12.0</v>
      </c>
      <c r="I49" s="287" t="s">
        <v>479</v>
      </c>
      <c r="J49" s="287" t="s">
        <v>588</v>
      </c>
      <c r="K49" s="287" t="s">
        <v>589</v>
      </c>
      <c r="L49" s="287" t="s">
        <v>497</v>
      </c>
      <c r="M49" s="292"/>
      <c r="N49" s="292"/>
      <c r="O49" s="292"/>
      <c r="P49" s="292"/>
      <c r="Q49" s="294" t="s">
        <v>32</v>
      </c>
      <c r="R49" s="294" t="s">
        <v>32</v>
      </c>
      <c r="S49" s="295" t="s">
        <v>32</v>
      </c>
      <c r="T49" s="294" t="s">
        <v>32</v>
      </c>
      <c r="U49" s="294" t="s">
        <v>32</v>
      </c>
      <c r="V49" s="295" t="s">
        <v>32</v>
      </c>
      <c r="W49" s="287" t="s">
        <v>18</v>
      </c>
      <c r="X49" s="294" t="s">
        <v>32</v>
      </c>
      <c r="Y49" s="288" t="s">
        <v>377</v>
      </c>
      <c r="Z49" s="287" t="s">
        <v>18</v>
      </c>
      <c r="AA49" s="294" t="s">
        <v>32</v>
      </c>
      <c r="AB49" s="288" t="s">
        <v>377</v>
      </c>
      <c r="AC49" s="296" t="s">
        <v>32</v>
      </c>
      <c r="AD49" s="294" t="s">
        <v>32</v>
      </c>
      <c r="AE49" s="294" t="s">
        <v>32</v>
      </c>
      <c r="AF49" s="295" t="s">
        <v>32</v>
      </c>
      <c r="AG49" s="287" t="s">
        <v>377</v>
      </c>
      <c r="AH49" s="294" t="s">
        <v>32</v>
      </c>
      <c r="AI49" s="295" t="s">
        <v>32</v>
      </c>
      <c r="AJ49" s="294" t="s">
        <v>32</v>
      </c>
      <c r="AK49" s="287" t="s">
        <v>377</v>
      </c>
      <c r="AL49" s="295" t="s">
        <v>32</v>
      </c>
      <c r="AM49" s="287" t="s">
        <v>18</v>
      </c>
      <c r="AN49" s="287" t="s">
        <v>18</v>
      </c>
      <c r="AO49" s="288" t="s">
        <v>18</v>
      </c>
      <c r="AP49" s="289" t="s">
        <v>377</v>
      </c>
      <c r="AQ49" s="294" t="s">
        <v>32</v>
      </c>
      <c r="AR49" s="287" t="s">
        <v>18</v>
      </c>
      <c r="AS49" s="288" t="s">
        <v>377</v>
      </c>
      <c r="AT49" s="294" t="s">
        <v>32</v>
      </c>
      <c r="AU49" s="294" t="s">
        <v>32</v>
      </c>
      <c r="AV49" s="295" t="s">
        <v>32</v>
      </c>
      <c r="AW49" s="294" t="s">
        <v>32</v>
      </c>
      <c r="AX49" s="294" t="s">
        <v>32</v>
      </c>
      <c r="AY49" s="295" t="s">
        <v>32</v>
      </c>
      <c r="AZ49" s="294" t="s">
        <v>32</v>
      </c>
      <c r="BA49" s="294" t="s">
        <v>32</v>
      </c>
      <c r="BB49" s="288" t="s">
        <v>377</v>
      </c>
      <c r="BC49" s="289" t="s">
        <v>377</v>
      </c>
      <c r="BD49" s="292"/>
    </row>
    <row r="50" ht="12.75" customHeight="1">
      <c r="A50" s="293">
        <v>45260.40930649306</v>
      </c>
      <c r="B50" s="286" t="s">
        <v>504</v>
      </c>
      <c r="C50" s="287" t="s">
        <v>559</v>
      </c>
      <c r="D50" s="285" t="s">
        <v>16</v>
      </c>
      <c r="E50" s="285" t="s">
        <v>476</v>
      </c>
      <c r="F50" s="287" t="s">
        <v>614</v>
      </c>
      <c r="G50" s="285" t="s">
        <v>21</v>
      </c>
      <c r="H50" s="285">
        <v>12.0</v>
      </c>
      <c r="I50" s="287" t="s">
        <v>479</v>
      </c>
      <c r="J50" s="287" t="s">
        <v>492</v>
      </c>
      <c r="K50" s="287" t="s">
        <v>589</v>
      </c>
      <c r="L50" s="287" t="s">
        <v>497</v>
      </c>
      <c r="M50" s="292"/>
      <c r="N50" s="292"/>
      <c r="O50" s="292"/>
      <c r="P50" s="292"/>
      <c r="Q50" s="287" t="s">
        <v>377</v>
      </c>
      <c r="R50" s="287" t="s">
        <v>18</v>
      </c>
      <c r="S50" s="288" t="s">
        <v>377</v>
      </c>
      <c r="T50" s="287" t="s">
        <v>377</v>
      </c>
      <c r="U50" s="294" t="s">
        <v>32</v>
      </c>
      <c r="V50" s="295" t="s">
        <v>32</v>
      </c>
      <c r="W50" s="287" t="s">
        <v>18</v>
      </c>
      <c r="X50" s="287" t="s">
        <v>18</v>
      </c>
      <c r="Y50" s="288" t="s">
        <v>18</v>
      </c>
      <c r="Z50" s="287" t="s">
        <v>18</v>
      </c>
      <c r="AA50" s="287" t="s">
        <v>18</v>
      </c>
      <c r="AB50" s="288" t="s">
        <v>18</v>
      </c>
      <c r="AC50" s="289" t="s">
        <v>377</v>
      </c>
      <c r="AD50" s="287" t="s">
        <v>377</v>
      </c>
      <c r="AE50" s="294" t="s">
        <v>32</v>
      </c>
      <c r="AF50" s="295" t="s">
        <v>32</v>
      </c>
      <c r="AG50" s="287" t="s">
        <v>18</v>
      </c>
      <c r="AH50" s="287" t="s">
        <v>18</v>
      </c>
      <c r="AI50" s="288" t="s">
        <v>18</v>
      </c>
      <c r="AJ50" s="287" t="s">
        <v>18</v>
      </c>
      <c r="AK50" s="287" t="s">
        <v>18</v>
      </c>
      <c r="AL50" s="288" t="s">
        <v>18</v>
      </c>
      <c r="AM50" s="287" t="s">
        <v>18</v>
      </c>
      <c r="AN50" s="287" t="s">
        <v>18</v>
      </c>
      <c r="AO50" s="288" t="s">
        <v>18</v>
      </c>
      <c r="AP50" s="289" t="s">
        <v>18</v>
      </c>
      <c r="AQ50" s="294" t="s">
        <v>32</v>
      </c>
      <c r="AR50" s="287" t="s">
        <v>18</v>
      </c>
      <c r="AS50" s="288" t="s">
        <v>377</v>
      </c>
      <c r="AT50" s="294" t="s">
        <v>32</v>
      </c>
      <c r="AU50" s="294" t="s">
        <v>32</v>
      </c>
      <c r="AV50" s="295" t="s">
        <v>32</v>
      </c>
      <c r="AW50" s="294" t="s">
        <v>32</v>
      </c>
      <c r="AX50" s="294" t="s">
        <v>32</v>
      </c>
      <c r="AY50" s="295" t="s">
        <v>32</v>
      </c>
      <c r="AZ50" s="287" t="s">
        <v>18</v>
      </c>
      <c r="BA50" s="294" t="s">
        <v>32</v>
      </c>
      <c r="BB50" s="288" t="s">
        <v>377</v>
      </c>
      <c r="BC50" s="289" t="s">
        <v>18</v>
      </c>
      <c r="BD50" s="292"/>
    </row>
    <row r="51" ht="12.75" customHeight="1">
      <c r="A51" s="293">
        <v>45260.496182546296</v>
      </c>
      <c r="B51" s="286" t="s">
        <v>504</v>
      </c>
      <c r="C51" s="287" t="s">
        <v>559</v>
      </c>
      <c r="D51" s="285" t="s">
        <v>16</v>
      </c>
      <c r="E51" s="285" t="s">
        <v>476</v>
      </c>
      <c r="F51" s="287" t="s">
        <v>615</v>
      </c>
      <c r="G51" s="285" t="s">
        <v>17</v>
      </c>
      <c r="H51" s="285">
        <v>11.0</v>
      </c>
      <c r="I51" s="287" t="s">
        <v>479</v>
      </c>
      <c r="J51" s="287" t="s">
        <v>588</v>
      </c>
      <c r="K51" s="287" t="s">
        <v>589</v>
      </c>
      <c r="L51" s="287" t="s">
        <v>497</v>
      </c>
      <c r="M51" s="292"/>
      <c r="N51" s="292"/>
      <c r="O51" s="292"/>
      <c r="P51" s="292"/>
      <c r="Q51" s="287" t="s">
        <v>377</v>
      </c>
      <c r="R51" s="287" t="s">
        <v>377</v>
      </c>
      <c r="S51" s="288" t="s">
        <v>377</v>
      </c>
      <c r="T51" s="287" t="s">
        <v>377</v>
      </c>
      <c r="U51" s="294" t="s">
        <v>32</v>
      </c>
      <c r="V51" s="295" t="s">
        <v>32</v>
      </c>
      <c r="W51" s="287" t="s">
        <v>18</v>
      </c>
      <c r="X51" s="287" t="s">
        <v>377</v>
      </c>
      <c r="Y51" s="288" t="s">
        <v>377</v>
      </c>
      <c r="Z51" s="294" t="s">
        <v>32</v>
      </c>
      <c r="AA51" s="287" t="s">
        <v>18</v>
      </c>
      <c r="AB51" s="288" t="s">
        <v>377</v>
      </c>
      <c r="AC51" s="289" t="s">
        <v>377</v>
      </c>
      <c r="AD51" s="287" t="s">
        <v>377</v>
      </c>
      <c r="AE51" s="294" t="s">
        <v>32</v>
      </c>
      <c r="AF51" s="295" t="s">
        <v>32</v>
      </c>
      <c r="AG51" s="287" t="s">
        <v>18</v>
      </c>
      <c r="AH51" s="287" t="s">
        <v>18</v>
      </c>
      <c r="AI51" s="288" t="s">
        <v>18</v>
      </c>
      <c r="AJ51" s="287" t="s">
        <v>18</v>
      </c>
      <c r="AK51" s="287" t="s">
        <v>377</v>
      </c>
      <c r="AL51" s="288" t="s">
        <v>377</v>
      </c>
      <c r="AM51" s="287" t="s">
        <v>18</v>
      </c>
      <c r="AN51" s="287" t="s">
        <v>18</v>
      </c>
      <c r="AO51" s="288" t="s">
        <v>18</v>
      </c>
      <c r="AP51" s="289" t="s">
        <v>377</v>
      </c>
      <c r="AQ51" s="294" t="s">
        <v>32</v>
      </c>
      <c r="AR51" s="294" t="s">
        <v>32</v>
      </c>
      <c r="AS51" s="295" t="s">
        <v>32</v>
      </c>
      <c r="AT51" s="294" t="s">
        <v>32</v>
      </c>
      <c r="AU51" s="294" t="s">
        <v>32</v>
      </c>
      <c r="AV51" s="295" t="s">
        <v>32</v>
      </c>
      <c r="AW51" s="294" t="s">
        <v>32</v>
      </c>
      <c r="AX51" s="294" t="s">
        <v>32</v>
      </c>
      <c r="AY51" s="295" t="s">
        <v>32</v>
      </c>
      <c r="AZ51" s="287" t="s">
        <v>377</v>
      </c>
      <c r="BA51" s="294" t="s">
        <v>32</v>
      </c>
      <c r="BB51" s="295" t="s">
        <v>32</v>
      </c>
      <c r="BC51" s="289" t="s">
        <v>377</v>
      </c>
      <c r="BD51" s="292"/>
    </row>
    <row r="52" ht="12.75" customHeight="1">
      <c r="A52" s="293">
        <v>45271.73376642361</v>
      </c>
      <c r="B52" s="286" t="s">
        <v>504</v>
      </c>
      <c r="C52" s="287" t="s">
        <v>559</v>
      </c>
      <c r="D52" s="285" t="s">
        <v>16</v>
      </c>
      <c r="E52" s="285" t="s">
        <v>476</v>
      </c>
      <c r="F52" s="287" t="s">
        <v>616</v>
      </c>
      <c r="G52" s="285" t="s">
        <v>21</v>
      </c>
      <c r="H52" s="285">
        <v>12.0</v>
      </c>
      <c r="I52" s="287" t="s">
        <v>479</v>
      </c>
      <c r="J52" s="287" t="s">
        <v>592</v>
      </c>
      <c r="K52" s="287" t="s">
        <v>589</v>
      </c>
      <c r="L52" s="287" t="s">
        <v>497</v>
      </c>
      <c r="M52" s="292"/>
      <c r="N52" s="292"/>
      <c r="O52" s="292"/>
      <c r="P52" s="292"/>
      <c r="Q52" s="294" t="s">
        <v>32</v>
      </c>
      <c r="R52" s="287" t="s">
        <v>18</v>
      </c>
      <c r="S52" s="288" t="s">
        <v>377</v>
      </c>
      <c r="T52" s="287" t="s">
        <v>377</v>
      </c>
      <c r="U52" s="294" t="s">
        <v>32</v>
      </c>
      <c r="V52" s="295" t="s">
        <v>32</v>
      </c>
      <c r="W52" s="287" t="s">
        <v>377</v>
      </c>
      <c r="X52" s="287" t="s">
        <v>377</v>
      </c>
      <c r="Y52" s="288" t="s">
        <v>377</v>
      </c>
      <c r="Z52" s="287" t="s">
        <v>18</v>
      </c>
      <c r="AA52" s="287" t="s">
        <v>18</v>
      </c>
      <c r="AB52" s="288" t="s">
        <v>18</v>
      </c>
      <c r="AC52" s="289" t="s">
        <v>377</v>
      </c>
      <c r="AD52" s="287" t="s">
        <v>377</v>
      </c>
      <c r="AE52" s="294" t="s">
        <v>32</v>
      </c>
      <c r="AF52" s="295" t="s">
        <v>32</v>
      </c>
      <c r="AG52" s="287" t="s">
        <v>18</v>
      </c>
      <c r="AH52" s="287" t="s">
        <v>18</v>
      </c>
      <c r="AI52" s="288" t="s">
        <v>18</v>
      </c>
      <c r="AJ52" s="287" t="s">
        <v>18</v>
      </c>
      <c r="AK52" s="287" t="s">
        <v>18</v>
      </c>
      <c r="AL52" s="288" t="s">
        <v>18</v>
      </c>
      <c r="AM52" s="287" t="s">
        <v>18</v>
      </c>
      <c r="AN52" s="287" t="s">
        <v>18</v>
      </c>
      <c r="AO52" s="288" t="s">
        <v>18</v>
      </c>
      <c r="AP52" s="289" t="s">
        <v>18</v>
      </c>
      <c r="AQ52" s="287" t="s">
        <v>18</v>
      </c>
      <c r="AR52" s="294" t="s">
        <v>32</v>
      </c>
      <c r="AS52" s="288" t="s">
        <v>377</v>
      </c>
      <c r="AT52" s="287" t="s">
        <v>377</v>
      </c>
      <c r="AU52" s="287" t="s">
        <v>18</v>
      </c>
      <c r="AV52" s="288" t="s">
        <v>377</v>
      </c>
      <c r="AW52" s="287" t="s">
        <v>18</v>
      </c>
      <c r="AX52" s="287" t="s">
        <v>18</v>
      </c>
      <c r="AY52" s="288" t="s">
        <v>18</v>
      </c>
      <c r="AZ52" s="294" t="s">
        <v>32</v>
      </c>
      <c r="BA52" s="287" t="s">
        <v>377</v>
      </c>
      <c r="BB52" s="288" t="s">
        <v>377</v>
      </c>
      <c r="BC52" s="289" t="s">
        <v>377</v>
      </c>
      <c r="BD52" s="292"/>
    </row>
    <row r="53" ht="12.75" customHeight="1">
      <c r="A53" s="293">
        <v>45271.90545006945</v>
      </c>
      <c r="B53" s="286" t="s">
        <v>504</v>
      </c>
      <c r="C53" s="287" t="s">
        <v>559</v>
      </c>
      <c r="D53" s="285" t="s">
        <v>16</v>
      </c>
      <c r="E53" s="285" t="s">
        <v>476</v>
      </c>
      <c r="F53" s="287" t="s">
        <v>617</v>
      </c>
      <c r="G53" s="285" t="s">
        <v>21</v>
      </c>
      <c r="H53" s="285">
        <v>12.0</v>
      </c>
      <c r="I53" s="287" t="s">
        <v>479</v>
      </c>
      <c r="J53" s="287" t="s">
        <v>608</v>
      </c>
      <c r="K53" s="287" t="s">
        <v>589</v>
      </c>
      <c r="L53" s="287" t="s">
        <v>497</v>
      </c>
      <c r="M53" s="292"/>
      <c r="N53" s="292"/>
      <c r="O53" s="292"/>
      <c r="P53" s="292"/>
      <c r="Q53" s="287" t="s">
        <v>377</v>
      </c>
      <c r="R53" s="287" t="s">
        <v>377</v>
      </c>
      <c r="S53" s="288" t="s">
        <v>377</v>
      </c>
      <c r="T53" s="287" t="s">
        <v>377</v>
      </c>
      <c r="U53" s="294" t="s">
        <v>32</v>
      </c>
      <c r="V53" s="295" t="s">
        <v>32</v>
      </c>
      <c r="W53" s="294" t="s">
        <v>32</v>
      </c>
      <c r="X53" s="287" t="s">
        <v>377</v>
      </c>
      <c r="Y53" s="295" t="s">
        <v>32</v>
      </c>
      <c r="Z53" s="287" t="s">
        <v>377</v>
      </c>
      <c r="AA53" s="287" t="s">
        <v>377</v>
      </c>
      <c r="AB53" s="288" t="s">
        <v>377</v>
      </c>
      <c r="AC53" s="289" t="s">
        <v>377</v>
      </c>
      <c r="AD53" s="287" t="s">
        <v>377</v>
      </c>
      <c r="AE53" s="287" t="s">
        <v>377</v>
      </c>
      <c r="AF53" s="288" t="s">
        <v>377</v>
      </c>
      <c r="AG53" s="287" t="s">
        <v>18</v>
      </c>
      <c r="AH53" s="287" t="s">
        <v>377</v>
      </c>
      <c r="AI53" s="288" t="s">
        <v>377</v>
      </c>
      <c r="AJ53" s="287" t="s">
        <v>377</v>
      </c>
      <c r="AK53" s="287" t="s">
        <v>377</v>
      </c>
      <c r="AL53" s="288" t="s">
        <v>377</v>
      </c>
      <c r="AM53" s="287" t="s">
        <v>18</v>
      </c>
      <c r="AN53" s="287" t="s">
        <v>377</v>
      </c>
      <c r="AO53" s="288" t="s">
        <v>377</v>
      </c>
      <c r="AP53" s="289" t="s">
        <v>377</v>
      </c>
      <c r="AQ53" s="294" t="s">
        <v>32</v>
      </c>
      <c r="AR53" s="287" t="s">
        <v>377</v>
      </c>
      <c r="AS53" s="295" t="s">
        <v>32</v>
      </c>
      <c r="AT53" s="294" t="s">
        <v>32</v>
      </c>
      <c r="AU53" s="287" t="s">
        <v>377</v>
      </c>
      <c r="AV53" s="295" t="s">
        <v>32</v>
      </c>
      <c r="AW53" s="287" t="s">
        <v>18</v>
      </c>
      <c r="AX53" s="294" t="s">
        <v>32</v>
      </c>
      <c r="AY53" s="288" t="s">
        <v>377</v>
      </c>
      <c r="AZ53" s="287" t="s">
        <v>18</v>
      </c>
      <c r="BA53" s="294" t="s">
        <v>32</v>
      </c>
      <c r="BB53" s="295" t="s">
        <v>32</v>
      </c>
      <c r="BC53" s="296" t="s">
        <v>32</v>
      </c>
      <c r="BD53" s="292"/>
    </row>
    <row r="54" ht="12.75" customHeight="1">
      <c r="A54" s="293">
        <v>45271.95981439815</v>
      </c>
      <c r="B54" s="286" t="s">
        <v>504</v>
      </c>
      <c r="C54" s="287" t="s">
        <v>559</v>
      </c>
      <c r="D54" s="285" t="s">
        <v>16</v>
      </c>
      <c r="E54" s="285" t="s">
        <v>476</v>
      </c>
      <c r="F54" s="287" t="s">
        <v>618</v>
      </c>
      <c r="G54" s="285" t="s">
        <v>21</v>
      </c>
      <c r="H54" s="285">
        <v>11.0</v>
      </c>
      <c r="I54" s="287" t="s">
        <v>479</v>
      </c>
      <c r="J54" s="287" t="s">
        <v>489</v>
      </c>
      <c r="K54" s="287" t="s">
        <v>589</v>
      </c>
      <c r="L54" s="287" t="s">
        <v>479</v>
      </c>
      <c r="M54" s="287" t="s">
        <v>490</v>
      </c>
      <c r="N54" s="287" t="s">
        <v>490</v>
      </c>
      <c r="O54" s="287"/>
      <c r="P54" s="287"/>
      <c r="Q54" s="294" t="s">
        <v>32</v>
      </c>
      <c r="R54" s="294" t="s">
        <v>32</v>
      </c>
      <c r="S54" s="295" t="s">
        <v>32</v>
      </c>
      <c r="T54" s="294" t="s">
        <v>32</v>
      </c>
      <c r="U54" s="294" t="s">
        <v>32</v>
      </c>
      <c r="V54" s="295" t="s">
        <v>32</v>
      </c>
      <c r="W54" s="294" t="s">
        <v>32</v>
      </c>
      <c r="X54" s="294" t="s">
        <v>32</v>
      </c>
      <c r="Y54" s="295" t="s">
        <v>32</v>
      </c>
      <c r="Z54" s="294" t="s">
        <v>32</v>
      </c>
      <c r="AA54" s="294" t="s">
        <v>32</v>
      </c>
      <c r="AB54" s="295" t="s">
        <v>32</v>
      </c>
      <c r="AC54" s="296" t="s">
        <v>32</v>
      </c>
      <c r="AD54" s="294" t="s">
        <v>32</v>
      </c>
      <c r="AE54" s="294" t="s">
        <v>32</v>
      </c>
      <c r="AF54" s="295" t="s">
        <v>32</v>
      </c>
      <c r="AG54" s="294" t="s">
        <v>32</v>
      </c>
      <c r="AH54" s="294" t="s">
        <v>32</v>
      </c>
      <c r="AI54" s="295" t="s">
        <v>32</v>
      </c>
      <c r="AJ54" s="294" t="s">
        <v>32</v>
      </c>
      <c r="AK54" s="294" t="s">
        <v>32</v>
      </c>
      <c r="AL54" s="295" t="s">
        <v>32</v>
      </c>
      <c r="AM54" s="294" t="s">
        <v>32</v>
      </c>
      <c r="AN54" s="294" t="s">
        <v>32</v>
      </c>
      <c r="AO54" s="295" t="s">
        <v>32</v>
      </c>
      <c r="AP54" s="296" t="s">
        <v>32</v>
      </c>
      <c r="AQ54" s="294" t="s">
        <v>32</v>
      </c>
      <c r="AR54" s="294" t="s">
        <v>32</v>
      </c>
      <c r="AS54" s="295" t="s">
        <v>32</v>
      </c>
      <c r="AT54" s="294" t="s">
        <v>32</v>
      </c>
      <c r="AU54" s="294" t="s">
        <v>32</v>
      </c>
      <c r="AV54" s="295" t="s">
        <v>32</v>
      </c>
      <c r="AW54" s="294" t="s">
        <v>32</v>
      </c>
      <c r="AX54" s="294" t="s">
        <v>32</v>
      </c>
      <c r="AY54" s="295" t="s">
        <v>32</v>
      </c>
      <c r="AZ54" s="294" t="s">
        <v>32</v>
      </c>
      <c r="BA54" s="294" t="s">
        <v>32</v>
      </c>
      <c r="BB54" s="295" t="s">
        <v>32</v>
      </c>
      <c r="BC54" s="296" t="s">
        <v>32</v>
      </c>
      <c r="BD54" s="292"/>
    </row>
    <row r="55" ht="12.75" customHeight="1">
      <c r="A55" s="293">
        <v>45271.96381184028</v>
      </c>
      <c r="B55" s="286" t="s">
        <v>504</v>
      </c>
      <c r="C55" s="287" t="s">
        <v>559</v>
      </c>
      <c r="D55" s="285" t="s">
        <v>16</v>
      </c>
      <c r="E55" s="285" t="s">
        <v>476</v>
      </c>
      <c r="F55" s="287" t="s">
        <v>619</v>
      </c>
      <c r="G55" s="285" t="s">
        <v>17</v>
      </c>
      <c r="H55" s="285">
        <v>12.0</v>
      </c>
      <c r="I55" s="287" t="s">
        <v>479</v>
      </c>
      <c r="J55" s="287" t="s">
        <v>588</v>
      </c>
      <c r="K55" s="287" t="s">
        <v>589</v>
      </c>
      <c r="L55" s="287" t="s">
        <v>497</v>
      </c>
      <c r="M55" s="292"/>
      <c r="N55" s="292"/>
      <c r="O55" s="292"/>
      <c r="P55" s="292"/>
      <c r="Q55" s="294" t="s">
        <v>32</v>
      </c>
      <c r="R55" s="294" t="s">
        <v>32</v>
      </c>
      <c r="S55" s="295" t="s">
        <v>32</v>
      </c>
      <c r="T55" s="294" t="s">
        <v>32</v>
      </c>
      <c r="U55" s="294" t="s">
        <v>32</v>
      </c>
      <c r="V55" s="295" t="s">
        <v>32</v>
      </c>
      <c r="W55" s="287" t="s">
        <v>377</v>
      </c>
      <c r="X55" s="287" t="s">
        <v>377</v>
      </c>
      <c r="Y55" s="288" t="s">
        <v>377</v>
      </c>
      <c r="Z55" s="287" t="s">
        <v>377</v>
      </c>
      <c r="AA55" s="294" t="s">
        <v>32</v>
      </c>
      <c r="AB55" s="295" t="s">
        <v>32</v>
      </c>
      <c r="AC55" s="296" t="s">
        <v>32</v>
      </c>
      <c r="AD55" s="294" t="s">
        <v>32</v>
      </c>
      <c r="AE55" s="294" t="s">
        <v>32</v>
      </c>
      <c r="AF55" s="295" t="s">
        <v>32</v>
      </c>
      <c r="AG55" s="287" t="s">
        <v>18</v>
      </c>
      <c r="AH55" s="287" t="s">
        <v>18</v>
      </c>
      <c r="AI55" s="288" t="s">
        <v>18</v>
      </c>
      <c r="AJ55" s="287" t="s">
        <v>18</v>
      </c>
      <c r="AK55" s="287" t="s">
        <v>18</v>
      </c>
      <c r="AL55" s="288" t="s">
        <v>18</v>
      </c>
      <c r="AM55" s="287" t="s">
        <v>18</v>
      </c>
      <c r="AN55" s="287" t="s">
        <v>18</v>
      </c>
      <c r="AO55" s="288" t="s">
        <v>18</v>
      </c>
      <c r="AP55" s="289" t="s">
        <v>377</v>
      </c>
      <c r="AQ55" s="287" t="s">
        <v>377</v>
      </c>
      <c r="AR55" s="287" t="s">
        <v>18</v>
      </c>
      <c r="AS55" s="288" t="s">
        <v>377</v>
      </c>
      <c r="AT55" s="294" t="s">
        <v>32</v>
      </c>
      <c r="AU55" s="294" t="s">
        <v>32</v>
      </c>
      <c r="AV55" s="295" t="s">
        <v>32</v>
      </c>
      <c r="AW55" s="287" t="s">
        <v>377</v>
      </c>
      <c r="AX55" s="294" t="s">
        <v>32</v>
      </c>
      <c r="AY55" s="295" t="s">
        <v>32</v>
      </c>
      <c r="AZ55" s="294" t="s">
        <v>32</v>
      </c>
      <c r="BA55" s="294" t="s">
        <v>32</v>
      </c>
      <c r="BB55" s="295" t="s">
        <v>32</v>
      </c>
      <c r="BC55" s="296" t="s">
        <v>32</v>
      </c>
      <c r="BD55" s="292"/>
    </row>
    <row r="56" ht="12.75" customHeight="1">
      <c r="A56" s="293">
        <v>44785.6081928125</v>
      </c>
      <c r="B56" s="297" t="s">
        <v>504</v>
      </c>
      <c r="C56" s="298" t="s">
        <v>567</v>
      </c>
      <c r="D56" s="298" t="s">
        <v>16</v>
      </c>
      <c r="E56" s="285" t="s">
        <v>476</v>
      </c>
      <c r="F56" s="292" t="s">
        <v>620</v>
      </c>
      <c r="G56" s="298" t="s">
        <v>21</v>
      </c>
      <c r="H56" s="298">
        <v>12.0</v>
      </c>
      <c r="I56" s="292" t="s">
        <v>479</v>
      </c>
      <c r="J56" s="292" t="s">
        <v>588</v>
      </c>
      <c r="K56" s="287" t="s">
        <v>589</v>
      </c>
      <c r="L56" s="292" t="s">
        <v>497</v>
      </c>
      <c r="M56" s="292" t="s">
        <v>586</v>
      </c>
      <c r="N56" s="292"/>
      <c r="O56" s="292"/>
      <c r="P56" s="292"/>
      <c r="Q56" s="299" t="s">
        <v>32</v>
      </c>
      <c r="R56" s="299" t="s">
        <v>32</v>
      </c>
      <c r="S56" s="295" t="s">
        <v>32</v>
      </c>
      <c r="T56" s="299" t="s">
        <v>32</v>
      </c>
      <c r="U56" s="299" t="s">
        <v>32</v>
      </c>
      <c r="V56" s="295" t="s">
        <v>32</v>
      </c>
      <c r="W56" s="292" t="s">
        <v>377</v>
      </c>
      <c r="X56" s="299" t="s">
        <v>32</v>
      </c>
      <c r="Y56" s="295" t="s">
        <v>32</v>
      </c>
      <c r="Z56" s="299" t="s">
        <v>32</v>
      </c>
      <c r="AA56" s="299" t="s">
        <v>32</v>
      </c>
      <c r="AB56" s="295" t="s">
        <v>32</v>
      </c>
      <c r="AC56" s="296" t="s">
        <v>32</v>
      </c>
      <c r="AD56" s="292" t="s">
        <v>377</v>
      </c>
      <c r="AE56" s="299" t="s">
        <v>32</v>
      </c>
      <c r="AF56" s="295" t="s">
        <v>32</v>
      </c>
      <c r="AG56" s="299" t="s">
        <v>32</v>
      </c>
      <c r="AH56" s="292" t="s">
        <v>377</v>
      </c>
      <c r="AI56" s="295" t="s">
        <v>32</v>
      </c>
      <c r="AJ56" s="299" t="s">
        <v>32</v>
      </c>
      <c r="AK56" s="292" t="s">
        <v>377</v>
      </c>
      <c r="AL56" s="295" t="s">
        <v>32</v>
      </c>
      <c r="AM56" s="292" t="s">
        <v>377</v>
      </c>
      <c r="AN56" s="292" t="s">
        <v>377</v>
      </c>
      <c r="AO56" s="288" t="s">
        <v>377</v>
      </c>
      <c r="AP56" s="289" t="s">
        <v>377</v>
      </c>
      <c r="AQ56" s="299" t="s">
        <v>32</v>
      </c>
      <c r="AR56" s="299" t="s">
        <v>32</v>
      </c>
      <c r="AS56" s="295" t="s">
        <v>32</v>
      </c>
      <c r="AT56" s="299" t="s">
        <v>32</v>
      </c>
      <c r="AU56" s="299" t="s">
        <v>32</v>
      </c>
      <c r="AV56" s="295" t="s">
        <v>32</v>
      </c>
      <c r="AW56" s="292" t="s">
        <v>377</v>
      </c>
      <c r="AX56" s="292" t="s">
        <v>377</v>
      </c>
      <c r="AY56" s="288" t="s">
        <v>377</v>
      </c>
      <c r="AZ56" s="299" t="s">
        <v>32</v>
      </c>
      <c r="BA56" s="299" t="s">
        <v>32</v>
      </c>
      <c r="BB56" s="295" t="s">
        <v>32</v>
      </c>
      <c r="BC56" s="296" t="s">
        <v>32</v>
      </c>
      <c r="BD56" s="292"/>
    </row>
    <row r="57" ht="12.75" customHeight="1">
      <c r="A57" s="293">
        <v>45259.552672708334</v>
      </c>
      <c r="B57" s="286" t="s">
        <v>525</v>
      </c>
      <c r="C57" s="287" t="s">
        <v>559</v>
      </c>
      <c r="D57" s="285" t="s">
        <v>16</v>
      </c>
      <c r="E57" s="285" t="s">
        <v>476</v>
      </c>
      <c r="F57" s="287" t="s">
        <v>621</v>
      </c>
      <c r="G57" s="285" t="s">
        <v>21</v>
      </c>
      <c r="H57" s="285">
        <v>13.0</v>
      </c>
      <c r="I57" s="287" t="s">
        <v>479</v>
      </c>
      <c r="J57" s="287" t="s">
        <v>594</v>
      </c>
      <c r="K57" s="287" t="s">
        <v>589</v>
      </c>
      <c r="L57" s="287" t="s">
        <v>479</v>
      </c>
      <c r="M57" s="287" t="s">
        <v>483</v>
      </c>
      <c r="N57" s="287" t="s">
        <v>483</v>
      </c>
      <c r="O57" s="287"/>
      <c r="P57" s="287"/>
      <c r="Q57" s="294" t="s">
        <v>32</v>
      </c>
      <c r="R57" s="294" t="s">
        <v>32</v>
      </c>
      <c r="S57" s="295" t="s">
        <v>32</v>
      </c>
      <c r="T57" s="294" t="s">
        <v>32</v>
      </c>
      <c r="U57" s="294" t="s">
        <v>32</v>
      </c>
      <c r="V57" s="295" t="s">
        <v>32</v>
      </c>
      <c r="W57" s="287" t="s">
        <v>377</v>
      </c>
      <c r="X57" s="294" t="s">
        <v>32</v>
      </c>
      <c r="Y57" s="295" t="s">
        <v>32</v>
      </c>
      <c r="Z57" s="294" t="s">
        <v>32</v>
      </c>
      <c r="AA57" s="294" t="s">
        <v>32</v>
      </c>
      <c r="AB57" s="295" t="s">
        <v>32</v>
      </c>
      <c r="AC57" s="296" t="s">
        <v>32</v>
      </c>
      <c r="AD57" s="294" t="s">
        <v>32</v>
      </c>
      <c r="AE57" s="294" t="s">
        <v>32</v>
      </c>
      <c r="AF57" s="295" t="s">
        <v>32</v>
      </c>
      <c r="AG57" s="287" t="s">
        <v>377</v>
      </c>
      <c r="AH57" s="287" t="s">
        <v>377</v>
      </c>
      <c r="AI57" s="288" t="s">
        <v>377</v>
      </c>
      <c r="AJ57" s="294" t="s">
        <v>32</v>
      </c>
      <c r="AK57" s="294" t="s">
        <v>32</v>
      </c>
      <c r="AL57" s="295" t="s">
        <v>32</v>
      </c>
      <c r="AM57" s="287" t="s">
        <v>377</v>
      </c>
      <c r="AN57" s="287" t="s">
        <v>377</v>
      </c>
      <c r="AO57" s="288" t="s">
        <v>377</v>
      </c>
      <c r="AP57" s="296" t="s">
        <v>32</v>
      </c>
      <c r="AQ57" s="294" t="s">
        <v>32</v>
      </c>
      <c r="AR57" s="287" t="s">
        <v>377</v>
      </c>
      <c r="AS57" s="295" t="s">
        <v>32</v>
      </c>
      <c r="AT57" s="294" t="s">
        <v>32</v>
      </c>
      <c r="AU57" s="287" t="s">
        <v>377</v>
      </c>
      <c r="AV57" s="295" t="s">
        <v>32</v>
      </c>
      <c r="AW57" s="294" t="s">
        <v>32</v>
      </c>
      <c r="AX57" s="294" t="s">
        <v>32</v>
      </c>
      <c r="AY57" s="295" t="s">
        <v>32</v>
      </c>
      <c r="AZ57" s="294" t="s">
        <v>32</v>
      </c>
      <c r="BA57" s="294" t="s">
        <v>32</v>
      </c>
      <c r="BB57" s="295" t="s">
        <v>32</v>
      </c>
      <c r="BC57" s="289" t="s">
        <v>377</v>
      </c>
      <c r="BD57" s="292"/>
    </row>
    <row r="58" ht="12.75" customHeight="1">
      <c r="A58" s="293">
        <v>45259.623023645836</v>
      </c>
      <c r="B58" s="286" t="s">
        <v>525</v>
      </c>
      <c r="C58" s="287" t="s">
        <v>559</v>
      </c>
      <c r="D58" s="285" t="s">
        <v>16</v>
      </c>
      <c r="E58" s="285" t="s">
        <v>476</v>
      </c>
      <c r="F58" s="287" t="s">
        <v>622</v>
      </c>
      <c r="G58" s="285" t="s">
        <v>21</v>
      </c>
      <c r="H58" s="285">
        <v>11.0</v>
      </c>
      <c r="I58" s="287" t="s">
        <v>479</v>
      </c>
      <c r="J58" s="287" t="s">
        <v>623</v>
      </c>
      <c r="K58" s="287" t="s">
        <v>589</v>
      </c>
      <c r="L58" s="287" t="s">
        <v>479</v>
      </c>
      <c r="M58" s="287" t="s">
        <v>481</v>
      </c>
      <c r="N58" s="287" t="s">
        <v>561</v>
      </c>
      <c r="O58" s="287"/>
      <c r="P58" s="287"/>
      <c r="Q58" s="287" t="s">
        <v>18</v>
      </c>
      <c r="R58" s="287" t="s">
        <v>18</v>
      </c>
      <c r="S58" s="288" t="s">
        <v>18</v>
      </c>
      <c r="T58" s="294" t="s">
        <v>32</v>
      </c>
      <c r="U58" s="287" t="s">
        <v>377</v>
      </c>
      <c r="V58" s="295" t="s">
        <v>32</v>
      </c>
      <c r="W58" s="294" t="s">
        <v>32</v>
      </c>
      <c r="X58" s="294" t="s">
        <v>32</v>
      </c>
      <c r="Y58" s="295" t="s">
        <v>32</v>
      </c>
      <c r="Z58" s="287" t="s">
        <v>377</v>
      </c>
      <c r="AA58" s="287" t="s">
        <v>18</v>
      </c>
      <c r="AB58" s="288" t="s">
        <v>377</v>
      </c>
      <c r="AC58" s="289" t="s">
        <v>377</v>
      </c>
      <c r="AD58" s="287" t="s">
        <v>377</v>
      </c>
      <c r="AE58" s="287" t="s">
        <v>377</v>
      </c>
      <c r="AF58" s="288" t="s">
        <v>377</v>
      </c>
      <c r="AG58" s="287" t="s">
        <v>377</v>
      </c>
      <c r="AH58" s="294" t="s">
        <v>32</v>
      </c>
      <c r="AI58" s="295" t="s">
        <v>32</v>
      </c>
      <c r="AJ58" s="287" t="s">
        <v>377</v>
      </c>
      <c r="AK58" s="287" t="s">
        <v>18</v>
      </c>
      <c r="AL58" s="288" t="s">
        <v>377</v>
      </c>
      <c r="AM58" s="287" t="s">
        <v>18</v>
      </c>
      <c r="AN58" s="287" t="s">
        <v>377</v>
      </c>
      <c r="AO58" s="288" t="s">
        <v>377</v>
      </c>
      <c r="AP58" s="289" t="s">
        <v>377</v>
      </c>
      <c r="AQ58" s="287" t="s">
        <v>18</v>
      </c>
      <c r="AR58" s="287" t="s">
        <v>18</v>
      </c>
      <c r="AS58" s="288" t="s">
        <v>18</v>
      </c>
      <c r="AT58" s="294" t="s">
        <v>32</v>
      </c>
      <c r="AU58" s="287" t="s">
        <v>377</v>
      </c>
      <c r="AV58" s="295" t="s">
        <v>32</v>
      </c>
      <c r="AW58" s="287" t="s">
        <v>377</v>
      </c>
      <c r="AX58" s="287" t="s">
        <v>377</v>
      </c>
      <c r="AY58" s="288" t="s">
        <v>377</v>
      </c>
      <c r="AZ58" s="287" t="s">
        <v>377</v>
      </c>
      <c r="BA58" s="287" t="s">
        <v>377</v>
      </c>
      <c r="BB58" s="288" t="s">
        <v>18</v>
      </c>
      <c r="BC58" s="289" t="s">
        <v>377</v>
      </c>
      <c r="BD58" s="292"/>
    </row>
    <row r="59" ht="12.75" customHeight="1">
      <c r="A59" s="293">
        <v>45259.65150947917</v>
      </c>
      <c r="B59" s="286" t="s">
        <v>525</v>
      </c>
      <c r="C59" s="285" t="s">
        <v>559</v>
      </c>
      <c r="D59" s="285" t="s">
        <v>16</v>
      </c>
      <c r="E59" s="285" t="s">
        <v>577</v>
      </c>
      <c r="F59" s="287" t="s">
        <v>624</v>
      </c>
      <c r="G59" s="285" t="s">
        <v>17</v>
      </c>
      <c r="H59" s="285">
        <v>15.0</v>
      </c>
      <c r="I59" s="287" t="s">
        <v>479</v>
      </c>
      <c r="J59" s="287" t="s">
        <v>592</v>
      </c>
      <c r="K59" s="287" t="s">
        <v>589</v>
      </c>
      <c r="L59" s="287" t="s">
        <v>479</v>
      </c>
      <c r="M59" s="287" t="s">
        <v>495</v>
      </c>
      <c r="N59" s="287" t="s">
        <v>625</v>
      </c>
      <c r="O59" s="285" t="s">
        <v>497</v>
      </c>
      <c r="P59" s="292"/>
      <c r="Q59" s="294" t="s">
        <v>32</v>
      </c>
      <c r="R59" s="294" t="s">
        <v>32</v>
      </c>
      <c r="S59" s="295" t="s">
        <v>32</v>
      </c>
      <c r="T59" s="294" t="s">
        <v>32</v>
      </c>
      <c r="U59" s="294" t="s">
        <v>32</v>
      </c>
      <c r="V59" s="295" t="s">
        <v>32</v>
      </c>
      <c r="W59" s="294" t="s">
        <v>32</v>
      </c>
      <c r="X59" s="287" t="s">
        <v>377</v>
      </c>
      <c r="Y59" s="295" t="s">
        <v>32</v>
      </c>
      <c r="Z59" s="294" t="s">
        <v>32</v>
      </c>
      <c r="AA59" s="287" t="s">
        <v>377</v>
      </c>
      <c r="AB59" s="295" t="s">
        <v>32</v>
      </c>
      <c r="AC59" s="296" t="s">
        <v>32</v>
      </c>
      <c r="AD59" s="294" t="s">
        <v>32</v>
      </c>
      <c r="AE59" s="294" t="s">
        <v>32</v>
      </c>
      <c r="AF59" s="295" t="s">
        <v>32</v>
      </c>
      <c r="AG59" s="287" t="s">
        <v>377</v>
      </c>
      <c r="AH59" s="294" t="s">
        <v>32</v>
      </c>
      <c r="AI59" s="295" t="s">
        <v>32</v>
      </c>
      <c r="AJ59" s="287" t="s">
        <v>377</v>
      </c>
      <c r="AK59" s="287" t="s">
        <v>377</v>
      </c>
      <c r="AL59" s="288" t="s">
        <v>377</v>
      </c>
      <c r="AM59" s="287" t="s">
        <v>377</v>
      </c>
      <c r="AN59" s="287" t="s">
        <v>377</v>
      </c>
      <c r="AO59" s="288" t="s">
        <v>377</v>
      </c>
      <c r="AP59" s="289" t="s">
        <v>377</v>
      </c>
      <c r="AQ59" s="294" t="s">
        <v>32</v>
      </c>
      <c r="AR59" s="294" t="s">
        <v>32</v>
      </c>
      <c r="AS59" s="295" t="s">
        <v>32</v>
      </c>
      <c r="AT59" s="294" t="s">
        <v>32</v>
      </c>
      <c r="AU59" s="294" t="s">
        <v>32</v>
      </c>
      <c r="AV59" s="295" t="s">
        <v>32</v>
      </c>
      <c r="AW59" s="294" t="s">
        <v>32</v>
      </c>
      <c r="AX59" s="294" t="s">
        <v>32</v>
      </c>
      <c r="AY59" s="295" t="s">
        <v>32</v>
      </c>
      <c r="AZ59" s="294" t="s">
        <v>32</v>
      </c>
      <c r="BA59" s="294" t="s">
        <v>32</v>
      </c>
      <c r="BB59" s="288" t="s">
        <v>377</v>
      </c>
      <c r="BC59" s="289" t="s">
        <v>377</v>
      </c>
      <c r="BD59" s="292"/>
    </row>
    <row r="60" ht="12.75" customHeight="1">
      <c r="A60" s="293">
        <v>45259.70443715277</v>
      </c>
      <c r="B60" s="286" t="s">
        <v>525</v>
      </c>
      <c r="C60" s="285" t="s">
        <v>559</v>
      </c>
      <c r="D60" s="285" t="s">
        <v>16</v>
      </c>
      <c r="E60" s="285" t="s">
        <v>577</v>
      </c>
      <c r="F60" s="287" t="s">
        <v>626</v>
      </c>
      <c r="G60" s="285" t="s">
        <v>21</v>
      </c>
      <c r="H60" s="285">
        <v>15.0</v>
      </c>
      <c r="I60" s="287" t="s">
        <v>479</v>
      </c>
      <c r="J60" s="287" t="s">
        <v>588</v>
      </c>
      <c r="K60" s="287" t="s">
        <v>589</v>
      </c>
      <c r="L60" s="287" t="s">
        <v>479</v>
      </c>
      <c r="M60" s="287" t="s">
        <v>500</v>
      </c>
      <c r="N60" s="287" t="s">
        <v>500</v>
      </c>
      <c r="O60" s="285" t="s">
        <v>479</v>
      </c>
      <c r="P60" s="287" t="s">
        <v>627</v>
      </c>
      <c r="Q60" s="294" t="s">
        <v>32</v>
      </c>
      <c r="R60" s="294" t="s">
        <v>32</v>
      </c>
      <c r="S60" s="295" t="s">
        <v>32</v>
      </c>
      <c r="T60" s="287" t="s">
        <v>377</v>
      </c>
      <c r="U60" s="287" t="s">
        <v>377</v>
      </c>
      <c r="V60" s="288" t="s">
        <v>377</v>
      </c>
      <c r="W60" s="294" t="s">
        <v>32</v>
      </c>
      <c r="X60" s="287" t="s">
        <v>377</v>
      </c>
      <c r="Y60" s="295" t="s">
        <v>32</v>
      </c>
      <c r="Z60" s="294" t="s">
        <v>32</v>
      </c>
      <c r="AA60" s="294" t="s">
        <v>32</v>
      </c>
      <c r="AB60" s="295" t="s">
        <v>32</v>
      </c>
      <c r="AC60" s="296" t="s">
        <v>32</v>
      </c>
      <c r="AD60" s="287" t="s">
        <v>377</v>
      </c>
      <c r="AE60" s="287" t="s">
        <v>377</v>
      </c>
      <c r="AF60" s="288" t="s">
        <v>377</v>
      </c>
      <c r="AG60" s="287" t="s">
        <v>377</v>
      </c>
      <c r="AH60" s="287" t="s">
        <v>377</v>
      </c>
      <c r="AI60" s="288" t="s">
        <v>377</v>
      </c>
      <c r="AJ60" s="294" t="s">
        <v>32</v>
      </c>
      <c r="AK60" s="287" t="s">
        <v>377</v>
      </c>
      <c r="AL60" s="295" t="s">
        <v>32</v>
      </c>
      <c r="AM60" s="287" t="s">
        <v>377</v>
      </c>
      <c r="AN60" s="287" t="s">
        <v>377</v>
      </c>
      <c r="AO60" s="288" t="s">
        <v>377</v>
      </c>
      <c r="AP60" s="289" t="s">
        <v>377</v>
      </c>
      <c r="AQ60" s="287" t="s">
        <v>377</v>
      </c>
      <c r="AR60" s="287" t="s">
        <v>377</v>
      </c>
      <c r="AS60" s="288" t="s">
        <v>377</v>
      </c>
      <c r="AT60" s="287" t="s">
        <v>377</v>
      </c>
      <c r="AU60" s="287" t="s">
        <v>18</v>
      </c>
      <c r="AV60" s="288" t="s">
        <v>377</v>
      </c>
      <c r="AW60" s="287" t="s">
        <v>377</v>
      </c>
      <c r="AX60" s="287" t="s">
        <v>377</v>
      </c>
      <c r="AY60" s="288" t="s">
        <v>377</v>
      </c>
      <c r="AZ60" s="294" t="s">
        <v>32</v>
      </c>
      <c r="BA60" s="294" t="s">
        <v>32</v>
      </c>
      <c r="BB60" s="295" t="s">
        <v>32</v>
      </c>
      <c r="BC60" s="296" t="s">
        <v>32</v>
      </c>
      <c r="BD60" s="292"/>
    </row>
    <row r="61" ht="12.75" customHeight="1">
      <c r="A61" s="298">
        <v>11.0</v>
      </c>
      <c r="B61" s="297" t="s">
        <v>525</v>
      </c>
      <c r="C61" s="298" t="s">
        <v>567</v>
      </c>
      <c r="D61" s="298" t="s">
        <v>16</v>
      </c>
      <c r="E61" s="285" t="s">
        <v>577</v>
      </c>
      <c r="F61" s="292" t="s">
        <v>628</v>
      </c>
      <c r="G61" s="298" t="s">
        <v>17</v>
      </c>
      <c r="H61" s="298">
        <v>15.0</v>
      </c>
      <c r="I61" s="292" t="s">
        <v>479</v>
      </c>
      <c r="J61" s="292" t="s">
        <v>588</v>
      </c>
      <c r="K61" s="287" t="s">
        <v>589</v>
      </c>
      <c r="L61" s="292" t="s">
        <v>479</v>
      </c>
      <c r="M61" s="292" t="s">
        <v>495</v>
      </c>
      <c r="N61" s="292"/>
      <c r="O61" s="298" t="s">
        <v>479</v>
      </c>
      <c r="P61" s="292" t="s">
        <v>629</v>
      </c>
      <c r="Q61" s="299" t="s">
        <v>32</v>
      </c>
      <c r="R61" s="299" t="s">
        <v>32</v>
      </c>
      <c r="S61" s="295" t="s">
        <v>32</v>
      </c>
      <c r="T61" s="299" t="s">
        <v>32</v>
      </c>
      <c r="U61" s="299" t="s">
        <v>32</v>
      </c>
      <c r="V61" s="295" t="s">
        <v>32</v>
      </c>
      <c r="W61" s="299" t="s">
        <v>32</v>
      </c>
      <c r="X61" s="299" t="s">
        <v>32</v>
      </c>
      <c r="Y61" s="295" t="s">
        <v>32</v>
      </c>
      <c r="Z61" s="299" t="s">
        <v>32</v>
      </c>
      <c r="AA61" s="299" t="s">
        <v>32</v>
      </c>
      <c r="AB61" s="295" t="s">
        <v>32</v>
      </c>
      <c r="AC61" s="296" t="s">
        <v>32</v>
      </c>
      <c r="AD61" s="299" t="s">
        <v>32</v>
      </c>
      <c r="AE61" s="299" t="s">
        <v>32</v>
      </c>
      <c r="AF61" s="295" t="s">
        <v>32</v>
      </c>
      <c r="AG61" s="299" t="s">
        <v>32</v>
      </c>
      <c r="AH61" s="299" t="s">
        <v>32</v>
      </c>
      <c r="AI61" s="295" t="s">
        <v>32</v>
      </c>
      <c r="AJ61" s="299" t="s">
        <v>32</v>
      </c>
      <c r="AK61" s="299" t="s">
        <v>32</v>
      </c>
      <c r="AL61" s="295" t="s">
        <v>32</v>
      </c>
      <c r="AM61" s="292" t="s">
        <v>377</v>
      </c>
      <c r="AN61" s="299" t="s">
        <v>32</v>
      </c>
      <c r="AO61" s="295" t="s">
        <v>32</v>
      </c>
      <c r="AP61" s="296" t="s">
        <v>32</v>
      </c>
      <c r="AQ61" s="299" t="s">
        <v>32</v>
      </c>
      <c r="AR61" s="299" t="s">
        <v>32</v>
      </c>
      <c r="AS61" s="295" t="s">
        <v>32</v>
      </c>
      <c r="AT61" s="299" t="s">
        <v>32</v>
      </c>
      <c r="AU61" s="292" t="s">
        <v>377</v>
      </c>
      <c r="AV61" s="295" t="s">
        <v>32</v>
      </c>
      <c r="AW61" s="299" t="s">
        <v>32</v>
      </c>
      <c r="AX61" s="299" t="s">
        <v>32</v>
      </c>
      <c r="AY61" s="295" t="s">
        <v>32</v>
      </c>
      <c r="AZ61" s="292" t="s">
        <v>377</v>
      </c>
      <c r="BA61" s="299" t="s">
        <v>32</v>
      </c>
      <c r="BB61" s="295" t="s">
        <v>32</v>
      </c>
      <c r="BC61" s="289" t="s">
        <v>377</v>
      </c>
      <c r="BD61" s="292"/>
    </row>
    <row r="62" ht="12.75" customHeight="1">
      <c r="A62" s="293">
        <v>45257.373448750004</v>
      </c>
      <c r="B62" s="286" t="s">
        <v>375</v>
      </c>
      <c r="C62" s="287" t="s">
        <v>559</v>
      </c>
      <c r="D62" s="285" t="s">
        <v>16</v>
      </c>
      <c r="E62" s="285" t="s">
        <v>476</v>
      </c>
      <c r="F62" s="287" t="s">
        <v>630</v>
      </c>
      <c r="G62" s="285" t="s">
        <v>17</v>
      </c>
      <c r="H62" s="285">
        <v>12.0</v>
      </c>
      <c r="I62" s="287" t="s">
        <v>479</v>
      </c>
      <c r="J62" s="287" t="s">
        <v>494</v>
      </c>
      <c r="K62" s="287" t="s">
        <v>494</v>
      </c>
      <c r="L62" s="287" t="s">
        <v>497</v>
      </c>
      <c r="M62" s="292"/>
      <c r="N62" s="292"/>
      <c r="O62" s="292"/>
      <c r="P62" s="292"/>
      <c r="Q62" s="287" t="s">
        <v>377</v>
      </c>
      <c r="R62" s="294" t="s">
        <v>32</v>
      </c>
      <c r="S62" s="295" t="s">
        <v>32</v>
      </c>
      <c r="T62" s="287" t="s">
        <v>18</v>
      </c>
      <c r="U62" s="294" t="s">
        <v>32</v>
      </c>
      <c r="V62" s="288" t="s">
        <v>377</v>
      </c>
      <c r="W62" s="287" t="s">
        <v>18</v>
      </c>
      <c r="X62" s="287" t="s">
        <v>18</v>
      </c>
      <c r="Y62" s="288" t="s">
        <v>18</v>
      </c>
      <c r="Z62" s="294" t="s">
        <v>32</v>
      </c>
      <c r="AA62" s="287" t="s">
        <v>18</v>
      </c>
      <c r="AB62" s="288" t="s">
        <v>377</v>
      </c>
      <c r="AC62" s="289" t="s">
        <v>377</v>
      </c>
      <c r="AD62" s="287" t="s">
        <v>377</v>
      </c>
      <c r="AE62" s="287" t="s">
        <v>377</v>
      </c>
      <c r="AF62" s="288" t="s">
        <v>377</v>
      </c>
      <c r="AG62" s="287" t="s">
        <v>377</v>
      </c>
      <c r="AH62" s="287" t="s">
        <v>377</v>
      </c>
      <c r="AI62" s="288" t="s">
        <v>377</v>
      </c>
      <c r="AJ62" s="287" t="s">
        <v>377</v>
      </c>
      <c r="AK62" s="287" t="s">
        <v>377</v>
      </c>
      <c r="AL62" s="288" t="s">
        <v>377</v>
      </c>
      <c r="AM62" s="287" t="s">
        <v>377</v>
      </c>
      <c r="AN62" s="287" t="s">
        <v>18</v>
      </c>
      <c r="AO62" s="288" t="s">
        <v>377</v>
      </c>
      <c r="AP62" s="289" t="s">
        <v>377</v>
      </c>
      <c r="AQ62" s="287" t="s">
        <v>377</v>
      </c>
      <c r="AR62" s="287" t="s">
        <v>377</v>
      </c>
      <c r="AS62" s="288" t="s">
        <v>377</v>
      </c>
      <c r="AT62" s="294" t="s">
        <v>32</v>
      </c>
      <c r="AU62" s="294" t="s">
        <v>32</v>
      </c>
      <c r="AV62" s="295" t="s">
        <v>32</v>
      </c>
      <c r="AW62" s="287" t="s">
        <v>377</v>
      </c>
      <c r="AX62" s="287" t="s">
        <v>377</v>
      </c>
      <c r="AY62" s="288" t="s">
        <v>377</v>
      </c>
      <c r="AZ62" s="294" t="s">
        <v>32</v>
      </c>
      <c r="BA62" s="287" t="s">
        <v>377</v>
      </c>
      <c r="BB62" s="295" t="s">
        <v>32</v>
      </c>
      <c r="BC62" s="289" t="s">
        <v>377</v>
      </c>
      <c r="BD62" s="292"/>
    </row>
    <row r="63" ht="12.75" customHeight="1">
      <c r="A63" s="293">
        <v>45257.422416875</v>
      </c>
      <c r="B63" s="286" t="s">
        <v>375</v>
      </c>
      <c r="C63" s="287" t="s">
        <v>559</v>
      </c>
      <c r="D63" s="285" t="s">
        <v>16</v>
      </c>
      <c r="E63" s="285" t="s">
        <v>476</v>
      </c>
      <c r="F63" s="287" t="s">
        <v>631</v>
      </c>
      <c r="G63" s="285" t="s">
        <v>17</v>
      </c>
      <c r="H63" s="285">
        <v>11.0</v>
      </c>
      <c r="I63" s="287" t="s">
        <v>479</v>
      </c>
      <c r="J63" s="287" t="s">
        <v>494</v>
      </c>
      <c r="K63" s="287" t="s">
        <v>494</v>
      </c>
      <c r="L63" s="287" t="s">
        <v>479</v>
      </c>
      <c r="M63" s="287" t="s">
        <v>481</v>
      </c>
      <c r="N63" s="287" t="s">
        <v>561</v>
      </c>
      <c r="O63" s="287"/>
      <c r="P63" s="287"/>
      <c r="Q63" s="294" t="s">
        <v>32</v>
      </c>
      <c r="R63" s="287" t="s">
        <v>377</v>
      </c>
      <c r="S63" s="295" t="s">
        <v>32</v>
      </c>
      <c r="T63" s="294" t="s">
        <v>32</v>
      </c>
      <c r="U63" s="294" t="s">
        <v>32</v>
      </c>
      <c r="V63" s="295" t="s">
        <v>32</v>
      </c>
      <c r="W63" s="294" t="s">
        <v>32</v>
      </c>
      <c r="X63" s="294" t="s">
        <v>32</v>
      </c>
      <c r="Y63" s="295" t="s">
        <v>32</v>
      </c>
      <c r="Z63" s="294" t="s">
        <v>32</v>
      </c>
      <c r="AA63" s="287" t="s">
        <v>18</v>
      </c>
      <c r="AB63" s="288" t="s">
        <v>377</v>
      </c>
      <c r="AC63" s="296" t="s">
        <v>32</v>
      </c>
      <c r="AD63" s="294" t="s">
        <v>32</v>
      </c>
      <c r="AE63" s="294" t="s">
        <v>32</v>
      </c>
      <c r="AF63" s="295" t="s">
        <v>32</v>
      </c>
      <c r="AG63" s="287" t="s">
        <v>377</v>
      </c>
      <c r="AH63" s="287" t="s">
        <v>377</v>
      </c>
      <c r="AI63" s="288" t="s">
        <v>377</v>
      </c>
      <c r="AJ63" s="294" t="s">
        <v>32</v>
      </c>
      <c r="AK63" s="287" t="s">
        <v>18</v>
      </c>
      <c r="AL63" s="288" t="s">
        <v>377</v>
      </c>
      <c r="AM63" s="287" t="s">
        <v>18</v>
      </c>
      <c r="AN63" s="287" t="s">
        <v>377</v>
      </c>
      <c r="AO63" s="288" t="s">
        <v>377</v>
      </c>
      <c r="AP63" s="289" t="s">
        <v>377</v>
      </c>
      <c r="AQ63" s="287" t="s">
        <v>18</v>
      </c>
      <c r="AR63" s="287" t="s">
        <v>377</v>
      </c>
      <c r="AS63" s="288" t="s">
        <v>377</v>
      </c>
      <c r="AT63" s="294" t="s">
        <v>32</v>
      </c>
      <c r="AU63" s="294" t="s">
        <v>32</v>
      </c>
      <c r="AV63" s="295" t="s">
        <v>32</v>
      </c>
      <c r="AW63" s="287" t="s">
        <v>18</v>
      </c>
      <c r="AX63" s="294" t="s">
        <v>32</v>
      </c>
      <c r="AY63" s="288" t="s">
        <v>377</v>
      </c>
      <c r="AZ63" s="287" t="s">
        <v>18</v>
      </c>
      <c r="BA63" s="287" t="s">
        <v>377</v>
      </c>
      <c r="BB63" s="295" t="s">
        <v>32</v>
      </c>
      <c r="BC63" s="296" t="s">
        <v>32</v>
      </c>
      <c r="BD63" s="292"/>
    </row>
    <row r="64" ht="12.75" customHeight="1">
      <c r="A64" s="293">
        <v>44797.902888055556</v>
      </c>
      <c r="B64" s="297" t="s">
        <v>375</v>
      </c>
      <c r="C64" s="298" t="s">
        <v>567</v>
      </c>
      <c r="D64" s="298" t="s">
        <v>16</v>
      </c>
      <c r="E64" s="285" t="s">
        <v>476</v>
      </c>
      <c r="F64" s="292" t="s">
        <v>632</v>
      </c>
      <c r="G64" s="298" t="s">
        <v>21</v>
      </c>
      <c r="H64" s="298">
        <v>12.0</v>
      </c>
      <c r="I64" s="292" t="s">
        <v>479</v>
      </c>
      <c r="J64" s="292" t="s">
        <v>494</v>
      </c>
      <c r="K64" s="287" t="s">
        <v>494</v>
      </c>
      <c r="L64" s="292" t="s">
        <v>479</v>
      </c>
      <c r="M64" s="292" t="s">
        <v>483</v>
      </c>
      <c r="N64" s="292"/>
      <c r="O64" s="292"/>
      <c r="P64" s="292"/>
      <c r="Q64" s="299" t="s">
        <v>32</v>
      </c>
      <c r="R64" s="292" t="s">
        <v>377</v>
      </c>
      <c r="S64" s="295" t="s">
        <v>32</v>
      </c>
      <c r="T64" s="299" t="s">
        <v>32</v>
      </c>
      <c r="U64" s="299" t="s">
        <v>32</v>
      </c>
      <c r="V64" s="295" t="s">
        <v>32</v>
      </c>
      <c r="W64" s="292" t="s">
        <v>18</v>
      </c>
      <c r="X64" s="299" t="s">
        <v>32</v>
      </c>
      <c r="Y64" s="288" t="s">
        <v>377</v>
      </c>
      <c r="Z64" s="292" t="s">
        <v>18</v>
      </c>
      <c r="AA64" s="299" t="s">
        <v>32</v>
      </c>
      <c r="AB64" s="288" t="s">
        <v>377</v>
      </c>
      <c r="AC64" s="289" t="s">
        <v>377</v>
      </c>
      <c r="AD64" s="299" t="s">
        <v>32</v>
      </c>
      <c r="AE64" s="292" t="s">
        <v>18</v>
      </c>
      <c r="AF64" s="288" t="s">
        <v>377</v>
      </c>
      <c r="AG64" s="292" t="s">
        <v>18</v>
      </c>
      <c r="AH64" s="299" t="s">
        <v>32</v>
      </c>
      <c r="AI64" s="288" t="s">
        <v>377</v>
      </c>
      <c r="AJ64" s="299" t="s">
        <v>32</v>
      </c>
      <c r="AK64" s="299" t="s">
        <v>32</v>
      </c>
      <c r="AL64" s="295" t="s">
        <v>32</v>
      </c>
      <c r="AM64" s="292" t="s">
        <v>18</v>
      </c>
      <c r="AN64" s="292" t="s">
        <v>18</v>
      </c>
      <c r="AO64" s="288" t="s">
        <v>18</v>
      </c>
      <c r="AP64" s="289" t="s">
        <v>377</v>
      </c>
      <c r="AQ64" s="299" t="s">
        <v>32</v>
      </c>
      <c r="AR64" s="299" t="s">
        <v>32</v>
      </c>
      <c r="AS64" s="295" t="s">
        <v>32</v>
      </c>
      <c r="AT64" s="299" t="s">
        <v>32</v>
      </c>
      <c r="AU64" s="292" t="s">
        <v>377</v>
      </c>
      <c r="AV64" s="295" t="s">
        <v>32</v>
      </c>
      <c r="AW64" s="292" t="s">
        <v>377</v>
      </c>
      <c r="AX64" s="299" t="s">
        <v>32</v>
      </c>
      <c r="AY64" s="295" t="s">
        <v>32</v>
      </c>
      <c r="AZ64" s="299" t="s">
        <v>32</v>
      </c>
      <c r="BA64" s="292" t="s">
        <v>18</v>
      </c>
      <c r="BB64" s="295" t="s">
        <v>32</v>
      </c>
      <c r="BC64" s="296" t="s">
        <v>32</v>
      </c>
      <c r="BD64" s="292"/>
    </row>
    <row r="65" ht="12.75" customHeight="1">
      <c r="A65" s="293">
        <v>45264.75624818287</v>
      </c>
      <c r="B65" s="286" t="s">
        <v>486</v>
      </c>
      <c r="C65" s="287" t="s">
        <v>559</v>
      </c>
      <c r="D65" s="285" t="s">
        <v>16</v>
      </c>
      <c r="E65" s="285" t="s">
        <v>476</v>
      </c>
      <c r="F65" s="287" t="s">
        <v>633</v>
      </c>
      <c r="G65" s="285" t="s">
        <v>21</v>
      </c>
      <c r="H65" s="285">
        <v>11.0</v>
      </c>
      <c r="I65" s="287" t="s">
        <v>479</v>
      </c>
      <c r="J65" s="287" t="s">
        <v>494</v>
      </c>
      <c r="K65" s="287" t="s">
        <v>494</v>
      </c>
      <c r="L65" s="287" t="s">
        <v>497</v>
      </c>
      <c r="M65" s="292"/>
      <c r="N65" s="292"/>
      <c r="O65" s="292"/>
      <c r="P65" s="292"/>
      <c r="Q65" s="287" t="s">
        <v>18</v>
      </c>
      <c r="R65" s="287" t="s">
        <v>377</v>
      </c>
      <c r="S65" s="288" t="s">
        <v>377</v>
      </c>
      <c r="T65" s="287" t="s">
        <v>377</v>
      </c>
      <c r="U65" s="287" t="s">
        <v>18</v>
      </c>
      <c r="V65" s="288" t="s">
        <v>377</v>
      </c>
      <c r="W65" s="294" t="s">
        <v>32</v>
      </c>
      <c r="X65" s="287" t="s">
        <v>377</v>
      </c>
      <c r="Y65" s="295" t="s">
        <v>32</v>
      </c>
      <c r="Z65" s="294" t="s">
        <v>32</v>
      </c>
      <c r="AA65" s="287" t="s">
        <v>18</v>
      </c>
      <c r="AB65" s="288" t="s">
        <v>377</v>
      </c>
      <c r="AC65" s="289" t="s">
        <v>377</v>
      </c>
      <c r="AD65" s="294" t="s">
        <v>32</v>
      </c>
      <c r="AE65" s="287" t="s">
        <v>377</v>
      </c>
      <c r="AF65" s="295" t="s">
        <v>32</v>
      </c>
      <c r="AG65" s="294" t="s">
        <v>32</v>
      </c>
      <c r="AH65" s="287" t="s">
        <v>377</v>
      </c>
      <c r="AI65" s="295" t="s">
        <v>32</v>
      </c>
      <c r="AJ65" s="294" t="s">
        <v>32</v>
      </c>
      <c r="AK65" s="294" t="s">
        <v>32</v>
      </c>
      <c r="AL65" s="295" t="s">
        <v>32</v>
      </c>
      <c r="AM65" s="287" t="s">
        <v>18</v>
      </c>
      <c r="AN65" s="287" t="s">
        <v>377</v>
      </c>
      <c r="AO65" s="288" t="s">
        <v>377</v>
      </c>
      <c r="AP65" s="289" t="s">
        <v>377</v>
      </c>
      <c r="AQ65" s="287" t="s">
        <v>18</v>
      </c>
      <c r="AR65" s="294" t="s">
        <v>32</v>
      </c>
      <c r="AS65" s="288" t="s">
        <v>377</v>
      </c>
      <c r="AT65" s="294" t="s">
        <v>32</v>
      </c>
      <c r="AU65" s="287" t="s">
        <v>377</v>
      </c>
      <c r="AV65" s="295" t="s">
        <v>32</v>
      </c>
      <c r="AW65" s="294" t="s">
        <v>32</v>
      </c>
      <c r="AX65" s="287" t="s">
        <v>377</v>
      </c>
      <c r="AY65" s="295" t="s">
        <v>32</v>
      </c>
      <c r="AZ65" s="287" t="s">
        <v>18</v>
      </c>
      <c r="BA65" s="294" t="s">
        <v>32</v>
      </c>
      <c r="BB65" s="295" t="s">
        <v>32</v>
      </c>
      <c r="BC65" s="289" t="s">
        <v>377</v>
      </c>
      <c r="BD65" s="292"/>
    </row>
    <row r="66" ht="12.75" customHeight="1">
      <c r="A66" s="293">
        <v>45266.91358113426</v>
      </c>
      <c r="B66" s="286" t="s">
        <v>486</v>
      </c>
      <c r="C66" s="287" t="s">
        <v>559</v>
      </c>
      <c r="D66" s="285" t="s">
        <v>16</v>
      </c>
      <c r="E66" s="285" t="s">
        <v>476</v>
      </c>
      <c r="F66" s="287" t="s">
        <v>634</v>
      </c>
      <c r="G66" s="285" t="s">
        <v>17</v>
      </c>
      <c r="H66" s="285">
        <v>13.0</v>
      </c>
      <c r="I66" s="287" t="s">
        <v>479</v>
      </c>
      <c r="J66" s="287" t="s">
        <v>494</v>
      </c>
      <c r="K66" s="287" t="s">
        <v>494</v>
      </c>
      <c r="L66" s="287" t="s">
        <v>479</v>
      </c>
      <c r="M66" s="287" t="s">
        <v>490</v>
      </c>
      <c r="N66" s="287" t="s">
        <v>483</v>
      </c>
      <c r="O66" s="287"/>
      <c r="P66" s="287"/>
      <c r="Q66" s="287" t="s">
        <v>18</v>
      </c>
      <c r="R66" s="287" t="s">
        <v>18</v>
      </c>
      <c r="S66" s="288" t="s">
        <v>18</v>
      </c>
      <c r="T66" s="294" t="s">
        <v>32</v>
      </c>
      <c r="U66" s="294" t="s">
        <v>32</v>
      </c>
      <c r="V66" s="295" t="s">
        <v>32</v>
      </c>
      <c r="W66" s="294" t="s">
        <v>32</v>
      </c>
      <c r="X66" s="294" t="s">
        <v>32</v>
      </c>
      <c r="Y66" s="295" t="s">
        <v>32</v>
      </c>
      <c r="Z66" s="294" t="s">
        <v>32</v>
      </c>
      <c r="AA66" s="294" t="s">
        <v>32</v>
      </c>
      <c r="AB66" s="295" t="s">
        <v>32</v>
      </c>
      <c r="AC66" s="296" t="s">
        <v>32</v>
      </c>
      <c r="AD66" s="294" t="s">
        <v>32</v>
      </c>
      <c r="AE66" s="294" t="s">
        <v>32</v>
      </c>
      <c r="AF66" s="295" t="s">
        <v>32</v>
      </c>
      <c r="AG66" s="294" t="s">
        <v>32</v>
      </c>
      <c r="AH66" s="294" t="s">
        <v>32</v>
      </c>
      <c r="AI66" s="295" t="s">
        <v>32</v>
      </c>
      <c r="AJ66" s="294" t="s">
        <v>32</v>
      </c>
      <c r="AK66" s="294" t="s">
        <v>32</v>
      </c>
      <c r="AL66" s="295" t="s">
        <v>32</v>
      </c>
      <c r="AM66" s="294" t="s">
        <v>32</v>
      </c>
      <c r="AN66" s="294" t="s">
        <v>32</v>
      </c>
      <c r="AO66" s="295" t="s">
        <v>32</v>
      </c>
      <c r="AP66" s="296" t="s">
        <v>32</v>
      </c>
      <c r="AQ66" s="294" t="s">
        <v>32</v>
      </c>
      <c r="AR66" s="294" t="s">
        <v>32</v>
      </c>
      <c r="AS66" s="295" t="s">
        <v>32</v>
      </c>
      <c r="AT66" s="294" t="s">
        <v>32</v>
      </c>
      <c r="AU66" s="294" t="s">
        <v>32</v>
      </c>
      <c r="AV66" s="295" t="s">
        <v>32</v>
      </c>
      <c r="AW66" s="294" t="s">
        <v>32</v>
      </c>
      <c r="AX66" s="294" t="s">
        <v>32</v>
      </c>
      <c r="AY66" s="295" t="s">
        <v>32</v>
      </c>
      <c r="AZ66" s="294" t="s">
        <v>32</v>
      </c>
      <c r="BA66" s="294" t="s">
        <v>32</v>
      </c>
      <c r="BB66" s="295" t="s">
        <v>32</v>
      </c>
      <c r="BC66" s="289" t="s">
        <v>377</v>
      </c>
      <c r="BD66" s="292"/>
    </row>
    <row r="67" ht="12.75" customHeight="1">
      <c r="A67" s="293">
        <v>45268.15332388889</v>
      </c>
      <c r="B67" s="286" t="s">
        <v>486</v>
      </c>
      <c r="C67" s="287" t="s">
        <v>559</v>
      </c>
      <c r="D67" s="285" t="s">
        <v>16</v>
      </c>
      <c r="E67" s="285" t="s">
        <v>476</v>
      </c>
      <c r="F67" s="287" t="s">
        <v>635</v>
      </c>
      <c r="G67" s="285" t="s">
        <v>17</v>
      </c>
      <c r="H67" s="285">
        <v>12.0</v>
      </c>
      <c r="I67" s="287" t="s">
        <v>479</v>
      </c>
      <c r="J67" s="287" t="s">
        <v>494</v>
      </c>
      <c r="K67" s="287" t="s">
        <v>494</v>
      </c>
      <c r="L67" s="287" t="s">
        <v>497</v>
      </c>
      <c r="M67" s="292"/>
      <c r="N67" s="292"/>
      <c r="O67" s="292"/>
      <c r="P67" s="292"/>
      <c r="Q67" s="294" t="s">
        <v>32</v>
      </c>
      <c r="R67" s="294" t="s">
        <v>32</v>
      </c>
      <c r="S67" s="295" t="s">
        <v>32</v>
      </c>
      <c r="T67" s="287" t="s">
        <v>377</v>
      </c>
      <c r="U67" s="294" t="s">
        <v>32</v>
      </c>
      <c r="V67" s="295" t="s">
        <v>32</v>
      </c>
      <c r="W67" s="287" t="s">
        <v>377</v>
      </c>
      <c r="X67" s="287" t="s">
        <v>377</v>
      </c>
      <c r="Y67" s="288" t="s">
        <v>377</v>
      </c>
      <c r="Z67" s="294" t="s">
        <v>32</v>
      </c>
      <c r="AA67" s="294" t="s">
        <v>32</v>
      </c>
      <c r="AB67" s="295" t="s">
        <v>32</v>
      </c>
      <c r="AC67" s="296" t="s">
        <v>32</v>
      </c>
      <c r="AD67" s="287" t="s">
        <v>377</v>
      </c>
      <c r="AE67" s="294" t="s">
        <v>32</v>
      </c>
      <c r="AF67" s="295" t="s">
        <v>32</v>
      </c>
      <c r="AG67" s="287" t="s">
        <v>377</v>
      </c>
      <c r="AH67" s="294" t="s">
        <v>32</v>
      </c>
      <c r="AI67" s="295" t="s">
        <v>32</v>
      </c>
      <c r="AJ67" s="294" t="s">
        <v>32</v>
      </c>
      <c r="AK67" s="294" t="s">
        <v>32</v>
      </c>
      <c r="AL67" s="295" t="s">
        <v>32</v>
      </c>
      <c r="AM67" s="294" t="s">
        <v>32</v>
      </c>
      <c r="AN67" s="287" t="s">
        <v>377</v>
      </c>
      <c r="AO67" s="295" t="s">
        <v>32</v>
      </c>
      <c r="AP67" s="296" t="s">
        <v>32</v>
      </c>
      <c r="AQ67" s="294" t="s">
        <v>32</v>
      </c>
      <c r="AR67" s="287" t="s">
        <v>377</v>
      </c>
      <c r="AS67" s="295" t="s">
        <v>32</v>
      </c>
      <c r="AT67" s="294" t="s">
        <v>32</v>
      </c>
      <c r="AU67" s="294" t="s">
        <v>32</v>
      </c>
      <c r="AV67" s="295" t="s">
        <v>32</v>
      </c>
      <c r="AW67" s="294" t="s">
        <v>32</v>
      </c>
      <c r="AX67" s="287" t="s">
        <v>377</v>
      </c>
      <c r="AY67" s="295" t="s">
        <v>32</v>
      </c>
      <c r="AZ67" s="294" t="s">
        <v>32</v>
      </c>
      <c r="BA67" s="287" t="s">
        <v>377</v>
      </c>
      <c r="BB67" s="288" t="s">
        <v>377</v>
      </c>
      <c r="BC67" s="289" t="s">
        <v>377</v>
      </c>
      <c r="BD67" s="292"/>
    </row>
    <row r="68" ht="12.75" customHeight="1">
      <c r="A68" s="293">
        <v>44789.80083482639</v>
      </c>
      <c r="B68" s="297" t="s">
        <v>486</v>
      </c>
      <c r="C68" s="298" t="s">
        <v>567</v>
      </c>
      <c r="D68" s="298" t="s">
        <v>16</v>
      </c>
      <c r="E68" s="285" t="s">
        <v>476</v>
      </c>
      <c r="F68" s="292" t="s">
        <v>636</v>
      </c>
      <c r="G68" s="298" t="s">
        <v>21</v>
      </c>
      <c r="H68" s="298">
        <v>12.0</v>
      </c>
      <c r="I68" s="292" t="s">
        <v>479</v>
      </c>
      <c r="J68" s="292" t="s">
        <v>494</v>
      </c>
      <c r="K68" s="287" t="s">
        <v>494</v>
      </c>
      <c r="L68" s="292" t="s">
        <v>479</v>
      </c>
      <c r="M68" s="292" t="s">
        <v>483</v>
      </c>
      <c r="N68" s="292"/>
      <c r="O68" s="292"/>
      <c r="P68" s="292"/>
      <c r="Q68" s="299" t="s">
        <v>32</v>
      </c>
      <c r="R68" s="299" t="s">
        <v>32</v>
      </c>
      <c r="S68" s="295" t="s">
        <v>32</v>
      </c>
      <c r="T68" s="292" t="s">
        <v>377</v>
      </c>
      <c r="U68" s="299" t="s">
        <v>32</v>
      </c>
      <c r="V68" s="295" t="s">
        <v>32</v>
      </c>
      <c r="W68" s="292" t="s">
        <v>18</v>
      </c>
      <c r="X68" s="292" t="s">
        <v>377</v>
      </c>
      <c r="Y68" s="288" t="s">
        <v>377</v>
      </c>
      <c r="Z68" s="292" t="s">
        <v>377</v>
      </c>
      <c r="AA68" s="299" t="s">
        <v>32</v>
      </c>
      <c r="AB68" s="295" t="s">
        <v>32</v>
      </c>
      <c r="AC68" s="289" t="s">
        <v>377</v>
      </c>
      <c r="AD68" s="292" t="s">
        <v>377</v>
      </c>
      <c r="AE68" s="292" t="s">
        <v>377</v>
      </c>
      <c r="AF68" s="288" t="s">
        <v>377</v>
      </c>
      <c r="AG68" s="299" t="s">
        <v>32</v>
      </c>
      <c r="AH68" s="292" t="s">
        <v>18</v>
      </c>
      <c r="AI68" s="288" t="s">
        <v>377</v>
      </c>
      <c r="AJ68" s="292" t="s">
        <v>18</v>
      </c>
      <c r="AK68" s="299" t="s">
        <v>32</v>
      </c>
      <c r="AL68" s="288" t="s">
        <v>377</v>
      </c>
      <c r="AM68" s="292" t="s">
        <v>18</v>
      </c>
      <c r="AN68" s="299" t="s">
        <v>32</v>
      </c>
      <c r="AO68" s="288" t="s">
        <v>377</v>
      </c>
      <c r="AP68" s="289" t="s">
        <v>377</v>
      </c>
      <c r="AQ68" s="299" t="s">
        <v>32</v>
      </c>
      <c r="AR68" s="299" t="s">
        <v>32</v>
      </c>
      <c r="AS68" s="295" t="s">
        <v>32</v>
      </c>
      <c r="AT68" s="299" t="s">
        <v>32</v>
      </c>
      <c r="AU68" s="299" t="s">
        <v>32</v>
      </c>
      <c r="AV68" s="295" t="s">
        <v>32</v>
      </c>
      <c r="AW68" s="299" t="s">
        <v>32</v>
      </c>
      <c r="AX68" s="292" t="s">
        <v>377</v>
      </c>
      <c r="AY68" s="295" t="s">
        <v>32</v>
      </c>
      <c r="AZ68" s="299" t="s">
        <v>32</v>
      </c>
      <c r="BA68" s="299" t="s">
        <v>32</v>
      </c>
      <c r="BB68" s="295" t="s">
        <v>32</v>
      </c>
      <c r="BC68" s="296" t="s">
        <v>32</v>
      </c>
      <c r="BD68" s="292"/>
    </row>
    <row r="69" ht="12.75" customHeight="1">
      <c r="A69" s="293">
        <v>44789.81928340278</v>
      </c>
      <c r="B69" s="297" t="s">
        <v>486</v>
      </c>
      <c r="C69" s="298" t="s">
        <v>567</v>
      </c>
      <c r="D69" s="298" t="s">
        <v>16</v>
      </c>
      <c r="E69" s="285" t="s">
        <v>476</v>
      </c>
      <c r="F69" s="292" t="s">
        <v>493</v>
      </c>
      <c r="G69" s="298" t="s">
        <v>17</v>
      </c>
      <c r="H69" s="298">
        <v>12.0</v>
      </c>
      <c r="I69" s="292" t="s">
        <v>479</v>
      </c>
      <c r="J69" s="292" t="s">
        <v>494</v>
      </c>
      <c r="K69" s="287" t="s">
        <v>494</v>
      </c>
      <c r="L69" s="292" t="s">
        <v>479</v>
      </c>
      <c r="M69" s="292" t="s">
        <v>495</v>
      </c>
      <c r="N69" s="292"/>
      <c r="O69" s="292"/>
      <c r="P69" s="292"/>
      <c r="Q69" s="292" t="s">
        <v>377</v>
      </c>
      <c r="R69" s="292" t="s">
        <v>377</v>
      </c>
      <c r="S69" s="288" t="s">
        <v>377</v>
      </c>
      <c r="T69" s="292" t="s">
        <v>377</v>
      </c>
      <c r="U69" s="292" t="s">
        <v>18</v>
      </c>
      <c r="V69" s="288" t="s">
        <v>377</v>
      </c>
      <c r="W69" s="299" t="s">
        <v>32</v>
      </c>
      <c r="X69" s="292" t="s">
        <v>377</v>
      </c>
      <c r="Y69" s="295" t="s">
        <v>32</v>
      </c>
      <c r="Z69" s="292" t="s">
        <v>377</v>
      </c>
      <c r="AA69" s="292" t="s">
        <v>18</v>
      </c>
      <c r="AB69" s="288" t="s">
        <v>377</v>
      </c>
      <c r="AC69" s="289" t="s">
        <v>377</v>
      </c>
      <c r="AD69" s="292" t="s">
        <v>377</v>
      </c>
      <c r="AE69" s="292" t="s">
        <v>18</v>
      </c>
      <c r="AF69" s="288" t="s">
        <v>377</v>
      </c>
      <c r="AG69" s="292" t="s">
        <v>377</v>
      </c>
      <c r="AH69" s="292" t="s">
        <v>377</v>
      </c>
      <c r="AI69" s="288" t="s">
        <v>377</v>
      </c>
      <c r="AJ69" s="292" t="s">
        <v>377</v>
      </c>
      <c r="AK69" s="292" t="s">
        <v>377</v>
      </c>
      <c r="AL69" s="288" t="s">
        <v>377</v>
      </c>
      <c r="AM69" s="292" t="s">
        <v>377</v>
      </c>
      <c r="AN69" s="292" t="s">
        <v>377</v>
      </c>
      <c r="AO69" s="288" t="s">
        <v>377</v>
      </c>
      <c r="AP69" s="289" t="s">
        <v>377</v>
      </c>
      <c r="AQ69" s="292" t="s">
        <v>377</v>
      </c>
      <c r="AR69" s="292" t="s">
        <v>377</v>
      </c>
      <c r="AS69" s="288" t="s">
        <v>377</v>
      </c>
      <c r="AT69" s="292" t="s">
        <v>377</v>
      </c>
      <c r="AU69" s="292" t="s">
        <v>377</v>
      </c>
      <c r="AV69" s="288" t="s">
        <v>377</v>
      </c>
      <c r="AW69" s="292" t="s">
        <v>377</v>
      </c>
      <c r="AX69" s="292" t="s">
        <v>377</v>
      </c>
      <c r="AY69" s="288" t="s">
        <v>377</v>
      </c>
      <c r="AZ69" s="292" t="s">
        <v>18</v>
      </c>
      <c r="BA69" s="292" t="s">
        <v>377</v>
      </c>
      <c r="BB69" s="295" t="s">
        <v>32</v>
      </c>
      <c r="BC69" s="296" t="s">
        <v>32</v>
      </c>
      <c r="BD69" s="292"/>
    </row>
    <row r="70" ht="12.75" customHeight="1">
      <c r="A70" s="298">
        <v>56.0</v>
      </c>
      <c r="B70" s="297" t="s">
        <v>486</v>
      </c>
      <c r="C70" s="298" t="s">
        <v>567</v>
      </c>
      <c r="D70" s="298" t="s">
        <v>16</v>
      </c>
      <c r="E70" s="285" t="s">
        <v>577</v>
      </c>
      <c r="F70" s="292" t="s">
        <v>637</v>
      </c>
      <c r="G70" s="298" t="s">
        <v>21</v>
      </c>
      <c r="H70" s="298">
        <v>18.0</v>
      </c>
      <c r="I70" s="292" t="s">
        <v>479</v>
      </c>
      <c r="J70" s="292" t="s">
        <v>494</v>
      </c>
      <c r="K70" s="287" t="s">
        <v>494</v>
      </c>
      <c r="L70" s="292" t="s">
        <v>497</v>
      </c>
      <c r="M70" s="292" t="s">
        <v>638</v>
      </c>
      <c r="N70" s="292"/>
      <c r="O70" s="298" t="s">
        <v>497</v>
      </c>
      <c r="P70" s="292" t="s">
        <v>612</v>
      </c>
      <c r="Q70" s="292" t="s">
        <v>377</v>
      </c>
      <c r="R70" s="292" t="s">
        <v>377</v>
      </c>
      <c r="S70" s="288" t="s">
        <v>377</v>
      </c>
      <c r="T70" s="292" t="s">
        <v>377</v>
      </c>
      <c r="U70" s="292" t="s">
        <v>377</v>
      </c>
      <c r="V70" s="288" t="s">
        <v>377</v>
      </c>
      <c r="W70" s="292" t="s">
        <v>377</v>
      </c>
      <c r="X70" s="292" t="s">
        <v>377</v>
      </c>
      <c r="Y70" s="288" t="s">
        <v>377</v>
      </c>
      <c r="Z70" s="292" t="s">
        <v>377</v>
      </c>
      <c r="AA70" s="292" t="s">
        <v>377</v>
      </c>
      <c r="AB70" s="288" t="s">
        <v>377</v>
      </c>
      <c r="AC70" s="289" t="s">
        <v>377</v>
      </c>
      <c r="AD70" s="292" t="s">
        <v>377</v>
      </c>
      <c r="AE70" s="292" t="s">
        <v>377</v>
      </c>
      <c r="AF70" s="288" t="s">
        <v>377</v>
      </c>
      <c r="AG70" s="292" t="s">
        <v>377</v>
      </c>
      <c r="AH70" s="292" t="s">
        <v>377</v>
      </c>
      <c r="AI70" s="288" t="s">
        <v>377</v>
      </c>
      <c r="AJ70" s="292" t="s">
        <v>377</v>
      </c>
      <c r="AK70" s="292" t="s">
        <v>377</v>
      </c>
      <c r="AL70" s="288" t="s">
        <v>377</v>
      </c>
      <c r="AM70" s="292" t="s">
        <v>18</v>
      </c>
      <c r="AN70" s="292" t="s">
        <v>18</v>
      </c>
      <c r="AO70" s="288" t="s">
        <v>18</v>
      </c>
      <c r="AP70" s="289" t="s">
        <v>377</v>
      </c>
      <c r="AQ70" s="299" t="s">
        <v>32</v>
      </c>
      <c r="AR70" s="299" t="s">
        <v>32</v>
      </c>
      <c r="AS70" s="295" t="s">
        <v>32</v>
      </c>
      <c r="AT70" s="299" t="s">
        <v>32</v>
      </c>
      <c r="AU70" s="299" t="s">
        <v>32</v>
      </c>
      <c r="AV70" s="295" t="s">
        <v>32</v>
      </c>
      <c r="AW70" s="292" t="s">
        <v>377</v>
      </c>
      <c r="AX70" s="292" t="s">
        <v>377</v>
      </c>
      <c r="AY70" s="288" t="s">
        <v>377</v>
      </c>
      <c r="AZ70" s="292" t="s">
        <v>377</v>
      </c>
      <c r="BA70" s="292" t="s">
        <v>377</v>
      </c>
      <c r="BB70" s="295" t="s">
        <v>32</v>
      </c>
      <c r="BC70" s="296" t="s">
        <v>32</v>
      </c>
      <c r="BD70" s="292"/>
    </row>
    <row r="71" ht="12.75" customHeight="1">
      <c r="A71" s="293">
        <v>45271.91574467593</v>
      </c>
      <c r="B71" s="286" t="s">
        <v>504</v>
      </c>
      <c r="C71" s="287" t="s">
        <v>559</v>
      </c>
      <c r="D71" s="285" t="s">
        <v>16</v>
      </c>
      <c r="E71" s="285" t="s">
        <v>476</v>
      </c>
      <c r="F71" s="287" t="s">
        <v>639</v>
      </c>
      <c r="G71" s="285" t="s">
        <v>21</v>
      </c>
      <c r="H71" s="285">
        <v>12.0</v>
      </c>
      <c r="I71" s="287" t="s">
        <v>479</v>
      </c>
      <c r="J71" s="287" t="s">
        <v>494</v>
      </c>
      <c r="K71" s="287" t="s">
        <v>494</v>
      </c>
      <c r="L71" s="287" t="s">
        <v>497</v>
      </c>
      <c r="M71" s="292"/>
      <c r="N71" s="292"/>
      <c r="O71" s="292"/>
      <c r="P71" s="292"/>
      <c r="Q71" s="294" t="s">
        <v>32</v>
      </c>
      <c r="R71" s="287" t="s">
        <v>377</v>
      </c>
      <c r="S71" s="295" t="s">
        <v>32</v>
      </c>
      <c r="T71" s="287" t="s">
        <v>18</v>
      </c>
      <c r="U71" s="294" t="s">
        <v>32</v>
      </c>
      <c r="V71" s="288" t="s">
        <v>377</v>
      </c>
      <c r="W71" s="287" t="s">
        <v>18</v>
      </c>
      <c r="X71" s="287" t="s">
        <v>18</v>
      </c>
      <c r="Y71" s="288" t="s">
        <v>18</v>
      </c>
      <c r="Z71" s="287" t="s">
        <v>18</v>
      </c>
      <c r="AA71" s="287" t="s">
        <v>18</v>
      </c>
      <c r="AB71" s="288" t="s">
        <v>18</v>
      </c>
      <c r="AC71" s="289" t="s">
        <v>377</v>
      </c>
      <c r="AD71" s="287" t="s">
        <v>18</v>
      </c>
      <c r="AE71" s="287" t="s">
        <v>18</v>
      </c>
      <c r="AF71" s="288" t="s">
        <v>18</v>
      </c>
      <c r="AG71" s="287" t="s">
        <v>18</v>
      </c>
      <c r="AH71" s="287" t="s">
        <v>18</v>
      </c>
      <c r="AI71" s="288" t="s">
        <v>18</v>
      </c>
      <c r="AJ71" s="287" t="s">
        <v>18</v>
      </c>
      <c r="AK71" s="287" t="s">
        <v>18</v>
      </c>
      <c r="AL71" s="288" t="s">
        <v>18</v>
      </c>
      <c r="AM71" s="287" t="s">
        <v>18</v>
      </c>
      <c r="AN71" s="287" t="s">
        <v>18</v>
      </c>
      <c r="AO71" s="288" t="s">
        <v>18</v>
      </c>
      <c r="AP71" s="289" t="s">
        <v>18</v>
      </c>
      <c r="AQ71" s="287" t="s">
        <v>18</v>
      </c>
      <c r="AR71" s="294" t="s">
        <v>32</v>
      </c>
      <c r="AS71" s="288" t="s">
        <v>377</v>
      </c>
      <c r="AT71" s="294" t="s">
        <v>32</v>
      </c>
      <c r="AU71" s="294" t="s">
        <v>32</v>
      </c>
      <c r="AV71" s="295" t="s">
        <v>32</v>
      </c>
      <c r="AW71" s="294" t="s">
        <v>32</v>
      </c>
      <c r="AX71" s="287" t="s">
        <v>18</v>
      </c>
      <c r="AY71" s="288" t="s">
        <v>377</v>
      </c>
      <c r="AZ71" s="287" t="s">
        <v>18</v>
      </c>
      <c r="BA71" s="294" t="s">
        <v>32</v>
      </c>
      <c r="BB71" s="288" t="s">
        <v>377</v>
      </c>
      <c r="BC71" s="289" t="s">
        <v>377</v>
      </c>
      <c r="BD71" s="292"/>
    </row>
    <row r="72" ht="12.75" customHeight="1">
      <c r="A72" s="293">
        <v>44785.451939606486</v>
      </c>
      <c r="B72" s="297" t="s">
        <v>504</v>
      </c>
      <c r="C72" s="298" t="s">
        <v>567</v>
      </c>
      <c r="D72" s="298" t="s">
        <v>16</v>
      </c>
      <c r="E72" s="285" t="s">
        <v>476</v>
      </c>
      <c r="F72" s="292" t="s">
        <v>640</v>
      </c>
      <c r="G72" s="298" t="s">
        <v>21</v>
      </c>
      <c r="H72" s="298">
        <v>12.0</v>
      </c>
      <c r="I72" s="292" t="s">
        <v>479</v>
      </c>
      <c r="J72" s="292" t="s">
        <v>494</v>
      </c>
      <c r="K72" s="287" t="s">
        <v>494</v>
      </c>
      <c r="L72" s="292" t="s">
        <v>497</v>
      </c>
      <c r="M72" s="292" t="s">
        <v>586</v>
      </c>
      <c r="N72" s="292"/>
      <c r="O72" s="292"/>
      <c r="P72" s="292"/>
      <c r="Q72" s="299" t="s">
        <v>32</v>
      </c>
      <c r="R72" s="299" t="s">
        <v>32</v>
      </c>
      <c r="S72" s="295" t="s">
        <v>32</v>
      </c>
      <c r="T72" s="292" t="s">
        <v>377</v>
      </c>
      <c r="U72" s="299" t="s">
        <v>32</v>
      </c>
      <c r="V72" s="295" t="s">
        <v>32</v>
      </c>
      <c r="W72" s="292" t="s">
        <v>18</v>
      </c>
      <c r="X72" s="299" t="s">
        <v>32</v>
      </c>
      <c r="Y72" s="288" t="s">
        <v>377</v>
      </c>
      <c r="Z72" s="299" t="s">
        <v>32</v>
      </c>
      <c r="AA72" s="292" t="s">
        <v>377</v>
      </c>
      <c r="AB72" s="295" t="s">
        <v>32</v>
      </c>
      <c r="AC72" s="296" t="s">
        <v>32</v>
      </c>
      <c r="AD72" s="292" t="s">
        <v>18</v>
      </c>
      <c r="AE72" s="292" t="s">
        <v>18</v>
      </c>
      <c r="AF72" s="288" t="s">
        <v>18</v>
      </c>
      <c r="AG72" s="299" t="s">
        <v>32</v>
      </c>
      <c r="AH72" s="292" t="s">
        <v>377</v>
      </c>
      <c r="AI72" s="295" t="s">
        <v>32</v>
      </c>
      <c r="AJ72" s="299" t="s">
        <v>32</v>
      </c>
      <c r="AK72" s="299" t="s">
        <v>32</v>
      </c>
      <c r="AL72" s="295" t="s">
        <v>32</v>
      </c>
      <c r="AM72" s="292" t="s">
        <v>377</v>
      </c>
      <c r="AN72" s="292" t="s">
        <v>377</v>
      </c>
      <c r="AO72" s="288" t="s">
        <v>377</v>
      </c>
      <c r="AP72" s="289" t="s">
        <v>377</v>
      </c>
      <c r="AQ72" s="299" t="s">
        <v>32</v>
      </c>
      <c r="AR72" s="299" t="s">
        <v>32</v>
      </c>
      <c r="AS72" s="295" t="s">
        <v>32</v>
      </c>
      <c r="AT72" s="299" t="s">
        <v>32</v>
      </c>
      <c r="AU72" s="299" t="s">
        <v>32</v>
      </c>
      <c r="AV72" s="295" t="s">
        <v>32</v>
      </c>
      <c r="AW72" s="292" t="s">
        <v>377</v>
      </c>
      <c r="AX72" s="299" t="s">
        <v>32</v>
      </c>
      <c r="AY72" s="295" t="s">
        <v>32</v>
      </c>
      <c r="AZ72" s="299" t="s">
        <v>32</v>
      </c>
      <c r="BA72" s="299" t="s">
        <v>32</v>
      </c>
      <c r="BB72" s="295" t="s">
        <v>32</v>
      </c>
      <c r="BC72" s="296" t="s">
        <v>32</v>
      </c>
      <c r="BD72" s="292"/>
    </row>
    <row r="73" ht="12.75" customHeight="1">
      <c r="A73" s="300">
        <v>44796.74367885417</v>
      </c>
      <c r="B73" s="297" t="s">
        <v>506</v>
      </c>
      <c r="C73" s="298" t="s">
        <v>567</v>
      </c>
      <c r="D73" s="298" t="s">
        <v>16</v>
      </c>
      <c r="E73" s="285" t="s">
        <v>476</v>
      </c>
      <c r="F73" s="292" t="s">
        <v>641</v>
      </c>
      <c r="G73" s="298" t="s">
        <v>17</v>
      </c>
      <c r="H73" s="298">
        <v>12.0</v>
      </c>
      <c r="I73" s="292" t="s">
        <v>479</v>
      </c>
      <c r="J73" s="292" t="s">
        <v>494</v>
      </c>
      <c r="K73" s="287" t="s">
        <v>494</v>
      </c>
      <c r="L73" s="292" t="s">
        <v>497</v>
      </c>
      <c r="M73" s="292" t="s">
        <v>586</v>
      </c>
      <c r="N73" s="292"/>
      <c r="O73" s="292"/>
      <c r="P73" s="292"/>
      <c r="Q73" s="299" t="s">
        <v>32</v>
      </c>
      <c r="R73" s="292" t="s">
        <v>377</v>
      </c>
      <c r="S73" s="295" t="s">
        <v>32</v>
      </c>
      <c r="T73" s="292" t="s">
        <v>377</v>
      </c>
      <c r="U73" s="299" t="s">
        <v>32</v>
      </c>
      <c r="V73" s="295" t="s">
        <v>32</v>
      </c>
      <c r="W73" s="299" t="s">
        <v>32</v>
      </c>
      <c r="X73" s="299" t="s">
        <v>32</v>
      </c>
      <c r="Y73" s="295" t="s">
        <v>32</v>
      </c>
      <c r="Z73" s="299" t="s">
        <v>32</v>
      </c>
      <c r="AA73" s="292" t="s">
        <v>18</v>
      </c>
      <c r="AB73" s="288" t="s">
        <v>377</v>
      </c>
      <c r="AC73" s="296" t="s">
        <v>32</v>
      </c>
      <c r="AD73" s="299" t="s">
        <v>32</v>
      </c>
      <c r="AE73" s="299" t="s">
        <v>32</v>
      </c>
      <c r="AF73" s="295" t="s">
        <v>32</v>
      </c>
      <c r="AG73" s="292" t="s">
        <v>377</v>
      </c>
      <c r="AH73" s="292" t="s">
        <v>377</v>
      </c>
      <c r="AI73" s="288" t="s">
        <v>377</v>
      </c>
      <c r="AJ73" s="292" t="s">
        <v>18</v>
      </c>
      <c r="AK73" s="299" t="s">
        <v>32</v>
      </c>
      <c r="AL73" s="288" t="s">
        <v>377</v>
      </c>
      <c r="AM73" s="292" t="s">
        <v>18</v>
      </c>
      <c r="AN73" s="292" t="s">
        <v>377</v>
      </c>
      <c r="AO73" s="288" t="s">
        <v>377</v>
      </c>
      <c r="AP73" s="289" t="s">
        <v>377</v>
      </c>
      <c r="AQ73" s="299" t="s">
        <v>32</v>
      </c>
      <c r="AR73" s="299" t="s">
        <v>32</v>
      </c>
      <c r="AS73" s="295" t="s">
        <v>32</v>
      </c>
      <c r="AT73" s="299" t="s">
        <v>32</v>
      </c>
      <c r="AU73" s="299" t="s">
        <v>32</v>
      </c>
      <c r="AV73" s="295" t="s">
        <v>32</v>
      </c>
      <c r="AW73" s="292" t="s">
        <v>18</v>
      </c>
      <c r="AX73" s="299" t="s">
        <v>32</v>
      </c>
      <c r="AY73" s="288" t="s">
        <v>377</v>
      </c>
      <c r="AZ73" s="299" t="s">
        <v>32</v>
      </c>
      <c r="BA73" s="299" t="s">
        <v>32</v>
      </c>
      <c r="BB73" s="295" t="s">
        <v>32</v>
      </c>
      <c r="BC73" s="296" t="s">
        <v>32</v>
      </c>
      <c r="BD73" s="292"/>
    </row>
    <row r="74" ht="12.75" customHeight="1">
      <c r="A74" s="293">
        <v>45260.41774189815</v>
      </c>
      <c r="B74" s="286" t="s">
        <v>525</v>
      </c>
      <c r="C74" s="285" t="s">
        <v>559</v>
      </c>
      <c r="D74" s="285" t="s">
        <v>16</v>
      </c>
      <c r="E74" s="285" t="s">
        <v>577</v>
      </c>
      <c r="F74" s="287" t="s">
        <v>642</v>
      </c>
      <c r="G74" s="285" t="s">
        <v>21</v>
      </c>
      <c r="H74" s="285">
        <v>16.0</v>
      </c>
      <c r="I74" s="287" t="s">
        <v>479</v>
      </c>
      <c r="J74" s="287" t="s">
        <v>494</v>
      </c>
      <c r="K74" s="287" t="s">
        <v>494</v>
      </c>
      <c r="L74" s="287" t="s">
        <v>479</v>
      </c>
      <c r="M74" s="287" t="s">
        <v>495</v>
      </c>
      <c r="N74" s="287" t="s">
        <v>625</v>
      </c>
      <c r="O74" s="285" t="s">
        <v>479</v>
      </c>
      <c r="P74" s="287" t="s">
        <v>643</v>
      </c>
      <c r="Q74" s="294" t="s">
        <v>32</v>
      </c>
      <c r="R74" s="294" t="s">
        <v>32</v>
      </c>
      <c r="S74" s="295" t="s">
        <v>32</v>
      </c>
      <c r="T74" s="294" t="s">
        <v>32</v>
      </c>
      <c r="U74" s="294" t="s">
        <v>32</v>
      </c>
      <c r="V74" s="295" t="s">
        <v>32</v>
      </c>
      <c r="W74" s="294" t="s">
        <v>32</v>
      </c>
      <c r="X74" s="294" t="s">
        <v>32</v>
      </c>
      <c r="Y74" s="295" t="s">
        <v>32</v>
      </c>
      <c r="Z74" s="287" t="s">
        <v>377</v>
      </c>
      <c r="AA74" s="294" t="s">
        <v>32</v>
      </c>
      <c r="AB74" s="295" t="s">
        <v>32</v>
      </c>
      <c r="AC74" s="296" t="s">
        <v>32</v>
      </c>
      <c r="AD74" s="294" t="s">
        <v>32</v>
      </c>
      <c r="AE74" s="287" t="s">
        <v>377</v>
      </c>
      <c r="AF74" s="295" t="s">
        <v>32</v>
      </c>
      <c r="AG74" s="287" t="s">
        <v>18</v>
      </c>
      <c r="AH74" s="294" t="s">
        <v>32</v>
      </c>
      <c r="AI74" s="288" t="s">
        <v>377</v>
      </c>
      <c r="AJ74" s="287" t="s">
        <v>377</v>
      </c>
      <c r="AK74" s="287" t="s">
        <v>18</v>
      </c>
      <c r="AL74" s="288" t="s">
        <v>377</v>
      </c>
      <c r="AM74" s="287" t="s">
        <v>18</v>
      </c>
      <c r="AN74" s="287" t="s">
        <v>377</v>
      </c>
      <c r="AO74" s="288" t="s">
        <v>377</v>
      </c>
      <c r="AP74" s="289" t="s">
        <v>377</v>
      </c>
      <c r="AQ74" s="294" t="s">
        <v>32</v>
      </c>
      <c r="AR74" s="294" t="s">
        <v>32</v>
      </c>
      <c r="AS74" s="295" t="s">
        <v>32</v>
      </c>
      <c r="AT74" s="294" t="s">
        <v>32</v>
      </c>
      <c r="AU74" s="287" t="s">
        <v>377</v>
      </c>
      <c r="AV74" s="295" t="s">
        <v>32</v>
      </c>
      <c r="AW74" s="287" t="s">
        <v>18</v>
      </c>
      <c r="AX74" s="294" t="s">
        <v>32</v>
      </c>
      <c r="AY74" s="288" t="s">
        <v>377</v>
      </c>
      <c r="AZ74" s="294" t="s">
        <v>32</v>
      </c>
      <c r="BA74" s="294" t="s">
        <v>32</v>
      </c>
      <c r="BB74" s="288" t="s">
        <v>377</v>
      </c>
      <c r="BC74" s="289" t="s">
        <v>377</v>
      </c>
      <c r="BD74" s="292"/>
    </row>
    <row r="75" ht="12.75" customHeight="1">
      <c r="A75" s="293">
        <v>45257.36118666666</v>
      </c>
      <c r="B75" s="286" t="s">
        <v>375</v>
      </c>
      <c r="C75" s="287" t="s">
        <v>559</v>
      </c>
      <c r="D75" s="285" t="s">
        <v>16</v>
      </c>
      <c r="E75" s="285" t="s">
        <v>476</v>
      </c>
      <c r="F75" s="287" t="s">
        <v>644</v>
      </c>
      <c r="G75" s="285" t="s">
        <v>21</v>
      </c>
      <c r="H75" s="285">
        <v>11.0</v>
      </c>
      <c r="I75" s="287" t="s">
        <v>497</v>
      </c>
      <c r="J75" s="292"/>
      <c r="K75" s="287" t="s">
        <v>508</v>
      </c>
      <c r="L75" s="287" t="s">
        <v>479</v>
      </c>
      <c r="M75" s="287" t="s">
        <v>481</v>
      </c>
      <c r="N75" s="287" t="s">
        <v>561</v>
      </c>
      <c r="O75" s="287"/>
      <c r="P75" s="287"/>
      <c r="Q75" s="287" t="s">
        <v>377</v>
      </c>
      <c r="R75" s="287" t="s">
        <v>377</v>
      </c>
      <c r="S75" s="288" t="s">
        <v>377</v>
      </c>
      <c r="T75" s="287" t="s">
        <v>18</v>
      </c>
      <c r="U75" s="294" t="s">
        <v>32</v>
      </c>
      <c r="V75" s="288" t="s">
        <v>377</v>
      </c>
      <c r="W75" s="294" t="s">
        <v>32</v>
      </c>
      <c r="X75" s="287" t="s">
        <v>18</v>
      </c>
      <c r="Y75" s="288" t="s">
        <v>377</v>
      </c>
      <c r="Z75" s="287" t="s">
        <v>377</v>
      </c>
      <c r="AA75" s="287" t="s">
        <v>18</v>
      </c>
      <c r="AB75" s="288" t="s">
        <v>377</v>
      </c>
      <c r="AC75" s="289" t="s">
        <v>377</v>
      </c>
      <c r="AD75" s="287" t="s">
        <v>377</v>
      </c>
      <c r="AE75" s="287" t="s">
        <v>377</v>
      </c>
      <c r="AF75" s="288" t="s">
        <v>377</v>
      </c>
      <c r="AG75" s="287" t="s">
        <v>377</v>
      </c>
      <c r="AH75" s="287" t="s">
        <v>18</v>
      </c>
      <c r="AI75" s="288" t="s">
        <v>377</v>
      </c>
      <c r="AJ75" s="287" t="s">
        <v>377</v>
      </c>
      <c r="AK75" s="287" t="s">
        <v>377</v>
      </c>
      <c r="AL75" s="288" t="s">
        <v>377</v>
      </c>
      <c r="AM75" s="287" t="s">
        <v>377</v>
      </c>
      <c r="AN75" s="287" t="s">
        <v>18</v>
      </c>
      <c r="AO75" s="288" t="s">
        <v>377</v>
      </c>
      <c r="AP75" s="289" t="s">
        <v>377</v>
      </c>
      <c r="AQ75" s="287" t="s">
        <v>377</v>
      </c>
      <c r="AR75" s="287" t="s">
        <v>377</v>
      </c>
      <c r="AS75" s="288" t="s">
        <v>377</v>
      </c>
      <c r="AT75" s="294" t="s">
        <v>32</v>
      </c>
      <c r="AU75" s="287" t="s">
        <v>377</v>
      </c>
      <c r="AV75" s="295" t="s">
        <v>32</v>
      </c>
      <c r="AW75" s="287" t="s">
        <v>377</v>
      </c>
      <c r="AX75" s="287" t="s">
        <v>377</v>
      </c>
      <c r="AY75" s="288" t="s">
        <v>377</v>
      </c>
      <c r="AZ75" s="294" t="s">
        <v>32</v>
      </c>
      <c r="BA75" s="287" t="s">
        <v>18</v>
      </c>
      <c r="BB75" s="288" t="s">
        <v>377</v>
      </c>
      <c r="BC75" s="296" t="s">
        <v>32</v>
      </c>
      <c r="BD75" s="292"/>
    </row>
    <row r="76" ht="12.75" customHeight="1">
      <c r="A76" s="293">
        <v>45257.36554949074</v>
      </c>
      <c r="B76" s="286" t="s">
        <v>375</v>
      </c>
      <c r="C76" s="287" t="s">
        <v>559</v>
      </c>
      <c r="D76" s="285" t="s">
        <v>16</v>
      </c>
      <c r="E76" s="285" t="s">
        <v>476</v>
      </c>
      <c r="F76" s="287" t="s">
        <v>645</v>
      </c>
      <c r="G76" s="285" t="s">
        <v>21</v>
      </c>
      <c r="H76" s="285">
        <v>12.0</v>
      </c>
      <c r="I76" s="287" t="s">
        <v>497</v>
      </c>
      <c r="J76" s="292"/>
      <c r="K76" s="287" t="s">
        <v>508</v>
      </c>
      <c r="L76" s="287" t="s">
        <v>497</v>
      </c>
      <c r="M76" s="292"/>
      <c r="N76" s="292"/>
      <c r="O76" s="292"/>
      <c r="P76" s="292"/>
      <c r="Q76" s="294" t="s">
        <v>32</v>
      </c>
      <c r="R76" s="294" t="s">
        <v>32</v>
      </c>
      <c r="S76" s="295" t="s">
        <v>32</v>
      </c>
      <c r="T76" s="287" t="s">
        <v>377</v>
      </c>
      <c r="U76" s="294" t="s">
        <v>32</v>
      </c>
      <c r="V76" s="295" t="s">
        <v>32</v>
      </c>
      <c r="W76" s="287" t="s">
        <v>377</v>
      </c>
      <c r="X76" s="294" t="s">
        <v>32</v>
      </c>
      <c r="Y76" s="295" t="s">
        <v>32</v>
      </c>
      <c r="Z76" s="294" t="s">
        <v>32</v>
      </c>
      <c r="AA76" s="294" t="s">
        <v>32</v>
      </c>
      <c r="AB76" s="295" t="s">
        <v>32</v>
      </c>
      <c r="AC76" s="296" t="s">
        <v>32</v>
      </c>
      <c r="AD76" s="287" t="s">
        <v>377</v>
      </c>
      <c r="AE76" s="294" t="s">
        <v>32</v>
      </c>
      <c r="AF76" s="295" t="s">
        <v>32</v>
      </c>
      <c r="AG76" s="287" t="s">
        <v>18</v>
      </c>
      <c r="AH76" s="294" t="s">
        <v>32</v>
      </c>
      <c r="AI76" s="288" t="s">
        <v>377</v>
      </c>
      <c r="AJ76" s="287" t="s">
        <v>377</v>
      </c>
      <c r="AK76" s="287" t="s">
        <v>377</v>
      </c>
      <c r="AL76" s="288" t="s">
        <v>377</v>
      </c>
      <c r="AM76" s="287" t="s">
        <v>18</v>
      </c>
      <c r="AN76" s="287" t="s">
        <v>377</v>
      </c>
      <c r="AO76" s="288" t="s">
        <v>377</v>
      </c>
      <c r="AP76" s="289" t="s">
        <v>377</v>
      </c>
      <c r="AQ76" s="294" t="s">
        <v>32</v>
      </c>
      <c r="AR76" s="294" t="s">
        <v>32</v>
      </c>
      <c r="AS76" s="295" t="s">
        <v>32</v>
      </c>
      <c r="AT76" s="294" t="s">
        <v>32</v>
      </c>
      <c r="AU76" s="287" t="s">
        <v>377</v>
      </c>
      <c r="AV76" s="295" t="s">
        <v>32</v>
      </c>
      <c r="AW76" s="294" t="s">
        <v>32</v>
      </c>
      <c r="AX76" s="287" t="s">
        <v>377</v>
      </c>
      <c r="AY76" s="295" t="s">
        <v>32</v>
      </c>
      <c r="AZ76" s="294" t="s">
        <v>32</v>
      </c>
      <c r="BA76" s="294" t="s">
        <v>32</v>
      </c>
      <c r="BB76" s="288" t="s">
        <v>377</v>
      </c>
      <c r="BC76" s="289" t="s">
        <v>377</v>
      </c>
      <c r="BD76" s="292"/>
    </row>
    <row r="77" ht="12.75" customHeight="1">
      <c r="A77" s="293">
        <v>45257.36629233796</v>
      </c>
      <c r="B77" s="286" t="s">
        <v>375</v>
      </c>
      <c r="C77" s="287" t="s">
        <v>559</v>
      </c>
      <c r="D77" s="285" t="s">
        <v>16</v>
      </c>
      <c r="E77" s="285" t="s">
        <v>476</v>
      </c>
      <c r="F77" s="287" t="s">
        <v>646</v>
      </c>
      <c r="G77" s="285" t="s">
        <v>21</v>
      </c>
      <c r="H77" s="285">
        <v>11.0</v>
      </c>
      <c r="I77" s="287" t="s">
        <v>497</v>
      </c>
      <c r="J77" s="292"/>
      <c r="K77" s="287" t="s">
        <v>508</v>
      </c>
      <c r="L77" s="287" t="s">
        <v>479</v>
      </c>
      <c r="M77" s="287" t="s">
        <v>481</v>
      </c>
      <c r="N77" s="287" t="s">
        <v>561</v>
      </c>
      <c r="O77" s="287"/>
      <c r="P77" s="287"/>
      <c r="Q77" s="287" t="s">
        <v>377</v>
      </c>
      <c r="R77" s="287" t="s">
        <v>18</v>
      </c>
      <c r="S77" s="288" t="s">
        <v>377</v>
      </c>
      <c r="T77" s="287" t="s">
        <v>18</v>
      </c>
      <c r="U77" s="287" t="s">
        <v>18</v>
      </c>
      <c r="V77" s="288" t="s">
        <v>18</v>
      </c>
      <c r="W77" s="287" t="s">
        <v>18</v>
      </c>
      <c r="X77" s="287" t="s">
        <v>18</v>
      </c>
      <c r="Y77" s="288" t="s">
        <v>18</v>
      </c>
      <c r="Z77" s="287" t="s">
        <v>377</v>
      </c>
      <c r="AA77" s="287" t="s">
        <v>377</v>
      </c>
      <c r="AB77" s="288" t="s">
        <v>377</v>
      </c>
      <c r="AC77" s="289" t="s">
        <v>18</v>
      </c>
      <c r="AD77" s="294" t="s">
        <v>32</v>
      </c>
      <c r="AE77" s="287" t="s">
        <v>18</v>
      </c>
      <c r="AF77" s="288" t="s">
        <v>377</v>
      </c>
      <c r="AG77" s="287" t="s">
        <v>18</v>
      </c>
      <c r="AH77" s="287" t="s">
        <v>377</v>
      </c>
      <c r="AI77" s="288" t="s">
        <v>377</v>
      </c>
      <c r="AJ77" s="287" t="s">
        <v>18</v>
      </c>
      <c r="AK77" s="287" t="s">
        <v>18</v>
      </c>
      <c r="AL77" s="288" t="s">
        <v>18</v>
      </c>
      <c r="AM77" s="287" t="s">
        <v>18</v>
      </c>
      <c r="AN77" s="287" t="s">
        <v>18</v>
      </c>
      <c r="AO77" s="288" t="s">
        <v>18</v>
      </c>
      <c r="AP77" s="289" t="s">
        <v>18</v>
      </c>
      <c r="AQ77" s="287" t="s">
        <v>18</v>
      </c>
      <c r="AR77" s="287" t="s">
        <v>18</v>
      </c>
      <c r="AS77" s="288" t="s">
        <v>18</v>
      </c>
      <c r="AT77" s="287" t="s">
        <v>377</v>
      </c>
      <c r="AU77" s="294" t="s">
        <v>32</v>
      </c>
      <c r="AV77" s="295" t="s">
        <v>32</v>
      </c>
      <c r="AW77" s="287" t="s">
        <v>377</v>
      </c>
      <c r="AX77" s="287" t="s">
        <v>18</v>
      </c>
      <c r="AY77" s="288" t="s">
        <v>377</v>
      </c>
      <c r="AZ77" s="287" t="s">
        <v>377</v>
      </c>
      <c r="BA77" s="294" t="s">
        <v>32</v>
      </c>
      <c r="BB77" s="295" t="s">
        <v>32</v>
      </c>
      <c r="BC77" s="296" t="s">
        <v>32</v>
      </c>
      <c r="BD77" s="292"/>
    </row>
    <row r="78" ht="12.75" customHeight="1">
      <c r="A78" s="293">
        <v>45257.36871741898</v>
      </c>
      <c r="B78" s="286" t="s">
        <v>375</v>
      </c>
      <c r="C78" s="287" t="s">
        <v>559</v>
      </c>
      <c r="D78" s="285" t="s">
        <v>16</v>
      </c>
      <c r="E78" s="285" t="s">
        <v>476</v>
      </c>
      <c r="F78" s="287" t="s">
        <v>647</v>
      </c>
      <c r="G78" s="285" t="s">
        <v>21</v>
      </c>
      <c r="H78" s="285">
        <v>11.0</v>
      </c>
      <c r="I78" s="287" t="s">
        <v>497</v>
      </c>
      <c r="J78" s="292"/>
      <c r="K78" s="287" t="s">
        <v>508</v>
      </c>
      <c r="L78" s="287" t="s">
        <v>479</v>
      </c>
      <c r="M78" s="287" t="s">
        <v>481</v>
      </c>
      <c r="N78" s="287" t="s">
        <v>561</v>
      </c>
      <c r="O78" s="287"/>
      <c r="P78" s="287"/>
      <c r="Q78" s="294" t="s">
        <v>32</v>
      </c>
      <c r="R78" s="294" t="s">
        <v>32</v>
      </c>
      <c r="S78" s="295" t="s">
        <v>32</v>
      </c>
      <c r="T78" s="287" t="s">
        <v>18</v>
      </c>
      <c r="U78" s="294" t="s">
        <v>32</v>
      </c>
      <c r="V78" s="288" t="s">
        <v>377</v>
      </c>
      <c r="W78" s="287" t="s">
        <v>18</v>
      </c>
      <c r="X78" s="287" t="s">
        <v>18</v>
      </c>
      <c r="Y78" s="288" t="s">
        <v>18</v>
      </c>
      <c r="Z78" s="287" t="s">
        <v>377</v>
      </c>
      <c r="AA78" s="287" t="s">
        <v>18</v>
      </c>
      <c r="AB78" s="288" t="s">
        <v>377</v>
      </c>
      <c r="AC78" s="289" t="s">
        <v>377</v>
      </c>
      <c r="AD78" s="287" t="s">
        <v>377</v>
      </c>
      <c r="AE78" s="294" t="s">
        <v>32</v>
      </c>
      <c r="AF78" s="295" t="s">
        <v>32</v>
      </c>
      <c r="AG78" s="294" t="s">
        <v>32</v>
      </c>
      <c r="AH78" s="287" t="s">
        <v>377</v>
      </c>
      <c r="AI78" s="295" t="s">
        <v>32</v>
      </c>
      <c r="AJ78" s="287" t="s">
        <v>377</v>
      </c>
      <c r="AK78" s="294" t="s">
        <v>32</v>
      </c>
      <c r="AL78" s="295" t="s">
        <v>32</v>
      </c>
      <c r="AM78" s="294" t="s">
        <v>32</v>
      </c>
      <c r="AN78" s="294" t="s">
        <v>32</v>
      </c>
      <c r="AO78" s="295" t="s">
        <v>32</v>
      </c>
      <c r="AP78" s="296" t="s">
        <v>32</v>
      </c>
      <c r="AQ78" s="287" t="s">
        <v>18</v>
      </c>
      <c r="AR78" s="294" t="s">
        <v>32</v>
      </c>
      <c r="AS78" s="288" t="s">
        <v>377</v>
      </c>
      <c r="AT78" s="287" t="s">
        <v>377</v>
      </c>
      <c r="AU78" s="287" t="s">
        <v>18</v>
      </c>
      <c r="AV78" s="288" t="s">
        <v>377</v>
      </c>
      <c r="AW78" s="294" t="s">
        <v>32</v>
      </c>
      <c r="AX78" s="287" t="s">
        <v>18</v>
      </c>
      <c r="AY78" s="288" t="s">
        <v>377</v>
      </c>
      <c r="AZ78" s="287" t="s">
        <v>18</v>
      </c>
      <c r="BA78" s="287" t="s">
        <v>18</v>
      </c>
      <c r="BB78" s="295" t="s">
        <v>32</v>
      </c>
      <c r="BC78" s="289" t="s">
        <v>377</v>
      </c>
      <c r="BD78" s="292"/>
    </row>
    <row r="79" ht="12.75" customHeight="1">
      <c r="A79" s="293">
        <v>45257.37571201389</v>
      </c>
      <c r="B79" s="286" t="s">
        <v>375</v>
      </c>
      <c r="C79" s="287" t="s">
        <v>559</v>
      </c>
      <c r="D79" s="285" t="s">
        <v>16</v>
      </c>
      <c r="E79" s="285" t="s">
        <v>476</v>
      </c>
      <c r="F79" s="287" t="s">
        <v>648</v>
      </c>
      <c r="G79" s="285" t="s">
        <v>17</v>
      </c>
      <c r="H79" s="285">
        <v>12.0</v>
      </c>
      <c r="I79" s="287" t="s">
        <v>497</v>
      </c>
      <c r="J79" s="292"/>
      <c r="K79" s="287" t="s">
        <v>508</v>
      </c>
      <c r="L79" s="287" t="s">
        <v>497</v>
      </c>
      <c r="M79" s="292"/>
      <c r="N79" s="292"/>
      <c r="O79" s="292"/>
      <c r="P79" s="292"/>
      <c r="Q79" s="294" t="s">
        <v>32</v>
      </c>
      <c r="R79" s="287" t="s">
        <v>18</v>
      </c>
      <c r="S79" s="288" t="s">
        <v>377</v>
      </c>
      <c r="T79" s="287" t="s">
        <v>18</v>
      </c>
      <c r="U79" s="287" t="s">
        <v>377</v>
      </c>
      <c r="V79" s="288" t="s">
        <v>377</v>
      </c>
      <c r="W79" s="287" t="s">
        <v>377</v>
      </c>
      <c r="X79" s="294" t="s">
        <v>32</v>
      </c>
      <c r="Y79" s="295" t="s">
        <v>32</v>
      </c>
      <c r="Z79" s="287" t="s">
        <v>18</v>
      </c>
      <c r="AA79" s="287" t="s">
        <v>377</v>
      </c>
      <c r="AB79" s="288" t="s">
        <v>377</v>
      </c>
      <c r="AC79" s="289" t="s">
        <v>377</v>
      </c>
      <c r="AD79" s="287" t="s">
        <v>18</v>
      </c>
      <c r="AE79" s="294" t="s">
        <v>32</v>
      </c>
      <c r="AF79" s="288" t="s">
        <v>377</v>
      </c>
      <c r="AG79" s="294" t="s">
        <v>32</v>
      </c>
      <c r="AH79" s="287" t="s">
        <v>18</v>
      </c>
      <c r="AI79" s="288" t="s">
        <v>377</v>
      </c>
      <c r="AJ79" s="294" t="s">
        <v>32</v>
      </c>
      <c r="AK79" s="294" t="s">
        <v>32</v>
      </c>
      <c r="AL79" s="295" t="s">
        <v>32</v>
      </c>
      <c r="AM79" s="294" t="s">
        <v>32</v>
      </c>
      <c r="AN79" s="287" t="s">
        <v>377</v>
      </c>
      <c r="AO79" s="295" t="s">
        <v>32</v>
      </c>
      <c r="AP79" s="289" t="s">
        <v>377</v>
      </c>
      <c r="AQ79" s="287" t="s">
        <v>18</v>
      </c>
      <c r="AR79" s="287" t="s">
        <v>377</v>
      </c>
      <c r="AS79" s="288" t="s">
        <v>377</v>
      </c>
      <c r="AT79" s="287" t="s">
        <v>377</v>
      </c>
      <c r="AU79" s="294" t="s">
        <v>32</v>
      </c>
      <c r="AV79" s="295" t="s">
        <v>32</v>
      </c>
      <c r="AW79" s="287" t="s">
        <v>377</v>
      </c>
      <c r="AX79" s="294" t="s">
        <v>32</v>
      </c>
      <c r="AY79" s="295" t="s">
        <v>32</v>
      </c>
      <c r="AZ79" s="287" t="s">
        <v>18</v>
      </c>
      <c r="BA79" s="287" t="s">
        <v>18</v>
      </c>
      <c r="BB79" s="295" t="s">
        <v>32</v>
      </c>
      <c r="BC79" s="296" t="s">
        <v>32</v>
      </c>
      <c r="BD79" s="292"/>
    </row>
    <row r="80" ht="12.75" customHeight="1">
      <c r="A80" s="293">
        <v>45257.37777543982</v>
      </c>
      <c r="B80" s="286" t="s">
        <v>375</v>
      </c>
      <c r="C80" s="287" t="s">
        <v>559</v>
      </c>
      <c r="D80" s="285" t="s">
        <v>16</v>
      </c>
      <c r="E80" s="285" t="s">
        <v>476</v>
      </c>
      <c r="F80" s="287" t="s">
        <v>649</v>
      </c>
      <c r="G80" s="285" t="s">
        <v>21</v>
      </c>
      <c r="H80" s="285">
        <v>11.0</v>
      </c>
      <c r="I80" s="287" t="s">
        <v>497</v>
      </c>
      <c r="J80" s="292"/>
      <c r="K80" s="287" t="s">
        <v>508</v>
      </c>
      <c r="L80" s="287" t="s">
        <v>479</v>
      </c>
      <c r="M80" s="287" t="s">
        <v>481</v>
      </c>
      <c r="N80" s="287" t="s">
        <v>561</v>
      </c>
      <c r="O80" s="287"/>
      <c r="P80" s="287"/>
      <c r="Q80" s="287" t="s">
        <v>377</v>
      </c>
      <c r="R80" s="287" t="s">
        <v>18</v>
      </c>
      <c r="S80" s="288" t="s">
        <v>377</v>
      </c>
      <c r="T80" s="287" t="s">
        <v>18</v>
      </c>
      <c r="U80" s="287" t="s">
        <v>377</v>
      </c>
      <c r="V80" s="288" t="s">
        <v>377</v>
      </c>
      <c r="W80" s="287" t="s">
        <v>18</v>
      </c>
      <c r="X80" s="287" t="s">
        <v>18</v>
      </c>
      <c r="Y80" s="288" t="s">
        <v>18</v>
      </c>
      <c r="Z80" s="287" t="s">
        <v>377</v>
      </c>
      <c r="AA80" s="287" t="s">
        <v>18</v>
      </c>
      <c r="AB80" s="288" t="s">
        <v>377</v>
      </c>
      <c r="AC80" s="289" t="s">
        <v>18</v>
      </c>
      <c r="AD80" s="287" t="s">
        <v>377</v>
      </c>
      <c r="AE80" s="294" t="s">
        <v>32</v>
      </c>
      <c r="AF80" s="295" t="s">
        <v>32</v>
      </c>
      <c r="AG80" s="287" t="s">
        <v>18</v>
      </c>
      <c r="AH80" s="287" t="s">
        <v>18</v>
      </c>
      <c r="AI80" s="288" t="s">
        <v>18</v>
      </c>
      <c r="AJ80" s="287" t="s">
        <v>18</v>
      </c>
      <c r="AK80" s="287" t="s">
        <v>18</v>
      </c>
      <c r="AL80" s="288" t="s">
        <v>18</v>
      </c>
      <c r="AM80" s="287" t="s">
        <v>18</v>
      </c>
      <c r="AN80" s="287" t="s">
        <v>18</v>
      </c>
      <c r="AO80" s="288" t="s">
        <v>18</v>
      </c>
      <c r="AP80" s="289" t="s">
        <v>18</v>
      </c>
      <c r="AQ80" s="287" t="s">
        <v>377</v>
      </c>
      <c r="AR80" s="287" t="s">
        <v>18</v>
      </c>
      <c r="AS80" s="288" t="s">
        <v>377</v>
      </c>
      <c r="AT80" s="294" t="s">
        <v>32</v>
      </c>
      <c r="AU80" s="287" t="s">
        <v>18</v>
      </c>
      <c r="AV80" s="288" t="s">
        <v>377</v>
      </c>
      <c r="AW80" s="287" t="s">
        <v>18</v>
      </c>
      <c r="AX80" s="287" t="s">
        <v>18</v>
      </c>
      <c r="AY80" s="288" t="s">
        <v>18</v>
      </c>
      <c r="AZ80" s="287" t="s">
        <v>377</v>
      </c>
      <c r="BA80" s="287" t="s">
        <v>18</v>
      </c>
      <c r="BB80" s="288" t="s">
        <v>377</v>
      </c>
      <c r="BC80" s="289" t="s">
        <v>377</v>
      </c>
      <c r="BD80" s="292"/>
    </row>
    <row r="81" ht="12.75" customHeight="1">
      <c r="A81" s="293">
        <v>45257.380517812504</v>
      </c>
      <c r="B81" s="286" t="s">
        <v>375</v>
      </c>
      <c r="C81" s="287" t="s">
        <v>559</v>
      </c>
      <c r="D81" s="285" t="s">
        <v>16</v>
      </c>
      <c r="E81" s="285" t="s">
        <v>476</v>
      </c>
      <c r="F81" s="287" t="s">
        <v>650</v>
      </c>
      <c r="G81" s="285" t="s">
        <v>21</v>
      </c>
      <c r="H81" s="285">
        <v>11.0</v>
      </c>
      <c r="I81" s="287" t="s">
        <v>497</v>
      </c>
      <c r="J81" s="292"/>
      <c r="K81" s="287" t="s">
        <v>508</v>
      </c>
      <c r="L81" s="287" t="s">
        <v>497</v>
      </c>
      <c r="M81" s="292"/>
      <c r="N81" s="292"/>
      <c r="O81" s="292"/>
      <c r="P81" s="292"/>
      <c r="Q81" s="294" t="s">
        <v>32</v>
      </c>
      <c r="R81" s="294" t="s">
        <v>32</v>
      </c>
      <c r="S81" s="295" t="s">
        <v>32</v>
      </c>
      <c r="T81" s="287" t="s">
        <v>18</v>
      </c>
      <c r="U81" s="294" t="s">
        <v>32</v>
      </c>
      <c r="V81" s="288" t="s">
        <v>377</v>
      </c>
      <c r="W81" s="294" t="s">
        <v>32</v>
      </c>
      <c r="X81" s="287" t="s">
        <v>18</v>
      </c>
      <c r="Y81" s="288" t="s">
        <v>377</v>
      </c>
      <c r="Z81" s="294" t="s">
        <v>32</v>
      </c>
      <c r="AA81" s="287" t="s">
        <v>18</v>
      </c>
      <c r="AB81" s="288" t="s">
        <v>377</v>
      </c>
      <c r="AC81" s="289" t="s">
        <v>377</v>
      </c>
      <c r="AD81" s="287" t="s">
        <v>18</v>
      </c>
      <c r="AE81" s="287" t="s">
        <v>377</v>
      </c>
      <c r="AF81" s="288" t="s">
        <v>377</v>
      </c>
      <c r="AG81" s="287" t="s">
        <v>377</v>
      </c>
      <c r="AH81" s="287" t="s">
        <v>377</v>
      </c>
      <c r="AI81" s="288" t="s">
        <v>377</v>
      </c>
      <c r="AJ81" s="294" t="s">
        <v>32</v>
      </c>
      <c r="AK81" s="287" t="s">
        <v>377</v>
      </c>
      <c r="AL81" s="295" t="s">
        <v>32</v>
      </c>
      <c r="AM81" s="287" t="s">
        <v>18</v>
      </c>
      <c r="AN81" s="287" t="s">
        <v>18</v>
      </c>
      <c r="AO81" s="288" t="s">
        <v>18</v>
      </c>
      <c r="AP81" s="289" t="s">
        <v>377</v>
      </c>
      <c r="AQ81" s="287" t="s">
        <v>18</v>
      </c>
      <c r="AR81" s="287" t="s">
        <v>377</v>
      </c>
      <c r="AS81" s="288" t="s">
        <v>377</v>
      </c>
      <c r="AT81" s="294" t="s">
        <v>32</v>
      </c>
      <c r="AU81" s="287" t="s">
        <v>377</v>
      </c>
      <c r="AV81" s="295" t="s">
        <v>32</v>
      </c>
      <c r="AW81" s="287" t="s">
        <v>377</v>
      </c>
      <c r="AX81" s="287" t="s">
        <v>18</v>
      </c>
      <c r="AY81" s="288" t="s">
        <v>377</v>
      </c>
      <c r="AZ81" s="287" t="s">
        <v>18</v>
      </c>
      <c r="BA81" s="287" t="s">
        <v>18</v>
      </c>
      <c r="BB81" s="295" t="s">
        <v>32</v>
      </c>
      <c r="BC81" s="296" t="s">
        <v>32</v>
      </c>
      <c r="BD81" s="292"/>
    </row>
    <row r="82" ht="12.75" customHeight="1">
      <c r="A82" s="293">
        <v>45257.38628535879</v>
      </c>
      <c r="B82" s="286" t="s">
        <v>375</v>
      </c>
      <c r="C82" s="287" t="s">
        <v>559</v>
      </c>
      <c r="D82" s="285" t="s">
        <v>16</v>
      </c>
      <c r="E82" s="285" t="s">
        <v>476</v>
      </c>
      <c r="F82" s="287" t="s">
        <v>651</v>
      </c>
      <c r="G82" s="285" t="s">
        <v>17</v>
      </c>
      <c r="H82" s="285">
        <v>11.0</v>
      </c>
      <c r="I82" s="287" t="s">
        <v>497</v>
      </c>
      <c r="J82" s="292"/>
      <c r="K82" s="287" t="s">
        <v>508</v>
      </c>
      <c r="L82" s="287" t="s">
        <v>479</v>
      </c>
      <c r="M82" s="287" t="s">
        <v>483</v>
      </c>
      <c r="N82" s="287" t="s">
        <v>561</v>
      </c>
      <c r="O82" s="287"/>
      <c r="P82" s="287"/>
      <c r="Q82" s="294" t="s">
        <v>32</v>
      </c>
      <c r="R82" s="294" t="s">
        <v>32</v>
      </c>
      <c r="S82" s="295" t="s">
        <v>32</v>
      </c>
      <c r="T82" s="287" t="s">
        <v>377</v>
      </c>
      <c r="U82" s="294" t="s">
        <v>32</v>
      </c>
      <c r="V82" s="295" t="s">
        <v>32</v>
      </c>
      <c r="W82" s="287" t="s">
        <v>377</v>
      </c>
      <c r="X82" s="294" t="s">
        <v>32</v>
      </c>
      <c r="Y82" s="295" t="s">
        <v>32</v>
      </c>
      <c r="Z82" s="287" t="s">
        <v>377</v>
      </c>
      <c r="AA82" s="287" t="s">
        <v>377</v>
      </c>
      <c r="AB82" s="288" t="s">
        <v>377</v>
      </c>
      <c r="AC82" s="296" t="s">
        <v>32</v>
      </c>
      <c r="AD82" s="287" t="s">
        <v>377</v>
      </c>
      <c r="AE82" s="287" t="s">
        <v>377</v>
      </c>
      <c r="AF82" s="288" t="s">
        <v>377</v>
      </c>
      <c r="AG82" s="287" t="s">
        <v>18</v>
      </c>
      <c r="AH82" s="287" t="s">
        <v>18</v>
      </c>
      <c r="AI82" s="288" t="s">
        <v>18</v>
      </c>
      <c r="AJ82" s="294" t="s">
        <v>32</v>
      </c>
      <c r="AK82" s="294" t="s">
        <v>32</v>
      </c>
      <c r="AL82" s="295" t="s">
        <v>32</v>
      </c>
      <c r="AM82" s="287" t="s">
        <v>18</v>
      </c>
      <c r="AN82" s="287" t="s">
        <v>18</v>
      </c>
      <c r="AO82" s="288" t="s">
        <v>18</v>
      </c>
      <c r="AP82" s="289" t="s">
        <v>377</v>
      </c>
      <c r="AQ82" s="287" t="s">
        <v>18</v>
      </c>
      <c r="AR82" s="287" t="s">
        <v>18</v>
      </c>
      <c r="AS82" s="288" t="s">
        <v>18</v>
      </c>
      <c r="AT82" s="287" t="s">
        <v>18</v>
      </c>
      <c r="AU82" s="294" t="s">
        <v>32</v>
      </c>
      <c r="AV82" s="288" t="s">
        <v>377</v>
      </c>
      <c r="AW82" s="294" t="s">
        <v>32</v>
      </c>
      <c r="AX82" s="294" t="s">
        <v>32</v>
      </c>
      <c r="AY82" s="295" t="s">
        <v>32</v>
      </c>
      <c r="AZ82" s="294" t="s">
        <v>32</v>
      </c>
      <c r="BA82" s="294" t="s">
        <v>32</v>
      </c>
      <c r="BB82" s="288" t="s">
        <v>18</v>
      </c>
      <c r="BC82" s="289" t="s">
        <v>18</v>
      </c>
      <c r="BD82" s="292"/>
    </row>
    <row r="83" ht="12.75" customHeight="1">
      <c r="A83" s="293">
        <v>45257.38959651621</v>
      </c>
      <c r="B83" s="286" t="s">
        <v>375</v>
      </c>
      <c r="C83" s="287" t="s">
        <v>559</v>
      </c>
      <c r="D83" s="285" t="s">
        <v>16</v>
      </c>
      <c r="E83" s="285" t="s">
        <v>476</v>
      </c>
      <c r="F83" s="287" t="s">
        <v>652</v>
      </c>
      <c r="G83" s="285" t="s">
        <v>17</v>
      </c>
      <c r="H83" s="285">
        <v>11.0</v>
      </c>
      <c r="I83" s="287" t="s">
        <v>497</v>
      </c>
      <c r="J83" s="292"/>
      <c r="K83" s="287" t="s">
        <v>508</v>
      </c>
      <c r="L83" s="287" t="s">
        <v>479</v>
      </c>
      <c r="M83" s="287" t="s">
        <v>481</v>
      </c>
      <c r="N83" s="287" t="s">
        <v>561</v>
      </c>
      <c r="O83" s="287"/>
      <c r="P83" s="287"/>
      <c r="Q83" s="294" t="s">
        <v>32</v>
      </c>
      <c r="R83" s="287" t="s">
        <v>377</v>
      </c>
      <c r="S83" s="295" t="s">
        <v>32</v>
      </c>
      <c r="T83" s="287" t="s">
        <v>18</v>
      </c>
      <c r="U83" s="287" t="s">
        <v>377</v>
      </c>
      <c r="V83" s="288" t="s">
        <v>377</v>
      </c>
      <c r="W83" s="287" t="s">
        <v>18</v>
      </c>
      <c r="X83" s="287" t="s">
        <v>377</v>
      </c>
      <c r="Y83" s="288" t="s">
        <v>377</v>
      </c>
      <c r="Z83" s="294" t="s">
        <v>32</v>
      </c>
      <c r="AA83" s="294" t="s">
        <v>32</v>
      </c>
      <c r="AB83" s="295" t="s">
        <v>32</v>
      </c>
      <c r="AC83" s="289" t="s">
        <v>377</v>
      </c>
      <c r="AD83" s="287" t="s">
        <v>18</v>
      </c>
      <c r="AE83" s="294" t="s">
        <v>32</v>
      </c>
      <c r="AF83" s="288" t="s">
        <v>377</v>
      </c>
      <c r="AG83" s="294" t="s">
        <v>32</v>
      </c>
      <c r="AH83" s="294" t="s">
        <v>32</v>
      </c>
      <c r="AI83" s="295" t="s">
        <v>32</v>
      </c>
      <c r="AJ83" s="287" t="s">
        <v>377</v>
      </c>
      <c r="AK83" s="287" t="s">
        <v>377</v>
      </c>
      <c r="AL83" s="288" t="s">
        <v>377</v>
      </c>
      <c r="AM83" s="294" t="s">
        <v>32</v>
      </c>
      <c r="AN83" s="287" t="s">
        <v>18</v>
      </c>
      <c r="AO83" s="288" t="s">
        <v>377</v>
      </c>
      <c r="AP83" s="289" t="s">
        <v>377</v>
      </c>
      <c r="AQ83" s="287" t="s">
        <v>377</v>
      </c>
      <c r="AR83" s="294" t="s">
        <v>32</v>
      </c>
      <c r="AS83" s="295" t="s">
        <v>32</v>
      </c>
      <c r="AT83" s="294" t="s">
        <v>32</v>
      </c>
      <c r="AU83" s="294" t="s">
        <v>32</v>
      </c>
      <c r="AV83" s="295" t="s">
        <v>32</v>
      </c>
      <c r="AW83" s="294" t="s">
        <v>32</v>
      </c>
      <c r="AX83" s="294" t="s">
        <v>32</v>
      </c>
      <c r="AY83" s="295" t="s">
        <v>32</v>
      </c>
      <c r="AZ83" s="294" t="s">
        <v>32</v>
      </c>
      <c r="BA83" s="287" t="s">
        <v>377</v>
      </c>
      <c r="BB83" s="295" t="s">
        <v>32</v>
      </c>
      <c r="BC83" s="296" t="s">
        <v>32</v>
      </c>
      <c r="BD83" s="292"/>
    </row>
    <row r="84" ht="12.75" customHeight="1">
      <c r="A84" s="293">
        <v>45257.39106362269</v>
      </c>
      <c r="B84" s="286" t="s">
        <v>375</v>
      </c>
      <c r="C84" s="287" t="s">
        <v>559</v>
      </c>
      <c r="D84" s="285" t="s">
        <v>16</v>
      </c>
      <c r="E84" s="285" t="s">
        <v>476</v>
      </c>
      <c r="F84" s="287" t="s">
        <v>653</v>
      </c>
      <c r="G84" s="285" t="s">
        <v>21</v>
      </c>
      <c r="H84" s="285">
        <v>11.0</v>
      </c>
      <c r="I84" s="287" t="s">
        <v>497</v>
      </c>
      <c r="J84" s="292"/>
      <c r="K84" s="287" t="s">
        <v>508</v>
      </c>
      <c r="L84" s="287" t="s">
        <v>479</v>
      </c>
      <c r="M84" s="287" t="s">
        <v>481</v>
      </c>
      <c r="N84" s="287" t="s">
        <v>561</v>
      </c>
      <c r="O84" s="287"/>
      <c r="P84" s="287"/>
      <c r="Q84" s="294" t="s">
        <v>32</v>
      </c>
      <c r="R84" s="287" t="s">
        <v>18</v>
      </c>
      <c r="S84" s="288" t="s">
        <v>377</v>
      </c>
      <c r="T84" s="287" t="s">
        <v>18</v>
      </c>
      <c r="U84" s="294" t="s">
        <v>32</v>
      </c>
      <c r="V84" s="288" t="s">
        <v>377</v>
      </c>
      <c r="W84" s="287" t="s">
        <v>18</v>
      </c>
      <c r="X84" s="287" t="s">
        <v>18</v>
      </c>
      <c r="Y84" s="288" t="s">
        <v>18</v>
      </c>
      <c r="Z84" s="294" t="s">
        <v>32</v>
      </c>
      <c r="AA84" s="287" t="s">
        <v>18</v>
      </c>
      <c r="AB84" s="288" t="s">
        <v>377</v>
      </c>
      <c r="AC84" s="289" t="s">
        <v>377</v>
      </c>
      <c r="AD84" s="294" t="s">
        <v>32</v>
      </c>
      <c r="AE84" s="294" t="s">
        <v>32</v>
      </c>
      <c r="AF84" s="295" t="s">
        <v>32</v>
      </c>
      <c r="AG84" s="294" t="s">
        <v>32</v>
      </c>
      <c r="AH84" s="287" t="s">
        <v>18</v>
      </c>
      <c r="AI84" s="288" t="s">
        <v>377</v>
      </c>
      <c r="AJ84" s="294" t="s">
        <v>32</v>
      </c>
      <c r="AK84" s="287" t="s">
        <v>18</v>
      </c>
      <c r="AL84" s="288" t="s">
        <v>377</v>
      </c>
      <c r="AM84" s="287" t="s">
        <v>18</v>
      </c>
      <c r="AN84" s="287" t="s">
        <v>18</v>
      </c>
      <c r="AO84" s="288" t="s">
        <v>18</v>
      </c>
      <c r="AP84" s="289" t="s">
        <v>377</v>
      </c>
      <c r="AQ84" s="287" t="s">
        <v>18</v>
      </c>
      <c r="AR84" s="287" t="s">
        <v>18</v>
      </c>
      <c r="AS84" s="288" t="s">
        <v>18</v>
      </c>
      <c r="AT84" s="287" t="s">
        <v>18</v>
      </c>
      <c r="AU84" s="294" t="s">
        <v>32</v>
      </c>
      <c r="AV84" s="288" t="s">
        <v>377</v>
      </c>
      <c r="AW84" s="287" t="s">
        <v>18</v>
      </c>
      <c r="AX84" s="294" t="s">
        <v>32</v>
      </c>
      <c r="AY84" s="288" t="s">
        <v>377</v>
      </c>
      <c r="AZ84" s="287" t="s">
        <v>18</v>
      </c>
      <c r="BA84" s="287" t="s">
        <v>18</v>
      </c>
      <c r="BB84" s="288" t="s">
        <v>377</v>
      </c>
      <c r="BC84" s="289" t="s">
        <v>377</v>
      </c>
      <c r="BD84" s="292"/>
    </row>
    <row r="85" ht="12.75" customHeight="1">
      <c r="A85" s="293">
        <v>45257.39304190972</v>
      </c>
      <c r="B85" s="286" t="s">
        <v>375</v>
      </c>
      <c r="C85" s="287" t="s">
        <v>559</v>
      </c>
      <c r="D85" s="285" t="s">
        <v>16</v>
      </c>
      <c r="E85" s="285" t="s">
        <v>476</v>
      </c>
      <c r="F85" s="287" t="s">
        <v>654</v>
      </c>
      <c r="G85" s="285" t="s">
        <v>21</v>
      </c>
      <c r="H85" s="285">
        <v>12.0</v>
      </c>
      <c r="I85" s="287" t="s">
        <v>497</v>
      </c>
      <c r="J85" s="292"/>
      <c r="K85" s="287" t="s">
        <v>508</v>
      </c>
      <c r="L85" s="287" t="s">
        <v>497</v>
      </c>
      <c r="M85" s="292"/>
      <c r="N85" s="292"/>
      <c r="O85" s="292"/>
      <c r="P85" s="292"/>
      <c r="Q85" s="287" t="s">
        <v>377</v>
      </c>
      <c r="R85" s="294" t="s">
        <v>32</v>
      </c>
      <c r="S85" s="295" t="s">
        <v>32</v>
      </c>
      <c r="T85" s="287" t="s">
        <v>377</v>
      </c>
      <c r="U85" s="287" t="s">
        <v>377</v>
      </c>
      <c r="V85" s="288" t="s">
        <v>377</v>
      </c>
      <c r="W85" s="294" t="s">
        <v>32</v>
      </c>
      <c r="X85" s="287" t="s">
        <v>377</v>
      </c>
      <c r="Y85" s="295" t="s">
        <v>32</v>
      </c>
      <c r="Z85" s="287" t="s">
        <v>377</v>
      </c>
      <c r="AA85" s="294" t="s">
        <v>32</v>
      </c>
      <c r="AB85" s="295" t="s">
        <v>32</v>
      </c>
      <c r="AC85" s="289" t="s">
        <v>377</v>
      </c>
      <c r="AD85" s="287" t="s">
        <v>377</v>
      </c>
      <c r="AE85" s="287" t="s">
        <v>377</v>
      </c>
      <c r="AF85" s="288" t="s">
        <v>377</v>
      </c>
      <c r="AG85" s="287" t="s">
        <v>377</v>
      </c>
      <c r="AH85" s="294" t="s">
        <v>32</v>
      </c>
      <c r="AI85" s="295" t="s">
        <v>32</v>
      </c>
      <c r="AJ85" s="287" t="s">
        <v>377</v>
      </c>
      <c r="AK85" s="287" t="s">
        <v>377</v>
      </c>
      <c r="AL85" s="288" t="s">
        <v>377</v>
      </c>
      <c r="AM85" s="294" t="s">
        <v>32</v>
      </c>
      <c r="AN85" s="287" t="s">
        <v>377</v>
      </c>
      <c r="AO85" s="295" t="s">
        <v>32</v>
      </c>
      <c r="AP85" s="289" t="s">
        <v>377</v>
      </c>
      <c r="AQ85" s="287" t="s">
        <v>377</v>
      </c>
      <c r="AR85" s="287" t="s">
        <v>18</v>
      </c>
      <c r="AS85" s="288" t="s">
        <v>377</v>
      </c>
      <c r="AT85" s="287" t="s">
        <v>377</v>
      </c>
      <c r="AU85" s="287" t="s">
        <v>18</v>
      </c>
      <c r="AV85" s="288" t="s">
        <v>377</v>
      </c>
      <c r="AW85" s="287" t="s">
        <v>18</v>
      </c>
      <c r="AX85" s="287" t="s">
        <v>377</v>
      </c>
      <c r="AY85" s="288" t="s">
        <v>377</v>
      </c>
      <c r="AZ85" s="287" t="s">
        <v>18</v>
      </c>
      <c r="BA85" s="287" t="s">
        <v>377</v>
      </c>
      <c r="BB85" s="295" t="s">
        <v>32</v>
      </c>
      <c r="BC85" s="289" t="s">
        <v>377</v>
      </c>
      <c r="BD85" s="292"/>
    </row>
    <row r="86" ht="12.75" customHeight="1">
      <c r="A86" s="293">
        <v>45257.394386932865</v>
      </c>
      <c r="B86" s="286" t="s">
        <v>375</v>
      </c>
      <c r="C86" s="287" t="s">
        <v>559</v>
      </c>
      <c r="D86" s="285" t="s">
        <v>16</v>
      </c>
      <c r="E86" s="285" t="s">
        <v>476</v>
      </c>
      <c r="F86" s="287" t="s">
        <v>655</v>
      </c>
      <c r="G86" s="285" t="s">
        <v>21</v>
      </c>
      <c r="H86" s="285">
        <v>11.0</v>
      </c>
      <c r="I86" s="287" t="s">
        <v>497</v>
      </c>
      <c r="J86" s="292"/>
      <c r="K86" s="287" t="s">
        <v>508</v>
      </c>
      <c r="L86" s="287" t="s">
        <v>479</v>
      </c>
      <c r="M86" s="287" t="s">
        <v>495</v>
      </c>
      <c r="N86" s="287" t="s">
        <v>561</v>
      </c>
      <c r="O86" s="287"/>
      <c r="P86" s="287"/>
      <c r="Q86" s="294" t="s">
        <v>32</v>
      </c>
      <c r="R86" s="294" t="s">
        <v>32</v>
      </c>
      <c r="S86" s="295" t="s">
        <v>32</v>
      </c>
      <c r="T86" s="287" t="s">
        <v>377</v>
      </c>
      <c r="U86" s="294" t="s">
        <v>32</v>
      </c>
      <c r="V86" s="295" t="s">
        <v>32</v>
      </c>
      <c r="W86" s="287" t="s">
        <v>377</v>
      </c>
      <c r="X86" s="294" t="s">
        <v>32</v>
      </c>
      <c r="Y86" s="295" t="s">
        <v>32</v>
      </c>
      <c r="Z86" s="287" t="s">
        <v>377</v>
      </c>
      <c r="AA86" s="294" t="s">
        <v>32</v>
      </c>
      <c r="AB86" s="295" t="s">
        <v>32</v>
      </c>
      <c r="AC86" s="296" t="s">
        <v>32</v>
      </c>
      <c r="AD86" s="294" t="s">
        <v>32</v>
      </c>
      <c r="AE86" s="294" t="s">
        <v>32</v>
      </c>
      <c r="AF86" s="295" t="s">
        <v>32</v>
      </c>
      <c r="AG86" s="294" t="s">
        <v>32</v>
      </c>
      <c r="AH86" s="287" t="s">
        <v>18</v>
      </c>
      <c r="AI86" s="288" t="s">
        <v>377</v>
      </c>
      <c r="AJ86" s="294" t="s">
        <v>32</v>
      </c>
      <c r="AK86" s="287" t="s">
        <v>377</v>
      </c>
      <c r="AL86" s="295" t="s">
        <v>32</v>
      </c>
      <c r="AM86" s="287" t="s">
        <v>18</v>
      </c>
      <c r="AN86" s="287" t="s">
        <v>377</v>
      </c>
      <c r="AO86" s="288" t="s">
        <v>377</v>
      </c>
      <c r="AP86" s="289" t="s">
        <v>377</v>
      </c>
      <c r="AQ86" s="294" t="s">
        <v>32</v>
      </c>
      <c r="AR86" s="287" t="s">
        <v>18</v>
      </c>
      <c r="AS86" s="288" t="s">
        <v>377</v>
      </c>
      <c r="AT86" s="287" t="s">
        <v>377</v>
      </c>
      <c r="AU86" s="287" t="s">
        <v>377</v>
      </c>
      <c r="AV86" s="288" t="s">
        <v>377</v>
      </c>
      <c r="AW86" s="287" t="s">
        <v>18</v>
      </c>
      <c r="AX86" s="294" t="s">
        <v>32</v>
      </c>
      <c r="AY86" s="288" t="s">
        <v>377</v>
      </c>
      <c r="AZ86" s="294" t="s">
        <v>32</v>
      </c>
      <c r="BA86" s="294" t="s">
        <v>32</v>
      </c>
      <c r="BB86" s="295" t="s">
        <v>32</v>
      </c>
      <c r="BC86" s="296" t="s">
        <v>32</v>
      </c>
      <c r="BD86" s="292"/>
    </row>
    <row r="87" ht="12.75" customHeight="1">
      <c r="A87" s="293">
        <v>45257.40085201389</v>
      </c>
      <c r="B87" s="286" t="s">
        <v>375</v>
      </c>
      <c r="C87" s="287" t="s">
        <v>559</v>
      </c>
      <c r="D87" s="285" t="s">
        <v>16</v>
      </c>
      <c r="E87" s="285" t="s">
        <v>476</v>
      </c>
      <c r="F87" s="287" t="s">
        <v>656</v>
      </c>
      <c r="G87" s="285" t="s">
        <v>21</v>
      </c>
      <c r="H87" s="285">
        <v>12.0</v>
      </c>
      <c r="I87" s="287" t="s">
        <v>497</v>
      </c>
      <c r="J87" s="292"/>
      <c r="K87" s="287" t="s">
        <v>508</v>
      </c>
      <c r="L87" s="287" t="s">
        <v>479</v>
      </c>
      <c r="M87" s="287" t="s">
        <v>481</v>
      </c>
      <c r="N87" s="287" t="s">
        <v>561</v>
      </c>
      <c r="O87" s="287"/>
      <c r="P87" s="287"/>
      <c r="Q87" s="287" t="s">
        <v>377</v>
      </c>
      <c r="R87" s="287" t="s">
        <v>377</v>
      </c>
      <c r="S87" s="288" t="s">
        <v>377</v>
      </c>
      <c r="T87" s="287" t="s">
        <v>377</v>
      </c>
      <c r="U87" s="294" t="s">
        <v>32</v>
      </c>
      <c r="V87" s="295" t="s">
        <v>32</v>
      </c>
      <c r="W87" s="287" t="s">
        <v>18</v>
      </c>
      <c r="X87" s="287" t="s">
        <v>377</v>
      </c>
      <c r="Y87" s="288" t="s">
        <v>377</v>
      </c>
      <c r="Z87" s="294" t="s">
        <v>32</v>
      </c>
      <c r="AA87" s="287" t="s">
        <v>18</v>
      </c>
      <c r="AB87" s="288" t="s">
        <v>377</v>
      </c>
      <c r="AC87" s="289" t="s">
        <v>377</v>
      </c>
      <c r="AD87" s="294" t="s">
        <v>32</v>
      </c>
      <c r="AE87" s="294" t="s">
        <v>32</v>
      </c>
      <c r="AF87" s="295" t="s">
        <v>32</v>
      </c>
      <c r="AG87" s="294" t="s">
        <v>32</v>
      </c>
      <c r="AH87" s="287" t="s">
        <v>18</v>
      </c>
      <c r="AI87" s="288" t="s">
        <v>377</v>
      </c>
      <c r="AJ87" s="294" t="s">
        <v>32</v>
      </c>
      <c r="AK87" s="294" t="s">
        <v>32</v>
      </c>
      <c r="AL87" s="295" t="s">
        <v>32</v>
      </c>
      <c r="AM87" s="287" t="s">
        <v>18</v>
      </c>
      <c r="AN87" s="287" t="s">
        <v>377</v>
      </c>
      <c r="AO87" s="288" t="s">
        <v>377</v>
      </c>
      <c r="AP87" s="289" t="s">
        <v>377</v>
      </c>
      <c r="AQ87" s="294" t="s">
        <v>32</v>
      </c>
      <c r="AR87" s="294" t="s">
        <v>32</v>
      </c>
      <c r="AS87" s="295" t="s">
        <v>32</v>
      </c>
      <c r="AT87" s="294" t="s">
        <v>32</v>
      </c>
      <c r="AU87" s="287" t="s">
        <v>377</v>
      </c>
      <c r="AV87" s="295" t="s">
        <v>32</v>
      </c>
      <c r="AW87" s="294" t="s">
        <v>32</v>
      </c>
      <c r="AX87" s="294" t="s">
        <v>32</v>
      </c>
      <c r="AY87" s="295" t="s">
        <v>32</v>
      </c>
      <c r="AZ87" s="287" t="s">
        <v>377</v>
      </c>
      <c r="BA87" s="294" t="s">
        <v>32</v>
      </c>
      <c r="BB87" s="288" t="s">
        <v>377</v>
      </c>
      <c r="BC87" s="289" t="s">
        <v>377</v>
      </c>
      <c r="BD87" s="292"/>
    </row>
    <row r="88" ht="12.75" customHeight="1">
      <c r="A88" s="293">
        <v>45257.40835305555</v>
      </c>
      <c r="B88" s="286" t="s">
        <v>375</v>
      </c>
      <c r="C88" s="287" t="s">
        <v>559</v>
      </c>
      <c r="D88" s="285" t="s">
        <v>16</v>
      </c>
      <c r="E88" s="285" t="s">
        <v>476</v>
      </c>
      <c r="F88" s="287" t="s">
        <v>657</v>
      </c>
      <c r="G88" s="285" t="s">
        <v>17</v>
      </c>
      <c r="H88" s="285">
        <v>12.0</v>
      </c>
      <c r="I88" s="287" t="s">
        <v>497</v>
      </c>
      <c r="J88" s="292"/>
      <c r="K88" s="287" t="s">
        <v>508</v>
      </c>
      <c r="L88" s="287" t="s">
        <v>479</v>
      </c>
      <c r="M88" s="287" t="s">
        <v>495</v>
      </c>
      <c r="N88" s="287" t="s">
        <v>561</v>
      </c>
      <c r="O88" s="287"/>
      <c r="P88" s="287"/>
      <c r="Q88" s="287" t="s">
        <v>377</v>
      </c>
      <c r="R88" s="287" t="s">
        <v>377</v>
      </c>
      <c r="S88" s="288" t="s">
        <v>377</v>
      </c>
      <c r="T88" s="287" t="s">
        <v>18</v>
      </c>
      <c r="U88" s="287" t="s">
        <v>18</v>
      </c>
      <c r="V88" s="288" t="s">
        <v>18</v>
      </c>
      <c r="W88" s="287" t="s">
        <v>377</v>
      </c>
      <c r="X88" s="287" t="s">
        <v>18</v>
      </c>
      <c r="Y88" s="288" t="s">
        <v>377</v>
      </c>
      <c r="Z88" s="287" t="s">
        <v>18</v>
      </c>
      <c r="AA88" s="287" t="s">
        <v>377</v>
      </c>
      <c r="AB88" s="288" t="s">
        <v>377</v>
      </c>
      <c r="AC88" s="289" t="s">
        <v>377</v>
      </c>
      <c r="AD88" s="294" t="s">
        <v>32</v>
      </c>
      <c r="AE88" s="294" t="s">
        <v>32</v>
      </c>
      <c r="AF88" s="295" t="s">
        <v>32</v>
      </c>
      <c r="AG88" s="287" t="s">
        <v>377</v>
      </c>
      <c r="AH88" s="287" t="s">
        <v>18</v>
      </c>
      <c r="AI88" s="288" t="s">
        <v>377</v>
      </c>
      <c r="AJ88" s="287" t="s">
        <v>18</v>
      </c>
      <c r="AK88" s="287" t="s">
        <v>18</v>
      </c>
      <c r="AL88" s="288" t="s">
        <v>18</v>
      </c>
      <c r="AM88" s="287" t="s">
        <v>18</v>
      </c>
      <c r="AN88" s="287" t="s">
        <v>18</v>
      </c>
      <c r="AO88" s="288" t="s">
        <v>18</v>
      </c>
      <c r="AP88" s="289" t="s">
        <v>377</v>
      </c>
      <c r="AQ88" s="287" t="s">
        <v>377</v>
      </c>
      <c r="AR88" s="287" t="s">
        <v>18</v>
      </c>
      <c r="AS88" s="288" t="s">
        <v>377</v>
      </c>
      <c r="AT88" s="287" t="s">
        <v>18</v>
      </c>
      <c r="AU88" s="294" t="s">
        <v>32</v>
      </c>
      <c r="AV88" s="288" t="s">
        <v>377</v>
      </c>
      <c r="AW88" s="294" t="s">
        <v>32</v>
      </c>
      <c r="AX88" s="294" t="s">
        <v>32</v>
      </c>
      <c r="AY88" s="295" t="s">
        <v>32</v>
      </c>
      <c r="AZ88" s="294" t="s">
        <v>32</v>
      </c>
      <c r="BA88" s="294" t="s">
        <v>32</v>
      </c>
      <c r="BB88" s="295" t="s">
        <v>32</v>
      </c>
      <c r="BC88" s="296" t="s">
        <v>32</v>
      </c>
      <c r="BD88" s="292"/>
    </row>
    <row r="89" ht="12.75" customHeight="1">
      <c r="A89" s="293">
        <v>45257.415897071754</v>
      </c>
      <c r="B89" s="286" t="s">
        <v>375</v>
      </c>
      <c r="C89" s="287" t="s">
        <v>559</v>
      </c>
      <c r="D89" s="285" t="s">
        <v>16</v>
      </c>
      <c r="E89" s="285" t="s">
        <v>476</v>
      </c>
      <c r="F89" s="287" t="s">
        <v>658</v>
      </c>
      <c r="G89" s="285" t="s">
        <v>17</v>
      </c>
      <c r="H89" s="285">
        <v>12.0</v>
      </c>
      <c r="I89" s="287" t="s">
        <v>497</v>
      </c>
      <c r="J89" s="292"/>
      <c r="K89" s="287" t="s">
        <v>508</v>
      </c>
      <c r="L89" s="287" t="s">
        <v>479</v>
      </c>
      <c r="M89" s="287" t="s">
        <v>483</v>
      </c>
      <c r="N89" s="287" t="s">
        <v>561</v>
      </c>
      <c r="O89" s="287"/>
      <c r="P89" s="287"/>
      <c r="Q89" s="294" t="s">
        <v>32</v>
      </c>
      <c r="R89" s="287" t="s">
        <v>377</v>
      </c>
      <c r="S89" s="295" t="s">
        <v>32</v>
      </c>
      <c r="T89" s="287" t="s">
        <v>377</v>
      </c>
      <c r="U89" s="294" t="s">
        <v>32</v>
      </c>
      <c r="V89" s="295" t="s">
        <v>32</v>
      </c>
      <c r="W89" s="287" t="s">
        <v>377</v>
      </c>
      <c r="X89" s="287" t="s">
        <v>377</v>
      </c>
      <c r="Y89" s="288" t="s">
        <v>377</v>
      </c>
      <c r="Z89" s="287" t="s">
        <v>18</v>
      </c>
      <c r="AA89" s="287" t="s">
        <v>377</v>
      </c>
      <c r="AB89" s="288" t="s">
        <v>377</v>
      </c>
      <c r="AC89" s="289" t="s">
        <v>377</v>
      </c>
      <c r="AD89" s="294" t="s">
        <v>32</v>
      </c>
      <c r="AE89" s="287" t="s">
        <v>377</v>
      </c>
      <c r="AF89" s="295" t="s">
        <v>32</v>
      </c>
      <c r="AG89" s="287" t="s">
        <v>377</v>
      </c>
      <c r="AH89" s="287" t="s">
        <v>377</v>
      </c>
      <c r="AI89" s="288" t="s">
        <v>377</v>
      </c>
      <c r="AJ89" s="287" t="s">
        <v>18</v>
      </c>
      <c r="AK89" s="287" t="s">
        <v>18</v>
      </c>
      <c r="AL89" s="288" t="s">
        <v>18</v>
      </c>
      <c r="AM89" s="287" t="s">
        <v>18</v>
      </c>
      <c r="AN89" s="287" t="s">
        <v>18</v>
      </c>
      <c r="AO89" s="288" t="s">
        <v>18</v>
      </c>
      <c r="AP89" s="289" t="s">
        <v>377</v>
      </c>
      <c r="AQ89" s="287" t="s">
        <v>18</v>
      </c>
      <c r="AR89" s="287" t="s">
        <v>18</v>
      </c>
      <c r="AS89" s="288" t="s">
        <v>18</v>
      </c>
      <c r="AT89" s="287" t="s">
        <v>377</v>
      </c>
      <c r="AU89" s="287" t="s">
        <v>377</v>
      </c>
      <c r="AV89" s="288" t="s">
        <v>377</v>
      </c>
      <c r="AW89" s="287" t="s">
        <v>377</v>
      </c>
      <c r="AX89" s="287" t="s">
        <v>377</v>
      </c>
      <c r="AY89" s="288" t="s">
        <v>377</v>
      </c>
      <c r="AZ89" s="294" t="s">
        <v>32</v>
      </c>
      <c r="BA89" s="287" t="s">
        <v>377</v>
      </c>
      <c r="BB89" s="295" t="s">
        <v>32</v>
      </c>
      <c r="BC89" s="289" t="s">
        <v>377</v>
      </c>
      <c r="BD89" s="292"/>
    </row>
    <row r="90" ht="12.75" customHeight="1">
      <c r="A90" s="293">
        <v>45257.417080115745</v>
      </c>
      <c r="B90" s="286" t="s">
        <v>375</v>
      </c>
      <c r="C90" s="287" t="s">
        <v>559</v>
      </c>
      <c r="D90" s="285" t="s">
        <v>16</v>
      </c>
      <c r="E90" s="285" t="s">
        <v>476</v>
      </c>
      <c r="F90" s="287" t="s">
        <v>659</v>
      </c>
      <c r="G90" s="285" t="s">
        <v>17</v>
      </c>
      <c r="H90" s="285">
        <v>12.0</v>
      </c>
      <c r="I90" s="287" t="s">
        <v>497</v>
      </c>
      <c r="J90" s="292"/>
      <c r="K90" s="287" t="s">
        <v>508</v>
      </c>
      <c r="L90" s="287" t="s">
        <v>479</v>
      </c>
      <c r="M90" s="287" t="s">
        <v>481</v>
      </c>
      <c r="N90" s="287" t="s">
        <v>561</v>
      </c>
      <c r="O90" s="287"/>
      <c r="P90" s="287"/>
      <c r="Q90" s="294" t="s">
        <v>32</v>
      </c>
      <c r="R90" s="287" t="s">
        <v>377</v>
      </c>
      <c r="S90" s="295" t="s">
        <v>32</v>
      </c>
      <c r="T90" s="287" t="s">
        <v>18</v>
      </c>
      <c r="U90" s="294" t="s">
        <v>32</v>
      </c>
      <c r="V90" s="288" t="s">
        <v>377</v>
      </c>
      <c r="W90" s="287" t="s">
        <v>18</v>
      </c>
      <c r="X90" s="287" t="s">
        <v>18</v>
      </c>
      <c r="Y90" s="288" t="s">
        <v>18</v>
      </c>
      <c r="Z90" s="287" t="s">
        <v>377</v>
      </c>
      <c r="AA90" s="287" t="s">
        <v>18</v>
      </c>
      <c r="AB90" s="288" t="s">
        <v>377</v>
      </c>
      <c r="AC90" s="289" t="s">
        <v>377</v>
      </c>
      <c r="AD90" s="294" t="s">
        <v>32</v>
      </c>
      <c r="AE90" s="294" t="s">
        <v>32</v>
      </c>
      <c r="AF90" s="295" t="s">
        <v>32</v>
      </c>
      <c r="AG90" s="294" t="s">
        <v>32</v>
      </c>
      <c r="AH90" s="287" t="s">
        <v>18</v>
      </c>
      <c r="AI90" s="288" t="s">
        <v>377</v>
      </c>
      <c r="AJ90" s="294" t="s">
        <v>32</v>
      </c>
      <c r="AK90" s="287" t="s">
        <v>18</v>
      </c>
      <c r="AL90" s="288" t="s">
        <v>377</v>
      </c>
      <c r="AM90" s="287" t="s">
        <v>18</v>
      </c>
      <c r="AN90" s="287" t="s">
        <v>18</v>
      </c>
      <c r="AO90" s="288" t="s">
        <v>18</v>
      </c>
      <c r="AP90" s="289" t="s">
        <v>377</v>
      </c>
      <c r="AQ90" s="294" t="s">
        <v>32</v>
      </c>
      <c r="AR90" s="287" t="s">
        <v>377</v>
      </c>
      <c r="AS90" s="295" t="s">
        <v>32</v>
      </c>
      <c r="AT90" s="294" t="s">
        <v>32</v>
      </c>
      <c r="AU90" s="294" t="s">
        <v>32</v>
      </c>
      <c r="AV90" s="295" t="s">
        <v>32</v>
      </c>
      <c r="AW90" s="294" t="s">
        <v>32</v>
      </c>
      <c r="AX90" s="287" t="s">
        <v>377</v>
      </c>
      <c r="AY90" s="295" t="s">
        <v>32</v>
      </c>
      <c r="AZ90" s="287" t="s">
        <v>377</v>
      </c>
      <c r="BA90" s="294" t="s">
        <v>32</v>
      </c>
      <c r="BB90" s="295" t="s">
        <v>32</v>
      </c>
      <c r="BC90" s="296" t="s">
        <v>32</v>
      </c>
      <c r="BD90" s="292"/>
    </row>
    <row r="91" ht="12.75" customHeight="1">
      <c r="A91" s="293">
        <v>45257.41719206018</v>
      </c>
      <c r="B91" s="286" t="s">
        <v>375</v>
      </c>
      <c r="C91" s="287" t="s">
        <v>559</v>
      </c>
      <c r="D91" s="285" t="s">
        <v>16</v>
      </c>
      <c r="E91" s="285" t="s">
        <v>476</v>
      </c>
      <c r="F91" s="287" t="s">
        <v>660</v>
      </c>
      <c r="G91" s="285" t="s">
        <v>17</v>
      </c>
      <c r="H91" s="285">
        <v>11.0</v>
      </c>
      <c r="I91" s="287" t="s">
        <v>497</v>
      </c>
      <c r="J91" s="292"/>
      <c r="K91" s="287" t="s">
        <v>508</v>
      </c>
      <c r="L91" s="287" t="s">
        <v>479</v>
      </c>
      <c r="M91" s="287" t="s">
        <v>495</v>
      </c>
      <c r="N91" s="287" t="s">
        <v>561</v>
      </c>
      <c r="O91" s="287"/>
      <c r="P91" s="287"/>
      <c r="Q91" s="294" t="s">
        <v>32</v>
      </c>
      <c r="R91" s="294" t="s">
        <v>32</v>
      </c>
      <c r="S91" s="295" t="s">
        <v>32</v>
      </c>
      <c r="T91" s="294" t="s">
        <v>32</v>
      </c>
      <c r="U91" s="294" t="s">
        <v>32</v>
      </c>
      <c r="V91" s="295" t="s">
        <v>32</v>
      </c>
      <c r="W91" s="294" t="s">
        <v>32</v>
      </c>
      <c r="X91" s="294" t="s">
        <v>32</v>
      </c>
      <c r="Y91" s="295" t="s">
        <v>32</v>
      </c>
      <c r="Z91" s="294" t="s">
        <v>32</v>
      </c>
      <c r="AA91" s="294" t="s">
        <v>32</v>
      </c>
      <c r="AB91" s="295" t="s">
        <v>32</v>
      </c>
      <c r="AC91" s="296" t="s">
        <v>32</v>
      </c>
      <c r="AD91" s="294" t="s">
        <v>32</v>
      </c>
      <c r="AE91" s="294" t="s">
        <v>32</v>
      </c>
      <c r="AF91" s="295" t="s">
        <v>32</v>
      </c>
      <c r="AG91" s="294" t="s">
        <v>32</v>
      </c>
      <c r="AH91" s="294" t="s">
        <v>32</v>
      </c>
      <c r="AI91" s="295" t="s">
        <v>32</v>
      </c>
      <c r="AJ91" s="294" t="s">
        <v>32</v>
      </c>
      <c r="AK91" s="294" t="s">
        <v>32</v>
      </c>
      <c r="AL91" s="295" t="s">
        <v>32</v>
      </c>
      <c r="AM91" s="294" t="s">
        <v>32</v>
      </c>
      <c r="AN91" s="294" t="s">
        <v>32</v>
      </c>
      <c r="AO91" s="295" t="s">
        <v>32</v>
      </c>
      <c r="AP91" s="296" t="s">
        <v>32</v>
      </c>
      <c r="AQ91" s="294" t="s">
        <v>32</v>
      </c>
      <c r="AR91" s="294" t="s">
        <v>32</v>
      </c>
      <c r="AS91" s="295" t="s">
        <v>32</v>
      </c>
      <c r="AT91" s="294" t="s">
        <v>32</v>
      </c>
      <c r="AU91" s="294" t="s">
        <v>32</v>
      </c>
      <c r="AV91" s="295" t="s">
        <v>32</v>
      </c>
      <c r="AW91" s="294" t="s">
        <v>32</v>
      </c>
      <c r="AX91" s="294" t="s">
        <v>32</v>
      </c>
      <c r="AY91" s="295" t="s">
        <v>32</v>
      </c>
      <c r="AZ91" s="294" t="s">
        <v>32</v>
      </c>
      <c r="BA91" s="294" t="s">
        <v>32</v>
      </c>
      <c r="BB91" s="288" t="s">
        <v>377</v>
      </c>
      <c r="BC91" s="289" t="s">
        <v>377</v>
      </c>
      <c r="BD91" s="292"/>
    </row>
    <row r="92" ht="12.75" customHeight="1">
      <c r="A92" s="293">
        <v>45257.41857987268</v>
      </c>
      <c r="B92" s="286" t="s">
        <v>375</v>
      </c>
      <c r="C92" s="287" t="s">
        <v>559</v>
      </c>
      <c r="D92" s="285" t="s">
        <v>16</v>
      </c>
      <c r="E92" s="285" t="s">
        <v>476</v>
      </c>
      <c r="F92" s="287" t="s">
        <v>661</v>
      </c>
      <c r="G92" s="285" t="s">
        <v>17</v>
      </c>
      <c r="H92" s="285">
        <v>11.0</v>
      </c>
      <c r="I92" s="287" t="s">
        <v>497</v>
      </c>
      <c r="J92" s="292"/>
      <c r="K92" s="287" t="s">
        <v>508</v>
      </c>
      <c r="L92" s="287" t="s">
        <v>497</v>
      </c>
      <c r="M92" s="292"/>
      <c r="N92" s="292"/>
      <c r="O92" s="292"/>
      <c r="P92" s="292"/>
      <c r="Q92" s="294" t="s">
        <v>32</v>
      </c>
      <c r="R92" s="294" t="s">
        <v>32</v>
      </c>
      <c r="S92" s="295" t="s">
        <v>32</v>
      </c>
      <c r="T92" s="287" t="s">
        <v>377</v>
      </c>
      <c r="U92" s="294" t="s">
        <v>32</v>
      </c>
      <c r="V92" s="295" t="s">
        <v>32</v>
      </c>
      <c r="W92" s="294" t="s">
        <v>32</v>
      </c>
      <c r="X92" s="287" t="s">
        <v>18</v>
      </c>
      <c r="Y92" s="288" t="s">
        <v>377</v>
      </c>
      <c r="Z92" s="294" t="s">
        <v>32</v>
      </c>
      <c r="AA92" s="294" t="s">
        <v>32</v>
      </c>
      <c r="AB92" s="295" t="s">
        <v>32</v>
      </c>
      <c r="AC92" s="296" t="s">
        <v>32</v>
      </c>
      <c r="AD92" s="287" t="s">
        <v>377</v>
      </c>
      <c r="AE92" s="287" t="s">
        <v>377</v>
      </c>
      <c r="AF92" s="288" t="s">
        <v>377</v>
      </c>
      <c r="AG92" s="287" t="s">
        <v>377</v>
      </c>
      <c r="AH92" s="287" t="s">
        <v>377</v>
      </c>
      <c r="AI92" s="288" t="s">
        <v>377</v>
      </c>
      <c r="AJ92" s="294" t="s">
        <v>32</v>
      </c>
      <c r="AK92" s="287" t="s">
        <v>377</v>
      </c>
      <c r="AL92" s="295" t="s">
        <v>32</v>
      </c>
      <c r="AM92" s="287" t="s">
        <v>18</v>
      </c>
      <c r="AN92" s="287" t="s">
        <v>377</v>
      </c>
      <c r="AO92" s="288" t="s">
        <v>377</v>
      </c>
      <c r="AP92" s="289" t="s">
        <v>377</v>
      </c>
      <c r="AQ92" s="294" t="s">
        <v>32</v>
      </c>
      <c r="AR92" s="287" t="s">
        <v>18</v>
      </c>
      <c r="AS92" s="288" t="s">
        <v>377</v>
      </c>
      <c r="AT92" s="294" t="s">
        <v>32</v>
      </c>
      <c r="AU92" s="287" t="s">
        <v>377</v>
      </c>
      <c r="AV92" s="295" t="s">
        <v>32</v>
      </c>
      <c r="AW92" s="294" t="s">
        <v>32</v>
      </c>
      <c r="AX92" s="294" t="s">
        <v>32</v>
      </c>
      <c r="AY92" s="295" t="s">
        <v>32</v>
      </c>
      <c r="AZ92" s="294" t="s">
        <v>32</v>
      </c>
      <c r="BA92" s="294" t="s">
        <v>32</v>
      </c>
      <c r="BB92" s="295" t="s">
        <v>32</v>
      </c>
      <c r="BC92" s="296" t="s">
        <v>32</v>
      </c>
      <c r="BD92" s="292"/>
    </row>
    <row r="93" ht="12.75" customHeight="1">
      <c r="A93" s="293">
        <v>45257.41978084491</v>
      </c>
      <c r="B93" s="286" t="s">
        <v>375</v>
      </c>
      <c r="C93" s="287" t="s">
        <v>559</v>
      </c>
      <c r="D93" s="285" t="s">
        <v>16</v>
      </c>
      <c r="E93" s="285" t="s">
        <v>476</v>
      </c>
      <c r="F93" s="287" t="s">
        <v>662</v>
      </c>
      <c r="G93" s="285" t="s">
        <v>21</v>
      </c>
      <c r="H93" s="285">
        <v>11.0</v>
      </c>
      <c r="I93" s="287" t="s">
        <v>497</v>
      </c>
      <c r="J93" s="292"/>
      <c r="K93" s="287" t="s">
        <v>508</v>
      </c>
      <c r="L93" s="287" t="s">
        <v>497</v>
      </c>
      <c r="M93" s="292"/>
      <c r="N93" s="292"/>
      <c r="O93" s="292"/>
      <c r="P93" s="292"/>
      <c r="Q93" s="294" t="s">
        <v>32</v>
      </c>
      <c r="R93" s="294" t="s">
        <v>32</v>
      </c>
      <c r="S93" s="295" t="s">
        <v>32</v>
      </c>
      <c r="T93" s="287" t="s">
        <v>377</v>
      </c>
      <c r="U93" s="294" t="s">
        <v>32</v>
      </c>
      <c r="V93" s="295" t="s">
        <v>32</v>
      </c>
      <c r="W93" s="294" t="s">
        <v>32</v>
      </c>
      <c r="X93" s="287" t="s">
        <v>377</v>
      </c>
      <c r="Y93" s="295" t="s">
        <v>32</v>
      </c>
      <c r="Z93" s="294" t="s">
        <v>32</v>
      </c>
      <c r="AA93" s="294" t="s">
        <v>32</v>
      </c>
      <c r="AB93" s="295" t="s">
        <v>32</v>
      </c>
      <c r="AC93" s="296" t="s">
        <v>32</v>
      </c>
      <c r="AD93" s="287" t="s">
        <v>377</v>
      </c>
      <c r="AE93" s="287" t="s">
        <v>377</v>
      </c>
      <c r="AF93" s="288" t="s">
        <v>377</v>
      </c>
      <c r="AG93" s="287" t="s">
        <v>18</v>
      </c>
      <c r="AH93" s="287" t="s">
        <v>18</v>
      </c>
      <c r="AI93" s="288" t="s">
        <v>18</v>
      </c>
      <c r="AJ93" s="294" t="s">
        <v>32</v>
      </c>
      <c r="AK93" s="287" t="s">
        <v>377</v>
      </c>
      <c r="AL93" s="295" t="s">
        <v>32</v>
      </c>
      <c r="AM93" s="287" t="s">
        <v>18</v>
      </c>
      <c r="AN93" s="287" t="s">
        <v>377</v>
      </c>
      <c r="AO93" s="288" t="s">
        <v>377</v>
      </c>
      <c r="AP93" s="289" t="s">
        <v>377</v>
      </c>
      <c r="AQ93" s="294" t="s">
        <v>32</v>
      </c>
      <c r="AR93" s="287" t="s">
        <v>377</v>
      </c>
      <c r="AS93" s="295" t="s">
        <v>32</v>
      </c>
      <c r="AT93" s="287" t="s">
        <v>18</v>
      </c>
      <c r="AU93" s="294" t="s">
        <v>32</v>
      </c>
      <c r="AV93" s="288" t="s">
        <v>377</v>
      </c>
      <c r="AW93" s="287" t="s">
        <v>18</v>
      </c>
      <c r="AX93" s="294" t="s">
        <v>32</v>
      </c>
      <c r="AY93" s="288" t="s">
        <v>377</v>
      </c>
      <c r="AZ93" s="294" t="s">
        <v>32</v>
      </c>
      <c r="BA93" s="294" t="s">
        <v>32</v>
      </c>
      <c r="BB93" s="288" t="s">
        <v>18</v>
      </c>
      <c r="BC93" s="289" t="s">
        <v>18</v>
      </c>
      <c r="BD93" s="292"/>
    </row>
    <row r="94" ht="12.75" customHeight="1">
      <c r="A94" s="293">
        <v>45257.423493842594</v>
      </c>
      <c r="B94" s="286" t="s">
        <v>375</v>
      </c>
      <c r="C94" s="287" t="s">
        <v>559</v>
      </c>
      <c r="D94" s="285" t="s">
        <v>16</v>
      </c>
      <c r="E94" s="285" t="s">
        <v>476</v>
      </c>
      <c r="F94" s="287" t="s">
        <v>663</v>
      </c>
      <c r="G94" s="285" t="s">
        <v>21</v>
      </c>
      <c r="H94" s="285">
        <v>12.0</v>
      </c>
      <c r="I94" s="287" t="s">
        <v>497</v>
      </c>
      <c r="J94" s="292"/>
      <c r="K94" s="287" t="s">
        <v>508</v>
      </c>
      <c r="L94" s="287" t="s">
        <v>479</v>
      </c>
      <c r="M94" s="287" t="s">
        <v>483</v>
      </c>
      <c r="N94" s="287" t="s">
        <v>561</v>
      </c>
      <c r="O94" s="287"/>
      <c r="P94" s="287"/>
      <c r="Q94" s="294" t="s">
        <v>32</v>
      </c>
      <c r="R94" s="294" t="s">
        <v>32</v>
      </c>
      <c r="S94" s="295" t="s">
        <v>32</v>
      </c>
      <c r="T94" s="294" t="s">
        <v>32</v>
      </c>
      <c r="U94" s="287" t="s">
        <v>377</v>
      </c>
      <c r="V94" s="295" t="s">
        <v>32</v>
      </c>
      <c r="W94" s="294" t="s">
        <v>32</v>
      </c>
      <c r="X94" s="294" t="s">
        <v>32</v>
      </c>
      <c r="Y94" s="295" t="s">
        <v>32</v>
      </c>
      <c r="Z94" s="287" t="s">
        <v>377</v>
      </c>
      <c r="AA94" s="294" t="s">
        <v>32</v>
      </c>
      <c r="AB94" s="295" t="s">
        <v>32</v>
      </c>
      <c r="AC94" s="296" t="s">
        <v>32</v>
      </c>
      <c r="AD94" s="287" t="s">
        <v>377</v>
      </c>
      <c r="AE94" s="294" t="s">
        <v>32</v>
      </c>
      <c r="AF94" s="295" t="s">
        <v>32</v>
      </c>
      <c r="AG94" s="294" t="s">
        <v>32</v>
      </c>
      <c r="AH94" s="287" t="s">
        <v>18</v>
      </c>
      <c r="AI94" s="288" t="s">
        <v>377</v>
      </c>
      <c r="AJ94" s="294" t="s">
        <v>32</v>
      </c>
      <c r="AK94" s="294" t="s">
        <v>32</v>
      </c>
      <c r="AL94" s="295" t="s">
        <v>32</v>
      </c>
      <c r="AM94" s="287" t="s">
        <v>377</v>
      </c>
      <c r="AN94" s="287" t="s">
        <v>377</v>
      </c>
      <c r="AO94" s="288" t="s">
        <v>377</v>
      </c>
      <c r="AP94" s="289" t="s">
        <v>377</v>
      </c>
      <c r="AQ94" s="294" t="s">
        <v>32</v>
      </c>
      <c r="AR94" s="287" t="s">
        <v>377</v>
      </c>
      <c r="AS94" s="295" t="s">
        <v>32</v>
      </c>
      <c r="AT94" s="294" t="s">
        <v>32</v>
      </c>
      <c r="AU94" s="294" t="s">
        <v>32</v>
      </c>
      <c r="AV94" s="295" t="s">
        <v>32</v>
      </c>
      <c r="AW94" s="287" t="s">
        <v>377</v>
      </c>
      <c r="AX94" s="294" t="s">
        <v>32</v>
      </c>
      <c r="AY94" s="295" t="s">
        <v>32</v>
      </c>
      <c r="AZ94" s="294" t="s">
        <v>32</v>
      </c>
      <c r="BA94" s="287" t="s">
        <v>377</v>
      </c>
      <c r="BB94" s="288" t="s">
        <v>18</v>
      </c>
      <c r="BC94" s="289" t="s">
        <v>18</v>
      </c>
      <c r="BD94" s="292"/>
    </row>
    <row r="95" ht="12.75" customHeight="1">
      <c r="A95" s="293">
        <v>45257.42619783565</v>
      </c>
      <c r="B95" s="286" t="s">
        <v>375</v>
      </c>
      <c r="C95" s="287" t="s">
        <v>559</v>
      </c>
      <c r="D95" s="285" t="s">
        <v>16</v>
      </c>
      <c r="E95" s="285" t="s">
        <v>476</v>
      </c>
      <c r="F95" s="287" t="s">
        <v>664</v>
      </c>
      <c r="G95" s="285" t="s">
        <v>21</v>
      </c>
      <c r="H95" s="285">
        <v>12.0</v>
      </c>
      <c r="I95" s="287" t="s">
        <v>497</v>
      </c>
      <c r="J95" s="292"/>
      <c r="K95" s="287" t="s">
        <v>508</v>
      </c>
      <c r="L95" s="287" t="s">
        <v>497</v>
      </c>
      <c r="M95" s="292"/>
      <c r="N95" s="292"/>
      <c r="O95" s="292"/>
      <c r="P95" s="292"/>
      <c r="Q95" s="294" t="s">
        <v>32</v>
      </c>
      <c r="R95" s="294" t="s">
        <v>32</v>
      </c>
      <c r="S95" s="295" t="s">
        <v>32</v>
      </c>
      <c r="T95" s="287" t="s">
        <v>18</v>
      </c>
      <c r="U95" s="294" t="s">
        <v>32</v>
      </c>
      <c r="V95" s="288" t="s">
        <v>377</v>
      </c>
      <c r="W95" s="287" t="s">
        <v>18</v>
      </c>
      <c r="X95" s="287" t="s">
        <v>18</v>
      </c>
      <c r="Y95" s="288" t="s">
        <v>18</v>
      </c>
      <c r="Z95" s="294" t="s">
        <v>32</v>
      </c>
      <c r="AA95" s="287" t="s">
        <v>18</v>
      </c>
      <c r="AB95" s="288" t="s">
        <v>377</v>
      </c>
      <c r="AC95" s="289" t="s">
        <v>377</v>
      </c>
      <c r="AD95" s="294" t="s">
        <v>32</v>
      </c>
      <c r="AE95" s="294" t="s">
        <v>32</v>
      </c>
      <c r="AF95" s="295" t="s">
        <v>32</v>
      </c>
      <c r="AG95" s="294" t="s">
        <v>32</v>
      </c>
      <c r="AH95" s="287" t="s">
        <v>377</v>
      </c>
      <c r="AI95" s="295" t="s">
        <v>32</v>
      </c>
      <c r="AJ95" s="287" t="s">
        <v>377</v>
      </c>
      <c r="AK95" s="287" t="s">
        <v>377</v>
      </c>
      <c r="AL95" s="288" t="s">
        <v>377</v>
      </c>
      <c r="AM95" s="287" t="s">
        <v>377</v>
      </c>
      <c r="AN95" s="287" t="s">
        <v>377</v>
      </c>
      <c r="AO95" s="288" t="s">
        <v>377</v>
      </c>
      <c r="AP95" s="289" t="s">
        <v>377</v>
      </c>
      <c r="AQ95" s="294" t="s">
        <v>32</v>
      </c>
      <c r="AR95" s="287" t="s">
        <v>377</v>
      </c>
      <c r="AS95" s="295" t="s">
        <v>32</v>
      </c>
      <c r="AT95" s="287" t="s">
        <v>377</v>
      </c>
      <c r="AU95" s="294" t="s">
        <v>32</v>
      </c>
      <c r="AV95" s="295" t="s">
        <v>32</v>
      </c>
      <c r="AW95" s="287" t="s">
        <v>377</v>
      </c>
      <c r="AX95" s="287" t="s">
        <v>377</v>
      </c>
      <c r="AY95" s="288" t="s">
        <v>377</v>
      </c>
      <c r="AZ95" s="294" t="s">
        <v>32</v>
      </c>
      <c r="BA95" s="287" t="s">
        <v>377</v>
      </c>
      <c r="BB95" s="288" t="s">
        <v>18</v>
      </c>
      <c r="BC95" s="289" t="s">
        <v>18</v>
      </c>
      <c r="BD95" s="292"/>
    </row>
    <row r="96" ht="12.75" customHeight="1">
      <c r="A96" s="293">
        <v>45257.426388078704</v>
      </c>
      <c r="B96" s="286" t="s">
        <v>375</v>
      </c>
      <c r="C96" s="287" t="s">
        <v>559</v>
      </c>
      <c r="D96" s="285" t="s">
        <v>16</v>
      </c>
      <c r="E96" s="285" t="s">
        <v>476</v>
      </c>
      <c r="F96" s="287" t="s">
        <v>665</v>
      </c>
      <c r="G96" s="285" t="s">
        <v>17</v>
      </c>
      <c r="H96" s="285">
        <v>11.0</v>
      </c>
      <c r="I96" s="287" t="s">
        <v>497</v>
      </c>
      <c r="J96" s="292"/>
      <c r="K96" s="287" t="s">
        <v>508</v>
      </c>
      <c r="L96" s="287" t="s">
        <v>497</v>
      </c>
      <c r="M96" s="292"/>
      <c r="N96" s="292"/>
      <c r="O96" s="292"/>
      <c r="P96" s="292"/>
      <c r="Q96" s="294" t="s">
        <v>32</v>
      </c>
      <c r="R96" s="287" t="s">
        <v>377</v>
      </c>
      <c r="S96" s="295" t="s">
        <v>32</v>
      </c>
      <c r="T96" s="287" t="s">
        <v>377</v>
      </c>
      <c r="U96" s="294" t="s">
        <v>32</v>
      </c>
      <c r="V96" s="295" t="s">
        <v>32</v>
      </c>
      <c r="W96" s="294" t="s">
        <v>32</v>
      </c>
      <c r="X96" s="294" t="s">
        <v>32</v>
      </c>
      <c r="Y96" s="295" t="s">
        <v>32</v>
      </c>
      <c r="Z96" s="294" t="s">
        <v>32</v>
      </c>
      <c r="AA96" s="294" t="s">
        <v>32</v>
      </c>
      <c r="AB96" s="295" t="s">
        <v>32</v>
      </c>
      <c r="AC96" s="296" t="s">
        <v>32</v>
      </c>
      <c r="AD96" s="287" t="s">
        <v>18</v>
      </c>
      <c r="AE96" s="294" t="s">
        <v>32</v>
      </c>
      <c r="AF96" s="288" t="s">
        <v>377</v>
      </c>
      <c r="AG96" s="287" t="s">
        <v>377</v>
      </c>
      <c r="AH96" s="294" t="s">
        <v>32</v>
      </c>
      <c r="AI96" s="295" t="s">
        <v>32</v>
      </c>
      <c r="AJ96" s="287" t="s">
        <v>377</v>
      </c>
      <c r="AK96" s="287" t="s">
        <v>377</v>
      </c>
      <c r="AL96" s="288" t="s">
        <v>377</v>
      </c>
      <c r="AM96" s="287" t="s">
        <v>18</v>
      </c>
      <c r="AN96" s="287" t="s">
        <v>377</v>
      </c>
      <c r="AO96" s="288" t="s">
        <v>377</v>
      </c>
      <c r="AP96" s="289" t="s">
        <v>377</v>
      </c>
      <c r="AQ96" s="294" t="s">
        <v>32</v>
      </c>
      <c r="AR96" s="294" t="s">
        <v>32</v>
      </c>
      <c r="AS96" s="295" t="s">
        <v>32</v>
      </c>
      <c r="AT96" s="294" t="s">
        <v>32</v>
      </c>
      <c r="AU96" s="294" t="s">
        <v>32</v>
      </c>
      <c r="AV96" s="295" t="s">
        <v>32</v>
      </c>
      <c r="AW96" s="287" t="s">
        <v>377</v>
      </c>
      <c r="AX96" s="294" t="s">
        <v>32</v>
      </c>
      <c r="AY96" s="295" t="s">
        <v>32</v>
      </c>
      <c r="AZ96" s="294" t="s">
        <v>32</v>
      </c>
      <c r="BA96" s="294" t="s">
        <v>32</v>
      </c>
      <c r="BB96" s="288" t="s">
        <v>18</v>
      </c>
      <c r="BC96" s="289" t="s">
        <v>18</v>
      </c>
      <c r="BD96" s="292"/>
    </row>
    <row r="97" ht="12.75" customHeight="1">
      <c r="A97" s="293">
        <v>45257.427539212964</v>
      </c>
      <c r="B97" s="286" t="s">
        <v>375</v>
      </c>
      <c r="C97" s="287" t="s">
        <v>559</v>
      </c>
      <c r="D97" s="285" t="s">
        <v>16</v>
      </c>
      <c r="E97" s="285" t="s">
        <v>476</v>
      </c>
      <c r="F97" s="287" t="s">
        <v>666</v>
      </c>
      <c r="G97" s="285" t="s">
        <v>21</v>
      </c>
      <c r="H97" s="285">
        <v>12.0</v>
      </c>
      <c r="I97" s="287" t="s">
        <v>497</v>
      </c>
      <c r="J97" s="292"/>
      <c r="K97" s="287" t="s">
        <v>508</v>
      </c>
      <c r="L97" s="287" t="s">
        <v>497</v>
      </c>
      <c r="M97" s="292"/>
      <c r="N97" s="292"/>
      <c r="O97" s="292"/>
      <c r="P97" s="292"/>
      <c r="Q97" s="294" t="s">
        <v>32</v>
      </c>
      <c r="R97" s="294" t="s">
        <v>32</v>
      </c>
      <c r="S97" s="295" t="s">
        <v>32</v>
      </c>
      <c r="T97" s="294" t="s">
        <v>32</v>
      </c>
      <c r="U97" s="294" t="s">
        <v>32</v>
      </c>
      <c r="V97" s="295" t="s">
        <v>32</v>
      </c>
      <c r="W97" s="294" t="s">
        <v>32</v>
      </c>
      <c r="X97" s="294" t="s">
        <v>32</v>
      </c>
      <c r="Y97" s="295" t="s">
        <v>32</v>
      </c>
      <c r="Z97" s="294" t="s">
        <v>32</v>
      </c>
      <c r="AA97" s="294" t="s">
        <v>32</v>
      </c>
      <c r="AB97" s="295" t="s">
        <v>32</v>
      </c>
      <c r="AC97" s="296" t="s">
        <v>32</v>
      </c>
      <c r="AD97" s="294" t="s">
        <v>32</v>
      </c>
      <c r="AE97" s="294" t="s">
        <v>32</v>
      </c>
      <c r="AF97" s="295" t="s">
        <v>32</v>
      </c>
      <c r="AG97" s="294" t="s">
        <v>32</v>
      </c>
      <c r="AH97" s="294" t="s">
        <v>32</v>
      </c>
      <c r="AI97" s="295" t="s">
        <v>32</v>
      </c>
      <c r="AJ97" s="294" t="s">
        <v>32</v>
      </c>
      <c r="AK97" s="294" t="s">
        <v>32</v>
      </c>
      <c r="AL97" s="295" t="s">
        <v>32</v>
      </c>
      <c r="AM97" s="294" t="s">
        <v>32</v>
      </c>
      <c r="AN97" s="294" t="s">
        <v>32</v>
      </c>
      <c r="AO97" s="295" t="s">
        <v>32</v>
      </c>
      <c r="AP97" s="296" t="s">
        <v>32</v>
      </c>
      <c r="AQ97" s="294" t="s">
        <v>32</v>
      </c>
      <c r="AR97" s="294" t="s">
        <v>32</v>
      </c>
      <c r="AS97" s="295" t="s">
        <v>32</v>
      </c>
      <c r="AT97" s="294" t="s">
        <v>32</v>
      </c>
      <c r="AU97" s="294" t="s">
        <v>32</v>
      </c>
      <c r="AV97" s="295" t="s">
        <v>32</v>
      </c>
      <c r="AW97" s="287" t="s">
        <v>377</v>
      </c>
      <c r="AX97" s="294" t="s">
        <v>32</v>
      </c>
      <c r="AY97" s="295" t="s">
        <v>32</v>
      </c>
      <c r="AZ97" s="287" t="s">
        <v>377</v>
      </c>
      <c r="BA97" s="294" t="s">
        <v>32</v>
      </c>
      <c r="BB97" s="288" t="s">
        <v>18</v>
      </c>
      <c r="BC97" s="289" t="s">
        <v>18</v>
      </c>
      <c r="BD97" s="292"/>
    </row>
    <row r="98" ht="12.75" customHeight="1">
      <c r="A98" s="293">
        <v>45257.42775511574</v>
      </c>
      <c r="B98" s="286" t="s">
        <v>375</v>
      </c>
      <c r="C98" s="287" t="s">
        <v>559</v>
      </c>
      <c r="D98" s="285" t="s">
        <v>16</v>
      </c>
      <c r="E98" s="285" t="s">
        <v>476</v>
      </c>
      <c r="F98" s="287" t="s">
        <v>667</v>
      </c>
      <c r="G98" s="285" t="s">
        <v>21</v>
      </c>
      <c r="H98" s="285">
        <v>11.0</v>
      </c>
      <c r="I98" s="287" t="s">
        <v>497</v>
      </c>
      <c r="J98" s="292"/>
      <c r="K98" s="287" t="s">
        <v>508</v>
      </c>
      <c r="L98" s="287" t="s">
        <v>479</v>
      </c>
      <c r="M98" s="287" t="s">
        <v>481</v>
      </c>
      <c r="N98" s="287" t="s">
        <v>561</v>
      </c>
      <c r="O98" s="287"/>
      <c r="P98" s="287"/>
      <c r="Q98" s="294" t="s">
        <v>32</v>
      </c>
      <c r="R98" s="287" t="s">
        <v>18</v>
      </c>
      <c r="S98" s="288" t="s">
        <v>377</v>
      </c>
      <c r="T98" s="287" t="s">
        <v>377</v>
      </c>
      <c r="U98" s="294" t="s">
        <v>32</v>
      </c>
      <c r="V98" s="295" t="s">
        <v>32</v>
      </c>
      <c r="W98" s="287" t="s">
        <v>18</v>
      </c>
      <c r="X98" s="287" t="s">
        <v>18</v>
      </c>
      <c r="Y98" s="288" t="s">
        <v>18</v>
      </c>
      <c r="Z98" s="287" t="s">
        <v>377</v>
      </c>
      <c r="AA98" s="287" t="s">
        <v>377</v>
      </c>
      <c r="AB98" s="288" t="s">
        <v>377</v>
      </c>
      <c r="AC98" s="289" t="s">
        <v>377</v>
      </c>
      <c r="AD98" s="287" t="s">
        <v>18</v>
      </c>
      <c r="AE98" s="287" t="s">
        <v>18</v>
      </c>
      <c r="AF98" s="288" t="s">
        <v>18</v>
      </c>
      <c r="AG98" s="287" t="s">
        <v>377</v>
      </c>
      <c r="AH98" s="287" t="s">
        <v>18</v>
      </c>
      <c r="AI98" s="288" t="s">
        <v>377</v>
      </c>
      <c r="AJ98" s="287" t="s">
        <v>18</v>
      </c>
      <c r="AK98" s="287" t="s">
        <v>377</v>
      </c>
      <c r="AL98" s="288" t="s">
        <v>377</v>
      </c>
      <c r="AM98" s="287" t="s">
        <v>377</v>
      </c>
      <c r="AN98" s="287" t="s">
        <v>18</v>
      </c>
      <c r="AO98" s="288" t="s">
        <v>377</v>
      </c>
      <c r="AP98" s="289" t="s">
        <v>18</v>
      </c>
      <c r="AQ98" s="287" t="s">
        <v>377</v>
      </c>
      <c r="AR98" s="294" t="s">
        <v>32</v>
      </c>
      <c r="AS98" s="295" t="s">
        <v>32</v>
      </c>
      <c r="AT98" s="287" t="s">
        <v>377</v>
      </c>
      <c r="AU98" s="287" t="s">
        <v>18</v>
      </c>
      <c r="AV98" s="288" t="s">
        <v>377</v>
      </c>
      <c r="AW98" s="287" t="s">
        <v>18</v>
      </c>
      <c r="AX98" s="287" t="s">
        <v>377</v>
      </c>
      <c r="AY98" s="288" t="s">
        <v>377</v>
      </c>
      <c r="AZ98" s="287" t="s">
        <v>377</v>
      </c>
      <c r="BA98" s="294" t="s">
        <v>32</v>
      </c>
      <c r="BB98" s="288" t="s">
        <v>377</v>
      </c>
      <c r="BC98" s="296" t="s">
        <v>32</v>
      </c>
      <c r="BD98" s="292"/>
    </row>
    <row r="99" ht="12.75" customHeight="1">
      <c r="A99" s="293">
        <v>45257.429600497686</v>
      </c>
      <c r="B99" s="286" t="s">
        <v>375</v>
      </c>
      <c r="C99" s="287" t="s">
        <v>559</v>
      </c>
      <c r="D99" s="285" t="s">
        <v>16</v>
      </c>
      <c r="E99" s="285" t="s">
        <v>476</v>
      </c>
      <c r="F99" s="287" t="s">
        <v>668</v>
      </c>
      <c r="G99" s="285" t="s">
        <v>17</v>
      </c>
      <c r="H99" s="285">
        <v>12.0</v>
      </c>
      <c r="I99" s="287" t="s">
        <v>497</v>
      </c>
      <c r="J99" s="292"/>
      <c r="K99" s="287" t="s">
        <v>508</v>
      </c>
      <c r="L99" s="287" t="s">
        <v>479</v>
      </c>
      <c r="M99" s="287" t="s">
        <v>481</v>
      </c>
      <c r="N99" s="287" t="s">
        <v>561</v>
      </c>
      <c r="O99" s="287"/>
      <c r="P99" s="287"/>
      <c r="Q99" s="294" t="s">
        <v>32</v>
      </c>
      <c r="R99" s="287" t="s">
        <v>18</v>
      </c>
      <c r="S99" s="288" t="s">
        <v>377</v>
      </c>
      <c r="T99" s="294" t="s">
        <v>32</v>
      </c>
      <c r="U99" s="294" t="s">
        <v>32</v>
      </c>
      <c r="V99" s="295" t="s">
        <v>32</v>
      </c>
      <c r="W99" s="287" t="s">
        <v>377</v>
      </c>
      <c r="X99" s="294" t="s">
        <v>32</v>
      </c>
      <c r="Y99" s="295" t="s">
        <v>32</v>
      </c>
      <c r="Z99" s="294" t="s">
        <v>32</v>
      </c>
      <c r="AA99" s="287" t="s">
        <v>377</v>
      </c>
      <c r="AB99" s="295" t="s">
        <v>32</v>
      </c>
      <c r="AC99" s="296" t="s">
        <v>32</v>
      </c>
      <c r="AD99" s="287" t="s">
        <v>377</v>
      </c>
      <c r="AE99" s="287" t="s">
        <v>377</v>
      </c>
      <c r="AF99" s="288" t="s">
        <v>377</v>
      </c>
      <c r="AG99" s="294" t="s">
        <v>32</v>
      </c>
      <c r="AH99" s="294" t="s">
        <v>32</v>
      </c>
      <c r="AI99" s="295" t="s">
        <v>32</v>
      </c>
      <c r="AJ99" s="294" t="s">
        <v>32</v>
      </c>
      <c r="AK99" s="294" t="s">
        <v>32</v>
      </c>
      <c r="AL99" s="295" t="s">
        <v>32</v>
      </c>
      <c r="AM99" s="294" t="s">
        <v>32</v>
      </c>
      <c r="AN99" s="287" t="s">
        <v>377</v>
      </c>
      <c r="AO99" s="295" t="s">
        <v>32</v>
      </c>
      <c r="AP99" s="296" t="s">
        <v>32</v>
      </c>
      <c r="AQ99" s="287" t="s">
        <v>377</v>
      </c>
      <c r="AR99" s="287" t="s">
        <v>377</v>
      </c>
      <c r="AS99" s="288" t="s">
        <v>377</v>
      </c>
      <c r="AT99" s="294" t="s">
        <v>32</v>
      </c>
      <c r="AU99" s="294" t="s">
        <v>32</v>
      </c>
      <c r="AV99" s="295" t="s">
        <v>32</v>
      </c>
      <c r="AW99" s="287" t="s">
        <v>377</v>
      </c>
      <c r="AX99" s="287" t="s">
        <v>18</v>
      </c>
      <c r="AY99" s="288" t="s">
        <v>377</v>
      </c>
      <c r="AZ99" s="287" t="s">
        <v>377</v>
      </c>
      <c r="BA99" s="294" t="s">
        <v>32</v>
      </c>
      <c r="BB99" s="288" t="s">
        <v>18</v>
      </c>
      <c r="BC99" s="289" t="s">
        <v>18</v>
      </c>
      <c r="BD99" s="292"/>
    </row>
    <row r="100" ht="12.75" customHeight="1">
      <c r="A100" s="293">
        <v>45257.43713413195</v>
      </c>
      <c r="B100" s="286" t="s">
        <v>375</v>
      </c>
      <c r="C100" s="287" t="s">
        <v>559</v>
      </c>
      <c r="D100" s="285" t="s">
        <v>16</v>
      </c>
      <c r="E100" s="285" t="s">
        <v>476</v>
      </c>
      <c r="F100" s="287" t="s">
        <v>669</v>
      </c>
      <c r="G100" s="285" t="s">
        <v>17</v>
      </c>
      <c r="H100" s="285">
        <v>11.0</v>
      </c>
      <c r="I100" s="287" t="s">
        <v>497</v>
      </c>
      <c r="J100" s="292"/>
      <c r="K100" s="287" t="s">
        <v>508</v>
      </c>
      <c r="L100" s="287" t="s">
        <v>479</v>
      </c>
      <c r="M100" s="287" t="s">
        <v>481</v>
      </c>
      <c r="N100" s="287" t="s">
        <v>561</v>
      </c>
      <c r="O100" s="287"/>
      <c r="P100" s="287"/>
      <c r="Q100" s="294" t="s">
        <v>32</v>
      </c>
      <c r="R100" s="294" t="s">
        <v>32</v>
      </c>
      <c r="S100" s="295" t="s">
        <v>32</v>
      </c>
      <c r="T100" s="294" t="s">
        <v>32</v>
      </c>
      <c r="U100" s="294" t="s">
        <v>32</v>
      </c>
      <c r="V100" s="295" t="s">
        <v>32</v>
      </c>
      <c r="W100" s="294" t="s">
        <v>32</v>
      </c>
      <c r="X100" s="287" t="s">
        <v>377</v>
      </c>
      <c r="Y100" s="295" t="s">
        <v>32</v>
      </c>
      <c r="Z100" s="294" t="s">
        <v>32</v>
      </c>
      <c r="AA100" s="294" t="s">
        <v>32</v>
      </c>
      <c r="AB100" s="295" t="s">
        <v>32</v>
      </c>
      <c r="AC100" s="296" t="s">
        <v>32</v>
      </c>
      <c r="AD100" s="294" t="s">
        <v>32</v>
      </c>
      <c r="AE100" s="287" t="s">
        <v>377</v>
      </c>
      <c r="AF100" s="295" t="s">
        <v>32</v>
      </c>
      <c r="AG100" s="294" t="s">
        <v>32</v>
      </c>
      <c r="AH100" s="287" t="s">
        <v>18</v>
      </c>
      <c r="AI100" s="288" t="s">
        <v>377</v>
      </c>
      <c r="AJ100" s="294" t="s">
        <v>32</v>
      </c>
      <c r="AK100" s="287" t="s">
        <v>377</v>
      </c>
      <c r="AL100" s="295" t="s">
        <v>32</v>
      </c>
      <c r="AM100" s="287" t="s">
        <v>18</v>
      </c>
      <c r="AN100" s="287" t="s">
        <v>18</v>
      </c>
      <c r="AO100" s="288" t="s">
        <v>18</v>
      </c>
      <c r="AP100" s="289" t="s">
        <v>377</v>
      </c>
      <c r="AQ100" s="294" t="s">
        <v>32</v>
      </c>
      <c r="AR100" s="294" t="s">
        <v>32</v>
      </c>
      <c r="AS100" s="295" t="s">
        <v>32</v>
      </c>
      <c r="AT100" s="294" t="s">
        <v>32</v>
      </c>
      <c r="AU100" s="294" t="s">
        <v>32</v>
      </c>
      <c r="AV100" s="295" t="s">
        <v>32</v>
      </c>
      <c r="AW100" s="294" t="s">
        <v>32</v>
      </c>
      <c r="AX100" s="294" t="s">
        <v>32</v>
      </c>
      <c r="AY100" s="295" t="s">
        <v>32</v>
      </c>
      <c r="AZ100" s="294" t="s">
        <v>32</v>
      </c>
      <c r="BA100" s="294" t="s">
        <v>32</v>
      </c>
      <c r="BB100" s="288" t="s">
        <v>377</v>
      </c>
      <c r="BC100" s="289" t="s">
        <v>18</v>
      </c>
      <c r="BD100" s="292"/>
    </row>
    <row r="101" ht="12.75" customHeight="1">
      <c r="A101" s="293">
        <v>45257.441663564816</v>
      </c>
      <c r="B101" s="286" t="s">
        <v>375</v>
      </c>
      <c r="C101" s="287" t="s">
        <v>559</v>
      </c>
      <c r="D101" s="285" t="s">
        <v>16</v>
      </c>
      <c r="E101" s="285" t="s">
        <v>476</v>
      </c>
      <c r="F101" s="287" t="s">
        <v>670</v>
      </c>
      <c r="G101" s="285" t="s">
        <v>21</v>
      </c>
      <c r="H101" s="285">
        <v>12.0</v>
      </c>
      <c r="I101" s="287" t="s">
        <v>497</v>
      </c>
      <c r="J101" s="292"/>
      <c r="K101" s="287" t="s">
        <v>508</v>
      </c>
      <c r="L101" s="287" t="s">
        <v>479</v>
      </c>
      <c r="M101" s="287" t="s">
        <v>481</v>
      </c>
      <c r="N101" s="287" t="s">
        <v>561</v>
      </c>
      <c r="O101" s="287"/>
      <c r="P101" s="287"/>
      <c r="Q101" s="294" t="s">
        <v>32</v>
      </c>
      <c r="R101" s="294" t="s">
        <v>32</v>
      </c>
      <c r="S101" s="295" t="s">
        <v>32</v>
      </c>
      <c r="T101" s="294" t="s">
        <v>32</v>
      </c>
      <c r="U101" s="294" t="s">
        <v>32</v>
      </c>
      <c r="V101" s="295" t="s">
        <v>32</v>
      </c>
      <c r="W101" s="294" t="s">
        <v>32</v>
      </c>
      <c r="X101" s="287" t="s">
        <v>18</v>
      </c>
      <c r="Y101" s="288" t="s">
        <v>377</v>
      </c>
      <c r="Z101" s="294" t="s">
        <v>32</v>
      </c>
      <c r="AA101" s="294" t="s">
        <v>32</v>
      </c>
      <c r="AB101" s="295" t="s">
        <v>32</v>
      </c>
      <c r="AC101" s="296" t="s">
        <v>32</v>
      </c>
      <c r="AD101" s="294" t="s">
        <v>32</v>
      </c>
      <c r="AE101" s="294" t="s">
        <v>32</v>
      </c>
      <c r="AF101" s="295" t="s">
        <v>32</v>
      </c>
      <c r="AG101" s="294" t="s">
        <v>32</v>
      </c>
      <c r="AH101" s="287" t="s">
        <v>18</v>
      </c>
      <c r="AI101" s="288" t="s">
        <v>377</v>
      </c>
      <c r="AJ101" s="294" t="s">
        <v>32</v>
      </c>
      <c r="AK101" s="287" t="s">
        <v>18</v>
      </c>
      <c r="AL101" s="288" t="s">
        <v>377</v>
      </c>
      <c r="AM101" s="287" t="s">
        <v>18</v>
      </c>
      <c r="AN101" s="287" t="s">
        <v>18</v>
      </c>
      <c r="AO101" s="288" t="s">
        <v>18</v>
      </c>
      <c r="AP101" s="289" t="s">
        <v>377</v>
      </c>
      <c r="AQ101" s="294" t="s">
        <v>32</v>
      </c>
      <c r="AR101" s="294" t="s">
        <v>32</v>
      </c>
      <c r="AS101" s="295" t="s">
        <v>32</v>
      </c>
      <c r="AT101" s="294" t="s">
        <v>32</v>
      </c>
      <c r="AU101" s="294" t="s">
        <v>32</v>
      </c>
      <c r="AV101" s="295" t="s">
        <v>32</v>
      </c>
      <c r="AW101" s="287" t="s">
        <v>377</v>
      </c>
      <c r="AX101" s="294" t="s">
        <v>32</v>
      </c>
      <c r="AY101" s="295" t="s">
        <v>32</v>
      </c>
      <c r="AZ101" s="294" t="s">
        <v>32</v>
      </c>
      <c r="BA101" s="294" t="s">
        <v>32</v>
      </c>
      <c r="BB101" s="295" t="s">
        <v>32</v>
      </c>
      <c r="BC101" s="289" t="s">
        <v>377</v>
      </c>
      <c r="BD101" s="292"/>
    </row>
    <row r="102" ht="12.75" customHeight="1">
      <c r="A102" s="293">
        <v>45257.444662974536</v>
      </c>
      <c r="B102" s="286" t="s">
        <v>375</v>
      </c>
      <c r="C102" s="287" t="s">
        <v>559</v>
      </c>
      <c r="D102" s="285" t="s">
        <v>16</v>
      </c>
      <c r="E102" s="285" t="s">
        <v>476</v>
      </c>
      <c r="F102" s="287" t="s">
        <v>671</v>
      </c>
      <c r="G102" s="285" t="s">
        <v>21</v>
      </c>
      <c r="H102" s="285">
        <v>12.0</v>
      </c>
      <c r="I102" s="287" t="s">
        <v>497</v>
      </c>
      <c r="J102" s="292"/>
      <c r="K102" s="287" t="s">
        <v>508</v>
      </c>
      <c r="L102" s="287" t="s">
        <v>497</v>
      </c>
      <c r="M102" s="292"/>
      <c r="N102" s="292"/>
      <c r="O102" s="292"/>
      <c r="P102" s="292"/>
      <c r="Q102" s="294" t="s">
        <v>32</v>
      </c>
      <c r="R102" s="287" t="s">
        <v>18</v>
      </c>
      <c r="S102" s="288" t="s">
        <v>377</v>
      </c>
      <c r="T102" s="287" t="s">
        <v>18</v>
      </c>
      <c r="U102" s="287" t="s">
        <v>377</v>
      </c>
      <c r="V102" s="288" t="s">
        <v>377</v>
      </c>
      <c r="W102" s="294" t="s">
        <v>32</v>
      </c>
      <c r="X102" s="287" t="s">
        <v>18</v>
      </c>
      <c r="Y102" s="288" t="s">
        <v>377</v>
      </c>
      <c r="Z102" s="287" t="s">
        <v>377</v>
      </c>
      <c r="AA102" s="287" t="s">
        <v>377</v>
      </c>
      <c r="AB102" s="288" t="s">
        <v>377</v>
      </c>
      <c r="AC102" s="289" t="s">
        <v>377</v>
      </c>
      <c r="AD102" s="294" t="s">
        <v>32</v>
      </c>
      <c r="AE102" s="287" t="s">
        <v>377</v>
      </c>
      <c r="AF102" s="295" t="s">
        <v>32</v>
      </c>
      <c r="AG102" s="294" t="s">
        <v>32</v>
      </c>
      <c r="AH102" s="287" t="s">
        <v>18</v>
      </c>
      <c r="AI102" s="288" t="s">
        <v>377</v>
      </c>
      <c r="AJ102" s="287" t="s">
        <v>377</v>
      </c>
      <c r="AK102" s="294" t="s">
        <v>32</v>
      </c>
      <c r="AL102" s="295" t="s">
        <v>32</v>
      </c>
      <c r="AM102" s="287" t="s">
        <v>18</v>
      </c>
      <c r="AN102" s="287" t="s">
        <v>377</v>
      </c>
      <c r="AO102" s="288" t="s">
        <v>377</v>
      </c>
      <c r="AP102" s="289" t="s">
        <v>377</v>
      </c>
      <c r="AQ102" s="294" t="s">
        <v>32</v>
      </c>
      <c r="AR102" s="294" t="s">
        <v>32</v>
      </c>
      <c r="AS102" s="295" t="s">
        <v>32</v>
      </c>
      <c r="AT102" s="294" t="s">
        <v>32</v>
      </c>
      <c r="AU102" s="294" t="s">
        <v>32</v>
      </c>
      <c r="AV102" s="295" t="s">
        <v>32</v>
      </c>
      <c r="AW102" s="287" t="s">
        <v>377</v>
      </c>
      <c r="AX102" s="287" t="s">
        <v>377</v>
      </c>
      <c r="AY102" s="288" t="s">
        <v>377</v>
      </c>
      <c r="AZ102" s="287" t="s">
        <v>377</v>
      </c>
      <c r="BA102" s="287" t="s">
        <v>18</v>
      </c>
      <c r="BB102" s="295" t="s">
        <v>32</v>
      </c>
      <c r="BC102" s="296" t="s">
        <v>32</v>
      </c>
      <c r="BD102" s="292"/>
    </row>
    <row r="103" ht="12.75" customHeight="1">
      <c r="A103" s="293">
        <v>45257.45352185185</v>
      </c>
      <c r="B103" s="286" t="s">
        <v>375</v>
      </c>
      <c r="C103" s="287" t="s">
        <v>559</v>
      </c>
      <c r="D103" s="285" t="s">
        <v>16</v>
      </c>
      <c r="E103" s="285" t="s">
        <v>476</v>
      </c>
      <c r="F103" s="287" t="s">
        <v>672</v>
      </c>
      <c r="G103" s="285" t="s">
        <v>17</v>
      </c>
      <c r="H103" s="285">
        <v>12.0</v>
      </c>
      <c r="I103" s="287" t="s">
        <v>497</v>
      </c>
      <c r="J103" s="292"/>
      <c r="K103" s="287" t="s">
        <v>508</v>
      </c>
      <c r="L103" s="287" t="s">
        <v>479</v>
      </c>
      <c r="M103" s="287" t="s">
        <v>495</v>
      </c>
      <c r="N103" s="287" t="s">
        <v>561</v>
      </c>
      <c r="O103" s="287"/>
      <c r="P103" s="287"/>
      <c r="Q103" s="287" t="s">
        <v>377</v>
      </c>
      <c r="R103" s="287" t="s">
        <v>377</v>
      </c>
      <c r="S103" s="288" t="s">
        <v>377</v>
      </c>
      <c r="T103" s="287" t="s">
        <v>377</v>
      </c>
      <c r="U103" s="287" t="s">
        <v>377</v>
      </c>
      <c r="V103" s="288" t="s">
        <v>377</v>
      </c>
      <c r="W103" s="287" t="s">
        <v>377</v>
      </c>
      <c r="X103" s="287" t="s">
        <v>18</v>
      </c>
      <c r="Y103" s="288" t="s">
        <v>377</v>
      </c>
      <c r="Z103" s="287" t="s">
        <v>18</v>
      </c>
      <c r="AA103" s="287" t="s">
        <v>377</v>
      </c>
      <c r="AB103" s="288" t="s">
        <v>377</v>
      </c>
      <c r="AC103" s="289" t="s">
        <v>377</v>
      </c>
      <c r="AD103" s="287" t="s">
        <v>18</v>
      </c>
      <c r="AE103" s="287" t="s">
        <v>18</v>
      </c>
      <c r="AF103" s="288" t="s">
        <v>18</v>
      </c>
      <c r="AG103" s="287" t="s">
        <v>377</v>
      </c>
      <c r="AH103" s="287" t="s">
        <v>18</v>
      </c>
      <c r="AI103" s="288" t="s">
        <v>377</v>
      </c>
      <c r="AJ103" s="287" t="s">
        <v>18</v>
      </c>
      <c r="AK103" s="287" t="s">
        <v>377</v>
      </c>
      <c r="AL103" s="288" t="s">
        <v>377</v>
      </c>
      <c r="AM103" s="287" t="s">
        <v>377</v>
      </c>
      <c r="AN103" s="287" t="s">
        <v>377</v>
      </c>
      <c r="AO103" s="288" t="s">
        <v>377</v>
      </c>
      <c r="AP103" s="289" t="s">
        <v>377</v>
      </c>
      <c r="AQ103" s="287" t="s">
        <v>18</v>
      </c>
      <c r="AR103" s="287" t="s">
        <v>377</v>
      </c>
      <c r="AS103" s="288" t="s">
        <v>377</v>
      </c>
      <c r="AT103" s="287" t="s">
        <v>377</v>
      </c>
      <c r="AU103" s="294" t="s">
        <v>32</v>
      </c>
      <c r="AV103" s="295" t="s">
        <v>32</v>
      </c>
      <c r="AW103" s="287" t="s">
        <v>377</v>
      </c>
      <c r="AX103" s="287" t="s">
        <v>377</v>
      </c>
      <c r="AY103" s="288" t="s">
        <v>377</v>
      </c>
      <c r="AZ103" s="287" t="s">
        <v>377</v>
      </c>
      <c r="BA103" s="287" t="s">
        <v>377</v>
      </c>
      <c r="BB103" s="288" t="s">
        <v>18</v>
      </c>
      <c r="BC103" s="289" t="s">
        <v>18</v>
      </c>
      <c r="BD103" s="292"/>
    </row>
    <row r="104" ht="12.75" customHeight="1">
      <c r="A104" s="293">
        <v>45257.453636666665</v>
      </c>
      <c r="B104" s="286" t="s">
        <v>375</v>
      </c>
      <c r="C104" s="287" t="s">
        <v>559</v>
      </c>
      <c r="D104" s="285" t="s">
        <v>16</v>
      </c>
      <c r="E104" s="285" t="s">
        <v>476</v>
      </c>
      <c r="F104" s="287" t="s">
        <v>673</v>
      </c>
      <c r="G104" s="285" t="s">
        <v>21</v>
      </c>
      <c r="H104" s="285">
        <v>11.0</v>
      </c>
      <c r="I104" s="287" t="s">
        <v>497</v>
      </c>
      <c r="J104" s="292"/>
      <c r="K104" s="287" t="s">
        <v>508</v>
      </c>
      <c r="L104" s="287" t="s">
        <v>497</v>
      </c>
      <c r="M104" s="292"/>
      <c r="N104" s="292"/>
      <c r="O104" s="292"/>
      <c r="P104" s="292"/>
      <c r="Q104" s="294" t="s">
        <v>32</v>
      </c>
      <c r="R104" s="294" t="s">
        <v>32</v>
      </c>
      <c r="S104" s="295" t="s">
        <v>32</v>
      </c>
      <c r="T104" s="287" t="s">
        <v>18</v>
      </c>
      <c r="U104" s="287" t="s">
        <v>18</v>
      </c>
      <c r="V104" s="288" t="s">
        <v>18</v>
      </c>
      <c r="W104" s="287" t="s">
        <v>18</v>
      </c>
      <c r="X104" s="287" t="s">
        <v>18</v>
      </c>
      <c r="Y104" s="288" t="s">
        <v>18</v>
      </c>
      <c r="Z104" s="287" t="s">
        <v>18</v>
      </c>
      <c r="AA104" s="287" t="s">
        <v>18</v>
      </c>
      <c r="AB104" s="288" t="s">
        <v>18</v>
      </c>
      <c r="AC104" s="289" t="s">
        <v>377</v>
      </c>
      <c r="AD104" s="294" t="s">
        <v>32</v>
      </c>
      <c r="AE104" s="294" t="s">
        <v>32</v>
      </c>
      <c r="AF104" s="295" t="s">
        <v>32</v>
      </c>
      <c r="AG104" s="294" t="s">
        <v>32</v>
      </c>
      <c r="AH104" s="287" t="s">
        <v>18</v>
      </c>
      <c r="AI104" s="288" t="s">
        <v>377</v>
      </c>
      <c r="AJ104" s="294" t="s">
        <v>32</v>
      </c>
      <c r="AK104" s="294" t="s">
        <v>32</v>
      </c>
      <c r="AL104" s="295" t="s">
        <v>32</v>
      </c>
      <c r="AM104" s="287" t="s">
        <v>377</v>
      </c>
      <c r="AN104" s="287" t="s">
        <v>18</v>
      </c>
      <c r="AO104" s="288" t="s">
        <v>377</v>
      </c>
      <c r="AP104" s="289" t="s">
        <v>377</v>
      </c>
      <c r="AQ104" s="287" t="s">
        <v>377</v>
      </c>
      <c r="AR104" s="294" t="s">
        <v>32</v>
      </c>
      <c r="AS104" s="295" t="s">
        <v>32</v>
      </c>
      <c r="AT104" s="294" t="s">
        <v>32</v>
      </c>
      <c r="AU104" s="294" t="s">
        <v>32</v>
      </c>
      <c r="AV104" s="295" t="s">
        <v>32</v>
      </c>
      <c r="AW104" s="294" t="s">
        <v>32</v>
      </c>
      <c r="AX104" s="294" t="s">
        <v>32</v>
      </c>
      <c r="AY104" s="295" t="s">
        <v>32</v>
      </c>
      <c r="AZ104" s="294" t="s">
        <v>32</v>
      </c>
      <c r="BA104" s="294" t="s">
        <v>32</v>
      </c>
      <c r="BB104" s="295" t="s">
        <v>32</v>
      </c>
      <c r="BC104" s="296" t="s">
        <v>32</v>
      </c>
      <c r="BD104" s="292"/>
    </row>
    <row r="105" ht="12.75" customHeight="1">
      <c r="A105" s="293">
        <v>45257.4559799537</v>
      </c>
      <c r="B105" s="286" t="s">
        <v>375</v>
      </c>
      <c r="C105" s="287" t="s">
        <v>559</v>
      </c>
      <c r="D105" s="285" t="s">
        <v>16</v>
      </c>
      <c r="E105" s="285" t="s">
        <v>476</v>
      </c>
      <c r="F105" s="287" t="s">
        <v>674</v>
      </c>
      <c r="G105" s="285" t="s">
        <v>21</v>
      </c>
      <c r="H105" s="285">
        <v>12.0</v>
      </c>
      <c r="I105" s="287" t="s">
        <v>497</v>
      </c>
      <c r="J105" s="292"/>
      <c r="K105" s="287" t="s">
        <v>508</v>
      </c>
      <c r="L105" s="287" t="s">
        <v>479</v>
      </c>
      <c r="M105" s="287" t="s">
        <v>495</v>
      </c>
      <c r="N105" s="287" t="s">
        <v>561</v>
      </c>
      <c r="O105" s="287"/>
      <c r="P105" s="287"/>
      <c r="Q105" s="294" t="s">
        <v>32</v>
      </c>
      <c r="R105" s="287" t="s">
        <v>377</v>
      </c>
      <c r="S105" s="295" t="s">
        <v>32</v>
      </c>
      <c r="T105" s="287" t="s">
        <v>377</v>
      </c>
      <c r="U105" s="287" t="s">
        <v>18</v>
      </c>
      <c r="V105" s="288" t="s">
        <v>377</v>
      </c>
      <c r="W105" s="287" t="s">
        <v>377</v>
      </c>
      <c r="X105" s="287" t="s">
        <v>18</v>
      </c>
      <c r="Y105" s="288" t="s">
        <v>377</v>
      </c>
      <c r="Z105" s="287" t="s">
        <v>377</v>
      </c>
      <c r="AA105" s="287" t="s">
        <v>18</v>
      </c>
      <c r="AB105" s="288" t="s">
        <v>377</v>
      </c>
      <c r="AC105" s="289" t="s">
        <v>377</v>
      </c>
      <c r="AD105" s="287" t="s">
        <v>18</v>
      </c>
      <c r="AE105" s="287" t="s">
        <v>377</v>
      </c>
      <c r="AF105" s="288" t="s">
        <v>377</v>
      </c>
      <c r="AG105" s="287" t="s">
        <v>18</v>
      </c>
      <c r="AH105" s="287" t="s">
        <v>18</v>
      </c>
      <c r="AI105" s="288" t="s">
        <v>18</v>
      </c>
      <c r="AJ105" s="287" t="s">
        <v>18</v>
      </c>
      <c r="AK105" s="287" t="s">
        <v>377</v>
      </c>
      <c r="AL105" s="288" t="s">
        <v>377</v>
      </c>
      <c r="AM105" s="287" t="s">
        <v>377</v>
      </c>
      <c r="AN105" s="287" t="s">
        <v>18</v>
      </c>
      <c r="AO105" s="288" t="s">
        <v>377</v>
      </c>
      <c r="AP105" s="289" t="s">
        <v>18</v>
      </c>
      <c r="AQ105" s="294" t="s">
        <v>32</v>
      </c>
      <c r="AR105" s="287" t="s">
        <v>377</v>
      </c>
      <c r="AS105" s="295" t="s">
        <v>32</v>
      </c>
      <c r="AT105" s="294" t="s">
        <v>32</v>
      </c>
      <c r="AU105" s="294" t="s">
        <v>32</v>
      </c>
      <c r="AV105" s="295" t="s">
        <v>32</v>
      </c>
      <c r="AW105" s="294" t="s">
        <v>32</v>
      </c>
      <c r="AX105" s="294" t="s">
        <v>32</v>
      </c>
      <c r="AY105" s="295" t="s">
        <v>32</v>
      </c>
      <c r="AZ105" s="294" t="s">
        <v>32</v>
      </c>
      <c r="BA105" s="294" t="s">
        <v>32</v>
      </c>
      <c r="BB105" s="288" t="s">
        <v>18</v>
      </c>
      <c r="BC105" s="289" t="s">
        <v>18</v>
      </c>
      <c r="BD105" s="292"/>
    </row>
    <row r="106" ht="12.75" customHeight="1">
      <c r="A106" s="293">
        <v>45257.45650083333</v>
      </c>
      <c r="B106" s="286" t="s">
        <v>375</v>
      </c>
      <c r="C106" s="287" t="s">
        <v>559</v>
      </c>
      <c r="D106" s="285" t="s">
        <v>16</v>
      </c>
      <c r="E106" s="285" t="s">
        <v>476</v>
      </c>
      <c r="F106" s="287" t="s">
        <v>675</v>
      </c>
      <c r="G106" s="285" t="s">
        <v>17</v>
      </c>
      <c r="H106" s="285">
        <v>12.0</v>
      </c>
      <c r="I106" s="287" t="s">
        <v>497</v>
      </c>
      <c r="J106" s="292"/>
      <c r="K106" s="287" t="s">
        <v>508</v>
      </c>
      <c r="L106" s="287" t="s">
        <v>479</v>
      </c>
      <c r="M106" s="287" t="s">
        <v>483</v>
      </c>
      <c r="N106" s="287" t="s">
        <v>561</v>
      </c>
      <c r="O106" s="287"/>
      <c r="P106" s="287"/>
      <c r="Q106" s="287" t="s">
        <v>377</v>
      </c>
      <c r="R106" s="294" t="s">
        <v>32</v>
      </c>
      <c r="S106" s="295" t="s">
        <v>32</v>
      </c>
      <c r="T106" s="287" t="s">
        <v>377</v>
      </c>
      <c r="U106" s="287" t="s">
        <v>377</v>
      </c>
      <c r="V106" s="288" t="s">
        <v>377</v>
      </c>
      <c r="W106" s="287" t="s">
        <v>377</v>
      </c>
      <c r="X106" s="287" t="s">
        <v>18</v>
      </c>
      <c r="Y106" s="288" t="s">
        <v>377</v>
      </c>
      <c r="Z106" s="287" t="s">
        <v>377</v>
      </c>
      <c r="AA106" s="287" t="s">
        <v>377</v>
      </c>
      <c r="AB106" s="288" t="s">
        <v>377</v>
      </c>
      <c r="AC106" s="289" t="s">
        <v>377</v>
      </c>
      <c r="AD106" s="287" t="s">
        <v>377</v>
      </c>
      <c r="AE106" s="287" t="s">
        <v>18</v>
      </c>
      <c r="AF106" s="288" t="s">
        <v>377</v>
      </c>
      <c r="AG106" s="287" t="s">
        <v>18</v>
      </c>
      <c r="AH106" s="287" t="s">
        <v>18</v>
      </c>
      <c r="AI106" s="288" t="s">
        <v>18</v>
      </c>
      <c r="AJ106" s="287" t="s">
        <v>377</v>
      </c>
      <c r="AK106" s="287" t="s">
        <v>18</v>
      </c>
      <c r="AL106" s="288" t="s">
        <v>377</v>
      </c>
      <c r="AM106" s="287" t="s">
        <v>18</v>
      </c>
      <c r="AN106" s="287" t="s">
        <v>377</v>
      </c>
      <c r="AO106" s="288" t="s">
        <v>377</v>
      </c>
      <c r="AP106" s="289" t="s">
        <v>18</v>
      </c>
      <c r="AQ106" s="287" t="s">
        <v>377</v>
      </c>
      <c r="AR106" s="287" t="s">
        <v>377</v>
      </c>
      <c r="AS106" s="288" t="s">
        <v>377</v>
      </c>
      <c r="AT106" s="287" t="s">
        <v>377</v>
      </c>
      <c r="AU106" s="294" t="s">
        <v>32</v>
      </c>
      <c r="AV106" s="295" t="s">
        <v>32</v>
      </c>
      <c r="AW106" s="287" t="s">
        <v>377</v>
      </c>
      <c r="AX106" s="287" t="s">
        <v>377</v>
      </c>
      <c r="AY106" s="288" t="s">
        <v>377</v>
      </c>
      <c r="AZ106" s="287" t="s">
        <v>18</v>
      </c>
      <c r="BA106" s="287" t="s">
        <v>377</v>
      </c>
      <c r="BB106" s="295" t="s">
        <v>32</v>
      </c>
      <c r="BC106" s="296" t="s">
        <v>32</v>
      </c>
      <c r="BD106" s="292"/>
    </row>
    <row r="107" ht="12.75" customHeight="1">
      <c r="A107" s="293">
        <v>45257.46005524306</v>
      </c>
      <c r="B107" s="286" t="s">
        <v>375</v>
      </c>
      <c r="C107" s="287" t="s">
        <v>559</v>
      </c>
      <c r="D107" s="285" t="s">
        <v>16</v>
      </c>
      <c r="E107" s="285" t="s">
        <v>476</v>
      </c>
      <c r="F107" s="287" t="s">
        <v>676</v>
      </c>
      <c r="G107" s="285" t="s">
        <v>17</v>
      </c>
      <c r="H107" s="285">
        <v>11.0</v>
      </c>
      <c r="I107" s="287" t="s">
        <v>497</v>
      </c>
      <c r="J107" s="292"/>
      <c r="K107" s="287" t="s">
        <v>508</v>
      </c>
      <c r="L107" s="287" t="s">
        <v>479</v>
      </c>
      <c r="M107" s="287" t="s">
        <v>495</v>
      </c>
      <c r="N107" s="287" t="s">
        <v>561</v>
      </c>
      <c r="O107" s="287"/>
      <c r="P107" s="287"/>
      <c r="Q107" s="294" t="s">
        <v>32</v>
      </c>
      <c r="R107" s="287" t="s">
        <v>377</v>
      </c>
      <c r="S107" s="295" t="s">
        <v>32</v>
      </c>
      <c r="T107" s="287" t="s">
        <v>18</v>
      </c>
      <c r="U107" s="294" t="s">
        <v>32</v>
      </c>
      <c r="V107" s="288" t="s">
        <v>377</v>
      </c>
      <c r="W107" s="294" t="s">
        <v>32</v>
      </c>
      <c r="X107" s="287" t="s">
        <v>377</v>
      </c>
      <c r="Y107" s="295" t="s">
        <v>32</v>
      </c>
      <c r="Z107" s="287" t="s">
        <v>377</v>
      </c>
      <c r="AA107" s="287" t="s">
        <v>377</v>
      </c>
      <c r="AB107" s="288" t="s">
        <v>377</v>
      </c>
      <c r="AC107" s="289" t="s">
        <v>377</v>
      </c>
      <c r="AD107" s="287" t="s">
        <v>18</v>
      </c>
      <c r="AE107" s="294" t="s">
        <v>32</v>
      </c>
      <c r="AF107" s="288" t="s">
        <v>377</v>
      </c>
      <c r="AG107" s="294" t="s">
        <v>32</v>
      </c>
      <c r="AH107" s="287" t="s">
        <v>18</v>
      </c>
      <c r="AI107" s="288" t="s">
        <v>377</v>
      </c>
      <c r="AJ107" s="287" t="s">
        <v>18</v>
      </c>
      <c r="AK107" s="294" t="s">
        <v>32</v>
      </c>
      <c r="AL107" s="288" t="s">
        <v>377</v>
      </c>
      <c r="AM107" s="287" t="s">
        <v>377</v>
      </c>
      <c r="AN107" s="294" t="s">
        <v>32</v>
      </c>
      <c r="AO107" s="295" t="s">
        <v>32</v>
      </c>
      <c r="AP107" s="289" t="s">
        <v>377</v>
      </c>
      <c r="AQ107" s="294" t="s">
        <v>32</v>
      </c>
      <c r="AR107" s="294" t="s">
        <v>32</v>
      </c>
      <c r="AS107" s="295" t="s">
        <v>32</v>
      </c>
      <c r="AT107" s="287" t="s">
        <v>377</v>
      </c>
      <c r="AU107" s="287" t="s">
        <v>377</v>
      </c>
      <c r="AV107" s="288" t="s">
        <v>377</v>
      </c>
      <c r="AW107" s="294" t="s">
        <v>32</v>
      </c>
      <c r="AX107" s="287" t="s">
        <v>377</v>
      </c>
      <c r="AY107" s="295" t="s">
        <v>32</v>
      </c>
      <c r="AZ107" s="287" t="s">
        <v>377</v>
      </c>
      <c r="BA107" s="287" t="s">
        <v>377</v>
      </c>
      <c r="BB107" s="295" t="s">
        <v>32</v>
      </c>
      <c r="BC107" s="296" t="s">
        <v>32</v>
      </c>
      <c r="BD107" s="292"/>
    </row>
    <row r="108" ht="12.75" customHeight="1">
      <c r="A108" s="293">
        <v>45257.46031758102</v>
      </c>
      <c r="B108" s="286" t="s">
        <v>375</v>
      </c>
      <c r="C108" s="287" t="s">
        <v>559</v>
      </c>
      <c r="D108" s="285" t="s">
        <v>16</v>
      </c>
      <c r="E108" s="285" t="s">
        <v>476</v>
      </c>
      <c r="F108" s="287" t="s">
        <v>677</v>
      </c>
      <c r="G108" s="285" t="s">
        <v>21</v>
      </c>
      <c r="H108" s="285">
        <v>11.0</v>
      </c>
      <c r="I108" s="287" t="s">
        <v>497</v>
      </c>
      <c r="J108" s="292"/>
      <c r="K108" s="287" t="s">
        <v>508</v>
      </c>
      <c r="L108" s="287" t="s">
        <v>497</v>
      </c>
      <c r="M108" s="292"/>
      <c r="N108" s="292"/>
      <c r="O108" s="292"/>
      <c r="P108" s="292"/>
      <c r="Q108" s="287" t="s">
        <v>377</v>
      </c>
      <c r="R108" s="287" t="s">
        <v>18</v>
      </c>
      <c r="S108" s="288" t="s">
        <v>377</v>
      </c>
      <c r="T108" s="287" t="s">
        <v>377</v>
      </c>
      <c r="U108" s="287" t="s">
        <v>377</v>
      </c>
      <c r="V108" s="288" t="s">
        <v>377</v>
      </c>
      <c r="W108" s="287" t="s">
        <v>18</v>
      </c>
      <c r="X108" s="294" t="s">
        <v>32</v>
      </c>
      <c r="Y108" s="288" t="s">
        <v>377</v>
      </c>
      <c r="Z108" s="287" t="s">
        <v>18</v>
      </c>
      <c r="AA108" s="287" t="s">
        <v>377</v>
      </c>
      <c r="AB108" s="288" t="s">
        <v>377</v>
      </c>
      <c r="AC108" s="289" t="s">
        <v>377</v>
      </c>
      <c r="AD108" s="287" t="s">
        <v>377</v>
      </c>
      <c r="AE108" s="294" t="s">
        <v>32</v>
      </c>
      <c r="AF108" s="295" t="s">
        <v>32</v>
      </c>
      <c r="AG108" s="287" t="s">
        <v>377</v>
      </c>
      <c r="AH108" s="294" t="s">
        <v>32</v>
      </c>
      <c r="AI108" s="295" t="s">
        <v>32</v>
      </c>
      <c r="AJ108" s="287" t="s">
        <v>18</v>
      </c>
      <c r="AK108" s="287" t="s">
        <v>377</v>
      </c>
      <c r="AL108" s="288" t="s">
        <v>377</v>
      </c>
      <c r="AM108" s="287" t="s">
        <v>18</v>
      </c>
      <c r="AN108" s="287" t="s">
        <v>377</v>
      </c>
      <c r="AO108" s="288" t="s">
        <v>377</v>
      </c>
      <c r="AP108" s="289" t="s">
        <v>377</v>
      </c>
      <c r="AQ108" s="287" t="s">
        <v>18</v>
      </c>
      <c r="AR108" s="294" t="s">
        <v>32</v>
      </c>
      <c r="AS108" s="288" t="s">
        <v>377</v>
      </c>
      <c r="AT108" s="294" t="s">
        <v>32</v>
      </c>
      <c r="AU108" s="287" t="s">
        <v>377</v>
      </c>
      <c r="AV108" s="295" t="s">
        <v>32</v>
      </c>
      <c r="AW108" s="294" t="s">
        <v>32</v>
      </c>
      <c r="AX108" s="287" t="s">
        <v>18</v>
      </c>
      <c r="AY108" s="288" t="s">
        <v>377</v>
      </c>
      <c r="AZ108" s="294" t="s">
        <v>32</v>
      </c>
      <c r="BA108" s="287" t="s">
        <v>377</v>
      </c>
      <c r="BB108" s="288" t="s">
        <v>18</v>
      </c>
      <c r="BC108" s="289" t="s">
        <v>18</v>
      </c>
      <c r="BD108" s="292"/>
    </row>
    <row r="109" ht="12.75" customHeight="1">
      <c r="A109" s="293">
        <v>45257.46206947917</v>
      </c>
      <c r="B109" s="286" t="s">
        <v>375</v>
      </c>
      <c r="C109" s="287" t="s">
        <v>559</v>
      </c>
      <c r="D109" s="285" t="s">
        <v>16</v>
      </c>
      <c r="E109" s="285" t="s">
        <v>476</v>
      </c>
      <c r="F109" s="287" t="s">
        <v>678</v>
      </c>
      <c r="G109" s="285" t="s">
        <v>21</v>
      </c>
      <c r="H109" s="285">
        <v>12.0</v>
      </c>
      <c r="I109" s="287" t="s">
        <v>497</v>
      </c>
      <c r="J109" s="292"/>
      <c r="K109" s="287" t="s">
        <v>508</v>
      </c>
      <c r="L109" s="287" t="s">
        <v>479</v>
      </c>
      <c r="M109" s="287" t="s">
        <v>481</v>
      </c>
      <c r="N109" s="287" t="s">
        <v>561</v>
      </c>
      <c r="O109" s="287"/>
      <c r="P109" s="287"/>
      <c r="Q109" s="294" t="s">
        <v>32</v>
      </c>
      <c r="R109" s="294" t="s">
        <v>32</v>
      </c>
      <c r="S109" s="295" t="s">
        <v>32</v>
      </c>
      <c r="T109" s="294" t="s">
        <v>32</v>
      </c>
      <c r="U109" s="294" t="s">
        <v>32</v>
      </c>
      <c r="V109" s="295" t="s">
        <v>32</v>
      </c>
      <c r="W109" s="294" t="s">
        <v>32</v>
      </c>
      <c r="X109" s="294" t="s">
        <v>32</v>
      </c>
      <c r="Y109" s="295" t="s">
        <v>32</v>
      </c>
      <c r="Z109" s="287" t="s">
        <v>377</v>
      </c>
      <c r="AA109" s="287" t="s">
        <v>18</v>
      </c>
      <c r="AB109" s="288" t="s">
        <v>377</v>
      </c>
      <c r="AC109" s="296" t="s">
        <v>32</v>
      </c>
      <c r="AD109" s="287" t="s">
        <v>377</v>
      </c>
      <c r="AE109" s="287" t="s">
        <v>18</v>
      </c>
      <c r="AF109" s="288" t="s">
        <v>377</v>
      </c>
      <c r="AG109" s="287" t="s">
        <v>18</v>
      </c>
      <c r="AH109" s="287" t="s">
        <v>18</v>
      </c>
      <c r="AI109" s="288" t="s">
        <v>18</v>
      </c>
      <c r="AJ109" s="287" t="s">
        <v>18</v>
      </c>
      <c r="AK109" s="287" t="s">
        <v>18</v>
      </c>
      <c r="AL109" s="288" t="s">
        <v>18</v>
      </c>
      <c r="AM109" s="287" t="s">
        <v>377</v>
      </c>
      <c r="AN109" s="287" t="s">
        <v>377</v>
      </c>
      <c r="AO109" s="288" t="s">
        <v>377</v>
      </c>
      <c r="AP109" s="289" t="s">
        <v>18</v>
      </c>
      <c r="AQ109" s="287" t="s">
        <v>377</v>
      </c>
      <c r="AR109" s="287" t="s">
        <v>377</v>
      </c>
      <c r="AS109" s="288" t="s">
        <v>377</v>
      </c>
      <c r="AT109" s="287" t="s">
        <v>377</v>
      </c>
      <c r="AU109" s="287" t="s">
        <v>377</v>
      </c>
      <c r="AV109" s="288" t="s">
        <v>377</v>
      </c>
      <c r="AW109" s="287" t="s">
        <v>18</v>
      </c>
      <c r="AX109" s="287" t="s">
        <v>18</v>
      </c>
      <c r="AY109" s="288" t="s">
        <v>18</v>
      </c>
      <c r="AZ109" s="287" t="s">
        <v>18</v>
      </c>
      <c r="BA109" s="287" t="s">
        <v>377</v>
      </c>
      <c r="BB109" s="295" t="s">
        <v>32</v>
      </c>
      <c r="BC109" s="296" t="s">
        <v>32</v>
      </c>
      <c r="BD109" s="292"/>
    </row>
    <row r="110" ht="12.75" customHeight="1">
      <c r="A110" s="293">
        <v>45257.46463012732</v>
      </c>
      <c r="B110" s="286" t="s">
        <v>375</v>
      </c>
      <c r="C110" s="287" t="s">
        <v>559</v>
      </c>
      <c r="D110" s="285" t="s">
        <v>16</v>
      </c>
      <c r="E110" s="285" t="s">
        <v>476</v>
      </c>
      <c r="F110" s="287" t="s">
        <v>679</v>
      </c>
      <c r="G110" s="285" t="s">
        <v>21</v>
      </c>
      <c r="H110" s="285">
        <v>12.0</v>
      </c>
      <c r="I110" s="287" t="s">
        <v>497</v>
      </c>
      <c r="J110" s="292"/>
      <c r="K110" s="287" t="s">
        <v>508</v>
      </c>
      <c r="L110" s="287" t="s">
        <v>479</v>
      </c>
      <c r="M110" s="287" t="s">
        <v>495</v>
      </c>
      <c r="N110" s="287" t="s">
        <v>561</v>
      </c>
      <c r="O110" s="287"/>
      <c r="P110" s="287"/>
      <c r="Q110" s="294" t="s">
        <v>32</v>
      </c>
      <c r="R110" s="294" t="s">
        <v>32</v>
      </c>
      <c r="S110" s="295" t="s">
        <v>32</v>
      </c>
      <c r="T110" s="294" t="s">
        <v>32</v>
      </c>
      <c r="U110" s="294" t="s">
        <v>32</v>
      </c>
      <c r="V110" s="295" t="s">
        <v>32</v>
      </c>
      <c r="W110" s="294" t="s">
        <v>32</v>
      </c>
      <c r="X110" s="287" t="s">
        <v>377</v>
      </c>
      <c r="Y110" s="295" t="s">
        <v>32</v>
      </c>
      <c r="Z110" s="287" t="s">
        <v>377</v>
      </c>
      <c r="AA110" s="287" t="s">
        <v>377</v>
      </c>
      <c r="AB110" s="288" t="s">
        <v>377</v>
      </c>
      <c r="AC110" s="296" t="s">
        <v>32</v>
      </c>
      <c r="AD110" s="287" t="s">
        <v>377</v>
      </c>
      <c r="AE110" s="294" t="s">
        <v>32</v>
      </c>
      <c r="AF110" s="295" t="s">
        <v>32</v>
      </c>
      <c r="AG110" s="294" t="s">
        <v>32</v>
      </c>
      <c r="AH110" s="287" t="s">
        <v>377</v>
      </c>
      <c r="AI110" s="295" t="s">
        <v>32</v>
      </c>
      <c r="AJ110" s="287" t="s">
        <v>377</v>
      </c>
      <c r="AK110" s="287" t="s">
        <v>18</v>
      </c>
      <c r="AL110" s="288" t="s">
        <v>377</v>
      </c>
      <c r="AM110" s="287" t="s">
        <v>377</v>
      </c>
      <c r="AN110" s="287" t="s">
        <v>18</v>
      </c>
      <c r="AO110" s="288" t="s">
        <v>377</v>
      </c>
      <c r="AP110" s="289" t="s">
        <v>377</v>
      </c>
      <c r="AQ110" s="294" t="s">
        <v>32</v>
      </c>
      <c r="AR110" s="294" t="s">
        <v>32</v>
      </c>
      <c r="AS110" s="295" t="s">
        <v>32</v>
      </c>
      <c r="AT110" s="294" t="s">
        <v>32</v>
      </c>
      <c r="AU110" s="287" t="s">
        <v>377</v>
      </c>
      <c r="AV110" s="295" t="s">
        <v>32</v>
      </c>
      <c r="AW110" s="287" t="s">
        <v>377</v>
      </c>
      <c r="AX110" s="294" t="s">
        <v>32</v>
      </c>
      <c r="AY110" s="295" t="s">
        <v>32</v>
      </c>
      <c r="AZ110" s="294" t="s">
        <v>32</v>
      </c>
      <c r="BA110" s="294" t="s">
        <v>32</v>
      </c>
      <c r="BB110" s="288" t="s">
        <v>377</v>
      </c>
      <c r="BC110" s="289" t="s">
        <v>377</v>
      </c>
      <c r="BD110" s="292"/>
    </row>
    <row r="111" ht="12.75" customHeight="1">
      <c r="A111" s="293">
        <v>45257.466231377315</v>
      </c>
      <c r="B111" s="286" t="s">
        <v>375</v>
      </c>
      <c r="C111" s="287" t="s">
        <v>559</v>
      </c>
      <c r="D111" s="285" t="s">
        <v>16</v>
      </c>
      <c r="E111" s="285" t="s">
        <v>476</v>
      </c>
      <c r="F111" s="287" t="s">
        <v>680</v>
      </c>
      <c r="G111" s="285" t="s">
        <v>17</v>
      </c>
      <c r="H111" s="285">
        <v>12.0</v>
      </c>
      <c r="I111" s="287" t="s">
        <v>497</v>
      </c>
      <c r="J111" s="292"/>
      <c r="K111" s="287" t="s">
        <v>508</v>
      </c>
      <c r="L111" s="287" t="s">
        <v>479</v>
      </c>
      <c r="M111" s="287" t="s">
        <v>495</v>
      </c>
      <c r="N111" s="287" t="s">
        <v>561</v>
      </c>
      <c r="O111" s="287"/>
      <c r="P111" s="287"/>
      <c r="Q111" s="287" t="s">
        <v>377</v>
      </c>
      <c r="R111" s="287" t="s">
        <v>377</v>
      </c>
      <c r="S111" s="288" t="s">
        <v>377</v>
      </c>
      <c r="T111" s="287" t="s">
        <v>18</v>
      </c>
      <c r="U111" s="294" t="s">
        <v>32</v>
      </c>
      <c r="V111" s="288" t="s">
        <v>377</v>
      </c>
      <c r="W111" s="287" t="s">
        <v>18</v>
      </c>
      <c r="X111" s="287" t="s">
        <v>377</v>
      </c>
      <c r="Y111" s="288" t="s">
        <v>377</v>
      </c>
      <c r="Z111" s="287" t="s">
        <v>377</v>
      </c>
      <c r="AA111" s="287" t="s">
        <v>18</v>
      </c>
      <c r="AB111" s="288" t="s">
        <v>377</v>
      </c>
      <c r="AC111" s="289" t="s">
        <v>377</v>
      </c>
      <c r="AD111" s="287" t="s">
        <v>377</v>
      </c>
      <c r="AE111" s="287" t="s">
        <v>377</v>
      </c>
      <c r="AF111" s="288" t="s">
        <v>377</v>
      </c>
      <c r="AG111" s="287" t="s">
        <v>377</v>
      </c>
      <c r="AH111" s="287" t="s">
        <v>18</v>
      </c>
      <c r="AI111" s="288" t="s">
        <v>377</v>
      </c>
      <c r="AJ111" s="287" t="s">
        <v>18</v>
      </c>
      <c r="AK111" s="287" t="s">
        <v>18</v>
      </c>
      <c r="AL111" s="288" t="s">
        <v>18</v>
      </c>
      <c r="AM111" s="287" t="s">
        <v>377</v>
      </c>
      <c r="AN111" s="287" t="s">
        <v>18</v>
      </c>
      <c r="AO111" s="288" t="s">
        <v>377</v>
      </c>
      <c r="AP111" s="289" t="s">
        <v>377</v>
      </c>
      <c r="AQ111" s="287" t="s">
        <v>377</v>
      </c>
      <c r="AR111" s="287" t="s">
        <v>377</v>
      </c>
      <c r="AS111" s="288" t="s">
        <v>377</v>
      </c>
      <c r="AT111" s="294" t="s">
        <v>32</v>
      </c>
      <c r="AU111" s="294" t="s">
        <v>32</v>
      </c>
      <c r="AV111" s="295" t="s">
        <v>32</v>
      </c>
      <c r="AW111" s="287" t="s">
        <v>377</v>
      </c>
      <c r="AX111" s="287" t="s">
        <v>377</v>
      </c>
      <c r="AY111" s="288" t="s">
        <v>377</v>
      </c>
      <c r="AZ111" s="287" t="s">
        <v>18</v>
      </c>
      <c r="BA111" s="287" t="s">
        <v>377</v>
      </c>
      <c r="BB111" s="295" t="s">
        <v>32</v>
      </c>
      <c r="BC111" s="296" t="s">
        <v>32</v>
      </c>
      <c r="BD111" s="292"/>
    </row>
    <row r="112" ht="12.75" customHeight="1">
      <c r="A112" s="293">
        <v>45257.467753715275</v>
      </c>
      <c r="B112" s="286" t="s">
        <v>375</v>
      </c>
      <c r="C112" s="287" t="s">
        <v>559</v>
      </c>
      <c r="D112" s="285" t="s">
        <v>16</v>
      </c>
      <c r="E112" s="285" t="s">
        <v>476</v>
      </c>
      <c r="F112" s="287" t="s">
        <v>681</v>
      </c>
      <c r="G112" s="285" t="s">
        <v>21</v>
      </c>
      <c r="H112" s="285">
        <v>11.0</v>
      </c>
      <c r="I112" s="287" t="s">
        <v>497</v>
      </c>
      <c r="J112" s="292"/>
      <c r="K112" s="287" t="s">
        <v>508</v>
      </c>
      <c r="L112" s="287" t="s">
        <v>479</v>
      </c>
      <c r="M112" s="287" t="s">
        <v>495</v>
      </c>
      <c r="N112" s="287" t="s">
        <v>561</v>
      </c>
      <c r="O112" s="287"/>
      <c r="P112" s="287"/>
      <c r="Q112" s="294" t="s">
        <v>32</v>
      </c>
      <c r="R112" s="287" t="s">
        <v>18</v>
      </c>
      <c r="S112" s="288" t="s">
        <v>377</v>
      </c>
      <c r="T112" s="287" t="s">
        <v>18</v>
      </c>
      <c r="U112" s="294" t="s">
        <v>32</v>
      </c>
      <c r="V112" s="288" t="s">
        <v>377</v>
      </c>
      <c r="W112" s="287" t="s">
        <v>18</v>
      </c>
      <c r="X112" s="287" t="s">
        <v>377</v>
      </c>
      <c r="Y112" s="288" t="s">
        <v>377</v>
      </c>
      <c r="Z112" s="287" t="s">
        <v>377</v>
      </c>
      <c r="AA112" s="287" t="s">
        <v>18</v>
      </c>
      <c r="AB112" s="288" t="s">
        <v>377</v>
      </c>
      <c r="AC112" s="289" t="s">
        <v>377</v>
      </c>
      <c r="AD112" s="287" t="s">
        <v>377</v>
      </c>
      <c r="AE112" s="294" t="s">
        <v>32</v>
      </c>
      <c r="AF112" s="295" t="s">
        <v>32</v>
      </c>
      <c r="AG112" s="287" t="s">
        <v>377</v>
      </c>
      <c r="AH112" s="287" t="s">
        <v>18</v>
      </c>
      <c r="AI112" s="288" t="s">
        <v>377</v>
      </c>
      <c r="AJ112" s="287" t="s">
        <v>18</v>
      </c>
      <c r="AK112" s="287" t="s">
        <v>377</v>
      </c>
      <c r="AL112" s="288" t="s">
        <v>377</v>
      </c>
      <c r="AM112" s="287" t="s">
        <v>377</v>
      </c>
      <c r="AN112" s="287" t="s">
        <v>377</v>
      </c>
      <c r="AO112" s="288" t="s">
        <v>377</v>
      </c>
      <c r="AP112" s="289" t="s">
        <v>377</v>
      </c>
      <c r="AQ112" s="294" t="s">
        <v>32</v>
      </c>
      <c r="AR112" s="287" t="s">
        <v>377</v>
      </c>
      <c r="AS112" s="295" t="s">
        <v>32</v>
      </c>
      <c r="AT112" s="287" t="s">
        <v>377</v>
      </c>
      <c r="AU112" s="287" t="s">
        <v>377</v>
      </c>
      <c r="AV112" s="288" t="s">
        <v>377</v>
      </c>
      <c r="AW112" s="287" t="s">
        <v>377</v>
      </c>
      <c r="AX112" s="294" t="s">
        <v>32</v>
      </c>
      <c r="AY112" s="295" t="s">
        <v>32</v>
      </c>
      <c r="AZ112" s="294" t="s">
        <v>32</v>
      </c>
      <c r="BA112" s="294" t="s">
        <v>32</v>
      </c>
      <c r="BB112" s="288" t="s">
        <v>18</v>
      </c>
      <c r="BC112" s="289" t="s">
        <v>18</v>
      </c>
      <c r="BD112" s="292"/>
    </row>
    <row r="113" ht="12.75" customHeight="1">
      <c r="A113" s="293">
        <v>45257.48685244213</v>
      </c>
      <c r="B113" s="286" t="s">
        <v>375</v>
      </c>
      <c r="C113" s="287" t="s">
        <v>559</v>
      </c>
      <c r="D113" s="285" t="s">
        <v>16</v>
      </c>
      <c r="E113" s="285" t="s">
        <v>476</v>
      </c>
      <c r="F113" s="287" t="s">
        <v>682</v>
      </c>
      <c r="G113" s="285" t="s">
        <v>21</v>
      </c>
      <c r="H113" s="285">
        <v>11.0</v>
      </c>
      <c r="I113" s="287" t="s">
        <v>497</v>
      </c>
      <c r="J113" s="292"/>
      <c r="K113" s="287" t="s">
        <v>508</v>
      </c>
      <c r="L113" s="287" t="s">
        <v>479</v>
      </c>
      <c r="M113" s="287" t="s">
        <v>495</v>
      </c>
      <c r="N113" s="287" t="s">
        <v>561</v>
      </c>
      <c r="O113" s="287"/>
      <c r="P113" s="287"/>
      <c r="Q113" s="287" t="s">
        <v>18</v>
      </c>
      <c r="R113" s="287" t="s">
        <v>18</v>
      </c>
      <c r="S113" s="288" t="s">
        <v>18</v>
      </c>
      <c r="T113" s="287" t="s">
        <v>377</v>
      </c>
      <c r="U113" s="294" t="s">
        <v>32</v>
      </c>
      <c r="V113" s="295" t="s">
        <v>32</v>
      </c>
      <c r="W113" s="287" t="s">
        <v>18</v>
      </c>
      <c r="X113" s="287" t="s">
        <v>18</v>
      </c>
      <c r="Y113" s="288" t="s">
        <v>18</v>
      </c>
      <c r="Z113" s="287" t="s">
        <v>18</v>
      </c>
      <c r="AA113" s="287" t="s">
        <v>377</v>
      </c>
      <c r="AB113" s="288" t="s">
        <v>377</v>
      </c>
      <c r="AC113" s="289" t="s">
        <v>377</v>
      </c>
      <c r="AD113" s="287" t="s">
        <v>18</v>
      </c>
      <c r="AE113" s="287" t="s">
        <v>18</v>
      </c>
      <c r="AF113" s="288" t="s">
        <v>18</v>
      </c>
      <c r="AG113" s="287" t="s">
        <v>18</v>
      </c>
      <c r="AH113" s="287" t="s">
        <v>18</v>
      </c>
      <c r="AI113" s="288" t="s">
        <v>18</v>
      </c>
      <c r="AJ113" s="287" t="s">
        <v>18</v>
      </c>
      <c r="AK113" s="287" t="s">
        <v>18</v>
      </c>
      <c r="AL113" s="288" t="s">
        <v>18</v>
      </c>
      <c r="AM113" s="287" t="s">
        <v>18</v>
      </c>
      <c r="AN113" s="287" t="s">
        <v>18</v>
      </c>
      <c r="AO113" s="288" t="s">
        <v>18</v>
      </c>
      <c r="AP113" s="289" t="s">
        <v>18</v>
      </c>
      <c r="AQ113" s="287" t="s">
        <v>18</v>
      </c>
      <c r="AR113" s="287" t="s">
        <v>18</v>
      </c>
      <c r="AS113" s="288" t="s">
        <v>18</v>
      </c>
      <c r="AT113" s="287" t="s">
        <v>18</v>
      </c>
      <c r="AU113" s="287" t="s">
        <v>18</v>
      </c>
      <c r="AV113" s="288" t="s">
        <v>18</v>
      </c>
      <c r="AW113" s="287" t="s">
        <v>18</v>
      </c>
      <c r="AX113" s="287" t="s">
        <v>18</v>
      </c>
      <c r="AY113" s="288" t="s">
        <v>18</v>
      </c>
      <c r="AZ113" s="287" t="s">
        <v>18</v>
      </c>
      <c r="BA113" s="287" t="s">
        <v>18</v>
      </c>
      <c r="BB113" s="295" t="s">
        <v>32</v>
      </c>
      <c r="BC113" s="296" t="s">
        <v>32</v>
      </c>
      <c r="BD113" s="292"/>
    </row>
    <row r="114" ht="12.75" customHeight="1">
      <c r="A114" s="293">
        <v>45257.48857569444</v>
      </c>
      <c r="B114" s="286" t="s">
        <v>375</v>
      </c>
      <c r="C114" s="287" t="s">
        <v>559</v>
      </c>
      <c r="D114" s="285" t="s">
        <v>16</v>
      </c>
      <c r="E114" s="285" t="s">
        <v>476</v>
      </c>
      <c r="F114" s="287" t="s">
        <v>683</v>
      </c>
      <c r="G114" s="285" t="s">
        <v>21</v>
      </c>
      <c r="H114" s="285">
        <v>12.0</v>
      </c>
      <c r="I114" s="287" t="s">
        <v>497</v>
      </c>
      <c r="J114" s="292"/>
      <c r="K114" s="287" t="s">
        <v>508</v>
      </c>
      <c r="L114" s="287" t="s">
        <v>479</v>
      </c>
      <c r="M114" s="287" t="s">
        <v>483</v>
      </c>
      <c r="N114" s="287" t="s">
        <v>561</v>
      </c>
      <c r="O114" s="287"/>
      <c r="P114" s="287"/>
      <c r="Q114" s="287" t="s">
        <v>18</v>
      </c>
      <c r="R114" s="287" t="s">
        <v>18</v>
      </c>
      <c r="S114" s="288" t="s">
        <v>18</v>
      </c>
      <c r="T114" s="287" t="s">
        <v>377</v>
      </c>
      <c r="U114" s="294" t="s">
        <v>32</v>
      </c>
      <c r="V114" s="295" t="s">
        <v>32</v>
      </c>
      <c r="W114" s="287" t="s">
        <v>377</v>
      </c>
      <c r="X114" s="287" t="s">
        <v>18</v>
      </c>
      <c r="Y114" s="288" t="s">
        <v>377</v>
      </c>
      <c r="Z114" s="287" t="s">
        <v>18</v>
      </c>
      <c r="AA114" s="287" t="s">
        <v>18</v>
      </c>
      <c r="AB114" s="288" t="s">
        <v>18</v>
      </c>
      <c r="AC114" s="289" t="s">
        <v>377</v>
      </c>
      <c r="AD114" s="287" t="s">
        <v>18</v>
      </c>
      <c r="AE114" s="287" t="s">
        <v>18</v>
      </c>
      <c r="AF114" s="288" t="s">
        <v>18</v>
      </c>
      <c r="AG114" s="287" t="s">
        <v>18</v>
      </c>
      <c r="AH114" s="287" t="s">
        <v>18</v>
      </c>
      <c r="AI114" s="288" t="s">
        <v>18</v>
      </c>
      <c r="AJ114" s="287" t="s">
        <v>18</v>
      </c>
      <c r="AK114" s="287" t="s">
        <v>18</v>
      </c>
      <c r="AL114" s="288" t="s">
        <v>18</v>
      </c>
      <c r="AM114" s="287" t="s">
        <v>18</v>
      </c>
      <c r="AN114" s="287" t="s">
        <v>18</v>
      </c>
      <c r="AO114" s="288" t="s">
        <v>18</v>
      </c>
      <c r="AP114" s="289" t="s">
        <v>18</v>
      </c>
      <c r="AQ114" s="287" t="s">
        <v>18</v>
      </c>
      <c r="AR114" s="287" t="s">
        <v>18</v>
      </c>
      <c r="AS114" s="288" t="s">
        <v>18</v>
      </c>
      <c r="AT114" s="287" t="s">
        <v>18</v>
      </c>
      <c r="AU114" s="287" t="s">
        <v>18</v>
      </c>
      <c r="AV114" s="288" t="s">
        <v>18</v>
      </c>
      <c r="AW114" s="287" t="s">
        <v>18</v>
      </c>
      <c r="AX114" s="287" t="s">
        <v>18</v>
      </c>
      <c r="AY114" s="288" t="s">
        <v>18</v>
      </c>
      <c r="AZ114" s="287" t="s">
        <v>18</v>
      </c>
      <c r="BA114" s="287" t="s">
        <v>18</v>
      </c>
      <c r="BB114" s="288" t="s">
        <v>18</v>
      </c>
      <c r="BC114" s="289" t="s">
        <v>18</v>
      </c>
      <c r="BD114" s="292"/>
    </row>
    <row r="115" ht="12.75" customHeight="1">
      <c r="A115" s="293">
        <v>45257.490245995374</v>
      </c>
      <c r="B115" s="286" t="s">
        <v>375</v>
      </c>
      <c r="C115" s="287" t="s">
        <v>559</v>
      </c>
      <c r="D115" s="285" t="s">
        <v>16</v>
      </c>
      <c r="E115" s="285" t="s">
        <v>476</v>
      </c>
      <c r="F115" s="287" t="s">
        <v>684</v>
      </c>
      <c r="G115" s="285" t="s">
        <v>17</v>
      </c>
      <c r="H115" s="285">
        <v>12.0</v>
      </c>
      <c r="I115" s="287" t="s">
        <v>497</v>
      </c>
      <c r="J115" s="292"/>
      <c r="K115" s="287" t="s">
        <v>508</v>
      </c>
      <c r="L115" s="287" t="s">
        <v>479</v>
      </c>
      <c r="M115" s="287" t="s">
        <v>483</v>
      </c>
      <c r="N115" s="287" t="s">
        <v>561</v>
      </c>
      <c r="O115" s="287"/>
      <c r="P115" s="287"/>
      <c r="Q115" s="287" t="s">
        <v>18</v>
      </c>
      <c r="R115" s="294" t="s">
        <v>32</v>
      </c>
      <c r="S115" s="288" t="s">
        <v>377</v>
      </c>
      <c r="T115" s="287" t="s">
        <v>377</v>
      </c>
      <c r="U115" s="294" t="s">
        <v>32</v>
      </c>
      <c r="V115" s="295" t="s">
        <v>32</v>
      </c>
      <c r="W115" s="287" t="s">
        <v>18</v>
      </c>
      <c r="X115" s="287" t="s">
        <v>18</v>
      </c>
      <c r="Y115" s="288" t="s">
        <v>18</v>
      </c>
      <c r="Z115" s="287" t="s">
        <v>18</v>
      </c>
      <c r="AA115" s="287" t="s">
        <v>377</v>
      </c>
      <c r="AB115" s="288" t="s">
        <v>377</v>
      </c>
      <c r="AC115" s="289" t="s">
        <v>377</v>
      </c>
      <c r="AD115" s="287" t="s">
        <v>18</v>
      </c>
      <c r="AE115" s="287" t="s">
        <v>18</v>
      </c>
      <c r="AF115" s="288" t="s">
        <v>18</v>
      </c>
      <c r="AG115" s="287" t="s">
        <v>18</v>
      </c>
      <c r="AH115" s="287" t="s">
        <v>18</v>
      </c>
      <c r="AI115" s="288" t="s">
        <v>18</v>
      </c>
      <c r="AJ115" s="287" t="s">
        <v>18</v>
      </c>
      <c r="AK115" s="287" t="s">
        <v>18</v>
      </c>
      <c r="AL115" s="288" t="s">
        <v>18</v>
      </c>
      <c r="AM115" s="287" t="s">
        <v>18</v>
      </c>
      <c r="AN115" s="287" t="s">
        <v>18</v>
      </c>
      <c r="AO115" s="288" t="s">
        <v>18</v>
      </c>
      <c r="AP115" s="289" t="s">
        <v>18</v>
      </c>
      <c r="AQ115" s="287" t="s">
        <v>18</v>
      </c>
      <c r="AR115" s="287" t="s">
        <v>18</v>
      </c>
      <c r="AS115" s="288" t="s">
        <v>18</v>
      </c>
      <c r="AT115" s="287" t="s">
        <v>18</v>
      </c>
      <c r="AU115" s="287" t="s">
        <v>18</v>
      </c>
      <c r="AV115" s="288" t="s">
        <v>18</v>
      </c>
      <c r="AW115" s="287" t="s">
        <v>18</v>
      </c>
      <c r="AX115" s="287" t="s">
        <v>18</v>
      </c>
      <c r="AY115" s="288" t="s">
        <v>18</v>
      </c>
      <c r="AZ115" s="287" t="s">
        <v>18</v>
      </c>
      <c r="BA115" s="287" t="s">
        <v>18</v>
      </c>
      <c r="BB115" s="288" t="s">
        <v>377</v>
      </c>
      <c r="BC115" s="289" t="s">
        <v>377</v>
      </c>
      <c r="BD115" s="292"/>
    </row>
    <row r="116" ht="12.75" customHeight="1">
      <c r="A116" s="293">
        <v>45257.49251740741</v>
      </c>
      <c r="B116" s="286" t="s">
        <v>375</v>
      </c>
      <c r="C116" s="287" t="s">
        <v>559</v>
      </c>
      <c r="D116" s="285" t="s">
        <v>16</v>
      </c>
      <c r="E116" s="285" t="s">
        <v>476</v>
      </c>
      <c r="F116" s="287" t="s">
        <v>685</v>
      </c>
      <c r="G116" s="285" t="s">
        <v>17</v>
      </c>
      <c r="H116" s="285">
        <v>11.0</v>
      </c>
      <c r="I116" s="287" t="s">
        <v>497</v>
      </c>
      <c r="J116" s="292"/>
      <c r="K116" s="287" t="s">
        <v>508</v>
      </c>
      <c r="L116" s="287" t="s">
        <v>479</v>
      </c>
      <c r="M116" s="287" t="s">
        <v>495</v>
      </c>
      <c r="N116" s="287" t="s">
        <v>561</v>
      </c>
      <c r="O116" s="287"/>
      <c r="P116" s="287"/>
      <c r="Q116" s="287" t="s">
        <v>18</v>
      </c>
      <c r="R116" s="294" t="s">
        <v>32</v>
      </c>
      <c r="S116" s="288" t="s">
        <v>377</v>
      </c>
      <c r="T116" s="287" t="s">
        <v>377</v>
      </c>
      <c r="U116" s="287" t="s">
        <v>377</v>
      </c>
      <c r="V116" s="288" t="s">
        <v>377</v>
      </c>
      <c r="W116" s="287" t="s">
        <v>18</v>
      </c>
      <c r="X116" s="287" t="s">
        <v>18</v>
      </c>
      <c r="Y116" s="288" t="s">
        <v>18</v>
      </c>
      <c r="Z116" s="287" t="s">
        <v>18</v>
      </c>
      <c r="AA116" s="287" t="s">
        <v>18</v>
      </c>
      <c r="AB116" s="288" t="s">
        <v>18</v>
      </c>
      <c r="AC116" s="289" t="s">
        <v>377</v>
      </c>
      <c r="AD116" s="287" t="s">
        <v>377</v>
      </c>
      <c r="AE116" s="287" t="s">
        <v>18</v>
      </c>
      <c r="AF116" s="288" t="s">
        <v>377</v>
      </c>
      <c r="AG116" s="287" t="s">
        <v>18</v>
      </c>
      <c r="AH116" s="287" t="s">
        <v>18</v>
      </c>
      <c r="AI116" s="288" t="s">
        <v>18</v>
      </c>
      <c r="AJ116" s="287" t="s">
        <v>18</v>
      </c>
      <c r="AK116" s="287" t="s">
        <v>18</v>
      </c>
      <c r="AL116" s="288" t="s">
        <v>18</v>
      </c>
      <c r="AM116" s="287" t="s">
        <v>18</v>
      </c>
      <c r="AN116" s="287" t="s">
        <v>18</v>
      </c>
      <c r="AO116" s="288" t="s">
        <v>18</v>
      </c>
      <c r="AP116" s="289" t="s">
        <v>18</v>
      </c>
      <c r="AQ116" s="287" t="s">
        <v>18</v>
      </c>
      <c r="AR116" s="287" t="s">
        <v>18</v>
      </c>
      <c r="AS116" s="288" t="s">
        <v>18</v>
      </c>
      <c r="AT116" s="287" t="s">
        <v>18</v>
      </c>
      <c r="AU116" s="287" t="s">
        <v>18</v>
      </c>
      <c r="AV116" s="288" t="s">
        <v>18</v>
      </c>
      <c r="AW116" s="287" t="s">
        <v>18</v>
      </c>
      <c r="AX116" s="287" t="s">
        <v>18</v>
      </c>
      <c r="AY116" s="288" t="s">
        <v>18</v>
      </c>
      <c r="AZ116" s="287" t="s">
        <v>18</v>
      </c>
      <c r="BA116" s="287" t="s">
        <v>18</v>
      </c>
      <c r="BB116" s="288" t="s">
        <v>18</v>
      </c>
      <c r="BC116" s="289" t="s">
        <v>18</v>
      </c>
      <c r="BD116" s="292"/>
    </row>
    <row r="117" ht="12.75" customHeight="1">
      <c r="A117" s="293">
        <v>45257.4931506713</v>
      </c>
      <c r="B117" s="286" t="s">
        <v>375</v>
      </c>
      <c r="C117" s="287" t="s">
        <v>559</v>
      </c>
      <c r="D117" s="285" t="s">
        <v>16</v>
      </c>
      <c r="E117" s="285" t="s">
        <v>476</v>
      </c>
      <c r="F117" s="287" t="s">
        <v>686</v>
      </c>
      <c r="G117" s="285" t="s">
        <v>17</v>
      </c>
      <c r="H117" s="285">
        <v>11.0</v>
      </c>
      <c r="I117" s="287" t="s">
        <v>497</v>
      </c>
      <c r="J117" s="292"/>
      <c r="K117" s="287" t="s">
        <v>508</v>
      </c>
      <c r="L117" s="287" t="s">
        <v>497</v>
      </c>
      <c r="M117" s="292"/>
      <c r="N117" s="292"/>
      <c r="O117" s="292"/>
      <c r="P117" s="292"/>
      <c r="Q117" s="287" t="s">
        <v>377</v>
      </c>
      <c r="R117" s="287" t="s">
        <v>377</v>
      </c>
      <c r="S117" s="288" t="s">
        <v>377</v>
      </c>
      <c r="T117" s="294" t="s">
        <v>32</v>
      </c>
      <c r="U117" s="294" t="s">
        <v>32</v>
      </c>
      <c r="V117" s="295" t="s">
        <v>32</v>
      </c>
      <c r="W117" s="287" t="s">
        <v>18</v>
      </c>
      <c r="X117" s="287" t="s">
        <v>377</v>
      </c>
      <c r="Y117" s="288" t="s">
        <v>377</v>
      </c>
      <c r="Z117" s="294" t="s">
        <v>32</v>
      </c>
      <c r="AA117" s="287" t="s">
        <v>377</v>
      </c>
      <c r="AB117" s="295" t="s">
        <v>32</v>
      </c>
      <c r="AC117" s="289" t="s">
        <v>377</v>
      </c>
      <c r="AD117" s="287" t="s">
        <v>377</v>
      </c>
      <c r="AE117" s="294" t="s">
        <v>32</v>
      </c>
      <c r="AF117" s="295" t="s">
        <v>32</v>
      </c>
      <c r="AG117" s="287" t="s">
        <v>377</v>
      </c>
      <c r="AH117" s="294" t="s">
        <v>32</v>
      </c>
      <c r="AI117" s="295" t="s">
        <v>32</v>
      </c>
      <c r="AJ117" s="294" t="s">
        <v>32</v>
      </c>
      <c r="AK117" s="294" t="s">
        <v>32</v>
      </c>
      <c r="AL117" s="295" t="s">
        <v>32</v>
      </c>
      <c r="AM117" s="287" t="s">
        <v>377</v>
      </c>
      <c r="AN117" s="294" t="s">
        <v>32</v>
      </c>
      <c r="AO117" s="295" t="s">
        <v>32</v>
      </c>
      <c r="AP117" s="296" t="s">
        <v>32</v>
      </c>
      <c r="AQ117" s="294" t="s">
        <v>32</v>
      </c>
      <c r="AR117" s="294" t="s">
        <v>32</v>
      </c>
      <c r="AS117" s="295" t="s">
        <v>32</v>
      </c>
      <c r="AT117" s="294" t="s">
        <v>32</v>
      </c>
      <c r="AU117" s="294" t="s">
        <v>32</v>
      </c>
      <c r="AV117" s="295" t="s">
        <v>32</v>
      </c>
      <c r="AW117" s="287" t="s">
        <v>377</v>
      </c>
      <c r="AX117" s="287" t="s">
        <v>377</v>
      </c>
      <c r="AY117" s="288" t="s">
        <v>377</v>
      </c>
      <c r="AZ117" s="287" t="s">
        <v>377</v>
      </c>
      <c r="BA117" s="287" t="s">
        <v>377</v>
      </c>
      <c r="BB117" s="295" t="s">
        <v>32</v>
      </c>
      <c r="BC117" s="296" t="s">
        <v>32</v>
      </c>
      <c r="BD117" s="292"/>
    </row>
    <row r="118" ht="12.75" customHeight="1">
      <c r="A118" s="293">
        <v>45257.49430844907</v>
      </c>
      <c r="B118" s="286" t="s">
        <v>375</v>
      </c>
      <c r="C118" s="287" t="s">
        <v>559</v>
      </c>
      <c r="D118" s="285" t="s">
        <v>16</v>
      </c>
      <c r="E118" s="285" t="s">
        <v>476</v>
      </c>
      <c r="F118" s="287" t="s">
        <v>687</v>
      </c>
      <c r="G118" s="285" t="s">
        <v>17</v>
      </c>
      <c r="H118" s="285">
        <v>15.0</v>
      </c>
      <c r="I118" s="287" t="s">
        <v>497</v>
      </c>
      <c r="J118" s="292"/>
      <c r="K118" s="287" t="s">
        <v>508</v>
      </c>
      <c r="L118" s="287" t="s">
        <v>479</v>
      </c>
      <c r="M118" s="287" t="s">
        <v>481</v>
      </c>
      <c r="N118" s="287" t="s">
        <v>561</v>
      </c>
      <c r="O118" s="287"/>
      <c r="P118" s="287"/>
      <c r="Q118" s="287" t="s">
        <v>18</v>
      </c>
      <c r="R118" s="287" t="s">
        <v>18</v>
      </c>
      <c r="S118" s="288" t="s">
        <v>18</v>
      </c>
      <c r="T118" s="287" t="s">
        <v>18</v>
      </c>
      <c r="U118" s="287" t="s">
        <v>18</v>
      </c>
      <c r="V118" s="288" t="s">
        <v>18</v>
      </c>
      <c r="W118" s="287" t="s">
        <v>18</v>
      </c>
      <c r="X118" s="287" t="s">
        <v>18</v>
      </c>
      <c r="Y118" s="288" t="s">
        <v>18</v>
      </c>
      <c r="Z118" s="287" t="s">
        <v>18</v>
      </c>
      <c r="AA118" s="287" t="s">
        <v>18</v>
      </c>
      <c r="AB118" s="288" t="s">
        <v>18</v>
      </c>
      <c r="AC118" s="289" t="s">
        <v>18</v>
      </c>
      <c r="AD118" s="287" t="s">
        <v>18</v>
      </c>
      <c r="AE118" s="287" t="s">
        <v>18</v>
      </c>
      <c r="AF118" s="288" t="s">
        <v>18</v>
      </c>
      <c r="AG118" s="287" t="s">
        <v>18</v>
      </c>
      <c r="AH118" s="287" t="s">
        <v>18</v>
      </c>
      <c r="AI118" s="288" t="s">
        <v>18</v>
      </c>
      <c r="AJ118" s="287" t="s">
        <v>18</v>
      </c>
      <c r="AK118" s="287" t="s">
        <v>18</v>
      </c>
      <c r="AL118" s="288" t="s">
        <v>18</v>
      </c>
      <c r="AM118" s="287" t="s">
        <v>18</v>
      </c>
      <c r="AN118" s="287" t="s">
        <v>18</v>
      </c>
      <c r="AO118" s="288" t="s">
        <v>18</v>
      </c>
      <c r="AP118" s="289" t="s">
        <v>18</v>
      </c>
      <c r="AQ118" s="287" t="s">
        <v>18</v>
      </c>
      <c r="AR118" s="287" t="s">
        <v>18</v>
      </c>
      <c r="AS118" s="288" t="s">
        <v>18</v>
      </c>
      <c r="AT118" s="287" t="s">
        <v>18</v>
      </c>
      <c r="AU118" s="287" t="s">
        <v>18</v>
      </c>
      <c r="AV118" s="288" t="s">
        <v>18</v>
      </c>
      <c r="AW118" s="287" t="s">
        <v>18</v>
      </c>
      <c r="AX118" s="287" t="s">
        <v>18</v>
      </c>
      <c r="AY118" s="288" t="s">
        <v>18</v>
      </c>
      <c r="AZ118" s="287" t="s">
        <v>18</v>
      </c>
      <c r="BA118" s="287" t="s">
        <v>18</v>
      </c>
      <c r="BB118" s="288" t="s">
        <v>18</v>
      </c>
      <c r="BC118" s="289" t="s">
        <v>18</v>
      </c>
      <c r="BD118" s="292"/>
    </row>
    <row r="119" ht="12.75" customHeight="1">
      <c r="A119" s="293">
        <v>45257.49472091435</v>
      </c>
      <c r="B119" s="286" t="s">
        <v>375</v>
      </c>
      <c r="C119" s="287" t="s">
        <v>559</v>
      </c>
      <c r="D119" s="285" t="s">
        <v>16</v>
      </c>
      <c r="E119" s="285" t="s">
        <v>476</v>
      </c>
      <c r="F119" s="287" t="s">
        <v>688</v>
      </c>
      <c r="G119" s="285" t="s">
        <v>17</v>
      </c>
      <c r="H119" s="285">
        <v>11.0</v>
      </c>
      <c r="I119" s="287" t="s">
        <v>497</v>
      </c>
      <c r="J119" s="292"/>
      <c r="K119" s="287" t="s">
        <v>508</v>
      </c>
      <c r="L119" s="287" t="s">
        <v>479</v>
      </c>
      <c r="M119" s="287" t="s">
        <v>495</v>
      </c>
      <c r="N119" s="287" t="s">
        <v>561</v>
      </c>
      <c r="O119" s="287"/>
      <c r="P119" s="287"/>
      <c r="Q119" s="287" t="s">
        <v>18</v>
      </c>
      <c r="R119" s="294" t="s">
        <v>32</v>
      </c>
      <c r="S119" s="288" t="s">
        <v>377</v>
      </c>
      <c r="T119" s="287" t="s">
        <v>377</v>
      </c>
      <c r="U119" s="294" t="s">
        <v>32</v>
      </c>
      <c r="V119" s="295" t="s">
        <v>32</v>
      </c>
      <c r="W119" s="287" t="s">
        <v>18</v>
      </c>
      <c r="X119" s="287" t="s">
        <v>18</v>
      </c>
      <c r="Y119" s="288" t="s">
        <v>18</v>
      </c>
      <c r="Z119" s="287" t="s">
        <v>18</v>
      </c>
      <c r="AA119" s="287" t="s">
        <v>377</v>
      </c>
      <c r="AB119" s="288" t="s">
        <v>377</v>
      </c>
      <c r="AC119" s="289" t="s">
        <v>377</v>
      </c>
      <c r="AD119" s="287" t="s">
        <v>18</v>
      </c>
      <c r="AE119" s="287" t="s">
        <v>18</v>
      </c>
      <c r="AF119" s="288" t="s">
        <v>18</v>
      </c>
      <c r="AG119" s="287" t="s">
        <v>18</v>
      </c>
      <c r="AH119" s="287" t="s">
        <v>18</v>
      </c>
      <c r="AI119" s="288" t="s">
        <v>18</v>
      </c>
      <c r="AJ119" s="287" t="s">
        <v>18</v>
      </c>
      <c r="AK119" s="287" t="s">
        <v>18</v>
      </c>
      <c r="AL119" s="288" t="s">
        <v>18</v>
      </c>
      <c r="AM119" s="287" t="s">
        <v>18</v>
      </c>
      <c r="AN119" s="287" t="s">
        <v>18</v>
      </c>
      <c r="AO119" s="288" t="s">
        <v>18</v>
      </c>
      <c r="AP119" s="289" t="s">
        <v>18</v>
      </c>
      <c r="AQ119" s="287" t="s">
        <v>18</v>
      </c>
      <c r="AR119" s="287" t="s">
        <v>18</v>
      </c>
      <c r="AS119" s="288" t="s">
        <v>18</v>
      </c>
      <c r="AT119" s="287" t="s">
        <v>18</v>
      </c>
      <c r="AU119" s="287" t="s">
        <v>18</v>
      </c>
      <c r="AV119" s="288" t="s">
        <v>18</v>
      </c>
      <c r="AW119" s="287" t="s">
        <v>18</v>
      </c>
      <c r="AX119" s="287" t="s">
        <v>18</v>
      </c>
      <c r="AY119" s="288" t="s">
        <v>18</v>
      </c>
      <c r="AZ119" s="287" t="s">
        <v>377</v>
      </c>
      <c r="BA119" s="287" t="s">
        <v>377</v>
      </c>
      <c r="BB119" s="288" t="s">
        <v>377</v>
      </c>
      <c r="BC119" s="289" t="s">
        <v>377</v>
      </c>
      <c r="BD119" s="292"/>
    </row>
    <row r="120" ht="12.75" customHeight="1">
      <c r="A120" s="293">
        <v>45257.49551162037</v>
      </c>
      <c r="B120" s="286" t="s">
        <v>375</v>
      </c>
      <c r="C120" s="287" t="s">
        <v>559</v>
      </c>
      <c r="D120" s="285" t="s">
        <v>16</v>
      </c>
      <c r="E120" s="285" t="s">
        <v>476</v>
      </c>
      <c r="F120" s="287" t="s">
        <v>689</v>
      </c>
      <c r="G120" s="285" t="s">
        <v>21</v>
      </c>
      <c r="H120" s="285">
        <v>12.0</v>
      </c>
      <c r="I120" s="287" t="s">
        <v>497</v>
      </c>
      <c r="J120" s="292"/>
      <c r="K120" s="287" t="s">
        <v>508</v>
      </c>
      <c r="L120" s="287" t="s">
        <v>479</v>
      </c>
      <c r="M120" s="287" t="s">
        <v>483</v>
      </c>
      <c r="N120" s="287" t="s">
        <v>561</v>
      </c>
      <c r="O120" s="287"/>
      <c r="P120" s="287"/>
      <c r="Q120" s="287" t="s">
        <v>377</v>
      </c>
      <c r="R120" s="294" t="s">
        <v>32</v>
      </c>
      <c r="S120" s="295" t="s">
        <v>32</v>
      </c>
      <c r="T120" s="287" t="s">
        <v>377</v>
      </c>
      <c r="U120" s="294" t="s">
        <v>32</v>
      </c>
      <c r="V120" s="295" t="s">
        <v>32</v>
      </c>
      <c r="W120" s="294" t="s">
        <v>32</v>
      </c>
      <c r="X120" s="287" t="s">
        <v>377</v>
      </c>
      <c r="Y120" s="295" t="s">
        <v>32</v>
      </c>
      <c r="Z120" s="287" t="s">
        <v>377</v>
      </c>
      <c r="AA120" s="287" t="s">
        <v>377</v>
      </c>
      <c r="AB120" s="288" t="s">
        <v>377</v>
      </c>
      <c r="AC120" s="289" t="s">
        <v>377</v>
      </c>
      <c r="AD120" s="287" t="s">
        <v>377</v>
      </c>
      <c r="AE120" s="294" t="s">
        <v>32</v>
      </c>
      <c r="AF120" s="295" t="s">
        <v>32</v>
      </c>
      <c r="AG120" s="287" t="s">
        <v>377</v>
      </c>
      <c r="AH120" s="287" t="s">
        <v>377</v>
      </c>
      <c r="AI120" s="288" t="s">
        <v>377</v>
      </c>
      <c r="AJ120" s="294" t="s">
        <v>32</v>
      </c>
      <c r="AK120" s="287" t="s">
        <v>377</v>
      </c>
      <c r="AL120" s="295" t="s">
        <v>32</v>
      </c>
      <c r="AM120" s="287" t="s">
        <v>377</v>
      </c>
      <c r="AN120" s="294" t="s">
        <v>32</v>
      </c>
      <c r="AO120" s="295" t="s">
        <v>32</v>
      </c>
      <c r="AP120" s="289" t="s">
        <v>377</v>
      </c>
      <c r="AQ120" s="287" t="s">
        <v>377</v>
      </c>
      <c r="AR120" s="294" t="s">
        <v>32</v>
      </c>
      <c r="AS120" s="295" t="s">
        <v>32</v>
      </c>
      <c r="AT120" s="287" t="s">
        <v>377</v>
      </c>
      <c r="AU120" s="287" t="s">
        <v>377</v>
      </c>
      <c r="AV120" s="288" t="s">
        <v>377</v>
      </c>
      <c r="AW120" s="287" t="s">
        <v>377</v>
      </c>
      <c r="AX120" s="294" t="s">
        <v>32</v>
      </c>
      <c r="AY120" s="295" t="s">
        <v>32</v>
      </c>
      <c r="AZ120" s="287" t="s">
        <v>377</v>
      </c>
      <c r="BA120" s="294" t="s">
        <v>32</v>
      </c>
      <c r="BB120" s="295" t="s">
        <v>32</v>
      </c>
      <c r="BC120" s="296" t="s">
        <v>32</v>
      </c>
      <c r="BD120" s="292"/>
    </row>
    <row r="121" ht="12.75" customHeight="1">
      <c r="A121" s="293">
        <v>45257.4970984838</v>
      </c>
      <c r="B121" s="286" t="s">
        <v>375</v>
      </c>
      <c r="C121" s="287" t="s">
        <v>559</v>
      </c>
      <c r="D121" s="285" t="s">
        <v>16</v>
      </c>
      <c r="E121" s="285" t="s">
        <v>476</v>
      </c>
      <c r="F121" s="287" t="s">
        <v>690</v>
      </c>
      <c r="G121" s="285" t="s">
        <v>21</v>
      </c>
      <c r="H121" s="285">
        <v>11.0</v>
      </c>
      <c r="I121" s="287" t="s">
        <v>497</v>
      </c>
      <c r="J121" s="292"/>
      <c r="K121" s="287" t="s">
        <v>508</v>
      </c>
      <c r="L121" s="287" t="s">
        <v>479</v>
      </c>
      <c r="M121" s="287" t="s">
        <v>483</v>
      </c>
      <c r="N121" s="287" t="s">
        <v>561</v>
      </c>
      <c r="O121" s="287"/>
      <c r="P121" s="287"/>
      <c r="Q121" s="287" t="s">
        <v>18</v>
      </c>
      <c r="R121" s="294" t="s">
        <v>32</v>
      </c>
      <c r="S121" s="288" t="s">
        <v>377</v>
      </c>
      <c r="T121" s="287" t="s">
        <v>377</v>
      </c>
      <c r="U121" s="294" t="s">
        <v>32</v>
      </c>
      <c r="V121" s="295" t="s">
        <v>32</v>
      </c>
      <c r="W121" s="287" t="s">
        <v>18</v>
      </c>
      <c r="X121" s="287" t="s">
        <v>18</v>
      </c>
      <c r="Y121" s="288" t="s">
        <v>18</v>
      </c>
      <c r="Z121" s="287" t="s">
        <v>18</v>
      </c>
      <c r="AA121" s="287" t="s">
        <v>18</v>
      </c>
      <c r="AB121" s="288" t="s">
        <v>18</v>
      </c>
      <c r="AC121" s="289" t="s">
        <v>377</v>
      </c>
      <c r="AD121" s="287" t="s">
        <v>18</v>
      </c>
      <c r="AE121" s="287" t="s">
        <v>18</v>
      </c>
      <c r="AF121" s="288" t="s">
        <v>18</v>
      </c>
      <c r="AG121" s="287" t="s">
        <v>18</v>
      </c>
      <c r="AH121" s="287" t="s">
        <v>18</v>
      </c>
      <c r="AI121" s="288" t="s">
        <v>18</v>
      </c>
      <c r="AJ121" s="287" t="s">
        <v>18</v>
      </c>
      <c r="AK121" s="287" t="s">
        <v>18</v>
      </c>
      <c r="AL121" s="288" t="s">
        <v>18</v>
      </c>
      <c r="AM121" s="287" t="s">
        <v>18</v>
      </c>
      <c r="AN121" s="287" t="s">
        <v>18</v>
      </c>
      <c r="AO121" s="288" t="s">
        <v>18</v>
      </c>
      <c r="AP121" s="289" t="s">
        <v>18</v>
      </c>
      <c r="AQ121" s="287" t="s">
        <v>18</v>
      </c>
      <c r="AR121" s="287" t="s">
        <v>18</v>
      </c>
      <c r="AS121" s="288" t="s">
        <v>18</v>
      </c>
      <c r="AT121" s="287" t="s">
        <v>18</v>
      </c>
      <c r="AU121" s="287" t="s">
        <v>18</v>
      </c>
      <c r="AV121" s="288" t="s">
        <v>18</v>
      </c>
      <c r="AW121" s="287" t="s">
        <v>18</v>
      </c>
      <c r="AX121" s="287" t="s">
        <v>18</v>
      </c>
      <c r="AY121" s="288" t="s">
        <v>18</v>
      </c>
      <c r="AZ121" s="287" t="s">
        <v>18</v>
      </c>
      <c r="BA121" s="287" t="s">
        <v>18</v>
      </c>
      <c r="BB121" s="295" t="s">
        <v>32</v>
      </c>
      <c r="BC121" s="296" t="s">
        <v>32</v>
      </c>
      <c r="BD121" s="292"/>
    </row>
    <row r="122" ht="12.75" customHeight="1">
      <c r="A122" s="293">
        <v>45257.49848545139</v>
      </c>
      <c r="B122" s="286" t="s">
        <v>375</v>
      </c>
      <c r="C122" s="287" t="s">
        <v>559</v>
      </c>
      <c r="D122" s="285" t="s">
        <v>16</v>
      </c>
      <c r="E122" s="285" t="s">
        <v>476</v>
      </c>
      <c r="F122" s="287" t="s">
        <v>691</v>
      </c>
      <c r="G122" s="285" t="s">
        <v>17</v>
      </c>
      <c r="H122" s="285">
        <v>11.0</v>
      </c>
      <c r="I122" s="287" t="s">
        <v>497</v>
      </c>
      <c r="J122" s="292"/>
      <c r="K122" s="287" t="s">
        <v>508</v>
      </c>
      <c r="L122" s="287" t="s">
        <v>479</v>
      </c>
      <c r="M122" s="287" t="s">
        <v>483</v>
      </c>
      <c r="N122" s="287" t="s">
        <v>561</v>
      </c>
      <c r="O122" s="287"/>
      <c r="P122" s="287"/>
      <c r="Q122" s="287" t="s">
        <v>18</v>
      </c>
      <c r="R122" s="294" t="s">
        <v>32</v>
      </c>
      <c r="S122" s="288" t="s">
        <v>377</v>
      </c>
      <c r="T122" s="287" t="s">
        <v>377</v>
      </c>
      <c r="U122" s="294" t="s">
        <v>32</v>
      </c>
      <c r="V122" s="295" t="s">
        <v>32</v>
      </c>
      <c r="W122" s="287" t="s">
        <v>18</v>
      </c>
      <c r="X122" s="287" t="s">
        <v>18</v>
      </c>
      <c r="Y122" s="288" t="s">
        <v>18</v>
      </c>
      <c r="Z122" s="287" t="s">
        <v>18</v>
      </c>
      <c r="AA122" s="287" t="s">
        <v>18</v>
      </c>
      <c r="AB122" s="288" t="s">
        <v>18</v>
      </c>
      <c r="AC122" s="289" t="s">
        <v>377</v>
      </c>
      <c r="AD122" s="287" t="s">
        <v>18</v>
      </c>
      <c r="AE122" s="287" t="s">
        <v>18</v>
      </c>
      <c r="AF122" s="288" t="s">
        <v>18</v>
      </c>
      <c r="AG122" s="287" t="s">
        <v>18</v>
      </c>
      <c r="AH122" s="287" t="s">
        <v>18</v>
      </c>
      <c r="AI122" s="288" t="s">
        <v>18</v>
      </c>
      <c r="AJ122" s="287" t="s">
        <v>18</v>
      </c>
      <c r="AK122" s="287" t="s">
        <v>18</v>
      </c>
      <c r="AL122" s="288" t="s">
        <v>18</v>
      </c>
      <c r="AM122" s="287" t="s">
        <v>18</v>
      </c>
      <c r="AN122" s="287" t="s">
        <v>18</v>
      </c>
      <c r="AO122" s="288" t="s">
        <v>18</v>
      </c>
      <c r="AP122" s="289" t="s">
        <v>18</v>
      </c>
      <c r="AQ122" s="287" t="s">
        <v>18</v>
      </c>
      <c r="AR122" s="287" t="s">
        <v>18</v>
      </c>
      <c r="AS122" s="288" t="s">
        <v>18</v>
      </c>
      <c r="AT122" s="287" t="s">
        <v>18</v>
      </c>
      <c r="AU122" s="287" t="s">
        <v>18</v>
      </c>
      <c r="AV122" s="288" t="s">
        <v>18</v>
      </c>
      <c r="AW122" s="287" t="s">
        <v>18</v>
      </c>
      <c r="AX122" s="287" t="s">
        <v>18</v>
      </c>
      <c r="AY122" s="288" t="s">
        <v>18</v>
      </c>
      <c r="AZ122" s="287" t="s">
        <v>18</v>
      </c>
      <c r="BA122" s="287" t="s">
        <v>18</v>
      </c>
      <c r="BB122" s="288" t="s">
        <v>18</v>
      </c>
      <c r="BC122" s="289" t="s">
        <v>377</v>
      </c>
      <c r="BD122" s="292"/>
    </row>
    <row r="123" ht="12.75" customHeight="1">
      <c r="A123" s="293">
        <v>45257.50342034722</v>
      </c>
      <c r="B123" s="286" t="s">
        <v>375</v>
      </c>
      <c r="C123" s="287" t="s">
        <v>559</v>
      </c>
      <c r="D123" s="285" t="s">
        <v>16</v>
      </c>
      <c r="E123" s="285" t="s">
        <v>476</v>
      </c>
      <c r="F123" s="287" t="s">
        <v>692</v>
      </c>
      <c r="G123" s="285" t="s">
        <v>21</v>
      </c>
      <c r="H123" s="285">
        <v>11.0</v>
      </c>
      <c r="I123" s="287" t="s">
        <v>497</v>
      </c>
      <c r="J123" s="292"/>
      <c r="K123" s="287" t="s">
        <v>508</v>
      </c>
      <c r="L123" s="287" t="s">
        <v>479</v>
      </c>
      <c r="M123" s="287" t="s">
        <v>483</v>
      </c>
      <c r="N123" s="287" t="s">
        <v>561</v>
      </c>
      <c r="O123" s="287"/>
      <c r="P123" s="287"/>
      <c r="Q123" s="287" t="s">
        <v>18</v>
      </c>
      <c r="R123" s="294" t="s">
        <v>32</v>
      </c>
      <c r="S123" s="288" t="s">
        <v>377</v>
      </c>
      <c r="T123" s="287" t="s">
        <v>377</v>
      </c>
      <c r="U123" s="294" t="s">
        <v>32</v>
      </c>
      <c r="V123" s="295" t="s">
        <v>32</v>
      </c>
      <c r="W123" s="287" t="s">
        <v>18</v>
      </c>
      <c r="X123" s="287" t="s">
        <v>18</v>
      </c>
      <c r="Y123" s="288" t="s">
        <v>18</v>
      </c>
      <c r="Z123" s="287" t="s">
        <v>18</v>
      </c>
      <c r="AA123" s="287" t="s">
        <v>18</v>
      </c>
      <c r="AB123" s="288" t="s">
        <v>18</v>
      </c>
      <c r="AC123" s="289" t="s">
        <v>377</v>
      </c>
      <c r="AD123" s="287" t="s">
        <v>18</v>
      </c>
      <c r="AE123" s="287" t="s">
        <v>18</v>
      </c>
      <c r="AF123" s="288" t="s">
        <v>18</v>
      </c>
      <c r="AG123" s="287" t="s">
        <v>18</v>
      </c>
      <c r="AH123" s="287" t="s">
        <v>18</v>
      </c>
      <c r="AI123" s="288" t="s">
        <v>18</v>
      </c>
      <c r="AJ123" s="287" t="s">
        <v>18</v>
      </c>
      <c r="AK123" s="287" t="s">
        <v>18</v>
      </c>
      <c r="AL123" s="288" t="s">
        <v>18</v>
      </c>
      <c r="AM123" s="287" t="s">
        <v>18</v>
      </c>
      <c r="AN123" s="287" t="s">
        <v>18</v>
      </c>
      <c r="AO123" s="288" t="s">
        <v>18</v>
      </c>
      <c r="AP123" s="289" t="s">
        <v>18</v>
      </c>
      <c r="AQ123" s="287" t="s">
        <v>18</v>
      </c>
      <c r="AR123" s="287" t="s">
        <v>18</v>
      </c>
      <c r="AS123" s="288" t="s">
        <v>18</v>
      </c>
      <c r="AT123" s="287" t="s">
        <v>18</v>
      </c>
      <c r="AU123" s="287" t="s">
        <v>18</v>
      </c>
      <c r="AV123" s="288" t="s">
        <v>18</v>
      </c>
      <c r="AW123" s="287" t="s">
        <v>18</v>
      </c>
      <c r="AX123" s="287" t="s">
        <v>18</v>
      </c>
      <c r="AY123" s="288" t="s">
        <v>18</v>
      </c>
      <c r="AZ123" s="287" t="s">
        <v>18</v>
      </c>
      <c r="BA123" s="287" t="s">
        <v>18</v>
      </c>
      <c r="BB123" s="295" t="s">
        <v>32</v>
      </c>
      <c r="BC123" s="296" t="s">
        <v>32</v>
      </c>
      <c r="BD123" s="292"/>
    </row>
    <row r="124" ht="12.75" customHeight="1">
      <c r="A124" s="293">
        <v>45257.50468082176</v>
      </c>
      <c r="B124" s="286" t="s">
        <v>375</v>
      </c>
      <c r="C124" s="287" t="s">
        <v>559</v>
      </c>
      <c r="D124" s="285" t="s">
        <v>16</v>
      </c>
      <c r="E124" s="285" t="s">
        <v>476</v>
      </c>
      <c r="F124" s="287" t="s">
        <v>693</v>
      </c>
      <c r="G124" s="285" t="s">
        <v>21</v>
      </c>
      <c r="H124" s="285">
        <v>11.0</v>
      </c>
      <c r="I124" s="287" t="s">
        <v>497</v>
      </c>
      <c r="J124" s="292"/>
      <c r="K124" s="287" t="s">
        <v>508</v>
      </c>
      <c r="L124" s="287" t="s">
        <v>479</v>
      </c>
      <c r="M124" s="287" t="s">
        <v>483</v>
      </c>
      <c r="N124" s="287" t="s">
        <v>561</v>
      </c>
      <c r="O124" s="287"/>
      <c r="P124" s="287"/>
      <c r="Q124" s="287" t="s">
        <v>18</v>
      </c>
      <c r="R124" s="294" t="s">
        <v>32</v>
      </c>
      <c r="S124" s="288" t="s">
        <v>377</v>
      </c>
      <c r="T124" s="287" t="s">
        <v>377</v>
      </c>
      <c r="U124" s="287" t="s">
        <v>377</v>
      </c>
      <c r="V124" s="288" t="s">
        <v>377</v>
      </c>
      <c r="W124" s="287" t="s">
        <v>18</v>
      </c>
      <c r="X124" s="287" t="s">
        <v>18</v>
      </c>
      <c r="Y124" s="288" t="s">
        <v>18</v>
      </c>
      <c r="Z124" s="287" t="s">
        <v>18</v>
      </c>
      <c r="AA124" s="287" t="s">
        <v>18</v>
      </c>
      <c r="AB124" s="288" t="s">
        <v>18</v>
      </c>
      <c r="AC124" s="289" t="s">
        <v>377</v>
      </c>
      <c r="AD124" s="287" t="s">
        <v>18</v>
      </c>
      <c r="AE124" s="287" t="s">
        <v>18</v>
      </c>
      <c r="AF124" s="288" t="s">
        <v>18</v>
      </c>
      <c r="AG124" s="287" t="s">
        <v>18</v>
      </c>
      <c r="AH124" s="287" t="s">
        <v>18</v>
      </c>
      <c r="AI124" s="288" t="s">
        <v>18</v>
      </c>
      <c r="AJ124" s="287" t="s">
        <v>18</v>
      </c>
      <c r="AK124" s="287" t="s">
        <v>18</v>
      </c>
      <c r="AL124" s="288" t="s">
        <v>18</v>
      </c>
      <c r="AM124" s="287" t="s">
        <v>18</v>
      </c>
      <c r="AN124" s="287" t="s">
        <v>18</v>
      </c>
      <c r="AO124" s="288" t="s">
        <v>18</v>
      </c>
      <c r="AP124" s="289" t="s">
        <v>18</v>
      </c>
      <c r="AQ124" s="287" t="s">
        <v>18</v>
      </c>
      <c r="AR124" s="287" t="s">
        <v>18</v>
      </c>
      <c r="AS124" s="288" t="s">
        <v>18</v>
      </c>
      <c r="AT124" s="287" t="s">
        <v>18</v>
      </c>
      <c r="AU124" s="287" t="s">
        <v>18</v>
      </c>
      <c r="AV124" s="288" t="s">
        <v>18</v>
      </c>
      <c r="AW124" s="287" t="s">
        <v>18</v>
      </c>
      <c r="AX124" s="287" t="s">
        <v>18</v>
      </c>
      <c r="AY124" s="288" t="s">
        <v>18</v>
      </c>
      <c r="AZ124" s="287" t="s">
        <v>18</v>
      </c>
      <c r="BA124" s="287" t="s">
        <v>18</v>
      </c>
      <c r="BB124" s="288" t="s">
        <v>377</v>
      </c>
      <c r="BC124" s="289" t="s">
        <v>377</v>
      </c>
      <c r="BD124" s="292"/>
    </row>
    <row r="125" ht="12.75" customHeight="1">
      <c r="A125" s="293">
        <v>45257.506171597226</v>
      </c>
      <c r="B125" s="286" t="s">
        <v>375</v>
      </c>
      <c r="C125" s="287" t="s">
        <v>559</v>
      </c>
      <c r="D125" s="285" t="s">
        <v>16</v>
      </c>
      <c r="E125" s="285" t="s">
        <v>476</v>
      </c>
      <c r="F125" s="287" t="s">
        <v>694</v>
      </c>
      <c r="G125" s="285" t="s">
        <v>21</v>
      </c>
      <c r="H125" s="285">
        <v>12.0</v>
      </c>
      <c r="I125" s="287" t="s">
        <v>497</v>
      </c>
      <c r="J125" s="292"/>
      <c r="K125" s="287" t="s">
        <v>508</v>
      </c>
      <c r="L125" s="287" t="s">
        <v>479</v>
      </c>
      <c r="M125" s="287" t="s">
        <v>483</v>
      </c>
      <c r="N125" s="287" t="s">
        <v>561</v>
      </c>
      <c r="O125" s="287"/>
      <c r="P125" s="287"/>
      <c r="Q125" s="287" t="s">
        <v>18</v>
      </c>
      <c r="R125" s="294" t="s">
        <v>32</v>
      </c>
      <c r="S125" s="288" t="s">
        <v>377</v>
      </c>
      <c r="T125" s="287" t="s">
        <v>377</v>
      </c>
      <c r="U125" s="294" t="s">
        <v>32</v>
      </c>
      <c r="V125" s="295" t="s">
        <v>32</v>
      </c>
      <c r="W125" s="287" t="s">
        <v>18</v>
      </c>
      <c r="X125" s="287" t="s">
        <v>18</v>
      </c>
      <c r="Y125" s="288" t="s">
        <v>18</v>
      </c>
      <c r="Z125" s="287" t="s">
        <v>18</v>
      </c>
      <c r="AA125" s="287" t="s">
        <v>18</v>
      </c>
      <c r="AB125" s="288" t="s">
        <v>18</v>
      </c>
      <c r="AC125" s="289" t="s">
        <v>377</v>
      </c>
      <c r="AD125" s="287" t="s">
        <v>18</v>
      </c>
      <c r="AE125" s="294" t="s">
        <v>32</v>
      </c>
      <c r="AF125" s="288" t="s">
        <v>377</v>
      </c>
      <c r="AG125" s="287" t="s">
        <v>18</v>
      </c>
      <c r="AH125" s="287" t="s">
        <v>18</v>
      </c>
      <c r="AI125" s="288" t="s">
        <v>18</v>
      </c>
      <c r="AJ125" s="287" t="s">
        <v>18</v>
      </c>
      <c r="AK125" s="287" t="s">
        <v>18</v>
      </c>
      <c r="AL125" s="288" t="s">
        <v>18</v>
      </c>
      <c r="AM125" s="287" t="s">
        <v>18</v>
      </c>
      <c r="AN125" s="287" t="s">
        <v>18</v>
      </c>
      <c r="AO125" s="288" t="s">
        <v>18</v>
      </c>
      <c r="AP125" s="289" t="s">
        <v>18</v>
      </c>
      <c r="AQ125" s="287" t="s">
        <v>18</v>
      </c>
      <c r="AR125" s="287" t="s">
        <v>18</v>
      </c>
      <c r="AS125" s="288" t="s">
        <v>18</v>
      </c>
      <c r="AT125" s="287" t="s">
        <v>18</v>
      </c>
      <c r="AU125" s="287" t="s">
        <v>18</v>
      </c>
      <c r="AV125" s="288" t="s">
        <v>18</v>
      </c>
      <c r="AW125" s="287" t="s">
        <v>18</v>
      </c>
      <c r="AX125" s="287" t="s">
        <v>18</v>
      </c>
      <c r="AY125" s="288" t="s">
        <v>18</v>
      </c>
      <c r="AZ125" s="287" t="s">
        <v>18</v>
      </c>
      <c r="BA125" s="287" t="s">
        <v>18</v>
      </c>
      <c r="BB125" s="288" t="s">
        <v>377</v>
      </c>
      <c r="BC125" s="289" t="s">
        <v>18</v>
      </c>
      <c r="BD125" s="292"/>
    </row>
    <row r="126" ht="12.75" customHeight="1">
      <c r="A126" s="293">
        <v>45257.50661871528</v>
      </c>
      <c r="B126" s="286" t="s">
        <v>375</v>
      </c>
      <c r="C126" s="287" t="s">
        <v>559</v>
      </c>
      <c r="D126" s="285" t="s">
        <v>16</v>
      </c>
      <c r="E126" s="285" t="s">
        <v>476</v>
      </c>
      <c r="F126" s="287" t="s">
        <v>695</v>
      </c>
      <c r="G126" s="285" t="s">
        <v>21</v>
      </c>
      <c r="H126" s="285">
        <v>12.0</v>
      </c>
      <c r="I126" s="287" t="s">
        <v>497</v>
      </c>
      <c r="J126" s="292"/>
      <c r="K126" s="287" t="s">
        <v>508</v>
      </c>
      <c r="L126" s="287" t="s">
        <v>479</v>
      </c>
      <c r="M126" s="287" t="s">
        <v>495</v>
      </c>
      <c r="N126" s="287" t="s">
        <v>561</v>
      </c>
      <c r="O126" s="287"/>
      <c r="P126" s="287"/>
      <c r="Q126" s="294" t="s">
        <v>32</v>
      </c>
      <c r="R126" s="294" t="s">
        <v>32</v>
      </c>
      <c r="S126" s="295" t="s">
        <v>32</v>
      </c>
      <c r="T126" s="294" t="s">
        <v>32</v>
      </c>
      <c r="U126" s="294" t="s">
        <v>32</v>
      </c>
      <c r="V126" s="295" t="s">
        <v>32</v>
      </c>
      <c r="W126" s="287" t="s">
        <v>377</v>
      </c>
      <c r="X126" s="294" t="s">
        <v>32</v>
      </c>
      <c r="Y126" s="295" t="s">
        <v>32</v>
      </c>
      <c r="Z126" s="287" t="s">
        <v>18</v>
      </c>
      <c r="AA126" s="287" t="s">
        <v>377</v>
      </c>
      <c r="AB126" s="288" t="s">
        <v>377</v>
      </c>
      <c r="AC126" s="296" t="s">
        <v>32</v>
      </c>
      <c r="AD126" s="294" t="s">
        <v>32</v>
      </c>
      <c r="AE126" s="294" t="s">
        <v>32</v>
      </c>
      <c r="AF126" s="295" t="s">
        <v>32</v>
      </c>
      <c r="AG126" s="287" t="s">
        <v>377</v>
      </c>
      <c r="AH126" s="287" t="s">
        <v>377</v>
      </c>
      <c r="AI126" s="288" t="s">
        <v>377</v>
      </c>
      <c r="AJ126" s="294" t="s">
        <v>32</v>
      </c>
      <c r="AK126" s="294" t="s">
        <v>32</v>
      </c>
      <c r="AL126" s="295" t="s">
        <v>32</v>
      </c>
      <c r="AM126" s="287" t="s">
        <v>377</v>
      </c>
      <c r="AN126" s="294" t="s">
        <v>32</v>
      </c>
      <c r="AO126" s="295" t="s">
        <v>32</v>
      </c>
      <c r="AP126" s="296" t="s">
        <v>32</v>
      </c>
      <c r="AQ126" s="294" t="s">
        <v>32</v>
      </c>
      <c r="AR126" s="294" t="s">
        <v>32</v>
      </c>
      <c r="AS126" s="295" t="s">
        <v>32</v>
      </c>
      <c r="AT126" s="287" t="s">
        <v>377</v>
      </c>
      <c r="AU126" s="294" t="s">
        <v>32</v>
      </c>
      <c r="AV126" s="295" t="s">
        <v>32</v>
      </c>
      <c r="AW126" s="294" t="s">
        <v>32</v>
      </c>
      <c r="AX126" s="294" t="s">
        <v>32</v>
      </c>
      <c r="AY126" s="295" t="s">
        <v>32</v>
      </c>
      <c r="AZ126" s="287" t="s">
        <v>377</v>
      </c>
      <c r="BA126" s="294" t="s">
        <v>32</v>
      </c>
      <c r="BB126" s="288" t="s">
        <v>18</v>
      </c>
      <c r="BC126" s="289" t="s">
        <v>18</v>
      </c>
      <c r="BD126" s="292"/>
    </row>
    <row r="127" ht="12.75" customHeight="1">
      <c r="A127" s="293">
        <v>45257.50754175926</v>
      </c>
      <c r="B127" s="286" t="s">
        <v>375</v>
      </c>
      <c r="C127" s="287" t="s">
        <v>559</v>
      </c>
      <c r="D127" s="285" t="s">
        <v>16</v>
      </c>
      <c r="E127" s="285" t="s">
        <v>476</v>
      </c>
      <c r="F127" s="287" t="s">
        <v>696</v>
      </c>
      <c r="G127" s="285" t="s">
        <v>21</v>
      </c>
      <c r="H127" s="285">
        <v>11.0</v>
      </c>
      <c r="I127" s="287" t="s">
        <v>497</v>
      </c>
      <c r="J127" s="292"/>
      <c r="K127" s="287" t="s">
        <v>508</v>
      </c>
      <c r="L127" s="287" t="s">
        <v>479</v>
      </c>
      <c r="M127" s="287" t="s">
        <v>483</v>
      </c>
      <c r="N127" s="287" t="s">
        <v>561</v>
      </c>
      <c r="O127" s="287"/>
      <c r="P127" s="287"/>
      <c r="Q127" s="287" t="s">
        <v>18</v>
      </c>
      <c r="R127" s="294" t="s">
        <v>32</v>
      </c>
      <c r="S127" s="288" t="s">
        <v>377</v>
      </c>
      <c r="T127" s="287" t="s">
        <v>377</v>
      </c>
      <c r="U127" s="287" t="s">
        <v>18</v>
      </c>
      <c r="V127" s="288" t="s">
        <v>377</v>
      </c>
      <c r="W127" s="294" t="s">
        <v>32</v>
      </c>
      <c r="X127" s="287" t="s">
        <v>18</v>
      </c>
      <c r="Y127" s="288" t="s">
        <v>377</v>
      </c>
      <c r="Z127" s="287" t="s">
        <v>18</v>
      </c>
      <c r="AA127" s="287" t="s">
        <v>18</v>
      </c>
      <c r="AB127" s="288" t="s">
        <v>18</v>
      </c>
      <c r="AC127" s="289" t="s">
        <v>377</v>
      </c>
      <c r="AD127" s="287" t="s">
        <v>18</v>
      </c>
      <c r="AE127" s="287" t="s">
        <v>18</v>
      </c>
      <c r="AF127" s="288" t="s">
        <v>18</v>
      </c>
      <c r="AG127" s="287" t="s">
        <v>18</v>
      </c>
      <c r="AH127" s="287" t="s">
        <v>18</v>
      </c>
      <c r="AI127" s="288" t="s">
        <v>18</v>
      </c>
      <c r="AJ127" s="287" t="s">
        <v>18</v>
      </c>
      <c r="AK127" s="287" t="s">
        <v>18</v>
      </c>
      <c r="AL127" s="288" t="s">
        <v>18</v>
      </c>
      <c r="AM127" s="287" t="s">
        <v>18</v>
      </c>
      <c r="AN127" s="287" t="s">
        <v>18</v>
      </c>
      <c r="AO127" s="288" t="s">
        <v>18</v>
      </c>
      <c r="AP127" s="289" t="s">
        <v>18</v>
      </c>
      <c r="AQ127" s="287" t="s">
        <v>18</v>
      </c>
      <c r="AR127" s="287" t="s">
        <v>18</v>
      </c>
      <c r="AS127" s="288" t="s">
        <v>18</v>
      </c>
      <c r="AT127" s="287" t="s">
        <v>18</v>
      </c>
      <c r="AU127" s="287" t="s">
        <v>18</v>
      </c>
      <c r="AV127" s="288" t="s">
        <v>18</v>
      </c>
      <c r="AW127" s="287" t="s">
        <v>18</v>
      </c>
      <c r="AX127" s="287" t="s">
        <v>18</v>
      </c>
      <c r="AY127" s="288" t="s">
        <v>18</v>
      </c>
      <c r="AZ127" s="287" t="s">
        <v>18</v>
      </c>
      <c r="BA127" s="287" t="s">
        <v>18</v>
      </c>
      <c r="BB127" s="288" t="s">
        <v>377</v>
      </c>
      <c r="BC127" s="289" t="s">
        <v>377</v>
      </c>
      <c r="BD127" s="292"/>
    </row>
    <row r="128" ht="12.75" customHeight="1">
      <c r="A128" s="293">
        <v>45257.51146991898</v>
      </c>
      <c r="B128" s="286" t="s">
        <v>375</v>
      </c>
      <c r="C128" s="287" t="s">
        <v>559</v>
      </c>
      <c r="D128" s="285" t="s">
        <v>16</v>
      </c>
      <c r="E128" s="285" t="s">
        <v>476</v>
      </c>
      <c r="F128" s="287" t="s">
        <v>697</v>
      </c>
      <c r="G128" s="285" t="s">
        <v>17</v>
      </c>
      <c r="H128" s="285">
        <v>12.0</v>
      </c>
      <c r="I128" s="287" t="s">
        <v>497</v>
      </c>
      <c r="J128" s="292"/>
      <c r="K128" s="287" t="s">
        <v>508</v>
      </c>
      <c r="L128" s="287" t="s">
        <v>497</v>
      </c>
      <c r="M128" s="292"/>
      <c r="N128" s="292"/>
      <c r="O128" s="292"/>
      <c r="P128" s="292"/>
      <c r="Q128" s="294" t="s">
        <v>32</v>
      </c>
      <c r="R128" s="294" t="s">
        <v>32</v>
      </c>
      <c r="S128" s="295" t="s">
        <v>32</v>
      </c>
      <c r="T128" s="294" t="s">
        <v>32</v>
      </c>
      <c r="U128" s="294" t="s">
        <v>32</v>
      </c>
      <c r="V128" s="295" t="s">
        <v>32</v>
      </c>
      <c r="W128" s="294" t="s">
        <v>32</v>
      </c>
      <c r="X128" s="287" t="s">
        <v>18</v>
      </c>
      <c r="Y128" s="288" t="s">
        <v>377</v>
      </c>
      <c r="Z128" s="294" t="s">
        <v>32</v>
      </c>
      <c r="AA128" s="287" t="s">
        <v>18</v>
      </c>
      <c r="AB128" s="288" t="s">
        <v>377</v>
      </c>
      <c r="AC128" s="296" t="s">
        <v>32</v>
      </c>
      <c r="AD128" s="287" t="s">
        <v>18</v>
      </c>
      <c r="AE128" s="287" t="s">
        <v>18</v>
      </c>
      <c r="AF128" s="288" t="s">
        <v>18</v>
      </c>
      <c r="AG128" s="294" t="s">
        <v>32</v>
      </c>
      <c r="AH128" s="287" t="s">
        <v>18</v>
      </c>
      <c r="AI128" s="288" t="s">
        <v>377</v>
      </c>
      <c r="AJ128" s="287" t="s">
        <v>18</v>
      </c>
      <c r="AK128" s="287" t="s">
        <v>18</v>
      </c>
      <c r="AL128" s="288" t="s">
        <v>18</v>
      </c>
      <c r="AM128" s="287" t="s">
        <v>18</v>
      </c>
      <c r="AN128" s="287" t="s">
        <v>18</v>
      </c>
      <c r="AO128" s="288" t="s">
        <v>18</v>
      </c>
      <c r="AP128" s="289" t="s">
        <v>18</v>
      </c>
      <c r="AQ128" s="294" t="s">
        <v>32</v>
      </c>
      <c r="AR128" s="287" t="s">
        <v>18</v>
      </c>
      <c r="AS128" s="288" t="s">
        <v>377</v>
      </c>
      <c r="AT128" s="287" t="s">
        <v>18</v>
      </c>
      <c r="AU128" s="287" t="s">
        <v>18</v>
      </c>
      <c r="AV128" s="288" t="s">
        <v>18</v>
      </c>
      <c r="AW128" s="294" t="s">
        <v>32</v>
      </c>
      <c r="AX128" s="287" t="s">
        <v>18</v>
      </c>
      <c r="AY128" s="288" t="s">
        <v>377</v>
      </c>
      <c r="AZ128" s="287" t="s">
        <v>18</v>
      </c>
      <c r="BA128" s="287" t="s">
        <v>18</v>
      </c>
      <c r="BB128" s="288" t="s">
        <v>18</v>
      </c>
      <c r="BC128" s="289" t="s">
        <v>377</v>
      </c>
      <c r="BD128" s="292"/>
    </row>
    <row r="129" ht="12.75" customHeight="1">
      <c r="A129" s="293">
        <v>45257.51332115741</v>
      </c>
      <c r="B129" s="286" t="s">
        <v>375</v>
      </c>
      <c r="C129" s="287" t="s">
        <v>559</v>
      </c>
      <c r="D129" s="285" t="s">
        <v>16</v>
      </c>
      <c r="E129" s="285" t="s">
        <v>476</v>
      </c>
      <c r="F129" s="287" t="s">
        <v>698</v>
      </c>
      <c r="G129" s="285" t="s">
        <v>21</v>
      </c>
      <c r="H129" s="285">
        <v>12.0</v>
      </c>
      <c r="I129" s="287" t="s">
        <v>497</v>
      </c>
      <c r="J129" s="292"/>
      <c r="K129" s="287" t="s">
        <v>508</v>
      </c>
      <c r="L129" s="287" t="s">
        <v>479</v>
      </c>
      <c r="M129" s="287" t="s">
        <v>483</v>
      </c>
      <c r="N129" s="287" t="s">
        <v>561</v>
      </c>
      <c r="O129" s="287"/>
      <c r="P129" s="287"/>
      <c r="Q129" s="294" t="s">
        <v>32</v>
      </c>
      <c r="R129" s="294" t="s">
        <v>32</v>
      </c>
      <c r="S129" s="295" t="s">
        <v>32</v>
      </c>
      <c r="T129" s="294" t="s">
        <v>32</v>
      </c>
      <c r="U129" s="294" t="s">
        <v>32</v>
      </c>
      <c r="V129" s="295" t="s">
        <v>32</v>
      </c>
      <c r="W129" s="294" t="s">
        <v>32</v>
      </c>
      <c r="X129" s="287" t="s">
        <v>18</v>
      </c>
      <c r="Y129" s="288" t="s">
        <v>377</v>
      </c>
      <c r="Z129" s="294" t="s">
        <v>32</v>
      </c>
      <c r="AA129" s="287" t="s">
        <v>18</v>
      </c>
      <c r="AB129" s="288" t="s">
        <v>377</v>
      </c>
      <c r="AC129" s="296" t="s">
        <v>32</v>
      </c>
      <c r="AD129" s="294" t="s">
        <v>32</v>
      </c>
      <c r="AE129" s="294" t="s">
        <v>32</v>
      </c>
      <c r="AF129" s="295" t="s">
        <v>32</v>
      </c>
      <c r="AG129" s="294" t="s">
        <v>32</v>
      </c>
      <c r="AH129" s="287" t="s">
        <v>18</v>
      </c>
      <c r="AI129" s="288" t="s">
        <v>377</v>
      </c>
      <c r="AJ129" s="287" t="s">
        <v>18</v>
      </c>
      <c r="AK129" s="287" t="s">
        <v>18</v>
      </c>
      <c r="AL129" s="288" t="s">
        <v>18</v>
      </c>
      <c r="AM129" s="287" t="s">
        <v>18</v>
      </c>
      <c r="AN129" s="287" t="s">
        <v>18</v>
      </c>
      <c r="AO129" s="288" t="s">
        <v>18</v>
      </c>
      <c r="AP129" s="289" t="s">
        <v>377</v>
      </c>
      <c r="AQ129" s="294" t="s">
        <v>32</v>
      </c>
      <c r="AR129" s="287" t="s">
        <v>18</v>
      </c>
      <c r="AS129" s="288" t="s">
        <v>377</v>
      </c>
      <c r="AT129" s="294" t="s">
        <v>32</v>
      </c>
      <c r="AU129" s="287" t="s">
        <v>377</v>
      </c>
      <c r="AV129" s="295" t="s">
        <v>32</v>
      </c>
      <c r="AW129" s="287" t="s">
        <v>18</v>
      </c>
      <c r="AX129" s="287" t="s">
        <v>18</v>
      </c>
      <c r="AY129" s="288" t="s">
        <v>18</v>
      </c>
      <c r="AZ129" s="287" t="s">
        <v>18</v>
      </c>
      <c r="BA129" s="287" t="s">
        <v>377</v>
      </c>
      <c r="BB129" s="288" t="s">
        <v>377</v>
      </c>
      <c r="BC129" s="289" t="s">
        <v>377</v>
      </c>
      <c r="BD129" s="292"/>
    </row>
    <row r="130" ht="12.75" customHeight="1">
      <c r="A130" s="293">
        <v>45257.51489543982</v>
      </c>
      <c r="B130" s="286" t="s">
        <v>375</v>
      </c>
      <c r="C130" s="287" t="s">
        <v>559</v>
      </c>
      <c r="D130" s="285" t="s">
        <v>16</v>
      </c>
      <c r="E130" s="285" t="s">
        <v>476</v>
      </c>
      <c r="F130" s="287" t="s">
        <v>699</v>
      </c>
      <c r="G130" s="285" t="s">
        <v>21</v>
      </c>
      <c r="H130" s="285">
        <v>12.0</v>
      </c>
      <c r="I130" s="287" t="s">
        <v>497</v>
      </c>
      <c r="J130" s="292"/>
      <c r="K130" s="287" t="s">
        <v>508</v>
      </c>
      <c r="L130" s="287" t="s">
        <v>479</v>
      </c>
      <c r="M130" s="287" t="s">
        <v>500</v>
      </c>
      <c r="N130" s="287" t="s">
        <v>561</v>
      </c>
      <c r="O130" s="287"/>
      <c r="P130" s="287"/>
      <c r="Q130" s="294" t="s">
        <v>32</v>
      </c>
      <c r="R130" s="287" t="s">
        <v>377</v>
      </c>
      <c r="S130" s="295" t="s">
        <v>32</v>
      </c>
      <c r="T130" s="287" t="s">
        <v>18</v>
      </c>
      <c r="U130" s="294" t="s">
        <v>32</v>
      </c>
      <c r="V130" s="288" t="s">
        <v>377</v>
      </c>
      <c r="W130" s="294" t="s">
        <v>32</v>
      </c>
      <c r="X130" s="287" t="s">
        <v>18</v>
      </c>
      <c r="Y130" s="288" t="s">
        <v>377</v>
      </c>
      <c r="Z130" s="287" t="s">
        <v>18</v>
      </c>
      <c r="AA130" s="287" t="s">
        <v>377</v>
      </c>
      <c r="AB130" s="288" t="s">
        <v>377</v>
      </c>
      <c r="AC130" s="289" t="s">
        <v>377</v>
      </c>
      <c r="AD130" s="287" t="s">
        <v>377</v>
      </c>
      <c r="AE130" s="294" t="s">
        <v>32</v>
      </c>
      <c r="AF130" s="295" t="s">
        <v>32</v>
      </c>
      <c r="AG130" s="294" t="s">
        <v>32</v>
      </c>
      <c r="AH130" s="287" t="s">
        <v>18</v>
      </c>
      <c r="AI130" s="288" t="s">
        <v>377</v>
      </c>
      <c r="AJ130" s="287" t="s">
        <v>18</v>
      </c>
      <c r="AK130" s="287" t="s">
        <v>18</v>
      </c>
      <c r="AL130" s="288" t="s">
        <v>18</v>
      </c>
      <c r="AM130" s="287" t="s">
        <v>18</v>
      </c>
      <c r="AN130" s="287" t="s">
        <v>18</v>
      </c>
      <c r="AO130" s="288" t="s">
        <v>18</v>
      </c>
      <c r="AP130" s="289" t="s">
        <v>377</v>
      </c>
      <c r="AQ130" s="287" t="s">
        <v>18</v>
      </c>
      <c r="AR130" s="287" t="s">
        <v>18</v>
      </c>
      <c r="AS130" s="288" t="s">
        <v>18</v>
      </c>
      <c r="AT130" s="287" t="s">
        <v>18</v>
      </c>
      <c r="AU130" s="287" t="s">
        <v>18</v>
      </c>
      <c r="AV130" s="288" t="s">
        <v>18</v>
      </c>
      <c r="AW130" s="294" t="s">
        <v>32</v>
      </c>
      <c r="AX130" s="287" t="s">
        <v>18</v>
      </c>
      <c r="AY130" s="288" t="s">
        <v>377</v>
      </c>
      <c r="AZ130" s="287" t="s">
        <v>377</v>
      </c>
      <c r="BA130" s="287" t="s">
        <v>18</v>
      </c>
      <c r="BB130" s="295" t="s">
        <v>32</v>
      </c>
      <c r="BC130" s="289" t="s">
        <v>377</v>
      </c>
      <c r="BD130" s="292"/>
    </row>
    <row r="131" ht="12.75" customHeight="1">
      <c r="A131" s="293">
        <v>45257.517548495365</v>
      </c>
      <c r="B131" s="286" t="s">
        <v>375</v>
      </c>
      <c r="C131" s="287" t="s">
        <v>559</v>
      </c>
      <c r="D131" s="285" t="s">
        <v>16</v>
      </c>
      <c r="E131" s="285" t="s">
        <v>476</v>
      </c>
      <c r="F131" s="287" t="s">
        <v>700</v>
      </c>
      <c r="G131" s="285" t="s">
        <v>17</v>
      </c>
      <c r="H131" s="285">
        <v>12.0</v>
      </c>
      <c r="I131" s="287" t="s">
        <v>497</v>
      </c>
      <c r="J131" s="292"/>
      <c r="K131" s="287" t="s">
        <v>508</v>
      </c>
      <c r="L131" s="287" t="s">
        <v>479</v>
      </c>
      <c r="M131" s="287" t="s">
        <v>483</v>
      </c>
      <c r="N131" s="287" t="s">
        <v>561</v>
      </c>
      <c r="O131" s="287"/>
      <c r="P131" s="287"/>
      <c r="Q131" s="294" t="s">
        <v>32</v>
      </c>
      <c r="R131" s="294" t="s">
        <v>32</v>
      </c>
      <c r="S131" s="295" t="s">
        <v>32</v>
      </c>
      <c r="T131" s="287" t="s">
        <v>18</v>
      </c>
      <c r="U131" s="287" t="s">
        <v>18</v>
      </c>
      <c r="V131" s="288" t="s">
        <v>18</v>
      </c>
      <c r="W131" s="287" t="s">
        <v>18</v>
      </c>
      <c r="X131" s="287" t="s">
        <v>18</v>
      </c>
      <c r="Y131" s="288" t="s">
        <v>18</v>
      </c>
      <c r="Z131" s="287" t="s">
        <v>18</v>
      </c>
      <c r="AA131" s="287" t="s">
        <v>18</v>
      </c>
      <c r="AB131" s="288" t="s">
        <v>18</v>
      </c>
      <c r="AC131" s="289" t="s">
        <v>377</v>
      </c>
      <c r="AD131" s="287" t="s">
        <v>377</v>
      </c>
      <c r="AE131" s="294" t="s">
        <v>32</v>
      </c>
      <c r="AF131" s="295" t="s">
        <v>32</v>
      </c>
      <c r="AG131" s="294" t="s">
        <v>32</v>
      </c>
      <c r="AH131" s="287" t="s">
        <v>18</v>
      </c>
      <c r="AI131" s="288" t="s">
        <v>377</v>
      </c>
      <c r="AJ131" s="287" t="s">
        <v>18</v>
      </c>
      <c r="AK131" s="287" t="s">
        <v>18</v>
      </c>
      <c r="AL131" s="288" t="s">
        <v>18</v>
      </c>
      <c r="AM131" s="287" t="s">
        <v>18</v>
      </c>
      <c r="AN131" s="287" t="s">
        <v>18</v>
      </c>
      <c r="AO131" s="288" t="s">
        <v>18</v>
      </c>
      <c r="AP131" s="289" t="s">
        <v>377</v>
      </c>
      <c r="AQ131" s="287" t="s">
        <v>18</v>
      </c>
      <c r="AR131" s="287" t="s">
        <v>18</v>
      </c>
      <c r="AS131" s="288" t="s">
        <v>18</v>
      </c>
      <c r="AT131" s="287" t="s">
        <v>18</v>
      </c>
      <c r="AU131" s="287" t="s">
        <v>18</v>
      </c>
      <c r="AV131" s="288" t="s">
        <v>18</v>
      </c>
      <c r="AW131" s="287" t="s">
        <v>18</v>
      </c>
      <c r="AX131" s="287" t="s">
        <v>18</v>
      </c>
      <c r="AY131" s="288" t="s">
        <v>18</v>
      </c>
      <c r="AZ131" s="287" t="s">
        <v>18</v>
      </c>
      <c r="BA131" s="287" t="s">
        <v>18</v>
      </c>
      <c r="BB131" s="288" t="s">
        <v>18</v>
      </c>
      <c r="BC131" s="289" t="s">
        <v>377</v>
      </c>
      <c r="BD131" s="292"/>
    </row>
    <row r="132" ht="12.75" customHeight="1">
      <c r="A132" s="293">
        <v>45257.51891666667</v>
      </c>
      <c r="B132" s="286" t="s">
        <v>375</v>
      </c>
      <c r="C132" s="287" t="s">
        <v>559</v>
      </c>
      <c r="D132" s="285" t="s">
        <v>16</v>
      </c>
      <c r="E132" s="285" t="s">
        <v>476</v>
      </c>
      <c r="F132" s="287" t="s">
        <v>701</v>
      </c>
      <c r="G132" s="285" t="s">
        <v>17</v>
      </c>
      <c r="H132" s="285">
        <v>12.0</v>
      </c>
      <c r="I132" s="287" t="s">
        <v>497</v>
      </c>
      <c r="J132" s="292"/>
      <c r="K132" s="287" t="s">
        <v>508</v>
      </c>
      <c r="L132" s="287" t="s">
        <v>479</v>
      </c>
      <c r="M132" s="287" t="s">
        <v>483</v>
      </c>
      <c r="N132" s="287" t="s">
        <v>561</v>
      </c>
      <c r="O132" s="287"/>
      <c r="P132" s="287"/>
      <c r="Q132" s="287" t="s">
        <v>377</v>
      </c>
      <c r="R132" s="287" t="s">
        <v>377</v>
      </c>
      <c r="S132" s="288" t="s">
        <v>377</v>
      </c>
      <c r="T132" s="287" t="s">
        <v>18</v>
      </c>
      <c r="U132" s="287" t="s">
        <v>377</v>
      </c>
      <c r="V132" s="288" t="s">
        <v>377</v>
      </c>
      <c r="W132" s="287" t="s">
        <v>377</v>
      </c>
      <c r="X132" s="287" t="s">
        <v>18</v>
      </c>
      <c r="Y132" s="288" t="s">
        <v>377</v>
      </c>
      <c r="Z132" s="287" t="s">
        <v>377</v>
      </c>
      <c r="AA132" s="287" t="s">
        <v>377</v>
      </c>
      <c r="AB132" s="288" t="s">
        <v>377</v>
      </c>
      <c r="AC132" s="289" t="s">
        <v>377</v>
      </c>
      <c r="AD132" s="294" t="s">
        <v>32</v>
      </c>
      <c r="AE132" s="294" t="s">
        <v>32</v>
      </c>
      <c r="AF132" s="295" t="s">
        <v>32</v>
      </c>
      <c r="AG132" s="294" t="s">
        <v>32</v>
      </c>
      <c r="AH132" s="287" t="s">
        <v>18</v>
      </c>
      <c r="AI132" s="288" t="s">
        <v>377</v>
      </c>
      <c r="AJ132" s="287" t="s">
        <v>18</v>
      </c>
      <c r="AK132" s="287" t="s">
        <v>18</v>
      </c>
      <c r="AL132" s="288" t="s">
        <v>18</v>
      </c>
      <c r="AM132" s="287" t="s">
        <v>18</v>
      </c>
      <c r="AN132" s="287" t="s">
        <v>18</v>
      </c>
      <c r="AO132" s="288" t="s">
        <v>18</v>
      </c>
      <c r="AP132" s="289" t="s">
        <v>377</v>
      </c>
      <c r="AQ132" s="287" t="s">
        <v>377</v>
      </c>
      <c r="AR132" s="287" t="s">
        <v>377</v>
      </c>
      <c r="AS132" s="288" t="s">
        <v>377</v>
      </c>
      <c r="AT132" s="287" t="s">
        <v>377</v>
      </c>
      <c r="AU132" s="287" t="s">
        <v>377</v>
      </c>
      <c r="AV132" s="288" t="s">
        <v>377</v>
      </c>
      <c r="AW132" s="287" t="s">
        <v>377</v>
      </c>
      <c r="AX132" s="287" t="s">
        <v>377</v>
      </c>
      <c r="AY132" s="288" t="s">
        <v>377</v>
      </c>
      <c r="AZ132" s="287" t="s">
        <v>377</v>
      </c>
      <c r="BA132" s="287" t="s">
        <v>18</v>
      </c>
      <c r="BB132" s="288" t="s">
        <v>377</v>
      </c>
      <c r="BC132" s="289" t="s">
        <v>377</v>
      </c>
      <c r="BD132" s="292"/>
    </row>
    <row r="133" ht="12.75" customHeight="1">
      <c r="A133" s="293">
        <v>45257.52023820602</v>
      </c>
      <c r="B133" s="286" t="s">
        <v>375</v>
      </c>
      <c r="C133" s="287" t="s">
        <v>559</v>
      </c>
      <c r="D133" s="285" t="s">
        <v>16</v>
      </c>
      <c r="E133" s="285" t="s">
        <v>476</v>
      </c>
      <c r="F133" s="287" t="s">
        <v>702</v>
      </c>
      <c r="G133" s="285" t="s">
        <v>21</v>
      </c>
      <c r="H133" s="285">
        <v>11.0</v>
      </c>
      <c r="I133" s="287" t="s">
        <v>497</v>
      </c>
      <c r="J133" s="292"/>
      <c r="K133" s="287" t="s">
        <v>508</v>
      </c>
      <c r="L133" s="287" t="s">
        <v>479</v>
      </c>
      <c r="M133" s="287" t="s">
        <v>490</v>
      </c>
      <c r="N133" s="287" t="s">
        <v>561</v>
      </c>
      <c r="O133" s="287"/>
      <c r="P133" s="287"/>
      <c r="Q133" s="294" t="s">
        <v>32</v>
      </c>
      <c r="R133" s="287" t="s">
        <v>377</v>
      </c>
      <c r="S133" s="295" t="s">
        <v>32</v>
      </c>
      <c r="T133" s="287" t="s">
        <v>18</v>
      </c>
      <c r="U133" s="294" t="s">
        <v>32</v>
      </c>
      <c r="V133" s="288" t="s">
        <v>377</v>
      </c>
      <c r="W133" s="294" t="s">
        <v>32</v>
      </c>
      <c r="X133" s="287" t="s">
        <v>18</v>
      </c>
      <c r="Y133" s="288" t="s">
        <v>377</v>
      </c>
      <c r="Z133" s="287" t="s">
        <v>377</v>
      </c>
      <c r="AA133" s="287" t="s">
        <v>18</v>
      </c>
      <c r="AB133" s="288" t="s">
        <v>377</v>
      </c>
      <c r="AC133" s="289" t="s">
        <v>377</v>
      </c>
      <c r="AD133" s="294" t="s">
        <v>32</v>
      </c>
      <c r="AE133" s="294" t="s">
        <v>32</v>
      </c>
      <c r="AF133" s="295" t="s">
        <v>32</v>
      </c>
      <c r="AG133" s="294" t="s">
        <v>32</v>
      </c>
      <c r="AH133" s="287" t="s">
        <v>18</v>
      </c>
      <c r="AI133" s="288" t="s">
        <v>377</v>
      </c>
      <c r="AJ133" s="287" t="s">
        <v>18</v>
      </c>
      <c r="AK133" s="287" t="s">
        <v>377</v>
      </c>
      <c r="AL133" s="288" t="s">
        <v>377</v>
      </c>
      <c r="AM133" s="287" t="s">
        <v>18</v>
      </c>
      <c r="AN133" s="287" t="s">
        <v>377</v>
      </c>
      <c r="AO133" s="288" t="s">
        <v>377</v>
      </c>
      <c r="AP133" s="289" t="s">
        <v>377</v>
      </c>
      <c r="AQ133" s="287" t="s">
        <v>18</v>
      </c>
      <c r="AR133" s="287" t="s">
        <v>18</v>
      </c>
      <c r="AS133" s="288" t="s">
        <v>18</v>
      </c>
      <c r="AT133" s="294" t="s">
        <v>32</v>
      </c>
      <c r="AU133" s="294" t="s">
        <v>32</v>
      </c>
      <c r="AV133" s="295" t="s">
        <v>32</v>
      </c>
      <c r="AW133" s="287" t="s">
        <v>18</v>
      </c>
      <c r="AX133" s="287" t="s">
        <v>18</v>
      </c>
      <c r="AY133" s="288" t="s">
        <v>18</v>
      </c>
      <c r="AZ133" s="287" t="s">
        <v>18</v>
      </c>
      <c r="BA133" s="287" t="s">
        <v>18</v>
      </c>
      <c r="BB133" s="288" t="s">
        <v>18</v>
      </c>
      <c r="BC133" s="289" t="s">
        <v>377</v>
      </c>
      <c r="BD133" s="292"/>
    </row>
    <row r="134" ht="12.75" customHeight="1">
      <c r="A134" s="293">
        <v>45257.52179225694</v>
      </c>
      <c r="B134" s="286" t="s">
        <v>375</v>
      </c>
      <c r="C134" s="287" t="s">
        <v>559</v>
      </c>
      <c r="D134" s="285" t="s">
        <v>16</v>
      </c>
      <c r="E134" s="285" t="s">
        <v>476</v>
      </c>
      <c r="F134" s="287" t="s">
        <v>703</v>
      </c>
      <c r="G134" s="285" t="s">
        <v>21</v>
      </c>
      <c r="H134" s="285">
        <v>12.0</v>
      </c>
      <c r="I134" s="287" t="s">
        <v>497</v>
      </c>
      <c r="J134" s="292"/>
      <c r="K134" s="287" t="s">
        <v>508</v>
      </c>
      <c r="L134" s="287" t="s">
        <v>479</v>
      </c>
      <c r="M134" s="287" t="s">
        <v>483</v>
      </c>
      <c r="N134" s="287" t="s">
        <v>561</v>
      </c>
      <c r="O134" s="287"/>
      <c r="P134" s="287"/>
      <c r="Q134" s="294" t="s">
        <v>32</v>
      </c>
      <c r="R134" s="287" t="s">
        <v>18</v>
      </c>
      <c r="S134" s="288" t="s">
        <v>377</v>
      </c>
      <c r="T134" s="287" t="s">
        <v>377</v>
      </c>
      <c r="U134" s="287" t="s">
        <v>377</v>
      </c>
      <c r="V134" s="288" t="s">
        <v>377</v>
      </c>
      <c r="W134" s="294" t="s">
        <v>32</v>
      </c>
      <c r="X134" s="287" t="s">
        <v>377</v>
      </c>
      <c r="Y134" s="295" t="s">
        <v>32</v>
      </c>
      <c r="Z134" s="287" t="s">
        <v>377</v>
      </c>
      <c r="AA134" s="287" t="s">
        <v>377</v>
      </c>
      <c r="AB134" s="288" t="s">
        <v>377</v>
      </c>
      <c r="AC134" s="289" t="s">
        <v>377</v>
      </c>
      <c r="AD134" s="287" t="s">
        <v>377</v>
      </c>
      <c r="AE134" s="294" t="s">
        <v>32</v>
      </c>
      <c r="AF134" s="295" t="s">
        <v>32</v>
      </c>
      <c r="AG134" s="294" t="s">
        <v>32</v>
      </c>
      <c r="AH134" s="287" t="s">
        <v>377</v>
      </c>
      <c r="AI134" s="295" t="s">
        <v>32</v>
      </c>
      <c r="AJ134" s="287" t="s">
        <v>377</v>
      </c>
      <c r="AK134" s="287" t="s">
        <v>377</v>
      </c>
      <c r="AL134" s="288" t="s">
        <v>377</v>
      </c>
      <c r="AM134" s="287" t="s">
        <v>18</v>
      </c>
      <c r="AN134" s="287" t="s">
        <v>18</v>
      </c>
      <c r="AO134" s="288" t="s">
        <v>18</v>
      </c>
      <c r="AP134" s="289" t="s">
        <v>377</v>
      </c>
      <c r="AQ134" s="287" t="s">
        <v>377</v>
      </c>
      <c r="AR134" s="294" t="s">
        <v>32</v>
      </c>
      <c r="AS134" s="295" t="s">
        <v>32</v>
      </c>
      <c r="AT134" s="294" t="s">
        <v>32</v>
      </c>
      <c r="AU134" s="294" t="s">
        <v>32</v>
      </c>
      <c r="AV134" s="295" t="s">
        <v>32</v>
      </c>
      <c r="AW134" s="287" t="s">
        <v>18</v>
      </c>
      <c r="AX134" s="287" t="s">
        <v>18</v>
      </c>
      <c r="AY134" s="288" t="s">
        <v>18</v>
      </c>
      <c r="AZ134" s="287" t="s">
        <v>377</v>
      </c>
      <c r="BA134" s="287" t="s">
        <v>18</v>
      </c>
      <c r="BB134" s="288" t="s">
        <v>377</v>
      </c>
      <c r="BC134" s="289" t="s">
        <v>377</v>
      </c>
      <c r="BD134" s="292"/>
    </row>
    <row r="135" ht="12.75" customHeight="1">
      <c r="A135" s="293">
        <v>45257.523242337964</v>
      </c>
      <c r="B135" s="286" t="s">
        <v>375</v>
      </c>
      <c r="C135" s="287" t="s">
        <v>559</v>
      </c>
      <c r="D135" s="285" t="s">
        <v>16</v>
      </c>
      <c r="E135" s="285" t="s">
        <v>476</v>
      </c>
      <c r="F135" s="287" t="s">
        <v>704</v>
      </c>
      <c r="G135" s="285" t="s">
        <v>17</v>
      </c>
      <c r="H135" s="285">
        <v>12.0</v>
      </c>
      <c r="I135" s="287" t="s">
        <v>497</v>
      </c>
      <c r="J135" s="292"/>
      <c r="K135" s="287" t="s">
        <v>508</v>
      </c>
      <c r="L135" s="287" t="s">
        <v>479</v>
      </c>
      <c r="M135" s="287" t="s">
        <v>483</v>
      </c>
      <c r="N135" s="287" t="s">
        <v>561</v>
      </c>
      <c r="O135" s="287"/>
      <c r="P135" s="287"/>
      <c r="Q135" s="287" t="s">
        <v>18</v>
      </c>
      <c r="R135" s="287" t="s">
        <v>18</v>
      </c>
      <c r="S135" s="288" t="s">
        <v>18</v>
      </c>
      <c r="T135" s="287" t="s">
        <v>18</v>
      </c>
      <c r="U135" s="287" t="s">
        <v>377</v>
      </c>
      <c r="V135" s="288" t="s">
        <v>377</v>
      </c>
      <c r="W135" s="287" t="s">
        <v>377</v>
      </c>
      <c r="X135" s="287" t="s">
        <v>377</v>
      </c>
      <c r="Y135" s="288" t="s">
        <v>377</v>
      </c>
      <c r="Z135" s="287" t="s">
        <v>377</v>
      </c>
      <c r="AA135" s="287" t="s">
        <v>377</v>
      </c>
      <c r="AB135" s="288" t="s">
        <v>377</v>
      </c>
      <c r="AC135" s="289" t="s">
        <v>377</v>
      </c>
      <c r="AD135" s="287" t="s">
        <v>377</v>
      </c>
      <c r="AE135" s="294" t="s">
        <v>32</v>
      </c>
      <c r="AF135" s="295" t="s">
        <v>32</v>
      </c>
      <c r="AG135" s="287" t="s">
        <v>377</v>
      </c>
      <c r="AH135" s="287" t="s">
        <v>18</v>
      </c>
      <c r="AI135" s="288" t="s">
        <v>377</v>
      </c>
      <c r="AJ135" s="287" t="s">
        <v>18</v>
      </c>
      <c r="AK135" s="287" t="s">
        <v>18</v>
      </c>
      <c r="AL135" s="288" t="s">
        <v>18</v>
      </c>
      <c r="AM135" s="287" t="s">
        <v>18</v>
      </c>
      <c r="AN135" s="287" t="s">
        <v>18</v>
      </c>
      <c r="AO135" s="288" t="s">
        <v>18</v>
      </c>
      <c r="AP135" s="289" t="s">
        <v>377</v>
      </c>
      <c r="AQ135" s="287" t="s">
        <v>377</v>
      </c>
      <c r="AR135" s="287" t="s">
        <v>377</v>
      </c>
      <c r="AS135" s="288" t="s">
        <v>377</v>
      </c>
      <c r="AT135" s="294" t="s">
        <v>32</v>
      </c>
      <c r="AU135" s="294" t="s">
        <v>32</v>
      </c>
      <c r="AV135" s="295" t="s">
        <v>32</v>
      </c>
      <c r="AW135" s="287" t="s">
        <v>18</v>
      </c>
      <c r="AX135" s="287" t="s">
        <v>377</v>
      </c>
      <c r="AY135" s="288" t="s">
        <v>377</v>
      </c>
      <c r="AZ135" s="294" t="s">
        <v>32</v>
      </c>
      <c r="BA135" s="287" t="s">
        <v>377</v>
      </c>
      <c r="BB135" s="288" t="s">
        <v>377</v>
      </c>
      <c r="BC135" s="289" t="s">
        <v>377</v>
      </c>
      <c r="BD135" s="292"/>
    </row>
    <row r="136" ht="12.75" customHeight="1">
      <c r="A136" s="293">
        <v>45257.52454466435</v>
      </c>
      <c r="B136" s="286" t="s">
        <v>375</v>
      </c>
      <c r="C136" s="287" t="s">
        <v>559</v>
      </c>
      <c r="D136" s="285" t="s">
        <v>16</v>
      </c>
      <c r="E136" s="285" t="s">
        <v>476</v>
      </c>
      <c r="F136" s="287" t="s">
        <v>705</v>
      </c>
      <c r="G136" s="285" t="s">
        <v>17</v>
      </c>
      <c r="H136" s="285">
        <v>12.0</v>
      </c>
      <c r="I136" s="287" t="s">
        <v>497</v>
      </c>
      <c r="J136" s="292"/>
      <c r="K136" s="287" t="s">
        <v>508</v>
      </c>
      <c r="L136" s="287" t="s">
        <v>479</v>
      </c>
      <c r="M136" s="287" t="s">
        <v>495</v>
      </c>
      <c r="N136" s="287" t="s">
        <v>561</v>
      </c>
      <c r="O136" s="287"/>
      <c r="P136" s="287"/>
      <c r="Q136" s="294" t="s">
        <v>32</v>
      </c>
      <c r="R136" s="287" t="s">
        <v>377</v>
      </c>
      <c r="S136" s="295" t="s">
        <v>32</v>
      </c>
      <c r="T136" s="294" t="s">
        <v>32</v>
      </c>
      <c r="U136" s="294" t="s">
        <v>32</v>
      </c>
      <c r="V136" s="295" t="s">
        <v>32</v>
      </c>
      <c r="W136" s="287" t="s">
        <v>18</v>
      </c>
      <c r="X136" s="287" t="s">
        <v>18</v>
      </c>
      <c r="Y136" s="288" t="s">
        <v>18</v>
      </c>
      <c r="Z136" s="287" t="s">
        <v>377</v>
      </c>
      <c r="AA136" s="287" t="s">
        <v>377</v>
      </c>
      <c r="AB136" s="288" t="s">
        <v>377</v>
      </c>
      <c r="AC136" s="289" t="s">
        <v>377</v>
      </c>
      <c r="AD136" s="287" t="s">
        <v>377</v>
      </c>
      <c r="AE136" s="287" t="s">
        <v>377</v>
      </c>
      <c r="AF136" s="288" t="s">
        <v>377</v>
      </c>
      <c r="AG136" s="294" t="s">
        <v>32</v>
      </c>
      <c r="AH136" s="294" t="s">
        <v>32</v>
      </c>
      <c r="AI136" s="295" t="s">
        <v>32</v>
      </c>
      <c r="AJ136" s="287" t="s">
        <v>18</v>
      </c>
      <c r="AK136" s="287" t="s">
        <v>18</v>
      </c>
      <c r="AL136" s="288" t="s">
        <v>18</v>
      </c>
      <c r="AM136" s="287" t="s">
        <v>18</v>
      </c>
      <c r="AN136" s="287" t="s">
        <v>18</v>
      </c>
      <c r="AO136" s="288" t="s">
        <v>18</v>
      </c>
      <c r="AP136" s="289" t="s">
        <v>377</v>
      </c>
      <c r="AQ136" s="294" t="s">
        <v>32</v>
      </c>
      <c r="AR136" s="287" t="s">
        <v>18</v>
      </c>
      <c r="AS136" s="288" t="s">
        <v>377</v>
      </c>
      <c r="AT136" s="294" t="s">
        <v>32</v>
      </c>
      <c r="AU136" s="294" t="s">
        <v>32</v>
      </c>
      <c r="AV136" s="295" t="s">
        <v>32</v>
      </c>
      <c r="AW136" s="287" t="s">
        <v>18</v>
      </c>
      <c r="AX136" s="287" t="s">
        <v>18</v>
      </c>
      <c r="AY136" s="288" t="s">
        <v>18</v>
      </c>
      <c r="AZ136" s="287" t="s">
        <v>18</v>
      </c>
      <c r="BA136" s="287" t="s">
        <v>18</v>
      </c>
      <c r="BB136" s="288" t="s">
        <v>377</v>
      </c>
      <c r="BC136" s="289" t="s">
        <v>377</v>
      </c>
      <c r="BD136" s="292"/>
    </row>
    <row r="137" ht="12.75" customHeight="1">
      <c r="A137" s="293">
        <v>45257.525834687505</v>
      </c>
      <c r="B137" s="286" t="s">
        <v>375</v>
      </c>
      <c r="C137" s="287" t="s">
        <v>559</v>
      </c>
      <c r="D137" s="285" t="s">
        <v>16</v>
      </c>
      <c r="E137" s="285" t="s">
        <v>476</v>
      </c>
      <c r="F137" s="287" t="s">
        <v>706</v>
      </c>
      <c r="G137" s="285" t="s">
        <v>21</v>
      </c>
      <c r="H137" s="285">
        <v>11.0</v>
      </c>
      <c r="I137" s="287" t="s">
        <v>497</v>
      </c>
      <c r="J137" s="292"/>
      <c r="K137" s="287" t="s">
        <v>508</v>
      </c>
      <c r="L137" s="287" t="s">
        <v>479</v>
      </c>
      <c r="M137" s="287" t="s">
        <v>495</v>
      </c>
      <c r="N137" s="287" t="s">
        <v>561</v>
      </c>
      <c r="O137" s="287"/>
      <c r="P137" s="287"/>
      <c r="Q137" s="294" t="s">
        <v>32</v>
      </c>
      <c r="R137" s="287" t="s">
        <v>377</v>
      </c>
      <c r="S137" s="295" t="s">
        <v>32</v>
      </c>
      <c r="T137" s="287" t="s">
        <v>18</v>
      </c>
      <c r="U137" s="294" t="s">
        <v>32</v>
      </c>
      <c r="V137" s="288" t="s">
        <v>377</v>
      </c>
      <c r="W137" s="294" t="s">
        <v>32</v>
      </c>
      <c r="X137" s="287" t="s">
        <v>377</v>
      </c>
      <c r="Y137" s="295" t="s">
        <v>32</v>
      </c>
      <c r="Z137" s="287" t="s">
        <v>377</v>
      </c>
      <c r="AA137" s="287" t="s">
        <v>377</v>
      </c>
      <c r="AB137" s="288" t="s">
        <v>377</v>
      </c>
      <c r="AC137" s="289" t="s">
        <v>377</v>
      </c>
      <c r="AD137" s="287" t="s">
        <v>377</v>
      </c>
      <c r="AE137" s="294" t="s">
        <v>32</v>
      </c>
      <c r="AF137" s="295" t="s">
        <v>32</v>
      </c>
      <c r="AG137" s="294" t="s">
        <v>32</v>
      </c>
      <c r="AH137" s="287" t="s">
        <v>18</v>
      </c>
      <c r="AI137" s="288" t="s">
        <v>377</v>
      </c>
      <c r="AJ137" s="287" t="s">
        <v>377</v>
      </c>
      <c r="AK137" s="287" t="s">
        <v>18</v>
      </c>
      <c r="AL137" s="288" t="s">
        <v>377</v>
      </c>
      <c r="AM137" s="287" t="s">
        <v>18</v>
      </c>
      <c r="AN137" s="287" t="s">
        <v>377</v>
      </c>
      <c r="AO137" s="288" t="s">
        <v>377</v>
      </c>
      <c r="AP137" s="289" t="s">
        <v>377</v>
      </c>
      <c r="AQ137" s="287" t="s">
        <v>377</v>
      </c>
      <c r="AR137" s="287" t="s">
        <v>377</v>
      </c>
      <c r="AS137" s="288" t="s">
        <v>377</v>
      </c>
      <c r="AT137" s="294" t="s">
        <v>32</v>
      </c>
      <c r="AU137" s="294" t="s">
        <v>32</v>
      </c>
      <c r="AV137" s="295" t="s">
        <v>32</v>
      </c>
      <c r="AW137" s="287" t="s">
        <v>377</v>
      </c>
      <c r="AX137" s="287" t="s">
        <v>377</v>
      </c>
      <c r="AY137" s="288" t="s">
        <v>377</v>
      </c>
      <c r="AZ137" s="287" t="s">
        <v>377</v>
      </c>
      <c r="BA137" s="287" t="s">
        <v>18</v>
      </c>
      <c r="BB137" s="288" t="s">
        <v>377</v>
      </c>
      <c r="BC137" s="289" t="s">
        <v>377</v>
      </c>
      <c r="BD137" s="292"/>
    </row>
    <row r="138" ht="12.75" customHeight="1">
      <c r="A138" s="293">
        <v>45257.52720355324</v>
      </c>
      <c r="B138" s="286" t="s">
        <v>375</v>
      </c>
      <c r="C138" s="287" t="s">
        <v>559</v>
      </c>
      <c r="D138" s="285" t="s">
        <v>16</v>
      </c>
      <c r="E138" s="285" t="s">
        <v>476</v>
      </c>
      <c r="F138" s="287" t="s">
        <v>707</v>
      </c>
      <c r="G138" s="285" t="s">
        <v>21</v>
      </c>
      <c r="H138" s="285">
        <v>12.0</v>
      </c>
      <c r="I138" s="287" t="s">
        <v>497</v>
      </c>
      <c r="J138" s="292"/>
      <c r="K138" s="287" t="s">
        <v>508</v>
      </c>
      <c r="L138" s="287" t="s">
        <v>479</v>
      </c>
      <c r="M138" s="287" t="s">
        <v>495</v>
      </c>
      <c r="N138" s="287" t="s">
        <v>561</v>
      </c>
      <c r="O138" s="287"/>
      <c r="P138" s="287"/>
      <c r="Q138" s="294" t="s">
        <v>32</v>
      </c>
      <c r="R138" s="287" t="s">
        <v>377</v>
      </c>
      <c r="S138" s="295" t="s">
        <v>32</v>
      </c>
      <c r="T138" s="287" t="s">
        <v>377</v>
      </c>
      <c r="U138" s="294" t="s">
        <v>32</v>
      </c>
      <c r="V138" s="295" t="s">
        <v>32</v>
      </c>
      <c r="W138" s="287" t="s">
        <v>377</v>
      </c>
      <c r="X138" s="287" t="s">
        <v>377</v>
      </c>
      <c r="Y138" s="288" t="s">
        <v>377</v>
      </c>
      <c r="Z138" s="287" t="s">
        <v>377</v>
      </c>
      <c r="AA138" s="287" t="s">
        <v>377</v>
      </c>
      <c r="AB138" s="288" t="s">
        <v>377</v>
      </c>
      <c r="AC138" s="289" t="s">
        <v>377</v>
      </c>
      <c r="AD138" s="294" t="s">
        <v>32</v>
      </c>
      <c r="AE138" s="287" t="s">
        <v>377</v>
      </c>
      <c r="AF138" s="295" t="s">
        <v>32</v>
      </c>
      <c r="AG138" s="294" t="s">
        <v>32</v>
      </c>
      <c r="AH138" s="287" t="s">
        <v>18</v>
      </c>
      <c r="AI138" s="288" t="s">
        <v>377</v>
      </c>
      <c r="AJ138" s="287" t="s">
        <v>18</v>
      </c>
      <c r="AK138" s="287" t="s">
        <v>18</v>
      </c>
      <c r="AL138" s="288" t="s">
        <v>18</v>
      </c>
      <c r="AM138" s="287" t="s">
        <v>18</v>
      </c>
      <c r="AN138" s="287" t="s">
        <v>18</v>
      </c>
      <c r="AO138" s="288" t="s">
        <v>18</v>
      </c>
      <c r="AP138" s="289" t="s">
        <v>377</v>
      </c>
      <c r="AQ138" s="287" t="s">
        <v>377</v>
      </c>
      <c r="AR138" s="287" t="s">
        <v>18</v>
      </c>
      <c r="AS138" s="288" t="s">
        <v>377</v>
      </c>
      <c r="AT138" s="294" t="s">
        <v>32</v>
      </c>
      <c r="AU138" s="294" t="s">
        <v>32</v>
      </c>
      <c r="AV138" s="295" t="s">
        <v>32</v>
      </c>
      <c r="AW138" s="287" t="s">
        <v>377</v>
      </c>
      <c r="AX138" s="287" t="s">
        <v>18</v>
      </c>
      <c r="AY138" s="288" t="s">
        <v>377</v>
      </c>
      <c r="AZ138" s="287" t="s">
        <v>18</v>
      </c>
      <c r="BA138" s="287" t="s">
        <v>18</v>
      </c>
      <c r="BB138" s="288" t="s">
        <v>377</v>
      </c>
      <c r="BC138" s="289" t="s">
        <v>377</v>
      </c>
      <c r="BD138" s="292"/>
    </row>
    <row r="139" ht="12.75" customHeight="1">
      <c r="A139" s="293">
        <v>44797.42944774305</v>
      </c>
      <c r="B139" s="297" t="s">
        <v>375</v>
      </c>
      <c r="C139" s="298" t="s">
        <v>567</v>
      </c>
      <c r="D139" s="298" t="s">
        <v>16</v>
      </c>
      <c r="E139" s="285" t="s">
        <v>476</v>
      </c>
      <c r="F139" s="292" t="s">
        <v>496</v>
      </c>
      <c r="G139" s="298" t="s">
        <v>21</v>
      </c>
      <c r="H139" s="298">
        <v>11.0</v>
      </c>
      <c r="I139" s="292" t="s">
        <v>497</v>
      </c>
      <c r="J139" s="292" t="s">
        <v>498</v>
      </c>
      <c r="K139" s="287" t="s">
        <v>508</v>
      </c>
      <c r="L139" s="292" t="s">
        <v>479</v>
      </c>
      <c r="M139" s="292" t="s">
        <v>483</v>
      </c>
      <c r="N139" s="292"/>
      <c r="O139" s="292"/>
      <c r="P139" s="292"/>
      <c r="Q139" s="292" t="s">
        <v>18</v>
      </c>
      <c r="R139" s="299" t="s">
        <v>32</v>
      </c>
      <c r="S139" s="288" t="s">
        <v>377</v>
      </c>
      <c r="T139" s="292" t="s">
        <v>18</v>
      </c>
      <c r="U139" s="299" t="s">
        <v>32</v>
      </c>
      <c r="V139" s="288" t="s">
        <v>377</v>
      </c>
      <c r="W139" s="292" t="s">
        <v>18</v>
      </c>
      <c r="X139" s="292" t="s">
        <v>18</v>
      </c>
      <c r="Y139" s="288" t="s">
        <v>18</v>
      </c>
      <c r="Z139" s="299" t="s">
        <v>32</v>
      </c>
      <c r="AA139" s="292" t="s">
        <v>18</v>
      </c>
      <c r="AB139" s="288" t="s">
        <v>377</v>
      </c>
      <c r="AC139" s="289" t="s">
        <v>377</v>
      </c>
      <c r="AD139" s="292" t="s">
        <v>18</v>
      </c>
      <c r="AE139" s="292" t="s">
        <v>18</v>
      </c>
      <c r="AF139" s="288" t="s">
        <v>18</v>
      </c>
      <c r="AG139" s="292" t="s">
        <v>18</v>
      </c>
      <c r="AH139" s="292" t="s">
        <v>18</v>
      </c>
      <c r="AI139" s="288" t="s">
        <v>18</v>
      </c>
      <c r="AJ139" s="292" t="s">
        <v>18</v>
      </c>
      <c r="AK139" s="292" t="s">
        <v>18</v>
      </c>
      <c r="AL139" s="288" t="s">
        <v>18</v>
      </c>
      <c r="AM139" s="292" t="s">
        <v>18</v>
      </c>
      <c r="AN139" s="292" t="s">
        <v>18</v>
      </c>
      <c r="AO139" s="288" t="s">
        <v>18</v>
      </c>
      <c r="AP139" s="289" t="s">
        <v>18</v>
      </c>
      <c r="AQ139" s="292" t="s">
        <v>18</v>
      </c>
      <c r="AR139" s="299" t="s">
        <v>32</v>
      </c>
      <c r="AS139" s="288" t="s">
        <v>377</v>
      </c>
      <c r="AT139" s="299" t="s">
        <v>32</v>
      </c>
      <c r="AU139" s="299" t="s">
        <v>32</v>
      </c>
      <c r="AV139" s="295" t="s">
        <v>32</v>
      </c>
      <c r="AW139" s="292" t="s">
        <v>18</v>
      </c>
      <c r="AX139" s="292" t="s">
        <v>18</v>
      </c>
      <c r="AY139" s="288" t="s">
        <v>18</v>
      </c>
      <c r="AZ139" s="292" t="s">
        <v>377</v>
      </c>
      <c r="BA139" s="292" t="s">
        <v>18</v>
      </c>
      <c r="BB139" s="288" t="s">
        <v>377</v>
      </c>
      <c r="BC139" s="289" t="s">
        <v>377</v>
      </c>
      <c r="BD139" s="292"/>
    </row>
    <row r="140" ht="12.75" customHeight="1">
      <c r="A140" s="293">
        <v>44797.454920335644</v>
      </c>
      <c r="B140" s="297" t="s">
        <v>375</v>
      </c>
      <c r="C140" s="298" t="s">
        <v>567</v>
      </c>
      <c r="D140" s="298" t="s">
        <v>16</v>
      </c>
      <c r="E140" s="285" t="s">
        <v>476</v>
      </c>
      <c r="F140" s="292" t="s">
        <v>708</v>
      </c>
      <c r="G140" s="298" t="s">
        <v>21</v>
      </c>
      <c r="H140" s="298">
        <v>12.0</v>
      </c>
      <c r="I140" s="292" t="s">
        <v>497</v>
      </c>
      <c r="J140" s="292" t="s">
        <v>498</v>
      </c>
      <c r="K140" s="287" t="s">
        <v>508</v>
      </c>
      <c r="L140" s="292" t="s">
        <v>479</v>
      </c>
      <c r="M140" s="292" t="s">
        <v>483</v>
      </c>
      <c r="N140" s="292"/>
      <c r="O140" s="292"/>
      <c r="P140" s="292"/>
      <c r="Q140" s="299" t="s">
        <v>32</v>
      </c>
      <c r="R140" s="292" t="s">
        <v>377</v>
      </c>
      <c r="S140" s="295" t="s">
        <v>32</v>
      </c>
      <c r="T140" s="292" t="s">
        <v>377</v>
      </c>
      <c r="U140" s="299" t="s">
        <v>32</v>
      </c>
      <c r="V140" s="295" t="s">
        <v>32</v>
      </c>
      <c r="W140" s="299" t="s">
        <v>32</v>
      </c>
      <c r="X140" s="299" t="s">
        <v>32</v>
      </c>
      <c r="Y140" s="295" t="s">
        <v>32</v>
      </c>
      <c r="Z140" s="292" t="s">
        <v>18</v>
      </c>
      <c r="AA140" s="292" t="s">
        <v>377</v>
      </c>
      <c r="AB140" s="288" t="s">
        <v>377</v>
      </c>
      <c r="AC140" s="289" t="s">
        <v>377</v>
      </c>
      <c r="AD140" s="292" t="s">
        <v>377</v>
      </c>
      <c r="AE140" s="299" t="s">
        <v>32</v>
      </c>
      <c r="AF140" s="295" t="s">
        <v>32</v>
      </c>
      <c r="AG140" s="292" t="s">
        <v>377</v>
      </c>
      <c r="AH140" s="292" t="s">
        <v>377</v>
      </c>
      <c r="AI140" s="288" t="s">
        <v>377</v>
      </c>
      <c r="AJ140" s="292" t="s">
        <v>377</v>
      </c>
      <c r="AK140" s="292" t="s">
        <v>377</v>
      </c>
      <c r="AL140" s="288" t="s">
        <v>377</v>
      </c>
      <c r="AM140" s="292" t="s">
        <v>377</v>
      </c>
      <c r="AN140" s="292" t="s">
        <v>18</v>
      </c>
      <c r="AO140" s="288" t="s">
        <v>377</v>
      </c>
      <c r="AP140" s="289" t="s">
        <v>377</v>
      </c>
      <c r="AQ140" s="292" t="s">
        <v>377</v>
      </c>
      <c r="AR140" s="292" t="s">
        <v>377</v>
      </c>
      <c r="AS140" s="288" t="s">
        <v>377</v>
      </c>
      <c r="AT140" s="299" t="s">
        <v>32</v>
      </c>
      <c r="AU140" s="292" t="s">
        <v>377</v>
      </c>
      <c r="AV140" s="295" t="s">
        <v>32</v>
      </c>
      <c r="AW140" s="299" t="s">
        <v>32</v>
      </c>
      <c r="AX140" s="292" t="s">
        <v>18</v>
      </c>
      <c r="AY140" s="288" t="s">
        <v>377</v>
      </c>
      <c r="AZ140" s="292" t="s">
        <v>377</v>
      </c>
      <c r="BA140" s="292" t="s">
        <v>18</v>
      </c>
      <c r="BB140" s="295" t="s">
        <v>32</v>
      </c>
      <c r="BC140" s="289" t="s">
        <v>377</v>
      </c>
      <c r="BD140" s="292"/>
    </row>
    <row r="141" ht="12.75" customHeight="1">
      <c r="A141" s="293">
        <v>44797.46862799769</v>
      </c>
      <c r="B141" s="297" t="s">
        <v>375</v>
      </c>
      <c r="C141" s="298" t="s">
        <v>567</v>
      </c>
      <c r="D141" s="298" t="s">
        <v>16</v>
      </c>
      <c r="E141" s="285" t="s">
        <v>476</v>
      </c>
      <c r="F141" s="292" t="s">
        <v>709</v>
      </c>
      <c r="G141" s="298" t="s">
        <v>21</v>
      </c>
      <c r="H141" s="298">
        <v>12.0</v>
      </c>
      <c r="I141" s="292" t="s">
        <v>497</v>
      </c>
      <c r="J141" s="292" t="s">
        <v>498</v>
      </c>
      <c r="K141" s="287" t="s">
        <v>508</v>
      </c>
      <c r="L141" s="292" t="s">
        <v>479</v>
      </c>
      <c r="M141" s="292" t="s">
        <v>481</v>
      </c>
      <c r="N141" s="292"/>
      <c r="O141" s="292"/>
      <c r="P141" s="292"/>
      <c r="Q141" s="299" t="s">
        <v>32</v>
      </c>
      <c r="R141" s="299" t="s">
        <v>32</v>
      </c>
      <c r="S141" s="295" t="s">
        <v>32</v>
      </c>
      <c r="T141" s="292" t="s">
        <v>377</v>
      </c>
      <c r="U141" s="299" t="s">
        <v>32</v>
      </c>
      <c r="V141" s="295" t="s">
        <v>32</v>
      </c>
      <c r="W141" s="299" t="s">
        <v>32</v>
      </c>
      <c r="X141" s="299" t="s">
        <v>32</v>
      </c>
      <c r="Y141" s="295" t="s">
        <v>32</v>
      </c>
      <c r="Z141" s="299" t="s">
        <v>32</v>
      </c>
      <c r="AA141" s="299" t="s">
        <v>32</v>
      </c>
      <c r="AB141" s="295" t="s">
        <v>32</v>
      </c>
      <c r="AC141" s="296" t="s">
        <v>32</v>
      </c>
      <c r="AD141" s="299" t="s">
        <v>32</v>
      </c>
      <c r="AE141" s="299" t="s">
        <v>32</v>
      </c>
      <c r="AF141" s="295" t="s">
        <v>32</v>
      </c>
      <c r="AG141" s="299" t="s">
        <v>32</v>
      </c>
      <c r="AH141" s="292" t="s">
        <v>377</v>
      </c>
      <c r="AI141" s="295" t="s">
        <v>32</v>
      </c>
      <c r="AJ141" s="299" t="s">
        <v>32</v>
      </c>
      <c r="AK141" s="292" t="s">
        <v>377</v>
      </c>
      <c r="AL141" s="295" t="s">
        <v>32</v>
      </c>
      <c r="AM141" s="299" t="s">
        <v>32</v>
      </c>
      <c r="AN141" s="299" t="s">
        <v>32</v>
      </c>
      <c r="AO141" s="295" t="s">
        <v>32</v>
      </c>
      <c r="AP141" s="296" t="s">
        <v>32</v>
      </c>
      <c r="AQ141" s="292" t="s">
        <v>377</v>
      </c>
      <c r="AR141" s="299" t="s">
        <v>32</v>
      </c>
      <c r="AS141" s="295" t="s">
        <v>32</v>
      </c>
      <c r="AT141" s="299" t="s">
        <v>32</v>
      </c>
      <c r="AU141" s="299" t="s">
        <v>32</v>
      </c>
      <c r="AV141" s="295" t="s">
        <v>32</v>
      </c>
      <c r="AW141" s="299" t="s">
        <v>32</v>
      </c>
      <c r="AX141" s="299" t="s">
        <v>32</v>
      </c>
      <c r="AY141" s="295" t="s">
        <v>32</v>
      </c>
      <c r="AZ141" s="299" t="s">
        <v>32</v>
      </c>
      <c r="BA141" s="292" t="s">
        <v>18</v>
      </c>
      <c r="BB141" s="288" t="s">
        <v>377</v>
      </c>
      <c r="BC141" s="289" t="s">
        <v>377</v>
      </c>
      <c r="BD141" s="292"/>
    </row>
    <row r="142" ht="12.75" customHeight="1">
      <c r="A142" s="293">
        <v>44797.481711562505</v>
      </c>
      <c r="B142" s="297" t="s">
        <v>375</v>
      </c>
      <c r="C142" s="298" t="s">
        <v>567</v>
      </c>
      <c r="D142" s="298" t="s">
        <v>16</v>
      </c>
      <c r="E142" s="285" t="s">
        <v>476</v>
      </c>
      <c r="F142" s="292" t="s">
        <v>710</v>
      </c>
      <c r="G142" s="298" t="s">
        <v>17</v>
      </c>
      <c r="H142" s="298">
        <v>12.0</v>
      </c>
      <c r="I142" s="292" t="s">
        <v>497</v>
      </c>
      <c r="J142" s="292" t="s">
        <v>498</v>
      </c>
      <c r="K142" s="287" t="s">
        <v>508</v>
      </c>
      <c r="L142" s="292" t="s">
        <v>479</v>
      </c>
      <c r="M142" s="292" t="s">
        <v>490</v>
      </c>
      <c r="N142" s="292"/>
      <c r="O142" s="292"/>
      <c r="P142" s="292"/>
      <c r="Q142" s="299" t="s">
        <v>32</v>
      </c>
      <c r="R142" s="299" t="s">
        <v>32</v>
      </c>
      <c r="S142" s="295" t="s">
        <v>32</v>
      </c>
      <c r="T142" s="292" t="s">
        <v>377</v>
      </c>
      <c r="U142" s="292" t="s">
        <v>377</v>
      </c>
      <c r="V142" s="288" t="s">
        <v>377</v>
      </c>
      <c r="W142" s="292" t="s">
        <v>377</v>
      </c>
      <c r="X142" s="299" t="s">
        <v>32</v>
      </c>
      <c r="Y142" s="295" t="s">
        <v>32</v>
      </c>
      <c r="Z142" s="292" t="s">
        <v>377</v>
      </c>
      <c r="AA142" s="292" t="s">
        <v>377</v>
      </c>
      <c r="AB142" s="288" t="s">
        <v>377</v>
      </c>
      <c r="AC142" s="289" t="s">
        <v>377</v>
      </c>
      <c r="AD142" s="292" t="s">
        <v>18</v>
      </c>
      <c r="AE142" s="299" t="s">
        <v>32</v>
      </c>
      <c r="AF142" s="288" t="s">
        <v>377</v>
      </c>
      <c r="AG142" s="299" t="s">
        <v>32</v>
      </c>
      <c r="AH142" s="292" t="s">
        <v>377</v>
      </c>
      <c r="AI142" s="295" t="s">
        <v>32</v>
      </c>
      <c r="AJ142" s="299" t="s">
        <v>32</v>
      </c>
      <c r="AK142" s="292" t="s">
        <v>377</v>
      </c>
      <c r="AL142" s="295" t="s">
        <v>32</v>
      </c>
      <c r="AM142" s="292" t="s">
        <v>18</v>
      </c>
      <c r="AN142" s="292" t="s">
        <v>18</v>
      </c>
      <c r="AO142" s="288" t="s">
        <v>18</v>
      </c>
      <c r="AP142" s="289" t="s">
        <v>377</v>
      </c>
      <c r="AQ142" s="292" t="s">
        <v>377</v>
      </c>
      <c r="AR142" s="299" t="s">
        <v>32</v>
      </c>
      <c r="AS142" s="295" t="s">
        <v>32</v>
      </c>
      <c r="AT142" s="299" t="s">
        <v>32</v>
      </c>
      <c r="AU142" s="299" t="s">
        <v>32</v>
      </c>
      <c r="AV142" s="295" t="s">
        <v>32</v>
      </c>
      <c r="AW142" s="292" t="s">
        <v>377</v>
      </c>
      <c r="AX142" s="299" t="s">
        <v>32</v>
      </c>
      <c r="AY142" s="295" t="s">
        <v>32</v>
      </c>
      <c r="AZ142" s="299" t="s">
        <v>32</v>
      </c>
      <c r="BA142" s="292" t="s">
        <v>18</v>
      </c>
      <c r="BB142" s="295" t="s">
        <v>32</v>
      </c>
      <c r="BC142" s="296" t="s">
        <v>32</v>
      </c>
      <c r="BD142" s="292"/>
    </row>
    <row r="143" ht="12.75" customHeight="1">
      <c r="A143" s="293">
        <v>44797.48447826389</v>
      </c>
      <c r="B143" s="297" t="s">
        <v>375</v>
      </c>
      <c r="C143" s="298" t="s">
        <v>567</v>
      </c>
      <c r="D143" s="298" t="s">
        <v>16</v>
      </c>
      <c r="E143" s="285" t="s">
        <v>476</v>
      </c>
      <c r="F143" s="292" t="s">
        <v>711</v>
      </c>
      <c r="G143" s="298" t="s">
        <v>17</v>
      </c>
      <c r="H143" s="298">
        <v>11.0</v>
      </c>
      <c r="I143" s="292" t="s">
        <v>497</v>
      </c>
      <c r="J143" s="292" t="s">
        <v>498</v>
      </c>
      <c r="K143" s="287" t="s">
        <v>508</v>
      </c>
      <c r="L143" s="292" t="s">
        <v>479</v>
      </c>
      <c r="M143" s="292" t="s">
        <v>500</v>
      </c>
      <c r="N143" s="292"/>
      <c r="O143" s="292"/>
      <c r="P143" s="292"/>
      <c r="Q143" s="299" t="s">
        <v>32</v>
      </c>
      <c r="R143" s="292" t="s">
        <v>377</v>
      </c>
      <c r="S143" s="295" t="s">
        <v>32</v>
      </c>
      <c r="T143" s="292" t="s">
        <v>18</v>
      </c>
      <c r="U143" s="292" t="s">
        <v>377</v>
      </c>
      <c r="V143" s="288" t="s">
        <v>377</v>
      </c>
      <c r="W143" s="292" t="s">
        <v>18</v>
      </c>
      <c r="X143" s="292" t="s">
        <v>18</v>
      </c>
      <c r="Y143" s="288" t="s">
        <v>18</v>
      </c>
      <c r="Z143" s="292" t="s">
        <v>18</v>
      </c>
      <c r="AA143" s="292" t="s">
        <v>18</v>
      </c>
      <c r="AB143" s="288" t="s">
        <v>18</v>
      </c>
      <c r="AC143" s="289" t="s">
        <v>377</v>
      </c>
      <c r="AD143" s="292" t="s">
        <v>18</v>
      </c>
      <c r="AE143" s="292" t="s">
        <v>18</v>
      </c>
      <c r="AF143" s="288" t="s">
        <v>18</v>
      </c>
      <c r="AG143" s="292" t="s">
        <v>377</v>
      </c>
      <c r="AH143" s="292" t="s">
        <v>18</v>
      </c>
      <c r="AI143" s="288" t="s">
        <v>377</v>
      </c>
      <c r="AJ143" s="292" t="s">
        <v>18</v>
      </c>
      <c r="AK143" s="292" t="s">
        <v>18</v>
      </c>
      <c r="AL143" s="288" t="s">
        <v>18</v>
      </c>
      <c r="AM143" s="292" t="s">
        <v>18</v>
      </c>
      <c r="AN143" s="292" t="s">
        <v>18</v>
      </c>
      <c r="AO143" s="288" t="s">
        <v>18</v>
      </c>
      <c r="AP143" s="289" t="s">
        <v>18</v>
      </c>
      <c r="AQ143" s="292" t="s">
        <v>18</v>
      </c>
      <c r="AR143" s="292" t="s">
        <v>18</v>
      </c>
      <c r="AS143" s="288" t="s">
        <v>18</v>
      </c>
      <c r="AT143" s="292" t="s">
        <v>18</v>
      </c>
      <c r="AU143" s="292" t="s">
        <v>377</v>
      </c>
      <c r="AV143" s="288" t="s">
        <v>377</v>
      </c>
      <c r="AW143" s="292" t="s">
        <v>377</v>
      </c>
      <c r="AX143" s="292" t="s">
        <v>18</v>
      </c>
      <c r="AY143" s="288" t="s">
        <v>377</v>
      </c>
      <c r="AZ143" s="299" t="s">
        <v>32</v>
      </c>
      <c r="BA143" s="299" t="s">
        <v>32</v>
      </c>
      <c r="BB143" s="295" t="s">
        <v>32</v>
      </c>
      <c r="BC143" s="289" t="s">
        <v>377</v>
      </c>
      <c r="BD143" s="292"/>
    </row>
    <row r="144" ht="12.75" customHeight="1">
      <c r="A144" s="293">
        <v>44797.4887918287</v>
      </c>
      <c r="B144" s="297" t="s">
        <v>375</v>
      </c>
      <c r="C144" s="298" t="s">
        <v>567</v>
      </c>
      <c r="D144" s="298" t="s">
        <v>16</v>
      </c>
      <c r="E144" s="285" t="s">
        <v>476</v>
      </c>
      <c r="F144" s="292" t="s">
        <v>499</v>
      </c>
      <c r="G144" s="298" t="s">
        <v>21</v>
      </c>
      <c r="H144" s="298">
        <v>11.0</v>
      </c>
      <c r="I144" s="292" t="s">
        <v>497</v>
      </c>
      <c r="J144" s="292" t="s">
        <v>498</v>
      </c>
      <c r="K144" s="287" t="s">
        <v>508</v>
      </c>
      <c r="L144" s="292" t="s">
        <v>479</v>
      </c>
      <c r="M144" s="292" t="s">
        <v>500</v>
      </c>
      <c r="N144" s="292"/>
      <c r="O144" s="292"/>
      <c r="P144" s="292"/>
      <c r="Q144" s="292" t="s">
        <v>377</v>
      </c>
      <c r="R144" s="292" t="s">
        <v>377</v>
      </c>
      <c r="S144" s="288" t="s">
        <v>377</v>
      </c>
      <c r="T144" s="292" t="s">
        <v>18</v>
      </c>
      <c r="U144" s="292" t="s">
        <v>377</v>
      </c>
      <c r="V144" s="288" t="s">
        <v>377</v>
      </c>
      <c r="W144" s="292" t="s">
        <v>18</v>
      </c>
      <c r="X144" s="292" t="s">
        <v>377</v>
      </c>
      <c r="Y144" s="288" t="s">
        <v>377</v>
      </c>
      <c r="Z144" s="292" t="s">
        <v>18</v>
      </c>
      <c r="AA144" s="292" t="s">
        <v>18</v>
      </c>
      <c r="AB144" s="288" t="s">
        <v>18</v>
      </c>
      <c r="AC144" s="289" t="s">
        <v>377</v>
      </c>
      <c r="AD144" s="292" t="s">
        <v>18</v>
      </c>
      <c r="AE144" s="292" t="s">
        <v>18</v>
      </c>
      <c r="AF144" s="288" t="s">
        <v>18</v>
      </c>
      <c r="AG144" s="292" t="s">
        <v>377</v>
      </c>
      <c r="AH144" s="292" t="s">
        <v>18</v>
      </c>
      <c r="AI144" s="288" t="s">
        <v>377</v>
      </c>
      <c r="AJ144" s="292" t="s">
        <v>18</v>
      </c>
      <c r="AK144" s="292" t="s">
        <v>18</v>
      </c>
      <c r="AL144" s="288" t="s">
        <v>18</v>
      </c>
      <c r="AM144" s="292" t="s">
        <v>18</v>
      </c>
      <c r="AN144" s="292" t="s">
        <v>18</v>
      </c>
      <c r="AO144" s="288" t="s">
        <v>18</v>
      </c>
      <c r="AP144" s="289" t="s">
        <v>18</v>
      </c>
      <c r="AQ144" s="292" t="s">
        <v>18</v>
      </c>
      <c r="AR144" s="292" t="s">
        <v>18</v>
      </c>
      <c r="AS144" s="288" t="s">
        <v>18</v>
      </c>
      <c r="AT144" s="292" t="s">
        <v>377</v>
      </c>
      <c r="AU144" s="292" t="s">
        <v>377</v>
      </c>
      <c r="AV144" s="288" t="s">
        <v>377</v>
      </c>
      <c r="AW144" s="292" t="s">
        <v>18</v>
      </c>
      <c r="AX144" s="292" t="s">
        <v>18</v>
      </c>
      <c r="AY144" s="288" t="s">
        <v>18</v>
      </c>
      <c r="AZ144" s="299" t="s">
        <v>32</v>
      </c>
      <c r="BA144" s="292" t="s">
        <v>18</v>
      </c>
      <c r="BB144" s="288" t="s">
        <v>377</v>
      </c>
      <c r="BC144" s="296" t="s">
        <v>32</v>
      </c>
      <c r="BD144" s="292"/>
    </row>
    <row r="145" ht="12.75" customHeight="1">
      <c r="A145" s="293">
        <v>44797.49131246528</v>
      </c>
      <c r="B145" s="297" t="s">
        <v>375</v>
      </c>
      <c r="C145" s="298" t="s">
        <v>567</v>
      </c>
      <c r="D145" s="298" t="s">
        <v>16</v>
      </c>
      <c r="E145" s="285" t="s">
        <v>476</v>
      </c>
      <c r="F145" s="292" t="s">
        <v>712</v>
      </c>
      <c r="G145" s="298" t="s">
        <v>17</v>
      </c>
      <c r="H145" s="298">
        <v>12.0</v>
      </c>
      <c r="I145" s="292" t="s">
        <v>497</v>
      </c>
      <c r="J145" s="292" t="s">
        <v>498</v>
      </c>
      <c r="K145" s="287" t="s">
        <v>508</v>
      </c>
      <c r="L145" s="292" t="s">
        <v>479</v>
      </c>
      <c r="M145" s="292" t="s">
        <v>500</v>
      </c>
      <c r="N145" s="292"/>
      <c r="O145" s="292"/>
      <c r="P145" s="292"/>
      <c r="Q145" s="299" t="s">
        <v>32</v>
      </c>
      <c r="R145" s="292" t="s">
        <v>377</v>
      </c>
      <c r="S145" s="295" t="s">
        <v>32</v>
      </c>
      <c r="T145" s="292" t="s">
        <v>18</v>
      </c>
      <c r="U145" s="299" t="s">
        <v>32</v>
      </c>
      <c r="V145" s="288" t="s">
        <v>377</v>
      </c>
      <c r="W145" s="292" t="s">
        <v>18</v>
      </c>
      <c r="X145" s="292" t="s">
        <v>18</v>
      </c>
      <c r="Y145" s="288" t="s">
        <v>18</v>
      </c>
      <c r="Z145" s="292" t="s">
        <v>18</v>
      </c>
      <c r="AA145" s="292" t="s">
        <v>18</v>
      </c>
      <c r="AB145" s="288" t="s">
        <v>18</v>
      </c>
      <c r="AC145" s="289" t="s">
        <v>377</v>
      </c>
      <c r="AD145" s="292" t="s">
        <v>18</v>
      </c>
      <c r="AE145" s="292" t="s">
        <v>18</v>
      </c>
      <c r="AF145" s="288" t="s">
        <v>18</v>
      </c>
      <c r="AG145" s="292" t="s">
        <v>18</v>
      </c>
      <c r="AH145" s="292" t="s">
        <v>18</v>
      </c>
      <c r="AI145" s="288" t="s">
        <v>18</v>
      </c>
      <c r="AJ145" s="292" t="s">
        <v>18</v>
      </c>
      <c r="AK145" s="292" t="s">
        <v>18</v>
      </c>
      <c r="AL145" s="288" t="s">
        <v>18</v>
      </c>
      <c r="AM145" s="292" t="s">
        <v>18</v>
      </c>
      <c r="AN145" s="292" t="s">
        <v>18</v>
      </c>
      <c r="AO145" s="288" t="s">
        <v>18</v>
      </c>
      <c r="AP145" s="289" t="s">
        <v>18</v>
      </c>
      <c r="AQ145" s="292" t="s">
        <v>18</v>
      </c>
      <c r="AR145" s="292" t="s">
        <v>18</v>
      </c>
      <c r="AS145" s="288" t="s">
        <v>18</v>
      </c>
      <c r="AT145" s="292" t="s">
        <v>377</v>
      </c>
      <c r="AU145" s="292" t="s">
        <v>377</v>
      </c>
      <c r="AV145" s="288" t="s">
        <v>377</v>
      </c>
      <c r="AW145" s="299" t="s">
        <v>32</v>
      </c>
      <c r="AX145" s="292" t="s">
        <v>18</v>
      </c>
      <c r="AY145" s="288" t="s">
        <v>377</v>
      </c>
      <c r="AZ145" s="299" t="s">
        <v>32</v>
      </c>
      <c r="BA145" s="299" t="s">
        <v>32</v>
      </c>
      <c r="BB145" s="295" t="s">
        <v>32</v>
      </c>
      <c r="BC145" s="289" t="s">
        <v>377</v>
      </c>
      <c r="BD145" s="292"/>
    </row>
    <row r="146" ht="12.75" customHeight="1">
      <c r="A146" s="293">
        <v>44797.61433123842</v>
      </c>
      <c r="B146" s="297" t="s">
        <v>375</v>
      </c>
      <c r="C146" s="298" t="s">
        <v>567</v>
      </c>
      <c r="D146" s="298" t="s">
        <v>16</v>
      </c>
      <c r="E146" s="285" t="s">
        <v>476</v>
      </c>
      <c r="F146" s="292" t="s">
        <v>713</v>
      </c>
      <c r="G146" s="298" t="s">
        <v>17</v>
      </c>
      <c r="H146" s="298">
        <v>12.0</v>
      </c>
      <c r="I146" s="292" t="s">
        <v>497</v>
      </c>
      <c r="J146" s="292" t="s">
        <v>498</v>
      </c>
      <c r="K146" s="287" t="s">
        <v>508</v>
      </c>
      <c r="L146" s="292" t="s">
        <v>479</v>
      </c>
      <c r="M146" s="292" t="s">
        <v>500</v>
      </c>
      <c r="N146" s="292"/>
      <c r="O146" s="292"/>
      <c r="P146" s="292"/>
      <c r="Q146" s="299" t="s">
        <v>32</v>
      </c>
      <c r="R146" s="292" t="s">
        <v>377</v>
      </c>
      <c r="S146" s="295" t="s">
        <v>32</v>
      </c>
      <c r="T146" s="292" t="s">
        <v>18</v>
      </c>
      <c r="U146" s="299" t="s">
        <v>32</v>
      </c>
      <c r="V146" s="288" t="s">
        <v>377</v>
      </c>
      <c r="W146" s="292" t="s">
        <v>18</v>
      </c>
      <c r="X146" s="292" t="s">
        <v>377</v>
      </c>
      <c r="Y146" s="288" t="s">
        <v>377</v>
      </c>
      <c r="Z146" s="292" t="s">
        <v>18</v>
      </c>
      <c r="AA146" s="292" t="s">
        <v>377</v>
      </c>
      <c r="AB146" s="288" t="s">
        <v>377</v>
      </c>
      <c r="AC146" s="289" t="s">
        <v>377</v>
      </c>
      <c r="AD146" s="292" t="s">
        <v>18</v>
      </c>
      <c r="AE146" s="292" t="s">
        <v>18</v>
      </c>
      <c r="AF146" s="288" t="s">
        <v>18</v>
      </c>
      <c r="AG146" s="292" t="s">
        <v>377</v>
      </c>
      <c r="AH146" s="292" t="s">
        <v>18</v>
      </c>
      <c r="AI146" s="288" t="s">
        <v>377</v>
      </c>
      <c r="AJ146" s="292" t="s">
        <v>18</v>
      </c>
      <c r="AK146" s="292" t="s">
        <v>18</v>
      </c>
      <c r="AL146" s="288" t="s">
        <v>18</v>
      </c>
      <c r="AM146" s="292" t="s">
        <v>18</v>
      </c>
      <c r="AN146" s="292" t="s">
        <v>18</v>
      </c>
      <c r="AO146" s="288" t="s">
        <v>18</v>
      </c>
      <c r="AP146" s="289" t="s">
        <v>18</v>
      </c>
      <c r="AQ146" s="292" t="s">
        <v>377</v>
      </c>
      <c r="AR146" s="292" t="s">
        <v>18</v>
      </c>
      <c r="AS146" s="288" t="s">
        <v>377</v>
      </c>
      <c r="AT146" s="292" t="s">
        <v>377</v>
      </c>
      <c r="AU146" s="292" t="s">
        <v>377</v>
      </c>
      <c r="AV146" s="288" t="s">
        <v>377</v>
      </c>
      <c r="AW146" s="292" t="s">
        <v>377</v>
      </c>
      <c r="AX146" s="292" t="s">
        <v>18</v>
      </c>
      <c r="AY146" s="288" t="s">
        <v>377</v>
      </c>
      <c r="AZ146" s="299" t="s">
        <v>32</v>
      </c>
      <c r="BA146" s="292" t="s">
        <v>377</v>
      </c>
      <c r="BB146" s="288" t="s">
        <v>377</v>
      </c>
      <c r="BC146" s="289" t="s">
        <v>377</v>
      </c>
      <c r="BD146" s="292"/>
    </row>
    <row r="147" ht="12.75" customHeight="1">
      <c r="A147" s="293">
        <v>44797.61615155093</v>
      </c>
      <c r="B147" s="297" t="s">
        <v>375</v>
      </c>
      <c r="C147" s="298" t="s">
        <v>567</v>
      </c>
      <c r="D147" s="298" t="s">
        <v>16</v>
      </c>
      <c r="E147" s="285" t="s">
        <v>476</v>
      </c>
      <c r="F147" s="292" t="s">
        <v>714</v>
      </c>
      <c r="G147" s="298" t="s">
        <v>17</v>
      </c>
      <c r="H147" s="298">
        <v>11.0</v>
      </c>
      <c r="I147" s="292" t="s">
        <v>497</v>
      </c>
      <c r="J147" s="292" t="s">
        <v>498</v>
      </c>
      <c r="K147" s="287" t="s">
        <v>508</v>
      </c>
      <c r="L147" s="292" t="s">
        <v>479</v>
      </c>
      <c r="M147" s="292" t="s">
        <v>500</v>
      </c>
      <c r="N147" s="292"/>
      <c r="O147" s="292"/>
      <c r="P147" s="292"/>
      <c r="Q147" s="299" t="s">
        <v>32</v>
      </c>
      <c r="R147" s="292" t="s">
        <v>377</v>
      </c>
      <c r="S147" s="295" t="s">
        <v>32</v>
      </c>
      <c r="T147" s="292" t="s">
        <v>18</v>
      </c>
      <c r="U147" s="299" t="s">
        <v>32</v>
      </c>
      <c r="V147" s="288" t="s">
        <v>377</v>
      </c>
      <c r="W147" s="292" t="s">
        <v>18</v>
      </c>
      <c r="X147" s="292" t="s">
        <v>377</v>
      </c>
      <c r="Y147" s="288" t="s">
        <v>377</v>
      </c>
      <c r="Z147" s="292" t="s">
        <v>18</v>
      </c>
      <c r="AA147" s="292" t="s">
        <v>377</v>
      </c>
      <c r="AB147" s="288" t="s">
        <v>377</v>
      </c>
      <c r="AC147" s="289" t="s">
        <v>377</v>
      </c>
      <c r="AD147" s="292" t="s">
        <v>18</v>
      </c>
      <c r="AE147" s="292" t="s">
        <v>18</v>
      </c>
      <c r="AF147" s="288" t="s">
        <v>18</v>
      </c>
      <c r="AG147" s="292" t="s">
        <v>377</v>
      </c>
      <c r="AH147" s="292" t="s">
        <v>18</v>
      </c>
      <c r="AI147" s="288" t="s">
        <v>377</v>
      </c>
      <c r="AJ147" s="292" t="s">
        <v>18</v>
      </c>
      <c r="AK147" s="292" t="s">
        <v>18</v>
      </c>
      <c r="AL147" s="288" t="s">
        <v>18</v>
      </c>
      <c r="AM147" s="292" t="s">
        <v>18</v>
      </c>
      <c r="AN147" s="292" t="s">
        <v>18</v>
      </c>
      <c r="AO147" s="288" t="s">
        <v>18</v>
      </c>
      <c r="AP147" s="289" t="s">
        <v>18</v>
      </c>
      <c r="AQ147" s="292" t="s">
        <v>377</v>
      </c>
      <c r="AR147" s="292" t="s">
        <v>18</v>
      </c>
      <c r="AS147" s="288" t="s">
        <v>377</v>
      </c>
      <c r="AT147" s="299" t="s">
        <v>32</v>
      </c>
      <c r="AU147" s="299" t="s">
        <v>32</v>
      </c>
      <c r="AV147" s="295" t="s">
        <v>32</v>
      </c>
      <c r="AW147" s="292" t="s">
        <v>377</v>
      </c>
      <c r="AX147" s="292" t="s">
        <v>18</v>
      </c>
      <c r="AY147" s="288" t="s">
        <v>377</v>
      </c>
      <c r="AZ147" s="299" t="s">
        <v>32</v>
      </c>
      <c r="BA147" s="292" t="s">
        <v>18</v>
      </c>
      <c r="BB147" s="295" t="s">
        <v>32</v>
      </c>
      <c r="BC147" s="296" t="s">
        <v>32</v>
      </c>
      <c r="BD147" s="292"/>
    </row>
    <row r="148" ht="12.75" customHeight="1">
      <c r="A148" s="293">
        <v>44797.61925423611</v>
      </c>
      <c r="B148" s="297" t="s">
        <v>375</v>
      </c>
      <c r="C148" s="298" t="s">
        <v>567</v>
      </c>
      <c r="D148" s="298" t="s">
        <v>16</v>
      </c>
      <c r="E148" s="285" t="s">
        <v>476</v>
      </c>
      <c r="F148" s="292" t="s">
        <v>715</v>
      </c>
      <c r="G148" s="298" t="s">
        <v>21</v>
      </c>
      <c r="H148" s="298">
        <v>11.0</v>
      </c>
      <c r="I148" s="292" t="s">
        <v>497</v>
      </c>
      <c r="J148" s="292" t="s">
        <v>498</v>
      </c>
      <c r="K148" s="287" t="s">
        <v>508</v>
      </c>
      <c r="L148" s="292" t="s">
        <v>479</v>
      </c>
      <c r="M148" s="292" t="s">
        <v>495</v>
      </c>
      <c r="N148" s="292"/>
      <c r="O148" s="292"/>
      <c r="P148" s="292"/>
      <c r="Q148" s="299" t="s">
        <v>32</v>
      </c>
      <c r="R148" s="299" t="s">
        <v>32</v>
      </c>
      <c r="S148" s="295" t="s">
        <v>32</v>
      </c>
      <c r="T148" s="292" t="s">
        <v>18</v>
      </c>
      <c r="U148" s="299" t="s">
        <v>32</v>
      </c>
      <c r="V148" s="288" t="s">
        <v>377</v>
      </c>
      <c r="W148" s="299" t="s">
        <v>32</v>
      </c>
      <c r="X148" s="292" t="s">
        <v>18</v>
      </c>
      <c r="Y148" s="288" t="s">
        <v>377</v>
      </c>
      <c r="Z148" s="299" t="s">
        <v>32</v>
      </c>
      <c r="AA148" s="292" t="s">
        <v>18</v>
      </c>
      <c r="AB148" s="288" t="s">
        <v>377</v>
      </c>
      <c r="AC148" s="289" t="s">
        <v>377</v>
      </c>
      <c r="AD148" s="292" t="s">
        <v>18</v>
      </c>
      <c r="AE148" s="292" t="s">
        <v>18</v>
      </c>
      <c r="AF148" s="288" t="s">
        <v>18</v>
      </c>
      <c r="AG148" s="299" t="s">
        <v>32</v>
      </c>
      <c r="AH148" s="292" t="s">
        <v>377</v>
      </c>
      <c r="AI148" s="295" t="s">
        <v>32</v>
      </c>
      <c r="AJ148" s="292" t="s">
        <v>18</v>
      </c>
      <c r="AK148" s="292" t="s">
        <v>377</v>
      </c>
      <c r="AL148" s="288" t="s">
        <v>377</v>
      </c>
      <c r="AM148" s="292" t="s">
        <v>18</v>
      </c>
      <c r="AN148" s="292" t="s">
        <v>377</v>
      </c>
      <c r="AO148" s="288" t="s">
        <v>377</v>
      </c>
      <c r="AP148" s="289" t="s">
        <v>377</v>
      </c>
      <c r="AQ148" s="299" t="s">
        <v>32</v>
      </c>
      <c r="AR148" s="299" t="s">
        <v>32</v>
      </c>
      <c r="AS148" s="295" t="s">
        <v>32</v>
      </c>
      <c r="AT148" s="299" t="s">
        <v>32</v>
      </c>
      <c r="AU148" s="299" t="s">
        <v>32</v>
      </c>
      <c r="AV148" s="295" t="s">
        <v>32</v>
      </c>
      <c r="AW148" s="292" t="s">
        <v>377</v>
      </c>
      <c r="AX148" s="299" t="s">
        <v>32</v>
      </c>
      <c r="AY148" s="295" t="s">
        <v>32</v>
      </c>
      <c r="AZ148" s="299" t="s">
        <v>32</v>
      </c>
      <c r="BA148" s="299" t="s">
        <v>32</v>
      </c>
      <c r="BB148" s="288" t="s">
        <v>377</v>
      </c>
      <c r="BC148" s="296" t="s">
        <v>32</v>
      </c>
      <c r="BD148" s="292"/>
    </row>
    <row r="149" ht="12.75" customHeight="1">
      <c r="A149" s="293">
        <v>44797.62889436343</v>
      </c>
      <c r="B149" s="297" t="s">
        <v>375</v>
      </c>
      <c r="C149" s="298" t="s">
        <v>567</v>
      </c>
      <c r="D149" s="298" t="s">
        <v>16</v>
      </c>
      <c r="E149" s="285" t="s">
        <v>476</v>
      </c>
      <c r="F149" s="292" t="s">
        <v>716</v>
      </c>
      <c r="G149" s="298" t="s">
        <v>21</v>
      </c>
      <c r="H149" s="298">
        <v>12.0</v>
      </c>
      <c r="I149" s="292" t="s">
        <v>497</v>
      </c>
      <c r="J149" s="292" t="s">
        <v>498</v>
      </c>
      <c r="K149" s="287" t="s">
        <v>508</v>
      </c>
      <c r="L149" s="292" t="s">
        <v>479</v>
      </c>
      <c r="M149" s="292" t="s">
        <v>483</v>
      </c>
      <c r="N149" s="292"/>
      <c r="O149" s="292"/>
      <c r="P149" s="292"/>
      <c r="Q149" s="299" t="s">
        <v>32</v>
      </c>
      <c r="R149" s="299" t="s">
        <v>32</v>
      </c>
      <c r="S149" s="295" t="s">
        <v>32</v>
      </c>
      <c r="T149" s="292" t="s">
        <v>377</v>
      </c>
      <c r="U149" s="299" t="s">
        <v>32</v>
      </c>
      <c r="V149" s="295" t="s">
        <v>32</v>
      </c>
      <c r="W149" s="292" t="s">
        <v>18</v>
      </c>
      <c r="X149" s="292" t="s">
        <v>18</v>
      </c>
      <c r="Y149" s="288" t="s">
        <v>18</v>
      </c>
      <c r="Z149" s="292" t="s">
        <v>377</v>
      </c>
      <c r="AA149" s="292" t="s">
        <v>18</v>
      </c>
      <c r="AB149" s="288" t="s">
        <v>377</v>
      </c>
      <c r="AC149" s="289" t="s">
        <v>377</v>
      </c>
      <c r="AD149" s="292" t="s">
        <v>18</v>
      </c>
      <c r="AE149" s="299" t="s">
        <v>32</v>
      </c>
      <c r="AF149" s="288" t="s">
        <v>377</v>
      </c>
      <c r="AG149" s="299" t="s">
        <v>32</v>
      </c>
      <c r="AH149" s="292" t="s">
        <v>18</v>
      </c>
      <c r="AI149" s="288" t="s">
        <v>377</v>
      </c>
      <c r="AJ149" s="299" t="s">
        <v>32</v>
      </c>
      <c r="AK149" s="292" t="s">
        <v>18</v>
      </c>
      <c r="AL149" s="288" t="s">
        <v>377</v>
      </c>
      <c r="AM149" s="292" t="s">
        <v>18</v>
      </c>
      <c r="AN149" s="292" t="s">
        <v>18</v>
      </c>
      <c r="AO149" s="288" t="s">
        <v>18</v>
      </c>
      <c r="AP149" s="289" t="s">
        <v>377</v>
      </c>
      <c r="AQ149" s="299" t="s">
        <v>32</v>
      </c>
      <c r="AR149" s="299" t="s">
        <v>32</v>
      </c>
      <c r="AS149" s="295" t="s">
        <v>32</v>
      </c>
      <c r="AT149" s="299" t="s">
        <v>32</v>
      </c>
      <c r="AU149" s="299" t="s">
        <v>32</v>
      </c>
      <c r="AV149" s="295" t="s">
        <v>32</v>
      </c>
      <c r="AW149" s="292" t="s">
        <v>18</v>
      </c>
      <c r="AX149" s="292" t="s">
        <v>18</v>
      </c>
      <c r="AY149" s="288" t="s">
        <v>18</v>
      </c>
      <c r="AZ149" s="299" t="s">
        <v>32</v>
      </c>
      <c r="BA149" s="299" t="s">
        <v>32</v>
      </c>
      <c r="BB149" s="295" t="s">
        <v>32</v>
      </c>
      <c r="BC149" s="289" t="s">
        <v>377</v>
      </c>
      <c r="BD149" s="292"/>
    </row>
    <row r="150" ht="12.75" customHeight="1">
      <c r="A150" s="293">
        <v>44797.63234137731</v>
      </c>
      <c r="B150" s="297" t="s">
        <v>375</v>
      </c>
      <c r="C150" s="298" t="s">
        <v>567</v>
      </c>
      <c r="D150" s="298" t="s">
        <v>16</v>
      </c>
      <c r="E150" s="285" t="s">
        <v>476</v>
      </c>
      <c r="F150" s="292" t="s">
        <v>717</v>
      </c>
      <c r="G150" s="298" t="s">
        <v>17</v>
      </c>
      <c r="H150" s="298">
        <v>12.0</v>
      </c>
      <c r="I150" s="292" t="s">
        <v>497</v>
      </c>
      <c r="J150" s="292" t="s">
        <v>498</v>
      </c>
      <c r="K150" s="287" t="s">
        <v>508</v>
      </c>
      <c r="L150" s="292" t="s">
        <v>479</v>
      </c>
      <c r="M150" s="292" t="s">
        <v>490</v>
      </c>
      <c r="N150" s="292"/>
      <c r="O150" s="292"/>
      <c r="P150" s="292"/>
      <c r="Q150" s="299" t="s">
        <v>32</v>
      </c>
      <c r="R150" s="299" t="s">
        <v>32</v>
      </c>
      <c r="S150" s="295" t="s">
        <v>32</v>
      </c>
      <c r="T150" s="292" t="s">
        <v>377</v>
      </c>
      <c r="U150" s="299" t="s">
        <v>32</v>
      </c>
      <c r="V150" s="295" t="s">
        <v>32</v>
      </c>
      <c r="W150" s="292" t="s">
        <v>377</v>
      </c>
      <c r="X150" s="292" t="s">
        <v>18</v>
      </c>
      <c r="Y150" s="288" t="s">
        <v>377</v>
      </c>
      <c r="Z150" s="292" t="s">
        <v>377</v>
      </c>
      <c r="AA150" s="292" t="s">
        <v>377</v>
      </c>
      <c r="AB150" s="288" t="s">
        <v>377</v>
      </c>
      <c r="AC150" s="289" t="s">
        <v>377</v>
      </c>
      <c r="AD150" s="292" t="s">
        <v>377</v>
      </c>
      <c r="AE150" s="292" t="s">
        <v>18</v>
      </c>
      <c r="AF150" s="288" t="s">
        <v>377</v>
      </c>
      <c r="AG150" s="292" t="s">
        <v>377</v>
      </c>
      <c r="AH150" s="292" t="s">
        <v>18</v>
      </c>
      <c r="AI150" s="288" t="s">
        <v>377</v>
      </c>
      <c r="AJ150" s="292" t="s">
        <v>18</v>
      </c>
      <c r="AK150" s="292" t="s">
        <v>18</v>
      </c>
      <c r="AL150" s="288" t="s">
        <v>18</v>
      </c>
      <c r="AM150" s="292" t="s">
        <v>18</v>
      </c>
      <c r="AN150" s="292" t="s">
        <v>18</v>
      </c>
      <c r="AO150" s="288" t="s">
        <v>18</v>
      </c>
      <c r="AP150" s="289" t="s">
        <v>18</v>
      </c>
      <c r="AQ150" s="299" t="s">
        <v>32</v>
      </c>
      <c r="AR150" s="292" t="s">
        <v>377</v>
      </c>
      <c r="AS150" s="295" t="s">
        <v>32</v>
      </c>
      <c r="AT150" s="299" t="s">
        <v>32</v>
      </c>
      <c r="AU150" s="292" t="s">
        <v>377</v>
      </c>
      <c r="AV150" s="295" t="s">
        <v>32</v>
      </c>
      <c r="AW150" s="292" t="s">
        <v>377</v>
      </c>
      <c r="AX150" s="292" t="s">
        <v>377</v>
      </c>
      <c r="AY150" s="288" t="s">
        <v>377</v>
      </c>
      <c r="AZ150" s="299" t="s">
        <v>32</v>
      </c>
      <c r="BA150" s="299" t="s">
        <v>32</v>
      </c>
      <c r="BB150" s="295" t="s">
        <v>32</v>
      </c>
      <c r="BC150" s="289" t="s">
        <v>377</v>
      </c>
      <c r="BD150" s="292"/>
    </row>
    <row r="151" ht="12.75" customHeight="1">
      <c r="A151" s="293">
        <v>44797.63460855324</v>
      </c>
      <c r="B151" s="297" t="s">
        <v>375</v>
      </c>
      <c r="C151" s="298" t="s">
        <v>567</v>
      </c>
      <c r="D151" s="298" t="s">
        <v>16</v>
      </c>
      <c r="E151" s="285" t="s">
        <v>476</v>
      </c>
      <c r="F151" s="292" t="s">
        <v>718</v>
      </c>
      <c r="G151" s="298" t="s">
        <v>21</v>
      </c>
      <c r="H151" s="298">
        <v>12.0</v>
      </c>
      <c r="I151" s="292" t="s">
        <v>497</v>
      </c>
      <c r="J151" s="292" t="s">
        <v>498</v>
      </c>
      <c r="K151" s="287" t="s">
        <v>508</v>
      </c>
      <c r="L151" s="292" t="s">
        <v>479</v>
      </c>
      <c r="M151" s="292" t="s">
        <v>495</v>
      </c>
      <c r="N151" s="292"/>
      <c r="O151" s="292"/>
      <c r="P151" s="292"/>
      <c r="Q151" s="299" t="s">
        <v>32</v>
      </c>
      <c r="R151" s="299" t="s">
        <v>32</v>
      </c>
      <c r="S151" s="295" t="s">
        <v>32</v>
      </c>
      <c r="T151" s="292" t="s">
        <v>377</v>
      </c>
      <c r="U151" s="299" t="s">
        <v>32</v>
      </c>
      <c r="V151" s="295" t="s">
        <v>32</v>
      </c>
      <c r="W151" s="292" t="s">
        <v>18</v>
      </c>
      <c r="X151" s="292" t="s">
        <v>18</v>
      </c>
      <c r="Y151" s="288" t="s">
        <v>18</v>
      </c>
      <c r="Z151" s="299" t="s">
        <v>32</v>
      </c>
      <c r="AA151" s="292" t="s">
        <v>18</v>
      </c>
      <c r="AB151" s="288" t="s">
        <v>377</v>
      </c>
      <c r="AC151" s="289" t="s">
        <v>377</v>
      </c>
      <c r="AD151" s="292" t="s">
        <v>377</v>
      </c>
      <c r="AE151" s="292" t="s">
        <v>18</v>
      </c>
      <c r="AF151" s="288" t="s">
        <v>377</v>
      </c>
      <c r="AG151" s="292" t="s">
        <v>18</v>
      </c>
      <c r="AH151" s="292" t="s">
        <v>377</v>
      </c>
      <c r="AI151" s="288" t="s">
        <v>377</v>
      </c>
      <c r="AJ151" s="292" t="s">
        <v>18</v>
      </c>
      <c r="AK151" s="292" t="s">
        <v>18</v>
      </c>
      <c r="AL151" s="288" t="s">
        <v>18</v>
      </c>
      <c r="AM151" s="292" t="s">
        <v>18</v>
      </c>
      <c r="AN151" s="292" t="s">
        <v>18</v>
      </c>
      <c r="AO151" s="288" t="s">
        <v>18</v>
      </c>
      <c r="AP151" s="289" t="s">
        <v>18</v>
      </c>
      <c r="AQ151" s="292" t="s">
        <v>18</v>
      </c>
      <c r="AR151" s="292" t="s">
        <v>18</v>
      </c>
      <c r="AS151" s="288" t="s">
        <v>18</v>
      </c>
      <c r="AT151" s="299" t="s">
        <v>32</v>
      </c>
      <c r="AU151" s="299" t="s">
        <v>32</v>
      </c>
      <c r="AV151" s="295" t="s">
        <v>32</v>
      </c>
      <c r="AW151" s="292" t="s">
        <v>18</v>
      </c>
      <c r="AX151" s="292" t="s">
        <v>18</v>
      </c>
      <c r="AY151" s="288" t="s">
        <v>18</v>
      </c>
      <c r="AZ151" s="299" t="s">
        <v>32</v>
      </c>
      <c r="BA151" s="299" t="s">
        <v>32</v>
      </c>
      <c r="BB151" s="288" t="s">
        <v>377</v>
      </c>
      <c r="BC151" s="289" t="s">
        <v>377</v>
      </c>
      <c r="BD151" s="292"/>
    </row>
    <row r="152" ht="12.75" customHeight="1">
      <c r="A152" s="293">
        <v>44797.63666350694</v>
      </c>
      <c r="B152" s="297" t="s">
        <v>375</v>
      </c>
      <c r="C152" s="298" t="s">
        <v>567</v>
      </c>
      <c r="D152" s="298" t="s">
        <v>16</v>
      </c>
      <c r="E152" s="285" t="s">
        <v>476</v>
      </c>
      <c r="F152" s="292" t="s">
        <v>719</v>
      </c>
      <c r="G152" s="298" t="s">
        <v>21</v>
      </c>
      <c r="H152" s="298">
        <v>11.0</v>
      </c>
      <c r="I152" s="292" t="s">
        <v>497</v>
      </c>
      <c r="J152" s="292" t="s">
        <v>498</v>
      </c>
      <c r="K152" s="287" t="s">
        <v>508</v>
      </c>
      <c r="L152" s="292" t="s">
        <v>479</v>
      </c>
      <c r="M152" s="292" t="s">
        <v>495</v>
      </c>
      <c r="N152" s="292"/>
      <c r="O152" s="292"/>
      <c r="P152" s="292"/>
      <c r="Q152" s="292" t="s">
        <v>377</v>
      </c>
      <c r="R152" s="299" t="s">
        <v>32</v>
      </c>
      <c r="S152" s="295" t="s">
        <v>32</v>
      </c>
      <c r="T152" s="292" t="s">
        <v>18</v>
      </c>
      <c r="U152" s="299" t="s">
        <v>32</v>
      </c>
      <c r="V152" s="288" t="s">
        <v>377</v>
      </c>
      <c r="W152" s="292" t="s">
        <v>18</v>
      </c>
      <c r="X152" s="292" t="s">
        <v>18</v>
      </c>
      <c r="Y152" s="288" t="s">
        <v>18</v>
      </c>
      <c r="Z152" s="292" t="s">
        <v>18</v>
      </c>
      <c r="AA152" s="292" t="s">
        <v>18</v>
      </c>
      <c r="AB152" s="288" t="s">
        <v>18</v>
      </c>
      <c r="AC152" s="289" t="s">
        <v>377</v>
      </c>
      <c r="AD152" s="292" t="s">
        <v>18</v>
      </c>
      <c r="AE152" s="292" t="s">
        <v>18</v>
      </c>
      <c r="AF152" s="288" t="s">
        <v>18</v>
      </c>
      <c r="AG152" s="292" t="s">
        <v>18</v>
      </c>
      <c r="AH152" s="292" t="s">
        <v>18</v>
      </c>
      <c r="AI152" s="288" t="s">
        <v>18</v>
      </c>
      <c r="AJ152" s="292" t="s">
        <v>18</v>
      </c>
      <c r="AK152" s="292" t="s">
        <v>18</v>
      </c>
      <c r="AL152" s="288" t="s">
        <v>18</v>
      </c>
      <c r="AM152" s="292" t="s">
        <v>18</v>
      </c>
      <c r="AN152" s="292" t="s">
        <v>18</v>
      </c>
      <c r="AO152" s="288" t="s">
        <v>18</v>
      </c>
      <c r="AP152" s="289" t="s">
        <v>18</v>
      </c>
      <c r="AQ152" s="292" t="s">
        <v>18</v>
      </c>
      <c r="AR152" s="292" t="s">
        <v>18</v>
      </c>
      <c r="AS152" s="288" t="s">
        <v>18</v>
      </c>
      <c r="AT152" s="299" t="s">
        <v>32</v>
      </c>
      <c r="AU152" s="299" t="s">
        <v>32</v>
      </c>
      <c r="AV152" s="295" t="s">
        <v>32</v>
      </c>
      <c r="AW152" s="292" t="s">
        <v>18</v>
      </c>
      <c r="AX152" s="292" t="s">
        <v>18</v>
      </c>
      <c r="AY152" s="288" t="s">
        <v>18</v>
      </c>
      <c r="AZ152" s="299" t="s">
        <v>32</v>
      </c>
      <c r="BA152" s="299" t="s">
        <v>32</v>
      </c>
      <c r="BB152" s="295" t="s">
        <v>32</v>
      </c>
      <c r="BC152" s="296" t="s">
        <v>32</v>
      </c>
      <c r="BD152" s="292"/>
    </row>
    <row r="153" ht="12.75" customHeight="1">
      <c r="A153" s="293">
        <v>44797.675016134264</v>
      </c>
      <c r="B153" s="297" t="s">
        <v>375</v>
      </c>
      <c r="C153" s="298" t="s">
        <v>567</v>
      </c>
      <c r="D153" s="298" t="s">
        <v>16</v>
      </c>
      <c r="E153" s="285" t="s">
        <v>476</v>
      </c>
      <c r="F153" s="292" t="s">
        <v>720</v>
      </c>
      <c r="G153" s="298" t="s">
        <v>17</v>
      </c>
      <c r="H153" s="298">
        <v>11.0</v>
      </c>
      <c r="I153" s="292" t="s">
        <v>497</v>
      </c>
      <c r="J153" s="292" t="s">
        <v>498</v>
      </c>
      <c r="K153" s="287" t="s">
        <v>508</v>
      </c>
      <c r="L153" s="292" t="s">
        <v>479</v>
      </c>
      <c r="M153" s="292" t="s">
        <v>483</v>
      </c>
      <c r="N153" s="292"/>
      <c r="O153" s="292"/>
      <c r="P153" s="292"/>
      <c r="Q153" s="299" t="s">
        <v>32</v>
      </c>
      <c r="R153" s="292" t="s">
        <v>377</v>
      </c>
      <c r="S153" s="295" t="s">
        <v>32</v>
      </c>
      <c r="T153" s="292" t="s">
        <v>18</v>
      </c>
      <c r="U153" s="299" t="s">
        <v>32</v>
      </c>
      <c r="V153" s="288" t="s">
        <v>377</v>
      </c>
      <c r="W153" s="299" t="s">
        <v>32</v>
      </c>
      <c r="X153" s="292" t="s">
        <v>18</v>
      </c>
      <c r="Y153" s="288" t="s">
        <v>377</v>
      </c>
      <c r="Z153" s="299" t="s">
        <v>32</v>
      </c>
      <c r="AA153" s="292" t="s">
        <v>377</v>
      </c>
      <c r="AB153" s="295" t="s">
        <v>32</v>
      </c>
      <c r="AC153" s="289" t="s">
        <v>377</v>
      </c>
      <c r="AD153" s="299" t="s">
        <v>32</v>
      </c>
      <c r="AE153" s="299" t="s">
        <v>32</v>
      </c>
      <c r="AF153" s="295" t="s">
        <v>32</v>
      </c>
      <c r="AG153" s="299" t="s">
        <v>32</v>
      </c>
      <c r="AH153" s="292" t="s">
        <v>18</v>
      </c>
      <c r="AI153" s="288" t="s">
        <v>377</v>
      </c>
      <c r="AJ153" s="292" t="s">
        <v>377</v>
      </c>
      <c r="AK153" s="292" t="s">
        <v>18</v>
      </c>
      <c r="AL153" s="288" t="s">
        <v>377</v>
      </c>
      <c r="AM153" s="292" t="s">
        <v>18</v>
      </c>
      <c r="AN153" s="292" t="s">
        <v>18</v>
      </c>
      <c r="AO153" s="288" t="s">
        <v>18</v>
      </c>
      <c r="AP153" s="289" t="s">
        <v>377</v>
      </c>
      <c r="AQ153" s="292" t="s">
        <v>18</v>
      </c>
      <c r="AR153" s="299" t="s">
        <v>32</v>
      </c>
      <c r="AS153" s="288" t="s">
        <v>377</v>
      </c>
      <c r="AT153" s="299" t="s">
        <v>32</v>
      </c>
      <c r="AU153" s="299" t="s">
        <v>32</v>
      </c>
      <c r="AV153" s="295" t="s">
        <v>32</v>
      </c>
      <c r="AW153" s="292" t="s">
        <v>377</v>
      </c>
      <c r="AX153" s="299" t="s">
        <v>32</v>
      </c>
      <c r="AY153" s="295" t="s">
        <v>32</v>
      </c>
      <c r="AZ153" s="292" t="s">
        <v>377</v>
      </c>
      <c r="BA153" s="292" t="s">
        <v>377</v>
      </c>
      <c r="BB153" s="288" t="s">
        <v>18</v>
      </c>
      <c r="BC153" s="289" t="s">
        <v>18</v>
      </c>
      <c r="BD153" s="292"/>
    </row>
    <row r="154" ht="12.75" customHeight="1">
      <c r="A154" s="293">
        <v>44797.67842037037</v>
      </c>
      <c r="B154" s="297" t="s">
        <v>375</v>
      </c>
      <c r="C154" s="298" t="s">
        <v>567</v>
      </c>
      <c r="D154" s="298" t="s">
        <v>16</v>
      </c>
      <c r="E154" s="285" t="s">
        <v>476</v>
      </c>
      <c r="F154" s="292" t="s">
        <v>721</v>
      </c>
      <c r="G154" s="298" t="s">
        <v>17</v>
      </c>
      <c r="H154" s="298">
        <v>11.0</v>
      </c>
      <c r="I154" s="292" t="s">
        <v>497</v>
      </c>
      <c r="J154" s="292" t="s">
        <v>498</v>
      </c>
      <c r="K154" s="287" t="s">
        <v>508</v>
      </c>
      <c r="L154" s="292" t="s">
        <v>479</v>
      </c>
      <c r="M154" s="292" t="s">
        <v>483</v>
      </c>
      <c r="N154" s="292"/>
      <c r="O154" s="292"/>
      <c r="P154" s="292"/>
      <c r="Q154" s="299" t="s">
        <v>32</v>
      </c>
      <c r="R154" s="292" t="s">
        <v>377</v>
      </c>
      <c r="S154" s="295" t="s">
        <v>32</v>
      </c>
      <c r="T154" s="292" t="s">
        <v>18</v>
      </c>
      <c r="U154" s="299" t="s">
        <v>32</v>
      </c>
      <c r="V154" s="288" t="s">
        <v>377</v>
      </c>
      <c r="W154" s="299" t="s">
        <v>32</v>
      </c>
      <c r="X154" s="299" t="s">
        <v>32</v>
      </c>
      <c r="Y154" s="295" t="s">
        <v>32</v>
      </c>
      <c r="Z154" s="299" t="s">
        <v>32</v>
      </c>
      <c r="AA154" s="292" t="s">
        <v>377</v>
      </c>
      <c r="AB154" s="295" t="s">
        <v>32</v>
      </c>
      <c r="AC154" s="296" t="s">
        <v>32</v>
      </c>
      <c r="AD154" s="299" t="s">
        <v>32</v>
      </c>
      <c r="AE154" s="299" t="s">
        <v>32</v>
      </c>
      <c r="AF154" s="295" t="s">
        <v>32</v>
      </c>
      <c r="AG154" s="299" t="s">
        <v>32</v>
      </c>
      <c r="AH154" s="292" t="s">
        <v>18</v>
      </c>
      <c r="AI154" s="288" t="s">
        <v>377</v>
      </c>
      <c r="AJ154" s="292" t="s">
        <v>18</v>
      </c>
      <c r="AK154" s="299" t="s">
        <v>32</v>
      </c>
      <c r="AL154" s="288" t="s">
        <v>377</v>
      </c>
      <c r="AM154" s="292" t="s">
        <v>377</v>
      </c>
      <c r="AN154" s="292" t="s">
        <v>377</v>
      </c>
      <c r="AO154" s="288" t="s">
        <v>377</v>
      </c>
      <c r="AP154" s="289" t="s">
        <v>377</v>
      </c>
      <c r="AQ154" s="299" t="s">
        <v>32</v>
      </c>
      <c r="AR154" s="299" t="s">
        <v>32</v>
      </c>
      <c r="AS154" s="295" t="s">
        <v>32</v>
      </c>
      <c r="AT154" s="299" t="s">
        <v>32</v>
      </c>
      <c r="AU154" s="299" t="s">
        <v>32</v>
      </c>
      <c r="AV154" s="295" t="s">
        <v>32</v>
      </c>
      <c r="AW154" s="299" t="s">
        <v>32</v>
      </c>
      <c r="AX154" s="299" t="s">
        <v>32</v>
      </c>
      <c r="AY154" s="295" t="s">
        <v>32</v>
      </c>
      <c r="AZ154" s="299" t="s">
        <v>32</v>
      </c>
      <c r="BA154" s="299" t="s">
        <v>32</v>
      </c>
      <c r="BB154" s="295" t="s">
        <v>32</v>
      </c>
      <c r="BC154" s="296" t="s">
        <v>32</v>
      </c>
      <c r="BD154" s="292"/>
    </row>
    <row r="155" ht="12.75" customHeight="1">
      <c r="A155" s="293">
        <v>44797.79194077547</v>
      </c>
      <c r="B155" s="297" t="s">
        <v>375</v>
      </c>
      <c r="C155" s="298" t="s">
        <v>567</v>
      </c>
      <c r="D155" s="298" t="s">
        <v>16</v>
      </c>
      <c r="E155" s="285" t="s">
        <v>476</v>
      </c>
      <c r="F155" s="292" t="s">
        <v>722</v>
      </c>
      <c r="G155" s="298" t="s">
        <v>21</v>
      </c>
      <c r="H155" s="298">
        <v>12.0</v>
      </c>
      <c r="I155" s="292" t="s">
        <v>497</v>
      </c>
      <c r="J155" s="292" t="s">
        <v>498</v>
      </c>
      <c r="K155" s="287" t="s">
        <v>508</v>
      </c>
      <c r="L155" s="292" t="s">
        <v>479</v>
      </c>
      <c r="M155" s="292" t="s">
        <v>495</v>
      </c>
      <c r="N155" s="292"/>
      <c r="O155" s="292"/>
      <c r="P155" s="292"/>
      <c r="Q155" s="299" t="s">
        <v>32</v>
      </c>
      <c r="R155" s="292" t="s">
        <v>377</v>
      </c>
      <c r="S155" s="295" t="s">
        <v>32</v>
      </c>
      <c r="T155" s="292" t="s">
        <v>377</v>
      </c>
      <c r="U155" s="299" t="s">
        <v>32</v>
      </c>
      <c r="V155" s="295" t="s">
        <v>32</v>
      </c>
      <c r="W155" s="299" t="s">
        <v>32</v>
      </c>
      <c r="X155" s="292" t="s">
        <v>377</v>
      </c>
      <c r="Y155" s="295" t="s">
        <v>32</v>
      </c>
      <c r="Z155" s="299" t="s">
        <v>32</v>
      </c>
      <c r="AA155" s="292" t="s">
        <v>377</v>
      </c>
      <c r="AB155" s="295" t="s">
        <v>32</v>
      </c>
      <c r="AC155" s="296" t="s">
        <v>32</v>
      </c>
      <c r="AD155" s="299" t="s">
        <v>32</v>
      </c>
      <c r="AE155" s="299" t="s">
        <v>32</v>
      </c>
      <c r="AF155" s="295" t="s">
        <v>32</v>
      </c>
      <c r="AG155" s="292" t="s">
        <v>377</v>
      </c>
      <c r="AH155" s="292" t="s">
        <v>377</v>
      </c>
      <c r="AI155" s="288" t="s">
        <v>377</v>
      </c>
      <c r="AJ155" s="292" t="s">
        <v>377</v>
      </c>
      <c r="AK155" s="292" t="s">
        <v>377</v>
      </c>
      <c r="AL155" s="288" t="s">
        <v>377</v>
      </c>
      <c r="AM155" s="292" t="s">
        <v>377</v>
      </c>
      <c r="AN155" s="292" t="s">
        <v>377</v>
      </c>
      <c r="AO155" s="288" t="s">
        <v>377</v>
      </c>
      <c r="AP155" s="289" t="s">
        <v>377</v>
      </c>
      <c r="AQ155" s="292" t="s">
        <v>18</v>
      </c>
      <c r="AR155" s="299" t="s">
        <v>32</v>
      </c>
      <c r="AS155" s="288" t="s">
        <v>377</v>
      </c>
      <c r="AT155" s="299" t="s">
        <v>32</v>
      </c>
      <c r="AU155" s="299" t="s">
        <v>32</v>
      </c>
      <c r="AV155" s="295" t="s">
        <v>32</v>
      </c>
      <c r="AW155" s="292" t="s">
        <v>377</v>
      </c>
      <c r="AX155" s="299" t="s">
        <v>32</v>
      </c>
      <c r="AY155" s="295" t="s">
        <v>32</v>
      </c>
      <c r="AZ155" s="299" t="s">
        <v>32</v>
      </c>
      <c r="BA155" s="299" t="s">
        <v>32</v>
      </c>
      <c r="BB155" s="295" t="s">
        <v>32</v>
      </c>
      <c r="BC155" s="296" t="s">
        <v>32</v>
      </c>
      <c r="BD155" s="292"/>
    </row>
    <row r="156" ht="12.75" customHeight="1">
      <c r="A156" s="293">
        <v>44797.82274325231</v>
      </c>
      <c r="B156" s="297" t="s">
        <v>375</v>
      </c>
      <c r="C156" s="298" t="s">
        <v>567</v>
      </c>
      <c r="D156" s="298" t="s">
        <v>16</v>
      </c>
      <c r="E156" s="285" t="s">
        <v>476</v>
      </c>
      <c r="F156" s="292" t="s">
        <v>723</v>
      </c>
      <c r="G156" s="298" t="s">
        <v>21</v>
      </c>
      <c r="H156" s="298">
        <v>12.0</v>
      </c>
      <c r="I156" s="292" t="s">
        <v>497</v>
      </c>
      <c r="J156" s="292" t="s">
        <v>498</v>
      </c>
      <c r="K156" s="287" t="s">
        <v>508</v>
      </c>
      <c r="L156" s="292" t="s">
        <v>479</v>
      </c>
      <c r="M156" s="292" t="s">
        <v>481</v>
      </c>
      <c r="N156" s="292"/>
      <c r="O156" s="292"/>
      <c r="P156" s="292"/>
      <c r="Q156" s="299" t="s">
        <v>32</v>
      </c>
      <c r="R156" s="292" t="s">
        <v>377</v>
      </c>
      <c r="S156" s="295" t="s">
        <v>32</v>
      </c>
      <c r="T156" s="292" t="s">
        <v>18</v>
      </c>
      <c r="U156" s="299" t="s">
        <v>32</v>
      </c>
      <c r="V156" s="288" t="s">
        <v>377</v>
      </c>
      <c r="W156" s="299" t="s">
        <v>32</v>
      </c>
      <c r="X156" s="292" t="s">
        <v>18</v>
      </c>
      <c r="Y156" s="288" t="s">
        <v>377</v>
      </c>
      <c r="Z156" s="292" t="s">
        <v>18</v>
      </c>
      <c r="AA156" s="299" t="s">
        <v>32</v>
      </c>
      <c r="AB156" s="288" t="s">
        <v>377</v>
      </c>
      <c r="AC156" s="289" t="s">
        <v>377</v>
      </c>
      <c r="AD156" s="292" t="s">
        <v>377</v>
      </c>
      <c r="AE156" s="292" t="s">
        <v>18</v>
      </c>
      <c r="AF156" s="288" t="s">
        <v>377</v>
      </c>
      <c r="AG156" s="292" t="s">
        <v>377</v>
      </c>
      <c r="AH156" s="292" t="s">
        <v>18</v>
      </c>
      <c r="AI156" s="288" t="s">
        <v>377</v>
      </c>
      <c r="AJ156" s="292" t="s">
        <v>18</v>
      </c>
      <c r="AK156" s="292" t="s">
        <v>18</v>
      </c>
      <c r="AL156" s="288" t="s">
        <v>18</v>
      </c>
      <c r="AM156" s="299" t="s">
        <v>32</v>
      </c>
      <c r="AN156" s="292" t="s">
        <v>18</v>
      </c>
      <c r="AO156" s="288" t="s">
        <v>377</v>
      </c>
      <c r="AP156" s="289" t="s">
        <v>377</v>
      </c>
      <c r="AQ156" s="299" t="s">
        <v>32</v>
      </c>
      <c r="AR156" s="299" t="s">
        <v>32</v>
      </c>
      <c r="AS156" s="295" t="s">
        <v>32</v>
      </c>
      <c r="AT156" s="299" t="s">
        <v>32</v>
      </c>
      <c r="AU156" s="292" t="s">
        <v>18</v>
      </c>
      <c r="AV156" s="288" t="s">
        <v>377</v>
      </c>
      <c r="AW156" s="299" t="s">
        <v>32</v>
      </c>
      <c r="AX156" s="292" t="s">
        <v>377</v>
      </c>
      <c r="AY156" s="295" t="s">
        <v>32</v>
      </c>
      <c r="AZ156" s="292" t="s">
        <v>18</v>
      </c>
      <c r="BA156" s="299" t="s">
        <v>32</v>
      </c>
      <c r="BB156" s="295" t="s">
        <v>32</v>
      </c>
      <c r="BC156" s="296" t="s">
        <v>32</v>
      </c>
      <c r="BD156" s="292"/>
    </row>
    <row r="157" ht="12.75" customHeight="1">
      <c r="A157" s="293">
        <v>44797.87716344907</v>
      </c>
      <c r="B157" s="297" t="s">
        <v>375</v>
      </c>
      <c r="C157" s="298" t="s">
        <v>567</v>
      </c>
      <c r="D157" s="298" t="s">
        <v>16</v>
      </c>
      <c r="E157" s="285" t="s">
        <v>476</v>
      </c>
      <c r="F157" s="292" t="s">
        <v>724</v>
      </c>
      <c r="G157" s="298" t="s">
        <v>21</v>
      </c>
      <c r="H157" s="298">
        <v>11.0</v>
      </c>
      <c r="I157" s="292" t="s">
        <v>497</v>
      </c>
      <c r="J157" s="292" t="s">
        <v>498</v>
      </c>
      <c r="K157" s="287" t="s">
        <v>508</v>
      </c>
      <c r="L157" s="292" t="s">
        <v>479</v>
      </c>
      <c r="M157" s="292" t="s">
        <v>481</v>
      </c>
      <c r="N157" s="292"/>
      <c r="O157" s="292"/>
      <c r="P157" s="292"/>
      <c r="Q157" s="299" t="s">
        <v>32</v>
      </c>
      <c r="R157" s="299" t="s">
        <v>32</v>
      </c>
      <c r="S157" s="295" t="s">
        <v>32</v>
      </c>
      <c r="T157" s="292" t="s">
        <v>18</v>
      </c>
      <c r="U157" s="299" t="s">
        <v>32</v>
      </c>
      <c r="V157" s="288" t="s">
        <v>377</v>
      </c>
      <c r="W157" s="292" t="s">
        <v>18</v>
      </c>
      <c r="X157" s="292" t="s">
        <v>18</v>
      </c>
      <c r="Y157" s="288" t="s">
        <v>18</v>
      </c>
      <c r="Z157" s="299" t="s">
        <v>32</v>
      </c>
      <c r="AA157" s="299" t="s">
        <v>32</v>
      </c>
      <c r="AB157" s="295" t="s">
        <v>32</v>
      </c>
      <c r="AC157" s="289" t="s">
        <v>377</v>
      </c>
      <c r="AD157" s="299" t="s">
        <v>32</v>
      </c>
      <c r="AE157" s="292" t="s">
        <v>377</v>
      </c>
      <c r="AF157" s="295" t="s">
        <v>32</v>
      </c>
      <c r="AG157" s="299" t="s">
        <v>32</v>
      </c>
      <c r="AH157" s="292" t="s">
        <v>18</v>
      </c>
      <c r="AI157" s="288" t="s">
        <v>377</v>
      </c>
      <c r="AJ157" s="292" t="s">
        <v>377</v>
      </c>
      <c r="AK157" s="292" t="s">
        <v>377</v>
      </c>
      <c r="AL157" s="288" t="s">
        <v>377</v>
      </c>
      <c r="AM157" s="292" t="s">
        <v>377</v>
      </c>
      <c r="AN157" s="292" t="s">
        <v>18</v>
      </c>
      <c r="AO157" s="288" t="s">
        <v>377</v>
      </c>
      <c r="AP157" s="289" t="s">
        <v>377</v>
      </c>
      <c r="AQ157" s="292" t="s">
        <v>377</v>
      </c>
      <c r="AR157" s="292" t="s">
        <v>377</v>
      </c>
      <c r="AS157" s="288" t="s">
        <v>377</v>
      </c>
      <c r="AT157" s="292" t="s">
        <v>377</v>
      </c>
      <c r="AU157" s="299" t="s">
        <v>32</v>
      </c>
      <c r="AV157" s="295" t="s">
        <v>32</v>
      </c>
      <c r="AW157" s="292" t="s">
        <v>377</v>
      </c>
      <c r="AX157" s="292" t="s">
        <v>377</v>
      </c>
      <c r="AY157" s="288" t="s">
        <v>377</v>
      </c>
      <c r="AZ157" s="292" t="s">
        <v>377</v>
      </c>
      <c r="BA157" s="292" t="s">
        <v>377</v>
      </c>
      <c r="BB157" s="295" t="s">
        <v>32</v>
      </c>
      <c r="BC157" s="296" t="s">
        <v>32</v>
      </c>
      <c r="BD157" s="292"/>
    </row>
    <row r="158" ht="12.75" customHeight="1">
      <c r="A158" s="293">
        <v>44797.918992997686</v>
      </c>
      <c r="B158" s="297" t="s">
        <v>375</v>
      </c>
      <c r="C158" s="298" t="s">
        <v>567</v>
      </c>
      <c r="D158" s="298" t="s">
        <v>16</v>
      </c>
      <c r="E158" s="285" t="s">
        <v>476</v>
      </c>
      <c r="F158" s="292" t="s">
        <v>725</v>
      </c>
      <c r="G158" s="298" t="s">
        <v>21</v>
      </c>
      <c r="H158" s="298">
        <v>11.0</v>
      </c>
      <c r="I158" s="292" t="s">
        <v>497</v>
      </c>
      <c r="J158" s="292" t="s">
        <v>498</v>
      </c>
      <c r="K158" s="287" t="s">
        <v>508</v>
      </c>
      <c r="L158" s="292" t="s">
        <v>479</v>
      </c>
      <c r="M158" s="292" t="s">
        <v>481</v>
      </c>
      <c r="N158" s="292"/>
      <c r="O158" s="292"/>
      <c r="P158" s="292"/>
      <c r="Q158" s="299" t="s">
        <v>32</v>
      </c>
      <c r="R158" s="292" t="s">
        <v>377</v>
      </c>
      <c r="S158" s="295" t="s">
        <v>32</v>
      </c>
      <c r="T158" s="292" t="s">
        <v>377</v>
      </c>
      <c r="U158" s="292" t="s">
        <v>377</v>
      </c>
      <c r="V158" s="288" t="s">
        <v>377</v>
      </c>
      <c r="W158" s="292" t="s">
        <v>377</v>
      </c>
      <c r="X158" s="292" t="s">
        <v>377</v>
      </c>
      <c r="Y158" s="288" t="s">
        <v>377</v>
      </c>
      <c r="Z158" s="292" t="s">
        <v>377</v>
      </c>
      <c r="AA158" s="292" t="s">
        <v>377</v>
      </c>
      <c r="AB158" s="288" t="s">
        <v>377</v>
      </c>
      <c r="AC158" s="289" t="s">
        <v>377</v>
      </c>
      <c r="AD158" s="292" t="s">
        <v>377</v>
      </c>
      <c r="AE158" s="299" t="s">
        <v>32</v>
      </c>
      <c r="AF158" s="295" t="s">
        <v>32</v>
      </c>
      <c r="AG158" s="292" t="s">
        <v>377</v>
      </c>
      <c r="AH158" s="292" t="s">
        <v>377</v>
      </c>
      <c r="AI158" s="288" t="s">
        <v>377</v>
      </c>
      <c r="AJ158" s="292" t="s">
        <v>377</v>
      </c>
      <c r="AK158" s="292" t="s">
        <v>377</v>
      </c>
      <c r="AL158" s="288" t="s">
        <v>377</v>
      </c>
      <c r="AM158" s="292" t="s">
        <v>18</v>
      </c>
      <c r="AN158" s="292" t="s">
        <v>18</v>
      </c>
      <c r="AO158" s="288" t="s">
        <v>18</v>
      </c>
      <c r="AP158" s="289" t="s">
        <v>377</v>
      </c>
      <c r="AQ158" s="299" t="s">
        <v>32</v>
      </c>
      <c r="AR158" s="299" t="s">
        <v>32</v>
      </c>
      <c r="AS158" s="295" t="s">
        <v>32</v>
      </c>
      <c r="AT158" s="292" t="s">
        <v>377</v>
      </c>
      <c r="AU158" s="292" t="s">
        <v>377</v>
      </c>
      <c r="AV158" s="288" t="s">
        <v>377</v>
      </c>
      <c r="AW158" s="299" t="s">
        <v>32</v>
      </c>
      <c r="AX158" s="299" t="s">
        <v>32</v>
      </c>
      <c r="AY158" s="295" t="s">
        <v>32</v>
      </c>
      <c r="AZ158" s="299" t="s">
        <v>32</v>
      </c>
      <c r="BA158" s="299" t="s">
        <v>32</v>
      </c>
      <c r="BB158" s="288" t="s">
        <v>18</v>
      </c>
      <c r="BC158" s="289" t="s">
        <v>18</v>
      </c>
      <c r="BD158" s="292"/>
    </row>
    <row r="159" ht="12.75" customHeight="1">
      <c r="A159" s="293">
        <v>44797.93131849537</v>
      </c>
      <c r="B159" s="297" t="s">
        <v>375</v>
      </c>
      <c r="C159" s="298" t="s">
        <v>567</v>
      </c>
      <c r="D159" s="298" t="s">
        <v>16</v>
      </c>
      <c r="E159" s="285" t="s">
        <v>476</v>
      </c>
      <c r="F159" s="292" t="s">
        <v>726</v>
      </c>
      <c r="G159" s="298" t="s">
        <v>21</v>
      </c>
      <c r="H159" s="298">
        <v>13.0</v>
      </c>
      <c r="I159" s="292" t="s">
        <v>497</v>
      </c>
      <c r="J159" s="292" t="s">
        <v>498</v>
      </c>
      <c r="K159" s="287" t="s">
        <v>508</v>
      </c>
      <c r="L159" s="292" t="s">
        <v>479</v>
      </c>
      <c r="M159" s="292" t="s">
        <v>481</v>
      </c>
      <c r="N159" s="292"/>
      <c r="O159" s="292"/>
      <c r="P159" s="292"/>
      <c r="Q159" s="299" t="s">
        <v>32</v>
      </c>
      <c r="R159" s="299" t="s">
        <v>32</v>
      </c>
      <c r="S159" s="295" t="s">
        <v>32</v>
      </c>
      <c r="T159" s="299" t="s">
        <v>32</v>
      </c>
      <c r="U159" s="292" t="s">
        <v>18</v>
      </c>
      <c r="V159" s="288" t="s">
        <v>377</v>
      </c>
      <c r="W159" s="292" t="s">
        <v>18</v>
      </c>
      <c r="X159" s="292" t="s">
        <v>18</v>
      </c>
      <c r="Y159" s="288" t="s">
        <v>18</v>
      </c>
      <c r="Z159" s="292" t="s">
        <v>18</v>
      </c>
      <c r="AA159" s="292" t="s">
        <v>18</v>
      </c>
      <c r="AB159" s="288" t="s">
        <v>18</v>
      </c>
      <c r="AC159" s="289" t="s">
        <v>377</v>
      </c>
      <c r="AD159" s="299" t="s">
        <v>32</v>
      </c>
      <c r="AE159" s="299" t="s">
        <v>32</v>
      </c>
      <c r="AF159" s="295" t="s">
        <v>32</v>
      </c>
      <c r="AG159" s="292" t="s">
        <v>18</v>
      </c>
      <c r="AH159" s="299" t="s">
        <v>32</v>
      </c>
      <c r="AI159" s="288" t="s">
        <v>377</v>
      </c>
      <c r="AJ159" s="292" t="s">
        <v>18</v>
      </c>
      <c r="AK159" s="292" t="s">
        <v>18</v>
      </c>
      <c r="AL159" s="288" t="s">
        <v>18</v>
      </c>
      <c r="AM159" s="292" t="s">
        <v>18</v>
      </c>
      <c r="AN159" s="292" t="s">
        <v>18</v>
      </c>
      <c r="AO159" s="288" t="s">
        <v>18</v>
      </c>
      <c r="AP159" s="289" t="s">
        <v>377</v>
      </c>
      <c r="AQ159" s="299" t="s">
        <v>32</v>
      </c>
      <c r="AR159" s="292" t="s">
        <v>18</v>
      </c>
      <c r="AS159" s="288" t="s">
        <v>377</v>
      </c>
      <c r="AT159" s="299" t="s">
        <v>32</v>
      </c>
      <c r="AU159" s="299" t="s">
        <v>32</v>
      </c>
      <c r="AV159" s="295" t="s">
        <v>32</v>
      </c>
      <c r="AW159" s="292" t="s">
        <v>377</v>
      </c>
      <c r="AX159" s="299" t="s">
        <v>32</v>
      </c>
      <c r="AY159" s="295" t="s">
        <v>32</v>
      </c>
      <c r="AZ159" s="292" t="s">
        <v>377</v>
      </c>
      <c r="BA159" s="299" t="s">
        <v>32</v>
      </c>
      <c r="BB159" s="295" t="s">
        <v>32</v>
      </c>
      <c r="BC159" s="296" t="s">
        <v>32</v>
      </c>
      <c r="BD159" s="292"/>
    </row>
    <row r="160" ht="12.75" customHeight="1">
      <c r="A160" s="293">
        <v>44798.04210490741</v>
      </c>
      <c r="B160" s="297" t="s">
        <v>375</v>
      </c>
      <c r="C160" s="298" t="s">
        <v>567</v>
      </c>
      <c r="D160" s="298" t="s">
        <v>16</v>
      </c>
      <c r="E160" s="285" t="s">
        <v>476</v>
      </c>
      <c r="F160" s="292" t="s">
        <v>727</v>
      </c>
      <c r="G160" s="298" t="s">
        <v>17</v>
      </c>
      <c r="H160" s="298">
        <v>12.0</v>
      </c>
      <c r="I160" s="292" t="s">
        <v>497</v>
      </c>
      <c r="J160" s="292" t="s">
        <v>498</v>
      </c>
      <c r="K160" s="287" t="s">
        <v>508</v>
      </c>
      <c r="L160" s="292" t="s">
        <v>479</v>
      </c>
      <c r="M160" s="292" t="s">
        <v>495</v>
      </c>
      <c r="N160" s="292"/>
      <c r="O160" s="292"/>
      <c r="P160" s="292"/>
      <c r="Q160" s="292" t="s">
        <v>377</v>
      </c>
      <c r="R160" s="299" t="s">
        <v>32</v>
      </c>
      <c r="S160" s="295" t="s">
        <v>32</v>
      </c>
      <c r="T160" s="292" t="s">
        <v>377</v>
      </c>
      <c r="U160" s="299" t="s">
        <v>32</v>
      </c>
      <c r="V160" s="295" t="s">
        <v>32</v>
      </c>
      <c r="W160" s="292" t="s">
        <v>18</v>
      </c>
      <c r="X160" s="299" t="s">
        <v>32</v>
      </c>
      <c r="Y160" s="288" t="s">
        <v>377</v>
      </c>
      <c r="Z160" s="292" t="s">
        <v>377</v>
      </c>
      <c r="AA160" s="292" t="s">
        <v>18</v>
      </c>
      <c r="AB160" s="288" t="s">
        <v>377</v>
      </c>
      <c r="AC160" s="289" t="s">
        <v>377</v>
      </c>
      <c r="AD160" s="299" t="s">
        <v>32</v>
      </c>
      <c r="AE160" s="292" t="s">
        <v>377</v>
      </c>
      <c r="AF160" s="295" t="s">
        <v>32</v>
      </c>
      <c r="AG160" s="292" t="s">
        <v>377</v>
      </c>
      <c r="AH160" s="292" t="s">
        <v>18</v>
      </c>
      <c r="AI160" s="288" t="s">
        <v>377</v>
      </c>
      <c r="AJ160" s="292" t="s">
        <v>18</v>
      </c>
      <c r="AK160" s="299" t="s">
        <v>32</v>
      </c>
      <c r="AL160" s="288" t="s">
        <v>377</v>
      </c>
      <c r="AM160" s="292" t="s">
        <v>18</v>
      </c>
      <c r="AN160" s="292" t="s">
        <v>18</v>
      </c>
      <c r="AO160" s="288" t="s">
        <v>18</v>
      </c>
      <c r="AP160" s="289" t="s">
        <v>377</v>
      </c>
      <c r="AQ160" s="299" t="s">
        <v>32</v>
      </c>
      <c r="AR160" s="292" t="s">
        <v>377</v>
      </c>
      <c r="AS160" s="295" t="s">
        <v>32</v>
      </c>
      <c r="AT160" s="299" t="s">
        <v>32</v>
      </c>
      <c r="AU160" s="299" t="s">
        <v>32</v>
      </c>
      <c r="AV160" s="295" t="s">
        <v>32</v>
      </c>
      <c r="AW160" s="292" t="s">
        <v>18</v>
      </c>
      <c r="AX160" s="292" t="s">
        <v>377</v>
      </c>
      <c r="AY160" s="288" t="s">
        <v>377</v>
      </c>
      <c r="AZ160" s="299" t="s">
        <v>32</v>
      </c>
      <c r="BA160" s="299" t="s">
        <v>32</v>
      </c>
      <c r="BB160" s="288" t="s">
        <v>18</v>
      </c>
      <c r="BC160" s="289" t="s">
        <v>18</v>
      </c>
      <c r="BD160" s="292"/>
    </row>
    <row r="161" ht="12.75" customHeight="1">
      <c r="A161" s="293">
        <v>44798.38894314815</v>
      </c>
      <c r="B161" s="297" t="s">
        <v>375</v>
      </c>
      <c r="C161" s="298" t="s">
        <v>567</v>
      </c>
      <c r="D161" s="298" t="s">
        <v>16</v>
      </c>
      <c r="E161" s="285" t="s">
        <v>476</v>
      </c>
      <c r="F161" s="292" t="s">
        <v>728</v>
      </c>
      <c r="G161" s="298" t="s">
        <v>21</v>
      </c>
      <c r="H161" s="298">
        <v>12.0</v>
      </c>
      <c r="I161" s="292" t="s">
        <v>497</v>
      </c>
      <c r="J161" s="292" t="s">
        <v>498</v>
      </c>
      <c r="K161" s="287" t="s">
        <v>508</v>
      </c>
      <c r="L161" s="292" t="s">
        <v>479</v>
      </c>
      <c r="M161" s="292" t="s">
        <v>481</v>
      </c>
      <c r="N161" s="292"/>
      <c r="O161" s="292"/>
      <c r="P161" s="292"/>
      <c r="Q161" s="299" t="s">
        <v>32</v>
      </c>
      <c r="R161" s="292" t="s">
        <v>377</v>
      </c>
      <c r="S161" s="295" t="s">
        <v>32</v>
      </c>
      <c r="T161" s="292" t="s">
        <v>377</v>
      </c>
      <c r="U161" s="299" t="s">
        <v>32</v>
      </c>
      <c r="V161" s="295" t="s">
        <v>32</v>
      </c>
      <c r="W161" s="292" t="s">
        <v>377</v>
      </c>
      <c r="X161" s="292" t="s">
        <v>377</v>
      </c>
      <c r="Y161" s="288" t="s">
        <v>377</v>
      </c>
      <c r="Z161" s="299" t="s">
        <v>32</v>
      </c>
      <c r="AA161" s="292" t="s">
        <v>377</v>
      </c>
      <c r="AB161" s="295" t="s">
        <v>32</v>
      </c>
      <c r="AC161" s="289" t="s">
        <v>377</v>
      </c>
      <c r="AD161" s="292" t="s">
        <v>377</v>
      </c>
      <c r="AE161" s="299" t="s">
        <v>32</v>
      </c>
      <c r="AF161" s="295" t="s">
        <v>32</v>
      </c>
      <c r="AG161" s="292" t="s">
        <v>377</v>
      </c>
      <c r="AH161" s="292" t="s">
        <v>377</v>
      </c>
      <c r="AI161" s="288" t="s">
        <v>377</v>
      </c>
      <c r="AJ161" s="299" t="s">
        <v>32</v>
      </c>
      <c r="AK161" s="292" t="s">
        <v>18</v>
      </c>
      <c r="AL161" s="288" t="s">
        <v>377</v>
      </c>
      <c r="AM161" s="292" t="s">
        <v>18</v>
      </c>
      <c r="AN161" s="292" t="s">
        <v>377</v>
      </c>
      <c r="AO161" s="288" t="s">
        <v>377</v>
      </c>
      <c r="AP161" s="289" t="s">
        <v>377</v>
      </c>
      <c r="AQ161" s="292" t="s">
        <v>377</v>
      </c>
      <c r="AR161" s="299" t="s">
        <v>32</v>
      </c>
      <c r="AS161" s="295" t="s">
        <v>32</v>
      </c>
      <c r="AT161" s="292" t="s">
        <v>18</v>
      </c>
      <c r="AU161" s="292" t="s">
        <v>18</v>
      </c>
      <c r="AV161" s="288" t="s">
        <v>18</v>
      </c>
      <c r="AW161" s="292" t="s">
        <v>377</v>
      </c>
      <c r="AX161" s="292" t="s">
        <v>377</v>
      </c>
      <c r="AY161" s="288" t="s">
        <v>377</v>
      </c>
      <c r="AZ161" s="299" t="s">
        <v>32</v>
      </c>
      <c r="BA161" s="292" t="s">
        <v>18</v>
      </c>
      <c r="BB161" s="288" t="s">
        <v>18</v>
      </c>
      <c r="BC161" s="289" t="s">
        <v>18</v>
      </c>
      <c r="BD161" s="292"/>
    </row>
    <row r="162" ht="12.75" customHeight="1">
      <c r="A162" s="293">
        <v>44798.39085765046</v>
      </c>
      <c r="B162" s="297" t="s">
        <v>375</v>
      </c>
      <c r="C162" s="298" t="s">
        <v>567</v>
      </c>
      <c r="D162" s="298" t="s">
        <v>16</v>
      </c>
      <c r="E162" s="285" t="s">
        <v>476</v>
      </c>
      <c r="F162" s="292" t="s">
        <v>729</v>
      </c>
      <c r="G162" s="298" t="s">
        <v>21</v>
      </c>
      <c r="H162" s="298">
        <v>12.0</v>
      </c>
      <c r="I162" s="292" t="s">
        <v>497</v>
      </c>
      <c r="J162" s="292" t="s">
        <v>498</v>
      </c>
      <c r="K162" s="287" t="s">
        <v>508</v>
      </c>
      <c r="L162" s="292" t="s">
        <v>479</v>
      </c>
      <c r="M162" s="292" t="s">
        <v>481</v>
      </c>
      <c r="N162" s="292"/>
      <c r="O162" s="292"/>
      <c r="P162" s="292"/>
      <c r="Q162" s="299" t="s">
        <v>32</v>
      </c>
      <c r="R162" s="299" t="s">
        <v>32</v>
      </c>
      <c r="S162" s="295" t="s">
        <v>32</v>
      </c>
      <c r="T162" s="299" t="s">
        <v>32</v>
      </c>
      <c r="U162" s="292" t="s">
        <v>377</v>
      </c>
      <c r="V162" s="295" t="s">
        <v>32</v>
      </c>
      <c r="W162" s="292" t="s">
        <v>377</v>
      </c>
      <c r="X162" s="292" t="s">
        <v>18</v>
      </c>
      <c r="Y162" s="288" t="s">
        <v>377</v>
      </c>
      <c r="Z162" s="299" t="s">
        <v>32</v>
      </c>
      <c r="AA162" s="292" t="s">
        <v>377</v>
      </c>
      <c r="AB162" s="295" t="s">
        <v>32</v>
      </c>
      <c r="AC162" s="289" t="s">
        <v>377</v>
      </c>
      <c r="AD162" s="292" t="s">
        <v>377</v>
      </c>
      <c r="AE162" s="292" t="s">
        <v>377</v>
      </c>
      <c r="AF162" s="288" t="s">
        <v>377</v>
      </c>
      <c r="AG162" s="299" t="s">
        <v>32</v>
      </c>
      <c r="AH162" s="292" t="s">
        <v>377</v>
      </c>
      <c r="AI162" s="295" t="s">
        <v>32</v>
      </c>
      <c r="AJ162" s="299" t="s">
        <v>32</v>
      </c>
      <c r="AK162" s="292" t="s">
        <v>377</v>
      </c>
      <c r="AL162" s="295" t="s">
        <v>32</v>
      </c>
      <c r="AM162" s="292" t="s">
        <v>18</v>
      </c>
      <c r="AN162" s="292" t="s">
        <v>377</v>
      </c>
      <c r="AO162" s="288" t="s">
        <v>377</v>
      </c>
      <c r="AP162" s="289" t="s">
        <v>377</v>
      </c>
      <c r="AQ162" s="299" t="s">
        <v>32</v>
      </c>
      <c r="AR162" s="299" t="s">
        <v>32</v>
      </c>
      <c r="AS162" s="295" t="s">
        <v>32</v>
      </c>
      <c r="AT162" s="299" t="s">
        <v>32</v>
      </c>
      <c r="AU162" s="299" t="s">
        <v>32</v>
      </c>
      <c r="AV162" s="295" t="s">
        <v>32</v>
      </c>
      <c r="AW162" s="292" t="s">
        <v>377</v>
      </c>
      <c r="AX162" s="299" t="s">
        <v>32</v>
      </c>
      <c r="AY162" s="295" t="s">
        <v>32</v>
      </c>
      <c r="AZ162" s="299" t="s">
        <v>32</v>
      </c>
      <c r="BA162" s="299" t="s">
        <v>32</v>
      </c>
      <c r="BB162" s="295" t="s">
        <v>32</v>
      </c>
      <c r="BC162" s="296" t="s">
        <v>32</v>
      </c>
      <c r="BD162" s="292"/>
    </row>
    <row r="163" ht="12.75" customHeight="1">
      <c r="A163" s="293">
        <v>44798.3963427662</v>
      </c>
      <c r="B163" s="297" t="s">
        <v>375</v>
      </c>
      <c r="C163" s="298" t="s">
        <v>567</v>
      </c>
      <c r="D163" s="298" t="s">
        <v>16</v>
      </c>
      <c r="E163" s="285" t="s">
        <v>476</v>
      </c>
      <c r="F163" s="292" t="s">
        <v>730</v>
      </c>
      <c r="G163" s="298" t="s">
        <v>17</v>
      </c>
      <c r="H163" s="298">
        <v>11.0</v>
      </c>
      <c r="I163" s="292" t="s">
        <v>497</v>
      </c>
      <c r="J163" s="292" t="s">
        <v>498</v>
      </c>
      <c r="K163" s="287" t="s">
        <v>508</v>
      </c>
      <c r="L163" s="292" t="s">
        <v>479</v>
      </c>
      <c r="M163" s="292" t="s">
        <v>495</v>
      </c>
      <c r="N163" s="292"/>
      <c r="O163" s="292"/>
      <c r="P163" s="292"/>
      <c r="Q163" s="299" t="s">
        <v>32</v>
      </c>
      <c r="R163" s="299" t="s">
        <v>32</v>
      </c>
      <c r="S163" s="295" t="s">
        <v>32</v>
      </c>
      <c r="T163" s="292" t="s">
        <v>377</v>
      </c>
      <c r="U163" s="299" t="s">
        <v>32</v>
      </c>
      <c r="V163" s="295" t="s">
        <v>32</v>
      </c>
      <c r="W163" s="292" t="s">
        <v>377</v>
      </c>
      <c r="X163" s="292" t="s">
        <v>377</v>
      </c>
      <c r="Y163" s="288" t="s">
        <v>377</v>
      </c>
      <c r="Z163" s="299" t="s">
        <v>32</v>
      </c>
      <c r="AA163" s="299" t="s">
        <v>32</v>
      </c>
      <c r="AB163" s="295" t="s">
        <v>32</v>
      </c>
      <c r="AC163" s="296" t="s">
        <v>32</v>
      </c>
      <c r="AD163" s="299" t="s">
        <v>32</v>
      </c>
      <c r="AE163" s="299" t="s">
        <v>32</v>
      </c>
      <c r="AF163" s="295" t="s">
        <v>32</v>
      </c>
      <c r="AG163" s="299" t="s">
        <v>32</v>
      </c>
      <c r="AH163" s="292" t="s">
        <v>377</v>
      </c>
      <c r="AI163" s="295" t="s">
        <v>32</v>
      </c>
      <c r="AJ163" s="299" t="s">
        <v>32</v>
      </c>
      <c r="AK163" s="292" t="s">
        <v>18</v>
      </c>
      <c r="AL163" s="288" t="s">
        <v>377</v>
      </c>
      <c r="AM163" s="292" t="s">
        <v>377</v>
      </c>
      <c r="AN163" s="292" t="s">
        <v>377</v>
      </c>
      <c r="AO163" s="288" t="s">
        <v>377</v>
      </c>
      <c r="AP163" s="289" t="s">
        <v>377</v>
      </c>
      <c r="AQ163" s="299" t="s">
        <v>32</v>
      </c>
      <c r="AR163" s="292" t="s">
        <v>377</v>
      </c>
      <c r="AS163" s="295" t="s">
        <v>32</v>
      </c>
      <c r="AT163" s="299" t="s">
        <v>32</v>
      </c>
      <c r="AU163" s="299" t="s">
        <v>32</v>
      </c>
      <c r="AV163" s="295" t="s">
        <v>32</v>
      </c>
      <c r="AW163" s="292" t="s">
        <v>377</v>
      </c>
      <c r="AX163" s="292" t="s">
        <v>377</v>
      </c>
      <c r="AY163" s="288" t="s">
        <v>377</v>
      </c>
      <c r="AZ163" s="299" t="s">
        <v>32</v>
      </c>
      <c r="BA163" s="292" t="s">
        <v>377</v>
      </c>
      <c r="BB163" s="295" t="s">
        <v>32</v>
      </c>
      <c r="BC163" s="296" t="s">
        <v>32</v>
      </c>
      <c r="BD163" s="292"/>
    </row>
    <row r="164" ht="12.75" customHeight="1">
      <c r="A164" s="293">
        <v>44798.398839988426</v>
      </c>
      <c r="B164" s="297" t="s">
        <v>375</v>
      </c>
      <c r="C164" s="298" t="s">
        <v>567</v>
      </c>
      <c r="D164" s="298" t="s">
        <v>16</v>
      </c>
      <c r="E164" s="285" t="s">
        <v>476</v>
      </c>
      <c r="F164" s="292" t="s">
        <v>731</v>
      </c>
      <c r="G164" s="298" t="s">
        <v>17</v>
      </c>
      <c r="H164" s="298">
        <v>11.0</v>
      </c>
      <c r="I164" s="292" t="s">
        <v>497</v>
      </c>
      <c r="J164" s="292" t="s">
        <v>498</v>
      </c>
      <c r="K164" s="287" t="s">
        <v>508</v>
      </c>
      <c r="L164" s="292" t="s">
        <v>479</v>
      </c>
      <c r="M164" s="292" t="s">
        <v>481</v>
      </c>
      <c r="N164" s="292"/>
      <c r="O164" s="292"/>
      <c r="P164" s="292"/>
      <c r="Q164" s="292" t="s">
        <v>377</v>
      </c>
      <c r="R164" s="299" t="s">
        <v>32</v>
      </c>
      <c r="S164" s="295" t="s">
        <v>32</v>
      </c>
      <c r="T164" s="292" t="s">
        <v>377</v>
      </c>
      <c r="U164" s="299" t="s">
        <v>32</v>
      </c>
      <c r="V164" s="295" t="s">
        <v>32</v>
      </c>
      <c r="W164" s="299" t="s">
        <v>32</v>
      </c>
      <c r="X164" s="299" t="s">
        <v>32</v>
      </c>
      <c r="Y164" s="295" t="s">
        <v>32</v>
      </c>
      <c r="Z164" s="292" t="s">
        <v>377</v>
      </c>
      <c r="AA164" s="299" t="s">
        <v>32</v>
      </c>
      <c r="AB164" s="295" t="s">
        <v>32</v>
      </c>
      <c r="AC164" s="296" t="s">
        <v>32</v>
      </c>
      <c r="AD164" s="299" t="s">
        <v>32</v>
      </c>
      <c r="AE164" s="299" t="s">
        <v>32</v>
      </c>
      <c r="AF164" s="295" t="s">
        <v>32</v>
      </c>
      <c r="AG164" s="292" t="s">
        <v>377</v>
      </c>
      <c r="AH164" s="292" t="s">
        <v>18</v>
      </c>
      <c r="AI164" s="288" t="s">
        <v>377</v>
      </c>
      <c r="AJ164" s="292" t="s">
        <v>18</v>
      </c>
      <c r="AK164" s="292" t="s">
        <v>377</v>
      </c>
      <c r="AL164" s="288" t="s">
        <v>377</v>
      </c>
      <c r="AM164" s="292" t="s">
        <v>18</v>
      </c>
      <c r="AN164" s="292" t="s">
        <v>377</v>
      </c>
      <c r="AO164" s="288" t="s">
        <v>377</v>
      </c>
      <c r="AP164" s="289" t="s">
        <v>377</v>
      </c>
      <c r="AQ164" s="292" t="s">
        <v>18</v>
      </c>
      <c r="AR164" s="292" t="s">
        <v>377</v>
      </c>
      <c r="AS164" s="288" t="s">
        <v>377</v>
      </c>
      <c r="AT164" s="292" t="s">
        <v>377</v>
      </c>
      <c r="AU164" s="292" t="s">
        <v>18</v>
      </c>
      <c r="AV164" s="288" t="s">
        <v>377</v>
      </c>
      <c r="AW164" s="292" t="s">
        <v>18</v>
      </c>
      <c r="AX164" s="292" t="s">
        <v>377</v>
      </c>
      <c r="AY164" s="288" t="s">
        <v>377</v>
      </c>
      <c r="AZ164" s="292" t="s">
        <v>18</v>
      </c>
      <c r="BA164" s="292" t="s">
        <v>18</v>
      </c>
      <c r="BB164" s="288" t="s">
        <v>377</v>
      </c>
      <c r="BC164" s="289" t="s">
        <v>377</v>
      </c>
      <c r="BD164" s="292"/>
    </row>
    <row r="165" ht="12.75" customHeight="1">
      <c r="A165" s="293">
        <v>44798.42342391204</v>
      </c>
      <c r="B165" s="297" t="s">
        <v>375</v>
      </c>
      <c r="C165" s="298" t="s">
        <v>567</v>
      </c>
      <c r="D165" s="298" t="s">
        <v>16</v>
      </c>
      <c r="E165" s="285" t="s">
        <v>476</v>
      </c>
      <c r="F165" s="292" t="s">
        <v>501</v>
      </c>
      <c r="G165" s="298" t="s">
        <v>17</v>
      </c>
      <c r="H165" s="298">
        <v>11.0</v>
      </c>
      <c r="I165" s="292" t="s">
        <v>497</v>
      </c>
      <c r="J165" s="292" t="s">
        <v>498</v>
      </c>
      <c r="K165" s="287" t="s">
        <v>508</v>
      </c>
      <c r="L165" s="292" t="s">
        <v>479</v>
      </c>
      <c r="M165" s="292" t="s">
        <v>481</v>
      </c>
      <c r="N165" s="292"/>
      <c r="O165" s="292"/>
      <c r="P165" s="292"/>
      <c r="Q165" s="292" t="s">
        <v>377</v>
      </c>
      <c r="R165" s="292" t="s">
        <v>377</v>
      </c>
      <c r="S165" s="288" t="s">
        <v>377</v>
      </c>
      <c r="T165" s="292" t="s">
        <v>18</v>
      </c>
      <c r="U165" s="299" t="s">
        <v>32</v>
      </c>
      <c r="V165" s="288" t="s">
        <v>377</v>
      </c>
      <c r="W165" s="292" t="s">
        <v>18</v>
      </c>
      <c r="X165" s="292" t="s">
        <v>18</v>
      </c>
      <c r="Y165" s="288" t="s">
        <v>18</v>
      </c>
      <c r="Z165" s="292" t="s">
        <v>377</v>
      </c>
      <c r="AA165" s="292" t="s">
        <v>18</v>
      </c>
      <c r="AB165" s="288" t="s">
        <v>377</v>
      </c>
      <c r="AC165" s="289" t="s">
        <v>377</v>
      </c>
      <c r="AD165" s="292" t="s">
        <v>377</v>
      </c>
      <c r="AE165" s="299" t="s">
        <v>32</v>
      </c>
      <c r="AF165" s="295" t="s">
        <v>32</v>
      </c>
      <c r="AG165" s="292" t="s">
        <v>377</v>
      </c>
      <c r="AH165" s="292" t="s">
        <v>377</v>
      </c>
      <c r="AI165" s="288" t="s">
        <v>377</v>
      </c>
      <c r="AJ165" s="292" t="s">
        <v>377</v>
      </c>
      <c r="AK165" s="292" t="s">
        <v>377</v>
      </c>
      <c r="AL165" s="288" t="s">
        <v>377</v>
      </c>
      <c r="AM165" s="292" t="s">
        <v>18</v>
      </c>
      <c r="AN165" s="292" t="s">
        <v>18</v>
      </c>
      <c r="AO165" s="288" t="s">
        <v>18</v>
      </c>
      <c r="AP165" s="289" t="s">
        <v>377</v>
      </c>
      <c r="AQ165" s="299" t="s">
        <v>32</v>
      </c>
      <c r="AR165" s="299" t="s">
        <v>32</v>
      </c>
      <c r="AS165" s="295" t="s">
        <v>32</v>
      </c>
      <c r="AT165" s="299" t="s">
        <v>32</v>
      </c>
      <c r="AU165" s="299" t="s">
        <v>32</v>
      </c>
      <c r="AV165" s="295" t="s">
        <v>32</v>
      </c>
      <c r="AW165" s="292" t="s">
        <v>377</v>
      </c>
      <c r="AX165" s="292" t="s">
        <v>377</v>
      </c>
      <c r="AY165" s="288" t="s">
        <v>377</v>
      </c>
      <c r="AZ165" s="292" t="s">
        <v>377</v>
      </c>
      <c r="BA165" s="299" t="s">
        <v>32</v>
      </c>
      <c r="BB165" s="288" t="s">
        <v>377</v>
      </c>
      <c r="BC165" s="296" t="s">
        <v>32</v>
      </c>
      <c r="BD165" s="292"/>
    </row>
    <row r="166" ht="12.75" customHeight="1">
      <c r="A166" s="293">
        <v>44798.442969490745</v>
      </c>
      <c r="B166" s="297" t="s">
        <v>375</v>
      </c>
      <c r="C166" s="298" t="s">
        <v>567</v>
      </c>
      <c r="D166" s="298" t="s">
        <v>16</v>
      </c>
      <c r="E166" s="285" t="s">
        <v>476</v>
      </c>
      <c r="F166" s="292" t="s">
        <v>502</v>
      </c>
      <c r="G166" s="298" t="s">
        <v>21</v>
      </c>
      <c r="H166" s="298">
        <v>11.0</v>
      </c>
      <c r="I166" s="292" t="s">
        <v>497</v>
      </c>
      <c r="J166" s="292" t="s">
        <v>498</v>
      </c>
      <c r="K166" s="287" t="s">
        <v>508</v>
      </c>
      <c r="L166" s="292" t="s">
        <v>479</v>
      </c>
      <c r="M166" s="292" t="s">
        <v>483</v>
      </c>
      <c r="N166" s="292"/>
      <c r="O166" s="292"/>
      <c r="P166" s="292"/>
      <c r="Q166" s="299" t="s">
        <v>32</v>
      </c>
      <c r="R166" s="292" t="s">
        <v>18</v>
      </c>
      <c r="S166" s="288" t="s">
        <v>377</v>
      </c>
      <c r="T166" s="292" t="s">
        <v>18</v>
      </c>
      <c r="U166" s="299" t="s">
        <v>32</v>
      </c>
      <c r="V166" s="288" t="s">
        <v>377</v>
      </c>
      <c r="W166" s="292" t="s">
        <v>377</v>
      </c>
      <c r="X166" s="299" t="s">
        <v>32</v>
      </c>
      <c r="Y166" s="295" t="s">
        <v>32</v>
      </c>
      <c r="Z166" s="292" t="s">
        <v>18</v>
      </c>
      <c r="AA166" s="299" t="s">
        <v>32</v>
      </c>
      <c r="AB166" s="288" t="s">
        <v>377</v>
      </c>
      <c r="AC166" s="289" t="s">
        <v>377</v>
      </c>
      <c r="AD166" s="292" t="s">
        <v>377</v>
      </c>
      <c r="AE166" s="299" t="s">
        <v>32</v>
      </c>
      <c r="AF166" s="295" t="s">
        <v>32</v>
      </c>
      <c r="AG166" s="299" t="s">
        <v>32</v>
      </c>
      <c r="AH166" s="292" t="s">
        <v>18</v>
      </c>
      <c r="AI166" s="288" t="s">
        <v>377</v>
      </c>
      <c r="AJ166" s="292" t="s">
        <v>18</v>
      </c>
      <c r="AK166" s="299" t="s">
        <v>32</v>
      </c>
      <c r="AL166" s="288" t="s">
        <v>377</v>
      </c>
      <c r="AM166" s="299" t="s">
        <v>32</v>
      </c>
      <c r="AN166" s="292" t="s">
        <v>377</v>
      </c>
      <c r="AO166" s="295" t="s">
        <v>32</v>
      </c>
      <c r="AP166" s="289" t="s">
        <v>377</v>
      </c>
      <c r="AQ166" s="299" t="s">
        <v>32</v>
      </c>
      <c r="AR166" s="299" t="s">
        <v>32</v>
      </c>
      <c r="AS166" s="295" t="s">
        <v>32</v>
      </c>
      <c r="AT166" s="292" t="s">
        <v>377</v>
      </c>
      <c r="AU166" s="299" t="s">
        <v>32</v>
      </c>
      <c r="AV166" s="295" t="s">
        <v>32</v>
      </c>
      <c r="AW166" s="292" t="s">
        <v>377</v>
      </c>
      <c r="AX166" s="299" t="s">
        <v>32</v>
      </c>
      <c r="AY166" s="295" t="s">
        <v>32</v>
      </c>
      <c r="AZ166" s="299" t="s">
        <v>32</v>
      </c>
      <c r="BA166" s="292" t="s">
        <v>377</v>
      </c>
      <c r="BB166" s="295" t="s">
        <v>32</v>
      </c>
      <c r="BC166" s="296" t="s">
        <v>32</v>
      </c>
      <c r="BD166" s="292"/>
    </row>
    <row r="167" ht="12.75" customHeight="1">
      <c r="A167" s="293">
        <v>44798.445070092595</v>
      </c>
      <c r="B167" s="297" t="s">
        <v>375</v>
      </c>
      <c r="C167" s="298" t="s">
        <v>567</v>
      </c>
      <c r="D167" s="298" t="s">
        <v>16</v>
      </c>
      <c r="E167" s="285" t="s">
        <v>476</v>
      </c>
      <c r="F167" s="292" t="s">
        <v>732</v>
      </c>
      <c r="G167" s="298" t="s">
        <v>21</v>
      </c>
      <c r="H167" s="298">
        <v>12.0</v>
      </c>
      <c r="I167" s="292" t="s">
        <v>497</v>
      </c>
      <c r="J167" s="292" t="s">
        <v>498</v>
      </c>
      <c r="K167" s="287" t="s">
        <v>508</v>
      </c>
      <c r="L167" s="292" t="s">
        <v>479</v>
      </c>
      <c r="M167" s="292" t="s">
        <v>481</v>
      </c>
      <c r="N167" s="292"/>
      <c r="O167" s="292"/>
      <c r="P167" s="292"/>
      <c r="Q167" s="299" t="s">
        <v>32</v>
      </c>
      <c r="R167" s="299" t="s">
        <v>32</v>
      </c>
      <c r="S167" s="295" t="s">
        <v>32</v>
      </c>
      <c r="T167" s="292" t="s">
        <v>18</v>
      </c>
      <c r="U167" s="299" t="s">
        <v>32</v>
      </c>
      <c r="V167" s="288" t="s">
        <v>377</v>
      </c>
      <c r="W167" s="292" t="s">
        <v>377</v>
      </c>
      <c r="X167" s="292" t="s">
        <v>377</v>
      </c>
      <c r="Y167" s="288" t="s">
        <v>377</v>
      </c>
      <c r="Z167" s="292" t="s">
        <v>377</v>
      </c>
      <c r="AA167" s="299" t="s">
        <v>32</v>
      </c>
      <c r="AB167" s="295" t="s">
        <v>32</v>
      </c>
      <c r="AC167" s="289" t="s">
        <v>377</v>
      </c>
      <c r="AD167" s="292" t="s">
        <v>377</v>
      </c>
      <c r="AE167" s="292" t="s">
        <v>377</v>
      </c>
      <c r="AF167" s="288" t="s">
        <v>377</v>
      </c>
      <c r="AG167" s="292" t="s">
        <v>377</v>
      </c>
      <c r="AH167" s="292" t="s">
        <v>377</v>
      </c>
      <c r="AI167" s="288" t="s">
        <v>377</v>
      </c>
      <c r="AJ167" s="292" t="s">
        <v>377</v>
      </c>
      <c r="AK167" s="292" t="s">
        <v>377</v>
      </c>
      <c r="AL167" s="288" t="s">
        <v>377</v>
      </c>
      <c r="AM167" s="299" t="s">
        <v>32</v>
      </c>
      <c r="AN167" s="292" t="s">
        <v>377</v>
      </c>
      <c r="AO167" s="295" t="s">
        <v>32</v>
      </c>
      <c r="AP167" s="289" t="s">
        <v>377</v>
      </c>
      <c r="AQ167" s="299" t="s">
        <v>32</v>
      </c>
      <c r="AR167" s="299" t="s">
        <v>32</v>
      </c>
      <c r="AS167" s="295" t="s">
        <v>32</v>
      </c>
      <c r="AT167" s="299" t="s">
        <v>32</v>
      </c>
      <c r="AU167" s="299" t="s">
        <v>32</v>
      </c>
      <c r="AV167" s="295" t="s">
        <v>32</v>
      </c>
      <c r="AW167" s="299" t="s">
        <v>32</v>
      </c>
      <c r="AX167" s="299" t="s">
        <v>32</v>
      </c>
      <c r="AY167" s="295" t="s">
        <v>32</v>
      </c>
      <c r="AZ167" s="299" t="s">
        <v>32</v>
      </c>
      <c r="BA167" s="299" t="s">
        <v>32</v>
      </c>
      <c r="BB167" s="295" t="s">
        <v>32</v>
      </c>
      <c r="BC167" s="296" t="s">
        <v>32</v>
      </c>
      <c r="BD167" s="292"/>
    </row>
    <row r="168" ht="12.75" customHeight="1">
      <c r="A168" s="293">
        <v>44798.44971858796</v>
      </c>
      <c r="B168" s="297" t="s">
        <v>375</v>
      </c>
      <c r="C168" s="298" t="s">
        <v>567</v>
      </c>
      <c r="D168" s="298" t="s">
        <v>16</v>
      </c>
      <c r="E168" s="285" t="s">
        <v>476</v>
      </c>
      <c r="F168" s="292" t="s">
        <v>733</v>
      </c>
      <c r="G168" s="298" t="s">
        <v>21</v>
      </c>
      <c r="H168" s="298">
        <v>12.0</v>
      </c>
      <c r="I168" s="292" t="s">
        <v>497</v>
      </c>
      <c r="J168" s="292" t="s">
        <v>498</v>
      </c>
      <c r="K168" s="287" t="s">
        <v>508</v>
      </c>
      <c r="L168" s="292" t="s">
        <v>479</v>
      </c>
      <c r="M168" s="292" t="s">
        <v>495</v>
      </c>
      <c r="N168" s="292"/>
      <c r="O168" s="292"/>
      <c r="P168" s="292"/>
      <c r="Q168" s="292" t="s">
        <v>377</v>
      </c>
      <c r="R168" s="299" t="s">
        <v>32</v>
      </c>
      <c r="S168" s="295" t="s">
        <v>32</v>
      </c>
      <c r="T168" s="292" t="s">
        <v>377</v>
      </c>
      <c r="U168" s="299" t="s">
        <v>32</v>
      </c>
      <c r="V168" s="295" t="s">
        <v>32</v>
      </c>
      <c r="W168" s="292" t="s">
        <v>377</v>
      </c>
      <c r="X168" s="299" t="s">
        <v>32</v>
      </c>
      <c r="Y168" s="295" t="s">
        <v>32</v>
      </c>
      <c r="Z168" s="292" t="s">
        <v>377</v>
      </c>
      <c r="AA168" s="292" t="s">
        <v>377</v>
      </c>
      <c r="AB168" s="288" t="s">
        <v>377</v>
      </c>
      <c r="AC168" s="289" t="s">
        <v>377</v>
      </c>
      <c r="AD168" s="299" t="s">
        <v>32</v>
      </c>
      <c r="AE168" s="299" t="s">
        <v>32</v>
      </c>
      <c r="AF168" s="295" t="s">
        <v>32</v>
      </c>
      <c r="AG168" s="292" t="s">
        <v>377</v>
      </c>
      <c r="AH168" s="292" t="s">
        <v>18</v>
      </c>
      <c r="AI168" s="288" t="s">
        <v>377</v>
      </c>
      <c r="AJ168" s="299" t="s">
        <v>32</v>
      </c>
      <c r="AK168" s="292" t="s">
        <v>18</v>
      </c>
      <c r="AL168" s="288" t="s">
        <v>377</v>
      </c>
      <c r="AM168" s="292" t="s">
        <v>377</v>
      </c>
      <c r="AN168" s="292" t="s">
        <v>18</v>
      </c>
      <c r="AO168" s="288" t="s">
        <v>377</v>
      </c>
      <c r="AP168" s="289" t="s">
        <v>377</v>
      </c>
      <c r="AQ168" s="292" t="s">
        <v>18</v>
      </c>
      <c r="AR168" s="299" t="s">
        <v>32</v>
      </c>
      <c r="AS168" s="288" t="s">
        <v>377</v>
      </c>
      <c r="AT168" s="299" t="s">
        <v>32</v>
      </c>
      <c r="AU168" s="292" t="s">
        <v>377</v>
      </c>
      <c r="AV168" s="295" t="s">
        <v>32</v>
      </c>
      <c r="AW168" s="292" t="s">
        <v>18</v>
      </c>
      <c r="AX168" s="292" t="s">
        <v>18</v>
      </c>
      <c r="AY168" s="288" t="s">
        <v>18</v>
      </c>
      <c r="AZ168" s="299" t="s">
        <v>32</v>
      </c>
      <c r="BA168" s="292" t="s">
        <v>18</v>
      </c>
      <c r="BB168" s="295" t="s">
        <v>32</v>
      </c>
      <c r="BC168" s="296" t="s">
        <v>32</v>
      </c>
      <c r="BD168" s="292"/>
    </row>
    <row r="169" ht="12.75" customHeight="1">
      <c r="A169" s="293">
        <v>45264.71431267361</v>
      </c>
      <c r="B169" s="286" t="s">
        <v>486</v>
      </c>
      <c r="C169" s="287" t="s">
        <v>559</v>
      </c>
      <c r="D169" s="285" t="s">
        <v>16</v>
      </c>
      <c r="E169" s="285" t="s">
        <v>476</v>
      </c>
      <c r="F169" s="287" t="s">
        <v>734</v>
      </c>
      <c r="G169" s="285" t="s">
        <v>21</v>
      </c>
      <c r="H169" s="285">
        <v>12.0</v>
      </c>
      <c r="I169" s="287" t="s">
        <v>497</v>
      </c>
      <c r="J169" s="292"/>
      <c r="K169" s="287" t="s">
        <v>508</v>
      </c>
      <c r="L169" s="287" t="s">
        <v>497</v>
      </c>
      <c r="M169" s="292"/>
      <c r="N169" s="292"/>
      <c r="O169" s="292"/>
      <c r="P169" s="292"/>
      <c r="Q169" s="287" t="s">
        <v>377</v>
      </c>
      <c r="R169" s="294" t="s">
        <v>32</v>
      </c>
      <c r="S169" s="295" t="s">
        <v>32</v>
      </c>
      <c r="T169" s="294" t="s">
        <v>32</v>
      </c>
      <c r="U169" s="294" t="s">
        <v>32</v>
      </c>
      <c r="V169" s="295" t="s">
        <v>32</v>
      </c>
      <c r="W169" s="287" t="s">
        <v>18</v>
      </c>
      <c r="X169" s="287" t="s">
        <v>18</v>
      </c>
      <c r="Y169" s="288" t="s">
        <v>18</v>
      </c>
      <c r="Z169" s="287" t="s">
        <v>377</v>
      </c>
      <c r="AA169" s="287" t="s">
        <v>18</v>
      </c>
      <c r="AB169" s="288" t="s">
        <v>377</v>
      </c>
      <c r="AC169" s="289" t="s">
        <v>377</v>
      </c>
      <c r="AD169" s="287" t="s">
        <v>377</v>
      </c>
      <c r="AE169" s="287" t="s">
        <v>377</v>
      </c>
      <c r="AF169" s="288" t="s">
        <v>377</v>
      </c>
      <c r="AG169" s="287" t="s">
        <v>377</v>
      </c>
      <c r="AH169" s="287" t="s">
        <v>18</v>
      </c>
      <c r="AI169" s="288" t="s">
        <v>377</v>
      </c>
      <c r="AJ169" s="287" t="s">
        <v>18</v>
      </c>
      <c r="AK169" s="287" t="s">
        <v>18</v>
      </c>
      <c r="AL169" s="288" t="s">
        <v>18</v>
      </c>
      <c r="AM169" s="287" t="s">
        <v>18</v>
      </c>
      <c r="AN169" s="287" t="s">
        <v>18</v>
      </c>
      <c r="AO169" s="288" t="s">
        <v>18</v>
      </c>
      <c r="AP169" s="289" t="s">
        <v>18</v>
      </c>
      <c r="AQ169" s="287" t="s">
        <v>18</v>
      </c>
      <c r="AR169" s="294" t="s">
        <v>32</v>
      </c>
      <c r="AS169" s="288" t="s">
        <v>377</v>
      </c>
      <c r="AT169" s="287" t="s">
        <v>18</v>
      </c>
      <c r="AU169" s="287" t="s">
        <v>18</v>
      </c>
      <c r="AV169" s="288" t="s">
        <v>18</v>
      </c>
      <c r="AW169" s="287" t="s">
        <v>18</v>
      </c>
      <c r="AX169" s="287" t="s">
        <v>18</v>
      </c>
      <c r="AY169" s="288" t="s">
        <v>18</v>
      </c>
      <c r="AZ169" s="287" t="s">
        <v>18</v>
      </c>
      <c r="BA169" s="294" t="s">
        <v>32</v>
      </c>
      <c r="BB169" s="295" t="s">
        <v>32</v>
      </c>
      <c r="BC169" s="289" t="s">
        <v>377</v>
      </c>
      <c r="BD169" s="292"/>
    </row>
    <row r="170" ht="12.75" customHeight="1">
      <c r="A170" s="293">
        <v>45264.7180454051</v>
      </c>
      <c r="B170" s="286" t="s">
        <v>486</v>
      </c>
      <c r="C170" s="287" t="s">
        <v>559</v>
      </c>
      <c r="D170" s="285" t="s">
        <v>16</v>
      </c>
      <c r="E170" s="285" t="s">
        <v>476</v>
      </c>
      <c r="F170" s="287" t="s">
        <v>735</v>
      </c>
      <c r="G170" s="285" t="s">
        <v>21</v>
      </c>
      <c r="H170" s="285">
        <v>13.0</v>
      </c>
      <c r="I170" s="287" t="s">
        <v>497</v>
      </c>
      <c r="J170" s="292"/>
      <c r="K170" s="287" t="s">
        <v>508</v>
      </c>
      <c r="L170" s="287" t="s">
        <v>497</v>
      </c>
      <c r="M170" s="292"/>
      <c r="N170" s="292"/>
      <c r="O170" s="292"/>
      <c r="P170" s="292"/>
      <c r="Q170" s="287" t="s">
        <v>377</v>
      </c>
      <c r="R170" s="294" t="s">
        <v>32</v>
      </c>
      <c r="S170" s="295" t="s">
        <v>32</v>
      </c>
      <c r="T170" s="294" t="s">
        <v>32</v>
      </c>
      <c r="U170" s="294" t="s">
        <v>32</v>
      </c>
      <c r="V170" s="295" t="s">
        <v>32</v>
      </c>
      <c r="W170" s="287" t="s">
        <v>18</v>
      </c>
      <c r="X170" s="287" t="s">
        <v>18</v>
      </c>
      <c r="Y170" s="288" t="s">
        <v>18</v>
      </c>
      <c r="Z170" s="294" t="s">
        <v>32</v>
      </c>
      <c r="AA170" s="287" t="s">
        <v>18</v>
      </c>
      <c r="AB170" s="288" t="s">
        <v>377</v>
      </c>
      <c r="AC170" s="289" t="s">
        <v>377</v>
      </c>
      <c r="AD170" s="294" t="s">
        <v>32</v>
      </c>
      <c r="AE170" s="294" t="s">
        <v>32</v>
      </c>
      <c r="AF170" s="295" t="s">
        <v>32</v>
      </c>
      <c r="AG170" s="287" t="s">
        <v>18</v>
      </c>
      <c r="AH170" s="287" t="s">
        <v>18</v>
      </c>
      <c r="AI170" s="288" t="s">
        <v>18</v>
      </c>
      <c r="AJ170" s="287" t="s">
        <v>18</v>
      </c>
      <c r="AK170" s="287" t="s">
        <v>18</v>
      </c>
      <c r="AL170" s="288" t="s">
        <v>18</v>
      </c>
      <c r="AM170" s="287" t="s">
        <v>18</v>
      </c>
      <c r="AN170" s="287" t="s">
        <v>18</v>
      </c>
      <c r="AO170" s="288" t="s">
        <v>18</v>
      </c>
      <c r="AP170" s="289" t="s">
        <v>377</v>
      </c>
      <c r="AQ170" s="287" t="s">
        <v>18</v>
      </c>
      <c r="AR170" s="294" t="s">
        <v>32</v>
      </c>
      <c r="AS170" s="288" t="s">
        <v>377</v>
      </c>
      <c r="AT170" s="287" t="s">
        <v>18</v>
      </c>
      <c r="AU170" s="287" t="s">
        <v>18</v>
      </c>
      <c r="AV170" s="288" t="s">
        <v>18</v>
      </c>
      <c r="AW170" s="287" t="s">
        <v>18</v>
      </c>
      <c r="AX170" s="287" t="s">
        <v>18</v>
      </c>
      <c r="AY170" s="288" t="s">
        <v>18</v>
      </c>
      <c r="AZ170" s="287" t="s">
        <v>18</v>
      </c>
      <c r="BA170" s="294" t="s">
        <v>32</v>
      </c>
      <c r="BB170" s="288" t="s">
        <v>18</v>
      </c>
      <c r="BC170" s="289" t="s">
        <v>377</v>
      </c>
      <c r="BD170" s="292"/>
    </row>
    <row r="171" ht="12.75" customHeight="1">
      <c r="A171" s="293">
        <v>45264.722386724534</v>
      </c>
      <c r="B171" s="286" t="s">
        <v>486</v>
      </c>
      <c r="C171" s="287" t="s">
        <v>559</v>
      </c>
      <c r="D171" s="285" t="s">
        <v>16</v>
      </c>
      <c r="E171" s="285" t="s">
        <v>476</v>
      </c>
      <c r="F171" s="287" t="s">
        <v>736</v>
      </c>
      <c r="G171" s="285" t="s">
        <v>21</v>
      </c>
      <c r="H171" s="285">
        <v>11.0</v>
      </c>
      <c r="I171" s="287" t="s">
        <v>497</v>
      </c>
      <c r="J171" s="292"/>
      <c r="K171" s="287" t="s">
        <v>508</v>
      </c>
      <c r="L171" s="287" t="s">
        <v>497</v>
      </c>
      <c r="M171" s="292"/>
      <c r="N171" s="292"/>
      <c r="O171" s="292"/>
      <c r="P171" s="292"/>
      <c r="Q171" s="287" t="s">
        <v>18</v>
      </c>
      <c r="R171" s="294" t="s">
        <v>32</v>
      </c>
      <c r="S171" s="288" t="s">
        <v>377</v>
      </c>
      <c r="T171" s="294" t="s">
        <v>32</v>
      </c>
      <c r="U171" s="294" t="s">
        <v>32</v>
      </c>
      <c r="V171" s="295" t="s">
        <v>32</v>
      </c>
      <c r="W171" s="287" t="s">
        <v>18</v>
      </c>
      <c r="X171" s="287" t="s">
        <v>18</v>
      </c>
      <c r="Y171" s="288" t="s">
        <v>18</v>
      </c>
      <c r="Z171" s="287" t="s">
        <v>18</v>
      </c>
      <c r="AA171" s="294" t="s">
        <v>32</v>
      </c>
      <c r="AB171" s="288" t="s">
        <v>377</v>
      </c>
      <c r="AC171" s="289" t="s">
        <v>377</v>
      </c>
      <c r="AD171" s="287" t="s">
        <v>18</v>
      </c>
      <c r="AE171" s="294" t="s">
        <v>32</v>
      </c>
      <c r="AF171" s="288" t="s">
        <v>377</v>
      </c>
      <c r="AG171" s="287" t="s">
        <v>18</v>
      </c>
      <c r="AH171" s="287" t="s">
        <v>377</v>
      </c>
      <c r="AI171" s="288" t="s">
        <v>377</v>
      </c>
      <c r="AJ171" s="287" t="s">
        <v>18</v>
      </c>
      <c r="AK171" s="294" t="s">
        <v>32</v>
      </c>
      <c r="AL171" s="288" t="s">
        <v>377</v>
      </c>
      <c r="AM171" s="294" t="s">
        <v>32</v>
      </c>
      <c r="AN171" s="294" t="s">
        <v>32</v>
      </c>
      <c r="AO171" s="295" t="s">
        <v>32</v>
      </c>
      <c r="AP171" s="289" t="s">
        <v>377</v>
      </c>
      <c r="AQ171" s="287" t="s">
        <v>18</v>
      </c>
      <c r="AR171" s="294" t="s">
        <v>32</v>
      </c>
      <c r="AS171" s="288" t="s">
        <v>377</v>
      </c>
      <c r="AT171" s="287" t="s">
        <v>377</v>
      </c>
      <c r="AU171" s="287" t="s">
        <v>18</v>
      </c>
      <c r="AV171" s="288" t="s">
        <v>377</v>
      </c>
      <c r="AW171" s="287" t="s">
        <v>18</v>
      </c>
      <c r="AX171" s="287" t="s">
        <v>377</v>
      </c>
      <c r="AY171" s="288" t="s">
        <v>377</v>
      </c>
      <c r="AZ171" s="287" t="s">
        <v>18</v>
      </c>
      <c r="BA171" s="294" t="s">
        <v>32</v>
      </c>
      <c r="BB171" s="295" t="s">
        <v>32</v>
      </c>
      <c r="BC171" s="296" t="s">
        <v>32</v>
      </c>
      <c r="BD171" s="292"/>
    </row>
    <row r="172" ht="12.75" customHeight="1">
      <c r="A172" s="293">
        <v>45264.75907490741</v>
      </c>
      <c r="B172" s="286" t="s">
        <v>486</v>
      </c>
      <c r="C172" s="287" t="s">
        <v>559</v>
      </c>
      <c r="D172" s="285" t="s">
        <v>16</v>
      </c>
      <c r="E172" s="285" t="s">
        <v>476</v>
      </c>
      <c r="F172" s="287" t="s">
        <v>737</v>
      </c>
      <c r="G172" s="285" t="s">
        <v>21</v>
      </c>
      <c r="H172" s="285">
        <v>14.0</v>
      </c>
      <c r="I172" s="287" t="s">
        <v>497</v>
      </c>
      <c r="J172" s="292"/>
      <c r="K172" s="287" t="s">
        <v>508</v>
      </c>
      <c r="L172" s="287" t="s">
        <v>497</v>
      </c>
      <c r="M172" s="292"/>
      <c r="N172" s="292"/>
      <c r="O172" s="292"/>
      <c r="P172" s="292"/>
      <c r="Q172" s="287" t="s">
        <v>18</v>
      </c>
      <c r="R172" s="287" t="s">
        <v>377</v>
      </c>
      <c r="S172" s="288" t="s">
        <v>377</v>
      </c>
      <c r="T172" s="294" t="s">
        <v>32</v>
      </c>
      <c r="U172" s="294" t="s">
        <v>32</v>
      </c>
      <c r="V172" s="295" t="s">
        <v>32</v>
      </c>
      <c r="W172" s="294" t="s">
        <v>32</v>
      </c>
      <c r="X172" s="287" t="s">
        <v>377</v>
      </c>
      <c r="Y172" s="295" t="s">
        <v>32</v>
      </c>
      <c r="Z172" s="287" t="s">
        <v>18</v>
      </c>
      <c r="AA172" s="287" t="s">
        <v>377</v>
      </c>
      <c r="AB172" s="288" t="s">
        <v>377</v>
      </c>
      <c r="AC172" s="289" t="s">
        <v>377</v>
      </c>
      <c r="AD172" s="287" t="s">
        <v>377</v>
      </c>
      <c r="AE172" s="287" t="s">
        <v>18</v>
      </c>
      <c r="AF172" s="288" t="s">
        <v>377</v>
      </c>
      <c r="AG172" s="287" t="s">
        <v>18</v>
      </c>
      <c r="AH172" s="294" t="s">
        <v>32</v>
      </c>
      <c r="AI172" s="288" t="s">
        <v>377</v>
      </c>
      <c r="AJ172" s="287" t="s">
        <v>377</v>
      </c>
      <c r="AK172" s="287" t="s">
        <v>18</v>
      </c>
      <c r="AL172" s="288" t="s">
        <v>377</v>
      </c>
      <c r="AM172" s="294" t="s">
        <v>32</v>
      </c>
      <c r="AN172" s="287" t="s">
        <v>377</v>
      </c>
      <c r="AO172" s="295" t="s">
        <v>32</v>
      </c>
      <c r="AP172" s="289" t="s">
        <v>377</v>
      </c>
      <c r="AQ172" s="287" t="s">
        <v>377</v>
      </c>
      <c r="AR172" s="287" t="s">
        <v>18</v>
      </c>
      <c r="AS172" s="288" t="s">
        <v>377</v>
      </c>
      <c r="AT172" s="287" t="s">
        <v>18</v>
      </c>
      <c r="AU172" s="287" t="s">
        <v>18</v>
      </c>
      <c r="AV172" s="288" t="s">
        <v>18</v>
      </c>
      <c r="AW172" s="287" t="s">
        <v>18</v>
      </c>
      <c r="AX172" s="287" t="s">
        <v>377</v>
      </c>
      <c r="AY172" s="288" t="s">
        <v>377</v>
      </c>
      <c r="AZ172" s="287" t="s">
        <v>377</v>
      </c>
      <c r="BA172" s="294" t="s">
        <v>32</v>
      </c>
      <c r="BB172" s="295" t="s">
        <v>32</v>
      </c>
      <c r="BC172" s="296" t="s">
        <v>32</v>
      </c>
      <c r="BD172" s="292"/>
    </row>
    <row r="173" ht="12.75" customHeight="1">
      <c r="A173" s="293">
        <v>45264.76193998843</v>
      </c>
      <c r="B173" s="286" t="s">
        <v>486</v>
      </c>
      <c r="C173" s="287" t="s">
        <v>559</v>
      </c>
      <c r="D173" s="285" t="s">
        <v>16</v>
      </c>
      <c r="E173" s="285" t="s">
        <v>476</v>
      </c>
      <c r="F173" s="287" t="s">
        <v>738</v>
      </c>
      <c r="G173" s="285" t="s">
        <v>21</v>
      </c>
      <c r="H173" s="285">
        <v>11.0</v>
      </c>
      <c r="I173" s="287" t="s">
        <v>497</v>
      </c>
      <c r="J173" s="292"/>
      <c r="K173" s="287" t="s">
        <v>508</v>
      </c>
      <c r="L173" s="287" t="s">
        <v>497</v>
      </c>
      <c r="M173" s="292"/>
      <c r="N173" s="292"/>
      <c r="O173" s="292"/>
      <c r="P173" s="292"/>
      <c r="Q173" s="287" t="s">
        <v>377</v>
      </c>
      <c r="R173" s="287" t="s">
        <v>377</v>
      </c>
      <c r="S173" s="288" t="s">
        <v>377</v>
      </c>
      <c r="T173" s="287" t="s">
        <v>377</v>
      </c>
      <c r="U173" s="287" t="s">
        <v>377</v>
      </c>
      <c r="V173" s="288" t="s">
        <v>377</v>
      </c>
      <c r="W173" s="287" t="s">
        <v>377</v>
      </c>
      <c r="X173" s="287" t="s">
        <v>377</v>
      </c>
      <c r="Y173" s="288" t="s">
        <v>377</v>
      </c>
      <c r="Z173" s="287" t="s">
        <v>377</v>
      </c>
      <c r="AA173" s="287" t="s">
        <v>377</v>
      </c>
      <c r="AB173" s="288" t="s">
        <v>377</v>
      </c>
      <c r="AC173" s="289" t="s">
        <v>377</v>
      </c>
      <c r="AD173" s="287" t="s">
        <v>377</v>
      </c>
      <c r="AE173" s="287" t="s">
        <v>18</v>
      </c>
      <c r="AF173" s="288" t="s">
        <v>377</v>
      </c>
      <c r="AG173" s="287" t="s">
        <v>377</v>
      </c>
      <c r="AH173" s="287" t="s">
        <v>377</v>
      </c>
      <c r="AI173" s="288" t="s">
        <v>377</v>
      </c>
      <c r="AJ173" s="294" t="s">
        <v>32</v>
      </c>
      <c r="AK173" s="287" t="s">
        <v>377</v>
      </c>
      <c r="AL173" s="295" t="s">
        <v>32</v>
      </c>
      <c r="AM173" s="287" t="s">
        <v>377</v>
      </c>
      <c r="AN173" s="287" t="s">
        <v>377</v>
      </c>
      <c r="AO173" s="288" t="s">
        <v>377</v>
      </c>
      <c r="AP173" s="289" t="s">
        <v>377</v>
      </c>
      <c r="AQ173" s="287" t="s">
        <v>377</v>
      </c>
      <c r="AR173" s="287" t="s">
        <v>377</v>
      </c>
      <c r="AS173" s="288" t="s">
        <v>377</v>
      </c>
      <c r="AT173" s="287" t="s">
        <v>377</v>
      </c>
      <c r="AU173" s="294" t="s">
        <v>32</v>
      </c>
      <c r="AV173" s="295" t="s">
        <v>32</v>
      </c>
      <c r="AW173" s="287" t="s">
        <v>377</v>
      </c>
      <c r="AX173" s="287" t="s">
        <v>377</v>
      </c>
      <c r="AY173" s="288" t="s">
        <v>377</v>
      </c>
      <c r="AZ173" s="287" t="s">
        <v>377</v>
      </c>
      <c r="BA173" s="287" t="s">
        <v>377</v>
      </c>
      <c r="BB173" s="295" t="s">
        <v>32</v>
      </c>
      <c r="BC173" s="296" t="s">
        <v>32</v>
      </c>
      <c r="BD173" s="292"/>
    </row>
    <row r="174" ht="12.75" customHeight="1">
      <c r="A174" s="293">
        <v>45264.93083857639</v>
      </c>
      <c r="B174" s="286" t="s">
        <v>486</v>
      </c>
      <c r="C174" s="287" t="s">
        <v>559</v>
      </c>
      <c r="D174" s="285" t="s">
        <v>16</v>
      </c>
      <c r="E174" s="285" t="s">
        <v>476</v>
      </c>
      <c r="F174" s="287" t="s">
        <v>739</v>
      </c>
      <c r="G174" s="285" t="s">
        <v>21</v>
      </c>
      <c r="H174" s="285">
        <v>11.0</v>
      </c>
      <c r="I174" s="287" t="s">
        <v>497</v>
      </c>
      <c r="J174" s="292"/>
      <c r="K174" s="287" t="s">
        <v>508</v>
      </c>
      <c r="L174" s="287" t="s">
        <v>497</v>
      </c>
      <c r="M174" s="292"/>
      <c r="N174" s="292"/>
      <c r="O174" s="292"/>
      <c r="P174" s="292"/>
      <c r="Q174" s="294" t="s">
        <v>32</v>
      </c>
      <c r="R174" s="287" t="s">
        <v>18</v>
      </c>
      <c r="S174" s="288" t="s">
        <v>377</v>
      </c>
      <c r="T174" s="287" t="s">
        <v>18</v>
      </c>
      <c r="U174" s="287" t="s">
        <v>18</v>
      </c>
      <c r="V174" s="288" t="s">
        <v>18</v>
      </c>
      <c r="W174" s="287" t="s">
        <v>18</v>
      </c>
      <c r="X174" s="287" t="s">
        <v>18</v>
      </c>
      <c r="Y174" s="288" t="s">
        <v>18</v>
      </c>
      <c r="Z174" s="287" t="s">
        <v>18</v>
      </c>
      <c r="AA174" s="287" t="s">
        <v>18</v>
      </c>
      <c r="AB174" s="288" t="s">
        <v>18</v>
      </c>
      <c r="AC174" s="289" t="s">
        <v>18</v>
      </c>
      <c r="AD174" s="287" t="s">
        <v>18</v>
      </c>
      <c r="AE174" s="287" t="s">
        <v>377</v>
      </c>
      <c r="AF174" s="288" t="s">
        <v>377</v>
      </c>
      <c r="AG174" s="287" t="s">
        <v>18</v>
      </c>
      <c r="AH174" s="287" t="s">
        <v>18</v>
      </c>
      <c r="AI174" s="288" t="s">
        <v>18</v>
      </c>
      <c r="AJ174" s="287" t="s">
        <v>18</v>
      </c>
      <c r="AK174" s="287" t="s">
        <v>18</v>
      </c>
      <c r="AL174" s="288" t="s">
        <v>18</v>
      </c>
      <c r="AM174" s="287" t="s">
        <v>377</v>
      </c>
      <c r="AN174" s="287" t="s">
        <v>18</v>
      </c>
      <c r="AO174" s="288" t="s">
        <v>377</v>
      </c>
      <c r="AP174" s="289" t="s">
        <v>18</v>
      </c>
      <c r="AQ174" s="287" t="s">
        <v>18</v>
      </c>
      <c r="AR174" s="287" t="s">
        <v>377</v>
      </c>
      <c r="AS174" s="288" t="s">
        <v>377</v>
      </c>
      <c r="AT174" s="287" t="s">
        <v>377</v>
      </c>
      <c r="AU174" s="294" t="s">
        <v>32</v>
      </c>
      <c r="AV174" s="295" t="s">
        <v>32</v>
      </c>
      <c r="AW174" s="287" t="s">
        <v>377</v>
      </c>
      <c r="AX174" s="294" t="s">
        <v>32</v>
      </c>
      <c r="AY174" s="295" t="s">
        <v>32</v>
      </c>
      <c r="AZ174" s="294" t="s">
        <v>32</v>
      </c>
      <c r="BA174" s="294" t="s">
        <v>32</v>
      </c>
      <c r="BB174" s="288" t="s">
        <v>377</v>
      </c>
      <c r="BC174" s="289" t="s">
        <v>377</v>
      </c>
      <c r="BD174" s="292"/>
    </row>
    <row r="175" ht="12.75" customHeight="1">
      <c r="A175" s="293">
        <v>45264.936488541665</v>
      </c>
      <c r="B175" s="286" t="s">
        <v>486</v>
      </c>
      <c r="C175" s="287" t="s">
        <v>559</v>
      </c>
      <c r="D175" s="285" t="s">
        <v>16</v>
      </c>
      <c r="E175" s="285" t="s">
        <v>476</v>
      </c>
      <c r="F175" s="287" t="s">
        <v>740</v>
      </c>
      <c r="G175" s="285" t="s">
        <v>17</v>
      </c>
      <c r="H175" s="285">
        <v>12.0</v>
      </c>
      <c r="I175" s="287" t="s">
        <v>497</v>
      </c>
      <c r="J175" s="292"/>
      <c r="K175" s="287" t="s">
        <v>508</v>
      </c>
      <c r="L175" s="287" t="s">
        <v>497</v>
      </c>
      <c r="M175" s="292"/>
      <c r="N175" s="292"/>
      <c r="O175" s="292"/>
      <c r="P175" s="292"/>
      <c r="Q175" s="287" t="s">
        <v>377</v>
      </c>
      <c r="R175" s="287" t="s">
        <v>377</v>
      </c>
      <c r="S175" s="288" t="s">
        <v>377</v>
      </c>
      <c r="T175" s="287" t="s">
        <v>377</v>
      </c>
      <c r="U175" s="287" t="s">
        <v>377</v>
      </c>
      <c r="V175" s="288" t="s">
        <v>377</v>
      </c>
      <c r="W175" s="287" t="s">
        <v>377</v>
      </c>
      <c r="X175" s="287" t="s">
        <v>377</v>
      </c>
      <c r="Y175" s="288" t="s">
        <v>377</v>
      </c>
      <c r="Z175" s="287" t="s">
        <v>377</v>
      </c>
      <c r="AA175" s="287" t="s">
        <v>18</v>
      </c>
      <c r="AB175" s="288" t="s">
        <v>377</v>
      </c>
      <c r="AC175" s="289" t="s">
        <v>377</v>
      </c>
      <c r="AD175" s="294" t="s">
        <v>32</v>
      </c>
      <c r="AE175" s="287" t="s">
        <v>377</v>
      </c>
      <c r="AF175" s="295" t="s">
        <v>32</v>
      </c>
      <c r="AG175" s="287" t="s">
        <v>377</v>
      </c>
      <c r="AH175" s="287" t="s">
        <v>377</v>
      </c>
      <c r="AI175" s="288" t="s">
        <v>377</v>
      </c>
      <c r="AJ175" s="287" t="s">
        <v>377</v>
      </c>
      <c r="AK175" s="287" t="s">
        <v>377</v>
      </c>
      <c r="AL175" s="288" t="s">
        <v>377</v>
      </c>
      <c r="AM175" s="287" t="s">
        <v>377</v>
      </c>
      <c r="AN175" s="287" t="s">
        <v>377</v>
      </c>
      <c r="AO175" s="288" t="s">
        <v>377</v>
      </c>
      <c r="AP175" s="289" t="s">
        <v>377</v>
      </c>
      <c r="AQ175" s="287" t="s">
        <v>377</v>
      </c>
      <c r="AR175" s="287" t="s">
        <v>377</v>
      </c>
      <c r="AS175" s="288" t="s">
        <v>377</v>
      </c>
      <c r="AT175" s="287" t="s">
        <v>377</v>
      </c>
      <c r="AU175" s="287" t="s">
        <v>377</v>
      </c>
      <c r="AV175" s="288" t="s">
        <v>377</v>
      </c>
      <c r="AW175" s="287" t="s">
        <v>377</v>
      </c>
      <c r="AX175" s="287" t="s">
        <v>377</v>
      </c>
      <c r="AY175" s="288" t="s">
        <v>377</v>
      </c>
      <c r="AZ175" s="294" t="s">
        <v>32</v>
      </c>
      <c r="BA175" s="294" t="s">
        <v>32</v>
      </c>
      <c r="BB175" s="288" t="s">
        <v>377</v>
      </c>
      <c r="BC175" s="289" t="s">
        <v>377</v>
      </c>
      <c r="BD175" s="292"/>
    </row>
    <row r="176" ht="12.75" customHeight="1">
      <c r="A176" s="293">
        <v>45264.93909623843</v>
      </c>
      <c r="B176" s="286" t="s">
        <v>486</v>
      </c>
      <c r="C176" s="287" t="s">
        <v>559</v>
      </c>
      <c r="D176" s="285" t="s">
        <v>16</v>
      </c>
      <c r="E176" s="285" t="s">
        <v>476</v>
      </c>
      <c r="F176" s="287" t="s">
        <v>741</v>
      </c>
      <c r="G176" s="285" t="s">
        <v>17</v>
      </c>
      <c r="H176" s="285">
        <v>12.0</v>
      </c>
      <c r="I176" s="287" t="s">
        <v>497</v>
      </c>
      <c r="J176" s="292"/>
      <c r="K176" s="287" t="s">
        <v>508</v>
      </c>
      <c r="L176" s="287" t="s">
        <v>497</v>
      </c>
      <c r="M176" s="292"/>
      <c r="N176" s="292"/>
      <c r="O176" s="292"/>
      <c r="P176" s="292"/>
      <c r="Q176" s="294" t="s">
        <v>32</v>
      </c>
      <c r="R176" s="287" t="s">
        <v>377</v>
      </c>
      <c r="S176" s="295" t="s">
        <v>32</v>
      </c>
      <c r="T176" s="287" t="s">
        <v>377</v>
      </c>
      <c r="U176" s="287" t="s">
        <v>377</v>
      </c>
      <c r="V176" s="288" t="s">
        <v>377</v>
      </c>
      <c r="W176" s="287" t="s">
        <v>377</v>
      </c>
      <c r="X176" s="287" t="s">
        <v>377</v>
      </c>
      <c r="Y176" s="288" t="s">
        <v>377</v>
      </c>
      <c r="Z176" s="287" t="s">
        <v>377</v>
      </c>
      <c r="AA176" s="287" t="s">
        <v>377</v>
      </c>
      <c r="AB176" s="288" t="s">
        <v>377</v>
      </c>
      <c r="AC176" s="289" t="s">
        <v>377</v>
      </c>
      <c r="AD176" s="294" t="s">
        <v>32</v>
      </c>
      <c r="AE176" s="294" t="s">
        <v>32</v>
      </c>
      <c r="AF176" s="295" t="s">
        <v>32</v>
      </c>
      <c r="AG176" s="287" t="s">
        <v>377</v>
      </c>
      <c r="AH176" s="287" t="s">
        <v>377</v>
      </c>
      <c r="AI176" s="288" t="s">
        <v>377</v>
      </c>
      <c r="AJ176" s="287" t="s">
        <v>18</v>
      </c>
      <c r="AK176" s="287" t="s">
        <v>377</v>
      </c>
      <c r="AL176" s="288" t="s">
        <v>377</v>
      </c>
      <c r="AM176" s="287" t="s">
        <v>377</v>
      </c>
      <c r="AN176" s="287" t="s">
        <v>377</v>
      </c>
      <c r="AO176" s="288" t="s">
        <v>377</v>
      </c>
      <c r="AP176" s="289" t="s">
        <v>377</v>
      </c>
      <c r="AQ176" s="287" t="s">
        <v>377</v>
      </c>
      <c r="AR176" s="287" t="s">
        <v>377</v>
      </c>
      <c r="AS176" s="288" t="s">
        <v>377</v>
      </c>
      <c r="AT176" s="287" t="s">
        <v>377</v>
      </c>
      <c r="AU176" s="287" t="s">
        <v>377</v>
      </c>
      <c r="AV176" s="288" t="s">
        <v>377</v>
      </c>
      <c r="AW176" s="287" t="s">
        <v>377</v>
      </c>
      <c r="AX176" s="294" t="s">
        <v>32</v>
      </c>
      <c r="AY176" s="295" t="s">
        <v>32</v>
      </c>
      <c r="AZ176" s="287" t="s">
        <v>377</v>
      </c>
      <c r="BA176" s="287" t="s">
        <v>377</v>
      </c>
      <c r="BB176" s="295" t="s">
        <v>32</v>
      </c>
      <c r="BC176" s="296" t="s">
        <v>32</v>
      </c>
      <c r="BD176" s="292"/>
    </row>
    <row r="177" ht="12.75" customHeight="1">
      <c r="A177" s="293">
        <v>45264.941796307874</v>
      </c>
      <c r="B177" s="286" t="s">
        <v>486</v>
      </c>
      <c r="C177" s="287" t="s">
        <v>559</v>
      </c>
      <c r="D177" s="285" t="s">
        <v>16</v>
      </c>
      <c r="E177" s="285" t="s">
        <v>476</v>
      </c>
      <c r="F177" s="287" t="s">
        <v>742</v>
      </c>
      <c r="G177" s="285" t="s">
        <v>21</v>
      </c>
      <c r="H177" s="285">
        <v>13.0</v>
      </c>
      <c r="I177" s="287" t="s">
        <v>497</v>
      </c>
      <c r="J177" s="292"/>
      <c r="K177" s="287" t="s">
        <v>508</v>
      </c>
      <c r="L177" s="287" t="s">
        <v>497</v>
      </c>
      <c r="M177" s="292"/>
      <c r="N177" s="292"/>
      <c r="O177" s="292"/>
      <c r="P177" s="292"/>
      <c r="Q177" s="287" t="s">
        <v>377</v>
      </c>
      <c r="R177" s="287" t="s">
        <v>377</v>
      </c>
      <c r="S177" s="288" t="s">
        <v>377</v>
      </c>
      <c r="T177" s="287" t="s">
        <v>377</v>
      </c>
      <c r="U177" s="287" t="s">
        <v>377</v>
      </c>
      <c r="V177" s="288" t="s">
        <v>377</v>
      </c>
      <c r="W177" s="287" t="s">
        <v>377</v>
      </c>
      <c r="X177" s="287" t="s">
        <v>377</v>
      </c>
      <c r="Y177" s="288" t="s">
        <v>377</v>
      </c>
      <c r="Z177" s="287" t="s">
        <v>377</v>
      </c>
      <c r="AA177" s="287" t="s">
        <v>377</v>
      </c>
      <c r="AB177" s="288" t="s">
        <v>377</v>
      </c>
      <c r="AC177" s="289" t="s">
        <v>377</v>
      </c>
      <c r="AD177" s="294" t="s">
        <v>32</v>
      </c>
      <c r="AE177" s="294" t="s">
        <v>32</v>
      </c>
      <c r="AF177" s="295" t="s">
        <v>32</v>
      </c>
      <c r="AG177" s="287" t="s">
        <v>377</v>
      </c>
      <c r="AH177" s="287" t="s">
        <v>377</v>
      </c>
      <c r="AI177" s="288" t="s">
        <v>377</v>
      </c>
      <c r="AJ177" s="287" t="s">
        <v>377</v>
      </c>
      <c r="AK177" s="294" t="s">
        <v>32</v>
      </c>
      <c r="AL177" s="295" t="s">
        <v>32</v>
      </c>
      <c r="AM177" s="287" t="s">
        <v>377</v>
      </c>
      <c r="AN177" s="287" t="s">
        <v>377</v>
      </c>
      <c r="AO177" s="288" t="s">
        <v>377</v>
      </c>
      <c r="AP177" s="289" t="s">
        <v>377</v>
      </c>
      <c r="AQ177" s="287" t="s">
        <v>18</v>
      </c>
      <c r="AR177" s="294" t="s">
        <v>32</v>
      </c>
      <c r="AS177" s="288" t="s">
        <v>377</v>
      </c>
      <c r="AT177" s="294" t="s">
        <v>32</v>
      </c>
      <c r="AU177" s="287" t="s">
        <v>377</v>
      </c>
      <c r="AV177" s="295" t="s">
        <v>32</v>
      </c>
      <c r="AW177" s="294" t="s">
        <v>32</v>
      </c>
      <c r="AX177" s="294" t="s">
        <v>32</v>
      </c>
      <c r="AY177" s="295" t="s">
        <v>32</v>
      </c>
      <c r="AZ177" s="287" t="s">
        <v>377</v>
      </c>
      <c r="BA177" s="294" t="s">
        <v>32</v>
      </c>
      <c r="BB177" s="295" t="s">
        <v>32</v>
      </c>
      <c r="BC177" s="296" t="s">
        <v>32</v>
      </c>
      <c r="BD177" s="292"/>
    </row>
    <row r="178" ht="12.75" customHeight="1">
      <c r="A178" s="293">
        <v>45265.40614450231</v>
      </c>
      <c r="B178" s="286" t="s">
        <v>486</v>
      </c>
      <c r="C178" s="287" t="s">
        <v>559</v>
      </c>
      <c r="D178" s="285" t="s">
        <v>16</v>
      </c>
      <c r="E178" s="285" t="s">
        <v>476</v>
      </c>
      <c r="F178" s="287" t="s">
        <v>743</v>
      </c>
      <c r="G178" s="285" t="s">
        <v>17</v>
      </c>
      <c r="H178" s="285">
        <v>12.0</v>
      </c>
      <c r="I178" s="287" t="s">
        <v>497</v>
      </c>
      <c r="J178" s="292"/>
      <c r="K178" s="287" t="s">
        <v>508</v>
      </c>
      <c r="L178" s="287" t="s">
        <v>497</v>
      </c>
      <c r="M178" s="292"/>
      <c r="N178" s="292"/>
      <c r="O178" s="292"/>
      <c r="P178" s="292"/>
      <c r="Q178" s="294" t="s">
        <v>32</v>
      </c>
      <c r="R178" s="294" t="s">
        <v>32</v>
      </c>
      <c r="S178" s="295" t="s">
        <v>32</v>
      </c>
      <c r="T178" s="294" t="s">
        <v>32</v>
      </c>
      <c r="U178" s="294" t="s">
        <v>32</v>
      </c>
      <c r="V178" s="295" t="s">
        <v>32</v>
      </c>
      <c r="W178" s="294" t="s">
        <v>32</v>
      </c>
      <c r="X178" s="287" t="s">
        <v>18</v>
      </c>
      <c r="Y178" s="288" t="s">
        <v>377</v>
      </c>
      <c r="Z178" s="287" t="s">
        <v>377</v>
      </c>
      <c r="AA178" s="294" t="s">
        <v>32</v>
      </c>
      <c r="AB178" s="295" t="s">
        <v>32</v>
      </c>
      <c r="AC178" s="296" t="s">
        <v>32</v>
      </c>
      <c r="AD178" s="294" t="s">
        <v>32</v>
      </c>
      <c r="AE178" s="294" t="s">
        <v>32</v>
      </c>
      <c r="AF178" s="295" t="s">
        <v>32</v>
      </c>
      <c r="AG178" s="294" t="s">
        <v>32</v>
      </c>
      <c r="AH178" s="294" t="s">
        <v>32</v>
      </c>
      <c r="AI178" s="295" t="s">
        <v>32</v>
      </c>
      <c r="AJ178" s="294" t="s">
        <v>32</v>
      </c>
      <c r="AK178" s="294" t="s">
        <v>32</v>
      </c>
      <c r="AL178" s="295" t="s">
        <v>32</v>
      </c>
      <c r="AM178" s="287" t="s">
        <v>377</v>
      </c>
      <c r="AN178" s="287" t="s">
        <v>377</v>
      </c>
      <c r="AO178" s="288" t="s">
        <v>377</v>
      </c>
      <c r="AP178" s="296" t="s">
        <v>32</v>
      </c>
      <c r="AQ178" s="294" t="s">
        <v>32</v>
      </c>
      <c r="AR178" s="294" t="s">
        <v>32</v>
      </c>
      <c r="AS178" s="295" t="s">
        <v>32</v>
      </c>
      <c r="AT178" s="294" t="s">
        <v>32</v>
      </c>
      <c r="AU178" s="294" t="s">
        <v>32</v>
      </c>
      <c r="AV178" s="295" t="s">
        <v>32</v>
      </c>
      <c r="AW178" s="294" t="s">
        <v>32</v>
      </c>
      <c r="AX178" s="287" t="s">
        <v>377</v>
      </c>
      <c r="AY178" s="295" t="s">
        <v>32</v>
      </c>
      <c r="AZ178" s="294" t="s">
        <v>32</v>
      </c>
      <c r="BA178" s="287" t="s">
        <v>18</v>
      </c>
      <c r="BB178" s="295" t="s">
        <v>32</v>
      </c>
      <c r="BC178" s="296" t="s">
        <v>32</v>
      </c>
      <c r="BD178" s="292"/>
    </row>
    <row r="179" ht="12.75" customHeight="1">
      <c r="A179" s="293">
        <v>45265.41329851851</v>
      </c>
      <c r="B179" s="286" t="s">
        <v>486</v>
      </c>
      <c r="C179" s="287" t="s">
        <v>559</v>
      </c>
      <c r="D179" s="285" t="s">
        <v>16</v>
      </c>
      <c r="E179" s="285" t="s">
        <v>476</v>
      </c>
      <c r="F179" s="287" t="s">
        <v>744</v>
      </c>
      <c r="G179" s="285" t="s">
        <v>21</v>
      </c>
      <c r="H179" s="285">
        <v>13.0</v>
      </c>
      <c r="I179" s="287" t="s">
        <v>497</v>
      </c>
      <c r="J179" s="292"/>
      <c r="K179" s="287" t="s">
        <v>508</v>
      </c>
      <c r="L179" s="287" t="s">
        <v>497</v>
      </c>
      <c r="M179" s="292"/>
      <c r="N179" s="292"/>
      <c r="O179" s="292"/>
      <c r="P179" s="292"/>
      <c r="Q179" s="294" t="s">
        <v>32</v>
      </c>
      <c r="R179" s="287" t="s">
        <v>377</v>
      </c>
      <c r="S179" s="295" t="s">
        <v>32</v>
      </c>
      <c r="T179" s="294" t="s">
        <v>32</v>
      </c>
      <c r="U179" s="294" t="s">
        <v>32</v>
      </c>
      <c r="V179" s="295" t="s">
        <v>32</v>
      </c>
      <c r="W179" s="294" t="s">
        <v>32</v>
      </c>
      <c r="X179" s="287" t="s">
        <v>18</v>
      </c>
      <c r="Y179" s="288" t="s">
        <v>377</v>
      </c>
      <c r="Z179" s="287" t="s">
        <v>377</v>
      </c>
      <c r="AA179" s="294" t="s">
        <v>32</v>
      </c>
      <c r="AB179" s="295" t="s">
        <v>32</v>
      </c>
      <c r="AC179" s="296" t="s">
        <v>32</v>
      </c>
      <c r="AD179" s="287" t="s">
        <v>377</v>
      </c>
      <c r="AE179" s="287" t="s">
        <v>377</v>
      </c>
      <c r="AF179" s="288" t="s">
        <v>377</v>
      </c>
      <c r="AG179" s="294" t="s">
        <v>32</v>
      </c>
      <c r="AH179" s="287" t="s">
        <v>377</v>
      </c>
      <c r="AI179" s="295" t="s">
        <v>32</v>
      </c>
      <c r="AJ179" s="287" t="s">
        <v>18</v>
      </c>
      <c r="AK179" s="287" t="s">
        <v>377</v>
      </c>
      <c r="AL179" s="288" t="s">
        <v>377</v>
      </c>
      <c r="AM179" s="287" t="s">
        <v>18</v>
      </c>
      <c r="AN179" s="287" t="s">
        <v>18</v>
      </c>
      <c r="AO179" s="288" t="s">
        <v>18</v>
      </c>
      <c r="AP179" s="289" t="s">
        <v>377</v>
      </c>
      <c r="AQ179" s="287" t="s">
        <v>18</v>
      </c>
      <c r="AR179" s="287" t="s">
        <v>377</v>
      </c>
      <c r="AS179" s="288" t="s">
        <v>377</v>
      </c>
      <c r="AT179" s="294" t="s">
        <v>32</v>
      </c>
      <c r="AU179" s="287" t="s">
        <v>18</v>
      </c>
      <c r="AV179" s="288" t="s">
        <v>377</v>
      </c>
      <c r="AW179" s="287" t="s">
        <v>377</v>
      </c>
      <c r="AX179" s="287" t="s">
        <v>377</v>
      </c>
      <c r="AY179" s="288" t="s">
        <v>377</v>
      </c>
      <c r="AZ179" s="294" t="s">
        <v>32</v>
      </c>
      <c r="BA179" s="294" t="s">
        <v>32</v>
      </c>
      <c r="BB179" s="295" t="s">
        <v>32</v>
      </c>
      <c r="BC179" s="289" t="s">
        <v>377</v>
      </c>
      <c r="BD179" s="292"/>
    </row>
    <row r="180" ht="12.75" customHeight="1">
      <c r="A180" s="293">
        <v>45265.42000315972</v>
      </c>
      <c r="B180" s="286" t="s">
        <v>486</v>
      </c>
      <c r="C180" s="287" t="s">
        <v>559</v>
      </c>
      <c r="D180" s="285" t="s">
        <v>16</v>
      </c>
      <c r="E180" s="285" t="s">
        <v>476</v>
      </c>
      <c r="F180" s="287" t="s">
        <v>745</v>
      </c>
      <c r="G180" s="285" t="s">
        <v>21</v>
      </c>
      <c r="H180" s="285">
        <v>14.0</v>
      </c>
      <c r="I180" s="287" t="s">
        <v>497</v>
      </c>
      <c r="J180" s="292"/>
      <c r="K180" s="287" t="s">
        <v>508</v>
      </c>
      <c r="L180" s="287" t="s">
        <v>497</v>
      </c>
      <c r="M180" s="292"/>
      <c r="N180" s="292"/>
      <c r="O180" s="292"/>
      <c r="P180" s="292"/>
      <c r="Q180" s="287" t="s">
        <v>18</v>
      </c>
      <c r="R180" s="287" t="s">
        <v>18</v>
      </c>
      <c r="S180" s="288" t="s">
        <v>18</v>
      </c>
      <c r="T180" s="287" t="s">
        <v>18</v>
      </c>
      <c r="U180" s="287" t="s">
        <v>18</v>
      </c>
      <c r="V180" s="288" t="s">
        <v>18</v>
      </c>
      <c r="W180" s="287" t="s">
        <v>18</v>
      </c>
      <c r="X180" s="287" t="s">
        <v>18</v>
      </c>
      <c r="Y180" s="288" t="s">
        <v>18</v>
      </c>
      <c r="Z180" s="287" t="s">
        <v>18</v>
      </c>
      <c r="AA180" s="287" t="s">
        <v>18</v>
      </c>
      <c r="AB180" s="288" t="s">
        <v>18</v>
      </c>
      <c r="AC180" s="289" t="s">
        <v>18</v>
      </c>
      <c r="AD180" s="287" t="s">
        <v>18</v>
      </c>
      <c r="AE180" s="287" t="s">
        <v>18</v>
      </c>
      <c r="AF180" s="288" t="s">
        <v>18</v>
      </c>
      <c r="AG180" s="287" t="s">
        <v>18</v>
      </c>
      <c r="AH180" s="287" t="s">
        <v>18</v>
      </c>
      <c r="AI180" s="288" t="s">
        <v>18</v>
      </c>
      <c r="AJ180" s="287" t="s">
        <v>18</v>
      </c>
      <c r="AK180" s="287" t="s">
        <v>18</v>
      </c>
      <c r="AL180" s="288" t="s">
        <v>18</v>
      </c>
      <c r="AM180" s="287" t="s">
        <v>18</v>
      </c>
      <c r="AN180" s="287" t="s">
        <v>18</v>
      </c>
      <c r="AO180" s="288" t="s">
        <v>18</v>
      </c>
      <c r="AP180" s="289" t="s">
        <v>18</v>
      </c>
      <c r="AQ180" s="287" t="s">
        <v>18</v>
      </c>
      <c r="AR180" s="287" t="s">
        <v>18</v>
      </c>
      <c r="AS180" s="288" t="s">
        <v>18</v>
      </c>
      <c r="AT180" s="287" t="s">
        <v>18</v>
      </c>
      <c r="AU180" s="287" t="s">
        <v>18</v>
      </c>
      <c r="AV180" s="288" t="s">
        <v>18</v>
      </c>
      <c r="AW180" s="287" t="s">
        <v>18</v>
      </c>
      <c r="AX180" s="287" t="s">
        <v>18</v>
      </c>
      <c r="AY180" s="288" t="s">
        <v>18</v>
      </c>
      <c r="AZ180" s="287" t="s">
        <v>18</v>
      </c>
      <c r="BA180" s="287" t="s">
        <v>18</v>
      </c>
      <c r="BB180" s="288" t="s">
        <v>377</v>
      </c>
      <c r="BC180" s="289" t="s">
        <v>377</v>
      </c>
      <c r="BD180" s="292"/>
    </row>
    <row r="181" ht="12.75" customHeight="1">
      <c r="A181" s="293">
        <v>45265.424809895834</v>
      </c>
      <c r="B181" s="286" t="s">
        <v>486</v>
      </c>
      <c r="C181" s="287" t="s">
        <v>559</v>
      </c>
      <c r="D181" s="285" t="s">
        <v>16</v>
      </c>
      <c r="E181" s="285" t="s">
        <v>476</v>
      </c>
      <c r="F181" s="287" t="s">
        <v>746</v>
      </c>
      <c r="G181" s="285" t="s">
        <v>21</v>
      </c>
      <c r="H181" s="285">
        <v>13.0</v>
      </c>
      <c r="I181" s="287" t="s">
        <v>479</v>
      </c>
      <c r="J181" s="292"/>
      <c r="K181" s="287" t="s">
        <v>508</v>
      </c>
      <c r="L181" s="287" t="s">
        <v>497</v>
      </c>
      <c r="M181" s="292"/>
      <c r="N181" s="292"/>
      <c r="O181" s="292"/>
      <c r="P181" s="292"/>
      <c r="Q181" s="294" t="s">
        <v>32</v>
      </c>
      <c r="R181" s="287" t="s">
        <v>18</v>
      </c>
      <c r="S181" s="288" t="s">
        <v>377</v>
      </c>
      <c r="T181" s="287" t="s">
        <v>18</v>
      </c>
      <c r="U181" s="287" t="s">
        <v>18</v>
      </c>
      <c r="V181" s="288" t="s">
        <v>18</v>
      </c>
      <c r="W181" s="287" t="s">
        <v>18</v>
      </c>
      <c r="X181" s="287" t="s">
        <v>18</v>
      </c>
      <c r="Y181" s="288" t="s">
        <v>18</v>
      </c>
      <c r="Z181" s="287" t="s">
        <v>18</v>
      </c>
      <c r="AA181" s="287" t="s">
        <v>18</v>
      </c>
      <c r="AB181" s="288" t="s">
        <v>18</v>
      </c>
      <c r="AC181" s="289" t="s">
        <v>18</v>
      </c>
      <c r="AD181" s="287" t="s">
        <v>377</v>
      </c>
      <c r="AE181" s="287" t="s">
        <v>377</v>
      </c>
      <c r="AF181" s="288" t="s">
        <v>377</v>
      </c>
      <c r="AG181" s="287" t="s">
        <v>377</v>
      </c>
      <c r="AH181" s="287" t="s">
        <v>18</v>
      </c>
      <c r="AI181" s="288" t="s">
        <v>377</v>
      </c>
      <c r="AJ181" s="287" t="s">
        <v>377</v>
      </c>
      <c r="AK181" s="287" t="s">
        <v>18</v>
      </c>
      <c r="AL181" s="288" t="s">
        <v>377</v>
      </c>
      <c r="AM181" s="287" t="s">
        <v>18</v>
      </c>
      <c r="AN181" s="287" t="s">
        <v>18</v>
      </c>
      <c r="AO181" s="288" t="s">
        <v>18</v>
      </c>
      <c r="AP181" s="289" t="s">
        <v>377</v>
      </c>
      <c r="AQ181" s="294" t="s">
        <v>32</v>
      </c>
      <c r="AR181" s="287" t="s">
        <v>377</v>
      </c>
      <c r="AS181" s="295" t="s">
        <v>32</v>
      </c>
      <c r="AT181" s="294" t="s">
        <v>32</v>
      </c>
      <c r="AU181" s="287" t="s">
        <v>377</v>
      </c>
      <c r="AV181" s="295" t="s">
        <v>32</v>
      </c>
      <c r="AW181" s="287" t="s">
        <v>377</v>
      </c>
      <c r="AX181" s="287" t="s">
        <v>377</v>
      </c>
      <c r="AY181" s="288" t="s">
        <v>377</v>
      </c>
      <c r="AZ181" s="294" t="s">
        <v>32</v>
      </c>
      <c r="BA181" s="294" t="s">
        <v>32</v>
      </c>
      <c r="BB181" s="295" t="s">
        <v>32</v>
      </c>
      <c r="BC181" s="296" t="s">
        <v>32</v>
      </c>
      <c r="BD181" s="292"/>
    </row>
    <row r="182" ht="12.75" customHeight="1">
      <c r="A182" s="293">
        <v>45265.44693174769</v>
      </c>
      <c r="B182" s="286" t="s">
        <v>486</v>
      </c>
      <c r="C182" s="287" t="s">
        <v>559</v>
      </c>
      <c r="D182" s="285" t="s">
        <v>16</v>
      </c>
      <c r="E182" s="285" t="s">
        <v>476</v>
      </c>
      <c r="F182" s="287" t="s">
        <v>747</v>
      </c>
      <c r="G182" s="285" t="s">
        <v>17</v>
      </c>
      <c r="H182" s="285">
        <v>12.0</v>
      </c>
      <c r="I182" s="287" t="s">
        <v>497</v>
      </c>
      <c r="J182" s="292"/>
      <c r="K182" s="287" t="s">
        <v>508</v>
      </c>
      <c r="L182" s="287" t="s">
        <v>497</v>
      </c>
      <c r="M182" s="292"/>
      <c r="N182" s="292"/>
      <c r="O182" s="292"/>
      <c r="P182" s="292"/>
      <c r="Q182" s="294" t="s">
        <v>32</v>
      </c>
      <c r="R182" s="294" t="s">
        <v>32</v>
      </c>
      <c r="S182" s="295" t="s">
        <v>32</v>
      </c>
      <c r="T182" s="287" t="s">
        <v>377</v>
      </c>
      <c r="U182" s="294" t="s">
        <v>32</v>
      </c>
      <c r="V182" s="295" t="s">
        <v>32</v>
      </c>
      <c r="W182" s="294" t="s">
        <v>32</v>
      </c>
      <c r="X182" s="287" t="s">
        <v>377</v>
      </c>
      <c r="Y182" s="295" t="s">
        <v>32</v>
      </c>
      <c r="Z182" s="287" t="s">
        <v>377</v>
      </c>
      <c r="AA182" s="287" t="s">
        <v>377</v>
      </c>
      <c r="AB182" s="288" t="s">
        <v>377</v>
      </c>
      <c r="AC182" s="296" t="s">
        <v>32</v>
      </c>
      <c r="AD182" s="287" t="s">
        <v>377</v>
      </c>
      <c r="AE182" s="294" t="s">
        <v>32</v>
      </c>
      <c r="AF182" s="295" t="s">
        <v>32</v>
      </c>
      <c r="AG182" s="287" t="s">
        <v>377</v>
      </c>
      <c r="AH182" s="287" t="s">
        <v>18</v>
      </c>
      <c r="AI182" s="288" t="s">
        <v>377</v>
      </c>
      <c r="AJ182" s="287" t="s">
        <v>377</v>
      </c>
      <c r="AK182" s="287" t="s">
        <v>377</v>
      </c>
      <c r="AL182" s="288" t="s">
        <v>377</v>
      </c>
      <c r="AM182" s="287" t="s">
        <v>18</v>
      </c>
      <c r="AN182" s="287" t="s">
        <v>377</v>
      </c>
      <c r="AO182" s="288" t="s">
        <v>377</v>
      </c>
      <c r="AP182" s="289" t="s">
        <v>377</v>
      </c>
      <c r="AQ182" s="294" t="s">
        <v>32</v>
      </c>
      <c r="AR182" s="287" t="s">
        <v>377</v>
      </c>
      <c r="AS182" s="295" t="s">
        <v>32</v>
      </c>
      <c r="AT182" s="294" t="s">
        <v>32</v>
      </c>
      <c r="AU182" s="294" t="s">
        <v>32</v>
      </c>
      <c r="AV182" s="295" t="s">
        <v>32</v>
      </c>
      <c r="AW182" s="287" t="s">
        <v>377</v>
      </c>
      <c r="AX182" s="287" t="s">
        <v>377</v>
      </c>
      <c r="AY182" s="288" t="s">
        <v>377</v>
      </c>
      <c r="AZ182" s="287" t="s">
        <v>377</v>
      </c>
      <c r="BA182" s="294" t="s">
        <v>32</v>
      </c>
      <c r="BB182" s="295" t="s">
        <v>32</v>
      </c>
      <c r="BC182" s="296" t="s">
        <v>32</v>
      </c>
      <c r="BD182" s="292"/>
    </row>
    <row r="183" ht="12.75" customHeight="1">
      <c r="A183" s="293">
        <v>45265.44931920139</v>
      </c>
      <c r="B183" s="286" t="s">
        <v>486</v>
      </c>
      <c r="C183" s="287" t="s">
        <v>559</v>
      </c>
      <c r="D183" s="285" t="s">
        <v>16</v>
      </c>
      <c r="E183" s="285" t="s">
        <v>476</v>
      </c>
      <c r="F183" s="287" t="s">
        <v>748</v>
      </c>
      <c r="G183" s="285" t="s">
        <v>17</v>
      </c>
      <c r="H183" s="285">
        <v>12.0</v>
      </c>
      <c r="I183" s="287" t="s">
        <v>497</v>
      </c>
      <c r="J183" s="292"/>
      <c r="K183" s="287" t="s">
        <v>508</v>
      </c>
      <c r="L183" s="287" t="s">
        <v>479</v>
      </c>
      <c r="M183" s="287" t="s">
        <v>481</v>
      </c>
      <c r="N183" s="287" t="s">
        <v>561</v>
      </c>
      <c r="O183" s="287"/>
      <c r="P183" s="287"/>
      <c r="Q183" s="287" t="s">
        <v>18</v>
      </c>
      <c r="R183" s="287" t="s">
        <v>18</v>
      </c>
      <c r="S183" s="288" t="s">
        <v>18</v>
      </c>
      <c r="T183" s="287" t="s">
        <v>18</v>
      </c>
      <c r="U183" s="287" t="s">
        <v>18</v>
      </c>
      <c r="V183" s="288" t="s">
        <v>18</v>
      </c>
      <c r="W183" s="287" t="s">
        <v>18</v>
      </c>
      <c r="X183" s="287" t="s">
        <v>18</v>
      </c>
      <c r="Y183" s="288" t="s">
        <v>18</v>
      </c>
      <c r="Z183" s="287" t="s">
        <v>18</v>
      </c>
      <c r="AA183" s="287" t="s">
        <v>18</v>
      </c>
      <c r="AB183" s="288" t="s">
        <v>18</v>
      </c>
      <c r="AC183" s="289" t="s">
        <v>18</v>
      </c>
      <c r="AD183" s="287" t="s">
        <v>18</v>
      </c>
      <c r="AE183" s="287" t="s">
        <v>18</v>
      </c>
      <c r="AF183" s="288" t="s">
        <v>18</v>
      </c>
      <c r="AG183" s="287" t="s">
        <v>18</v>
      </c>
      <c r="AH183" s="287" t="s">
        <v>18</v>
      </c>
      <c r="AI183" s="288" t="s">
        <v>18</v>
      </c>
      <c r="AJ183" s="287" t="s">
        <v>18</v>
      </c>
      <c r="AK183" s="287" t="s">
        <v>18</v>
      </c>
      <c r="AL183" s="288" t="s">
        <v>18</v>
      </c>
      <c r="AM183" s="287" t="s">
        <v>18</v>
      </c>
      <c r="AN183" s="287" t="s">
        <v>18</v>
      </c>
      <c r="AO183" s="288" t="s">
        <v>18</v>
      </c>
      <c r="AP183" s="289" t="s">
        <v>18</v>
      </c>
      <c r="AQ183" s="287" t="s">
        <v>18</v>
      </c>
      <c r="AR183" s="287" t="s">
        <v>18</v>
      </c>
      <c r="AS183" s="288" t="s">
        <v>18</v>
      </c>
      <c r="AT183" s="287" t="s">
        <v>18</v>
      </c>
      <c r="AU183" s="287" t="s">
        <v>18</v>
      </c>
      <c r="AV183" s="288" t="s">
        <v>18</v>
      </c>
      <c r="AW183" s="287" t="s">
        <v>18</v>
      </c>
      <c r="AX183" s="287" t="s">
        <v>18</v>
      </c>
      <c r="AY183" s="288" t="s">
        <v>18</v>
      </c>
      <c r="AZ183" s="287" t="s">
        <v>18</v>
      </c>
      <c r="BA183" s="287" t="s">
        <v>18</v>
      </c>
      <c r="BB183" s="295" t="s">
        <v>32</v>
      </c>
      <c r="BC183" s="296" t="s">
        <v>32</v>
      </c>
      <c r="BD183" s="292"/>
    </row>
    <row r="184" ht="12.75" customHeight="1">
      <c r="A184" s="293">
        <v>45265.45241434028</v>
      </c>
      <c r="B184" s="286" t="s">
        <v>486</v>
      </c>
      <c r="C184" s="287" t="s">
        <v>559</v>
      </c>
      <c r="D184" s="285" t="s">
        <v>16</v>
      </c>
      <c r="E184" s="285" t="s">
        <v>476</v>
      </c>
      <c r="F184" s="287" t="s">
        <v>749</v>
      </c>
      <c r="G184" s="285" t="s">
        <v>21</v>
      </c>
      <c r="H184" s="285">
        <v>11.0</v>
      </c>
      <c r="I184" s="287" t="s">
        <v>497</v>
      </c>
      <c r="J184" s="292"/>
      <c r="K184" s="287" t="s">
        <v>508</v>
      </c>
      <c r="L184" s="287" t="s">
        <v>479</v>
      </c>
      <c r="M184" s="287" t="s">
        <v>481</v>
      </c>
      <c r="N184" s="287" t="s">
        <v>561</v>
      </c>
      <c r="O184" s="287"/>
      <c r="P184" s="287"/>
      <c r="Q184" s="294" t="s">
        <v>32</v>
      </c>
      <c r="R184" s="294" t="s">
        <v>32</v>
      </c>
      <c r="S184" s="295" t="s">
        <v>32</v>
      </c>
      <c r="T184" s="287" t="s">
        <v>377</v>
      </c>
      <c r="U184" s="287" t="s">
        <v>18</v>
      </c>
      <c r="V184" s="288" t="s">
        <v>377</v>
      </c>
      <c r="W184" s="287" t="s">
        <v>377</v>
      </c>
      <c r="X184" s="287" t="s">
        <v>377</v>
      </c>
      <c r="Y184" s="288" t="s">
        <v>377</v>
      </c>
      <c r="Z184" s="287" t="s">
        <v>377</v>
      </c>
      <c r="AA184" s="294" t="s">
        <v>32</v>
      </c>
      <c r="AB184" s="295" t="s">
        <v>32</v>
      </c>
      <c r="AC184" s="289" t="s">
        <v>377</v>
      </c>
      <c r="AD184" s="287" t="s">
        <v>377</v>
      </c>
      <c r="AE184" s="294" t="s">
        <v>32</v>
      </c>
      <c r="AF184" s="295" t="s">
        <v>32</v>
      </c>
      <c r="AG184" s="294" t="s">
        <v>32</v>
      </c>
      <c r="AH184" s="287" t="s">
        <v>18</v>
      </c>
      <c r="AI184" s="288" t="s">
        <v>377</v>
      </c>
      <c r="AJ184" s="287" t="s">
        <v>377</v>
      </c>
      <c r="AK184" s="287" t="s">
        <v>377</v>
      </c>
      <c r="AL184" s="288" t="s">
        <v>377</v>
      </c>
      <c r="AM184" s="287" t="s">
        <v>377</v>
      </c>
      <c r="AN184" s="287" t="s">
        <v>377</v>
      </c>
      <c r="AO184" s="288" t="s">
        <v>377</v>
      </c>
      <c r="AP184" s="289" t="s">
        <v>377</v>
      </c>
      <c r="AQ184" s="294" t="s">
        <v>32</v>
      </c>
      <c r="AR184" s="287" t="s">
        <v>18</v>
      </c>
      <c r="AS184" s="288" t="s">
        <v>377</v>
      </c>
      <c r="AT184" s="294" t="s">
        <v>32</v>
      </c>
      <c r="AU184" s="294" t="s">
        <v>32</v>
      </c>
      <c r="AV184" s="295" t="s">
        <v>32</v>
      </c>
      <c r="AW184" s="287" t="s">
        <v>377</v>
      </c>
      <c r="AX184" s="287" t="s">
        <v>377</v>
      </c>
      <c r="AY184" s="288" t="s">
        <v>377</v>
      </c>
      <c r="AZ184" s="294" t="s">
        <v>32</v>
      </c>
      <c r="BA184" s="294" t="s">
        <v>32</v>
      </c>
      <c r="BB184" s="288" t="s">
        <v>377</v>
      </c>
      <c r="BC184" s="289" t="s">
        <v>377</v>
      </c>
      <c r="BD184" s="292"/>
    </row>
    <row r="185" ht="12.75" customHeight="1">
      <c r="A185" s="293">
        <v>45265.454571759255</v>
      </c>
      <c r="B185" s="286" t="s">
        <v>486</v>
      </c>
      <c r="C185" s="287" t="s">
        <v>559</v>
      </c>
      <c r="D185" s="285" t="s">
        <v>16</v>
      </c>
      <c r="E185" s="285" t="s">
        <v>476</v>
      </c>
      <c r="F185" s="287" t="s">
        <v>750</v>
      </c>
      <c r="G185" s="285" t="s">
        <v>17</v>
      </c>
      <c r="H185" s="285">
        <v>11.0</v>
      </c>
      <c r="I185" s="287" t="s">
        <v>497</v>
      </c>
      <c r="J185" s="292"/>
      <c r="K185" s="287" t="s">
        <v>508</v>
      </c>
      <c r="L185" s="287" t="s">
        <v>479</v>
      </c>
      <c r="M185" s="287" t="s">
        <v>481</v>
      </c>
      <c r="N185" s="287" t="s">
        <v>561</v>
      </c>
      <c r="O185" s="287"/>
      <c r="P185" s="287"/>
      <c r="Q185" s="287" t="s">
        <v>18</v>
      </c>
      <c r="R185" s="287" t="s">
        <v>18</v>
      </c>
      <c r="S185" s="288" t="s">
        <v>18</v>
      </c>
      <c r="T185" s="287" t="s">
        <v>18</v>
      </c>
      <c r="U185" s="287" t="s">
        <v>18</v>
      </c>
      <c r="V185" s="288" t="s">
        <v>18</v>
      </c>
      <c r="W185" s="287" t="s">
        <v>18</v>
      </c>
      <c r="X185" s="287" t="s">
        <v>18</v>
      </c>
      <c r="Y185" s="288" t="s">
        <v>18</v>
      </c>
      <c r="Z185" s="287" t="s">
        <v>18</v>
      </c>
      <c r="AA185" s="287" t="s">
        <v>18</v>
      </c>
      <c r="AB185" s="288" t="s">
        <v>18</v>
      </c>
      <c r="AC185" s="289" t="s">
        <v>18</v>
      </c>
      <c r="AD185" s="287" t="s">
        <v>18</v>
      </c>
      <c r="AE185" s="287" t="s">
        <v>18</v>
      </c>
      <c r="AF185" s="288" t="s">
        <v>18</v>
      </c>
      <c r="AG185" s="287" t="s">
        <v>18</v>
      </c>
      <c r="AH185" s="287" t="s">
        <v>18</v>
      </c>
      <c r="AI185" s="288" t="s">
        <v>18</v>
      </c>
      <c r="AJ185" s="287" t="s">
        <v>18</v>
      </c>
      <c r="AK185" s="287" t="s">
        <v>18</v>
      </c>
      <c r="AL185" s="288" t="s">
        <v>18</v>
      </c>
      <c r="AM185" s="287" t="s">
        <v>18</v>
      </c>
      <c r="AN185" s="287" t="s">
        <v>18</v>
      </c>
      <c r="AO185" s="288" t="s">
        <v>18</v>
      </c>
      <c r="AP185" s="289" t="s">
        <v>18</v>
      </c>
      <c r="AQ185" s="287" t="s">
        <v>18</v>
      </c>
      <c r="AR185" s="287" t="s">
        <v>18</v>
      </c>
      <c r="AS185" s="288" t="s">
        <v>18</v>
      </c>
      <c r="AT185" s="287" t="s">
        <v>18</v>
      </c>
      <c r="AU185" s="287" t="s">
        <v>18</v>
      </c>
      <c r="AV185" s="288" t="s">
        <v>18</v>
      </c>
      <c r="AW185" s="287" t="s">
        <v>18</v>
      </c>
      <c r="AX185" s="287" t="s">
        <v>18</v>
      </c>
      <c r="AY185" s="288" t="s">
        <v>18</v>
      </c>
      <c r="AZ185" s="287" t="s">
        <v>18</v>
      </c>
      <c r="BA185" s="287" t="s">
        <v>18</v>
      </c>
      <c r="BB185" s="288" t="s">
        <v>377</v>
      </c>
      <c r="BC185" s="289" t="s">
        <v>377</v>
      </c>
      <c r="BD185" s="292"/>
    </row>
    <row r="186" ht="12.75" customHeight="1">
      <c r="A186" s="293">
        <v>45265.45665296297</v>
      </c>
      <c r="B186" s="286" t="s">
        <v>486</v>
      </c>
      <c r="C186" s="287" t="s">
        <v>559</v>
      </c>
      <c r="D186" s="285" t="s">
        <v>16</v>
      </c>
      <c r="E186" s="285" t="s">
        <v>476</v>
      </c>
      <c r="F186" s="287" t="s">
        <v>751</v>
      </c>
      <c r="G186" s="285" t="s">
        <v>17</v>
      </c>
      <c r="H186" s="285">
        <v>12.0</v>
      </c>
      <c r="I186" s="287" t="s">
        <v>497</v>
      </c>
      <c r="J186" s="292"/>
      <c r="K186" s="287" t="s">
        <v>508</v>
      </c>
      <c r="L186" s="287" t="s">
        <v>479</v>
      </c>
      <c r="M186" s="287" t="s">
        <v>481</v>
      </c>
      <c r="N186" s="287" t="s">
        <v>561</v>
      </c>
      <c r="O186" s="287"/>
      <c r="P186" s="287"/>
      <c r="Q186" s="287" t="s">
        <v>18</v>
      </c>
      <c r="R186" s="287" t="s">
        <v>18</v>
      </c>
      <c r="S186" s="288" t="s">
        <v>18</v>
      </c>
      <c r="T186" s="287" t="s">
        <v>18</v>
      </c>
      <c r="U186" s="287" t="s">
        <v>18</v>
      </c>
      <c r="V186" s="288" t="s">
        <v>18</v>
      </c>
      <c r="W186" s="287" t="s">
        <v>18</v>
      </c>
      <c r="X186" s="287" t="s">
        <v>18</v>
      </c>
      <c r="Y186" s="288" t="s">
        <v>18</v>
      </c>
      <c r="Z186" s="287" t="s">
        <v>18</v>
      </c>
      <c r="AA186" s="287" t="s">
        <v>18</v>
      </c>
      <c r="AB186" s="288" t="s">
        <v>18</v>
      </c>
      <c r="AC186" s="289" t="s">
        <v>18</v>
      </c>
      <c r="AD186" s="287" t="s">
        <v>18</v>
      </c>
      <c r="AE186" s="287" t="s">
        <v>18</v>
      </c>
      <c r="AF186" s="288" t="s">
        <v>18</v>
      </c>
      <c r="AG186" s="287" t="s">
        <v>18</v>
      </c>
      <c r="AH186" s="287" t="s">
        <v>18</v>
      </c>
      <c r="AI186" s="288" t="s">
        <v>18</v>
      </c>
      <c r="AJ186" s="287" t="s">
        <v>18</v>
      </c>
      <c r="AK186" s="287" t="s">
        <v>18</v>
      </c>
      <c r="AL186" s="288" t="s">
        <v>18</v>
      </c>
      <c r="AM186" s="287" t="s">
        <v>18</v>
      </c>
      <c r="AN186" s="287" t="s">
        <v>18</v>
      </c>
      <c r="AO186" s="288" t="s">
        <v>18</v>
      </c>
      <c r="AP186" s="289" t="s">
        <v>18</v>
      </c>
      <c r="AQ186" s="287" t="s">
        <v>18</v>
      </c>
      <c r="AR186" s="287" t="s">
        <v>18</v>
      </c>
      <c r="AS186" s="288" t="s">
        <v>18</v>
      </c>
      <c r="AT186" s="287" t="s">
        <v>18</v>
      </c>
      <c r="AU186" s="287" t="s">
        <v>18</v>
      </c>
      <c r="AV186" s="288" t="s">
        <v>18</v>
      </c>
      <c r="AW186" s="287" t="s">
        <v>18</v>
      </c>
      <c r="AX186" s="287" t="s">
        <v>18</v>
      </c>
      <c r="AY186" s="288" t="s">
        <v>18</v>
      </c>
      <c r="AZ186" s="287" t="s">
        <v>18</v>
      </c>
      <c r="BA186" s="287" t="s">
        <v>18</v>
      </c>
      <c r="BB186" s="288" t="s">
        <v>377</v>
      </c>
      <c r="BC186" s="289" t="s">
        <v>377</v>
      </c>
      <c r="BD186" s="292"/>
    </row>
    <row r="187" ht="12.75" customHeight="1">
      <c r="A187" s="293">
        <v>45265.46603334491</v>
      </c>
      <c r="B187" s="286" t="s">
        <v>486</v>
      </c>
      <c r="C187" s="287" t="s">
        <v>559</v>
      </c>
      <c r="D187" s="285" t="s">
        <v>16</v>
      </c>
      <c r="E187" s="285" t="s">
        <v>476</v>
      </c>
      <c r="F187" s="287" t="s">
        <v>752</v>
      </c>
      <c r="G187" s="285" t="s">
        <v>17</v>
      </c>
      <c r="H187" s="285">
        <v>12.0</v>
      </c>
      <c r="I187" s="287" t="s">
        <v>497</v>
      </c>
      <c r="J187" s="292"/>
      <c r="K187" s="287" t="s">
        <v>508</v>
      </c>
      <c r="L187" s="287" t="s">
        <v>479</v>
      </c>
      <c r="M187" s="287" t="s">
        <v>481</v>
      </c>
      <c r="N187" s="287" t="s">
        <v>561</v>
      </c>
      <c r="O187" s="287"/>
      <c r="P187" s="287"/>
      <c r="Q187" s="294" t="s">
        <v>32</v>
      </c>
      <c r="R187" s="294" t="s">
        <v>32</v>
      </c>
      <c r="S187" s="295" t="s">
        <v>32</v>
      </c>
      <c r="T187" s="294" t="s">
        <v>32</v>
      </c>
      <c r="U187" s="294" t="s">
        <v>32</v>
      </c>
      <c r="V187" s="295" t="s">
        <v>32</v>
      </c>
      <c r="W187" s="287" t="s">
        <v>377</v>
      </c>
      <c r="X187" s="294" t="s">
        <v>32</v>
      </c>
      <c r="Y187" s="295" t="s">
        <v>32</v>
      </c>
      <c r="Z187" s="294" t="s">
        <v>32</v>
      </c>
      <c r="AA187" s="294" t="s">
        <v>32</v>
      </c>
      <c r="AB187" s="295" t="s">
        <v>32</v>
      </c>
      <c r="AC187" s="296" t="s">
        <v>32</v>
      </c>
      <c r="AD187" s="294" t="s">
        <v>32</v>
      </c>
      <c r="AE187" s="294" t="s">
        <v>32</v>
      </c>
      <c r="AF187" s="295" t="s">
        <v>32</v>
      </c>
      <c r="AG187" s="294" t="s">
        <v>32</v>
      </c>
      <c r="AH187" s="294" t="s">
        <v>32</v>
      </c>
      <c r="AI187" s="295" t="s">
        <v>32</v>
      </c>
      <c r="AJ187" s="294" t="s">
        <v>32</v>
      </c>
      <c r="AK187" s="294" t="s">
        <v>32</v>
      </c>
      <c r="AL187" s="295" t="s">
        <v>32</v>
      </c>
      <c r="AM187" s="294" t="s">
        <v>32</v>
      </c>
      <c r="AN187" s="294" t="s">
        <v>32</v>
      </c>
      <c r="AO187" s="295" t="s">
        <v>32</v>
      </c>
      <c r="AP187" s="296" t="s">
        <v>32</v>
      </c>
      <c r="AQ187" s="294" t="s">
        <v>32</v>
      </c>
      <c r="AR187" s="294" t="s">
        <v>32</v>
      </c>
      <c r="AS187" s="295" t="s">
        <v>32</v>
      </c>
      <c r="AT187" s="294" t="s">
        <v>32</v>
      </c>
      <c r="AU187" s="294" t="s">
        <v>32</v>
      </c>
      <c r="AV187" s="295" t="s">
        <v>32</v>
      </c>
      <c r="AW187" s="294" t="s">
        <v>32</v>
      </c>
      <c r="AX187" s="294" t="s">
        <v>32</v>
      </c>
      <c r="AY187" s="295" t="s">
        <v>32</v>
      </c>
      <c r="AZ187" s="294" t="s">
        <v>32</v>
      </c>
      <c r="BA187" s="294" t="s">
        <v>32</v>
      </c>
      <c r="BB187" s="295" t="s">
        <v>32</v>
      </c>
      <c r="BC187" s="296" t="s">
        <v>32</v>
      </c>
      <c r="BD187" s="292"/>
    </row>
    <row r="188" ht="12.75" customHeight="1">
      <c r="A188" s="293">
        <v>45265.46854053241</v>
      </c>
      <c r="B188" s="286" t="s">
        <v>486</v>
      </c>
      <c r="C188" s="287" t="s">
        <v>559</v>
      </c>
      <c r="D188" s="285" t="s">
        <v>16</v>
      </c>
      <c r="E188" s="285" t="s">
        <v>476</v>
      </c>
      <c r="F188" s="287" t="s">
        <v>753</v>
      </c>
      <c r="G188" s="285" t="s">
        <v>21</v>
      </c>
      <c r="H188" s="285">
        <v>12.0</v>
      </c>
      <c r="I188" s="287" t="s">
        <v>497</v>
      </c>
      <c r="J188" s="292"/>
      <c r="K188" s="287" t="s">
        <v>508</v>
      </c>
      <c r="L188" s="287" t="s">
        <v>479</v>
      </c>
      <c r="M188" s="287" t="s">
        <v>483</v>
      </c>
      <c r="N188" s="287" t="s">
        <v>561</v>
      </c>
      <c r="O188" s="287"/>
      <c r="P188" s="287"/>
      <c r="Q188" s="294" t="s">
        <v>32</v>
      </c>
      <c r="R188" s="294" t="s">
        <v>32</v>
      </c>
      <c r="S188" s="295" t="s">
        <v>32</v>
      </c>
      <c r="T188" s="294" t="s">
        <v>32</v>
      </c>
      <c r="U188" s="294" t="s">
        <v>32</v>
      </c>
      <c r="V188" s="295" t="s">
        <v>32</v>
      </c>
      <c r="W188" s="294" t="s">
        <v>32</v>
      </c>
      <c r="X188" s="294" t="s">
        <v>32</v>
      </c>
      <c r="Y188" s="295" t="s">
        <v>32</v>
      </c>
      <c r="Z188" s="294" t="s">
        <v>32</v>
      </c>
      <c r="AA188" s="294" t="s">
        <v>32</v>
      </c>
      <c r="AB188" s="295" t="s">
        <v>32</v>
      </c>
      <c r="AC188" s="296" t="s">
        <v>32</v>
      </c>
      <c r="AD188" s="294" t="s">
        <v>32</v>
      </c>
      <c r="AE188" s="294" t="s">
        <v>32</v>
      </c>
      <c r="AF188" s="295" t="s">
        <v>32</v>
      </c>
      <c r="AG188" s="294" t="s">
        <v>32</v>
      </c>
      <c r="AH188" s="294" t="s">
        <v>32</v>
      </c>
      <c r="AI188" s="295" t="s">
        <v>32</v>
      </c>
      <c r="AJ188" s="294" t="s">
        <v>32</v>
      </c>
      <c r="AK188" s="294" t="s">
        <v>32</v>
      </c>
      <c r="AL188" s="295" t="s">
        <v>32</v>
      </c>
      <c r="AM188" s="294" t="s">
        <v>32</v>
      </c>
      <c r="AN188" s="294" t="s">
        <v>32</v>
      </c>
      <c r="AO188" s="295" t="s">
        <v>32</v>
      </c>
      <c r="AP188" s="296" t="s">
        <v>32</v>
      </c>
      <c r="AQ188" s="294" t="s">
        <v>32</v>
      </c>
      <c r="AR188" s="294" t="s">
        <v>32</v>
      </c>
      <c r="AS188" s="295" t="s">
        <v>32</v>
      </c>
      <c r="AT188" s="294" t="s">
        <v>32</v>
      </c>
      <c r="AU188" s="294" t="s">
        <v>32</v>
      </c>
      <c r="AV188" s="295" t="s">
        <v>32</v>
      </c>
      <c r="AW188" s="294" t="s">
        <v>32</v>
      </c>
      <c r="AX188" s="294" t="s">
        <v>32</v>
      </c>
      <c r="AY188" s="295" t="s">
        <v>32</v>
      </c>
      <c r="AZ188" s="294" t="s">
        <v>32</v>
      </c>
      <c r="BA188" s="294" t="s">
        <v>32</v>
      </c>
      <c r="BB188" s="288" t="s">
        <v>377</v>
      </c>
      <c r="BC188" s="289" t="s">
        <v>377</v>
      </c>
      <c r="BD188" s="292"/>
    </row>
    <row r="189" ht="12.75" customHeight="1">
      <c r="A189" s="293">
        <v>45265.47130777778</v>
      </c>
      <c r="B189" s="286" t="s">
        <v>486</v>
      </c>
      <c r="C189" s="287" t="s">
        <v>559</v>
      </c>
      <c r="D189" s="285" t="s">
        <v>16</v>
      </c>
      <c r="E189" s="285" t="s">
        <v>476</v>
      </c>
      <c r="F189" s="287" t="s">
        <v>754</v>
      </c>
      <c r="G189" s="285" t="s">
        <v>21</v>
      </c>
      <c r="H189" s="285">
        <v>11.0</v>
      </c>
      <c r="I189" s="287" t="s">
        <v>497</v>
      </c>
      <c r="J189" s="292"/>
      <c r="K189" s="287" t="s">
        <v>508</v>
      </c>
      <c r="L189" s="287" t="s">
        <v>479</v>
      </c>
      <c r="M189" s="287" t="s">
        <v>481</v>
      </c>
      <c r="N189" s="287" t="s">
        <v>561</v>
      </c>
      <c r="O189" s="287"/>
      <c r="P189" s="287"/>
      <c r="Q189" s="294" t="s">
        <v>32</v>
      </c>
      <c r="R189" s="287" t="s">
        <v>18</v>
      </c>
      <c r="S189" s="288" t="s">
        <v>377</v>
      </c>
      <c r="T189" s="287" t="s">
        <v>18</v>
      </c>
      <c r="U189" s="287" t="s">
        <v>18</v>
      </c>
      <c r="V189" s="288" t="s">
        <v>18</v>
      </c>
      <c r="W189" s="287" t="s">
        <v>18</v>
      </c>
      <c r="X189" s="287" t="s">
        <v>18</v>
      </c>
      <c r="Y189" s="288" t="s">
        <v>18</v>
      </c>
      <c r="Z189" s="294" t="s">
        <v>32</v>
      </c>
      <c r="AA189" s="287" t="s">
        <v>18</v>
      </c>
      <c r="AB189" s="288" t="s">
        <v>377</v>
      </c>
      <c r="AC189" s="289" t="s">
        <v>377</v>
      </c>
      <c r="AD189" s="287" t="s">
        <v>18</v>
      </c>
      <c r="AE189" s="294" t="s">
        <v>32</v>
      </c>
      <c r="AF189" s="288" t="s">
        <v>377</v>
      </c>
      <c r="AG189" s="287" t="s">
        <v>18</v>
      </c>
      <c r="AH189" s="287" t="s">
        <v>18</v>
      </c>
      <c r="AI189" s="288" t="s">
        <v>18</v>
      </c>
      <c r="AJ189" s="294" t="s">
        <v>32</v>
      </c>
      <c r="AK189" s="287" t="s">
        <v>18</v>
      </c>
      <c r="AL189" s="288" t="s">
        <v>377</v>
      </c>
      <c r="AM189" s="287" t="s">
        <v>18</v>
      </c>
      <c r="AN189" s="287" t="s">
        <v>18</v>
      </c>
      <c r="AO189" s="288" t="s">
        <v>18</v>
      </c>
      <c r="AP189" s="289" t="s">
        <v>377</v>
      </c>
      <c r="AQ189" s="287" t="s">
        <v>18</v>
      </c>
      <c r="AR189" s="294" t="s">
        <v>32</v>
      </c>
      <c r="AS189" s="288" t="s">
        <v>377</v>
      </c>
      <c r="AT189" s="287" t="s">
        <v>18</v>
      </c>
      <c r="AU189" s="287" t="s">
        <v>18</v>
      </c>
      <c r="AV189" s="288" t="s">
        <v>18</v>
      </c>
      <c r="AW189" s="287" t="s">
        <v>18</v>
      </c>
      <c r="AX189" s="287" t="s">
        <v>18</v>
      </c>
      <c r="AY189" s="288" t="s">
        <v>18</v>
      </c>
      <c r="AZ189" s="294" t="s">
        <v>32</v>
      </c>
      <c r="BA189" s="287" t="s">
        <v>18</v>
      </c>
      <c r="BB189" s="295" t="s">
        <v>32</v>
      </c>
      <c r="BC189" s="296" t="s">
        <v>32</v>
      </c>
      <c r="BD189" s="292"/>
    </row>
    <row r="190" ht="12.75" customHeight="1">
      <c r="A190" s="293">
        <v>45265.49640631945</v>
      </c>
      <c r="B190" s="286" t="s">
        <v>486</v>
      </c>
      <c r="C190" s="287" t="s">
        <v>559</v>
      </c>
      <c r="D190" s="285" t="s">
        <v>16</v>
      </c>
      <c r="E190" s="285" t="s">
        <v>476</v>
      </c>
      <c r="F190" s="287" t="s">
        <v>755</v>
      </c>
      <c r="G190" s="285" t="s">
        <v>17</v>
      </c>
      <c r="H190" s="285">
        <v>11.0</v>
      </c>
      <c r="I190" s="287" t="s">
        <v>497</v>
      </c>
      <c r="J190" s="292"/>
      <c r="K190" s="287" t="s">
        <v>508</v>
      </c>
      <c r="L190" s="287" t="s">
        <v>497</v>
      </c>
      <c r="M190" s="292"/>
      <c r="N190" s="292"/>
      <c r="O190" s="292"/>
      <c r="P190" s="292"/>
      <c r="Q190" s="294" t="s">
        <v>32</v>
      </c>
      <c r="R190" s="294" t="s">
        <v>32</v>
      </c>
      <c r="S190" s="295" t="s">
        <v>32</v>
      </c>
      <c r="T190" s="287" t="s">
        <v>18</v>
      </c>
      <c r="U190" s="287" t="s">
        <v>18</v>
      </c>
      <c r="V190" s="288" t="s">
        <v>18</v>
      </c>
      <c r="W190" s="287" t="s">
        <v>18</v>
      </c>
      <c r="X190" s="287" t="s">
        <v>18</v>
      </c>
      <c r="Y190" s="288" t="s">
        <v>18</v>
      </c>
      <c r="Z190" s="294" t="s">
        <v>32</v>
      </c>
      <c r="AA190" s="287" t="s">
        <v>18</v>
      </c>
      <c r="AB190" s="288" t="s">
        <v>377</v>
      </c>
      <c r="AC190" s="289" t="s">
        <v>377</v>
      </c>
      <c r="AD190" s="294" t="s">
        <v>32</v>
      </c>
      <c r="AE190" s="294" t="s">
        <v>32</v>
      </c>
      <c r="AF190" s="295" t="s">
        <v>32</v>
      </c>
      <c r="AG190" s="287" t="s">
        <v>18</v>
      </c>
      <c r="AH190" s="287" t="s">
        <v>18</v>
      </c>
      <c r="AI190" s="288" t="s">
        <v>18</v>
      </c>
      <c r="AJ190" s="294" t="s">
        <v>32</v>
      </c>
      <c r="AK190" s="287" t="s">
        <v>18</v>
      </c>
      <c r="AL190" s="288" t="s">
        <v>377</v>
      </c>
      <c r="AM190" s="287" t="s">
        <v>18</v>
      </c>
      <c r="AN190" s="287" t="s">
        <v>18</v>
      </c>
      <c r="AO190" s="288" t="s">
        <v>18</v>
      </c>
      <c r="AP190" s="289" t="s">
        <v>377</v>
      </c>
      <c r="AQ190" s="294" t="s">
        <v>32</v>
      </c>
      <c r="AR190" s="294" t="s">
        <v>32</v>
      </c>
      <c r="AS190" s="295" t="s">
        <v>32</v>
      </c>
      <c r="AT190" s="294" t="s">
        <v>32</v>
      </c>
      <c r="AU190" s="294" t="s">
        <v>32</v>
      </c>
      <c r="AV190" s="295" t="s">
        <v>32</v>
      </c>
      <c r="AW190" s="294" t="s">
        <v>32</v>
      </c>
      <c r="AX190" s="294" t="s">
        <v>32</v>
      </c>
      <c r="AY190" s="295" t="s">
        <v>32</v>
      </c>
      <c r="AZ190" s="294" t="s">
        <v>32</v>
      </c>
      <c r="BA190" s="294" t="s">
        <v>32</v>
      </c>
      <c r="BB190" s="295" t="s">
        <v>32</v>
      </c>
      <c r="BC190" s="296" t="s">
        <v>32</v>
      </c>
      <c r="BD190" s="292"/>
    </row>
    <row r="191" ht="12.75" customHeight="1">
      <c r="A191" s="293">
        <v>45266.86231537037</v>
      </c>
      <c r="B191" s="286" t="s">
        <v>486</v>
      </c>
      <c r="C191" s="287" t="s">
        <v>559</v>
      </c>
      <c r="D191" s="285" t="s">
        <v>16</v>
      </c>
      <c r="E191" s="285" t="s">
        <v>476</v>
      </c>
      <c r="F191" s="287" t="s">
        <v>756</v>
      </c>
      <c r="G191" s="285" t="s">
        <v>21</v>
      </c>
      <c r="H191" s="285">
        <v>13.0</v>
      </c>
      <c r="I191" s="287" t="s">
        <v>497</v>
      </c>
      <c r="J191" s="292"/>
      <c r="K191" s="287" t="s">
        <v>508</v>
      </c>
      <c r="L191" s="287" t="s">
        <v>479</v>
      </c>
      <c r="M191" s="287" t="s">
        <v>490</v>
      </c>
      <c r="N191" s="287" t="s">
        <v>483</v>
      </c>
      <c r="O191" s="287"/>
      <c r="P191" s="287"/>
      <c r="Q191" s="294" t="s">
        <v>32</v>
      </c>
      <c r="R191" s="294" t="s">
        <v>32</v>
      </c>
      <c r="S191" s="295" t="s">
        <v>32</v>
      </c>
      <c r="T191" s="287" t="s">
        <v>377</v>
      </c>
      <c r="U191" s="294" t="s">
        <v>32</v>
      </c>
      <c r="V191" s="295" t="s">
        <v>32</v>
      </c>
      <c r="W191" s="294" t="s">
        <v>32</v>
      </c>
      <c r="X191" s="294" t="s">
        <v>32</v>
      </c>
      <c r="Y191" s="295" t="s">
        <v>32</v>
      </c>
      <c r="Z191" s="287" t="s">
        <v>377</v>
      </c>
      <c r="AA191" s="287" t="s">
        <v>377</v>
      </c>
      <c r="AB191" s="288" t="s">
        <v>377</v>
      </c>
      <c r="AC191" s="296" t="s">
        <v>32</v>
      </c>
      <c r="AD191" s="294" t="s">
        <v>32</v>
      </c>
      <c r="AE191" s="294" t="s">
        <v>32</v>
      </c>
      <c r="AF191" s="295" t="s">
        <v>32</v>
      </c>
      <c r="AG191" s="294" t="s">
        <v>32</v>
      </c>
      <c r="AH191" s="287" t="s">
        <v>377</v>
      </c>
      <c r="AI191" s="295" t="s">
        <v>32</v>
      </c>
      <c r="AJ191" s="287" t="s">
        <v>18</v>
      </c>
      <c r="AK191" s="287" t="s">
        <v>377</v>
      </c>
      <c r="AL191" s="288" t="s">
        <v>377</v>
      </c>
      <c r="AM191" s="287" t="s">
        <v>18</v>
      </c>
      <c r="AN191" s="287" t="s">
        <v>377</v>
      </c>
      <c r="AO191" s="288" t="s">
        <v>377</v>
      </c>
      <c r="AP191" s="289" t="s">
        <v>377</v>
      </c>
      <c r="AQ191" s="294" t="s">
        <v>32</v>
      </c>
      <c r="AR191" s="294" t="s">
        <v>32</v>
      </c>
      <c r="AS191" s="295" t="s">
        <v>32</v>
      </c>
      <c r="AT191" s="294" t="s">
        <v>32</v>
      </c>
      <c r="AU191" s="294" t="s">
        <v>32</v>
      </c>
      <c r="AV191" s="295" t="s">
        <v>32</v>
      </c>
      <c r="AW191" s="294" t="s">
        <v>32</v>
      </c>
      <c r="AX191" s="287" t="s">
        <v>377</v>
      </c>
      <c r="AY191" s="295" t="s">
        <v>32</v>
      </c>
      <c r="AZ191" s="294" t="s">
        <v>32</v>
      </c>
      <c r="BA191" s="294" t="s">
        <v>32</v>
      </c>
      <c r="BB191" s="288" t="s">
        <v>377</v>
      </c>
      <c r="BC191" s="296" t="s">
        <v>32</v>
      </c>
      <c r="BD191" s="292"/>
    </row>
    <row r="192" ht="12.75" customHeight="1">
      <c r="A192" s="293">
        <v>45266.88573144676</v>
      </c>
      <c r="B192" s="286" t="s">
        <v>486</v>
      </c>
      <c r="C192" s="287" t="s">
        <v>559</v>
      </c>
      <c r="D192" s="285" t="s">
        <v>16</v>
      </c>
      <c r="E192" s="285" t="s">
        <v>476</v>
      </c>
      <c r="F192" s="287" t="s">
        <v>757</v>
      </c>
      <c r="G192" s="285" t="s">
        <v>17</v>
      </c>
      <c r="H192" s="285">
        <v>13.0</v>
      </c>
      <c r="I192" s="287" t="s">
        <v>497</v>
      </c>
      <c r="J192" s="292"/>
      <c r="K192" s="287" t="s">
        <v>508</v>
      </c>
      <c r="L192" s="287" t="s">
        <v>497</v>
      </c>
      <c r="M192" s="292"/>
      <c r="N192" s="292"/>
      <c r="O192" s="292"/>
      <c r="P192" s="292"/>
      <c r="Q192" s="294" t="s">
        <v>32</v>
      </c>
      <c r="R192" s="294" t="s">
        <v>32</v>
      </c>
      <c r="S192" s="295" t="s">
        <v>32</v>
      </c>
      <c r="T192" s="294" t="s">
        <v>32</v>
      </c>
      <c r="U192" s="294" t="s">
        <v>32</v>
      </c>
      <c r="V192" s="295" t="s">
        <v>32</v>
      </c>
      <c r="W192" s="287" t="s">
        <v>18</v>
      </c>
      <c r="X192" s="287" t="s">
        <v>377</v>
      </c>
      <c r="Y192" s="288" t="s">
        <v>377</v>
      </c>
      <c r="Z192" s="294" t="s">
        <v>32</v>
      </c>
      <c r="AA192" s="294" t="s">
        <v>32</v>
      </c>
      <c r="AB192" s="295" t="s">
        <v>32</v>
      </c>
      <c r="AC192" s="296" t="s">
        <v>32</v>
      </c>
      <c r="AD192" s="294" t="s">
        <v>32</v>
      </c>
      <c r="AE192" s="287" t="s">
        <v>377</v>
      </c>
      <c r="AF192" s="295" t="s">
        <v>32</v>
      </c>
      <c r="AG192" s="294" t="s">
        <v>32</v>
      </c>
      <c r="AH192" s="294" t="s">
        <v>32</v>
      </c>
      <c r="AI192" s="295" t="s">
        <v>32</v>
      </c>
      <c r="AJ192" s="294" t="s">
        <v>32</v>
      </c>
      <c r="AK192" s="294" t="s">
        <v>32</v>
      </c>
      <c r="AL192" s="295" t="s">
        <v>32</v>
      </c>
      <c r="AM192" s="294" t="s">
        <v>32</v>
      </c>
      <c r="AN192" s="294" t="s">
        <v>32</v>
      </c>
      <c r="AO192" s="295" t="s">
        <v>32</v>
      </c>
      <c r="AP192" s="296" t="s">
        <v>32</v>
      </c>
      <c r="AQ192" s="294" t="s">
        <v>32</v>
      </c>
      <c r="AR192" s="294" t="s">
        <v>32</v>
      </c>
      <c r="AS192" s="295" t="s">
        <v>32</v>
      </c>
      <c r="AT192" s="294" t="s">
        <v>32</v>
      </c>
      <c r="AU192" s="294" t="s">
        <v>32</v>
      </c>
      <c r="AV192" s="295" t="s">
        <v>32</v>
      </c>
      <c r="AW192" s="294" t="s">
        <v>32</v>
      </c>
      <c r="AX192" s="294" t="s">
        <v>32</v>
      </c>
      <c r="AY192" s="295" t="s">
        <v>32</v>
      </c>
      <c r="AZ192" s="294" t="s">
        <v>32</v>
      </c>
      <c r="BA192" s="294" t="s">
        <v>32</v>
      </c>
      <c r="BB192" s="295" t="s">
        <v>32</v>
      </c>
      <c r="BC192" s="296" t="s">
        <v>32</v>
      </c>
      <c r="BD192" s="292"/>
    </row>
    <row r="193" ht="12.75" customHeight="1">
      <c r="A193" s="293">
        <v>45266.92011234954</v>
      </c>
      <c r="B193" s="286" t="s">
        <v>486</v>
      </c>
      <c r="C193" s="287" t="s">
        <v>559</v>
      </c>
      <c r="D193" s="285" t="s">
        <v>16</v>
      </c>
      <c r="E193" s="285" t="s">
        <v>476</v>
      </c>
      <c r="F193" s="287" t="s">
        <v>758</v>
      </c>
      <c r="G193" s="285" t="s">
        <v>21</v>
      </c>
      <c r="H193" s="285">
        <v>12.0</v>
      </c>
      <c r="I193" s="287" t="s">
        <v>497</v>
      </c>
      <c r="J193" s="292"/>
      <c r="K193" s="287" t="s">
        <v>508</v>
      </c>
      <c r="L193" s="287" t="s">
        <v>497</v>
      </c>
      <c r="M193" s="292"/>
      <c r="N193" s="292"/>
      <c r="O193" s="292"/>
      <c r="P193" s="292"/>
      <c r="Q193" s="294" t="s">
        <v>32</v>
      </c>
      <c r="R193" s="287" t="s">
        <v>18</v>
      </c>
      <c r="S193" s="288" t="s">
        <v>377</v>
      </c>
      <c r="T193" s="287" t="s">
        <v>377</v>
      </c>
      <c r="U193" s="287" t="s">
        <v>377</v>
      </c>
      <c r="V193" s="288" t="s">
        <v>377</v>
      </c>
      <c r="W193" s="287" t="s">
        <v>377</v>
      </c>
      <c r="X193" s="287" t="s">
        <v>377</v>
      </c>
      <c r="Y193" s="288" t="s">
        <v>377</v>
      </c>
      <c r="Z193" s="287" t="s">
        <v>377</v>
      </c>
      <c r="AA193" s="287" t="s">
        <v>18</v>
      </c>
      <c r="AB193" s="288" t="s">
        <v>377</v>
      </c>
      <c r="AC193" s="289" t="s">
        <v>377</v>
      </c>
      <c r="AD193" s="294" t="s">
        <v>32</v>
      </c>
      <c r="AE193" s="287" t="s">
        <v>18</v>
      </c>
      <c r="AF193" s="288" t="s">
        <v>377</v>
      </c>
      <c r="AG193" s="294" t="s">
        <v>32</v>
      </c>
      <c r="AH193" s="287" t="s">
        <v>18</v>
      </c>
      <c r="AI193" s="288" t="s">
        <v>377</v>
      </c>
      <c r="AJ193" s="294" t="s">
        <v>32</v>
      </c>
      <c r="AK193" s="287" t="s">
        <v>377</v>
      </c>
      <c r="AL193" s="295" t="s">
        <v>32</v>
      </c>
      <c r="AM193" s="287" t="s">
        <v>18</v>
      </c>
      <c r="AN193" s="287" t="s">
        <v>18</v>
      </c>
      <c r="AO193" s="288" t="s">
        <v>18</v>
      </c>
      <c r="AP193" s="289" t="s">
        <v>377</v>
      </c>
      <c r="AQ193" s="287" t="s">
        <v>377</v>
      </c>
      <c r="AR193" s="294" t="s">
        <v>32</v>
      </c>
      <c r="AS193" s="295" t="s">
        <v>32</v>
      </c>
      <c r="AT193" s="287" t="s">
        <v>18</v>
      </c>
      <c r="AU193" s="287" t="s">
        <v>18</v>
      </c>
      <c r="AV193" s="288" t="s">
        <v>18</v>
      </c>
      <c r="AW193" s="294" t="s">
        <v>32</v>
      </c>
      <c r="AX193" s="294" t="s">
        <v>32</v>
      </c>
      <c r="AY193" s="295" t="s">
        <v>32</v>
      </c>
      <c r="AZ193" s="294" t="s">
        <v>32</v>
      </c>
      <c r="BA193" s="287" t="s">
        <v>18</v>
      </c>
      <c r="BB193" s="288" t="s">
        <v>377</v>
      </c>
      <c r="BC193" s="289" t="s">
        <v>377</v>
      </c>
      <c r="BD193" s="292"/>
    </row>
    <row r="194" ht="12.75" customHeight="1">
      <c r="A194" s="293">
        <v>45268.14590878472</v>
      </c>
      <c r="B194" s="286" t="s">
        <v>486</v>
      </c>
      <c r="C194" s="287" t="s">
        <v>559</v>
      </c>
      <c r="D194" s="285" t="s">
        <v>16</v>
      </c>
      <c r="E194" s="285" t="s">
        <v>476</v>
      </c>
      <c r="F194" s="287" t="s">
        <v>759</v>
      </c>
      <c r="G194" s="285" t="s">
        <v>21</v>
      </c>
      <c r="H194" s="285">
        <v>12.0</v>
      </c>
      <c r="I194" s="287" t="s">
        <v>497</v>
      </c>
      <c r="J194" s="292"/>
      <c r="K194" s="287" t="s">
        <v>508</v>
      </c>
      <c r="L194" s="287" t="s">
        <v>497</v>
      </c>
      <c r="M194" s="292"/>
      <c r="N194" s="292"/>
      <c r="O194" s="292"/>
      <c r="P194" s="292"/>
      <c r="Q194" s="287" t="s">
        <v>18</v>
      </c>
      <c r="R194" s="294" t="s">
        <v>32</v>
      </c>
      <c r="S194" s="288" t="s">
        <v>377</v>
      </c>
      <c r="T194" s="294" t="s">
        <v>32</v>
      </c>
      <c r="U194" s="294" t="s">
        <v>32</v>
      </c>
      <c r="V194" s="295" t="s">
        <v>32</v>
      </c>
      <c r="W194" s="287" t="s">
        <v>18</v>
      </c>
      <c r="X194" s="287" t="s">
        <v>18</v>
      </c>
      <c r="Y194" s="288" t="s">
        <v>18</v>
      </c>
      <c r="Z194" s="287" t="s">
        <v>18</v>
      </c>
      <c r="AA194" s="294" t="s">
        <v>32</v>
      </c>
      <c r="AB194" s="288" t="s">
        <v>377</v>
      </c>
      <c r="AC194" s="289" t="s">
        <v>377</v>
      </c>
      <c r="AD194" s="287" t="s">
        <v>377</v>
      </c>
      <c r="AE194" s="294" t="s">
        <v>32</v>
      </c>
      <c r="AF194" s="295" t="s">
        <v>32</v>
      </c>
      <c r="AG194" s="287" t="s">
        <v>377</v>
      </c>
      <c r="AH194" s="287" t="s">
        <v>377</v>
      </c>
      <c r="AI194" s="288" t="s">
        <v>377</v>
      </c>
      <c r="AJ194" s="294" t="s">
        <v>32</v>
      </c>
      <c r="AK194" s="287" t="s">
        <v>18</v>
      </c>
      <c r="AL194" s="288" t="s">
        <v>377</v>
      </c>
      <c r="AM194" s="287" t="s">
        <v>18</v>
      </c>
      <c r="AN194" s="287" t="s">
        <v>18</v>
      </c>
      <c r="AO194" s="288" t="s">
        <v>18</v>
      </c>
      <c r="AP194" s="289" t="s">
        <v>377</v>
      </c>
      <c r="AQ194" s="294" t="s">
        <v>32</v>
      </c>
      <c r="AR194" s="287" t="s">
        <v>18</v>
      </c>
      <c r="AS194" s="288" t="s">
        <v>377</v>
      </c>
      <c r="AT194" s="287" t="s">
        <v>18</v>
      </c>
      <c r="AU194" s="287" t="s">
        <v>377</v>
      </c>
      <c r="AV194" s="288" t="s">
        <v>377</v>
      </c>
      <c r="AW194" s="294" t="s">
        <v>32</v>
      </c>
      <c r="AX194" s="294" t="s">
        <v>32</v>
      </c>
      <c r="AY194" s="295" t="s">
        <v>32</v>
      </c>
      <c r="AZ194" s="287" t="s">
        <v>18</v>
      </c>
      <c r="BA194" s="287" t="s">
        <v>377</v>
      </c>
      <c r="BB194" s="295" t="s">
        <v>32</v>
      </c>
      <c r="BC194" s="296" t="s">
        <v>32</v>
      </c>
      <c r="BD194" s="292"/>
    </row>
    <row r="195" ht="12.75" customHeight="1">
      <c r="A195" s="293">
        <v>45268.14843375</v>
      </c>
      <c r="B195" s="286" t="s">
        <v>486</v>
      </c>
      <c r="C195" s="287" t="s">
        <v>559</v>
      </c>
      <c r="D195" s="285" t="s">
        <v>16</v>
      </c>
      <c r="E195" s="285" t="s">
        <v>476</v>
      </c>
      <c r="F195" s="287" t="s">
        <v>760</v>
      </c>
      <c r="G195" s="285" t="s">
        <v>21</v>
      </c>
      <c r="H195" s="285">
        <v>13.0</v>
      </c>
      <c r="I195" s="287" t="s">
        <v>497</v>
      </c>
      <c r="J195" s="292"/>
      <c r="K195" s="287" t="s">
        <v>508</v>
      </c>
      <c r="L195" s="287" t="s">
        <v>497</v>
      </c>
      <c r="M195" s="292"/>
      <c r="N195" s="292"/>
      <c r="O195" s="292"/>
      <c r="P195" s="292"/>
      <c r="Q195" s="294" t="s">
        <v>32</v>
      </c>
      <c r="R195" s="294" t="s">
        <v>32</v>
      </c>
      <c r="S195" s="295" t="s">
        <v>32</v>
      </c>
      <c r="T195" s="294" t="s">
        <v>32</v>
      </c>
      <c r="U195" s="287" t="s">
        <v>18</v>
      </c>
      <c r="V195" s="288" t="s">
        <v>377</v>
      </c>
      <c r="W195" s="287" t="s">
        <v>18</v>
      </c>
      <c r="X195" s="294" t="s">
        <v>32</v>
      </c>
      <c r="Y195" s="288" t="s">
        <v>377</v>
      </c>
      <c r="Z195" s="294" t="s">
        <v>32</v>
      </c>
      <c r="AA195" s="294" t="s">
        <v>32</v>
      </c>
      <c r="AB195" s="295" t="s">
        <v>32</v>
      </c>
      <c r="AC195" s="296" t="s">
        <v>32</v>
      </c>
      <c r="AD195" s="294" t="s">
        <v>32</v>
      </c>
      <c r="AE195" s="294" t="s">
        <v>32</v>
      </c>
      <c r="AF195" s="295" t="s">
        <v>32</v>
      </c>
      <c r="AG195" s="294" t="s">
        <v>32</v>
      </c>
      <c r="AH195" s="287" t="s">
        <v>18</v>
      </c>
      <c r="AI195" s="288" t="s">
        <v>377</v>
      </c>
      <c r="AJ195" s="287" t="s">
        <v>377</v>
      </c>
      <c r="AK195" s="287" t="s">
        <v>18</v>
      </c>
      <c r="AL195" s="288" t="s">
        <v>377</v>
      </c>
      <c r="AM195" s="287" t="s">
        <v>18</v>
      </c>
      <c r="AN195" s="287" t="s">
        <v>18</v>
      </c>
      <c r="AO195" s="288" t="s">
        <v>18</v>
      </c>
      <c r="AP195" s="289" t="s">
        <v>377</v>
      </c>
      <c r="AQ195" s="287" t="s">
        <v>18</v>
      </c>
      <c r="AR195" s="294" t="s">
        <v>32</v>
      </c>
      <c r="AS195" s="288" t="s">
        <v>377</v>
      </c>
      <c r="AT195" s="294" t="s">
        <v>32</v>
      </c>
      <c r="AU195" s="294" t="s">
        <v>32</v>
      </c>
      <c r="AV195" s="295" t="s">
        <v>32</v>
      </c>
      <c r="AW195" s="294" t="s">
        <v>32</v>
      </c>
      <c r="AX195" s="287" t="s">
        <v>377</v>
      </c>
      <c r="AY195" s="295" t="s">
        <v>32</v>
      </c>
      <c r="AZ195" s="287" t="s">
        <v>18</v>
      </c>
      <c r="BA195" s="294" t="s">
        <v>32</v>
      </c>
      <c r="BB195" s="288" t="s">
        <v>377</v>
      </c>
      <c r="BC195" s="289" t="s">
        <v>377</v>
      </c>
      <c r="BD195" s="292"/>
    </row>
    <row r="196" ht="12.75" customHeight="1">
      <c r="A196" s="293">
        <v>45268.15118534722</v>
      </c>
      <c r="B196" s="286" t="s">
        <v>486</v>
      </c>
      <c r="C196" s="287" t="s">
        <v>559</v>
      </c>
      <c r="D196" s="285" t="s">
        <v>16</v>
      </c>
      <c r="E196" s="285" t="s">
        <v>476</v>
      </c>
      <c r="F196" s="287" t="s">
        <v>761</v>
      </c>
      <c r="G196" s="285" t="s">
        <v>21</v>
      </c>
      <c r="H196" s="285">
        <v>13.0</v>
      </c>
      <c r="I196" s="287" t="s">
        <v>497</v>
      </c>
      <c r="J196" s="292"/>
      <c r="K196" s="287" t="s">
        <v>508</v>
      </c>
      <c r="L196" s="287" t="s">
        <v>497</v>
      </c>
      <c r="M196" s="292"/>
      <c r="N196" s="292"/>
      <c r="O196" s="292"/>
      <c r="P196" s="292"/>
      <c r="Q196" s="294" t="s">
        <v>32</v>
      </c>
      <c r="R196" s="294" t="s">
        <v>32</v>
      </c>
      <c r="S196" s="295" t="s">
        <v>32</v>
      </c>
      <c r="T196" s="294" t="s">
        <v>32</v>
      </c>
      <c r="U196" s="294" t="s">
        <v>32</v>
      </c>
      <c r="V196" s="295" t="s">
        <v>32</v>
      </c>
      <c r="W196" s="294" t="s">
        <v>32</v>
      </c>
      <c r="X196" s="287" t="s">
        <v>18</v>
      </c>
      <c r="Y196" s="288" t="s">
        <v>377</v>
      </c>
      <c r="Z196" s="294" t="s">
        <v>32</v>
      </c>
      <c r="AA196" s="294" t="s">
        <v>32</v>
      </c>
      <c r="AB196" s="295" t="s">
        <v>32</v>
      </c>
      <c r="AC196" s="296" t="s">
        <v>32</v>
      </c>
      <c r="AD196" s="294" t="s">
        <v>32</v>
      </c>
      <c r="AE196" s="287" t="s">
        <v>377</v>
      </c>
      <c r="AF196" s="295" t="s">
        <v>32</v>
      </c>
      <c r="AG196" s="287" t="s">
        <v>18</v>
      </c>
      <c r="AH196" s="294" t="s">
        <v>32</v>
      </c>
      <c r="AI196" s="288" t="s">
        <v>377</v>
      </c>
      <c r="AJ196" s="294" t="s">
        <v>32</v>
      </c>
      <c r="AK196" s="287" t="s">
        <v>377</v>
      </c>
      <c r="AL196" s="295" t="s">
        <v>32</v>
      </c>
      <c r="AM196" s="287" t="s">
        <v>377</v>
      </c>
      <c r="AN196" s="294" t="s">
        <v>32</v>
      </c>
      <c r="AO196" s="295" t="s">
        <v>32</v>
      </c>
      <c r="AP196" s="289" t="s">
        <v>377</v>
      </c>
      <c r="AQ196" s="294" t="s">
        <v>32</v>
      </c>
      <c r="AR196" s="294" t="s">
        <v>32</v>
      </c>
      <c r="AS196" s="295" t="s">
        <v>32</v>
      </c>
      <c r="AT196" s="294" t="s">
        <v>32</v>
      </c>
      <c r="AU196" s="287" t="s">
        <v>377</v>
      </c>
      <c r="AV196" s="295" t="s">
        <v>32</v>
      </c>
      <c r="AW196" s="294" t="s">
        <v>32</v>
      </c>
      <c r="AX196" s="287" t="s">
        <v>377</v>
      </c>
      <c r="AY196" s="295" t="s">
        <v>32</v>
      </c>
      <c r="AZ196" s="287" t="s">
        <v>377</v>
      </c>
      <c r="BA196" s="287" t="s">
        <v>377</v>
      </c>
      <c r="BB196" s="288" t="s">
        <v>377</v>
      </c>
      <c r="BC196" s="289" t="s">
        <v>377</v>
      </c>
      <c r="BD196" s="292"/>
    </row>
    <row r="197" ht="12.75" customHeight="1">
      <c r="A197" s="293">
        <v>45268.15807391204</v>
      </c>
      <c r="B197" s="286" t="s">
        <v>486</v>
      </c>
      <c r="C197" s="287" t="s">
        <v>559</v>
      </c>
      <c r="D197" s="285" t="s">
        <v>16</v>
      </c>
      <c r="E197" s="285" t="s">
        <v>476</v>
      </c>
      <c r="F197" s="287" t="s">
        <v>762</v>
      </c>
      <c r="G197" s="285" t="s">
        <v>21</v>
      </c>
      <c r="H197" s="285">
        <v>12.0</v>
      </c>
      <c r="I197" s="287" t="s">
        <v>497</v>
      </c>
      <c r="J197" s="292"/>
      <c r="K197" s="287" t="s">
        <v>508</v>
      </c>
      <c r="L197" s="287" t="s">
        <v>497</v>
      </c>
      <c r="M197" s="292"/>
      <c r="N197" s="292"/>
      <c r="O197" s="292"/>
      <c r="P197" s="292"/>
      <c r="Q197" s="294" t="s">
        <v>32</v>
      </c>
      <c r="R197" s="294" t="s">
        <v>32</v>
      </c>
      <c r="S197" s="295" t="s">
        <v>32</v>
      </c>
      <c r="T197" s="294" t="s">
        <v>32</v>
      </c>
      <c r="U197" s="294" t="s">
        <v>32</v>
      </c>
      <c r="V197" s="295" t="s">
        <v>32</v>
      </c>
      <c r="W197" s="294" t="s">
        <v>32</v>
      </c>
      <c r="X197" s="294" t="s">
        <v>32</v>
      </c>
      <c r="Y197" s="295" t="s">
        <v>32</v>
      </c>
      <c r="Z197" s="294" t="s">
        <v>32</v>
      </c>
      <c r="AA197" s="294" t="s">
        <v>32</v>
      </c>
      <c r="AB197" s="295" t="s">
        <v>32</v>
      </c>
      <c r="AC197" s="296" t="s">
        <v>32</v>
      </c>
      <c r="AD197" s="294" t="s">
        <v>32</v>
      </c>
      <c r="AE197" s="294" t="s">
        <v>32</v>
      </c>
      <c r="AF197" s="295" t="s">
        <v>32</v>
      </c>
      <c r="AG197" s="294" t="s">
        <v>32</v>
      </c>
      <c r="AH197" s="294" t="s">
        <v>32</v>
      </c>
      <c r="AI197" s="295" t="s">
        <v>32</v>
      </c>
      <c r="AJ197" s="294" t="s">
        <v>32</v>
      </c>
      <c r="AK197" s="294" t="s">
        <v>32</v>
      </c>
      <c r="AL197" s="295" t="s">
        <v>32</v>
      </c>
      <c r="AM197" s="294" t="s">
        <v>32</v>
      </c>
      <c r="AN197" s="294" t="s">
        <v>32</v>
      </c>
      <c r="AO197" s="295" t="s">
        <v>32</v>
      </c>
      <c r="AP197" s="296" t="s">
        <v>32</v>
      </c>
      <c r="AQ197" s="294" t="s">
        <v>32</v>
      </c>
      <c r="AR197" s="294" t="s">
        <v>32</v>
      </c>
      <c r="AS197" s="295" t="s">
        <v>32</v>
      </c>
      <c r="AT197" s="294" t="s">
        <v>32</v>
      </c>
      <c r="AU197" s="294" t="s">
        <v>32</v>
      </c>
      <c r="AV197" s="295" t="s">
        <v>32</v>
      </c>
      <c r="AW197" s="294" t="s">
        <v>32</v>
      </c>
      <c r="AX197" s="294" t="s">
        <v>32</v>
      </c>
      <c r="AY197" s="295" t="s">
        <v>32</v>
      </c>
      <c r="AZ197" s="294" t="s">
        <v>32</v>
      </c>
      <c r="BA197" s="294" t="s">
        <v>32</v>
      </c>
      <c r="BB197" s="288" t="s">
        <v>377</v>
      </c>
      <c r="BC197" s="289" t="s">
        <v>377</v>
      </c>
      <c r="BD197" s="292"/>
    </row>
    <row r="198" ht="12.75" customHeight="1">
      <c r="A198" s="293">
        <v>45268.16032697917</v>
      </c>
      <c r="B198" s="286" t="s">
        <v>486</v>
      </c>
      <c r="C198" s="287" t="s">
        <v>559</v>
      </c>
      <c r="D198" s="285" t="s">
        <v>16</v>
      </c>
      <c r="E198" s="285" t="s">
        <v>476</v>
      </c>
      <c r="F198" s="287" t="s">
        <v>763</v>
      </c>
      <c r="G198" s="285" t="s">
        <v>21</v>
      </c>
      <c r="H198" s="285">
        <v>12.0</v>
      </c>
      <c r="I198" s="287" t="s">
        <v>497</v>
      </c>
      <c r="J198" s="292"/>
      <c r="K198" s="287" t="s">
        <v>508</v>
      </c>
      <c r="L198" s="287" t="s">
        <v>497</v>
      </c>
      <c r="M198" s="292"/>
      <c r="N198" s="292"/>
      <c r="O198" s="292"/>
      <c r="P198" s="292"/>
      <c r="Q198" s="287" t="s">
        <v>18</v>
      </c>
      <c r="R198" s="294" t="s">
        <v>32</v>
      </c>
      <c r="S198" s="288" t="s">
        <v>377</v>
      </c>
      <c r="T198" s="287" t="s">
        <v>18</v>
      </c>
      <c r="U198" s="294" t="s">
        <v>32</v>
      </c>
      <c r="V198" s="288" t="s">
        <v>377</v>
      </c>
      <c r="W198" s="294" t="s">
        <v>32</v>
      </c>
      <c r="X198" s="294" t="s">
        <v>32</v>
      </c>
      <c r="Y198" s="295" t="s">
        <v>32</v>
      </c>
      <c r="Z198" s="287" t="s">
        <v>18</v>
      </c>
      <c r="AA198" s="287" t="s">
        <v>18</v>
      </c>
      <c r="AB198" s="288" t="s">
        <v>18</v>
      </c>
      <c r="AC198" s="289" t="s">
        <v>377</v>
      </c>
      <c r="AD198" s="294" t="s">
        <v>32</v>
      </c>
      <c r="AE198" s="294" t="s">
        <v>32</v>
      </c>
      <c r="AF198" s="295" t="s">
        <v>32</v>
      </c>
      <c r="AG198" s="287" t="s">
        <v>18</v>
      </c>
      <c r="AH198" s="287" t="s">
        <v>18</v>
      </c>
      <c r="AI198" s="288" t="s">
        <v>18</v>
      </c>
      <c r="AJ198" s="287" t="s">
        <v>377</v>
      </c>
      <c r="AK198" s="287" t="s">
        <v>377</v>
      </c>
      <c r="AL198" s="288" t="s">
        <v>377</v>
      </c>
      <c r="AM198" s="287" t="s">
        <v>377</v>
      </c>
      <c r="AN198" s="287" t="s">
        <v>377</v>
      </c>
      <c r="AO198" s="288" t="s">
        <v>377</v>
      </c>
      <c r="AP198" s="289" t="s">
        <v>377</v>
      </c>
      <c r="AQ198" s="294" t="s">
        <v>32</v>
      </c>
      <c r="AR198" s="287" t="s">
        <v>18</v>
      </c>
      <c r="AS198" s="288" t="s">
        <v>377</v>
      </c>
      <c r="AT198" s="287" t="s">
        <v>377</v>
      </c>
      <c r="AU198" s="287" t="s">
        <v>377</v>
      </c>
      <c r="AV198" s="288" t="s">
        <v>377</v>
      </c>
      <c r="AW198" s="287" t="s">
        <v>18</v>
      </c>
      <c r="AX198" s="287" t="s">
        <v>377</v>
      </c>
      <c r="AY198" s="288" t="s">
        <v>377</v>
      </c>
      <c r="AZ198" s="287" t="s">
        <v>18</v>
      </c>
      <c r="BA198" s="294" t="s">
        <v>32</v>
      </c>
      <c r="BB198" s="288" t="s">
        <v>377</v>
      </c>
      <c r="BC198" s="296" t="s">
        <v>32</v>
      </c>
      <c r="BD198" s="292"/>
    </row>
    <row r="199" ht="12.75" customHeight="1">
      <c r="A199" s="293">
        <v>44789.76332033565</v>
      </c>
      <c r="B199" s="297" t="s">
        <v>486</v>
      </c>
      <c r="C199" s="298" t="s">
        <v>567</v>
      </c>
      <c r="D199" s="298" t="s">
        <v>16</v>
      </c>
      <c r="E199" s="285" t="s">
        <v>476</v>
      </c>
      <c r="F199" s="292" t="s">
        <v>764</v>
      </c>
      <c r="G199" s="298" t="s">
        <v>17</v>
      </c>
      <c r="H199" s="298">
        <v>11.0</v>
      </c>
      <c r="I199" s="292" t="s">
        <v>497</v>
      </c>
      <c r="J199" s="292" t="s">
        <v>498</v>
      </c>
      <c r="K199" s="287" t="s">
        <v>508</v>
      </c>
      <c r="L199" s="292" t="s">
        <v>479</v>
      </c>
      <c r="M199" s="292" t="s">
        <v>481</v>
      </c>
      <c r="N199" s="292"/>
      <c r="O199" s="292"/>
      <c r="P199" s="292"/>
      <c r="Q199" s="299" t="s">
        <v>32</v>
      </c>
      <c r="R199" s="299" t="s">
        <v>32</v>
      </c>
      <c r="S199" s="295" t="s">
        <v>32</v>
      </c>
      <c r="T199" s="299" t="s">
        <v>32</v>
      </c>
      <c r="U199" s="292" t="s">
        <v>377</v>
      </c>
      <c r="V199" s="295" t="s">
        <v>32</v>
      </c>
      <c r="W199" s="299" t="s">
        <v>32</v>
      </c>
      <c r="X199" s="292" t="s">
        <v>377</v>
      </c>
      <c r="Y199" s="295" t="s">
        <v>32</v>
      </c>
      <c r="Z199" s="292" t="s">
        <v>377</v>
      </c>
      <c r="AA199" s="292" t="s">
        <v>377</v>
      </c>
      <c r="AB199" s="288" t="s">
        <v>377</v>
      </c>
      <c r="AC199" s="296" t="s">
        <v>32</v>
      </c>
      <c r="AD199" s="299" t="s">
        <v>32</v>
      </c>
      <c r="AE199" s="299" t="s">
        <v>32</v>
      </c>
      <c r="AF199" s="295" t="s">
        <v>32</v>
      </c>
      <c r="AG199" s="299" t="s">
        <v>32</v>
      </c>
      <c r="AH199" s="292" t="s">
        <v>377</v>
      </c>
      <c r="AI199" s="295" t="s">
        <v>32</v>
      </c>
      <c r="AJ199" s="292" t="s">
        <v>377</v>
      </c>
      <c r="AK199" s="299" t="s">
        <v>32</v>
      </c>
      <c r="AL199" s="295" t="s">
        <v>32</v>
      </c>
      <c r="AM199" s="292" t="s">
        <v>377</v>
      </c>
      <c r="AN199" s="292" t="s">
        <v>18</v>
      </c>
      <c r="AO199" s="288" t="s">
        <v>377</v>
      </c>
      <c r="AP199" s="289" t="s">
        <v>377</v>
      </c>
      <c r="AQ199" s="292" t="s">
        <v>18</v>
      </c>
      <c r="AR199" s="292" t="s">
        <v>18</v>
      </c>
      <c r="AS199" s="288" t="s">
        <v>18</v>
      </c>
      <c r="AT199" s="299" t="s">
        <v>32</v>
      </c>
      <c r="AU199" s="292" t="s">
        <v>18</v>
      </c>
      <c r="AV199" s="288" t="s">
        <v>377</v>
      </c>
      <c r="AW199" s="292" t="s">
        <v>377</v>
      </c>
      <c r="AX199" s="299" t="s">
        <v>32</v>
      </c>
      <c r="AY199" s="295" t="s">
        <v>32</v>
      </c>
      <c r="AZ199" s="292" t="s">
        <v>377</v>
      </c>
      <c r="BA199" s="292" t="s">
        <v>18</v>
      </c>
      <c r="BB199" s="295" t="s">
        <v>32</v>
      </c>
      <c r="BC199" s="296" t="s">
        <v>32</v>
      </c>
      <c r="BD199" s="292"/>
    </row>
    <row r="200" ht="12.75" customHeight="1">
      <c r="A200" s="293">
        <v>44789.767604803244</v>
      </c>
      <c r="B200" s="297" t="s">
        <v>486</v>
      </c>
      <c r="C200" s="298" t="s">
        <v>567</v>
      </c>
      <c r="D200" s="298" t="s">
        <v>16</v>
      </c>
      <c r="E200" s="285" t="s">
        <v>476</v>
      </c>
      <c r="F200" s="292" t="s">
        <v>765</v>
      </c>
      <c r="G200" s="298" t="s">
        <v>17</v>
      </c>
      <c r="H200" s="298">
        <v>12.0</v>
      </c>
      <c r="I200" s="292" t="s">
        <v>497</v>
      </c>
      <c r="J200" s="292" t="s">
        <v>498</v>
      </c>
      <c r="K200" s="287" t="s">
        <v>508</v>
      </c>
      <c r="L200" s="292" t="s">
        <v>479</v>
      </c>
      <c r="M200" s="292" t="s">
        <v>481</v>
      </c>
      <c r="N200" s="292"/>
      <c r="O200" s="292"/>
      <c r="P200" s="292"/>
      <c r="Q200" s="299" t="s">
        <v>32</v>
      </c>
      <c r="R200" s="299" t="s">
        <v>32</v>
      </c>
      <c r="S200" s="295" t="s">
        <v>32</v>
      </c>
      <c r="T200" s="299" t="s">
        <v>32</v>
      </c>
      <c r="U200" s="299" t="s">
        <v>32</v>
      </c>
      <c r="V200" s="295" t="s">
        <v>32</v>
      </c>
      <c r="W200" s="299" t="s">
        <v>32</v>
      </c>
      <c r="X200" s="299" t="s">
        <v>32</v>
      </c>
      <c r="Y200" s="295" t="s">
        <v>32</v>
      </c>
      <c r="Z200" s="299" t="s">
        <v>32</v>
      </c>
      <c r="AA200" s="299" t="s">
        <v>32</v>
      </c>
      <c r="AB200" s="295" t="s">
        <v>32</v>
      </c>
      <c r="AC200" s="296" t="s">
        <v>32</v>
      </c>
      <c r="AD200" s="292" t="s">
        <v>377</v>
      </c>
      <c r="AE200" s="299" t="s">
        <v>32</v>
      </c>
      <c r="AF200" s="295" t="s">
        <v>32</v>
      </c>
      <c r="AG200" s="299" t="s">
        <v>32</v>
      </c>
      <c r="AH200" s="299" t="s">
        <v>32</v>
      </c>
      <c r="AI200" s="295" t="s">
        <v>32</v>
      </c>
      <c r="AJ200" s="299" t="s">
        <v>32</v>
      </c>
      <c r="AK200" s="299" t="s">
        <v>32</v>
      </c>
      <c r="AL200" s="295" t="s">
        <v>32</v>
      </c>
      <c r="AM200" s="299" t="s">
        <v>32</v>
      </c>
      <c r="AN200" s="299" t="s">
        <v>32</v>
      </c>
      <c r="AO200" s="295" t="s">
        <v>32</v>
      </c>
      <c r="AP200" s="296" t="s">
        <v>32</v>
      </c>
      <c r="AQ200" s="299" t="s">
        <v>32</v>
      </c>
      <c r="AR200" s="292" t="s">
        <v>18</v>
      </c>
      <c r="AS200" s="288" t="s">
        <v>377</v>
      </c>
      <c r="AT200" s="299" t="s">
        <v>32</v>
      </c>
      <c r="AU200" s="292" t="s">
        <v>18</v>
      </c>
      <c r="AV200" s="288" t="s">
        <v>377</v>
      </c>
      <c r="AW200" s="299" t="s">
        <v>32</v>
      </c>
      <c r="AX200" s="299" t="s">
        <v>32</v>
      </c>
      <c r="AY200" s="295" t="s">
        <v>32</v>
      </c>
      <c r="AZ200" s="299" t="s">
        <v>32</v>
      </c>
      <c r="BA200" s="299" t="s">
        <v>32</v>
      </c>
      <c r="BB200" s="295" t="s">
        <v>32</v>
      </c>
      <c r="BC200" s="289" t="s">
        <v>377</v>
      </c>
      <c r="BD200" s="292"/>
    </row>
    <row r="201" ht="12.75" customHeight="1">
      <c r="A201" s="293">
        <v>44789.7746452662</v>
      </c>
      <c r="B201" s="297" t="s">
        <v>486</v>
      </c>
      <c r="C201" s="298" t="s">
        <v>567</v>
      </c>
      <c r="D201" s="298" t="s">
        <v>16</v>
      </c>
      <c r="E201" s="285" t="s">
        <v>476</v>
      </c>
      <c r="F201" s="292" t="s">
        <v>766</v>
      </c>
      <c r="G201" s="298" t="s">
        <v>17</v>
      </c>
      <c r="H201" s="298">
        <v>11.0</v>
      </c>
      <c r="I201" s="292" t="s">
        <v>497</v>
      </c>
      <c r="J201" s="292" t="s">
        <v>498</v>
      </c>
      <c r="K201" s="287" t="s">
        <v>508</v>
      </c>
      <c r="L201" s="292" t="s">
        <v>497</v>
      </c>
      <c r="M201" s="292" t="s">
        <v>586</v>
      </c>
      <c r="N201" s="292"/>
      <c r="O201" s="292"/>
      <c r="P201" s="292"/>
      <c r="Q201" s="292" t="s">
        <v>18</v>
      </c>
      <c r="R201" s="292" t="s">
        <v>18</v>
      </c>
      <c r="S201" s="288" t="s">
        <v>18</v>
      </c>
      <c r="T201" s="292" t="s">
        <v>18</v>
      </c>
      <c r="U201" s="292" t="s">
        <v>18</v>
      </c>
      <c r="V201" s="288" t="s">
        <v>18</v>
      </c>
      <c r="W201" s="292" t="s">
        <v>18</v>
      </c>
      <c r="X201" s="292" t="s">
        <v>18</v>
      </c>
      <c r="Y201" s="288" t="s">
        <v>18</v>
      </c>
      <c r="Z201" s="292" t="s">
        <v>18</v>
      </c>
      <c r="AA201" s="292" t="s">
        <v>18</v>
      </c>
      <c r="AB201" s="288" t="s">
        <v>18</v>
      </c>
      <c r="AC201" s="289" t="s">
        <v>18</v>
      </c>
      <c r="AD201" s="292" t="s">
        <v>18</v>
      </c>
      <c r="AE201" s="292" t="s">
        <v>18</v>
      </c>
      <c r="AF201" s="288" t="s">
        <v>18</v>
      </c>
      <c r="AG201" s="292" t="s">
        <v>18</v>
      </c>
      <c r="AH201" s="292" t="s">
        <v>18</v>
      </c>
      <c r="AI201" s="288" t="s">
        <v>18</v>
      </c>
      <c r="AJ201" s="292" t="s">
        <v>18</v>
      </c>
      <c r="AK201" s="292" t="s">
        <v>18</v>
      </c>
      <c r="AL201" s="288" t="s">
        <v>18</v>
      </c>
      <c r="AM201" s="292" t="s">
        <v>18</v>
      </c>
      <c r="AN201" s="292" t="s">
        <v>18</v>
      </c>
      <c r="AO201" s="288" t="s">
        <v>18</v>
      </c>
      <c r="AP201" s="289" t="s">
        <v>18</v>
      </c>
      <c r="AQ201" s="292" t="s">
        <v>18</v>
      </c>
      <c r="AR201" s="292" t="s">
        <v>18</v>
      </c>
      <c r="AS201" s="288" t="s">
        <v>18</v>
      </c>
      <c r="AT201" s="292" t="s">
        <v>18</v>
      </c>
      <c r="AU201" s="292" t="s">
        <v>18</v>
      </c>
      <c r="AV201" s="288" t="s">
        <v>18</v>
      </c>
      <c r="AW201" s="292" t="s">
        <v>18</v>
      </c>
      <c r="AX201" s="292" t="s">
        <v>18</v>
      </c>
      <c r="AY201" s="288" t="s">
        <v>18</v>
      </c>
      <c r="AZ201" s="292" t="s">
        <v>18</v>
      </c>
      <c r="BA201" s="292" t="s">
        <v>18</v>
      </c>
      <c r="BB201" s="295" t="s">
        <v>32</v>
      </c>
      <c r="BC201" s="296" t="s">
        <v>32</v>
      </c>
      <c r="BD201" s="292"/>
    </row>
    <row r="202" ht="12.75" customHeight="1">
      <c r="A202" s="293">
        <v>44789.77870173611</v>
      </c>
      <c r="B202" s="297" t="s">
        <v>486</v>
      </c>
      <c r="C202" s="298" t="s">
        <v>567</v>
      </c>
      <c r="D202" s="298" t="s">
        <v>16</v>
      </c>
      <c r="E202" s="285" t="s">
        <v>476</v>
      </c>
      <c r="F202" s="292" t="s">
        <v>767</v>
      </c>
      <c r="G202" s="298" t="s">
        <v>21</v>
      </c>
      <c r="H202" s="298">
        <v>11.0</v>
      </c>
      <c r="I202" s="292" t="s">
        <v>497</v>
      </c>
      <c r="J202" s="292" t="s">
        <v>498</v>
      </c>
      <c r="K202" s="287" t="s">
        <v>508</v>
      </c>
      <c r="L202" s="292" t="s">
        <v>497</v>
      </c>
      <c r="M202" s="292" t="s">
        <v>586</v>
      </c>
      <c r="N202" s="292"/>
      <c r="O202" s="292"/>
      <c r="P202" s="292"/>
      <c r="Q202" s="292" t="s">
        <v>18</v>
      </c>
      <c r="R202" s="292" t="s">
        <v>18</v>
      </c>
      <c r="S202" s="288" t="s">
        <v>18</v>
      </c>
      <c r="T202" s="292" t="s">
        <v>18</v>
      </c>
      <c r="U202" s="292" t="s">
        <v>18</v>
      </c>
      <c r="V202" s="288" t="s">
        <v>18</v>
      </c>
      <c r="W202" s="292" t="s">
        <v>18</v>
      </c>
      <c r="X202" s="292" t="s">
        <v>18</v>
      </c>
      <c r="Y202" s="288" t="s">
        <v>18</v>
      </c>
      <c r="Z202" s="292" t="s">
        <v>18</v>
      </c>
      <c r="AA202" s="292" t="s">
        <v>18</v>
      </c>
      <c r="AB202" s="288" t="s">
        <v>18</v>
      </c>
      <c r="AC202" s="289" t="s">
        <v>18</v>
      </c>
      <c r="AD202" s="292" t="s">
        <v>18</v>
      </c>
      <c r="AE202" s="292" t="s">
        <v>18</v>
      </c>
      <c r="AF202" s="288" t="s">
        <v>18</v>
      </c>
      <c r="AG202" s="292" t="s">
        <v>18</v>
      </c>
      <c r="AH202" s="292" t="s">
        <v>18</v>
      </c>
      <c r="AI202" s="288" t="s">
        <v>18</v>
      </c>
      <c r="AJ202" s="292" t="s">
        <v>18</v>
      </c>
      <c r="AK202" s="292" t="s">
        <v>18</v>
      </c>
      <c r="AL202" s="288" t="s">
        <v>18</v>
      </c>
      <c r="AM202" s="292" t="s">
        <v>18</v>
      </c>
      <c r="AN202" s="292" t="s">
        <v>18</v>
      </c>
      <c r="AO202" s="288" t="s">
        <v>18</v>
      </c>
      <c r="AP202" s="289" t="s">
        <v>18</v>
      </c>
      <c r="AQ202" s="292" t="s">
        <v>18</v>
      </c>
      <c r="AR202" s="292" t="s">
        <v>18</v>
      </c>
      <c r="AS202" s="288" t="s">
        <v>18</v>
      </c>
      <c r="AT202" s="292" t="s">
        <v>18</v>
      </c>
      <c r="AU202" s="292" t="s">
        <v>18</v>
      </c>
      <c r="AV202" s="288" t="s">
        <v>18</v>
      </c>
      <c r="AW202" s="292" t="s">
        <v>18</v>
      </c>
      <c r="AX202" s="292" t="s">
        <v>18</v>
      </c>
      <c r="AY202" s="288" t="s">
        <v>18</v>
      </c>
      <c r="AZ202" s="299" t="s">
        <v>32</v>
      </c>
      <c r="BA202" s="292" t="s">
        <v>18</v>
      </c>
      <c r="BB202" s="288" t="s">
        <v>377</v>
      </c>
      <c r="BC202" s="289" t="s">
        <v>377</v>
      </c>
      <c r="BD202" s="292"/>
    </row>
    <row r="203" ht="12.75" customHeight="1">
      <c r="A203" s="293">
        <v>44792.50945375</v>
      </c>
      <c r="B203" s="297" t="s">
        <v>486</v>
      </c>
      <c r="C203" s="298" t="s">
        <v>567</v>
      </c>
      <c r="D203" s="298" t="s">
        <v>16</v>
      </c>
      <c r="E203" s="285" t="s">
        <v>476</v>
      </c>
      <c r="F203" s="292" t="s">
        <v>503</v>
      </c>
      <c r="G203" s="298" t="s">
        <v>21</v>
      </c>
      <c r="H203" s="298">
        <v>11.0</v>
      </c>
      <c r="I203" s="292" t="s">
        <v>497</v>
      </c>
      <c r="J203" s="292" t="s">
        <v>498</v>
      </c>
      <c r="K203" s="287" t="s">
        <v>508</v>
      </c>
      <c r="L203" s="292" t="s">
        <v>479</v>
      </c>
      <c r="M203" s="292" t="s">
        <v>481</v>
      </c>
      <c r="N203" s="292"/>
      <c r="O203" s="292"/>
      <c r="P203" s="292"/>
      <c r="Q203" s="292" t="s">
        <v>377</v>
      </c>
      <c r="R203" s="292" t="s">
        <v>18</v>
      </c>
      <c r="S203" s="288" t="s">
        <v>377</v>
      </c>
      <c r="T203" s="292" t="s">
        <v>18</v>
      </c>
      <c r="U203" s="292" t="s">
        <v>377</v>
      </c>
      <c r="V203" s="288" t="s">
        <v>377</v>
      </c>
      <c r="W203" s="292" t="s">
        <v>18</v>
      </c>
      <c r="X203" s="292" t="s">
        <v>18</v>
      </c>
      <c r="Y203" s="288" t="s">
        <v>18</v>
      </c>
      <c r="Z203" s="292" t="s">
        <v>377</v>
      </c>
      <c r="AA203" s="292" t="s">
        <v>18</v>
      </c>
      <c r="AB203" s="288" t="s">
        <v>377</v>
      </c>
      <c r="AC203" s="289" t="s">
        <v>18</v>
      </c>
      <c r="AD203" s="292" t="s">
        <v>18</v>
      </c>
      <c r="AE203" s="292" t="s">
        <v>18</v>
      </c>
      <c r="AF203" s="288" t="s">
        <v>18</v>
      </c>
      <c r="AG203" s="292" t="s">
        <v>18</v>
      </c>
      <c r="AH203" s="292" t="s">
        <v>18</v>
      </c>
      <c r="AI203" s="288" t="s">
        <v>18</v>
      </c>
      <c r="AJ203" s="292" t="s">
        <v>18</v>
      </c>
      <c r="AK203" s="292" t="s">
        <v>18</v>
      </c>
      <c r="AL203" s="288" t="s">
        <v>18</v>
      </c>
      <c r="AM203" s="292" t="s">
        <v>18</v>
      </c>
      <c r="AN203" s="292" t="s">
        <v>18</v>
      </c>
      <c r="AO203" s="288" t="s">
        <v>18</v>
      </c>
      <c r="AP203" s="289" t="s">
        <v>18</v>
      </c>
      <c r="AQ203" s="299" t="s">
        <v>32</v>
      </c>
      <c r="AR203" s="292" t="s">
        <v>377</v>
      </c>
      <c r="AS203" s="295" t="s">
        <v>32</v>
      </c>
      <c r="AT203" s="299" t="s">
        <v>32</v>
      </c>
      <c r="AU203" s="299" t="s">
        <v>32</v>
      </c>
      <c r="AV203" s="295" t="s">
        <v>32</v>
      </c>
      <c r="AW203" s="292" t="s">
        <v>377</v>
      </c>
      <c r="AX203" s="292" t="s">
        <v>377</v>
      </c>
      <c r="AY203" s="288" t="s">
        <v>377</v>
      </c>
      <c r="AZ203" s="292" t="s">
        <v>18</v>
      </c>
      <c r="BA203" s="299" t="s">
        <v>32</v>
      </c>
      <c r="BB203" s="288" t="s">
        <v>18</v>
      </c>
      <c r="BC203" s="289" t="s">
        <v>377</v>
      </c>
      <c r="BD203" s="292"/>
    </row>
    <row r="204" ht="12.75" customHeight="1">
      <c r="A204" s="293">
        <v>45266.38255650463</v>
      </c>
      <c r="B204" s="286" t="s">
        <v>486</v>
      </c>
      <c r="C204" s="285" t="s">
        <v>559</v>
      </c>
      <c r="D204" s="285" t="s">
        <v>16</v>
      </c>
      <c r="E204" s="285" t="s">
        <v>577</v>
      </c>
      <c r="F204" s="287" t="s">
        <v>768</v>
      </c>
      <c r="G204" s="285" t="s">
        <v>17</v>
      </c>
      <c r="H204" s="285">
        <v>17.0</v>
      </c>
      <c r="I204" s="287" t="s">
        <v>497</v>
      </c>
      <c r="J204" s="292"/>
      <c r="K204" s="287" t="s">
        <v>508</v>
      </c>
      <c r="L204" s="287" t="s">
        <v>497</v>
      </c>
      <c r="M204" s="292"/>
      <c r="N204" s="292"/>
      <c r="O204" s="285" t="s">
        <v>497</v>
      </c>
      <c r="P204" s="292"/>
      <c r="Q204" s="287" t="s">
        <v>377</v>
      </c>
      <c r="R204" s="287" t="s">
        <v>377</v>
      </c>
      <c r="S204" s="288" t="s">
        <v>377</v>
      </c>
      <c r="T204" s="287" t="s">
        <v>377</v>
      </c>
      <c r="U204" s="287" t="s">
        <v>377</v>
      </c>
      <c r="V204" s="288" t="s">
        <v>377</v>
      </c>
      <c r="W204" s="294" t="s">
        <v>32</v>
      </c>
      <c r="X204" s="287" t="s">
        <v>377</v>
      </c>
      <c r="Y204" s="295" t="s">
        <v>32</v>
      </c>
      <c r="Z204" s="287" t="s">
        <v>18</v>
      </c>
      <c r="AA204" s="287" t="s">
        <v>377</v>
      </c>
      <c r="AB204" s="288" t="s">
        <v>377</v>
      </c>
      <c r="AC204" s="289" t="s">
        <v>377</v>
      </c>
      <c r="AD204" s="287" t="s">
        <v>377</v>
      </c>
      <c r="AE204" s="287" t="s">
        <v>377</v>
      </c>
      <c r="AF204" s="288" t="s">
        <v>377</v>
      </c>
      <c r="AG204" s="287" t="s">
        <v>377</v>
      </c>
      <c r="AH204" s="287" t="s">
        <v>377</v>
      </c>
      <c r="AI204" s="288" t="s">
        <v>377</v>
      </c>
      <c r="AJ204" s="287" t="s">
        <v>377</v>
      </c>
      <c r="AK204" s="287" t="s">
        <v>377</v>
      </c>
      <c r="AL204" s="288" t="s">
        <v>377</v>
      </c>
      <c r="AM204" s="287" t="s">
        <v>377</v>
      </c>
      <c r="AN204" s="287" t="s">
        <v>377</v>
      </c>
      <c r="AO204" s="288" t="s">
        <v>377</v>
      </c>
      <c r="AP204" s="289" t="s">
        <v>377</v>
      </c>
      <c r="AQ204" s="287" t="s">
        <v>377</v>
      </c>
      <c r="AR204" s="287" t="s">
        <v>377</v>
      </c>
      <c r="AS204" s="288" t="s">
        <v>377</v>
      </c>
      <c r="AT204" s="294" t="s">
        <v>32</v>
      </c>
      <c r="AU204" s="287" t="s">
        <v>377</v>
      </c>
      <c r="AV204" s="295" t="s">
        <v>32</v>
      </c>
      <c r="AW204" s="287" t="s">
        <v>377</v>
      </c>
      <c r="AX204" s="287" t="s">
        <v>377</v>
      </c>
      <c r="AY204" s="288" t="s">
        <v>377</v>
      </c>
      <c r="AZ204" s="287" t="s">
        <v>377</v>
      </c>
      <c r="BA204" s="287" t="s">
        <v>377</v>
      </c>
      <c r="BB204" s="288" t="s">
        <v>377</v>
      </c>
      <c r="BC204" s="289" t="s">
        <v>377</v>
      </c>
      <c r="BD204" s="292"/>
    </row>
    <row r="205" ht="12.75" customHeight="1">
      <c r="A205" s="293">
        <v>45266.38503609954</v>
      </c>
      <c r="B205" s="286" t="s">
        <v>486</v>
      </c>
      <c r="C205" s="285" t="s">
        <v>559</v>
      </c>
      <c r="D205" s="285" t="s">
        <v>16</v>
      </c>
      <c r="E205" s="285" t="s">
        <v>577</v>
      </c>
      <c r="F205" s="287" t="s">
        <v>769</v>
      </c>
      <c r="G205" s="285" t="s">
        <v>21</v>
      </c>
      <c r="H205" s="285">
        <v>16.0</v>
      </c>
      <c r="I205" s="287" t="s">
        <v>497</v>
      </c>
      <c r="J205" s="292"/>
      <c r="K205" s="287" t="s">
        <v>508</v>
      </c>
      <c r="L205" s="287" t="s">
        <v>497</v>
      </c>
      <c r="M205" s="292"/>
      <c r="N205" s="292"/>
      <c r="O205" s="285" t="s">
        <v>497</v>
      </c>
      <c r="P205" s="292"/>
      <c r="Q205" s="287" t="s">
        <v>377</v>
      </c>
      <c r="R205" s="287" t="s">
        <v>377</v>
      </c>
      <c r="S205" s="288" t="s">
        <v>377</v>
      </c>
      <c r="T205" s="287" t="s">
        <v>377</v>
      </c>
      <c r="U205" s="287" t="s">
        <v>377</v>
      </c>
      <c r="V205" s="288" t="s">
        <v>377</v>
      </c>
      <c r="W205" s="287" t="s">
        <v>377</v>
      </c>
      <c r="X205" s="287" t="s">
        <v>18</v>
      </c>
      <c r="Y205" s="288" t="s">
        <v>377</v>
      </c>
      <c r="Z205" s="287" t="s">
        <v>18</v>
      </c>
      <c r="AA205" s="287" t="s">
        <v>377</v>
      </c>
      <c r="AB205" s="288" t="s">
        <v>377</v>
      </c>
      <c r="AC205" s="289" t="s">
        <v>377</v>
      </c>
      <c r="AD205" s="294" t="s">
        <v>32</v>
      </c>
      <c r="AE205" s="287" t="s">
        <v>377</v>
      </c>
      <c r="AF205" s="295" t="s">
        <v>32</v>
      </c>
      <c r="AG205" s="287" t="s">
        <v>377</v>
      </c>
      <c r="AH205" s="294" t="s">
        <v>32</v>
      </c>
      <c r="AI205" s="295" t="s">
        <v>32</v>
      </c>
      <c r="AJ205" s="294" t="s">
        <v>32</v>
      </c>
      <c r="AK205" s="294" t="s">
        <v>32</v>
      </c>
      <c r="AL205" s="295" t="s">
        <v>32</v>
      </c>
      <c r="AM205" s="294" t="s">
        <v>32</v>
      </c>
      <c r="AN205" s="294" t="s">
        <v>32</v>
      </c>
      <c r="AO205" s="295" t="s">
        <v>32</v>
      </c>
      <c r="AP205" s="296" t="s">
        <v>32</v>
      </c>
      <c r="AQ205" s="294" t="s">
        <v>32</v>
      </c>
      <c r="AR205" s="294" t="s">
        <v>32</v>
      </c>
      <c r="AS205" s="295" t="s">
        <v>32</v>
      </c>
      <c r="AT205" s="294" t="s">
        <v>32</v>
      </c>
      <c r="AU205" s="294" t="s">
        <v>32</v>
      </c>
      <c r="AV205" s="295" t="s">
        <v>32</v>
      </c>
      <c r="AW205" s="287" t="s">
        <v>377</v>
      </c>
      <c r="AX205" s="294" t="s">
        <v>32</v>
      </c>
      <c r="AY205" s="295" t="s">
        <v>32</v>
      </c>
      <c r="AZ205" s="294" t="s">
        <v>32</v>
      </c>
      <c r="BA205" s="294" t="s">
        <v>32</v>
      </c>
      <c r="BB205" s="288" t="s">
        <v>18</v>
      </c>
      <c r="BC205" s="289" t="s">
        <v>377</v>
      </c>
      <c r="BD205" s="292"/>
    </row>
    <row r="206" ht="12.75" customHeight="1">
      <c r="A206" s="293">
        <v>45266.38734552084</v>
      </c>
      <c r="B206" s="286" t="s">
        <v>486</v>
      </c>
      <c r="C206" s="285" t="s">
        <v>559</v>
      </c>
      <c r="D206" s="285" t="s">
        <v>16</v>
      </c>
      <c r="E206" s="285" t="s">
        <v>577</v>
      </c>
      <c r="F206" s="287" t="s">
        <v>770</v>
      </c>
      <c r="G206" s="285" t="s">
        <v>21</v>
      </c>
      <c r="H206" s="285">
        <v>17.0</v>
      </c>
      <c r="I206" s="287" t="s">
        <v>497</v>
      </c>
      <c r="J206" s="292"/>
      <c r="K206" s="287" t="s">
        <v>508</v>
      </c>
      <c r="L206" s="287" t="s">
        <v>497</v>
      </c>
      <c r="M206" s="292"/>
      <c r="N206" s="292"/>
      <c r="O206" s="285" t="s">
        <v>497</v>
      </c>
      <c r="P206" s="292"/>
      <c r="Q206" s="287" t="s">
        <v>377</v>
      </c>
      <c r="R206" s="287" t="s">
        <v>18</v>
      </c>
      <c r="S206" s="288" t="s">
        <v>377</v>
      </c>
      <c r="T206" s="287" t="s">
        <v>377</v>
      </c>
      <c r="U206" s="294" t="s">
        <v>32</v>
      </c>
      <c r="V206" s="295" t="s">
        <v>32</v>
      </c>
      <c r="W206" s="294" t="s">
        <v>32</v>
      </c>
      <c r="X206" s="287" t="s">
        <v>377</v>
      </c>
      <c r="Y206" s="295" t="s">
        <v>32</v>
      </c>
      <c r="Z206" s="294" t="s">
        <v>32</v>
      </c>
      <c r="AA206" s="287" t="s">
        <v>377</v>
      </c>
      <c r="AB206" s="295" t="s">
        <v>32</v>
      </c>
      <c r="AC206" s="289" t="s">
        <v>377</v>
      </c>
      <c r="AD206" s="287" t="s">
        <v>377</v>
      </c>
      <c r="AE206" s="287" t="s">
        <v>377</v>
      </c>
      <c r="AF206" s="288" t="s">
        <v>377</v>
      </c>
      <c r="AG206" s="287" t="s">
        <v>377</v>
      </c>
      <c r="AH206" s="294" t="s">
        <v>32</v>
      </c>
      <c r="AI206" s="295" t="s">
        <v>32</v>
      </c>
      <c r="AJ206" s="294" t="s">
        <v>32</v>
      </c>
      <c r="AK206" s="294" t="s">
        <v>32</v>
      </c>
      <c r="AL206" s="295" t="s">
        <v>32</v>
      </c>
      <c r="AM206" s="294" t="s">
        <v>32</v>
      </c>
      <c r="AN206" s="294" t="s">
        <v>32</v>
      </c>
      <c r="AO206" s="295" t="s">
        <v>32</v>
      </c>
      <c r="AP206" s="296" t="s">
        <v>32</v>
      </c>
      <c r="AQ206" s="287" t="s">
        <v>377</v>
      </c>
      <c r="AR206" s="294" t="s">
        <v>32</v>
      </c>
      <c r="AS206" s="295" t="s">
        <v>32</v>
      </c>
      <c r="AT206" s="294" t="s">
        <v>32</v>
      </c>
      <c r="AU206" s="294" t="s">
        <v>32</v>
      </c>
      <c r="AV206" s="295" t="s">
        <v>32</v>
      </c>
      <c r="AW206" s="294" t="s">
        <v>32</v>
      </c>
      <c r="AX206" s="287" t="s">
        <v>377</v>
      </c>
      <c r="AY206" s="295" t="s">
        <v>32</v>
      </c>
      <c r="AZ206" s="294" t="s">
        <v>32</v>
      </c>
      <c r="BA206" s="294" t="s">
        <v>32</v>
      </c>
      <c r="BB206" s="295" t="s">
        <v>32</v>
      </c>
      <c r="BC206" s="296" t="s">
        <v>32</v>
      </c>
      <c r="BD206" s="292"/>
    </row>
    <row r="207" ht="12.75" customHeight="1">
      <c r="A207" s="293">
        <v>45266.389333032406</v>
      </c>
      <c r="B207" s="286" t="s">
        <v>486</v>
      </c>
      <c r="C207" s="285" t="s">
        <v>559</v>
      </c>
      <c r="D207" s="285" t="s">
        <v>16</v>
      </c>
      <c r="E207" s="285" t="s">
        <v>577</v>
      </c>
      <c r="F207" s="287" t="s">
        <v>771</v>
      </c>
      <c r="G207" s="285" t="s">
        <v>21</v>
      </c>
      <c r="H207" s="285">
        <v>17.0</v>
      </c>
      <c r="I207" s="287" t="s">
        <v>497</v>
      </c>
      <c r="J207" s="292"/>
      <c r="K207" s="287" t="s">
        <v>508</v>
      </c>
      <c r="L207" s="287" t="s">
        <v>497</v>
      </c>
      <c r="M207" s="292"/>
      <c r="N207" s="292"/>
      <c r="O207" s="285" t="s">
        <v>497</v>
      </c>
      <c r="P207" s="292"/>
      <c r="Q207" s="287" t="s">
        <v>377</v>
      </c>
      <c r="R207" s="294" t="s">
        <v>32</v>
      </c>
      <c r="S207" s="295" t="s">
        <v>32</v>
      </c>
      <c r="T207" s="294" t="s">
        <v>32</v>
      </c>
      <c r="U207" s="294" t="s">
        <v>32</v>
      </c>
      <c r="V207" s="295" t="s">
        <v>32</v>
      </c>
      <c r="W207" s="294" t="s">
        <v>32</v>
      </c>
      <c r="X207" s="294" t="s">
        <v>32</v>
      </c>
      <c r="Y207" s="295" t="s">
        <v>32</v>
      </c>
      <c r="Z207" s="294" t="s">
        <v>32</v>
      </c>
      <c r="AA207" s="294" t="s">
        <v>32</v>
      </c>
      <c r="AB207" s="295" t="s">
        <v>32</v>
      </c>
      <c r="AC207" s="296" t="s">
        <v>32</v>
      </c>
      <c r="AD207" s="294" t="s">
        <v>32</v>
      </c>
      <c r="AE207" s="294" t="s">
        <v>32</v>
      </c>
      <c r="AF207" s="295" t="s">
        <v>32</v>
      </c>
      <c r="AG207" s="294" t="s">
        <v>32</v>
      </c>
      <c r="AH207" s="294" t="s">
        <v>32</v>
      </c>
      <c r="AI207" s="295" t="s">
        <v>32</v>
      </c>
      <c r="AJ207" s="294" t="s">
        <v>32</v>
      </c>
      <c r="AK207" s="294" t="s">
        <v>32</v>
      </c>
      <c r="AL207" s="295" t="s">
        <v>32</v>
      </c>
      <c r="AM207" s="294" t="s">
        <v>32</v>
      </c>
      <c r="AN207" s="294" t="s">
        <v>32</v>
      </c>
      <c r="AO207" s="295" t="s">
        <v>32</v>
      </c>
      <c r="AP207" s="296" t="s">
        <v>32</v>
      </c>
      <c r="AQ207" s="294" t="s">
        <v>32</v>
      </c>
      <c r="AR207" s="294" t="s">
        <v>32</v>
      </c>
      <c r="AS207" s="295" t="s">
        <v>32</v>
      </c>
      <c r="AT207" s="294" t="s">
        <v>32</v>
      </c>
      <c r="AU207" s="294" t="s">
        <v>32</v>
      </c>
      <c r="AV207" s="295" t="s">
        <v>32</v>
      </c>
      <c r="AW207" s="294" t="s">
        <v>32</v>
      </c>
      <c r="AX207" s="294" t="s">
        <v>32</v>
      </c>
      <c r="AY207" s="295" t="s">
        <v>32</v>
      </c>
      <c r="AZ207" s="294" t="s">
        <v>32</v>
      </c>
      <c r="BA207" s="294" t="s">
        <v>32</v>
      </c>
      <c r="BB207" s="288" t="s">
        <v>377</v>
      </c>
      <c r="BC207" s="296" t="s">
        <v>32</v>
      </c>
      <c r="BD207" s="292"/>
    </row>
    <row r="208" ht="12.75" customHeight="1">
      <c r="A208" s="293">
        <v>45266.392057453704</v>
      </c>
      <c r="B208" s="286" t="s">
        <v>486</v>
      </c>
      <c r="C208" s="285" t="s">
        <v>559</v>
      </c>
      <c r="D208" s="285" t="s">
        <v>16</v>
      </c>
      <c r="E208" s="285" t="s">
        <v>577</v>
      </c>
      <c r="F208" s="287" t="s">
        <v>772</v>
      </c>
      <c r="G208" s="285" t="s">
        <v>21</v>
      </c>
      <c r="H208" s="285">
        <v>15.0</v>
      </c>
      <c r="I208" s="287" t="s">
        <v>497</v>
      </c>
      <c r="J208" s="292"/>
      <c r="K208" s="287" t="s">
        <v>508</v>
      </c>
      <c r="L208" s="287" t="s">
        <v>497</v>
      </c>
      <c r="M208" s="292"/>
      <c r="N208" s="292"/>
      <c r="O208" s="285" t="s">
        <v>479</v>
      </c>
      <c r="P208" s="287" t="s">
        <v>773</v>
      </c>
      <c r="Q208" s="294" t="s">
        <v>32</v>
      </c>
      <c r="R208" s="294" t="s">
        <v>32</v>
      </c>
      <c r="S208" s="295" t="s">
        <v>32</v>
      </c>
      <c r="T208" s="287" t="s">
        <v>377</v>
      </c>
      <c r="U208" s="294" t="s">
        <v>32</v>
      </c>
      <c r="V208" s="295" t="s">
        <v>32</v>
      </c>
      <c r="W208" s="294" t="s">
        <v>32</v>
      </c>
      <c r="X208" s="287" t="s">
        <v>377</v>
      </c>
      <c r="Y208" s="295" t="s">
        <v>32</v>
      </c>
      <c r="Z208" s="294" t="s">
        <v>32</v>
      </c>
      <c r="AA208" s="294" t="s">
        <v>32</v>
      </c>
      <c r="AB208" s="295" t="s">
        <v>32</v>
      </c>
      <c r="AC208" s="296" t="s">
        <v>32</v>
      </c>
      <c r="AD208" s="287" t="s">
        <v>377</v>
      </c>
      <c r="AE208" s="287" t="s">
        <v>377</v>
      </c>
      <c r="AF208" s="288" t="s">
        <v>377</v>
      </c>
      <c r="AG208" s="287" t="s">
        <v>377</v>
      </c>
      <c r="AH208" s="294" t="s">
        <v>32</v>
      </c>
      <c r="AI208" s="295" t="s">
        <v>32</v>
      </c>
      <c r="AJ208" s="294" t="s">
        <v>32</v>
      </c>
      <c r="AK208" s="294" t="s">
        <v>32</v>
      </c>
      <c r="AL208" s="295" t="s">
        <v>32</v>
      </c>
      <c r="AM208" s="287" t="s">
        <v>377</v>
      </c>
      <c r="AN208" s="287" t="s">
        <v>377</v>
      </c>
      <c r="AO208" s="288" t="s">
        <v>377</v>
      </c>
      <c r="AP208" s="289" t="s">
        <v>377</v>
      </c>
      <c r="AQ208" s="294" t="s">
        <v>32</v>
      </c>
      <c r="AR208" s="294" t="s">
        <v>32</v>
      </c>
      <c r="AS208" s="295" t="s">
        <v>32</v>
      </c>
      <c r="AT208" s="294" t="s">
        <v>32</v>
      </c>
      <c r="AU208" s="294" t="s">
        <v>32</v>
      </c>
      <c r="AV208" s="295" t="s">
        <v>32</v>
      </c>
      <c r="AW208" s="294" t="s">
        <v>32</v>
      </c>
      <c r="AX208" s="287" t="s">
        <v>377</v>
      </c>
      <c r="AY208" s="295" t="s">
        <v>32</v>
      </c>
      <c r="AZ208" s="294" t="s">
        <v>32</v>
      </c>
      <c r="BA208" s="294" t="s">
        <v>32</v>
      </c>
      <c r="BB208" s="295" t="s">
        <v>32</v>
      </c>
      <c r="BC208" s="296" t="s">
        <v>32</v>
      </c>
      <c r="BD208" s="292"/>
    </row>
    <row r="209" ht="12.75" customHeight="1">
      <c r="A209" s="293">
        <v>45266.39651349537</v>
      </c>
      <c r="B209" s="286" t="s">
        <v>486</v>
      </c>
      <c r="C209" s="285" t="s">
        <v>559</v>
      </c>
      <c r="D209" s="285" t="s">
        <v>16</v>
      </c>
      <c r="E209" s="285" t="s">
        <v>577</v>
      </c>
      <c r="F209" s="287" t="s">
        <v>774</v>
      </c>
      <c r="G209" s="285" t="s">
        <v>21</v>
      </c>
      <c r="H209" s="285">
        <v>15.0</v>
      </c>
      <c r="I209" s="287" t="s">
        <v>497</v>
      </c>
      <c r="J209" s="292"/>
      <c r="K209" s="287" t="s">
        <v>508</v>
      </c>
      <c r="L209" s="287" t="s">
        <v>497</v>
      </c>
      <c r="M209" s="292"/>
      <c r="N209" s="292"/>
      <c r="O209" s="285" t="s">
        <v>497</v>
      </c>
      <c r="P209" s="292"/>
      <c r="Q209" s="294" t="s">
        <v>32</v>
      </c>
      <c r="R209" s="294" t="s">
        <v>32</v>
      </c>
      <c r="S209" s="295" t="s">
        <v>32</v>
      </c>
      <c r="T209" s="287" t="s">
        <v>377</v>
      </c>
      <c r="U209" s="294" t="s">
        <v>32</v>
      </c>
      <c r="V209" s="295" t="s">
        <v>32</v>
      </c>
      <c r="W209" s="287" t="s">
        <v>377</v>
      </c>
      <c r="X209" s="294" t="s">
        <v>32</v>
      </c>
      <c r="Y209" s="295" t="s">
        <v>32</v>
      </c>
      <c r="Z209" s="294" t="s">
        <v>32</v>
      </c>
      <c r="AA209" s="294" t="s">
        <v>32</v>
      </c>
      <c r="AB209" s="295" t="s">
        <v>32</v>
      </c>
      <c r="AC209" s="296" t="s">
        <v>32</v>
      </c>
      <c r="AD209" s="294" t="s">
        <v>32</v>
      </c>
      <c r="AE209" s="294" t="s">
        <v>32</v>
      </c>
      <c r="AF209" s="295" t="s">
        <v>32</v>
      </c>
      <c r="AG209" s="287" t="s">
        <v>377</v>
      </c>
      <c r="AH209" s="287" t="s">
        <v>377</v>
      </c>
      <c r="AI209" s="288" t="s">
        <v>377</v>
      </c>
      <c r="AJ209" s="287" t="s">
        <v>377</v>
      </c>
      <c r="AK209" s="294" t="s">
        <v>32</v>
      </c>
      <c r="AL209" s="295" t="s">
        <v>32</v>
      </c>
      <c r="AM209" s="294" t="s">
        <v>32</v>
      </c>
      <c r="AN209" s="287" t="s">
        <v>377</v>
      </c>
      <c r="AO209" s="295" t="s">
        <v>32</v>
      </c>
      <c r="AP209" s="296" t="s">
        <v>32</v>
      </c>
      <c r="AQ209" s="287" t="s">
        <v>377</v>
      </c>
      <c r="AR209" s="294" t="s">
        <v>32</v>
      </c>
      <c r="AS209" s="295" t="s">
        <v>32</v>
      </c>
      <c r="AT209" s="294" t="s">
        <v>32</v>
      </c>
      <c r="AU209" s="294" t="s">
        <v>32</v>
      </c>
      <c r="AV209" s="295" t="s">
        <v>32</v>
      </c>
      <c r="AW209" s="294" t="s">
        <v>32</v>
      </c>
      <c r="AX209" s="294" t="s">
        <v>32</v>
      </c>
      <c r="AY209" s="295" t="s">
        <v>32</v>
      </c>
      <c r="AZ209" s="287" t="s">
        <v>377</v>
      </c>
      <c r="BA209" s="294" t="s">
        <v>32</v>
      </c>
      <c r="BB209" s="295" t="s">
        <v>32</v>
      </c>
      <c r="BC209" s="296" t="s">
        <v>32</v>
      </c>
      <c r="BD209" s="292"/>
    </row>
    <row r="210" ht="12.75" customHeight="1">
      <c r="A210" s="293">
        <v>45266.39869353009</v>
      </c>
      <c r="B210" s="286" t="s">
        <v>486</v>
      </c>
      <c r="C210" s="285" t="s">
        <v>559</v>
      </c>
      <c r="D210" s="285" t="s">
        <v>16</v>
      </c>
      <c r="E210" s="285" t="s">
        <v>577</v>
      </c>
      <c r="F210" s="287" t="s">
        <v>775</v>
      </c>
      <c r="G210" s="285" t="s">
        <v>17</v>
      </c>
      <c r="H210" s="285">
        <v>16.0</v>
      </c>
      <c r="I210" s="287" t="s">
        <v>497</v>
      </c>
      <c r="J210" s="292"/>
      <c r="K210" s="287" t="s">
        <v>508</v>
      </c>
      <c r="L210" s="287" t="s">
        <v>497</v>
      </c>
      <c r="M210" s="292"/>
      <c r="N210" s="292"/>
      <c r="O210" s="285" t="s">
        <v>497</v>
      </c>
      <c r="P210" s="292"/>
      <c r="Q210" s="287" t="s">
        <v>377</v>
      </c>
      <c r="R210" s="287" t="s">
        <v>18</v>
      </c>
      <c r="S210" s="288" t="s">
        <v>377</v>
      </c>
      <c r="T210" s="287" t="s">
        <v>18</v>
      </c>
      <c r="U210" s="287" t="s">
        <v>377</v>
      </c>
      <c r="V210" s="288" t="s">
        <v>377</v>
      </c>
      <c r="W210" s="287" t="s">
        <v>18</v>
      </c>
      <c r="X210" s="287" t="s">
        <v>18</v>
      </c>
      <c r="Y210" s="288" t="s">
        <v>18</v>
      </c>
      <c r="Z210" s="294" t="s">
        <v>32</v>
      </c>
      <c r="AA210" s="287" t="s">
        <v>377</v>
      </c>
      <c r="AB210" s="295" t="s">
        <v>32</v>
      </c>
      <c r="AC210" s="289" t="s">
        <v>377</v>
      </c>
      <c r="AD210" s="287" t="s">
        <v>377</v>
      </c>
      <c r="AE210" s="294" t="s">
        <v>32</v>
      </c>
      <c r="AF210" s="295" t="s">
        <v>32</v>
      </c>
      <c r="AG210" s="287" t="s">
        <v>377</v>
      </c>
      <c r="AH210" s="287" t="s">
        <v>377</v>
      </c>
      <c r="AI210" s="288" t="s">
        <v>377</v>
      </c>
      <c r="AJ210" s="287" t="s">
        <v>377</v>
      </c>
      <c r="AK210" s="287" t="s">
        <v>377</v>
      </c>
      <c r="AL210" s="288" t="s">
        <v>377</v>
      </c>
      <c r="AM210" s="287" t="s">
        <v>18</v>
      </c>
      <c r="AN210" s="287" t="s">
        <v>18</v>
      </c>
      <c r="AO210" s="288" t="s">
        <v>18</v>
      </c>
      <c r="AP210" s="289" t="s">
        <v>377</v>
      </c>
      <c r="AQ210" s="287" t="s">
        <v>377</v>
      </c>
      <c r="AR210" s="287" t="s">
        <v>377</v>
      </c>
      <c r="AS210" s="288" t="s">
        <v>377</v>
      </c>
      <c r="AT210" s="294" t="s">
        <v>32</v>
      </c>
      <c r="AU210" s="294" t="s">
        <v>32</v>
      </c>
      <c r="AV210" s="295" t="s">
        <v>32</v>
      </c>
      <c r="AW210" s="294" t="s">
        <v>32</v>
      </c>
      <c r="AX210" s="287" t="s">
        <v>377</v>
      </c>
      <c r="AY210" s="295" t="s">
        <v>32</v>
      </c>
      <c r="AZ210" s="294" t="s">
        <v>32</v>
      </c>
      <c r="BA210" s="294" t="s">
        <v>32</v>
      </c>
      <c r="BB210" s="288" t="s">
        <v>377</v>
      </c>
      <c r="BC210" s="296" t="s">
        <v>32</v>
      </c>
      <c r="BD210" s="292"/>
    </row>
    <row r="211" ht="12.75" customHeight="1">
      <c r="A211" s="293">
        <v>45266.400888958335</v>
      </c>
      <c r="B211" s="286" t="s">
        <v>486</v>
      </c>
      <c r="C211" s="285" t="s">
        <v>559</v>
      </c>
      <c r="D211" s="285" t="s">
        <v>16</v>
      </c>
      <c r="E211" s="285" t="s">
        <v>577</v>
      </c>
      <c r="F211" s="287" t="s">
        <v>776</v>
      </c>
      <c r="G211" s="285" t="s">
        <v>21</v>
      </c>
      <c r="H211" s="285">
        <v>17.0</v>
      </c>
      <c r="I211" s="287" t="s">
        <v>497</v>
      </c>
      <c r="J211" s="292"/>
      <c r="K211" s="287" t="s">
        <v>508</v>
      </c>
      <c r="L211" s="287" t="s">
        <v>497</v>
      </c>
      <c r="M211" s="292"/>
      <c r="N211" s="292"/>
      <c r="O211" s="285" t="s">
        <v>497</v>
      </c>
      <c r="P211" s="292"/>
      <c r="Q211" s="294" t="s">
        <v>32</v>
      </c>
      <c r="R211" s="287" t="s">
        <v>377</v>
      </c>
      <c r="S211" s="295" t="s">
        <v>32</v>
      </c>
      <c r="T211" s="287" t="s">
        <v>377</v>
      </c>
      <c r="U211" s="294" t="s">
        <v>32</v>
      </c>
      <c r="V211" s="295" t="s">
        <v>32</v>
      </c>
      <c r="W211" s="287" t="s">
        <v>377</v>
      </c>
      <c r="X211" s="287" t="s">
        <v>377</v>
      </c>
      <c r="Y211" s="288" t="s">
        <v>377</v>
      </c>
      <c r="Z211" s="294" t="s">
        <v>32</v>
      </c>
      <c r="AA211" s="294" t="s">
        <v>32</v>
      </c>
      <c r="AB211" s="295" t="s">
        <v>32</v>
      </c>
      <c r="AC211" s="296" t="s">
        <v>32</v>
      </c>
      <c r="AD211" s="287" t="s">
        <v>377</v>
      </c>
      <c r="AE211" s="294" t="s">
        <v>32</v>
      </c>
      <c r="AF211" s="295" t="s">
        <v>32</v>
      </c>
      <c r="AG211" s="287" t="s">
        <v>377</v>
      </c>
      <c r="AH211" s="287" t="s">
        <v>377</v>
      </c>
      <c r="AI211" s="288" t="s">
        <v>377</v>
      </c>
      <c r="AJ211" s="287" t="s">
        <v>377</v>
      </c>
      <c r="AK211" s="287" t="s">
        <v>377</v>
      </c>
      <c r="AL211" s="288" t="s">
        <v>377</v>
      </c>
      <c r="AM211" s="287" t="s">
        <v>18</v>
      </c>
      <c r="AN211" s="287" t="s">
        <v>18</v>
      </c>
      <c r="AO211" s="288" t="s">
        <v>18</v>
      </c>
      <c r="AP211" s="289" t="s">
        <v>377</v>
      </c>
      <c r="AQ211" s="294" t="s">
        <v>32</v>
      </c>
      <c r="AR211" s="294" t="s">
        <v>32</v>
      </c>
      <c r="AS211" s="295" t="s">
        <v>32</v>
      </c>
      <c r="AT211" s="294" t="s">
        <v>32</v>
      </c>
      <c r="AU211" s="294" t="s">
        <v>32</v>
      </c>
      <c r="AV211" s="295" t="s">
        <v>32</v>
      </c>
      <c r="AW211" s="294" t="s">
        <v>32</v>
      </c>
      <c r="AX211" s="287" t="s">
        <v>377</v>
      </c>
      <c r="AY211" s="295" t="s">
        <v>32</v>
      </c>
      <c r="AZ211" s="294" t="s">
        <v>32</v>
      </c>
      <c r="BA211" s="294" t="s">
        <v>32</v>
      </c>
      <c r="BB211" s="288" t="s">
        <v>377</v>
      </c>
      <c r="BC211" s="296" t="s">
        <v>32</v>
      </c>
      <c r="BD211" s="292"/>
    </row>
    <row r="212" ht="12.75" customHeight="1">
      <c r="A212" s="293">
        <v>45266.40588680556</v>
      </c>
      <c r="B212" s="286" t="s">
        <v>486</v>
      </c>
      <c r="C212" s="285" t="s">
        <v>559</v>
      </c>
      <c r="D212" s="285" t="s">
        <v>16</v>
      </c>
      <c r="E212" s="285" t="s">
        <v>577</v>
      </c>
      <c r="F212" s="287" t="s">
        <v>777</v>
      </c>
      <c r="G212" s="285" t="s">
        <v>21</v>
      </c>
      <c r="H212" s="285">
        <v>15.0</v>
      </c>
      <c r="I212" s="287" t="s">
        <v>497</v>
      </c>
      <c r="J212" s="292"/>
      <c r="K212" s="287" t="s">
        <v>508</v>
      </c>
      <c r="L212" s="287" t="s">
        <v>497</v>
      </c>
      <c r="M212" s="292"/>
      <c r="N212" s="292"/>
      <c r="O212" s="285" t="s">
        <v>497</v>
      </c>
      <c r="P212" s="292"/>
      <c r="Q212" s="294" t="s">
        <v>32</v>
      </c>
      <c r="R212" s="287" t="s">
        <v>377</v>
      </c>
      <c r="S212" s="295" t="s">
        <v>32</v>
      </c>
      <c r="T212" s="294" t="s">
        <v>32</v>
      </c>
      <c r="U212" s="294" t="s">
        <v>32</v>
      </c>
      <c r="V212" s="295" t="s">
        <v>32</v>
      </c>
      <c r="W212" s="287" t="s">
        <v>377</v>
      </c>
      <c r="X212" s="294" t="s">
        <v>32</v>
      </c>
      <c r="Y212" s="295" t="s">
        <v>32</v>
      </c>
      <c r="Z212" s="287" t="s">
        <v>377</v>
      </c>
      <c r="AA212" s="294" t="s">
        <v>32</v>
      </c>
      <c r="AB212" s="295" t="s">
        <v>32</v>
      </c>
      <c r="AC212" s="296" t="s">
        <v>32</v>
      </c>
      <c r="AD212" s="294" t="s">
        <v>32</v>
      </c>
      <c r="AE212" s="287" t="s">
        <v>377</v>
      </c>
      <c r="AF212" s="295" t="s">
        <v>32</v>
      </c>
      <c r="AG212" s="287" t="s">
        <v>377</v>
      </c>
      <c r="AH212" s="294" t="s">
        <v>32</v>
      </c>
      <c r="AI212" s="295" t="s">
        <v>32</v>
      </c>
      <c r="AJ212" s="294" t="s">
        <v>32</v>
      </c>
      <c r="AK212" s="294" t="s">
        <v>32</v>
      </c>
      <c r="AL212" s="295" t="s">
        <v>32</v>
      </c>
      <c r="AM212" s="287" t="s">
        <v>377</v>
      </c>
      <c r="AN212" s="287" t="s">
        <v>377</v>
      </c>
      <c r="AO212" s="288" t="s">
        <v>377</v>
      </c>
      <c r="AP212" s="296" t="s">
        <v>32</v>
      </c>
      <c r="AQ212" s="294" t="s">
        <v>32</v>
      </c>
      <c r="AR212" s="294" t="s">
        <v>32</v>
      </c>
      <c r="AS212" s="295" t="s">
        <v>32</v>
      </c>
      <c r="AT212" s="294" t="s">
        <v>32</v>
      </c>
      <c r="AU212" s="294" t="s">
        <v>32</v>
      </c>
      <c r="AV212" s="295" t="s">
        <v>32</v>
      </c>
      <c r="AW212" s="287" t="s">
        <v>377</v>
      </c>
      <c r="AX212" s="287" t="s">
        <v>377</v>
      </c>
      <c r="AY212" s="288" t="s">
        <v>377</v>
      </c>
      <c r="AZ212" s="294" t="s">
        <v>32</v>
      </c>
      <c r="BA212" s="287" t="s">
        <v>377</v>
      </c>
      <c r="BB212" s="288" t="s">
        <v>377</v>
      </c>
      <c r="BC212" s="289" t="s">
        <v>377</v>
      </c>
      <c r="BD212" s="292"/>
    </row>
    <row r="213" ht="12.75" customHeight="1">
      <c r="A213" s="293">
        <v>45266.407930208334</v>
      </c>
      <c r="B213" s="286" t="s">
        <v>486</v>
      </c>
      <c r="C213" s="285" t="s">
        <v>559</v>
      </c>
      <c r="D213" s="285" t="s">
        <v>16</v>
      </c>
      <c r="E213" s="285" t="s">
        <v>577</v>
      </c>
      <c r="F213" s="287" t="s">
        <v>778</v>
      </c>
      <c r="G213" s="285" t="s">
        <v>21</v>
      </c>
      <c r="H213" s="285">
        <v>16.0</v>
      </c>
      <c r="I213" s="287" t="s">
        <v>497</v>
      </c>
      <c r="J213" s="292"/>
      <c r="K213" s="287" t="s">
        <v>508</v>
      </c>
      <c r="L213" s="287" t="s">
        <v>497</v>
      </c>
      <c r="M213" s="292"/>
      <c r="N213" s="292"/>
      <c r="O213" s="285" t="s">
        <v>497</v>
      </c>
      <c r="P213" s="292"/>
      <c r="Q213" s="294" t="s">
        <v>32</v>
      </c>
      <c r="R213" s="287" t="s">
        <v>18</v>
      </c>
      <c r="S213" s="288" t="s">
        <v>377</v>
      </c>
      <c r="T213" s="287" t="s">
        <v>18</v>
      </c>
      <c r="U213" s="287" t="s">
        <v>18</v>
      </c>
      <c r="V213" s="288" t="s">
        <v>18</v>
      </c>
      <c r="W213" s="287" t="s">
        <v>18</v>
      </c>
      <c r="X213" s="287" t="s">
        <v>18</v>
      </c>
      <c r="Y213" s="288" t="s">
        <v>18</v>
      </c>
      <c r="Z213" s="287" t="s">
        <v>18</v>
      </c>
      <c r="AA213" s="287" t="s">
        <v>18</v>
      </c>
      <c r="AB213" s="288" t="s">
        <v>18</v>
      </c>
      <c r="AC213" s="289" t="s">
        <v>18</v>
      </c>
      <c r="AD213" s="287" t="s">
        <v>18</v>
      </c>
      <c r="AE213" s="287" t="s">
        <v>18</v>
      </c>
      <c r="AF213" s="288" t="s">
        <v>18</v>
      </c>
      <c r="AG213" s="287" t="s">
        <v>18</v>
      </c>
      <c r="AH213" s="287" t="s">
        <v>18</v>
      </c>
      <c r="AI213" s="288" t="s">
        <v>18</v>
      </c>
      <c r="AJ213" s="287" t="s">
        <v>18</v>
      </c>
      <c r="AK213" s="287" t="s">
        <v>18</v>
      </c>
      <c r="AL213" s="288" t="s">
        <v>18</v>
      </c>
      <c r="AM213" s="287" t="s">
        <v>18</v>
      </c>
      <c r="AN213" s="287" t="s">
        <v>18</v>
      </c>
      <c r="AO213" s="288" t="s">
        <v>18</v>
      </c>
      <c r="AP213" s="289" t="s">
        <v>18</v>
      </c>
      <c r="AQ213" s="287" t="s">
        <v>18</v>
      </c>
      <c r="AR213" s="287" t="s">
        <v>18</v>
      </c>
      <c r="AS213" s="288" t="s">
        <v>18</v>
      </c>
      <c r="AT213" s="287" t="s">
        <v>18</v>
      </c>
      <c r="AU213" s="287" t="s">
        <v>18</v>
      </c>
      <c r="AV213" s="288" t="s">
        <v>18</v>
      </c>
      <c r="AW213" s="287" t="s">
        <v>18</v>
      </c>
      <c r="AX213" s="287" t="s">
        <v>377</v>
      </c>
      <c r="AY213" s="288" t="s">
        <v>377</v>
      </c>
      <c r="AZ213" s="294" t="s">
        <v>32</v>
      </c>
      <c r="BA213" s="287" t="s">
        <v>18</v>
      </c>
      <c r="BB213" s="288" t="s">
        <v>377</v>
      </c>
      <c r="BC213" s="289" t="s">
        <v>377</v>
      </c>
      <c r="BD213" s="292"/>
    </row>
    <row r="214" ht="12.75" customHeight="1">
      <c r="A214" s="293">
        <v>45266.4123621412</v>
      </c>
      <c r="B214" s="286" t="s">
        <v>486</v>
      </c>
      <c r="C214" s="285" t="s">
        <v>559</v>
      </c>
      <c r="D214" s="285" t="s">
        <v>16</v>
      </c>
      <c r="E214" s="285" t="s">
        <v>577</v>
      </c>
      <c r="F214" s="287" t="s">
        <v>779</v>
      </c>
      <c r="G214" s="285" t="s">
        <v>21</v>
      </c>
      <c r="H214" s="285">
        <v>17.0</v>
      </c>
      <c r="I214" s="287" t="s">
        <v>497</v>
      </c>
      <c r="J214" s="292"/>
      <c r="K214" s="287" t="s">
        <v>508</v>
      </c>
      <c r="L214" s="287" t="s">
        <v>497</v>
      </c>
      <c r="M214" s="292"/>
      <c r="N214" s="292"/>
      <c r="O214" s="285" t="s">
        <v>497</v>
      </c>
      <c r="P214" s="292"/>
      <c r="Q214" s="287" t="s">
        <v>377</v>
      </c>
      <c r="R214" s="287" t="s">
        <v>377</v>
      </c>
      <c r="S214" s="288" t="s">
        <v>377</v>
      </c>
      <c r="T214" s="287" t="s">
        <v>377</v>
      </c>
      <c r="U214" s="294" t="s">
        <v>32</v>
      </c>
      <c r="V214" s="295" t="s">
        <v>32</v>
      </c>
      <c r="W214" s="287" t="s">
        <v>377</v>
      </c>
      <c r="X214" s="287" t="s">
        <v>377</v>
      </c>
      <c r="Y214" s="288" t="s">
        <v>377</v>
      </c>
      <c r="Z214" s="294" t="s">
        <v>32</v>
      </c>
      <c r="AA214" s="287" t="s">
        <v>377</v>
      </c>
      <c r="AB214" s="295" t="s">
        <v>32</v>
      </c>
      <c r="AC214" s="289" t="s">
        <v>377</v>
      </c>
      <c r="AD214" s="287" t="s">
        <v>377</v>
      </c>
      <c r="AE214" s="294" t="s">
        <v>32</v>
      </c>
      <c r="AF214" s="295" t="s">
        <v>32</v>
      </c>
      <c r="AG214" s="287" t="s">
        <v>377</v>
      </c>
      <c r="AH214" s="287" t="s">
        <v>377</v>
      </c>
      <c r="AI214" s="288" t="s">
        <v>377</v>
      </c>
      <c r="AJ214" s="294" t="s">
        <v>32</v>
      </c>
      <c r="AK214" s="287" t="s">
        <v>377</v>
      </c>
      <c r="AL214" s="295" t="s">
        <v>32</v>
      </c>
      <c r="AM214" s="287" t="s">
        <v>377</v>
      </c>
      <c r="AN214" s="287" t="s">
        <v>377</v>
      </c>
      <c r="AO214" s="288" t="s">
        <v>377</v>
      </c>
      <c r="AP214" s="289" t="s">
        <v>377</v>
      </c>
      <c r="AQ214" s="287" t="s">
        <v>18</v>
      </c>
      <c r="AR214" s="287" t="s">
        <v>377</v>
      </c>
      <c r="AS214" s="288" t="s">
        <v>377</v>
      </c>
      <c r="AT214" s="294" t="s">
        <v>32</v>
      </c>
      <c r="AU214" s="287" t="s">
        <v>18</v>
      </c>
      <c r="AV214" s="288" t="s">
        <v>377</v>
      </c>
      <c r="AW214" s="287" t="s">
        <v>377</v>
      </c>
      <c r="AX214" s="287" t="s">
        <v>18</v>
      </c>
      <c r="AY214" s="288" t="s">
        <v>377</v>
      </c>
      <c r="AZ214" s="287" t="s">
        <v>377</v>
      </c>
      <c r="BA214" s="287" t="s">
        <v>18</v>
      </c>
      <c r="BB214" s="288" t="s">
        <v>377</v>
      </c>
      <c r="BC214" s="289" t="s">
        <v>377</v>
      </c>
      <c r="BD214" s="292"/>
    </row>
    <row r="215" ht="12.75" customHeight="1">
      <c r="A215" s="293">
        <v>45266.417825625</v>
      </c>
      <c r="B215" s="286" t="s">
        <v>486</v>
      </c>
      <c r="C215" s="285" t="s">
        <v>559</v>
      </c>
      <c r="D215" s="285" t="s">
        <v>16</v>
      </c>
      <c r="E215" s="285" t="s">
        <v>577</v>
      </c>
      <c r="F215" s="287" t="s">
        <v>780</v>
      </c>
      <c r="G215" s="285" t="s">
        <v>21</v>
      </c>
      <c r="H215" s="285">
        <v>16.0</v>
      </c>
      <c r="I215" s="287" t="s">
        <v>497</v>
      </c>
      <c r="J215" s="292"/>
      <c r="K215" s="287" t="s">
        <v>508</v>
      </c>
      <c r="L215" s="287" t="s">
        <v>497</v>
      </c>
      <c r="M215" s="292"/>
      <c r="N215" s="292"/>
      <c r="O215" s="285" t="s">
        <v>497</v>
      </c>
      <c r="P215" s="292"/>
      <c r="Q215" s="287" t="s">
        <v>377</v>
      </c>
      <c r="R215" s="287" t="s">
        <v>377</v>
      </c>
      <c r="S215" s="288" t="s">
        <v>377</v>
      </c>
      <c r="T215" s="287" t="s">
        <v>377</v>
      </c>
      <c r="U215" s="294" t="s">
        <v>32</v>
      </c>
      <c r="V215" s="295" t="s">
        <v>32</v>
      </c>
      <c r="W215" s="287" t="s">
        <v>377</v>
      </c>
      <c r="X215" s="287" t="s">
        <v>377</v>
      </c>
      <c r="Y215" s="288" t="s">
        <v>377</v>
      </c>
      <c r="Z215" s="287" t="s">
        <v>377</v>
      </c>
      <c r="AA215" s="287" t="s">
        <v>377</v>
      </c>
      <c r="AB215" s="288" t="s">
        <v>377</v>
      </c>
      <c r="AC215" s="289" t="s">
        <v>377</v>
      </c>
      <c r="AD215" s="287" t="s">
        <v>377</v>
      </c>
      <c r="AE215" s="287" t="s">
        <v>377</v>
      </c>
      <c r="AF215" s="288" t="s">
        <v>377</v>
      </c>
      <c r="AG215" s="287" t="s">
        <v>377</v>
      </c>
      <c r="AH215" s="287" t="s">
        <v>377</v>
      </c>
      <c r="AI215" s="288" t="s">
        <v>377</v>
      </c>
      <c r="AJ215" s="287" t="s">
        <v>377</v>
      </c>
      <c r="AK215" s="287" t="s">
        <v>377</v>
      </c>
      <c r="AL215" s="288" t="s">
        <v>377</v>
      </c>
      <c r="AM215" s="287" t="s">
        <v>377</v>
      </c>
      <c r="AN215" s="287" t="s">
        <v>377</v>
      </c>
      <c r="AO215" s="288" t="s">
        <v>377</v>
      </c>
      <c r="AP215" s="289" t="s">
        <v>377</v>
      </c>
      <c r="AQ215" s="287" t="s">
        <v>377</v>
      </c>
      <c r="AR215" s="294" t="s">
        <v>32</v>
      </c>
      <c r="AS215" s="295" t="s">
        <v>32</v>
      </c>
      <c r="AT215" s="294" t="s">
        <v>32</v>
      </c>
      <c r="AU215" s="294" t="s">
        <v>32</v>
      </c>
      <c r="AV215" s="295" t="s">
        <v>32</v>
      </c>
      <c r="AW215" s="287" t="s">
        <v>377</v>
      </c>
      <c r="AX215" s="287" t="s">
        <v>377</v>
      </c>
      <c r="AY215" s="288" t="s">
        <v>377</v>
      </c>
      <c r="AZ215" s="294" t="s">
        <v>32</v>
      </c>
      <c r="BA215" s="294" t="s">
        <v>32</v>
      </c>
      <c r="BB215" s="288" t="s">
        <v>377</v>
      </c>
      <c r="BC215" s="289" t="s">
        <v>377</v>
      </c>
      <c r="BD215" s="292"/>
    </row>
    <row r="216" ht="12.75" customHeight="1">
      <c r="A216" s="293">
        <v>45266.422220625</v>
      </c>
      <c r="B216" s="286" t="s">
        <v>486</v>
      </c>
      <c r="C216" s="285" t="s">
        <v>559</v>
      </c>
      <c r="D216" s="285" t="s">
        <v>16</v>
      </c>
      <c r="E216" s="285" t="s">
        <v>577</v>
      </c>
      <c r="F216" s="287" t="s">
        <v>781</v>
      </c>
      <c r="G216" s="285" t="s">
        <v>21</v>
      </c>
      <c r="H216" s="285">
        <v>16.0</v>
      </c>
      <c r="I216" s="287" t="s">
        <v>497</v>
      </c>
      <c r="J216" s="292"/>
      <c r="K216" s="287" t="s">
        <v>508</v>
      </c>
      <c r="L216" s="287" t="s">
        <v>497</v>
      </c>
      <c r="M216" s="292"/>
      <c r="N216" s="292"/>
      <c r="O216" s="285" t="s">
        <v>497</v>
      </c>
      <c r="P216" s="292"/>
      <c r="Q216" s="294" t="s">
        <v>32</v>
      </c>
      <c r="R216" s="287" t="s">
        <v>377</v>
      </c>
      <c r="S216" s="295" t="s">
        <v>32</v>
      </c>
      <c r="T216" s="287" t="s">
        <v>377</v>
      </c>
      <c r="U216" s="287" t="s">
        <v>18</v>
      </c>
      <c r="V216" s="288" t="s">
        <v>377</v>
      </c>
      <c r="W216" s="287" t="s">
        <v>377</v>
      </c>
      <c r="X216" s="287" t="s">
        <v>18</v>
      </c>
      <c r="Y216" s="288" t="s">
        <v>377</v>
      </c>
      <c r="Z216" s="294" t="s">
        <v>32</v>
      </c>
      <c r="AA216" s="294" t="s">
        <v>32</v>
      </c>
      <c r="AB216" s="295" t="s">
        <v>32</v>
      </c>
      <c r="AC216" s="289" t="s">
        <v>377</v>
      </c>
      <c r="AD216" s="287" t="s">
        <v>377</v>
      </c>
      <c r="AE216" s="294" t="s">
        <v>32</v>
      </c>
      <c r="AF216" s="295" t="s">
        <v>32</v>
      </c>
      <c r="AG216" s="287" t="s">
        <v>377</v>
      </c>
      <c r="AH216" s="287" t="s">
        <v>18</v>
      </c>
      <c r="AI216" s="288" t="s">
        <v>377</v>
      </c>
      <c r="AJ216" s="294" t="s">
        <v>32</v>
      </c>
      <c r="AK216" s="287" t="s">
        <v>18</v>
      </c>
      <c r="AL216" s="288" t="s">
        <v>377</v>
      </c>
      <c r="AM216" s="287" t="s">
        <v>377</v>
      </c>
      <c r="AN216" s="287" t="s">
        <v>18</v>
      </c>
      <c r="AO216" s="288" t="s">
        <v>377</v>
      </c>
      <c r="AP216" s="289" t="s">
        <v>377</v>
      </c>
      <c r="AQ216" s="294" t="s">
        <v>32</v>
      </c>
      <c r="AR216" s="294" t="s">
        <v>32</v>
      </c>
      <c r="AS216" s="295" t="s">
        <v>32</v>
      </c>
      <c r="AT216" s="294" t="s">
        <v>32</v>
      </c>
      <c r="AU216" s="294" t="s">
        <v>32</v>
      </c>
      <c r="AV216" s="295" t="s">
        <v>32</v>
      </c>
      <c r="AW216" s="294" t="s">
        <v>32</v>
      </c>
      <c r="AX216" s="294" t="s">
        <v>32</v>
      </c>
      <c r="AY216" s="295" t="s">
        <v>32</v>
      </c>
      <c r="AZ216" s="294" t="s">
        <v>32</v>
      </c>
      <c r="BA216" s="294" t="s">
        <v>32</v>
      </c>
      <c r="BB216" s="295" t="s">
        <v>32</v>
      </c>
      <c r="BC216" s="296" t="s">
        <v>32</v>
      </c>
      <c r="BD216" s="292"/>
    </row>
    <row r="217" ht="12.75" customHeight="1">
      <c r="A217" s="293">
        <v>45266.43543516204</v>
      </c>
      <c r="B217" s="286" t="s">
        <v>486</v>
      </c>
      <c r="C217" s="285" t="s">
        <v>559</v>
      </c>
      <c r="D217" s="285" t="s">
        <v>16</v>
      </c>
      <c r="E217" s="285" t="s">
        <v>577</v>
      </c>
      <c r="F217" s="287" t="s">
        <v>782</v>
      </c>
      <c r="G217" s="285" t="s">
        <v>17</v>
      </c>
      <c r="H217" s="285">
        <v>16.0</v>
      </c>
      <c r="I217" s="287" t="s">
        <v>497</v>
      </c>
      <c r="J217" s="292"/>
      <c r="K217" s="287" t="s">
        <v>508</v>
      </c>
      <c r="L217" s="287" t="s">
        <v>497</v>
      </c>
      <c r="M217" s="292"/>
      <c r="N217" s="292"/>
      <c r="O217" s="285" t="s">
        <v>497</v>
      </c>
      <c r="P217" s="292"/>
      <c r="Q217" s="287" t="s">
        <v>18</v>
      </c>
      <c r="R217" s="287" t="s">
        <v>18</v>
      </c>
      <c r="S217" s="288" t="s">
        <v>18</v>
      </c>
      <c r="T217" s="294" t="s">
        <v>32</v>
      </c>
      <c r="U217" s="294" t="s">
        <v>32</v>
      </c>
      <c r="V217" s="295" t="s">
        <v>32</v>
      </c>
      <c r="W217" s="294" t="s">
        <v>32</v>
      </c>
      <c r="X217" s="287" t="s">
        <v>18</v>
      </c>
      <c r="Y217" s="288" t="s">
        <v>377</v>
      </c>
      <c r="Z217" s="294" t="s">
        <v>32</v>
      </c>
      <c r="AA217" s="287" t="s">
        <v>18</v>
      </c>
      <c r="AB217" s="288" t="s">
        <v>377</v>
      </c>
      <c r="AC217" s="289" t="s">
        <v>377</v>
      </c>
      <c r="AD217" s="294" t="s">
        <v>32</v>
      </c>
      <c r="AE217" s="287" t="s">
        <v>377</v>
      </c>
      <c r="AF217" s="295" t="s">
        <v>32</v>
      </c>
      <c r="AG217" s="287" t="s">
        <v>377</v>
      </c>
      <c r="AH217" s="287" t="s">
        <v>18</v>
      </c>
      <c r="AI217" s="288" t="s">
        <v>377</v>
      </c>
      <c r="AJ217" s="294" t="s">
        <v>32</v>
      </c>
      <c r="AK217" s="294" t="s">
        <v>32</v>
      </c>
      <c r="AL217" s="295" t="s">
        <v>32</v>
      </c>
      <c r="AM217" s="287" t="s">
        <v>18</v>
      </c>
      <c r="AN217" s="287" t="s">
        <v>18</v>
      </c>
      <c r="AO217" s="288" t="s">
        <v>18</v>
      </c>
      <c r="AP217" s="289" t="s">
        <v>377</v>
      </c>
      <c r="AQ217" s="294" t="s">
        <v>32</v>
      </c>
      <c r="AR217" s="294" t="s">
        <v>32</v>
      </c>
      <c r="AS217" s="295" t="s">
        <v>32</v>
      </c>
      <c r="AT217" s="294" t="s">
        <v>32</v>
      </c>
      <c r="AU217" s="294" t="s">
        <v>32</v>
      </c>
      <c r="AV217" s="295" t="s">
        <v>32</v>
      </c>
      <c r="AW217" s="287" t="s">
        <v>377</v>
      </c>
      <c r="AX217" s="294" t="s">
        <v>32</v>
      </c>
      <c r="AY217" s="295" t="s">
        <v>32</v>
      </c>
      <c r="AZ217" s="294" t="s">
        <v>32</v>
      </c>
      <c r="BA217" s="294" t="s">
        <v>32</v>
      </c>
      <c r="BB217" s="295" t="s">
        <v>32</v>
      </c>
      <c r="BC217" s="289" t="s">
        <v>377</v>
      </c>
      <c r="BD217" s="292"/>
    </row>
    <row r="218" ht="12.75" customHeight="1">
      <c r="A218" s="293">
        <v>45266.46216096065</v>
      </c>
      <c r="B218" s="286" t="s">
        <v>486</v>
      </c>
      <c r="C218" s="285" t="s">
        <v>559</v>
      </c>
      <c r="D218" s="285" t="s">
        <v>16</v>
      </c>
      <c r="E218" s="285" t="s">
        <v>577</v>
      </c>
      <c r="F218" s="287" t="s">
        <v>783</v>
      </c>
      <c r="G218" s="285" t="s">
        <v>21</v>
      </c>
      <c r="H218" s="285">
        <v>16.0</v>
      </c>
      <c r="I218" s="287" t="s">
        <v>497</v>
      </c>
      <c r="J218" s="292"/>
      <c r="K218" s="287" t="s">
        <v>508</v>
      </c>
      <c r="L218" s="287" t="s">
        <v>497</v>
      </c>
      <c r="M218" s="292"/>
      <c r="N218" s="292"/>
      <c r="O218" s="285" t="s">
        <v>497</v>
      </c>
      <c r="P218" s="292"/>
      <c r="Q218" s="294" t="s">
        <v>32</v>
      </c>
      <c r="R218" s="294" t="s">
        <v>32</v>
      </c>
      <c r="S218" s="295" t="s">
        <v>32</v>
      </c>
      <c r="T218" s="294" t="s">
        <v>32</v>
      </c>
      <c r="U218" s="294" t="s">
        <v>32</v>
      </c>
      <c r="V218" s="295" t="s">
        <v>32</v>
      </c>
      <c r="W218" s="287" t="s">
        <v>377</v>
      </c>
      <c r="X218" s="294" t="s">
        <v>32</v>
      </c>
      <c r="Y218" s="295" t="s">
        <v>32</v>
      </c>
      <c r="Z218" s="294" t="s">
        <v>32</v>
      </c>
      <c r="AA218" s="294" t="s">
        <v>32</v>
      </c>
      <c r="AB218" s="295" t="s">
        <v>32</v>
      </c>
      <c r="AC218" s="296" t="s">
        <v>32</v>
      </c>
      <c r="AD218" s="287" t="s">
        <v>377</v>
      </c>
      <c r="AE218" s="287" t="s">
        <v>18</v>
      </c>
      <c r="AF218" s="288" t="s">
        <v>377</v>
      </c>
      <c r="AG218" s="287" t="s">
        <v>377</v>
      </c>
      <c r="AH218" s="287" t="s">
        <v>18</v>
      </c>
      <c r="AI218" s="288" t="s">
        <v>377</v>
      </c>
      <c r="AJ218" s="294" t="s">
        <v>32</v>
      </c>
      <c r="AK218" s="287" t="s">
        <v>377</v>
      </c>
      <c r="AL218" s="295" t="s">
        <v>32</v>
      </c>
      <c r="AM218" s="287" t="s">
        <v>377</v>
      </c>
      <c r="AN218" s="287" t="s">
        <v>377</v>
      </c>
      <c r="AO218" s="288" t="s">
        <v>377</v>
      </c>
      <c r="AP218" s="289" t="s">
        <v>377</v>
      </c>
      <c r="AQ218" s="294" t="s">
        <v>32</v>
      </c>
      <c r="AR218" s="294" t="s">
        <v>32</v>
      </c>
      <c r="AS218" s="295" t="s">
        <v>32</v>
      </c>
      <c r="AT218" s="294" t="s">
        <v>32</v>
      </c>
      <c r="AU218" s="294" t="s">
        <v>32</v>
      </c>
      <c r="AV218" s="295" t="s">
        <v>32</v>
      </c>
      <c r="AW218" s="294" t="s">
        <v>32</v>
      </c>
      <c r="AX218" s="287" t="s">
        <v>377</v>
      </c>
      <c r="AY218" s="295" t="s">
        <v>32</v>
      </c>
      <c r="AZ218" s="294" t="s">
        <v>32</v>
      </c>
      <c r="BA218" s="294" t="s">
        <v>32</v>
      </c>
      <c r="BB218" s="288" t="s">
        <v>377</v>
      </c>
      <c r="BC218" s="289" t="s">
        <v>377</v>
      </c>
      <c r="BD218" s="292"/>
    </row>
    <row r="219" ht="12.75" customHeight="1">
      <c r="A219" s="293">
        <v>45266.46507038195</v>
      </c>
      <c r="B219" s="286" t="s">
        <v>486</v>
      </c>
      <c r="C219" s="285" t="s">
        <v>559</v>
      </c>
      <c r="D219" s="285" t="s">
        <v>16</v>
      </c>
      <c r="E219" s="285" t="s">
        <v>577</v>
      </c>
      <c r="F219" s="287" t="s">
        <v>784</v>
      </c>
      <c r="G219" s="285" t="s">
        <v>21</v>
      </c>
      <c r="H219" s="285">
        <v>15.0</v>
      </c>
      <c r="I219" s="287" t="s">
        <v>497</v>
      </c>
      <c r="J219" s="292"/>
      <c r="K219" s="287" t="s">
        <v>508</v>
      </c>
      <c r="L219" s="287" t="s">
        <v>497</v>
      </c>
      <c r="M219" s="292"/>
      <c r="N219" s="292"/>
      <c r="O219" s="285" t="s">
        <v>497</v>
      </c>
      <c r="P219" s="292"/>
      <c r="Q219" s="294" t="s">
        <v>32</v>
      </c>
      <c r="R219" s="294" t="s">
        <v>32</v>
      </c>
      <c r="S219" s="295" t="s">
        <v>32</v>
      </c>
      <c r="T219" s="287" t="s">
        <v>18</v>
      </c>
      <c r="U219" s="287" t="s">
        <v>18</v>
      </c>
      <c r="V219" s="288" t="s">
        <v>18</v>
      </c>
      <c r="W219" s="287" t="s">
        <v>18</v>
      </c>
      <c r="X219" s="294" t="s">
        <v>32</v>
      </c>
      <c r="Y219" s="288" t="s">
        <v>377</v>
      </c>
      <c r="Z219" s="294" t="s">
        <v>32</v>
      </c>
      <c r="AA219" s="287" t="s">
        <v>18</v>
      </c>
      <c r="AB219" s="288" t="s">
        <v>377</v>
      </c>
      <c r="AC219" s="289" t="s">
        <v>377</v>
      </c>
      <c r="AD219" s="287" t="s">
        <v>18</v>
      </c>
      <c r="AE219" s="287" t="s">
        <v>377</v>
      </c>
      <c r="AF219" s="288" t="s">
        <v>377</v>
      </c>
      <c r="AG219" s="287" t="s">
        <v>377</v>
      </c>
      <c r="AH219" s="287" t="s">
        <v>18</v>
      </c>
      <c r="AI219" s="288" t="s">
        <v>377</v>
      </c>
      <c r="AJ219" s="287" t="s">
        <v>377</v>
      </c>
      <c r="AK219" s="287" t="s">
        <v>18</v>
      </c>
      <c r="AL219" s="288" t="s">
        <v>377</v>
      </c>
      <c r="AM219" s="287" t="s">
        <v>18</v>
      </c>
      <c r="AN219" s="287" t="s">
        <v>18</v>
      </c>
      <c r="AO219" s="288" t="s">
        <v>18</v>
      </c>
      <c r="AP219" s="289" t="s">
        <v>18</v>
      </c>
      <c r="AQ219" s="287" t="s">
        <v>18</v>
      </c>
      <c r="AR219" s="294" t="s">
        <v>32</v>
      </c>
      <c r="AS219" s="288" t="s">
        <v>377</v>
      </c>
      <c r="AT219" s="294" t="s">
        <v>32</v>
      </c>
      <c r="AU219" s="294" t="s">
        <v>32</v>
      </c>
      <c r="AV219" s="295" t="s">
        <v>32</v>
      </c>
      <c r="AW219" s="294" t="s">
        <v>32</v>
      </c>
      <c r="AX219" s="294" t="s">
        <v>32</v>
      </c>
      <c r="AY219" s="295" t="s">
        <v>32</v>
      </c>
      <c r="AZ219" s="294" t="s">
        <v>32</v>
      </c>
      <c r="BA219" s="294" t="s">
        <v>32</v>
      </c>
      <c r="BB219" s="288" t="s">
        <v>377</v>
      </c>
      <c r="BC219" s="289" t="s">
        <v>377</v>
      </c>
      <c r="BD219" s="292"/>
    </row>
    <row r="220" ht="12.75" customHeight="1">
      <c r="A220" s="293">
        <v>45266.47195144676</v>
      </c>
      <c r="B220" s="286" t="s">
        <v>486</v>
      </c>
      <c r="C220" s="285" t="s">
        <v>559</v>
      </c>
      <c r="D220" s="285" t="s">
        <v>16</v>
      </c>
      <c r="E220" s="285" t="s">
        <v>577</v>
      </c>
      <c r="F220" s="287" t="s">
        <v>785</v>
      </c>
      <c r="G220" s="285" t="s">
        <v>17</v>
      </c>
      <c r="H220" s="285">
        <v>16.0</v>
      </c>
      <c r="I220" s="287" t="s">
        <v>497</v>
      </c>
      <c r="J220" s="292"/>
      <c r="K220" s="287" t="s">
        <v>508</v>
      </c>
      <c r="L220" s="287" t="s">
        <v>497</v>
      </c>
      <c r="M220" s="292"/>
      <c r="N220" s="292"/>
      <c r="O220" s="285" t="s">
        <v>497</v>
      </c>
      <c r="P220" s="292"/>
      <c r="Q220" s="294" t="s">
        <v>32</v>
      </c>
      <c r="R220" s="287" t="s">
        <v>18</v>
      </c>
      <c r="S220" s="288" t="s">
        <v>377</v>
      </c>
      <c r="T220" s="287" t="s">
        <v>377</v>
      </c>
      <c r="U220" s="287" t="s">
        <v>377</v>
      </c>
      <c r="V220" s="288" t="s">
        <v>377</v>
      </c>
      <c r="W220" s="287" t="s">
        <v>377</v>
      </c>
      <c r="X220" s="287" t="s">
        <v>377</v>
      </c>
      <c r="Y220" s="288" t="s">
        <v>377</v>
      </c>
      <c r="Z220" s="294" t="s">
        <v>32</v>
      </c>
      <c r="AA220" s="287" t="s">
        <v>377</v>
      </c>
      <c r="AB220" s="295" t="s">
        <v>32</v>
      </c>
      <c r="AC220" s="289" t="s">
        <v>377</v>
      </c>
      <c r="AD220" s="287" t="s">
        <v>377</v>
      </c>
      <c r="AE220" s="294" t="s">
        <v>32</v>
      </c>
      <c r="AF220" s="295" t="s">
        <v>32</v>
      </c>
      <c r="AG220" s="287" t="s">
        <v>377</v>
      </c>
      <c r="AH220" s="287" t="s">
        <v>377</v>
      </c>
      <c r="AI220" s="288" t="s">
        <v>377</v>
      </c>
      <c r="AJ220" s="294" t="s">
        <v>32</v>
      </c>
      <c r="AK220" s="294" t="s">
        <v>32</v>
      </c>
      <c r="AL220" s="295" t="s">
        <v>32</v>
      </c>
      <c r="AM220" s="287" t="s">
        <v>18</v>
      </c>
      <c r="AN220" s="287" t="s">
        <v>18</v>
      </c>
      <c r="AO220" s="288" t="s">
        <v>18</v>
      </c>
      <c r="AP220" s="289" t="s">
        <v>377</v>
      </c>
      <c r="AQ220" s="294" t="s">
        <v>32</v>
      </c>
      <c r="AR220" s="294" t="s">
        <v>32</v>
      </c>
      <c r="AS220" s="295" t="s">
        <v>32</v>
      </c>
      <c r="AT220" s="294" t="s">
        <v>32</v>
      </c>
      <c r="AU220" s="294" t="s">
        <v>32</v>
      </c>
      <c r="AV220" s="295" t="s">
        <v>32</v>
      </c>
      <c r="AW220" s="287" t="s">
        <v>377</v>
      </c>
      <c r="AX220" s="294" t="s">
        <v>32</v>
      </c>
      <c r="AY220" s="295" t="s">
        <v>32</v>
      </c>
      <c r="AZ220" s="294" t="s">
        <v>32</v>
      </c>
      <c r="BA220" s="294" t="s">
        <v>32</v>
      </c>
      <c r="BB220" s="288" t="s">
        <v>377</v>
      </c>
      <c r="BC220" s="289" t="s">
        <v>377</v>
      </c>
      <c r="BD220" s="292"/>
    </row>
    <row r="221" ht="12.75" customHeight="1">
      <c r="A221" s="293">
        <v>45267.74697115741</v>
      </c>
      <c r="B221" s="286" t="s">
        <v>486</v>
      </c>
      <c r="C221" s="285" t="s">
        <v>559</v>
      </c>
      <c r="D221" s="285" t="s">
        <v>16</v>
      </c>
      <c r="E221" s="285" t="s">
        <v>577</v>
      </c>
      <c r="F221" s="287" t="s">
        <v>786</v>
      </c>
      <c r="G221" s="285" t="s">
        <v>17</v>
      </c>
      <c r="H221" s="285">
        <v>15.0</v>
      </c>
      <c r="I221" s="287" t="s">
        <v>497</v>
      </c>
      <c r="J221" s="292"/>
      <c r="K221" s="287" t="s">
        <v>508</v>
      </c>
      <c r="L221" s="287" t="s">
        <v>497</v>
      </c>
      <c r="M221" s="292"/>
      <c r="N221" s="292"/>
      <c r="O221" s="285" t="s">
        <v>497</v>
      </c>
      <c r="P221" s="292"/>
      <c r="Q221" s="287" t="s">
        <v>377</v>
      </c>
      <c r="R221" s="294" t="s">
        <v>32</v>
      </c>
      <c r="S221" s="295" t="s">
        <v>32</v>
      </c>
      <c r="T221" s="287" t="s">
        <v>18</v>
      </c>
      <c r="U221" s="294" t="s">
        <v>32</v>
      </c>
      <c r="V221" s="288" t="s">
        <v>377</v>
      </c>
      <c r="W221" s="287" t="s">
        <v>18</v>
      </c>
      <c r="X221" s="294" t="s">
        <v>32</v>
      </c>
      <c r="Y221" s="288" t="s">
        <v>377</v>
      </c>
      <c r="Z221" s="287" t="s">
        <v>377</v>
      </c>
      <c r="AA221" s="294" t="s">
        <v>32</v>
      </c>
      <c r="AB221" s="295" t="s">
        <v>32</v>
      </c>
      <c r="AC221" s="289" t="s">
        <v>377</v>
      </c>
      <c r="AD221" s="287" t="s">
        <v>377</v>
      </c>
      <c r="AE221" s="287" t="s">
        <v>377</v>
      </c>
      <c r="AF221" s="288" t="s">
        <v>377</v>
      </c>
      <c r="AG221" s="287" t="s">
        <v>377</v>
      </c>
      <c r="AH221" s="287" t="s">
        <v>377</v>
      </c>
      <c r="AI221" s="288" t="s">
        <v>377</v>
      </c>
      <c r="AJ221" s="294" t="s">
        <v>32</v>
      </c>
      <c r="AK221" s="287" t="s">
        <v>377</v>
      </c>
      <c r="AL221" s="295" t="s">
        <v>32</v>
      </c>
      <c r="AM221" s="287" t="s">
        <v>377</v>
      </c>
      <c r="AN221" s="287" t="s">
        <v>377</v>
      </c>
      <c r="AO221" s="288" t="s">
        <v>377</v>
      </c>
      <c r="AP221" s="289" t="s">
        <v>377</v>
      </c>
      <c r="AQ221" s="287" t="s">
        <v>377</v>
      </c>
      <c r="AR221" s="294" t="s">
        <v>32</v>
      </c>
      <c r="AS221" s="295" t="s">
        <v>32</v>
      </c>
      <c r="AT221" s="287" t="s">
        <v>377</v>
      </c>
      <c r="AU221" s="287" t="s">
        <v>377</v>
      </c>
      <c r="AV221" s="288" t="s">
        <v>377</v>
      </c>
      <c r="AW221" s="287" t="s">
        <v>377</v>
      </c>
      <c r="AX221" s="287" t="s">
        <v>377</v>
      </c>
      <c r="AY221" s="288" t="s">
        <v>377</v>
      </c>
      <c r="AZ221" s="294" t="s">
        <v>32</v>
      </c>
      <c r="BA221" s="294" t="s">
        <v>32</v>
      </c>
      <c r="BB221" s="288" t="s">
        <v>377</v>
      </c>
      <c r="BC221" s="296" t="s">
        <v>32</v>
      </c>
      <c r="BD221" s="292"/>
    </row>
    <row r="222" ht="12.75" customHeight="1">
      <c r="A222" s="293">
        <v>45267.76255115741</v>
      </c>
      <c r="B222" s="286" t="s">
        <v>486</v>
      </c>
      <c r="C222" s="285" t="s">
        <v>559</v>
      </c>
      <c r="D222" s="285" t="s">
        <v>16</v>
      </c>
      <c r="E222" s="285" t="s">
        <v>577</v>
      </c>
      <c r="F222" s="287" t="s">
        <v>787</v>
      </c>
      <c r="G222" s="285" t="s">
        <v>17</v>
      </c>
      <c r="H222" s="285">
        <v>17.0</v>
      </c>
      <c r="I222" s="287" t="s">
        <v>497</v>
      </c>
      <c r="J222" s="292"/>
      <c r="K222" s="287" t="s">
        <v>508</v>
      </c>
      <c r="L222" s="287" t="s">
        <v>497</v>
      </c>
      <c r="M222" s="292"/>
      <c r="N222" s="292"/>
      <c r="O222" s="285" t="s">
        <v>479</v>
      </c>
      <c r="P222" s="287" t="s">
        <v>788</v>
      </c>
      <c r="Q222" s="287" t="s">
        <v>377</v>
      </c>
      <c r="R222" s="294" t="s">
        <v>32</v>
      </c>
      <c r="S222" s="295" t="s">
        <v>32</v>
      </c>
      <c r="T222" s="287" t="s">
        <v>377</v>
      </c>
      <c r="U222" s="294" t="s">
        <v>32</v>
      </c>
      <c r="V222" s="295" t="s">
        <v>32</v>
      </c>
      <c r="W222" s="287" t="s">
        <v>377</v>
      </c>
      <c r="X222" s="294" t="s">
        <v>32</v>
      </c>
      <c r="Y222" s="295" t="s">
        <v>32</v>
      </c>
      <c r="Z222" s="294" t="s">
        <v>32</v>
      </c>
      <c r="AA222" s="294" t="s">
        <v>32</v>
      </c>
      <c r="AB222" s="295" t="s">
        <v>32</v>
      </c>
      <c r="AC222" s="296" t="s">
        <v>32</v>
      </c>
      <c r="AD222" s="287" t="s">
        <v>377</v>
      </c>
      <c r="AE222" s="294" t="s">
        <v>32</v>
      </c>
      <c r="AF222" s="295" t="s">
        <v>32</v>
      </c>
      <c r="AG222" s="287" t="s">
        <v>377</v>
      </c>
      <c r="AH222" s="294" t="s">
        <v>32</v>
      </c>
      <c r="AI222" s="295" t="s">
        <v>32</v>
      </c>
      <c r="AJ222" s="287" t="s">
        <v>377</v>
      </c>
      <c r="AK222" s="287" t="s">
        <v>377</v>
      </c>
      <c r="AL222" s="288" t="s">
        <v>377</v>
      </c>
      <c r="AM222" s="287" t="s">
        <v>377</v>
      </c>
      <c r="AN222" s="287" t="s">
        <v>377</v>
      </c>
      <c r="AO222" s="288" t="s">
        <v>377</v>
      </c>
      <c r="AP222" s="289" t="s">
        <v>377</v>
      </c>
      <c r="AQ222" s="294" t="s">
        <v>32</v>
      </c>
      <c r="AR222" s="294" t="s">
        <v>32</v>
      </c>
      <c r="AS222" s="295" t="s">
        <v>32</v>
      </c>
      <c r="AT222" s="294" t="s">
        <v>32</v>
      </c>
      <c r="AU222" s="294" t="s">
        <v>32</v>
      </c>
      <c r="AV222" s="295" t="s">
        <v>32</v>
      </c>
      <c r="AW222" s="287" t="s">
        <v>377</v>
      </c>
      <c r="AX222" s="294" t="s">
        <v>32</v>
      </c>
      <c r="AY222" s="295" t="s">
        <v>32</v>
      </c>
      <c r="AZ222" s="294" t="s">
        <v>32</v>
      </c>
      <c r="BA222" s="294" t="s">
        <v>32</v>
      </c>
      <c r="BB222" s="295" t="s">
        <v>32</v>
      </c>
      <c r="BC222" s="296" t="s">
        <v>32</v>
      </c>
      <c r="BD222" s="292"/>
    </row>
    <row r="223" ht="12.75" customHeight="1">
      <c r="A223" s="293">
        <v>45281.87772636574</v>
      </c>
      <c r="B223" s="286" t="s">
        <v>486</v>
      </c>
      <c r="C223" s="285" t="s">
        <v>559</v>
      </c>
      <c r="D223" s="285" t="s">
        <v>16</v>
      </c>
      <c r="E223" s="285" t="s">
        <v>577</v>
      </c>
      <c r="F223" s="287" t="s">
        <v>789</v>
      </c>
      <c r="G223" s="285" t="s">
        <v>21</v>
      </c>
      <c r="H223" s="285">
        <v>16.0</v>
      </c>
      <c r="I223" s="287" t="s">
        <v>497</v>
      </c>
      <c r="J223" s="292"/>
      <c r="K223" s="287" t="s">
        <v>508</v>
      </c>
      <c r="L223" s="287" t="s">
        <v>479</v>
      </c>
      <c r="M223" s="287" t="s">
        <v>490</v>
      </c>
      <c r="N223" s="287" t="s">
        <v>483</v>
      </c>
      <c r="O223" s="285" t="s">
        <v>497</v>
      </c>
      <c r="P223" s="292"/>
      <c r="Q223" s="294" t="s">
        <v>32</v>
      </c>
      <c r="R223" s="294" t="s">
        <v>32</v>
      </c>
      <c r="S223" s="295" t="s">
        <v>32</v>
      </c>
      <c r="T223" s="287" t="s">
        <v>377</v>
      </c>
      <c r="U223" s="294" t="s">
        <v>32</v>
      </c>
      <c r="V223" s="295" t="s">
        <v>32</v>
      </c>
      <c r="W223" s="287" t="s">
        <v>377</v>
      </c>
      <c r="X223" s="287" t="s">
        <v>18</v>
      </c>
      <c r="Y223" s="288" t="s">
        <v>377</v>
      </c>
      <c r="Z223" s="287" t="s">
        <v>377</v>
      </c>
      <c r="AA223" s="294" t="s">
        <v>32</v>
      </c>
      <c r="AB223" s="295" t="s">
        <v>32</v>
      </c>
      <c r="AC223" s="289" t="s">
        <v>377</v>
      </c>
      <c r="AD223" s="287" t="s">
        <v>377</v>
      </c>
      <c r="AE223" s="294" t="s">
        <v>32</v>
      </c>
      <c r="AF223" s="295" t="s">
        <v>32</v>
      </c>
      <c r="AG223" s="287" t="s">
        <v>377</v>
      </c>
      <c r="AH223" s="294" t="s">
        <v>32</v>
      </c>
      <c r="AI223" s="295" t="s">
        <v>32</v>
      </c>
      <c r="AJ223" s="294" t="s">
        <v>32</v>
      </c>
      <c r="AK223" s="294" t="s">
        <v>32</v>
      </c>
      <c r="AL223" s="295" t="s">
        <v>32</v>
      </c>
      <c r="AM223" s="287" t="s">
        <v>18</v>
      </c>
      <c r="AN223" s="287" t="s">
        <v>377</v>
      </c>
      <c r="AO223" s="288" t="s">
        <v>377</v>
      </c>
      <c r="AP223" s="289" t="s">
        <v>377</v>
      </c>
      <c r="AQ223" s="294" t="s">
        <v>32</v>
      </c>
      <c r="AR223" s="294" t="s">
        <v>32</v>
      </c>
      <c r="AS223" s="295" t="s">
        <v>32</v>
      </c>
      <c r="AT223" s="294" t="s">
        <v>32</v>
      </c>
      <c r="AU223" s="294" t="s">
        <v>32</v>
      </c>
      <c r="AV223" s="295" t="s">
        <v>32</v>
      </c>
      <c r="AW223" s="294" t="s">
        <v>32</v>
      </c>
      <c r="AX223" s="294" t="s">
        <v>32</v>
      </c>
      <c r="AY223" s="295" t="s">
        <v>32</v>
      </c>
      <c r="AZ223" s="294" t="s">
        <v>32</v>
      </c>
      <c r="BA223" s="294" t="s">
        <v>32</v>
      </c>
      <c r="BB223" s="295" t="s">
        <v>32</v>
      </c>
      <c r="BC223" s="296" t="s">
        <v>32</v>
      </c>
      <c r="BD223" s="292"/>
    </row>
    <row r="224" ht="12.75" customHeight="1">
      <c r="A224" s="293">
        <v>45281.88032847222</v>
      </c>
      <c r="B224" s="286" t="s">
        <v>486</v>
      </c>
      <c r="C224" s="285" t="s">
        <v>559</v>
      </c>
      <c r="D224" s="285" t="s">
        <v>16</v>
      </c>
      <c r="E224" s="285" t="s">
        <v>577</v>
      </c>
      <c r="F224" s="287" t="s">
        <v>790</v>
      </c>
      <c r="G224" s="285" t="s">
        <v>21</v>
      </c>
      <c r="H224" s="285">
        <v>17.0</v>
      </c>
      <c r="I224" s="287" t="s">
        <v>497</v>
      </c>
      <c r="J224" s="292"/>
      <c r="K224" s="287" t="s">
        <v>508</v>
      </c>
      <c r="L224" s="287" t="s">
        <v>497</v>
      </c>
      <c r="M224" s="292"/>
      <c r="N224" s="292"/>
      <c r="O224" s="285" t="s">
        <v>497</v>
      </c>
      <c r="P224" s="292"/>
      <c r="Q224" s="294" t="s">
        <v>32</v>
      </c>
      <c r="R224" s="294" t="s">
        <v>32</v>
      </c>
      <c r="S224" s="295" t="s">
        <v>32</v>
      </c>
      <c r="T224" s="294" t="s">
        <v>32</v>
      </c>
      <c r="U224" s="294" t="s">
        <v>32</v>
      </c>
      <c r="V224" s="295" t="s">
        <v>32</v>
      </c>
      <c r="W224" s="294" t="s">
        <v>32</v>
      </c>
      <c r="X224" s="294" t="s">
        <v>32</v>
      </c>
      <c r="Y224" s="295" t="s">
        <v>32</v>
      </c>
      <c r="Z224" s="294" t="s">
        <v>32</v>
      </c>
      <c r="AA224" s="294" t="s">
        <v>32</v>
      </c>
      <c r="AB224" s="295" t="s">
        <v>32</v>
      </c>
      <c r="AC224" s="296" t="s">
        <v>32</v>
      </c>
      <c r="AD224" s="294" t="s">
        <v>32</v>
      </c>
      <c r="AE224" s="294" t="s">
        <v>32</v>
      </c>
      <c r="AF224" s="295" t="s">
        <v>32</v>
      </c>
      <c r="AG224" s="294" t="s">
        <v>32</v>
      </c>
      <c r="AH224" s="294" t="s">
        <v>32</v>
      </c>
      <c r="AI224" s="295" t="s">
        <v>32</v>
      </c>
      <c r="AJ224" s="294" t="s">
        <v>32</v>
      </c>
      <c r="AK224" s="294" t="s">
        <v>32</v>
      </c>
      <c r="AL224" s="295" t="s">
        <v>32</v>
      </c>
      <c r="AM224" s="294" t="s">
        <v>32</v>
      </c>
      <c r="AN224" s="294" t="s">
        <v>32</v>
      </c>
      <c r="AO224" s="295" t="s">
        <v>32</v>
      </c>
      <c r="AP224" s="296" t="s">
        <v>32</v>
      </c>
      <c r="AQ224" s="294" t="s">
        <v>32</v>
      </c>
      <c r="AR224" s="294" t="s">
        <v>32</v>
      </c>
      <c r="AS224" s="295" t="s">
        <v>32</v>
      </c>
      <c r="AT224" s="294" t="s">
        <v>32</v>
      </c>
      <c r="AU224" s="294" t="s">
        <v>32</v>
      </c>
      <c r="AV224" s="295" t="s">
        <v>32</v>
      </c>
      <c r="AW224" s="294" t="s">
        <v>32</v>
      </c>
      <c r="AX224" s="294" t="s">
        <v>32</v>
      </c>
      <c r="AY224" s="295" t="s">
        <v>32</v>
      </c>
      <c r="AZ224" s="294" t="s">
        <v>32</v>
      </c>
      <c r="BA224" s="294" t="s">
        <v>32</v>
      </c>
      <c r="BB224" s="295" t="s">
        <v>32</v>
      </c>
      <c r="BC224" s="296" t="s">
        <v>32</v>
      </c>
      <c r="BD224" s="292"/>
    </row>
    <row r="225" ht="12.75" customHeight="1">
      <c r="A225" s="293">
        <v>45281.884076250004</v>
      </c>
      <c r="B225" s="286" t="s">
        <v>486</v>
      </c>
      <c r="C225" s="285" t="s">
        <v>559</v>
      </c>
      <c r="D225" s="285" t="s">
        <v>16</v>
      </c>
      <c r="E225" s="285" t="s">
        <v>577</v>
      </c>
      <c r="F225" s="287" t="s">
        <v>791</v>
      </c>
      <c r="G225" s="285" t="s">
        <v>21</v>
      </c>
      <c r="H225" s="285">
        <v>17.0</v>
      </c>
      <c r="I225" s="287" t="s">
        <v>497</v>
      </c>
      <c r="J225" s="292"/>
      <c r="K225" s="287" t="s">
        <v>508</v>
      </c>
      <c r="L225" s="287" t="s">
        <v>479</v>
      </c>
      <c r="M225" s="287" t="s">
        <v>490</v>
      </c>
      <c r="N225" s="287" t="s">
        <v>483</v>
      </c>
      <c r="O225" s="285" t="s">
        <v>479</v>
      </c>
      <c r="P225" s="287" t="s">
        <v>792</v>
      </c>
      <c r="Q225" s="294" t="s">
        <v>32</v>
      </c>
      <c r="R225" s="287" t="s">
        <v>377</v>
      </c>
      <c r="S225" s="295" t="s">
        <v>32</v>
      </c>
      <c r="T225" s="287" t="s">
        <v>377</v>
      </c>
      <c r="U225" s="294" t="s">
        <v>32</v>
      </c>
      <c r="V225" s="295" t="s">
        <v>32</v>
      </c>
      <c r="W225" s="287" t="s">
        <v>377</v>
      </c>
      <c r="X225" s="287" t="s">
        <v>18</v>
      </c>
      <c r="Y225" s="288" t="s">
        <v>377</v>
      </c>
      <c r="Z225" s="287" t="s">
        <v>377</v>
      </c>
      <c r="AA225" s="294" t="s">
        <v>32</v>
      </c>
      <c r="AB225" s="295" t="s">
        <v>32</v>
      </c>
      <c r="AC225" s="289" t="s">
        <v>377</v>
      </c>
      <c r="AD225" s="287" t="s">
        <v>377</v>
      </c>
      <c r="AE225" s="287" t="s">
        <v>377</v>
      </c>
      <c r="AF225" s="288" t="s">
        <v>377</v>
      </c>
      <c r="AG225" s="287" t="s">
        <v>377</v>
      </c>
      <c r="AH225" s="287" t="s">
        <v>377</v>
      </c>
      <c r="AI225" s="288" t="s">
        <v>377</v>
      </c>
      <c r="AJ225" s="294" t="s">
        <v>32</v>
      </c>
      <c r="AK225" s="294" t="s">
        <v>32</v>
      </c>
      <c r="AL225" s="295" t="s">
        <v>32</v>
      </c>
      <c r="AM225" s="287" t="s">
        <v>377</v>
      </c>
      <c r="AN225" s="287" t="s">
        <v>377</v>
      </c>
      <c r="AO225" s="288" t="s">
        <v>377</v>
      </c>
      <c r="AP225" s="289" t="s">
        <v>377</v>
      </c>
      <c r="AQ225" s="287" t="s">
        <v>377</v>
      </c>
      <c r="AR225" s="294" t="s">
        <v>32</v>
      </c>
      <c r="AS225" s="295" t="s">
        <v>32</v>
      </c>
      <c r="AT225" s="294" t="s">
        <v>32</v>
      </c>
      <c r="AU225" s="294" t="s">
        <v>32</v>
      </c>
      <c r="AV225" s="295" t="s">
        <v>32</v>
      </c>
      <c r="AW225" s="287" t="s">
        <v>377</v>
      </c>
      <c r="AX225" s="287" t="s">
        <v>377</v>
      </c>
      <c r="AY225" s="288" t="s">
        <v>377</v>
      </c>
      <c r="AZ225" s="294" t="s">
        <v>32</v>
      </c>
      <c r="BA225" s="294" t="s">
        <v>32</v>
      </c>
      <c r="BB225" s="295" t="s">
        <v>32</v>
      </c>
      <c r="BC225" s="296" t="s">
        <v>32</v>
      </c>
      <c r="BD225" s="292"/>
    </row>
    <row r="226" ht="12.75" customHeight="1">
      <c r="A226" s="293">
        <v>45281.88753202546</v>
      </c>
      <c r="B226" s="286" t="s">
        <v>486</v>
      </c>
      <c r="C226" s="285" t="s">
        <v>559</v>
      </c>
      <c r="D226" s="285" t="s">
        <v>16</v>
      </c>
      <c r="E226" s="285" t="s">
        <v>577</v>
      </c>
      <c r="F226" s="287" t="s">
        <v>793</v>
      </c>
      <c r="G226" s="285" t="s">
        <v>17</v>
      </c>
      <c r="H226" s="285">
        <v>16.0</v>
      </c>
      <c r="I226" s="287" t="s">
        <v>497</v>
      </c>
      <c r="J226" s="292"/>
      <c r="K226" s="287" t="s">
        <v>508</v>
      </c>
      <c r="L226" s="287" t="s">
        <v>479</v>
      </c>
      <c r="M226" s="287" t="s">
        <v>490</v>
      </c>
      <c r="N226" s="287" t="s">
        <v>483</v>
      </c>
      <c r="O226" s="285" t="s">
        <v>479</v>
      </c>
      <c r="P226" s="287" t="s">
        <v>794</v>
      </c>
      <c r="Q226" s="294" t="s">
        <v>32</v>
      </c>
      <c r="R226" s="287" t="s">
        <v>377</v>
      </c>
      <c r="S226" s="295" t="s">
        <v>32</v>
      </c>
      <c r="T226" s="294" t="s">
        <v>32</v>
      </c>
      <c r="U226" s="287" t="s">
        <v>18</v>
      </c>
      <c r="V226" s="288" t="s">
        <v>377</v>
      </c>
      <c r="W226" s="287" t="s">
        <v>18</v>
      </c>
      <c r="X226" s="287" t="s">
        <v>18</v>
      </c>
      <c r="Y226" s="288" t="s">
        <v>18</v>
      </c>
      <c r="Z226" s="294" t="s">
        <v>32</v>
      </c>
      <c r="AA226" s="294" t="s">
        <v>32</v>
      </c>
      <c r="AB226" s="295" t="s">
        <v>32</v>
      </c>
      <c r="AC226" s="289" t="s">
        <v>377</v>
      </c>
      <c r="AD226" s="287" t="s">
        <v>377</v>
      </c>
      <c r="AE226" s="287" t="s">
        <v>18</v>
      </c>
      <c r="AF226" s="288" t="s">
        <v>377</v>
      </c>
      <c r="AG226" s="287" t="s">
        <v>377</v>
      </c>
      <c r="AH226" s="287" t="s">
        <v>377</v>
      </c>
      <c r="AI226" s="288" t="s">
        <v>377</v>
      </c>
      <c r="AJ226" s="287" t="s">
        <v>18</v>
      </c>
      <c r="AK226" s="287" t="s">
        <v>18</v>
      </c>
      <c r="AL226" s="288" t="s">
        <v>18</v>
      </c>
      <c r="AM226" s="287" t="s">
        <v>18</v>
      </c>
      <c r="AN226" s="287" t="s">
        <v>18</v>
      </c>
      <c r="AO226" s="288" t="s">
        <v>18</v>
      </c>
      <c r="AP226" s="289" t="s">
        <v>18</v>
      </c>
      <c r="AQ226" s="294" t="s">
        <v>32</v>
      </c>
      <c r="AR226" s="294" t="s">
        <v>32</v>
      </c>
      <c r="AS226" s="295" t="s">
        <v>32</v>
      </c>
      <c r="AT226" s="294" t="s">
        <v>32</v>
      </c>
      <c r="AU226" s="294" t="s">
        <v>32</v>
      </c>
      <c r="AV226" s="295" t="s">
        <v>32</v>
      </c>
      <c r="AW226" s="294" t="s">
        <v>32</v>
      </c>
      <c r="AX226" s="294" t="s">
        <v>32</v>
      </c>
      <c r="AY226" s="295" t="s">
        <v>32</v>
      </c>
      <c r="AZ226" s="294" t="s">
        <v>32</v>
      </c>
      <c r="BA226" s="294" t="s">
        <v>32</v>
      </c>
      <c r="BB226" s="288" t="s">
        <v>377</v>
      </c>
      <c r="BC226" s="289" t="s">
        <v>377</v>
      </c>
      <c r="BD226" s="292"/>
    </row>
    <row r="227" ht="12.75" customHeight="1">
      <c r="A227" s="293">
        <v>45281.891603807875</v>
      </c>
      <c r="B227" s="286" t="s">
        <v>486</v>
      </c>
      <c r="C227" s="285" t="s">
        <v>559</v>
      </c>
      <c r="D227" s="285" t="s">
        <v>16</v>
      </c>
      <c r="E227" s="285" t="s">
        <v>577</v>
      </c>
      <c r="F227" s="287" t="s">
        <v>795</v>
      </c>
      <c r="G227" s="285" t="s">
        <v>17</v>
      </c>
      <c r="H227" s="285">
        <v>17.0</v>
      </c>
      <c r="I227" s="287" t="s">
        <v>497</v>
      </c>
      <c r="J227" s="292"/>
      <c r="K227" s="287" t="s">
        <v>508</v>
      </c>
      <c r="L227" s="287" t="s">
        <v>479</v>
      </c>
      <c r="M227" s="287" t="s">
        <v>495</v>
      </c>
      <c r="N227" s="287" t="s">
        <v>561</v>
      </c>
      <c r="O227" s="285" t="s">
        <v>479</v>
      </c>
      <c r="P227" s="287" t="s">
        <v>796</v>
      </c>
      <c r="Q227" s="294" t="s">
        <v>32</v>
      </c>
      <c r="R227" s="287" t="s">
        <v>18</v>
      </c>
      <c r="S227" s="288" t="s">
        <v>377</v>
      </c>
      <c r="T227" s="287" t="s">
        <v>18</v>
      </c>
      <c r="U227" s="287" t="s">
        <v>18</v>
      </c>
      <c r="V227" s="288" t="s">
        <v>18</v>
      </c>
      <c r="W227" s="287" t="s">
        <v>18</v>
      </c>
      <c r="X227" s="287" t="s">
        <v>18</v>
      </c>
      <c r="Y227" s="288" t="s">
        <v>18</v>
      </c>
      <c r="Z227" s="294" t="s">
        <v>32</v>
      </c>
      <c r="AA227" s="287" t="s">
        <v>18</v>
      </c>
      <c r="AB227" s="288" t="s">
        <v>377</v>
      </c>
      <c r="AC227" s="289" t="s">
        <v>377</v>
      </c>
      <c r="AD227" s="287" t="s">
        <v>18</v>
      </c>
      <c r="AE227" s="287" t="s">
        <v>18</v>
      </c>
      <c r="AF227" s="288" t="s">
        <v>18</v>
      </c>
      <c r="AG227" s="287" t="s">
        <v>18</v>
      </c>
      <c r="AH227" s="287" t="s">
        <v>18</v>
      </c>
      <c r="AI227" s="288" t="s">
        <v>18</v>
      </c>
      <c r="AJ227" s="287" t="s">
        <v>18</v>
      </c>
      <c r="AK227" s="287" t="s">
        <v>18</v>
      </c>
      <c r="AL227" s="288" t="s">
        <v>18</v>
      </c>
      <c r="AM227" s="287" t="s">
        <v>18</v>
      </c>
      <c r="AN227" s="287" t="s">
        <v>18</v>
      </c>
      <c r="AO227" s="288" t="s">
        <v>18</v>
      </c>
      <c r="AP227" s="289" t="s">
        <v>18</v>
      </c>
      <c r="AQ227" s="294" t="s">
        <v>32</v>
      </c>
      <c r="AR227" s="294" t="s">
        <v>32</v>
      </c>
      <c r="AS227" s="295" t="s">
        <v>32</v>
      </c>
      <c r="AT227" s="294" t="s">
        <v>32</v>
      </c>
      <c r="AU227" s="294" t="s">
        <v>32</v>
      </c>
      <c r="AV227" s="295" t="s">
        <v>32</v>
      </c>
      <c r="AW227" s="294" t="s">
        <v>32</v>
      </c>
      <c r="AX227" s="287" t="s">
        <v>18</v>
      </c>
      <c r="AY227" s="288" t="s">
        <v>377</v>
      </c>
      <c r="AZ227" s="294" t="s">
        <v>32</v>
      </c>
      <c r="BA227" s="294" t="s">
        <v>32</v>
      </c>
      <c r="BB227" s="295" t="s">
        <v>32</v>
      </c>
      <c r="BC227" s="289" t="s">
        <v>377</v>
      </c>
      <c r="BD227" s="292"/>
    </row>
    <row r="228" ht="12.75" customHeight="1">
      <c r="A228" s="293">
        <v>45281.917857152774</v>
      </c>
      <c r="B228" s="286" t="s">
        <v>486</v>
      </c>
      <c r="C228" s="285" t="s">
        <v>559</v>
      </c>
      <c r="D228" s="285" t="s">
        <v>16</v>
      </c>
      <c r="E228" s="285" t="s">
        <v>577</v>
      </c>
      <c r="F228" s="287" t="s">
        <v>797</v>
      </c>
      <c r="G228" s="285" t="s">
        <v>21</v>
      </c>
      <c r="H228" s="285">
        <v>16.0</v>
      </c>
      <c r="I228" s="287" t="s">
        <v>497</v>
      </c>
      <c r="J228" s="292"/>
      <c r="K228" s="287" t="s">
        <v>508</v>
      </c>
      <c r="L228" s="287" t="s">
        <v>497</v>
      </c>
      <c r="M228" s="292"/>
      <c r="N228" s="292"/>
      <c r="O228" s="285" t="s">
        <v>497</v>
      </c>
      <c r="P228" s="292"/>
      <c r="Q228" s="287" t="s">
        <v>18</v>
      </c>
      <c r="R228" s="287" t="s">
        <v>18</v>
      </c>
      <c r="S228" s="288" t="s">
        <v>18</v>
      </c>
      <c r="T228" s="287" t="s">
        <v>18</v>
      </c>
      <c r="U228" s="287" t="s">
        <v>377</v>
      </c>
      <c r="V228" s="288" t="s">
        <v>377</v>
      </c>
      <c r="W228" s="287" t="s">
        <v>18</v>
      </c>
      <c r="X228" s="287" t="s">
        <v>18</v>
      </c>
      <c r="Y228" s="288" t="s">
        <v>18</v>
      </c>
      <c r="Z228" s="287" t="s">
        <v>377</v>
      </c>
      <c r="AA228" s="294" t="s">
        <v>32</v>
      </c>
      <c r="AB228" s="295" t="s">
        <v>32</v>
      </c>
      <c r="AC228" s="289" t="s">
        <v>377</v>
      </c>
      <c r="AD228" s="287" t="s">
        <v>18</v>
      </c>
      <c r="AE228" s="287" t="s">
        <v>18</v>
      </c>
      <c r="AF228" s="288" t="s">
        <v>18</v>
      </c>
      <c r="AG228" s="287" t="s">
        <v>18</v>
      </c>
      <c r="AH228" s="294" t="s">
        <v>32</v>
      </c>
      <c r="AI228" s="288" t="s">
        <v>377</v>
      </c>
      <c r="AJ228" s="287" t="s">
        <v>18</v>
      </c>
      <c r="AK228" s="294" t="s">
        <v>32</v>
      </c>
      <c r="AL228" s="288" t="s">
        <v>377</v>
      </c>
      <c r="AM228" s="287" t="s">
        <v>18</v>
      </c>
      <c r="AN228" s="287" t="s">
        <v>18</v>
      </c>
      <c r="AO228" s="288" t="s">
        <v>18</v>
      </c>
      <c r="AP228" s="289" t="s">
        <v>377</v>
      </c>
      <c r="AQ228" s="287" t="s">
        <v>18</v>
      </c>
      <c r="AR228" s="287" t="s">
        <v>18</v>
      </c>
      <c r="AS228" s="288" t="s">
        <v>18</v>
      </c>
      <c r="AT228" s="294" t="s">
        <v>32</v>
      </c>
      <c r="AU228" s="294" t="s">
        <v>32</v>
      </c>
      <c r="AV228" s="295" t="s">
        <v>32</v>
      </c>
      <c r="AW228" s="294" t="s">
        <v>32</v>
      </c>
      <c r="AX228" s="287" t="s">
        <v>18</v>
      </c>
      <c r="AY228" s="288" t="s">
        <v>377</v>
      </c>
      <c r="AZ228" s="287" t="s">
        <v>18</v>
      </c>
      <c r="BA228" s="294" t="s">
        <v>32</v>
      </c>
      <c r="BB228" s="288" t="s">
        <v>377</v>
      </c>
      <c r="BC228" s="289" t="s">
        <v>377</v>
      </c>
      <c r="BD228" s="292"/>
    </row>
    <row r="229" ht="12.75" customHeight="1">
      <c r="A229" s="293">
        <v>45281.92116971065</v>
      </c>
      <c r="B229" s="286" t="s">
        <v>486</v>
      </c>
      <c r="C229" s="285" t="s">
        <v>559</v>
      </c>
      <c r="D229" s="285" t="s">
        <v>16</v>
      </c>
      <c r="E229" s="285" t="s">
        <v>577</v>
      </c>
      <c r="F229" s="287" t="s">
        <v>798</v>
      </c>
      <c r="G229" s="285" t="s">
        <v>21</v>
      </c>
      <c r="H229" s="285">
        <v>16.0</v>
      </c>
      <c r="I229" s="287" t="s">
        <v>497</v>
      </c>
      <c r="J229" s="292"/>
      <c r="K229" s="287" t="s">
        <v>508</v>
      </c>
      <c r="L229" s="287" t="s">
        <v>497</v>
      </c>
      <c r="M229" s="292"/>
      <c r="N229" s="292"/>
      <c r="O229" s="285" t="s">
        <v>479</v>
      </c>
      <c r="P229" s="287" t="s">
        <v>627</v>
      </c>
      <c r="Q229" s="287" t="s">
        <v>377</v>
      </c>
      <c r="R229" s="287" t="s">
        <v>18</v>
      </c>
      <c r="S229" s="288" t="s">
        <v>377</v>
      </c>
      <c r="T229" s="294" t="s">
        <v>32</v>
      </c>
      <c r="U229" s="294" t="s">
        <v>32</v>
      </c>
      <c r="V229" s="295" t="s">
        <v>32</v>
      </c>
      <c r="W229" s="294" t="s">
        <v>32</v>
      </c>
      <c r="X229" s="294" t="s">
        <v>32</v>
      </c>
      <c r="Y229" s="295" t="s">
        <v>32</v>
      </c>
      <c r="Z229" s="287" t="s">
        <v>377</v>
      </c>
      <c r="AA229" s="294" t="s">
        <v>32</v>
      </c>
      <c r="AB229" s="295" t="s">
        <v>32</v>
      </c>
      <c r="AC229" s="296" t="s">
        <v>32</v>
      </c>
      <c r="AD229" s="287" t="s">
        <v>377</v>
      </c>
      <c r="AE229" s="287" t="s">
        <v>377</v>
      </c>
      <c r="AF229" s="288" t="s">
        <v>377</v>
      </c>
      <c r="AG229" s="287" t="s">
        <v>18</v>
      </c>
      <c r="AH229" s="294" t="s">
        <v>32</v>
      </c>
      <c r="AI229" s="288" t="s">
        <v>377</v>
      </c>
      <c r="AJ229" s="294" t="s">
        <v>32</v>
      </c>
      <c r="AK229" s="294" t="s">
        <v>32</v>
      </c>
      <c r="AL229" s="295" t="s">
        <v>32</v>
      </c>
      <c r="AM229" s="287" t="s">
        <v>18</v>
      </c>
      <c r="AN229" s="287" t="s">
        <v>18</v>
      </c>
      <c r="AO229" s="288" t="s">
        <v>18</v>
      </c>
      <c r="AP229" s="289" t="s">
        <v>377</v>
      </c>
      <c r="AQ229" s="294" t="s">
        <v>32</v>
      </c>
      <c r="AR229" s="294" t="s">
        <v>32</v>
      </c>
      <c r="AS229" s="295" t="s">
        <v>32</v>
      </c>
      <c r="AT229" s="294" t="s">
        <v>32</v>
      </c>
      <c r="AU229" s="294" t="s">
        <v>32</v>
      </c>
      <c r="AV229" s="295" t="s">
        <v>32</v>
      </c>
      <c r="AW229" s="294" t="s">
        <v>32</v>
      </c>
      <c r="AX229" s="294" t="s">
        <v>32</v>
      </c>
      <c r="AY229" s="295" t="s">
        <v>32</v>
      </c>
      <c r="AZ229" s="294" t="s">
        <v>32</v>
      </c>
      <c r="BA229" s="294" t="s">
        <v>32</v>
      </c>
      <c r="BB229" s="288" t="s">
        <v>377</v>
      </c>
      <c r="BC229" s="289" t="s">
        <v>377</v>
      </c>
      <c r="BD229" s="292"/>
    </row>
    <row r="230" ht="12.75" customHeight="1">
      <c r="A230" s="293">
        <v>45281.93404553241</v>
      </c>
      <c r="B230" s="286" t="s">
        <v>486</v>
      </c>
      <c r="C230" s="285" t="s">
        <v>559</v>
      </c>
      <c r="D230" s="285" t="s">
        <v>16</v>
      </c>
      <c r="E230" s="285" t="s">
        <v>577</v>
      </c>
      <c r="F230" s="287" t="s">
        <v>799</v>
      </c>
      <c r="G230" s="285" t="s">
        <v>21</v>
      </c>
      <c r="H230" s="285">
        <v>17.0</v>
      </c>
      <c r="I230" s="287" t="s">
        <v>497</v>
      </c>
      <c r="J230" s="292"/>
      <c r="K230" s="287" t="s">
        <v>508</v>
      </c>
      <c r="L230" s="287" t="s">
        <v>479</v>
      </c>
      <c r="M230" s="287" t="s">
        <v>481</v>
      </c>
      <c r="N230" s="287" t="s">
        <v>561</v>
      </c>
      <c r="O230" s="285" t="s">
        <v>497</v>
      </c>
      <c r="P230" s="292"/>
      <c r="Q230" s="294" t="s">
        <v>32</v>
      </c>
      <c r="R230" s="294" t="s">
        <v>32</v>
      </c>
      <c r="S230" s="295" t="s">
        <v>32</v>
      </c>
      <c r="T230" s="287" t="s">
        <v>377</v>
      </c>
      <c r="U230" s="294" t="s">
        <v>32</v>
      </c>
      <c r="V230" s="295" t="s">
        <v>32</v>
      </c>
      <c r="W230" s="287" t="s">
        <v>377</v>
      </c>
      <c r="X230" s="287" t="s">
        <v>377</v>
      </c>
      <c r="Y230" s="288" t="s">
        <v>377</v>
      </c>
      <c r="Z230" s="287" t="s">
        <v>377</v>
      </c>
      <c r="AA230" s="287" t="s">
        <v>377</v>
      </c>
      <c r="AB230" s="288" t="s">
        <v>377</v>
      </c>
      <c r="AC230" s="289" t="s">
        <v>377</v>
      </c>
      <c r="AD230" s="287" t="s">
        <v>377</v>
      </c>
      <c r="AE230" s="287" t="s">
        <v>377</v>
      </c>
      <c r="AF230" s="288" t="s">
        <v>377</v>
      </c>
      <c r="AG230" s="287" t="s">
        <v>377</v>
      </c>
      <c r="AH230" s="294" t="s">
        <v>32</v>
      </c>
      <c r="AI230" s="295" t="s">
        <v>32</v>
      </c>
      <c r="AJ230" s="294" t="s">
        <v>32</v>
      </c>
      <c r="AK230" s="294" t="s">
        <v>32</v>
      </c>
      <c r="AL230" s="295" t="s">
        <v>32</v>
      </c>
      <c r="AM230" s="287" t="s">
        <v>377</v>
      </c>
      <c r="AN230" s="287" t="s">
        <v>377</v>
      </c>
      <c r="AO230" s="288" t="s">
        <v>377</v>
      </c>
      <c r="AP230" s="289" t="s">
        <v>377</v>
      </c>
      <c r="AQ230" s="294" t="s">
        <v>32</v>
      </c>
      <c r="AR230" s="287" t="s">
        <v>377</v>
      </c>
      <c r="AS230" s="295" t="s">
        <v>32</v>
      </c>
      <c r="AT230" s="294" t="s">
        <v>32</v>
      </c>
      <c r="AU230" s="294" t="s">
        <v>32</v>
      </c>
      <c r="AV230" s="295" t="s">
        <v>32</v>
      </c>
      <c r="AW230" s="287" t="s">
        <v>377</v>
      </c>
      <c r="AX230" s="294" t="s">
        <v>32</v>
      </c>
      <c r="AY230" s="295" t="s">
        <v>32</v>
      </c>
      <c r="AZ230" s="294" t="s">
        <v>32</v>
      </c>
      <c r="BA230" s="294" t="s">
        <v>32</v>
      </c>
      <c r="BB230" s="295" t="s">
        <v>32</v>
      </c>
      <c r="BC230" s="289" t="s">
        <v>377</v>
      </c>
      <c r="BD230" s="292"/>
    </row>
    <row r="231" ht="12.75" customHeight="1">
      <c r="A231" s="298">
        <v>1.0</v>
      </c>
      <c r="B231" s="297" t="s">
        <v>486</v>
      </c>
      <c r="C231" s="298" t="s">
        <v>567</v>
      </c>
      <c r="D231" s="298" t="s">
        <v>16</v>
      </c>
      <c r="E231" s="285" t="s">
        <v>577</v>
      </c>
      <c r="F231" s="292" t="s">
        <v>800</v>
      </c>
      <c r="G231" s="298" t="s">
        <v>21</v>
      </c>
      <c r="H231" s="298">
        <v>15.0</v>
      </c>
      <c r="I231" s="292" t="s">
        <v>497</v>
      </c>
      <c r="J231" s="292" t="s">
        <v>498</v>
      </c>
      <c r="K231" s="287" t="s">
        <v>508</v>
      </c>
      <c r="L231" s="292" t="s">
        <v>497</v>
      </c>
      <c r="M231" s="292" t="s">
        <v>638</v>
      </c>
      <c r="N231" s="292"/>
      <c r="O231" s="298" t="s">
        <v>497</v>
      </c>
      <c r="P231" s="292" t="s">
        <v>612</v>
      </c>
      <c r="Q231" s="299" t="s">
        <v>32</v>
      </c>
      <c r="R231" s="299" t="s">
        <v>32</v>
      </c>
      <c r="S231" s="295" t="s">
        <v>32</v>
      </c>
      <c r="T231" s="292" t="s">
        <v>377</v>
      </c>
      <c r="U231" s="299" t="s">
        <v>32</v>
      </c>
      <c r="V231" s="295" t="s">
        <v>32</v>
      </c>
      <c r="W231" s="299" t="s">
        <v>32</v>
      </c>
      <c r="X231" s="292" t="s">
        <v>377</v>
      </c>
      <c r="Y231" s="295" t="s">
        <v>32</v>
      </c>
      <c r="Z231" s="299" t="s">
        <v>32</v>
      </c>
      <c r="AA231" s="299" t="s">
        <v>32</v>
      </c>
      <c r="AB231" s="295" t="s">
        <v>32</v>
      </c>
      <c r="AC231" s="296" t="s">
        <v>32</v>
      </c>
      <c r="AD231" s="292" t="s">
        <v>377</v>
      </c>
      <c r="AE231" s="299" t="s">
        <v>32</v>
      </c>
      <c r="AF231" s="295" t="s">
        <v>32</v>
      </c>
      <c r="AG231" s="299" t="s">
        <v>32</v>
      </c>
      <c r="AH231" s="299" t="s">
        <v>32</v>
      </c>
      <c r="AI231" s="295" t="s">
        <v>32</v>
      </c>
      <c r="AJ231" s="299" t="s">
        <v>32</v>
      </c>
      <c r="AK231" s="299" t="s">
        <v>32</v>
      </c>
      <c r="AL231" s="295" t="s">
        <v>32</v>
      </c>
      <c r="AM231" s="299" t="s">
        <v>32</v>
      </c>
      <c r="AN231" s="292" t="s">
        <v>377</v>
      </c>
      <c r="AO231" s="295" t="s">
        <v>32</v>
      </c>
      <c r="AP231" s="296" t="s">
        <v>32</v>
      </c>
      <c r="AQ231" s="299" t="s">
        <v>32</v>
      </c>
      <c r="AR231" s="299" t="s">
        <v>32</v>
      </c>
      <c r="AS231" s="295" t="s">
        <v>32</v>
      </c>
      <c r="AT231" s="299" t="s">
        <v>32</v>
      </c>
      <c r="AU231" s="299" t="s">
        <v>32</v>
      </c>
      <c r="AV231" s="295" t="s">
        <v>32</v>
      </c>
      <c r="AW231" s="299" t="s">
        <v>32</v>
      </c>
      <c r="AX231" s="299" t="s">
        <v>32</v>
      </c>
      <c r="AY231" s="295" t="s">
        <v>32</v>
      </c>
      <c r="AZ231" s="292" t="s">
        <v>377</v>
      </c>
      <c r="BA231" s="299" t="s">
        <v>32</v>
      </c>
      <c r="BB231" s="288" t="s">
        <v>18</v>
      </c>
      <c r="BC231" s="289" t="s">
        <v>18</v>
      </c>
      <c r="BD231" s="292"/>
    </row>
    <row r="232" ht="12.75" customHeight="1">
      <c r="A232" s="298">
        <v>2.0</v>
      </c>
      <c r="B232" s="297" t="s">
        <v>486</v>
      </c>
      <c r="C232" s="298" t="s">
        <v>567</v>
      </c>
      <c r="D232" s="298" t="s">
        <v>16</v>
      </c>
      <c r="E232" s="285" t="s">
        <v>577</v>
      </c>
      <c r="F232" s="292" t="s">
        <v>801</v>
      </c>
      <c r="G232" s="298" t="s">
        <v>21</v>
      </c>
      <c r="H232" s="298">
        <v>15.0</v>
      </c>
      <c r="I232" s="292" t="s">
        <v>497</v>
      </c>
      <c r="J232" s="292" t="s">
        <v>498</v>
      </c>
      <c r="K232" s="287" t="s">
        <v>508</v>
      </c>
      <c r="L232" s="292" t="s">
        <v>497</v>
      </c>
      <c r="M232" s="292" t="s">
        <v>638</v>
      </c>
      <c r="N232" s="292"/>
      <c r="O232" s="298" t="s">
        <v>497</v>
      </c>
      <c r="P232" s="292" t="s">
        <v>612</v>
      </c>
      <c r="Q232" s="299" t="s">
        <v>32</v>
      </c>
      <c r="R232" s="292" t="s">
        <v>377</v>
      </c>
      <c r="S232" s="295" t="s">
        <v>32</v>
      </c>
      <c r="T232" s="299" t="s">
        <v>32</v>
      </c>
      <c r="U232" s="299" t="s">
        <v>32</v>
      </c>
      <c r="V232" s="295" t="s">
        <v>32</v>
      </c>
      <c r="W232" s="299" t="s">
        <v>32</v>
      </c>
      <c r="X232" s="299" t="s">
        <v>32</v>
      </c>
      <c r="Y232" s="295" t="s">
        <v>32</v>
      </c>
      <c r="Z232" s="299" t="s">
        <v>32</v>
      </c>
      <c r="AA232" s="299" t="s">
        <v>32</v>
      </c>
      <c r="AB232" s="295" t="s">
        <v>32</v>
      </c>
      <c r="AC232" s="296" t="s">
        <v>32</v>
      </c>
      <c r="AD232" s="292" t="s">
        <v>18</v>
      </c>
      <c r="AE232" s="292" t="s">
        <v>18</v>
      </c>
      <c r="AF232" s="288" t="s">
        <v>18</v>
      </c>
      <c r="AG232" s="292" t="s">
        <v>377</v>
      </c>
      <c r="AH232" s="292" t="s">
        <v>377</v>
      </c>
      <c r="AI232" s="288" t="s">
        <v>377</v>
      </c>
      <c r="AJ232" s="299" t="s">
        <v>32</v>
      </c>
      <c r="AK232" s="292" t="s">
        <v>377</v>
      </c>
      <c r="AL232" s="295" t="s">
        <v>32</v>
      </c>
      <c r="AM232" s="292" t="s">
        <v>377</v>
      </c>
      <c r="AN232" s="292" t="s">
        <v>377</v>
      </c>
      <c r="AO232" s="288" t="s">
        <v>377</v>
      </c>
      <c r="AP232" s="289" t="s">
        <v>377</v>
      </c>
      <c r="AQ232" s="292" t="s">
        <v>377</v>
      </c>
      <c r="AR232" s="299" t="s">
        <v>32</v>
      </c>
      <c r="AS232" s="295" t="s">
        <v>32</v>
      </c>
      <c r="AT232" s="292" t="s">
        <v>377</v>
      </c>
      <c r="AU232" s="299" t="s">
        <v>32</v>
      </c>
      <c r="AV232" s="295" t="s">
        <v>32</v>
      </c>
      <c r="AW232" s="292" t="s">
        <v>377</v>
      </c>
      <c r="AX232" s="292" t="s">
        <v>377</v>
      </c>
      <c r="AY232" s="288" t="s">
        <v>377</v>
      </c>
      <c r="AZ232" s="292" t="s">
        <v>18</v>
      </c>
      <c r="BA232" s="299" t="s">
        <v>32</v>
      </c>
      <c r="BB232" s="295" t="s">
        <v>32</v>
      </c>
      <c r="BC232" s="289" t="s">
        <v>377</v>
      </c>
      <c r="BD232" s="292"/>
    </row>
    <row r="233" ht="12.75" customHeight="1">
      <c r="A233" s="298">
        <v>5.0</v>
      </c>
      <c r="B233" s="297" t="s">
        <v>486</v>
      </c>
      <c r="C233" s="298" t="s">
        <v>567</v>
      </c>
      <c r="D233" s="298" t="s">
        <v>16</v>
      </c>
      <c r="E233" s="285" t="s">
        <v>577</v>
      </c>
      <c r="F233" s="292" t="s">
        <v>802</v>
      </c>
      <c r="G233" s="298" t="s">
        <v>21</v>
      </c>
      <c r="H233" s="298">
        <v>15.0</v>
      </c>
      <c r="I233" s="292" t="s">
        <v>497</v>
      </c>
      <c r="J233" s="292" t="s">
        <v>498</v>
      </c>
      <c r="K233" s="287" t="s">
        <v>508</v>
      </c>
      <c r="L233" s="292" t="s">
        <v>497</v>
      </c>
      <c r="M233" s="292" t="s">
        <v>638</v>
      </c>
      <c r="N233" s="292"/>
      <c r="O233" s="298" t="s">
        <v>497</v>
      </c>
      <c r="P233" s="292" t="s">
        <v>612</v>
      </c>
      <c r="Q233" s="299" t="s">
        <v>32</v>
      </c>
      <c r="R233" s="292" t="s">
        <v>18</v>
      </c>
      <c r="S233" s="288" t="s">
        <v>377</v>
      </c>
      <c r="T233" s="292" t="s">
        <v>377</v>
      </c>
      <c r="U233" s="299" t="s">
        <v>32</v>
      </c>
      <c r="V233" s="295" t="s">
        <v>32</v>
      </c>
      <c r="W233" s="292" t="s">
        <v>18</v>
      </c>
      <c r="X233" s="292" t="s">
        <v>18</v>
      </c>
      <c r="Y233" s="288" t="s">
        <v>18</v>
      </c>
      <c r="Z233" s="299" t="s">
        <v>32</v>
      </c>
      <c r="AA233" s="292" t="s">
        <v>18</v>
      </c>
      <c r="AB233" s="288" t="s">
        <v>377</v>
      </c>
      <c r="AC233" s="289" t="s">
        <v>377</v>
      </c>
      <c r="AD233" s="292" t="s">
        <v>377</v>
      </c>
      <c r="AE233" s="292" t="s">
        <v>18</v>
      </c>
      <c r="AF233" s="288" t="s">
        <v>377</v>
      </c>
      <c r="AG233" s="299" t="s">
        <v>32</v>
      </c>
      <c r="AH233" s="292" t="s">
        <v>18</v>
      </c>
      <c r="AI233" s="288" t="s">
        <v>377</v>
      </c>
      <c r="AJ233" s="292" t="s">
        <v>377</v>
      </c>
      <c r="AK233" s="292" t="s">
        <v>377</v>
      </c>
      <c r="AL233" s="288" t="s">
        <v>377</v>
      </c>
      <c r="AM233" s="292" t="s">
        <v>18</v>
      </c>
      <c r="AN233" s="292" t="s">
        <v>18</v>
      </c>
      <c r="AO233" s="288" t="s">
        <v>18</v>
      </c>
      <c r="AP233" s="289" t="s">
        <v>377</v>
      </c>
      <c r="AQ233" s="299" t="s">
        <v>32</v>
      </c>
      <c r="AR233" s="299" t="s">
        <v>32</v>
      </c>
      <c r="AS233" s="295" t="s">
        <v>32</v>
      </c>
      <c r="AT233" s="299" t="s">
        <v>32</v>
      </c>
      <c r="AU233" s="299" t="s">
        <v>32</v>
      </c>
      <c r="AV233" s="295" t="s">
        <v>32</v>
      </c>
      <c r="AW233" s="299" t="s">
        <v>32</v>
      </c>
      <c r="AX233" s="292" t="s">
        <v>18</v>
      </c>
      <c r="AY233" s="288" t="s">
        <v>377</v>
      </c>
      <c r="AZ233" s="292" t="s">
        <v>377</v>
      </c>
      <c r="BA233" s="299" t="s">
        <v>32</v>
      </c>
      <c r="BB233" s="288" t="s">
        <v>18</v>
      </c>
      <c r="BC233" s="289" t="s">
        <v>377</v>
      </c>
      <c r="BD233" s="292"/>
    </row>
    <row r="234" ht="12.75" customHeight="1">
      <c r="A234" s="298">
        <v>6.0</v>
      </c>
      <c r="B234" s="297" t="s">
        <v>486</v>
      </c>
      <c r="C234" s="298" t="s">
        <v>567</v>
      </c>
      <c r="D234" s="298" t="s">
        <v>16</v>
      </c>
      <c r="E234" s="285" t="s">
        <v>577</v>
      </c>
      <c r="F234" s="292" t="s">
        <v>803</v>
      </c>
      <c r="G234" s="298" t="s">
        <v>17</v>
      </c>
      <c r="H234" s="298">
        <v>18.0</v>
      </c>
      <c r="I234" s="292" t="s">
        <v>497</v>
      </c>
      <c r="J234" s="292" t="s">
        <v>498</v>
      </c>
      <c r="K234" s="287" t="s">
        <v>508</v>
      </c>
      <c r="L234" s="292" t="s">
        <v>497</v>
      </c>
      <c r="M234" s="292" t="s">
        <v>638</v>
      </c>
      <c r="N234" s="292"/>
      <c r="O234" s="298" t="s">
        <v>497</v>
      </c>
      <c r="P234" s="292" t="s">
        <v>612</v>
      </c>
      <c r="Q234" s="292" t="s">
        <v>377</v>
      </c>
      <c r="R234" s="292" t="s">
        <v>377</v>
      </c>
      <c r="S234" s="288" t="s">
        <v>377</v>
      </c>
      <c r="T234" s="292" t="s">
        <v>377</v>
      </c>
      <c r="U234" s="299" t="s">
        <v>32</v>
      </c>
      <c r="V234" s="295" t="s">
        <v>32</v>
      </c>
      <c r="W234" s="292" t="s">
        <v>377</v>
      </c>
      <c r="X234" s="292" t="s">
        <v>377</v>
      </c>
      <c r="Y234" s="288" t="s">
        <v>377</v>
      </c>
      <c r="Z234" s="292" t="s">
        <v>377</v>
      </c>
      <c r="AA234" s="292" t="s">
        <v>377</v>
      </c>
      <c r="AB234" s="288" t="s">
        <v>377</v>
      </c>
      <c r="AC234" s="289" t="s">
        <v>377</v>
      </c>
      <c r="AD234" s="292" t="s">
        <v>377</v>
      </c>
      <c r="AE234" s="292" t="s">
        <v>377</v>
      </c>
      <c r="AF234" s="288" t="s">
        <v>377</v>
      </c>
      <c r="AG234" s="292" t="s">
        <v>377</v>
      </c>
      <c r="AH234" s="292" t="s">
        <v>377</v>
      </c>
      <c r="AI234" s="288" t="s">
        <v>377</v>
      </c>
      <c r="AJ234" s="299" t="s">
        <v>32</v>
      </c>
      <c r="AK234" s="299" t="s">
        <v>32</v>
      </c>
      <c r="AL234" s="295" t="s">
        <v>32</v>
      </c>
      <c r="AM234" s="292" t="s">
        <v>377</v>
      </c>
      <c r="AN234" s="292" t="s">
        <v>377</v>
      </c>
      <c r="AO234" s="288" t="s">
        <v>377</v>
      </c>
      <c r="AP234" s="289" t="s">
        <v>377</v>
      </c>
      <c r="AQ234" s="299" t="s">
        <v>32</v>
      </c>
      <c r="AR234" s="299" t="s">
        <v>32</v>
      </c>
      <c r="AS234" s="295" t="s">
        <v>32</v>
      </c>
      <c r="AT234" s="299" t="s">
        <v>32</v>
      </c>
      <c r="AU234" s="299" t="s">
        <v>32</v>
      </c>
      <c r="AV234" s="295" t="s">
        <v>32</v>
      </c>
      <c r="AW234" s="292" t="s">
        <v>377</v>
      </c>
      <c r="AX234" s="292" t="s">
        <v>377</v>
      </c>
      <c r="AY234" s="288" t="s">
        <v>377</v>
      </c>
      <c r="AZ234" s="299" t="s">
        <v>32</v>
      </c>
      <c r="BA234" s="299" t="s">
        <v>32</v>
      </c>
      <c r="BB234" s="288" t="s">
        <v>18</v>
      </c>
      <c r="BC234" s="289" t="s">
        <v>377</v>
      </c>
      <c r="BD234" s="292"/>
    </row>
    <row r="235" ht="12.75" customHeight="1">
      <c r="A235" s="298">
        <v>9.0</v>
      </c>
      <c r="B235" s="297" t="s">
        <v>486</v>
      </c>
      <c r="C235" s="298" t="s">
        <v>567</v>
      </c>
      <c r="D235" s="298" t="s">
        <v>16</v>
      </c>
      <c r="E235" s="285" t="s">
        <v>577</v>
      </c>
      <c r="F235" s="292" t="s">
        <v>804</v>
      </c>
      <c r="G235" s="298" t="s">
        <v>21</v>
      </c>
      <c r="H235" s="298">
        <v>16.0</v>
      </c>
      <c r="I235" s="292" t="s">
        <v>497</v>
      </c>
      <c r="J235" s="292" t="s">
        <v>498</v>
      </c>
      <c r="K235" s="287" t="s">
        <v>508</v>
      </c>
      <c r="L235" s="292" t="s">
        <v>497</v>
      </c>
      <c r="M235" s="292" t="s">
        <v>638</v>
      </c>
      <c r="N235" s="292"/>
      <c r="O235" s="298" t="s">
        <v>497</v>
      </c>
      <c r="P235" s="292" t="s">
        <v>612</v>
      </c>
      <c r="Q235" s="292" t="s">
        <v>377</v>
      </c>
      <c r="R235" s="292" t="s">
        <v>377</v>
      </c>
      <c r="S235" s="288" t="s">
        <v>377</v>
      </c>
      <c r="T235" s="299" t="s">
        <v>32</v>
      </c>
      <c r="U235" s="299" t="s">
        <v>32</v>
      </c>
      <c r="V235" s="295" t="s">
        <v>32</v>
      </c>
      <c r="W235" s="299" t="s">
        <v>32</v>
      </c>
      <c r="X235" s="292" t="s">
        <v>18</v>
      </c>
      <c r="Y235" s="288" t="s">
        <v>377</v>
      </c>
      <c r="Z235" s="292" t="s">
        <v>18</v>
      </c>
      <c r="AA235" s="292" t="s">
        <v>18</v>
      </c>
      <c r="AB235" s="288" t="s">
        <v>18</v>
      </c>
      <c r="AC235" s="289" t="s">
        <v>377</v>
      </c>
      <c r="AD235" s="292" t="s">
        <v>377</v>
      </c>
      <c r="AE235" s="292" t="s">
        <v>377</v>
      </c>
      <c r="AF235" s="288" t="s">
        <v>377</v>
      </c>
      <c r="AG235" s="292" t="s">
        <v>377</v>
      </c>
      <c r="AH235" s="299" t="s">
        <v>32</v>
      </c>
      <c r="AI235" s="295" t="s">
        <v>32</v>
      </c>
      <c r="AJ235" s="299" t="s">
        <v>32</v>
      </c>
      <c r="AK235" s="292" t="s">
        <v>377</v>
      </c>
      <c r="AL235" s="295" t="s">
        <v>32</v>
      </c>
      <c r="AM235" s="292" t="s">
        <v>377</v>
      </c>
      <c r="AN235" s="292" t="s">
        <v>377</v>
      </c>
      <c r="AO235" s="288" t="s">
        <v>377</v>
      </c>
      <c r="AP235" s="289" t="s">
        <v>377</v>
      </c>
      <c r="AQ235" s="299" t="s">
        <v>32</v>
      </c>
      <c r="AR235" s="299" t="s">
        <v>32</v>
      </c>
      <c r="AS235" s="295" t="s">
        <v>32</v>
      </c>
      <c r="AT235" s="299" t="s">
        <v>32</v>
      </c>
      <c r="AU235" s="299" t="s">
        <v>32</v>
      </c>
      <c r="AV235" s="295" t="s">
        <v>32</v>
      </c>
      <c r="AW235" s="292" t="s">
        <v>377</v>
      </c>
      <c r="AX235" s="292" t="s">
        <v>377</v>
      </c>
      <c r="AY235" s="288" t="s">
        <v>377</v>
      </c>
      <c r="AZ235" s="299" t="s">
        <v>32</v>
      </c>
      <c r="BA235" s="299" t="s">
        <v>32</v>
      </c>
      <c r="BB235" s="288" t="s">
        <v>377</v>
      </c>
      <c r="BC235" s="289" t="s">
        <v>377</v>
      </c>
      <c r="BD235" s="292"/>
    </row>
    <row r="236" ht="12.75" customHeight="1">
      <c r="A236" s="298">
        <v>12.0</v>
      </c>
      <c r="B236" s="297" t="s">
        <v>486</v>
      </c>
      <c r="C236" s="298" t="s">
        <v>567</v>
      </c>
      <c r="D236" s="298" t="s">
        <v>16</v>
      </c>
      <c r="E236" s="285" t="s">
        <v>577</v>
      </c>
      <c r="F236" s="292" t="s">
        <v>805</v>
      </c>
      <c r="G236" s="298" t="s">
        <v>17</v>
      </c>
      <c r="H236" s="298">
        <v>18.0</v>
      </c>
      <c r="I236" s="292" t="s">
        <v>497</v>
      </c>
      <c r="J236" s="292" t="s">
        <v>498</v>
      </c>
      <c r="K236" s="287" t="s">
        <v>508</v>
      </c>
      <c r="L236" s="292" t="s">
        <v>479</v>
      </c>
      <c r="M236" s="292" t="s">
        <v>490</v>
      </c>
      <c r="N236" s="292"/>
      <c r="O236" s="298" t="s">
        <v>479</v>
      </c>
      <c r="P236" s="292" t="s">
        <v>796</v>
      </c>
      <c r="Q236" s="292" t="s">
        <v>377</v>
      </c>
      <c r="R236" s="292" t="s">
        <v>18</v>
      </c>
      <c r="S236" s="288" t="s">
        <v>377</v>
      </c>
      <c r="T236" s="292" t="s">
        <v>377</v>
      </c>
      <c r="U236" s="292" t="s">
        <v>377</v>
      </c>
      <c r="V236" s="288" t="s">
        <v>377</v>
      </c>
      <c r="W236" s="292" t="s">
        <v>377</v>
      </c>
      <c r="X236" s="292" t="s">
        <v>377</v>
      </c>
      <c r="Y236" s="288" t="s">
        <v>377</v>
      </c>
      <c r="Z236" s="292" t="s">
        <v>377</v>
      </c>
      <c r="AA236" s="292" t="s">
        <v>377</v>
      </c>
      <c r="AB236" s="288" t="s">
        <v>377</v>
      </c>
      <c r="AC236" s="289" t="s">
        <v>377</v>
      </c>
      <c r="AD236" s="292" t="s">
        <v>377</v>
      </c>
      <c r="AE236" s="292" t="s">
        <v>377</v>
      </c>
      <c r="AF236" s="288" t="s">
        <v>377</v>
      </c>
      <c r="AG236" s="292" t="s">
        <v>377</v>
      </c>
      <c r="AH236" s="292" t="s">
        <v>377</v>
      </c>
      <c r="AI236" s="288" t="s">
        <v>377</v>
      </c>
      <c r="AJ236" s="292" t="s">
        <v>377</v>
      </c>
      <c r="AK236" s="292" t="s">
        <v>377</v>
      </c>
      <c r="AL236" s="288" t="s">
        <v>377</v>
      </c>
      <c r="AM236" s="292" t="s">
        <v>377</v>
      </c>
      <c r="AN236" s="292" t="s">
        <v>377</v>
      </c>
      <c r="AO236" s="288" t="s">
        <v>377</v>
      </c>
      <c r="AP236" s="289" t="s">
        <v>377</v>
      </c>
      <c r="AQ236" s="299" t="s">
        <v>32</v>
      </c>
      <c r="AR236" s="299" t="s">
        <v>32</v>
      </c>
      <c r="AS236" s="295" t="s">
        <v>32</v>
      </c>
      <c r="AT236" s="299" t="s">
        <v>32</v>
      </c>
      <c r="AU236" s="299" t="s">
        <v>32</v>
      </c>
      <c r="AV236" s="295" t="s">
        <v>32</v>
      </c>
      <c r="AW236" s="299" t="s">
        <v>32</v>
      </c>
      <c r="AX236" s="292" t="s">
        <v>377</v>
      </c>
      <c r="AY236" s="295" t="s">
        <v>32</v>
      </c>
      <c r="AZ236" s="299" t="s">
        <v>32</v>
      </c>
      <c r="BA236" s="299" t="s">
        <v>32</v>
      </c>
      <c r="BB236" s="288" t="s">
        <v>377</v>
      </c>
      <c r="BC236" s="296" t="s">
        <v>32</v>
      </c>
      <c r="BD236" s="292"/>
    </row>
    <row r="237" ht="12.75" customHeight="1">
      <c r="A237" s="298">
        <v>14.0</v>
      </c>
      <c r="B237" s="297" t="s">
        <v>486</v>
      </c>
      <c r="C237" s="298" t="s">
        <v>567</v>
      </c>
      <c r="D237" s="298" t="s">
        <v>16</v>
      </c>
      <c r="E237" s="285" t="s">
        <v>577</v>
      </c>
      <c r="F237" s="292" t="s">
        <v>806</v>
      </c>
      <c r="G237" s="298" t="s">
        <v>21</v>
      </c>
      <c r="H237" s="298">
        <v>17.0</v>
      </c>
      <c r="I237" s="292" t="s">
        <v>497</v>
      </c>
      <c r="J237" s="292" t="s">
        <v>498</v>
      </c>
      <c r="K237" s="287" t="s">
        <v>508</v>
      </c>
      <c r="L237" s="292" t="s">
        <v>479</v>
      </c>
      <c r="M237" s="292" t="s">
        <v>481</v>
      </c>
      <c r="N237" s="292"/>
      <c r="O237" s="298" t="s">
        <v>497</v>
      </c>
      <c r="P237" s="292" t="s">
        <v>612</v>
      </c>
      <c r="Q237" s="292" t="s">
        <v>18</v>
      </c>
      <c r="R237" s="292" t="s">
        <v>18</v>
      </c>
      <c r="S237" s="288" t="s">
        <v>18</v>
      </c>
      <c r="T237" s="292" t="s">
        <v>18</v>
      </c>
      <c r="U237" s="292" t="s">
        <v>18</v>
      </c>
      <c r="V237" s="288" t="s">
        <v>18</v>
      </c>
      <c r="W237" s="292" t="s">
        <v>18</v>
      </c>
      <c r="X237" s="292" t="s">
        <v>18</v>
      </c>
      <c r="Y237" s="288" t="s">
        <v>18</v>
      </c>
      <c r="Z237" s="292" t="s">
        <v>18</v>
      </c>
      <c r="AA237" s="292" t="s">
        <v>18</v>
      </c>
      <c r="AB237" s="288" t="s">
        <v>18</v>
      </c>
      <c r="AC237" s="289" t="s">
        <v>18</v>
      </c>
      <c r="AD237" s="292" t="s">
        <v>377</v>
      </c>
      <c r="AE237" s="292" t="s">
        <v>18</v>
      </c>
      <c r="AF237" s="288" t="s">
        <v>377</v>
      </c>
      <c r="AG237" s="292" t="s">
        <v>18</v>
      </c>
      <c r="AH237" s="292" t="s">
        <v>18</v>
      </c>
      <c r="AI237" s="288" t="s">
        <v>18</v>
      </c>
      <c r="AJ237" s="292" t="s">
        <v>18</v>
      </c>
      <c r="AK237" s="292" t="s">
        <v>18</v>
      </c>
      <c r="AL237" s="288" t="s">
        <v>18</v>
      </c>
      <c r="AM237" s="292" t="s">
        <v>18</v>
      </c>
      <c r="AN237" s="292" t="s">
        <v>18</v>
      </c>
      <c r="AO237" s="288" t="s">
        <v>18</v>
      </c>
      <c r="AP237" s="289" t="s">
        <v>18</v>
      </c>
      <c r="AQ237" s="292" t="s">
        <v>18</v>
      </c>
      <c r="AR237" s="292" t="s">
        <v>18</v>
      </c>
      <c r="AS237" s="288" t="s">
        <v>18</v>
      </c>
      <c r="AT237" s="299" t="s">
        <v>32</v>
      </c>
      <c r="AU237" s="299" t="s">
        <v>32</v>
      </c>
      <c r="AV237" s="295" t="s">
        <v>32</v>
      </c>
      <c r="AW237" s="292" t="s">
        <v>18</v>
      </c>
      <c r="AX237" s="292" t="s">
        <v>18</v>
      </c>
      <c r="AY237" s="288" t="s">
        <v>18</v>
      </c>
      <c r="AZ237" s="292" t="s">
        <v>377</v>
      </c>
      <c r="BA237" s="292" t="s">
        <v>377</v>
      </c>
      <c r="BB237" s="288" t="s">
        <v>377</v>
      </c>
      <c r="BC237" s="289" t="s">
        <v>377</v>
      </c>
      <c r="BD237" s="292"/>
    </row>
    <row r="238" ht="12.75" customHeight="1">
      <c r="A238" s="298">
        <v>22.0</v>
      </c>
      <c r="B238" s="297" t="s">
        <v>486</v>
      </c>
      <c r="C238" s="298" t="s">
        <v>567</v>
      </c>
      <c r="D238" s="298" t="s">
        <v>16</v>
      </c>
      <c r="E238" s="285" t="s">
        <v>577</v>
      </c>
      <c r="F238" s="292" t="s">
        <v>807</v>
      </c>
      <c r="G238" s="298" t="s">
        <v>21</v>
      </c>
      <c r="H238" s="298">
        <v>17.0</v>
      </c>
      <c r="I238" s="292" t="s">
        <v>497</v>
      </c>
      <c r="J238" s="292" t="s">
        <v>498</v>
      </c>
      <c r="K238" s="287" t="s">
        <v>508</v>
      </c>
      <c r="L238" s="292" t="s">
        <v>479</v>
      </c>
      <c r="M238" s="292" t="s">
        <v>490</v>
      </c>
      <c r="N238" s="292"/>
      <c r="O238" s="298" t="s">
        <v>479</v>
      </c>
      <c r="P238" s="292" t="s">
        <v>788</v>
      </c>
      <c r="Q238" s="299" t="s">
        <v>32</v>
      </c>
      <c r="R238" s="292" t="s">
        <v>377</v>
      </c>
      <c r="S238" s="295" t="s">
        <v>32</v>
      </c>
      <c r="T238" s="292" t="s">
        <v>377</v>
      </c>
      <c r="U238" s="299" t="s">
        <v>32</v>
      </c>
      <c r="V238" s="295" t="s">
        <v>32</v>
      </c>
      <c r="W238" s="292" t="s">
        <v>377</v>
      </c>
      <c r="X238" s="292" t="s">
        <v>377</v>
      </c>
      <c r="Y238" s="288" t="s">
        <v>377</v>
      </c>
      <c r="Z238" s="299" t="s">
        <v>32</v>
      </c>
      <c r="AA238" s="299" t="s">
        <v>32</v>
      </c>
      <c r="AB238" s="295" t="s">
        <v>32</v>
      </c>
      <c r="AC238" s="296" t="s">
        <v>32</v>
      </c>
      <c r="AD238" s="292" t="s">
        <v>377</v>
      </c>
      <c r="AE238" s="292" t="s">
        <v>377</v>
      </c>
      <c r="AF238" s="288" t="s">
        <v>377</v>
      </c>
      <c r="AG238" s="292" t="s">
        <v>377</v>
      </c>
      <c r="AH238" s="292" t="s">
        <v>377</v>
      </c>
      <c r="AI238" s="288" t="s">
        <v>377</v>
      </c>
      <c r="AJ238" s="299" t="s">
        <v>32</v>
      </c>
      <c r="AK238" s="292" t="s">
        <v>18</v>
      </c>
      <c r="AL238" s="288" t="s">
        <v>377</v>
      </c>
      <c r="AM238" s="292" t="s">
        <v>18</v>
      </c>
      <c r="AN238" s="292" t="s">
        <v>18</v>
      </c>
      <c r="AO238" s="288" t="s">
        <v>18</v>
      </c>
      <c r="AP238" s="289" t="s">
        <v>377</v>
      </c>
      <c r="AQ238" s="292" t="s">
        <v>377</v>
      </c>
      <c r="AR238" s="292" t="s">
        <v>377</v>
      </c>
      <c r="AS238" s="288" t="s">
        <v>377</v>
      </c>
      <c r="AT238" s="292" t="s">
        <v>377</v>
      </c>
      <c r="AU238" s="292" t="s">
        <v>18</v>
      </c>
      <c r="AV238" s="288" t="s">
        <v>377</v>
      </c>
      <c r="AW238" s="299" t="s">
        <v>32</v>
      </c>
      <c r="AX238" s="292" t="s">
        <v>377</v>
      </c>
      <c r="AY238" s="295" t="s">
        <v>32</v>
      </c>
      <c r="AZ238" s="292" t="s">
        <v>377</v>
      </c>
      <c r="BA238" s="299" t="s">
        <v>32</v>
      </c>
      <c r="BB238" s="288" t="s">
        <v>377</v>
      </c>
      <c r="BC238" s="289" t="s">
        <v>377</v>
      </c>
      <c r="BD238" s="292"/>
    </row>
    <row r="239" ht="12.75" customHeight="1">
      <c r="A239" s="298">
        <v>24.0</v>
      </c>
      <c r="B239" s="297" t="s">
        <v>486</v>
      </c>
      <c r="C239" s="298" t="s">
        <v>567</v>
      </c>
      <c r="D239" s="298" t="s">
        <v>16</v>
      </c>
      <c r="E239" s="285" t="s">
        <v>577</v>
      </c>
      <c r="F239" s="292" t="s">
        <v>808</v>
      </c>
      <c r="G239" s="298" t="s">
        <v>17</v>
      </c>
      <c r="H239" s="298">
        <v>15.0</v>
      </c>
      <c r="I239" s="292" t="s">
        <v>497</v>
      </c>
      <c r="J239" s="292" t="s">
        <v>498</v>
      </c>
      <c r="K239" s="287" t="s">
        <v>508</v>
      </c>
      <c r="L239" s="292" t="s">
        <v>479</v>
      </c>
      <c r="M239" s="292" t="s">
        <v>490</v>
      </c>
      <c r="N239" s="292"/>
      <c r="O239" s="298" t="s">
        <v>497</v>
      </c>
      <c r="P239" s="292" t="s">
        <v>612</v>
      </c>
      <c r="Q239" s="292" t="s">
        <v>18</v>
      </c>
      <c r="R239" s="292" t="s">
        <v>377</v>
      </c>
      <c r="S239" s="288" t="s">
        <v>377</v>
      </c>
      <c r="T239" s="292" t="s">
        <v>377</v>
      </c>
      <c r="U239" s="292" t="s">
        <v>377</v>
      </c>
      <c r="V239" s="288" t="s">
        <v>377</v>
      </c>
      <c r="W239" s="292" t="s">
        <v>377</v>
      </c>
      <c r="X239" s="292" t="s">
        <v>377</v>
      </c>
      <c r="Y239" s="288" t="s">
        <v>377</v>
      </c>
      <c r="Z239" s="299" t="s">
        <v>32</v>
      </c>
      <c r="AA239" s="292" t="s">
        <v>377</v>
      </c>
      <c r="AB239" s="295" t="s">
        <v>32</v>
      </c>
      <c r="AC239" s="289" t="s">
        <v>377</v>
      </c>
      <c r="AD239" s="292" t="s">
        <v>377</v>
      </c>
      <c r="AE239" s="292" t="s">
        <v>377</v>
      </c>
      <c r="AF239" s="288" t="s">
        <v>377</v>
      </c>
      <c r="AG239" s="292" t="s">
        <v>18</v>
      </c>
      <c r="AH239" s="292" t="s">
        <v>377</v>
      </c>
      <c r="AI239" s="288" t="s">
        <v>377</v>
      </c>
      <c r="AJ239" s="292" t="s">
        <v>377</v>
      </c>
      <c r="AK239" s="292" t="s">
        <v>377</v>
      </c>
      <c r="AL239" s="288" t="s">
        <v>377</v>
      </c>
      <c r="AM239" s="292" t="s">
        <v>18</v>
      </c>
      <c r="AN239" s="292" t="s">
        <v>18</v>
      </c>
      <c r="AO239" s="288" t="s">
        <v>18</v>
      </c>
      <c r="AP239" s="289" t="s">
        <v>377</v>
      </c>
      <c r="AQ239" s="299" t="s">
        <v>32</v>
      </c>
      <c r="AR239" s="299" t="s">
        <v>32</v>
      </c>
      <c r="AS239" s="295" t="s">
        <v>32</v>
      </c>
      <c r="AT239" s="299" t="s">
        <v>32</v>
      </c>
      <c r="AU239" s="299" t="s">
        <v>32</v>
      </c>
      <c r="AV239" s="295" t="s">
        <v>32</v>
      </c>
      <c r="AW239" s="292" t="s">
        <v>377</v>
      </c>
      <c r="AX239" s="292" t="s">
        <v>18</v>
      </c>
      <c r="AY239" s="288" t="s">
        <v>377</v>
      </c>
      <c r="AZ239" s="299" t="s">
        <v>32</v>
      </c>
      <c r="BA239" s="299" t="s">
        <v>32</v>
      </c>
      <c r="BB239" s="288" t="s">
        <v>377</v>
      </c>
      <c r="BC239" s="289" t="s">
        <v>377</v>
      </c>
      <c r="BD239" s="292"/>
    </row>
    <row r="240" ht="12.75" customHeight="1">
      <c r="A240" s="298">
        <v>26.0</v>
      </c>
      <c r="B240" s="297" t="s">
        <v>486</v>
      </c>
      <c r="C240" s="298" t="s">
        <v>567</v>
      </c>
      <c r="D240" s="298" t="s">
        <v>16</v>
      </c>
      <c r="E240" s="285" t="s">
        <v>577</v>
      </c>
      <c r="F240" s="292" t="s">
        <v>809</v>
      </c>
      <c r="G240" s="298" t="s">
        <v>21</v>
      </c>
      <c r="H240" s="298">
        <v>17.0</v>
      </c>
      <c r="I240" s="292" t="s">
        <v>497</v>
      </c>
      <c r="J240" s="292" t="s">
        <v>498</v>
      </c>
      <c r="K240" s="287" t="s">
        <v>508</v>
      </c>
      <c r="L240" s="292" t="s">
        <v>479</v>
      </c>
      <c r="M240" s="292" t="s">
        <v>490</v>
      </c>
      <c r="N240" s="292"/>
      <c r="O240" s="298" t="s">
        <v>497</v>
      </c>
      <c r="P240" s="292" t="s">
        <v>612</v>
      </c>
      <c r="Q240" s="299" t="s">
        <v>32</v>
      </c>
      <c r="R240" s="299" t="s">
        <v>32</v>
      </c>
      <c r="S240" s="295" t="s">
        <v>32</v>
      </c>
      <c r="T240" s="292" t="s">
        <v>377</v>
      </c>
      <c r="U240" s="299" t="s">
        <v>32</v>
      </c>
      <c r="V240" s="295" t="s">
        <v>32</v>
      </c>
      <c r="W240" s="292" t="s">
        <v>377</v>
      </c>
      <c r="X240" s="292" t="s">
        <v>377</v>
      </c>
      <c r="Y240" s="288" t="s">
        <v>377</v>
      </c>
      <c r="Z240" s="299" t="s">
        <v>32</v>
      </c>
      <c r="AA240" s="292" t="s">
        <v>18</v>
      </c>
      <c r="AB240" s="288" t="s">
        <v>377</v>
      </c>
      <c r="AC240" s="289" t="s">
        <v>377</v>
      </c>
      <c r="AD240" s="292" t="s">
        <v>377</v>
      </c>
      <c r="AE240" s="292" t="s">
        <v>377</v>
      </c>
      <c r="AF240" s="288" t="s">
        <v>377</v>
      </c>
      <c r="AG240" s="292" t="s">
        <v>377</v>
      </c>
      <c r="AH240" s="292" t="s">
        <v>18</v>
      </c>
      <c r="AI240" s="288" t="s">
        <v>377</v>
      </c>
      <c r="AJ240" s="299" t="s">
        <v>32</v>
      </c>
      <c r="AK240" s="292" t="s">
        <v>377</v>
      </c>
      <c r="AL240" s="295" t="s">
        <v>32</v>
      </c>
      <c r="AM240" s="292" t="s">
        <v>377</v>
      </c>
      <c r="AN240" s="292" t="s">
        <v>377</v>
      </c>
      <c r="AO240" s="288" t="s">
        <v>377</v>
      </c>
      <c r="AP240" s="289" t="s">
        <v>377</v>
      </c>
      <c r="AQ240" s="299" t="s">
        <v>32</v>
      </c>
      <c r="AR240" s="292" t="s">
        <v>377</v>
      </c>
      <c r="AS240" s="295" t="s">
        <v>32</v>
      </c>
      <c r="AT240" s="299" t="s">
        <v>32</v>
      </c>
      <c r="AU240" s="299" t="s">
        <v>32</v>
      </c>
      <c r="AV240" s="295" t="s">
        <v>32</v>
      </c>
      <c r="AW240" s="292" t="s">
        <v>377</v>
      </c>
      <c r="AX240" s="292" t="s">
        <v>377</v>
      </c>
      <c r="AY240" s="288" t="s">
        <v>377</v>
      </c>
      <c r="AZ240" s="299" t="s">
        <v>32</v>
      </c>
      <c r="BA240" s="292" t="s">
        <v>377</v>
      </c>
      <c r="BB240" s="288" t="s">
        <v>18</v>
      </c>
      <c r="BC240" s="289" t="s">
        <v>18</v>
      </c>
      <c r="BD240" s="292"/>
    </row>
    <row r="241" ht="12.75" customHeight="1">
      <c r="A241" s="298">
        <v>28.0</v>
      </c>
      <c r="B241" s="297" t="s">
        <v>486</v>
      </c>
      <c r="C241" s="298" t="s">
        <v>567</v>
      </c>
      <c r="D241" s="298" t="s">
        <v>16</v>
      </c>
      <c r="E241" s="285" t="s">
        <v>577</v>
      </c>
      <c r="F241" s="292" t="s">
        <v>810</v>
      </c>
      <c r="G241" s="298" t="s">
        <v>21</v>
      </c>
      <c r="H241" s="298">
        <v>14.0</v>
      </c>
      <c r="I241" s="292" t="s">
        <v>497</v>
      </c>
      <c r="J241" s="292" t="s">
        <v>498</v>
      </c>
      <c r="K241" s="287" t="s">
        <v>508</v>
      </c>
      <c r="L241" s="292" t="s">
        <v>479</v>
      </c>
      <c r="M241" s="292" t="s">
        <v>483</v>
      </c>
      <c r="N241" s="292"/>
      <c r="O241" s="298" t="s">
        <v>479</v>
      </c>
      <c r="P241" s="292" t="s">
        <v>627</v>
      </c>
      <c r="Q241" s="292" t="s">
        <v>377</v>
      </c>
      <c r="R241" s="292" t="s">
        <v>377</v>
      </c>
      <c r="S241" s="288" t="s">
        <v>377</v>
      </c>
      <c r="T241" s="292" t="s">
        <v>377</v>
      </c>
      <c r="U241" s="292" t="s">
        <v>377</v>
      </c>
      <c r="V241" s="288" t="s">
        <v>377</v>
      </c>
      <c r="W241" s="292" t="s">
        <v>377</v>
      </c>
      <c r="X241" s="299" t="s">
        <v>32</v>
      </c>
      <c r="Y241" s="295" t="s">
        <v>32</v>
      </c>
      <c r="Z241" s="292" t="s">
        <v>377</v>
      </c>
      <c r="AA241" s="292" t="s">
        <v>18</v>
      </c>
      <c r="AB241" s="288" t="s">
        <v>377</v>
      </c>
      <c r="AC241" s="289" t="s">
        <v>377</v>
      </c>
      <c r="AD241" s="292" t="s">
        <v>377</v>
      </c>
      <c r="AE241" s="292" t="s">
        <v>377</v>
      </c>
      <c r="AF241" s="288" t="s">
        <v>377</v>
      </c>
      <c r="AG241" s="292" t="s">
        <v>377</v>
      </c>
      <c r="AH241" s="292" t="s">
        <v>377</v>
      </c>
      <c r="AI241" s="288" t="s">
        <v>377</v>
      </c>
      <c r="AJ241" s="292" t="s">
        <v>377</v>
      </c>
      <c r="AK241" s="292" t="s">
        <v>377</v>
      </c>
      <c r="AL241" s="288" t="s">
        <v>377</v>
      </c>
      <c r="AM241" s="292" t="s">
        <v>18</v>
      </c>
      <c r="AN241" s="292" t="s">
        <v>377</v>
      </c>
      <c r="AO241" s="288" t="s">
        <v>377</v>
      </c>
      <c r="AP241" s="289" t="s">
        <v>377</v>
      </c>
      <c r="AQ241" s="292" t="s">
        <v>377</v>
      </c>
      <c r="AR241" s="299" t="s">
        <v>32</v>
      </c>
      <c r="AS241" s="295" t="s">
        <v>32</v>
      </c>
      <c r="AT241" s="292" t="s">
        <v>377</v>
      </c>
      <c r="AU241" s="292" t="s">
        <v>377</v>
      </c>
      <c r="AV241" s="288" t="s">
        <v>377</v>
      </c>
      <c r="AW241" s="292" t="s">
        <v>377</v>
      </c>
      <c r="AX241" s="292" t="s">
        <v>377</v>
      </c>
      <c r="AY241" s="288" t="s">
        <v>377</v>
      </c>
      <c r="AZ241" s="292" t="s">
        <v>377</v>
      </c>
      <c r="BA241" s="292" t="s">
        <v>377</v>
      </c>
      <c r="BB241" s="288" t="s">
        <v>377</v>
      </c>
      <c r="BC241" s="289" t="s">
        <v>377</v>
      </c>
      <c r="BD241" s="292"/>
    </row>
    <row r="242" ht="12.75" customHeight="1">
      <c r="A242" s="298">
        <v>33.0</v>
      </c>
      <c r="B242" s="297" t="s">
        <v>486</v>
      </c>
      <c r="C242" s="298" t="s">
        <v>567</v>
      </c>
      <c r="D242" s="298" t="s">
        <v>16</v>
      </c>
      <c r="E242" s="285" t="s">
        <v>577</v>
      </c>
      <c r="F242" s="292" t="s">
        <v>811</v>
      </c>
      <c r="G242" s="298" t="s">
        <v>17</v>
      </c>
      <c r="H242" s="298">
        <v>16.0</v>
      </c>
      <c r="I242" s="292" t="s">
        <v>497</v>
      </c>
      <c r="J242" s="292" t="s">
        <v>498</v>
      </c>
      <c r="K242" s="287" t="s">
        <v>508</v>
      </c>
      <c r="L242" s="292" t="s">
        <v>497</v>
      </c>
      <c r="M242" s="292" t="s">
        <v>638</v>
      </c>
      <c r="N242" s="292"/>
      <c r="O242" s="298" t="s">
        <v>497</v>
      </c>
      <c r="P242" s="292" t="s">
        <v>612</v>
      </c>
      <c r="Q242" s="299" t="s">
        <v>32</v>
      </c>
      <c r="R242" s="299" t="s">
        <v>32</v>
      </c>
      <c r="S242" s="295" t="s">
        <v>32</v>
      </c>
      <c r="T242" s="292" t="s">
        <v>377</v>
      </c>
      <c r="U242" s="299" t="s">
        <v>32</v>
      </c>
      <c r="V242" s="295" t="s">
        <v>32</v>
      </c>
      <c r="W242" s="292" t="s">
        <v>377</v>
      </c>
      <c r="X242" s="299" t="s">
        <v>32</v>
      </c>
      <c r="Y242" s="295" t="s">
        <v>32</v>
      </c>
      <c r="Z242" s="299" t="s">
        <v>32</v>
      </c>
      <c r="AA242" s="299" t="s">
        <v>32</v>
      </c>
      <c r="AB242" s="295" t="s">
        <v>32</v>
      </c>
      <c r="AC242" s="296" t="s">
        <v>32</v>
      </c>
      <c r="AD242" s="299" t="s">
        <v>32</v>
      </c>
      <c r="AE242" s="292" t="s">
        <v>377</v>
      </c>
      <c r="AF242" s="295" t="s">
        <v>32</v>
      </c>
      <c r="AG242" s="292" t="s">
        <v>377</v>
      </c>
      <c r="AH242" s="292" t="s">
        <v>377</v>
      </c>
      <c r="AI242" s="288" t="s">
        <v>377</v>
      </c>
      <c r="AJ242" s="299" t="s">
        <v>32</v>
      </c>
      <c r="AK242" s="292" t="s">
        <v>377</v>
      </c>
      <c r="AL242" s="295" t="s">
        <v>32</v>
      </c>
      <c r="AM242" s="292" t="s">
        <v>377</v>
      </c>
      <c r="AN242" s="292" t="s">
        <v>377</v>
      </c>
      <c r="AO242" s="288" t="s">
        <v>377</v>
      </c>
      <c r="AP242" s="289" t="s">
        <v>377</v>
      </c>
      <c r="AQ242" s="299" t="s">
        <v>32</v>
      </c>
      <c r="AR242" s="299" t="s">
        <v>32</v>
      </c>
      <c r="AS242" s="295" t="s">
        <v>32</v>
      </c>
      <c r="AT242" s="299" t="s">
        <v>32</v>
      </c>
      <c r="AU242" s="299" t="s">
        <v>32</v>
      </c>
      <c r="AV242" s="295" t="s">
        <v>32</v>
      </c>
      <c r="AW242" s="299" t="s">
        <v>32</v>
      </c>
      <c r="AX242" s="292" t="s">
        <v>377</v>
      </c>
      <c r="AY242" s="295" t="s">
        <v>32</v>
      </c>
      <c r="AZ242" s="299" t="s">
        <v>32</v>
      </c>
      <c r="BA242" s="299" t="s">
        <v>32</v>
      </c>
      <c r="BB242" s="295" t="s">
        <v>32</v>
      </c>
      <c r="BC242" s="296" t="s">
        <v>32</v>
      </c>
      <c r="BD242" s="292"/>
    </row>
    <row r="243" ht="12.75" customHeight="1">
      <c r="A243" s="298">
        <v>34.0</v>
      </c>
      <c r="B243" s="297" t="s">
        <v>486</v>
      </c>
      <c r="C243" s="298" t="s">
        <v>567</v>
      </c>
      <c r="D243" s="298" t="s">
        <v>16</v>
      </c>
      <c r="E243" s="285" t="s">
        <v>577</v>
      </c>
      <c r="F243" s="292" t="s">
        <v>812</v>
      </c>
      <c r="G243" s="298" t="s">
        <v>17</v>
      </c>
      <c r="H243" s="298">
        <v>15.0</v>
      </c>
      <c r="I243" s="292" t="s">
        <v>497</v>
      </c>
      <c r="J243" s="292" t="s">
        <v>498</v>
      </c>
      <c r="K243" s="287" t="s">
        <v>508</v>
      </c>
      <c r="L243" s="292" t="s">
        <v>497</v>
      </c>
      <c r="M243" s="292" t="s">
        <v>638</v>
      </c>
      <c r="N243" s="292"/>
      <c r="O243" s="298" t="s">
        <v>479</v>
      </c>
      <c r="P243" s="292" t="s">
        <v>813</v>
      </c>
      <c r="Q243" s="292" t="s">
        <v>377</v>
      </c>
      <c r="R243" s="292" t="s">
        <v>377</v>
      </c>
      <c r="S243" s="288" t="s">
        <v>377</v>
      </c>
      <c r="T243" s="299" t="s">
        <v>32</v>
      </c>
      <c r="U243" s="299" t="s">
        <v>32</v>
      </c>
      <c r="V243" s="295" t="s">
        <v>32</v>
      </c>
      <c r="W243" s="299" t="s">
        <v>32</v>
      </c>
      <c r="X243" s="299" t="s">
        <v>32</v>
      </c>
      <c r="Y243" s="295" t="s">
        <v>32</v>
      </c>
      <c r="Z243" s="299" t="s">
        <v>32</v>
      </c>
      <c r="AA243" s="299" t="s">
        <v>32</v>
      </c>
      <c r="AB243" s="295" t="s">
        <v>32</v>
      </c>
      <c r="AC243" s="296" t="s">
        <v>32</v>
      </c>
      <c r="AD243" s="292" t="s">
        <v>377</v>
      </c>
      <c r="AE243" s="299" t="s">
        <v>32</v>
      </c>
      <c r="AF243" s="295" t="s">
        <v>32</v>
      </c>
      <c r="AG243" s="292" t="s">
        <v>377</v>
      </c>
      <c r="AH243" s="292" t="s">
        <v>377</v>
      </c>
      <c r="AI243" s="288" t="s">
        <v>377</v>
      </c>
      <c r="AJ243" s="299" t="s">
        <v>32</v>
      </c>
      <c r="AK243" s="299" t="s">
        <v>32</v>
      </c>
      <c r="AL243" s="295" t="s">
        <v>32</v>
      </c>
      <c r="AM243" s="292" t="s">
        <v>377</v>
      </c>
      <c r="AN243" s="292" t="s">
        <v>377</v>
      </c>
      <c r="AO243" s="288" t="s">
        <v>377</v>
      </c>
      <c r="AP243" s="289" t="s">
        <v>377</v>
      </c>
      <c r="AQ243" s="299" t="s">
        <v>32</v>
      </c>
      <c r="AR243" s="292" t="s">
        <v>377</v>
      </c>
      <c r="AS243" s="295" t="s">
        <v>32</v>
      </c>
      <c r="AT243" s="299" t="s">
        <v>32</v>
      </c>
      <c r="AU243" s="299" t="s">
        <v>32</v>
      </c>
      <c r="AV243" s="295" t="s">
        <v>32</v>
      </c>
      <c r="AW243" s="299" t="s">
        <v>32</v>
      </c>
      <c r="AX243" s="299" t="s">
        <v>32</v>
      </c>
      <c r="AY243" s="295" t="s">
        <v>32</v>
      </c>
      <c r="AZ243" s="299" t="s">
        <v>32</v>
      </c>
      <c r="BA243" s="299" t="s">
        <v>32</v>
      </c>
      <c r="BB243" s="288" t="s">
        <v>377</v>
      </c>
      <c r="BC243" s="289" t="s">
        <v>377</v>
      </c>
      <c r="BD243" s="292"/>
    </row>
    <row r="244" ht="12.75" customHeight="1">
      <c r="A244" s="298">
        <v>35.0</v>
      </c>
      <c r="B244" s="297" t="s">
        <v>486</v>
      </c>
      <c r="C244" s="298" t="s">
        <v>567</v>
      </c>
      <c r="D244" s="298" t="s">
        <v>16</v>
      </c>
      <c r="E244" s="285" t="s">
        <v>577</v>
      </c>
      <c r="F244" s="292" t="s">
        <v>814</v>
      </c>
      <c r="G244" s="298" t="s">
        <v>21</v>
      </c>
      <c r="H244" s="298">
        <v>15.0</v>
      </c>
      <c r="I244" s="292" t="s">
        <v>497</v>
      </c>
      <c r="J244" s="292" t="s">
        <v>498</v>
      </c>
      <c r="K244" s="287" t="s">
        <v>508</v>
      </c>
      <c r="L244" s="292" t="s">
        <v>497</v>
      </c>
      <c r="M244" s="292" t="s">
        <v>638</v>
      </c>
      <c r="N244" s="292"/>
      <c r="O244" s="298" t="s">
        <v>497</v>
      </c>
      <c r="P244" s="292" t="s">
        <v>612</v>
      </c>
      <c r="Q244" s="299" t="s">
        <v>32</v>
      </c>
      <c r="R244" s="292" t="s">
        <v>377</v>
      </c>
      <c r="S244" s="295" t="s">
        <v>32</v>
      </c>
      <c r="T244" s="299" t="s">
        <v>32</v>
      </c>
      <c r="U244" s="299" t="s">
        <v>32</v>
      </c>
      <c r="V244" s="295" t="s">
        <v>32</v>
      </c>
      <c r="W244" s="292" t="s">
        <v>377</v>
      </c>
      <c r="X244" s="292" t="s">
        <v>377</v>
      </c>
      <c r="Y244" s="288" t="s">
        <v>377</v>
      </c>
      <c r="Z244" s="292" t="s">
        <v>377</v>
      </c>
      <c r="AA244" s="299" t="s">
        <v>32</v>
      </c>
      <c r="AB244" s="295" t="s">
        <v>32</v>
      </c>
      <c r="AC244" s="296" t="s">
        <v>32</v>
      </c>
      <c r="AD244" s="292" t="s">
        <v>377</v>
      </c>
      <c r="AE244" s="292" t="s">
        <v>377</v>
      </c>
      <c r="AF244" s="288" t="s">
        <v>377</v>
      </c>
      <c r="AG244" s="292" t="s">
        <v>377</v>
      </c>
      <c r="AH244" s="292" t="s">
        <v>377</v>
      </c>
      <c r="AI244" s="288" t="s">
        <v>377</v>
      </c>
      <c r="AJ244" s="292" t="s">
        <v>377</v>
      </c>
      <c r="AK244" s="292" t="s">
        <v>377</v>
      </c>
      <c r="AL244" s="288" t="s">
        <v>377</v>
      </c>
      <c r="AM244" s="292" t="s">
        <v>18</v>
      </c>
      <c r="AN244" s="292" t="s">
        <v>377</v>
      </c>
      <c r="AO244" s="288" t="s">
        <v>377</v>
      </c>
      <c r="AP244" s="289" t="s">
        <v>377</v>
      </c>
      <c r="AQ244" s="299" t="s">
        <v>32</v>
      </c>
      <c r="AR244" s="299" t="s">
        <v>32</v>
      </c>
      <c r="AS244" s="295" t="s">
        <v>32</v>
      </c>
      <c r="AT244" s="299" t="s">
        <v>32</v>
      </c>
      <c r="AU244" s="299" t="s">
        <v>32</v>
      </c>
      <c r="AV244" s="295" t="s">
        <v>32</v>
      </c>
      <c r="AW244" s="299" t="s">
        <v>32</v>
      </c>
      <c r="AX244" s="299" t="s">
        <v>32</v>
      </c>
      <c r="AY244" s="295" t="s">
        <v>32</v>
      </c>
      <c r="AZ244" s="299" t="s">
        <v>32</v>
      </c>
      <c r="BA244" s="299" t="s">
        <v>32</v>
      </c>
      <c r="BB244" s="288" t="s">
        <v>377</v>
      </c>
      <c r="BC244" s="296" t="s">
        <v>32</v>
      </c>
      <c r="BD244" s="292"/>
    </row>
    <row r="245" ht="12.75" customHeight="1">
      <c r="A245" s="298">
        <v>41.0</v>
      </c>
      <c r="B245" s="297" t="s">
        <v>486</v>
      </c>
      <c r="C245" s="298" t="s">
        <v>567</v>
      </c>
      <c r="D245" s="298" t="s">
        <v>16</v>
      </c>
      <c r="E245" s="285" t="s">
        <v>577</v>
      </c>
      <c r="F245" s="292" t="s">
        <v>815</v>
      </c>
      <c r="G245" s="298" t="s">
        <v>21</v>
      </c>
      <c r="H245" s="298">
        <v>15.0</v>
      </c>
      <c r="I245" s="292" t="s">
        <v>497</v>
      </c>
      <c r="J245" s="292" t="s">
        <v>498</v>
      </c>
      <c r="K245" s="287" t="s">
        <v>508</v>
      </c>
      <c r="L245" s="292" t="s">
        <v>497</v>
      </c>
      <c r="M245" s="292" t="s">
        <v>638</v>
      </c>
      <c r="N245" s="292"/>
      <c r="O245" s="298" t="s">
        <v>497</v>
      </c>
      <c r="P245" s="292" t="s">
        <v>612</v>
      </c>
      <c r="Q245" s="292" t="s">
        <v>18</v>
      </c>
      <c r="R245" s="292" t="s">
        <v>18</v>
      </c>
      <c r="S245" s="288" t="s">
        <v>18</v>
      </c>
      <c r="T245" s="292" t="s">
        <v>377</v>
      </c>
      <c r="U245" s="292" t="s">
        <v>18</v>
      </c>
      <c r="V245" s="288" t="s">
        <v>377</v>
      </c>
      <c r="W245" s="292" t="s">
        <v>18</v>
      </c>
      <c r="X245" s="292" t="s">
        <v>377</v>
      </c>
      <c r="Y245" s="288" t="s">
        <v>377</v>
      </c>
      <c r="Z245" s="299" t="s">
        <v>32</v>
      </c>
      <c r="AA245" s="292" t="s">
        <v>377</v>
      </c>
      <c r="AB245" s="295" t="s">
        <v>32</v>
      </c>
      <c r="AC245" s="289" t="s">
        <v>377</v>
      </c>
      <c r="AD245" s="292" t="s">
        <v>377</v>
      </c>
      <c r="AE245" s="292" t="s">
        <v>377</v>
      </c>
      <c r="AF245" s="288" t="s">
        <v>377</v>
      </c>
      <c r="AG245" s="292" t="s">
        <v>377</v>
      </c>
      <c r="AH245" s="292" t="s">
        <v>18</v>
      </c>
      <c r="AI245" s="288" t="s">
        <v>377</v>
      </c>
      <c r="AJ245" s="292" t="s">
        <v>377</v>
      </c>
      <c r="AK245" s="292" t="s">
        <v>18</v>
      </c>
      <c r="AL245" s="288" t="s">
        <v>377</v>
      </c>
      <c r="AM245" s="292" t="s">
        <v>18</v>
      </c>
      <c r="AN245" s="292" t="s">
        <v>18</v>
      </c>
      <c r="AO245" s="288" t="s">
        <v>18</v>
      </c>
      <c r="AP245" s="289" t="s">
        <v>377</v>
      </c>
      <c r="AQ245" s="292" t="s">
        <v>18</v>
      </c>
      <c r="AR245" s="299" t="s">
        <v>32</v>
      </c>
      <c r="AS245" s="288" t="s">
        <v>377</v>
      </c>
      <c r="AT245" s="299" t="s">
        <v>32</v>
      </c>
      <c r="AU245" s="299" t="s">
        <v>32</v>
      </c>
      <c r="AV245" s="295" t="s">
        <v>32</v>
      </c>
      <c r="AW245" s="292" t="s">
        <v>377</v>
      </c>
      <c r="AX245" s="292" t="s">
        <v>18</v>
      </c>
      <c r="AY245" s="288" t="s">
        <v>377</v>
      </c>
      <c r="AZ245" s="292" t="s">
        <v>377</v>
      </c>
      <c r="BA245" s="299" t="s">
        <v>32</v>
      </c>
      <c r="BB245" s="288" t="s">
        <v>377</v>
      </c>
      <c r="BC245" s="296" t="s">
        <v>32</v>
      </c>
      <c r="BD245" s="292"/>
    </row>
    <row r="246" ht="12.75" customHeight="1">
      <c r="A246" s="298">
        <v>42.0</v>
      </c>
      <c r="B246" s="297" t="s">
        <v>486</v>
      </c>
      <c r="C246" s="298" t="s">
        <v>567</v>
      </c>
      <c r="D246" s="298" t="s">
        <v>16</v>
      </c>
      <c r="E246" s="285" t="s">
        <v>577</v>
      </c>
      <c r="F246" s="292" t="s">
        <v>816</v>
      </c>
      <c r="G246" s="298" t="s">
        <v>17</v>
      </c>
      <c r="H246" s="298">
        <v>15.0</v>
      </c>
      <c r="I246" s="292" t="s">
        <v>497</v>
      </c>
      <c r="J246" s="292" t="s">
        <v>498</v>
      </c>
      <c r="K246" s="287" t="s">
        <v>508</v>
      </c>
      <c r="L246" s="292" t="s">
        <v>479</v>
      </c>
      <c r="M246" s="292" t="s">
        <v>481</v>
      </c>
      <c r="N246" s="292"/>
      <c r="O246" s="298" t="s">
        <v>497</v>
      </c>
      <c r="P246" s="292" t="s">
        <v>612</v>
      </c>
      <c r="Q246" s="299" t="s">
        <v>32</v>
      </c>
      <c r="R246" s="292" t="s">
        <v>377</v>
      </c>
      <c r="S246" s="295" t="s">
        <v>32</v>
      </c>
      <c r="T246" s="299" t="s">
        <v>32</v>
      </c>
      <c r="U246" s="299" t="s">
        <v>32</v>
      </c>
      <c r="V246" s="295" t="s">
        <v>32</v>
      </c>
      <c r="W246" s="292" t="s">
        <v>377</v>
      </c>
      <c r="X246" s="292" t="s">
        <v>377</v>
      </c>
      <c r="Y246" s="288" t="s">
        <v>377</v>
      </c>
      <c r="Z246" s="292" t="s">
        <v>18</v>
      </c>
      <c r="AA246" s="292" t="s">
        <v>18</v>
      </c>
      <c r="AB246" s="288" t="s">
        <v>18</v>
      </c>
      <c r="AC246" s="289" t="s">
        <v>377</v>
      </c>
      <c r="AD246" s="292" t="s">
        <v>377</v>
      </c>
      <c r="AE246" s="292" t="s">
        <v>18</v>
      </c>
      <c r="AF246" s="288" t="s">
        <v>377</v>
      </c>
      <c r="AG246" s="292" t="s">
        <v>18</v>
      </c>
      <c r="AH246" s="292" t="s">
        <v>18</v>
      </c>
      <c r="AI246" s="288" t="s">
        <v>18</v>
      </c>
      <c r="AJ246" s="299" t="s">
        <v>32</v>
      </c>
      <c r="AK246" s="292" t="s">
        <v>377</v>
      </c>
      <c r="AL246" s="295" t="s">
        <v>32</v>
      </c>
      <c r="AM246" s="292" t="s">
        <v>377</v>
      </c>
      <c r="AN246" s="292" t="s">
        <v>18</v>
      </c>
      <c r="AO246" s="288" t="s">
        <v>377</v>
      </c>
      <c r="AP246" s="289" t="s">
        <v>377</v>
      </c>
      <c r="AQ246" s="292" t="s">
        <v>377</v>
      </c>
      <c r="AR246" s="292" t="s">
        <v>377</v>
      </c>
      <c r="AS246" s="288" t="s">
        <v>377</v>
      </c>
      <c r="AT246" s="299" t="s">
        <v>32</v>
      </c>
      <c r="AU246" s="299" t="s">
        <v>32</v>
      </c>
      <c r="AV246" s="295" t="s">
        <v>32</v>
      </c>
      <c r="AW246" s="292" t="s">
        <v>377</v>
      </c>
      <c r="AX246" s="292" t="s">
        <v>377</v>
      </c>
      <c r="AY246" s="288" t="s">
        <v>377</v>
      </c>
      <c r="AZ246" s="299" t="s">
        <v>32</v>
      </c>
      <c r="BA246" s="292" t="s">
        <v>377</v>
      </c>
      <c r="BB246" s="288" t="s">
        <v>377</v>
      </c>
      <c r="BC246" s="296" t="s">
        <v>32</v>
      </c>
      <c r="BD246" s="292"/>
    </row>
    <row r="247" ht="12.75" customHeight="1">
      <c r="A247" s="298">
        <v>44.0</v>
      </c>
      <c r="B247" s="297" t="s">
        <v>486</v>
      </c>
      <c r="C247" s="298" t="s">
        <v>567</v>
      </c>
      <c r="D247" s="298" t="s">
        <v>16</v>
      </c>
      <c r="E247" s="285" t="s">
        <v>577</v>
      </c>
      <c r="F247" s="292" t="s">
        <v>817</v>
      </c>
      <c r="G247" s="298" t="s">
        <v>21</v>
      </c>
      <c r="H247" s="298">
        <v>15.0</v>
      </c>
      <c r="I247" s="292" t="s">
        <v>497</v>
      </c>
      <c r="J247" s="292" t="s">
        <v>498</v>
      </c>
      <c r="K247" s="287" t="s">
        <v>508</v>
      </c>
      <c r="L247" s="292" t="s">
        <v>497</v>
      </c>
      <c r="M247" s="292" t="s">
        <v>638</v>
      </c>
      <c r="N247" s="292"/>
      <c r="O247" s="298" t="s">
        <v>479</v>
      </c>
      <c r="P247" s="292" t="s">
        <v>813</v>
      </c>
      <c r="Q247" s="292" t="s">
        <v>377</v>
      </c>
      <c r="R247" s="292" t="s">
        <v>18</v>
      </c>
      <c r="S247" s="288" t="s">
        <v>377</v>
      </c>
      <c r="T247" s="292" t="s">
        <v>377</v>
      </c>
      <c r="U247" s="292" t="s">
        <v>377</v>
      </c>
      <c r="V247" s="288" t="s">
        <v>377</v>
      </c>
      <c r="W247" s="292" t="s">
        <v>377</v>
      </c>
      <c r="X247" s="292" t="s">
        <v>18</v>
      </c>
      <c r="Y247" s="288" t="s">
        <v>377</v>
      </c>
      <c r="Z247" s="292" t="s">
        <v>18</v>
      </c>
      <c r="AA247" s="292" t="s">
        <v>377</v>
      </c>
      <c r="AB247" s="288" t="s">
        <v>377</v>
      </c>
      <c r="AC247" s="289" t="s">
        <v>377</v>
      </c>
      <c r="AD247" s="292" t="s">
        <v>377</v>
      </c>
      <c r="AE247" s="292" t="s">
        <v>377</v>
      </c>
      <c r="AF247" s="288" t="s">
        <v>377</v>
      </c>
      <c r="AG247" s="292" t="s">
        <v>377</v>
      </c>
      <c r="AH247" s="292" t="s">
        <v>377</v>
      </c>
      <c r="AI247" s="288" t="s">
        <v>377</v>
      </c>
      <c r="AJ247" s="299" t="s">
        <v>32</v>
      </c>
      <c r="AK247" s="292" t="s">
        <v>377</v>
      </c>
      <c r="AL247" s="295" t="s">
        <v>32</v>
      </c>
      <c r="AM247" s="299" t="s">
        <v>32</v>
      </c>
      <c r="AN247" s="292" t="s">
        <v>377</v>
      </c>
      <c r="AO247" s="295" t="s">
        <v>32</v>
      </c>
      <c r="AP247" s="289" t="s">
        <v>377</v>
      </c>
      <c r="AQ247" s="299" t="s">
        <v>32</v>
      </c>
      <c r="AR247" s="292" t="s">
        <v>18</v>
      </c>
      <c r="AS247" s="288" t="s">
        <v>377</v>
      </c>
      <c r="AT247" s="299" t="s">
        <v>32</v>
      </c>
      <c r="AU247" s="299" t="s">
        <v>32</v>
      </c>
      <c r="AV247" s="295" t="s">
        <v>32</v>
      </c>
      <c r="AW247" s="292" t="s">
        <v>377</v>
      </c>
      <c r="AX247" s="292" t="s">
        <v>377</v>
      </c>
      <c r="AY247" s="288" t="s">
        <v>377</v>
      </c>
      <c r="AZ247" s="292" t="s">
        <v>18</v>
      </c>
      <c r="BA247" s="292" t="s">
        <v>377</v>
      </c>
      <c r="BB247" s="295" t="s">
        <v>32</v>
      </c>
      <c r="BC247" s="296" t="s">
        <v>32</v>
      </c>
      <c r="BD247" s="292"/>
    </row>
    <row r="248" ht="12.75" customHeight="1">
      <c r="A248" s="298">
        <v>45.0</v>
      </c>
      <c r="B248" s="297" t="s">
        <v>486</v>
      </c>
      <c r="C248" s="298" t="s">
        <v>567</v>
      </c>
      <c r="D248" s="298" t="s">
        <v>16</v>
      </c>
      <c r="E248" s="285" t="s">
        <v>577</v>
      </c>
      <c r="F248" s="292" t="s">
        <v>818</v>
      </c>
      <c r="G248" s="298" t="s">
        <v>21</v>
      </c>
      <c r="H248" s="298">
        <v>16.0</v>
      </c>
      <c r="I248" s="292" t="s">
        <v>497</v>
      </c>
      <c r="J248" s="292" t="s">
        <v>498</v>
      </c>
      <c r="K248" s="287" t="s">
        <v>508</v>
      </c>
      <c r="L248" s="292" t="s">
        <v>479</v>
      </c>
      <c r="M248" s="292" t="s">
        <v>481</v>
      </c>
      <c r="N248" s="292"/>
      <c r="O248" s="298" t="s">
        <v>497</v>
      </c>
      <c r="P248" s="292" t="s">
        <v>612</v>
      </c>
      <c r="Q248" s="292" t="s">
        <v>377</v>
      </c>
      <c r="R248" s="292" t="s">
        <v>377</v>
      </c>
      <c r="S248" s="288" t="s">
        <v>377</v>
      </c>
      <c r="T248" s="292" t="s">
        <v>377</v>
      </c>
      <c r="U248" s="299" t="s">
        <v>32</v>
      </c>
      <c r="V248" s="295" t="s">
        <v>32</v>
      </c>
      <c r="W248" s="292" t="s">
        <v>377</v>
      </c>
      <c r="X248" s="292" t="s">
        <v>18</v>
      </c>
      <c r="Y248" s="288" t="s">
        <v>377</v>
      </c>
      <c r="Z248" s="299" t="s">
        <v>32</v>
      </c>
      <c r="AA248" s="292" t="s">
        <v>377</v>
      </c>
      <c r="AB248" s="295" t="s">
        <v>32</v>
      </c>
      <c r="AC248" s="289" t="s">
        <v>377</v>
      </c>
      <c r="AD248" s="299" t="s">
        <v>32</v>
      </c>
      <c r="AE248" s="299" t="s">
        <v>32</v>
      </c>
      <c r="AF248" s="295" t="s">
        <v>32</v>
      </c>
      <c r="AG248" s="292" t="s">
        <v>377</v>
      </c>
      <c r="AH248" s="299" t="s">
        <v>32</v>
      </c>
      <c r="AI248" s="295" t="s">
        <v>32</v>
      </c>
      <c r="AJ248" s="299" t="s">
        <v>32</v>
      </c>
      <c r="AK248" s="299" t="s">
        <v>32</v>
      </c>
      <c r="AL248" s="295" t="s">
        <v>32</v>
      </c>
      <c r="AM248" s="292" t="s">
        <v>377</v>
      </c>
      <c r="AN248" s="292" t="s">
        <v>377</v>
      </c>
      <c r="AO248" s="288" t="s">
        <v>377</v>
      </c>
      <c r="AP248" s="296" t="s">
        <v>32</v>
      </c>
      <c r="AQ248" s="292" t="s">
        <v>377</v>
      </c>
      <c r="AR248" s="299" t="s">
        <v>32</v>
      </c>
      <c r="AS248" s="295" t="s">
        <v>32</v>
      </c>
      <c r="AT248" s="299" t="s">
        <v>32</v>
      </c>
      <c r="AU248" s="299" t="s">
        <v>32</v>
      </c>
      <c r="AV248" s="295" t="s">
        <v>32</v>
      </c>
      <c r="AW248" s="292" t="s">
        <v>377</v>
      </c>
      <c r="AX248" s="292" t="s">
        <v>377</v>
      </c>
      <c r="AY248" s="288" t="s">
        <v>377</v>
      </c>
      <c r="AZ248" s="299" t="s">
        <v>32</v>
      </c>
      <c r="BA248" s="299" t="s">
        <v>32</v>
      </c>
      <c r="BB248" s="288" t="s">
        <v>377</v>
      </c>
      <c r="BC248" s="289" t="s">
        <v>377</v>
      </c>
      <c r="BD248" s="292"/>
    </row>
    <row r="249" ht="12.75" customHeight="1">
      <c r="A249" s="298">
        <v>46.0</v>
      </c>
      <c r="B249" s="297" t="s">
        <v>486</v>
      </c>
      <c r="C249" s="298" t="s">
        <v>567</v>
      </c>
      <c r="D249" s="298" t="s">
        <v>16</v>
      </c>
      <c r="E249" s="285" t="s">
        <v>577</v>
      </c>
      <c r="F249" s="292" t="s">
        <v>819</v>
      </c>
      <c r="G249" s="298" t="s">
        <v>21</v>
      </c>
      <c r="H249" s="298">
        <v>16.0</v>
      </c>
      <c r="I249" s="292" t="s">
        <v>497</v>
      </c>
      <c r="J249" s="292" t="s">
        <v>498</v>
      </c>
      <c r="K249" s="287" t="s">
        <v>508</v>
      </c>
      <c r="L249" s="292" t="s">
        <v>479</v>
      </c>
      <c r="M249" s="292" t="s">
        <v>481</v>
      </c>
      <c r="N249" s="292"/>
      <c r="O249" s="298" t="s">
        <v>497</v>
      </c>
      <c r="P249" s="292" t="s">
        <v>612</v>
      </c>
      <c r="Q249" s="299" t="s">
        <v>32</v>
      </c>
      <c r="R249" s="292" t="s">
        <v>377</v>
      </c>
      <c r="S249" s="295" t="s">
        <v>32</v>
      </c>
      <c r="T249" s="292" t="s">
        <v>377</v>
      </c>
      <c r="U249" s="292" t="s">
        <v>377</v>
      </c>
      <c r="V249" s="288" t="s">
        <v>377</v>
      </c>
      <c r="W249" s="292" t="s">
        <v>377</v>
      </c>
      <c r="X249" s="292" t="s">
        <v>377</v>
      </c>
      <c r="Y249" s="288" t="s">
        <v>377</v>
      </c>
      <c r="Z249" s="292" t="s">
        <v>377</v>
      </c>
      <c r="AA249" s="292" t="s">
        <v>377</v>
      </c>
      <c r="AB249" s="288" t="s">
        <v>377</v>
      </c>
      <c r="AC249" s="289" t="s">
        <v>377</v>
      </c>
      <c r="AD249" s="292" t="s">
        <v>18</v>
      </c>
      <c r="AE249" s="299" t="s">
        <v>32</v>
      </c>
      <c r="AF249" s="288" t="s">
        <v>377</v>
      </c>
      <c r="AG249" s="292" t="s">
        <v>377</v>
      </c>
      <c r="AH249" s="292" t="s">
        <v>377</v>
      </c>
      <c r="AI249" s="288" t="s">
        <v>377</v>
      </c>
      <c r="AJ249" s="292" t="s">
        <v>377</v>
      </c>
      <c r="AK249" s="292" t="s">
        <v>377</v>
      </c>
      <c r="AL249" s="288" t="s">
        <v>377</v>
      </c>
      <c r="AM249" s="292" t="s">
        <v>18</v>
      </c>
      <c r="AN249" s="292" t="s">
        <v>18</v>
      </c>
      <c r="AO249" s="288" t="s">
        <v>18</v>
      </c>
      <c r="AP249" s="289" t="s">
        <v>377</v>
      </c>
      <c r="AQ249" s="299" t="s">
        <v>32</v>
      </c>
      <c r="AR249" s="299" t="s">
        <v>32</v>
      </c>
      <c r="AS249" s="295" t="s">
        <v>32</v>
      </c>
      <c r="AT249" s="299" t="s">
        <v>32</v>
      </c>
      <c r="AU249" s="299" t="s">
        <v>32</v>
      </c>
      <c r="AV249" s="295" t="s">
        <v>32</v>
      </c>
      <c r="AW249" s="292" t="s">
        <v>377</v>
      </c>
      <c r="AX249" s="292" t="s">
        <v>377</v>
      </c>
      <c r="AY249" s="288" t="s">
        <v>377</v>
      </c>
      <c r="AZ249" s="299" t="s">
        <v>32</v>
      </c>
      <c r="BA249" s="299" t="s">
        <v>32</v>
      </c>
      <c r="BB249" s="288" t="s">
        <v>377</v>
      </c>
      <c r="BC249" s="296" t="s">
        <v>32</v>
      </c>
      <c r="BD249" s="292"/>
    </row>
    <row r="250" ht="12.75" customHeight="1">
      <c r="A250" s="298">
        <v>50.0</v>
      </c>
      <c r="B250" s="297" t="s">
        <v>486</v>
      </c>
      <c r="C250" s="298" t="s">
        <v>567</v>
      </c>
      <c r="D250" s="298" t="s">
        <v>16</v>
      </c>
      <c r="E250" s="285" t="s">
        <v>577</v>
      </c>
      <c r="F250" s="292" t="s">
        <v>820</v>
      </c>
      <c r="G250" s="298" t="s">
        <v>21</v>
      </c>
      <c r="H250" s="298">
        <v>17.0</v>
      </c>
      <c r="I250" s="292" t="s">
        <v>497</v>
      </c>
      <c r="J250" s="292" t="s">
        <v>498</v>
      </c>
      <c r="K250" s="287" t="s">
        <v>508</v>
      </c>
      <c r="L250" s="292" t="s">
        <v>479</v>
      </c>
      <c r="M250" s="292" t="s">
        <v>481</v>
      </c>
      <c r="N250" s="292"/>
      <c r="O250" s="298" t="s">
        <v>497</v>
      </c>
      <c r="P250" s="292" t="s">
        <v>612</v>
      </c>
      <c r="Q250" s="292" t="s">
        <v>377</v>
      </c>
      <c r="R250" s="292" t="s">
        <v>377</v>
      </c>
      <c r="S250" s="288" t="s">
        <v>377</v>
      </c>
      <c r="T250" s="299" t="s">
        <v>32</v>
      </c>
      <c r="U250" s="299" t="s">
        <v>32</v>
      </c>
      <c r="V250" s="295" t="s">
        <v>32</v>
      </c>
      <c r="W250" s="292" t="s">
        <v>18</v>
      </c>
      <c r="X250" s="292" t="s">
        <v>377</v>
      </c>
      <c r="Y250" s="288" t="s">
        <v>377</v>
      </c>
      <c r="Z250" s="292" t="s">
        <v>377</v>
      </c>
      <c r="AA250" s="292" t="s">
        <v>377</v>
      </c>
      <c r="AB250" s="288" t="s">
        <v>377</v>
      </c>
      <c r="AC250" s="289" t="s">
        <v>377</v>
      </c>
      <c r="AD250" s="292" t="s">
        <v>377</v>
      </c>
      <c r="AE250" s="292" t="s">
        <v>377</v>
      </c>
      <c r="AF250" s="288" t="s">
        <v>377</v>
      </c>
      <c r="AG250" s="292" t="s">
        <v>377</v>
      </c>
      <c r="AH250" s="292" t="s">
        <v>377</v>
      </c>
      <c r="AI250" s="288" t="s">
        <v>377</v>
      </c>
      <c r="AJ250" s="299" t="s">
        <v>32</v>
      </c>
      <c r="AK250" s="292" t="s">
        <v>377</v>
      </c>
      <c r="AL250" s="295" t="s">
        <v>32</v>
      </c>
      <c r="AM250" s="292" t="s">
        <v>377</v>
      </c>
      <c r="AN250" s="292" t="s">
        <v>377</v>
      </c>
      <c r="AO250" s="288" t="s">
        <v>377</v>
      </c>
      <c r="AP250" s="289" t="s">
        <v>377</v>
      </c>
      <c r="AQ250" s="299" t="s">
        <v>32</v>
      </c>
      <c r="AR250" s="299" t="s">
        <v>32</v>
      </c>
      <c r="AS250" s="295" t="s">
        <v>32</v>
      </c>
      <c r="AT250" s="299" t="s">
        <v>32</v>
      </c>
      <c r="AU250" s="299" t="s">
        <v>32</v>
      </c>
      <c r="AV250" s="295" t="s">
        <v>32</v>
      </c>
      <c r="AW250" s="292" t="s">
        <v>377</v>
      </c>
      <c r="AX250" s="292" t="s">
        <v>377</v>
      </c>
      <c r="AY250" s="288" t="s">
        <v>377</v>
      </c>
      <c r="AZ250" s="299" t="s">
        <v>32</v>
      </c>
      <c r="BA250" s="299" t="s">
        <v>32</v>
      </c>
      <c r="BB250" s="288" t="s">
        <v>377</v>
      </c>
      <c r="BC250" s="289" t="s">
        <v>377</v>
      </c>
      <c r="BD250" s="292"/>
    </row>
    <row r="251" ht="12.75" customHeight="1">
      <c r="A251" s="298">
        <v>52.0</v>
      </c>
      <c r="B251" s="297" t="s">
        <v>486</v>
      </c>
      <c r="C251" s="298" t="s">
        <v>567</v>
      </c>
      <c r="D251" s="298" t="s">
        <v>16</v>
      </c>
      <c r="E251" s="285" t="s">
        <v>577</v>
      </c>
      <c r="F251" s="292" t="s">
        <v>821</v>
      </c>
      <c r="G251" s="298" t="s">
        <v>21</v>
      </c>
      <c r="H251" s="298">
        <v>15.0</v>
      </c>
      <c r="I251" s="292" t="s">
        <v>497</v>
      </c>
      <c r="J251" s="292" t="s">
        <v>498</v>
      </c>
      <c r="K251" s="287" t="s">
        <v>508</v>
      </c>
      <c r="L251" s="292" t="s">
        <v>479</v>
      </c>
      <c r="M251" s="292" t="s">
        <v>481</v>
      </c>
      <c r="N251" s="292"/>
      <c r="O251" s="298" t="s">
        <v>497</v>
      </c>
      <c r="P251" s="292" t="s">
        <v>612</v>
      </c>
      <c r="Q251" s="299" t="s">
        <v>32</v>
      </c>
      <c r="R251" s="299" t="s">
        <v>32</v>
      </c>
      <c r="S251" s="295" t="s">
        <v>32</v>
      </c>
      <c r="T251" s="299" t="s">
        <v>32</v>
      </c>
      <c r="U251" s="299" t="s">
        <v>32</v>
      </c>
      <c r="V251" s="295" t="s">
        <v>32</v>
      </c>
      <c r="W251" s="299" t="s">
        <v>32</v>
      </c>
      <c r="X251" s="299" t="s">
        <v>32</v>
      </c>
      <c r="Y251" s="295" t="s">
        <v>32</v>
      </c>
      <c r="Z251" s="299" t="s">
        <v>32</v>
      </c>
      <c r="AA251" s="299" t="s">
        <v>32</v>
      </c>
      <c r="AB251" s="295" t="s">
        <v>32</v>
      </c>
      <c r="AC251" s="296" t="s">
        <v>32</v>
      </c>
      <c r="AD251" s="292" t="s">
        <v>377</v>
      </c>
      <c r="AE251" s="292" t="s">
        <v>377</v>
      </c>
      <c r="AF251" s="288" t="s">
        <v>377</v>
      </c>
      <c r="AG251" s="292" t="s">
        <v>377</v>
      </c>
      <c r="AH251" s="292" t="s">
        <v>377</v>
      </c>
      <c r="AI251" s="288" t="s">
        <v>377</v>
      </c>
      <c r="AJ251" s="292" t="s">
        <v>377</v>
      </c>
      <c r="AK251" s="292" t="s">
        <v>377</v>
      </c>
      <c r="AL251" s="288" t="s">
        <v>377</v>
      </c>
      <c r="AM251" s="292" t="s">
        <v>377</v>
      </c>
      <c r="AN251" s="292" t="s">
        <v>377</v>
      </c>
      <c r="AO251" s="288" t="s">
        <v>377</v>
      </c>
      <c r="AP251" s="289" t="s">
        <v>377</v>
      </c>
      <c r="AQ251" s="299" t="s">
        <v>32</v>
      </c>
      <c r="AR251" s="299" t="s">
        <v>32</v>
      </c>
      <c r="AS251" s="295" t="s">
        <v>32</v>
      </c>
      <c r="AT251" s="299" t="s">
        <v>32</v>
      </c>
      <c r="AU251" s="299" t="s">
        <v>32</v>
      </c>
      <c r="AV251" s="295" t="s">
        <v>32</v>
      </c>
      <c r="AW251" s="292" t="s">
        <v>377</v>
      </c>
      <c r="AX251" s="292" t="s">
        <v>377</v>
      </c>
      <c r="AY251" s="288" t="s">
        <v>377</v>
      </c>
      <c r="AZ251" s="299" t="s">
        <v>32</v>
      </c>
      <c r="BA251" s="299" t="s">
        <v>32</v>
      </c>
      <c r="BB251" s="288" t="s">
        <v>18</v>
      </c>
      <c r="BC251" s="289" t="s">
        <v>377</v>
      </c>
      <c r="BD251" s="292"/>
    </row>
    <row r="252" ht="12.75" customHeight="1">
      <c r="A252" s="298">
        <v>53.0</v>
      </c>
      <c r="B252" s="297" t="s">
        <v>486</v>
      </c>
      <c r="C252" s="298" t="s">
        <v>567</v>
      </c>
      <c r="D252" s="298" t="s">
        <v>16</v>
      </c>
      <c r="E252" s="285" t="s">
        <v>577</v>
      </c>
      <c r="F252" s="292" t="s">
        <v>822</v>
      </c>
      <c r="G252" s="298" t="s">
        <v>21</v>
      </c>
      <c r="H252" s="298">
        <v>17.0</v>
      </c>
      <c r="I252" s="292" t="s">
        <v>497</v>
      </c>
      <c r="J252" s="292" t="s">
        <v>498</v>
      </c>
      <c r="K252" s="287" t="s">
        <v>508</v>
      </c>
      <c r="L252" s="292" t="s">
        <v>479</v>
      </c>
      <c r="M252" s="292" t="s">
        <v>481</v>
      </c>
      <c r="N252" s="292"/>
      <c r="O252" s="298" t="s">
        <v>497</v>
      </c>
      <c r="P252" s="292" t="s">
        <v>612</v>
      </c>
      <c r="Q252" s="292" t="s">
        <v>377</v>
      </c>
      <c r="R252" s="292" t="s">
        <v>377</v>
      </c>
      <c r="S252" s="288" t="s">
        <v>377</v>
      </c>
      <c r="T252" s="292" t="s">
        <v>377</v>
      </c>
      <c r="U252" s="292" t="s">
        <v>377</v>
      </c>
      <c r="V252" s="288" t="s">
        <v>377</v>
      </c>
      <c r="W252" s="292" t="s">
        <v>377</v>
      </c>
      <c r="X252" s="292" t="s">
        <v>377</v>
      </c>
      <c r="Y252" s="288" t="s">
        <v>377</v>
      </c>
      <c r="Z252" s="292" t="s">
        <v>377</v>
      </c>
      <c r="AA252" s="292" t="s">
        <v>377</v>
      </c>
      <c r="AB252" s="288" t="s">
        <v>377</v>
      </c>
      <c r="AC252" s="289" t="s">
        <v>377</v>
      </c>
      <c r="AD252" s="292" t="s">
        <v>377</v>
      </c>
      <c r="AE252" s="292" t="s">
        <v>377</v>
      </c>
      <c r="AF252" s="288" t="s">
        <v>377</v>
      </c>
      <c r="AG252" s="292" t="s">
        <v>377</v>
      </c>
      <c r="AH252" s="292" t="s">
        <v>377</v>
      </c>
      <c r="AI252" s="288" t="s">
        <v>377</v>
      </c>
      <c r="AJ252" s="292" t="s">
        <v>377</v>
      </c>
      <c r="AK252" s="292" t="s">
        <v>377</v>
      </c>
      <c r="AL252" s="288" t="s">
        <v>377</v>
      </c>
      <c r="AM252" s="292" t="s">
        <v>377</v>
      </c>
      <c r="AN252" s="292" t="s">
        <v>377</v>
      </c>
      <c r="AO252" s="288" t="s">
        <v>377</v>
      </c>
      <c r="AP252" s="289" t="s">
        <v>377</v>
      </c>
      <c r="AQ252" s="292" t="s">
        <v>377</v>
      </c>
      <c r="AR252" s="299" t="s">
        <v>32</v>
      </c>
      <c r="AS252" s="295" t="s">
        <v>32</v>
      </c>
      <c r="AT252" s="299" t="s">
        <v>32</v>
      </c>
      <c r="AU252" s="299" t="s">
        <v>32</v>
      </c>
      <c r="AV252" s="295" t="s">
        <v>32</v>
      </c>
      <c r="AW252" s="299" t="s">
        <v>32</v>
      </c>
      <c r="AX252" s="292" t="s">
        <v>377</v>
      </c>
      <c r="AY252" s="295" t="s">
        <v>32</v>
      </c>
      <c r="AZ252" s="292" t="s">
        <v>377</v>
      </c>
      <c r="BA252" s="292" t="s">
        <v>377</v>
      </c>
      <c r="BB252" s="288" t="s">
        <v>377</v>
      </c>
      <c r="BC252" s="289" t="s">
        <v>377</v>
      </c>
      <c r="BD252" s="292"/>
    </row>
    <row r="253" ht="12.75" customHeight="1">
      <c r="A253" s="298">
        <v>58.0</v>
      </c>
      <c r="B253" s="297" t="s">
        <v>486</v>
      </c>
      <c r="C253" s="298" t="s">
        <v>567</v>
      </c>
      <c r="D253" s="298" t="s">
        <v>16</v>
      </c>
      <c r="E253" s="285" t="s">
        <v>577</v>
      </c>
      <c r="F253" s="292" t="s">
        <v>823</v>
      </c>
      <c r="G253" s="298" t="s">
        <v>21</v>
      </c>
      <c r="H253" s="298">
        <v>16.0</v>
      </c>
      <c r="I253" s="292" t="s">
        <v>497</v>
      </c>
      <c r="J253" s="292" t="s">
        <v>498</v>
      </c>
      <c r="K253" s="287" t="s">
        <v>508</v>
      </c>
      <c r="L253" s="292" t="s">
        <v>497</v>
      </c>
      <c r="M253" s="292" t="s">
        <v>638</v>
      </c>
      <c r="N253" s="292"/>
      <c r="O253" s="298" t="s">
        <v>497</v>
      </c>
      <c r="P253" s="292" t="s">
        <v>612</v>
      </c>
      <c r="Q253" s="292" t="s">
        <v>377</v>
      </c>
      <c r="R253" s="292" t="s">
        <v>18</v>
      </c>
      <c r="S253" s="288" t="s">
        <v>377</v>
      </c>
      <c r="T253" s="292" t="s">
        <v>18</v>
      </c>
      <c r="U253" s="292" t="s">
        <v>18</v>
      </c>
      <c r="V253" s="288" t="s">
        <v>18</v>
      </c>
      <c r="W253" s="292" t="s">
        <v>18</v>
      </c>
      <c r="X253" s="292" t="s">
        <v>18</v>
      </c>
      <c r="Y253" s="288" t="s">
        <v>18</v>
      </c>
      <c r="Z253" s="299" t="s">
        <v>32</v>
      </c>
      <c r="AA253" s="299" t="s">
        <v>32</v>
      </c>
      <c r="AB253" s="295" t="s">
        <v>32</v>
      </c>
      <c r="AC253" s="289" t="s">
        <v>377</v>
      </c>
      <c r="AD253" s="292" t="s">
        <v>377</v>
      </c>
      <c r="AE253" s="292" t="s">
        <v>377</v>
      </c>
      <c r="AF253" s="288" t="s">
        <v>377</v>
      </c>
      <c r="AG253" s="292" t="s">
        <v>18</v>
      </c>
      <c r="AH253" s="292" t="s">
        <v>18</v>
      </c>
      <c r="AI253" s="288" t="s">
        <v>18</v>
      </c>
      <c r="AJ253" s="299" t="s">
        <v>32</v>
      </c>
      <c r="AK253" s="292" t="s">
        <v>18</v>
      </c>
      <c r="AL253" s="288" t="s">
        <v>377</v>
      </c>
      <c r="AM253" s="292" t="s">
        <v>18</v>
      </c>
      <c r="AN253" s="292" t="s">
        <v>377</v>
      </c>
      <c r="AO253" s="288" t="s">
        <v>377</v>
      </c>
      <c r="AP253" s="289" t="s">
        <v>377</v>
      </c>
      <c r="AQ253" s="292" t="s">
        <v>377</v>
      </c>
      <c r="AR253" s="292" t="s">
        <v>18</v>
      </c>
      <c r="AS253" s="288" t="s">
        <v>377</v>
      </c>
      <c r="AT253" s="299" t="s">
        <v>32</v>
      </c>
      <c r="AU253" s="299" t="s">
        <v>32</v>
      </c>
      <c r="AV253" s="295" t="s">
        <v>32</v>
      </c>
      <c r="AW253" s="292" t="s">
        <v>377</v>
      </c>
      <c r="AX253" s="292" t="s">
        <v>377</v>
      </c>
      <c r="AY253" s="288" t="s">
        <v>377</v>
      </c>
      <c r="AZ253" s="292" t="s">
        <v>18</v>
      </c>
      <c r="BA253" s="292" t="s">
        <v>18</v>
      </c>
      <c r="BB253" s="288" t="s">
        <v>18</v>
      </c>
      <c r="BC253" s="289" t="s">
        <v>377</v>
      </c>
      <c r="BD253" s="292"/>
    </row>
    <row r="254" ht="12.75" customHeight="1">
      <c r="A254" s="293">
        <v>45260.37401890046</v>
      </c>
      <c r="B254" s="286" t="s">
        <v>504</v>
      </c>
      <c r="C254" s="287" t="s">
        <v>559</v>
      </c>
      <c r="D254" s="285" t="s">
        <v>16</v>
      </c>
      <c r="E254" s="285" t="s">
        <v>476</v>
      </c>
      <c r="F254" s="287" t="s">
        <v>824</v>
      </c>
      <c r="G254" s="285" t="s">
        <v>17</v>
      </c>
      <c r="H254" s="285">
        <v>11.0</v>
      </c>
      <c r="I254" s="287" t="s">
        <v>497</v>
      </c>
      <c r="J254" s="292"/>
      <c r="K254" s="287" t="s">
        <v>508</v>
      </c>
      <c r="L254" s="287" t="s">
        <v>497</v>
      </c>
      <c r="M254" s="292"/>
      <c r="N254" s="292"/>
      <c r="O254" s="292"/>
      <c r="P254" s="292"/>
      <c r="Q254" s="287" t="s">
        <v>18</v>
      </c>
      <c r="R254" s="287" t="s">
        <v>18</v>
      </c>
      <c r="S254" s="288" t="s">
        <v>18</v>
      </c>
      <c r="T254" s="287" t="s">
        <v>18</v>
      </c>
      <c r="U254" s="294" t="s">
        <v>32</v>
      </c>
      <c r="V254" s="288" t="s">
        <v>377</v>
      </c>
      <c r="W254" s="287" t="s">
        <v>18</v>
      </c>
      <c r="X254" s="287" t="s">
        <v>18</v>
      </c>
      <c r="Y254" s="288" t="s">
        <v>18</v>
      </c>
      <c r="Z254" s="287" t="s">
        <v>18</v>
      </c>
      <c r="AA254" s="287" t="s">
        <v>18</v>
      </c>
      <c r="AB254" s="288" t="s">
        <v>18</v>
      </c>
      <c r="AC254" s="289" t="s">
        <v>18</v>
      </c>
      <c r="AD254" s="287" t="s">
        <v>18</v>
      </c>
      <c r="AE254" s="294" t="s">
        <v>32</v>
      </c>
      <c r="AF254" s="288" t="s">
        <v>377</v>
      </c>
      <c r="AG254" s="287" t="s">
        <v>18</v>
      </c>
      <c r="AH254" s="287" t="s">
        <v>18</v>
      </c>
      <c r="AI254" s="288" t="s">
        <v>18</v>
      </c>
      <c r="AJ254" s="287" t="s">
        <v>18</v>
      </c>
      <c r="AK254" s="287" t="s">
        <v>18</v>
      </c>
      <c r="AL254" s="288" t="s">
        <v>18</v>
      </c>
      <c r="AM254" s="287" t="s">
        <v>18</v>
      </c>
      <c r="AN254" s="287" t="s">
        <v>18</v>
      </c>
      <c r="AO254" s="288" t="s">
        <v>18</v>
      </c>
      <c r="AP254" s="289" t="s">
        <v>18</v>
      </c>
      <c r="AQ254" s="294" t="s">
        <v>32</v>
      </c>
      <c r="AR254" s="287" t="s">
        <v>18</v>
      </c>
      <c r="AS254" s="288" t="s">
        <v>377</v>
      </c>
      <c r="AT254" s="294" t="s">
        <v>32</v>
      </c>
      <c r="AU254" s="294" t="s">
        <v>32</v>
      </c>
      <c r="AV254" s="295" t="s">
        <v>32</v>
      </c>
      <c r="AW254" s="287" t="s">
        <v>18</v>
      </c>
      <c r="AX254" s="294" t="s">
        <v>32</v>
      </c>
      <c r="AY254" s="288" t="s">
        <v>377</v>
      </c>
      <c r="AZ254" s="287" t="s">
        <v>18</v>
      </c>
      <c r="BA254" s="294" t="s">
        <v>32</v>
      </c>
      <c r="BB254" s="288" t="s">
        <v>18</v>
      </c>
      <c r="BC254" s="289" t="s">
        <v>377</v>
      </c>
      <c r="BD254" s="292"/>
    </row>
    <row r="255" ht="12.75" customHeight="1">
      <c r="A255" s="293">
        <v>45260.37861339121</v>
      </c>
      <c r="B255" s="286" t="s">
        <v>504</v>
      </c>
      <c r="C255" s="287" t="s">
        <v>559</v>
      </c>
      <c r="D255" s="285" t="s">
        <v>16</v>
      </c>
      <c r="E255" s="285" t="s">
        <v>476</v>
      </c>
      <c r="F255" s="287" t="s">
        <v>825</v>
      </c>
      <c r="G255" s="285" t="s">
        <v>21</v>
      </c>
      <c r="H255" s="285">
        <v>11.0</v>
      </c>
      <c r="I255" s="287" t="s">
        <v>497</v>
      </c>
      <c r="J255" s="292"/>
      <c r="K255" s="287" t="s">
        <v>508</v>
      </c>
      <c r="L255" s="287" t="s">
        <v>497</v>
      </c>
      <c r="M255" s="292"/>
      <c r="N255" s="292"/>
      <c r="O255" s="292"/>
      <c r="P255" s="292"/>
      <c r="Q255" s="287" t="s">
        <v>377</v>
      </c>
      <c r="R255" s="287" t="s">
        <v>18</v>
      </c>
      <c r="S255" s="288" t="s">
        <v>377</v>
      </c>
      <c r="T255" s="287" t="s">
        <v>18</v>
      </c>
      <c r="U255" s="294" t="s">
        <v>32</v>
      </c>
      <c r="V255" s="288" t="s">
        <v>377</v>
      </c>
      <c r="W255" s="287" t="s">
        <v>18</v>
      </c>
      <c r="X255" s="287" t="s">
        <v>377</v>
      </c>
      <c r="Y255" s="288" t="s">
        <v>377</v>
      </c>
      <c r="Z255" s="294" t="s">
        <v>32</v>
      </c>
      <c r="AA255" s="287" t="s">
        <v>18</v>
      </c>
      <c r="AB255" s="288" t="s">
        <v>377</v>
      </c>
      <c r="AC255" s="289" t="s">
        <v>377</v>
      </c>
      <c r="AD255" s="294" t="s">
        <v>32</v>
      </c>
      <c r="AE255" s="294" t="s">
        <v>32</v>
      </c>
      <c r="AF255" s="295" t="s">
        <v>32</v>
      </c>
      <c r="AG255" s="287" t="s">
        <v>18</v>
      </c>
      <c r="AH255" s="287" t="s">
        <v>18</v>
      </c>
      <c r="AI255" s="288" t="s">
        <v>18</v>
      </c>
      <c r="AJ255" s="287" t="s">
        <v>18</v>
      </c>
      <c r="AK255" s="287" t="s">
        <v>18</v>
      </c>
      <c r="AL255" s="288" t="s">
        <v>18</v>
      </c>
      <c r="AM255" s="287" t="s">
        <v>18</v>
      </c>
      <c r="AN255" s="287" t="s">
        <v>18</v>
      </c>
      <c r="AO255" s="288" t="s">
        <v>18</v>
      </c>
      <c r="AP255" s="289" t="s">
        <v>377</v>
      </c>
      <c r="AQ255" s="294" t="s">
        <v>32</v>
      </c>
      <c r="AR255" s="287" t="s">
        <v>18</v>
      </c>
      <c r="AS255" s="288" t="s">
        <v>377</v>
      </c>
      <c r="AT255" s="294" t="s">
        <v>32</v>
      </c>
      <c r="AU255" s="294" t="s">
        <v>32</v>
      </c>
      <c r="AV255" s="295" t="s">
        <v>32</v>
      </c>
      <c r="AW255" s="294" t="s">
        <v>32</v>
      </c>
      <c r="AX255" s="294" t="s">
        <v>32</v>
      </c>
      <c r="AY255" s="295" t="s">
        <v>32</v>
      </c>
      <c r="AZ255" s="287" t="s">
        <v>18</v>
      </c>
      <c r="BA255" s="287" t="s">
        <v>18</v>
      </c>
      <c r="BB255" s="288" t="s">
        <v>377</v>
      </c>
      <c r="BC255" s="296" t="s">
        <v>32</v>
      </c>
      <c r="BD255" s="292"/>
    </row>
    <row r="256" ht="12.75" customHeight="1">
      <c r="A256" s="293">
        <v>45260.38324734954</v>
      </c>
      <c r="B256" s="286" t="s">
        <v>504</v>
      </c>
      <c r="C256" s="287" t="s">
        <v>559</v>
      </c>
      <c r="D256" s="285" t="s">
        <v>16</v>
      </c>
      <c r="E256" s="285" t="s">
        <v>476</v>
      </c>
      <c r="F256" s="287" t="s">
        <v>826</v>
      </c>
      <c r="G256" s="285" t="s">
        <v>21</v>
      </c>
      <c r="H256" s="285">
        <v>12.0</v>
      </c>
      <c r="I256" s="287" t="s">
        <v>497</v>
      </c>
      <c r="J256" s="292"/>
      <c r="K256" s="287" t="s">
        <v>508</v>
      </c>
      <c r="L256" s="287" t="s">
        <v>497</v>
      </c>
      <c r="M256" s="292"/>
      <c r="N256" s="292"/>
      <c r="O256" s="292"/>
      <c r="P256" s="292"/>
      <c r="Q256" s="287" t="s">
        <v>377</v>
      </c>
      <c r="R256" s="294" t="s">
        <v>32</v>
      </c>
      <c r="S256" s="295" t="s">
        <v>32</v>
      </c>
      <c r="T256" s="294" t="s">
        <v>32</v>
      </c>
      <c r="U256" s="294" t="s">
        <v>32</v>
      </c>
      <c r="V256" s="295" t="s">
        <v>32</v>
      </c>
      <c r="W256" s="287" t="s">
        <v>377</v>
      </c>
      <c r="X256" s="287" t="s">
        <v>377</v>
      </c>
      <c r="Y256" s="288" t="s">
        <v>377</v>
      </c>
      <c r="Z256" s="294" t="s">
        <v>32</v>
      </c>
      <c r="AA256" s="287" t="s">
        <v>18</v>
      </c>
      <c r="AB256" s="288" t="s">
        <v>377</v>
      </c>
      <c r="AC256" s="289" t="s">
        <v>377</v>
      </c>
      <c r="AD256" s="294" t="s">
        <v>32</v>
      </c>
      <c r="AE256" s="294" t="s">
        <v>32</v>
      </c>
      <c r="AF256" s="295" t="s">
        <v>32</v>
      </c>
      <c r="AG256" s="287" t="s">
        <v>18</v>
      </c>
      <c r="AH256" s="287" t="s">
        <v>18</v>
      </c>
      <c r="AI256" s="288" t="s">
        <v>18</v>
      </c>
      <c r="AJ256" s="287" t="s">
        <v>18</v>
      </c>
      <c r="AK256" s="287" t="s">
        <v>18</v>
      </c>
      <c r="AL256" s="288" t="s">
        <v>18</v>
      </c>
      <c r="AM256" s="287" t="s">
        <v>18</v>
      </c>
      <c r="AN256" s="287" t="s">
        <v>18</v>
      </c>
      <c r="AO256" s="288" t="s">
        <v>18</v>
      </c>
      <c r="AP256" s="289" t="s">
        <v>377</v>
      </c>
      <c r="AQ256" s="294" t="s">
        <v>32</v>
      </c>
      <c r="AR256" s="287" t="s">
        <v>377</v>
      </c>
      <c r="AS256" s="295" t="s">
        <v>32</v>
      </c>
      <c r="AT256" s="294" t="s">
        <v>32</v>
      </c>
      <c r="AU256" s="294" t="s">
        <v>32</v>
      </c>
      <c r="AV256" s="295" t="s">
        <v>32</v>
      </c>
      <c r="AW256" s="287" t="s">
        <v>18</v>
      </c>
      <c r="AX256" s="294" t="s">
        <v>32</v>
      </c>
      <c r="AY256" s="288" t="s">
        <v>377</v>
      </c>
      <c r="AZ256" s="294" t="s">
        <v>32</v>
      </c>
      <c r="BA256" s="294" t="s">
        <v>32</v>
      </c>
      <c r="BB256" s="288" t="s">
        <v>18</v>
      </c>
      <c r="BC256" s="289" t="s">
        <v>377</v>
      </c>
      <c r="BD256" s="292"/>
    </row>
    <row r="257" ht="12.75" customHeight="1">
      <c r="A257" s="293">
        <v>45260.38675135416</v>
      </c>
      <c r="B257" s="286" t="s">
        <v>504</v>
      </c>
      <c r="C257" s="287" t="s">
        <v>559</v>
      </c>
      <c r="D257" s="285" t="s">
        <v>16</v>
      </c>
      <c r="E257" s="285" t="s">
        <v>476</v>
      </c>
      <c r="F257" s="287" t="s">
        <v>827</v>
      </c>
      <c r="G257" s="285" t="s">
        <v>21</v>
      </c>
      <c r="H257" s="285">
        <v>11.0</v>
      </c>
      <c r="I257" s="287" t="s">
        <v>497</v>
      </c>
      <c r="J257" s="292"/>
      <c r="K257" s="287" t="s">
        <v>508</v>
      </c>
      <c r="L257" s="287" t="s">
        <v>497</v>
      </c>
      <c r="M257" s="292"/>
      <c r="N257" s="292"/>
      <c r="O257" s="292"/>
      <c r="P257" s="292"/>
      <c r="Q257" s="287" t="s">
        <v>377</v>
      </c>
      <c r="R257" s="287" t="s">
        <v>18</v>
      </c>
      <c r="S257" s="288" t="s">
        <v>377</v>
      </c>
      <c r="T257" s="287" t="s">
        <v>18</v>
      </c>
      <c r="U257" s="294" t="s">
        <v>32</v>
      </c>
      <c r="V257" s="288" t="s">
        <v>377</v>
      </c>
      <c r="W257" s="287" t="s">
        <v>18</v>
      </c>
      <c r="X257" s="294" t="s">
        <v>32</v>
      </c>
      <c r="Y257" s="288" t="s">
        <v>377</v>
      </c>
      <c r="Z257" s="287" t="s">
        <v>18</v>
      </c>
      <c r="AA257" s="287" t="s">
        <v>18</v>
      </c>
      <c r="AB257" s="288" t="s">
        <v>18</v>
      </c>
      <c r="AC257" s="289" t="s">
        <v>377</v>
      </c>
      <c r="AD257" s="294" t="s">
        <v>32</v>
      </c>
      <c r="AE257" s="294" t="s">
        <v>32</v>
      </c>
      <c r="AF257" s="295" t="s">
        <v>32</v>
      </c>
      <c r="AG257" s="287" t="s">
        <v>18</v>
      </c>
      <c r="AH257" s="287" t="s">
        <v>18</v>
      </c>
      <c r="AI257" s="288" t="s">
        <v>18</v>
      </c>
      <c r="AJ257" s="287" t="s">
        <v>18</v>
      </c>
      <c r="AK257" s="287" t="s">
        <v>18</v>
      </c>
      <c r="AL257" s="288" t="s">
        <v>18</v>
      </c>
      <c r="AM257" s="287" t="s">
        <v>18</v>
      </c>
      <c r="AN257" s="287" t="s">
        <v>18</v>
      </c>
      <c r="AO257" s="288" t="s">
        <v>18</v>
      </c>
      <c r="AP257" s="289" t="s">
        <v>377</v>
      </c>
      <c r="AQ257" s="294" t="s">
        <v>32</v>
      </c>
      <c r="AR257" s="287" t="s">
        <v>18</v>
      </c>
      <c r="AS257" s="288" t="s">
        <v>377</v>
      </c>
      <c r="AT257" s="294" t="s">
        <v>32</v>
      </c>
      <c r="AU257" s="294" t="s">
        <v>32</v>
      </c>
      <c r="AV257" s="295" t="s">
        <v>32</v>
      </c>
      <c r="AW257" s="294" t="s">
        <v>32</v>
      </c>
      <c r="AX257" s="294" t="s">
        <v>32</v>
      </c>
      <c r="AY257" s="295" t="s">
        <v>32</v>
      </c>
      <c r="AZ257" s="287" t="s">
        <v>18</v>
      </c>
      <c r="BA257" s="294" t="s">
        <v>32</v>
      </c>
      <c r="BB257" s="288" t="s">
        <v>377</v>
      </c>
      <c r="BC257" s="296" t="s">
        <v>32</v>
      </c>
      <c r="BD257" s="292"/>
    </row>
    <row r="258" ht="12.75" customHeight="1">
      <c r="A258" s="293">
        <v>45260.40046451389</v>
      </c>
      <c r="B258" s="286" t="s">
        <v>504</v>
      </c>
      <c r="C258" s="287" t="s">
        <v>559</v>
      </c>
      <c r="D258" s="285" t="s">
        <v>16</v>
      </c>
      <c r="E258" s="285" t="s">
        <v>476</v>
      </c>
      <c r="F258" s="287" t="s">
        <v>828</v>
      </c>
      <c r="G258" s="285" t="s">
        <v>21</v>
      </c>
      <c r="H258" s="285">
        <v>12.0</v>
      </c>
      <c r="I258" s="287" t="s">
        <v>497</v>
      </c>
      <c r="J258" s="292"/>
      <c r="K258" s="287" t="s">
        <v>508</v>
      </c>
      <c r="L258" s="287" t="s">
        <v>497</v>
      </c>
      <c r="M258" s="292"/>
      <c r="N258" s="292"/>
      <c r="O258" s="292"/>
      <c r="P258" s="292"/>
      <c r="Q258" s="287" t="s">
        <v>377</v>
      </c>
      <c r="R258" s="287" t="s">
        <v>18</v>
      </c>
      <c r="S258" s="288" t="s">
        <v>377</v>
      </c>
      <c r="T258" s="287" t="s">
        <v>18</v>
      </c>
      <c r="U258" s="294" t="s">
        <v>32</v>
      </c>
      <c r="V258" s="288" t="s">
        <v>377</v>
      </c>
      <c r="W258" s="287" t="s">
        <v>18</v>
      </c>
      <c r="X258" s="294" t="s">
        <v>32</v>
      </c>
      <c r="Y258" s="288" t="s">
        <v>377</v>
      </c>
      <c r="Z258" s="287" t="s">
        <v>18</v>
      </c>
      <c r="AA258" s="287" t="s">
        <v>18</v>
      </c>
      <c r="AB258" s="288" t="s">
        <v>18</v>
      </c>
      <c r="AC258" s="289" t="s">
        <v>377</v>
      </c>
      <c r="AD258" s="294" t="s">
        <v>32</v>
      </c>
      <c r="AE258" s="294" t="s">
        <v>32</v>
      </c>
      <c r="AF258" s="295" t="s">
        <v>32</v>
      </c>
      <c r="AG258" s="287" t="s">
        <v>18</v>
      </c>
      <c r="AH258" s="287" t="s">
        <v>18</v>
      </c>
      <c r="AI258" s="288" t="s">
        <v>18</v>
      </c>
      <c r="AJ258" s="287" t="s">
        <v>18</v>
      </c>
      <c r="AK258" s="287" t="s">
        <v>18</v>
      </c>
      <c r="AL258" s="288" t="s">
        <v>18</v>
      </c>
      <c r="AM258" s="287" t="s">
        <v>18</v>
      </c>
      <c r="AN258" s="287" t="s">
        <v>18</v>
      </c>
      <c r="AO258" s="288" t="s">
        <v>18</v>
      </c>
      <c r="AP258" s="289" t="s">
        <v>377</v>
      </c>
      <c r="AQ258" s="294" t="s">
        <v>32</v>
      </c>
      <c r="AR258" s="287" t="s">
        <v>18</v>
      </c>
      <c r="AS258" s="288" t="s">
        <v>377</v>
      </c>
      <c r="AT258" s="294" t="s">
        <v>32</v>
      </c>
      <c r="AU258" s="294" t="s">
        <v>32</v>
      </c>
      <c r="AV258" s="295" t="s">
        <v>32</v>
      </c>
      <c r="AW258" s="294" t="s">
        <v>32</v>
      </c>
      <c r="AX258" s="294" t="s">
        <v>32</v>
      </c>
      <c r="AY258" s="295" t="s">
        <v>32</v>
      </c>
      <c r="AZ258" s="294" t="s">
        <v>32</v>
      </c>
      <c r="BA258" s="294" t="s">
        <v>32</v>
      </c>
      <c r="BB258" s="288" t="s">
        <v>377</v>
      </c>
      <c r="BC258" s="289" t="s">
        <v>377</v>
      </c>
      <c r="BD258" s="292"/>
    </row>
    <row r="259" ht="12.75" customHeight="1">
      <c r="A259" s="293">
        <v>45260.41214696759</v>
      </c>
      <c r="B259" s="286" t="s">
        <v>504</v>
      </c>
      <c r="C259" s="287" t="s">
        <v>559</v>
      </c>
      <c r="D259" s="285" t="s">
        <v>16</v>
      </c>
      <c r="E259" s="285" t="s">
        <v>476</v>
      </c>
      <c r="F259" s="287" t="s">
        <v>829</v>
      </c>
      <c r="G259" s="285" t="s">
        <v>21</v>
      </c>
      <c r="H259" s="285">
        <v>12.0</v>
      </c>
      <c r="I259" s="287" t="s">
        <v>497</v>
      </c>
      <c r="J259" s="292"/>
      <c r="K259" s="287" t="s">
        <v>508</v>
      </c>
      <c r="L259" s="287" t="s">
        <v>497</v>
      </c>
      <c r="M259" s="292"/>
      <c r="N259" s="292"/>
      <c r="O259" s="292"/>
      <c r="P259" s="292"/>
      <c r="Q259" s="287" t="s">
        <v>18</v>
      </c>
      <c r="R259" s="287" t="s">
        <v>18</v>
      </c>
      <c r="S259" s="288" t="s">
        <v>18</v>
      </c>
      <c r="T259" s="287" t="s">
        <v>18</v>
      </c>
      <c r="U259" s="294" t="s">
        <v>32</v>
      </c>
      <c r="V259" s="288" t="s">
        <v>377</v>
      </c>
      <c r="W259" s="287" t="s">
        <v>18</v>
      </c>
      <c r="X259" s="287" t="s">
        <v>18</v>
      </c>
      <c r="Y259" s="288" t="s">
        <v>18</v>
      </c>
      <c r="Z259" s="287" t="s">
        <v>18</v>
      </c>
      <c r="AA259" s="287" t="s">
        <v>18</v>
      </c>
      <c r="AB259" s="288" t="s">
        <v>18</v>
      </c>
      <c r="AC259" s="289" t="s">
        <v>18</v>
      </c>
      <c r="AD259" s="294" t="s">
        <v>32</v>
      </c>
      <c r="AE259" s="294" t="s">
        <v>32</v>
      </c>
      <c r="AF259" s="295" t="s">
        <v>32</v>
      </c>
      <c r="AG259" s="287" t="s">
        <v>18</v>
      </c>
      <c r="AH259" s="287" t="s">
        <v>18</v>
      </c>
      <c r="AI259" s="288" t="s">
        <v>18</v>
      </c>
      <c r="AJ259" s="287" t="s">
        <v>18</v>
      </c>
      <c r="AK259" s="287" t="s">
        <v>18</v>
      </c>
      <c r="AL259" s="288" t="s">
        <v>18</v>
      </c>
      <c r="AM259" s="287" t="s">
        <v>18</v>
      </c>
      <c r="AN259" s="287" t="s">
        <v>18</v>
      </c>
      <c r="AO259" s="288" t="s">
        <v>18</v>
      </c>
      <c r="AP259" s="289" t="s">
        <v>377</v>
      </c>
      <c r="AQ259" s="294" t="s">
        <v>32</v>
      </c>
      <c r="AR259" s="287" t="s">
        <v>18</v>
      </c>
      <c r="AS259" s="288" t="s">
        <v>377</v>
      </c>
      <c r="AT259" s="294" t="s">
        <v>32</v>
      </c>
      <c r="AU259" s="294" t="s">
        <v>32</v>
      </c>
      <c r="AV259" s="295" t="s">
        <v>32</v>
      </c>
      <c r="AW259" s="287" t="s">
        <v>18</v>
      </c>
      <c r="AX259" s="294" t="s">
        <v>32</v>
      </c>
      <c r="AY259" s="288" t="s">
        <v>377</v>
      </c>
      <c r="AZ259" s="287" t="s">
        <v>18</v>
      </c>
      <c r="BA259" s="294" t="s">
        <v>32</v>
      </c>
      <c r="BB259" s="288" t="s">
        <v>377</v>
      </c>
      <c r="BC259" s="289" t="s">
        <v>377</v>
      </c>
      <c r="BD259" s="292"/>
    </row>
    <row r="260" ht="12.75" customHeight="1">
      <c r="A260" s="293">
        <v>45260.41673067129</v>
      </c>
      <c r="B260" s="286" t="s">
        <v>504</v>
      </c>
      <c r="C260" s="287" t="s">
        <v>559</v>
      </c>
      <c r="D260" s="285" t="s">
        <v>16</v>
      </c>
      <c r="E260" s="285" t="s">
        <v>476</v>
      </c>
      <c r="F260" s="287" t="s">
        <v>830</v>
      </c>
      <c r="G260" s="285" t="s">
        <v>17</v>
      </c>
      <c r="H260" s="285">
        <v>12.0</v>
      </c>
      <c r="I260" s="287" t="s">
        <v>497</v>
      </c>
      <c r="J260" s="292"/>
      <c r="K260" s="287" t="s">
        <v>508</v>
      </c>
      <c r="L260" s="287" t="s">
        <v>497</v>
      </c>
      <c r="M260" s="292"/>
      <c r="N260" s="292"/>
      <c r="O260" s="292"/>
      <c r="P260" s="292"/>
      <c r="Q260" s="287" t="s">
        <v>18</v>
      </c>
      <c r="R260" s="287" t="s">
        <v>18</v>
      </c>
      <c r="S260" s="288" t="s">
        <v>18</v>
      </c>
      <c r="T260" s="287" t="s">
        <v>18</v>
      </c>
      <c r="U260" s="294" t="s">
        <v>32</v>
      </c>
      <c r="V260" s="288" t="s">
        <v>377</v>
      </c>
      <c r="W260" s="287" t="s">
        <v>18</v>
      </c>
      <c r="X260" s="287" t="s">
        <v>18</v>
      </c>
      <c r="Y260" s="288" t="s">
        <v>18</v>
      </c>
      <c r="Z260" s="287" t="s">
        <v>18</v>
      </c>
      <c r="AA260" s="287" t="s">
        <v>18</v>
      </c>
      <c r="AB260" s="288" t="s">
        <v>18</v>
      </c>
      <c r="AC260" s="289" t="s">
        <v>18</v>
      </c>
      <c r="AD260" s="294" t="s">
        <v>32</v>
      </c>
      <c r="AE260" s="294" t="s">
        <v>32</v>
      </c>
      <c r="AF260" s="295" t="s">
        <v>32</v>
      </c>
      <c r="AG260" s="287" t="s">
        <v>18</v>
      </c>
      <c r="AH260" s="287" t="s">
        <v>18</v>
      </c>
      <c r="AI260" s="288" t="s">
        <v>18</v>
      </c>
      <c r="AJ260" s="287" t="s">
        <v>18</v>
      </c>
      <c r="AK260" s="287" t="s">
        <v>18</v>
      </c>
      <c r="AL260" s="288" t="s">
        <v>18</v>
      </c>
      <c r="AM260" s="287" t="s">
        <v>18</v>
      </c>
      <c r="AN260" s="287" t="s">
        <v>18</v>
      </c>
      <c r="AO260" s="288" t="s">
        <v>18</v>
      </c>
      <c r="AP260" s="289" t="s">
        <v>377</v>
      </c>
      <c r="AQ260" s="294" t="s">
        <v>32</v>
      </c>
      <c r="AR260" s="287" t="s">
        <v>18</v>
      </c>
      <c r="AS260" s="288" t="s">
        <v>377</v>
      </c>
      <c r="AT260" s="294" t="s">
        <v>32</v>
      </c>
      <c r="AU260" s="294" t="s">
        <v>32</v>
      </c>
      <c r="AV260" s="295" t="s">
        <v>32</v>
      </c>
      <c r="AW260" s="287" t="s">
        <v>18</v>
      </c>
      <c r="AX260" s="294" t="s">
        <v>32</v>
      </c>
      <c r="AY260" s="288" t="s">
        <v>377</v>
      </c>
      <c r="AZ260" s="287" t="s">
        <v>18</v>
      </c>
      <c r="BA260" s="294" t="s">
        <v>32</v>
      </c>
      <c r="BB260" s="288" t="s">
        <v>18</v>
      </c>
      <c r="BC260" s="289" t="s">
        <v>18</v>
      </c>
      <c r="BD260" s="292"/>
    </row>
    <row r="261" ht="12.75" customHeight="1">
      <c r="A261" s="293">
        <v>45260.464231226855</v>
      </c>
      <c r="B261" s="286" t="s">
        <v>504</v>
      </c>
      <c r="C261" s="287" t="s">
        <v>559</v>
      </c>
      <c r="D261" s="285" t="s">
        <v>16</v>
      </c>
      <c r="E261" s="285" t="s">
        <v>476</v>
      </c>
      <c r="F261" s="287" t="s">
        <v>831</v>
      </c>
      <c r="G261" s="285" t="s">
        <v>17</v>
      </c>
      <c r="H261" s="285">
        <v>12.0</v>
      </c>
      <c r="I261" s="287" t="s">
        <v>497</v>
      </c>
      <c r="J261" s="292"/>
      <c r="K261" s="287" t="s">
        <v>508</v>
      </c>
      <c r="L261" s="287" t="s">
        <v>497</v>
      </c>
      <c r="M261" s="292"/>
      <c r="N261" s="292"/>
      <c r="O261" s="292"/>
      <c r="P261" s="292"/>
      <c r="Q261" s="287" t="s">
        <v>377</v>
      </c>
      <c r="R261" s="287" t="s">
        <v>377</v>
      </c>
      <c r="S261" s="288" t="s">
        <v>377</v>
      </c>
      <c r="T261" s="294" t="s">
        <v>32</v>
      </c>
      <c r="U261" s="294" t="s">
        <v>32</v>
      </c>
      <c r="V261" s="295" t="s">
        <v>32</v>
      </c>
      <c r="W261" s="287" t="s">
        <v>18</v>
      </c>
      <c r="X261" s="287" t="s">
        <v>18</v>
      </c>
      <c r="Y261" s="288" t="s">
        <v>18</v>
      </c>
      <c r="Z261" s="294" t="s">
        <v>32</v>
      </c>
      <c r="AA261" s="287" t="s">
        <v>18</v>
      </c>
      <c r="AB261" s="288" t="s">
        <v>377</v>
      </c>
      <c r="AC261" s="289" t="s">
        <v>377</v>
      </c>
      <c r="AD261" s="294" t="s">
        <v>32</v>
      </c>
      <c r="AE261" s="294" t="s">
        <v>32</v>
      </c>
      <c r="AF261" s="295" t="s">
        <v>32</v>
      </c>
      <c r="AG261" s="287" t="s">
        <v>18</v>
      </c>
      <c r="AH261" s="287" t="s">
        <v>18</v>
      </c>
      <c r="AI261" s="288" t="s">
        <v>18</v>
      </c>
      <c r="AJ261" s="287" t="s">
        <v>18</v>
      </c>
      <c r="AK261" s="287" t="s">
        <v>18</v>
      </c>
      <c r="AL261" s="288" t="s">
        <v>18</v>
      </c>
      <c r="AM261" s="287" t="s">
        <v>18</v>
      </c>
      <c r="AN261" s="287" t="s">
        <v>18</v>
      </c>
      <c r="AO261" s="288" t="s">
        <v>18</v>
      </c>
      <c r="AP261" s="289" t="s">
        <v>377</v>
      </c>
      <c r="AQ261" s="294" t="s">
        <v>32</v>
      </c>
      <c r="AR261" s="287" t="s">
        <v>18</v>
      </c>
      <c r="AS261" s="288" t="s">
        <v>377</v>
      </c>
      <c r="AT261" s="294" t="s">
        <v>32</v>
      </c>
      <c r="AU261" s="294" t="s">
        <v>32</v>
      </c>
      <c r="AV261" s="295" t="s">
        <v>32</v>
      </c>
      <c r="AW261" s="287" t="s">
        <v>18</v>
      </c>
      <c r="AX261" s="294" t="s">
        <v>32</v>
      </c>
      <c r="AY261" s="288" t="s">
        <v>377</v>
      </c>
      <c r="AZ261" s="287" t="s">
        <v>18</v>
      </c>
      <c r="BA261" s="294" t="s">
        <v>32</v>
      </c>
      <c r="BB261" s="288" t="s">
        <v>377</v>
      </c>
      <c r="BC261" s="289" t="s">
        <v>377</v>
      </c>
      <c r="BD261" s="292"/>
    </row>
    <row r="262" ht="12.75" customHeight="1">
      <c r="A262" s="293">
        <v>45260.47356982639</v>
      </c>
      <c r="B262" s="286" t="s">
        <v>504</v>
      </c>
      <c r="C262" s="287" t="s">
        <v>559</v>
      </c>
      <c r="D262" s="285" t="s">
        <v>16</v>
      </c>
      <c r="E262" s="285" t="s">
        <v>476</v>
      </c>
      <c r="F262" s="287" t="s">
        <v>832</v>
      </c>
      <c r="G262" s="285" t="s">
        <v>17</v>
      </c>
      <c r="H262" s="285">
        <v>11.0</v>
      </c>
      <c r="I262" s="287" t="s">
        <v>497</v>
      </c>
      <c r="J262" s="292"/>
      <c r="K262" s="287" t="s">
        <v>508</v>
      </c>
      <c r="L262" s="287" t="s">
        <v>497</v>
      </c>
      <c r="M262" s="292"/>
      <c r="N262" s="292"/>
      <c r="O262" s="292"/>
      <c r="P262" s="292"/>
      <c r="Q262" s="287" t="s">
        <v>18</v>
      </c>
      <c r="R262" s="287" t="s">
        <v>18</v>
      </c>
      <c r="S262" s="288" t="s">
        <v>18</v>
      </c>
      <c r="T262" s="287" t="s">
        <v>18</v>
      </c>
      <c r="U262" s="294" t="s">
        <v>32</v>
      </c>
      <c r="V262" s="288" t="s">
        <v>377</v>
      </c>
      <c r="W262" s="287" t="s">
        <v>18</v>
      </c>
      <c r="X262" s="287" t="s">
        <v>18</v>
      </c>
      <c r="Y262" s="288" t="s">
        <v>18</v>
      </c>
      <c r="Z262" s="287" t="s">
        <v>18</v>
      </c>
      <c r="AA262" s="287" t="s">
        <v>18</v>
      </c>
      <c r="AB262" s="288" t="s">
        <v>18</v>
      </c>
      <c r="AC262" s="289" t="s">
        <v>18</v>
      </c>
      <c r="AD262" s="287" t="s">
        <v>377</v>
      </c>
      <c r="AE262" s="294" t="s">
        <v>32</v>
      </c>
      <c r="AF262" s="295" t="s">
        <v>32</v>
      </c>
      <c r="AG262" s="287" t="s">
        <v>18</v>
      </c>
      <c r="AH262" s="287" t="s">
        <v>18</v>
      </c>
      <c r="AI262" s="288" t="s">
        <v>18</v>
      </c>
      <c r="AJ262" s="287" t="s">
        <v>18</v>
      </c>
      <c r="AK262" s="287" t="s">
        <v>18</v>
      </c>
      <c r="AL262" s="288" t="s">
        <v>18</v>
      </c>
      <c r="AM262" s="287" t="s">
        <v>18</v>
      </c>
      <c r="AN262" s="287" t="s">
        <v>18</v>
      </c>
      <c r="AO262" s="288" t="s">
        <v>18</v>
      </c>
      <c r="AP262" s="289" t="s">
        <v>18</v>
      </c>
      <c r="AQ262" s="294" t="s">
        <v>32</v>
      </c>
      <c r="AR262" s="287" t="s">
        <v>18</v>
      </c>
      <c r="AS262" s="288" t="s">
        <v>377</v>
      </c>
      <c r="AT262" s="294" t="s">
        <v>32</v>
      </c>
      <c r="AU262" s="294" t="s">
        <v>32</v>
      </c>
      <c r="AV262" s="295" t="s">
        <v>32</v>
      </c>
      <c r="AW262" s="287" t="s">
        <v>18</v>
      </c>
      <c r="AX262" s="294" t="s">
        <v>32</v>
      </c>
      <c r="AY262" s="288" t="s">
        <v>377</v>
      </c>
      <c r="AZ262" s="287" t="s">
        <v>18</v>
      </c>
      <c r="BA262" s="294" t="s">
        <v>32</v>
      </c>
      <c r="BB262" s="288" t="s">
        <v>18</v>
      </c>
      <c r="BC262" s="289" t="s">
        <v>18</v>
      </c>
      <c r="BD262" s="292"/>
    </row>
    <row r="263" ht="12.75" customHeight="1">
      <c r="A263" s="293">
        <v>45260.498987569445</v>
      </c>
      <c r="B263" s="286" t="s">
        <v>504</v>
      </c>
      <c r="C263" s="287" t="s">
        <v>559</v>
      </c>
      <c r="D263" s="285" t="s">
        <v>16</v>
      </c>
      <c r="E263" s="285" t="s">
        <v>476</v>
      </c>
      <c r="F263" s="287" t="s">
        <v>833</v>
      </c>
      <c r="G263" s="285" t="s">
        <v>21</v>
      </c>
      <c r="H263" s="285">
        <v>13.0</v>
      </c>
      <c r="I263" s="287" t="s">
        <v>497</v>
      </c>
      <c r="J263" s="292"/>
      <c r="K263" s="287" t="s">
        <v>508</v>
      </c>
      <c r="L263" s="287" t="s">
        <v>497</v>
      </c>
      <c r="M263" s="292"/>
      <c r="N263" s="292"/>
      <c r="O263" s="292"/>
      <c r="P263" s="292"/>
      <c r="Q263" s="287" t="s">
        <v>18</v>
      </c>
      <c r="R263" s="287" t="s">
        <v>18</v>
      </c>
      <c r="S263" s="288" t="s">
        <v>18</v>
      </c>
      <c r="T263" s="287" t="s">
        <v>377</v>
      </c>
      <c r="U263" s="294" t="s">
        <v>32</v>
      </c>
      <c r="V263" s="295" t="s">
        <v>32</v>
      </c>
      <c r="W263" s="287" t="s">
        <v>18</v>
      </c>
      <c r="X263" s="287" t="s">
        <v>18</v>
      </c>
      <c r="Y263" s="288" t="s">
        <v>18</v>
      </c>
      <c r="Z263" s="287" t="s">
        <v>18</v>
      </c>
      <c r="AA263" s="287" t="s">
        <v>18</v>
      </c>
      <c r="AB263" s="288" t="s">
        <v>18</v>
      </c>
      <c r="AC263" s="289" t="s">
        <v>18</v>
      </c>
      <c r="AD263" s="287" t="s">
        <v>377</v>
      </c>
      <c r="AE263" s="294" t="s">
        <v>32</v>
      </c>
      <c r="AF263" s="295" t="s">
        <v>32</v>
      </c>
      <c r="AG263" s="287" t="s">
        <v>18</v>
      </c>
      <c r="AH263" s="287" t="s">
        <v>18</v>
      </c>
      <c r="AI263" s="288" t="s">
        <v>18</v>
      </c>
      <c r="AJ263" s="287" t="s">
        <v>18</v>
      </c>
      <c r="AK263" s="287" t="s">
        <v>18</v>
      </c>
      <c r="AL263" s="288" t="s">
        <v>18</v>
      </c>
      <c r="AM263" s="287" t="s">
        <v>18</v>
      </c>
      <c r="AN263" s="287" t="s">
        <v>18</v>
      </c>
      <c r="AO263" s="288" t="s">
        <v>18</v>
      </c>
      <c r="AP263" s="289" t="s">
        <v>18</v>
      </c>
      <c r="AQ263" s="294" t="s">
        <v>32</v>
      </c>
      <c r="AR263" s="287" t="s">
        <v>18</v>
      </c>
      <c r="AS263" s="288" t="s">
        <v>377</v>
      </c>
      <c r="AT263" s="294" t="s">
        <v>32</v>
      </c>
      <c r="AU263" s="294" t="s">
        <v>32</v>
      </c>
      <c r="AV263" s="295" t="s">
        <v>32</v>
      </c>
      <c r="AW263" s="287" t="s">
        <v>18</v>
      </c>
      <c r="AX263" s="287" t="s">
        <v>18</v>
      </c>
      <c r="AY263" s="288" t="s">
        <v>18</v>
      </c>
      <c r="AZ263" s="294" t="s">
        <v>32</v>
      </c>
      <c r="BA263" s="294" t="s">
        <v>32</v>
      </c>
      <c r="BB263" s="288" t="s">
        <v>377</v>
      </c>
      <c r="BC263" s="289" t="s">
        <v>377</v>
      </c>
      <c r="BD263" s="292"/>
    </row>
    <row r="264" ht="12.75" customHeight="1">
      <c r="A264" s="293">
        <v>45260.5029459838</v>
      </c>
      <c r="B264" s="286" t="s">
        <v>504</v>
      </c>
      <c r="C264" s="287" t="s">
        <v>559</v>
      </c>
      <c r="D264" s="285" t="s">
        <v>16</v>
      </c>
      <c r="E264" s="285" t="s">
        <v>476</v>
      </c>
      <c r="F264" s="287" t="s">
        <v>834</v>
      </c>
      <c r="G264" s="285" t="s">
        <v>17</v>
      </c>
      <c r="H264" s="285">
        <v>11.0</v>
      </c>
      <c r="I264" s="287" t="s">
        <v>497</v>
      </c>
      <c r="J264" s="292"/>
      <c r="K264" s="287" t="s">
        <v>508</v>
      </c>
      <c r="L264" s="287" t="s">
        <v>497</v>
      </c>
      <c r="M264" s="292"/>
      <c r="N264" s="292"/>
      <c r="O264" s="292"/>
      <c r="P264" s="292"/>
      <c r="Q264" s="287" t="s">
        <v>377</v>
      </c>
      <c r="R264" s="287" t="s">
        <v>377</v>
      </c>
      <c r="S264" s="288" t="s">
        <v>377</v>
      </c>
      <c r="T264" s="287" t="s">
        <v>18</v>
      </c>
      <c r="U264" s="294" t="s">
        <v>32</v>
      </c>
      <c r="V264" s="288" t="s">
        <v>377</v>
      </c>
      <c r="W264" s="287" t="s">
        <v>377</v>
      </c>
      <c r="X264" s="287" t="s">
        <v>18</v>
      </c>
      <c r="Y264" s="288" t="s">
        <v>377</v>
      </c>
      <c r="Z264" s="287" t="s">
        <v>18</v>
      </c>
      <c r="AA264" s="287" t="s">
        <v>18</v>
      </c>
      <c r="AB264" s="288" t="s">
        <v>18</v>
      </c>
      <c r="AC264" s="289" t="s">
        <v>377</v>
      </c>
      <c r="AD264" s="287" t="s">
        <v>377</v>
      </c>
      <c r="AE264" s="294" t="s">
        <v>32</v>
      </c>
      <c r="AF264" s="295" t="s">
        <v>32</v>
      </c>
      <c r="AG264" s="287" t="s">
        <v>18</v>
      </c>
      <c r="AH264" s="287" t="s">
        <v>18</v>
      </c>
      <c r="AI264" s="288" t="s">
        <v>18</v>
      </c>
      <c r="AJ264" s="287" t="s">
        <v>18</v>
      </c>
      <c r="AK264" s="287" t="s">
        <v>18</v>
      </c>
      <c r="AL264" s="288" t="s">
        <v>18</v>
      </c>
      <c r="AM264" s="287" t="s">
        <v>18</v>
      </c>
      <c r="AN264" s="287" t="s">
        <v>18</v>
      </c>
      <c r="AO264" s="288" t="s">
        <v>18</v>
      </c>
      <c r="AP264" s="289" t="s">
        <v>18</v>
      </c>
      <c r="AQ264" s="294" t="s">
        <v>32</v>
      </c>
      <c r="AR264" s="287" t="s">
        <v>18</v>
      </c>
      <c r="AS264" s="288" t="s">
        <v>377</v>
      </c>
      <c r="AT264" s="294" t="s">
        <v>32</v>
      </c>
      <c r="AU264" s="287" t="s">
        <v>18</v>
      </c>
      <c r="AV264" s="288" t="s">
        <v>377</v>
      </c>
      <c r="AW264" s="287" t="s">
        <v>18</v>
      </c>
      <c r="AX264" s="287" t="s">
        <v>18</v>
      </c>
      <c r="AY264" s="288" t="s">
        <v>18</v>
      </c>
      <c r="AZ264" s="287" t="s">
        <v>18</v>
      </c>
      <c r="BA264" s="294" t="s">
        <v>32</v>
      </c>
      <c r="BB264" s="288" t="s">
        <v>18</v>
      </c>
      <c r="BC264" s="289" t="s">
        <v>377</v>
      </c>
      <c r="BD264" s="292"/>
    </row>
    <row r="265" ht="12.75" customHeight="1">
      <c r="A265" s="293">
        <v>45260.50770674768</v>
      </c>
      <c r="B265" s="286" t="s">
        <v>504</v>
      </c>
      <c r="C265" s="287" t="s">
        <v>559</v>
      </c>
      <c r="D265" s="285" t="s">
        <v>16</v>
      </c>
      <c r="E265" s="285" t="s">
        <v>476</v>
      </c>
      <c r="F265" s="287" t="s">
        <v>835</v>
      </c>
      <c r="G265" s="285" t="s">
        <v>21</v>
      </c>
      <c r="H265" s="285">
        <v>12.0</v>
      </c>
      <c r="I265" s="287" t="s">
        <v>497</v>
      </c>
      <c r="J265" s="292"/>
      <c r="K265" s="287" t="s">
        <v>508</v>
      </c>
      <c r="L265" s="287" t="s">
        <v>497</v>
      </c>
      <c r="M265" s="292"/>
      <c r="N265" s="292"/>
      <c r="O265" s="292"/>
      <c r="P265" s="292"/>
      <c r="Q265" s="287" t="s">
        <v>18</v>
      </c>
      <c r="R265" s="287" t="s">
        <v>18</v>
      </c>
      <c r="S265" s="288" t="s">
        <v>18</v>
      </c>
      <c r="T265" s="287" t="s">
        <v>377</v>
      </c>
      <c r="U265" s="294" t="s">
        <v>32</v>
      </c>
      <c r="V265" s="295" t="s">
        <v>32</v>
      </c>
      <c r="W265" s="287" t="s">
        <v>18</v>
      </c>
      <c r="X265" s="287" t="s">
        <v>18</v>
      </c>
      <c r="Y265" s="288" t="s">
        <v>18</v>
      </c>
      <c r="Z265" s="287" t="s">
        <v>18</v>
      </c>
      <c r="AA265" s="287" t="s">
        <v>18</v>
      </c>
      <c r="AB265" s="288" t="s">
        <v>18</v>
      </c>
      <c r="AC265" s="289" t="s">
        <v>18</v>
      </c>
      <c r="AD265" s="287" t="s">
        <v>377</v>
      </c>
      <c r="AE265" s="294" t="s">
        <v>32</v>
      </c>
      <c r="AF265" s="295" t="s">
        <v>32</v>
      </c>
      <c r="AG265" s="287" t="s">
        <v>18</v>
      </c>
      <c r="AH265" s="287" t="s">
        <v>18</v>
      </c>
      <c r="AI265" s="288" t="s">
        <v>18</v>
      </c>
      <c r="AJ265" s="287" t="s">
        <v>18</v>
      </c>
      <c r="AK265" s="287" t="s">
        <v>18</v>
      </c>
      <c r="AL265" s="288" t="s">
        <v>18</v>
      </c>
      <c r="AM265" s="287" t="s">
        <v>18</v>
      </c>
      <c r="AN265" s="287" t="s">
        <v>18</v>
      </c>
      <c r="AO265" s="288" t="s">
        <v>18</v>
      </c>
      <c r="AP265" s="289" t="s">
        <v>18</v>
      </c>
      <c r="AQ265" s="294" t="s">
        <v>32</v>
      </c>
      <c r="AR265" s="287" t="s">
        <v>18</v>
      </c>
      <c r="AS265" s="288" t="s">
        <v>377</v>
      </c>
      <c r="AT265" s="294" t="s">
        <v>32</v>
      </c>
      <c r="AU265" s="294" t="s">
        <v>32</v>
      </c>
      <c r="AV265" s="295" t="s">
        <v>32</v>
      </c>
      <c r="AW265" s="287" t="s">
        <v>18</v>
      </c>
      <c r="AX265" s="294" t="s">
        <v>32</v>
      </c>
      <c r="AY265" s="288" t="s">
        <v>377</v>
      </c>
      <c r="AZ265" s="287" t="s">
        <v>18</v>
      </c>
      <c r="BA265" s="294" t="s">
        <v>32</v>
      </c>
      <c r="BB265" s="288" t="s">
        <v>377</v>
      </c>
      <c r="BC265" s="289" t="s">
        <v>377</v>
      </c>
      <c r="BD265" s="292"/>
    </row>
    <row r="266" ht="12.75" customHeight="1">
      <c r="A266" s="293">
        <v>45260.51086456019</v>
      </c>
      <c r="B266" s="286" t="s">
        <v>504</v>
      </c>
      <c r="C266" s="287" t="s">
        <v>559</v>
      </c>
      <c r="D266" s="285" t="s">
        <v>16</v>
      </c>
      <c r="E266" s="285" t="s">
        <v>476</v>
      </c>
      <c r="F266" s="287" t="s">
        <v>836</v>
      </c>
      <c r="G266" s="285" t="s">
        <v>17</v>
      </c>
      <c r="H266" s="285">
        <v>12.0</v>
      </c>
      <c r="I266" s="287" t="s">
        <v>497</v>
      </c>
      <c r="J266" s="292"/>
      <c r="K266" s="287" t="s">
        <v>508</v>
      </c>
      <c r="L266" s="287" t="s">
        <v>497</v>
      </c>
      <c r="M266" s="292"/>
      <c r="N266" s="292"/>
      <c r="O266" s="292"/>
      <c r="P266" s="292"/>
      <c r="Q266" s="287" t="s">
        <v>18</v>
      </c>
      <c r="R266" s="287" t="s">
        <v>18</v>
      </c>
      <c r="S266" s="288" t="s">
        <v>18</v>
      </c>
      <c r="T266" s="287" t="s">
        <v>18</v>
      </c>
      <c r="U266" s="294" t="s">
        <v>32</v>
      </c>
      <c r="V266" s="288" t="s">
        <v>377</v>
      </c>
      <c r="W266" s="287" t="s">
        <v>18</v>
      </c>
      <c r="X266" s="287" t="s">
        <v>18</v>
      </c>
      <c r="Y266" s="288" t="s">
        <v>18</v>
      </c>
      <c r="Z266" s="287" t="s">
        <v>18</v>
      </c>
      <c r="AA266" s="287" t="s">
        <v>18</v>
      </c>
      <c r="AB266" s="288" t="s">
        <v>18</v>
      </c>
      <c r="AC266" s="289" t="s">
        <v>18</v>
      </c>
      <c r="AD266" s="287" t="s">
        <v>377</v>
      </c>
      <c r="AE266" s="294" t="s">
        <v>32</v>
      </c>
      <c r="AF266" s="295" t="s">
        <v>32</v>
      </c>
      <c r="AG266" s="287" t="s">
        <v>18</v>
      </c>
      <c r="AH266" s="287" t="s">
        <v>18</v>
      </c>
      <c r="AI266" s="288" t="s">
        <v>18</v>
      </c>
      <c r="AJ266" s="287" t="s">
        <v>18</v>
      </c>
      <c r="AK266" s="287" t="s">
        <v>18</v>
      </c>
      <c r="AL266" s="288" t="s">
        <v>18</v>
      </c>
      <c r="AM266" s="287" t="s">
        <v>18</v>
      </c>
      <c r="AN266" s="287" t="s">
        <v>18</v>
      </c>
      <c r="AO266" s="288" t="s">
        <v>18</v>
      </c>
      <c r="AP266" s="289" t="s">
        <v>18</v>
      </c>
      <c r="AQ266" s="294" t="s">
        <v>32</v>
      </c>
      <c r="AR266" s="287" t="s">
        <v>18</v>
      </c>
      <c r="AS266" s="288" t="s">
        <v>377</v>
      </c>
      <c r="AT266" s="294" t="s">
        <v>32</v>
      </c>
      <c r="AU266" s="294" t="s">
        <v>32</v>
      </c>
      <c r="AV266" s="295" t="s">
        <v>32</v>
      </c>
      <c r="AW266" s="287" t="s">
        <v>377</v>
      </c>
      <c r="AX266" s="294" t="s">
        <v>32</v>
      </c>
      <c r="AY266" s="295" t="s">
        <v>32</v>
      </c>
      <c r="AZ266" s="287" t="s">
        <v>18</v>
      </c>
      <c r="BA266" s="294" t="s">
        <v>32</v>
      </c>
      <c r="BB266" s="288" t="s">
        <v>377</v>
      </c>
      <c r="BC266" s="289" t="s">
        <v>377</v>
      </c>
      <c r="BD266" s="292"/>
    </row>
    <row r="267" ht="12.75" customHeight="1">
      <c r="A267" s="293">
        <v>45260.51492332176</v>
      </c>
      <c r="B267" s="286" t="s">
        <v>504</v>
      </c>
      <c r="C267" s="287" t="s">
        <v>559</v>
      </c>
      <c r="D267" s="285" t="s">
        <v>16</v>
      </c>
      <c r="E267" s="285" t="s">
        <v>476</v>
      </c>
      <c r="F267" s="287" t="s">
        <v>837</v>
      </c>
      <c r="G267" s="285" t="s">
        <v>17</v>
      </c>
      <c r="H267" s="285">
        <v>11.0</v>
      </c>
      <c r="I267" s="287" t="s">
        <v>497</v>
      </c>
      <c r="J267" s="292"/>
      <c r="K267" s="287" t="s">
        <v>508</v>
      </c>
      <c r="L267" s="287" t="s">
        <v>497</v>
      </c>
      <c r="M267" s="292"/>
      <c r="N267" s="292"/>
      <c r="O267" s="292"/>
      <c r="P267" s="292"/>
      <c r="Q267" s="287" t="s">
        <v>377</v>
      </c>
      <c r="R267" s="287" t="s">
        <v>18</v>
      </c>
      <c r="S267" s="288" t="s">
        <v>377</v>
      </c>
      <c r="T267" s="287" t="s">
        <v>18</v>
      </c>
      <c r="U267" s="294" t="s">
        <v>32</v>
      </c>
      <c r="V267" s="288" t="s">
        <v>377</v>
      </c>
      <c r="W267" s="287" t="s">
        <v>18</v>
      </c>
      <c r="X267" s="287" t="s">
        <v>18</v>
      </c>
      <c r="Y267" s="288" t="s">
        <v>18</v>
      </c>
      <c r="Z267" s="287" t="s">
        <v>18</v>
      </c>
      <c r="AA267" s="287" t="s">
        <v>18</v>
      </c>
      <c r="AB267" s="288" t="s">
        <v>18</v>
      </c>
      <c r="AC267" s="289" t="s">
        <v>18</v>
      </c>
      <c r="AD267" s="287" t="s">
        <v>377</v>
      </c>
      <c r="AE267" s="294" t="s">
        <v>32</v>
      </c>
      <c r="AF267" s="295" t="s">
        <v>32</v>
      </c>
      <c r="AG267" s="287" t="s">
        <v>18</v>
      </c>
      <c r="AH267" s="287" t="s">
        <v>18</v>
      </c>
      <c r="AI267" s="288" t="s">
        <v>18</v>
      </c>
      <c r="AJ267" s="287" t="s">
        <v>18</v>
      </c>
      <c r="AK267" s="287" t="s">
        <v>18</v>
      </c>
      <c r="AL267" s="288" t="s">
        <v>18</v>
      </c>
      <c r="AM267" s="287" t="s">
        <v>18</v>
      </c>
      <c r="AN267" s="287" t="s">
        <v>18</v>
      </c>
      <c r="AO267" s="288" t="s">
        <v>18</v>
      </c>
      <c r="AP267" s="289" t="s">
        <v>18</v>
      </c>
      <c r="AQ267" s="294" t="s">
        <v>32</v>
      </c>
      <c r="AR267" s="287" t="s">
        <v>18</v>
      </c>
      <c r="AS267" s="288" t="s">
        <v>377</v>
      </c>
      <c r="AT267" s="294" t="s">
        <v>32</v>
      </c>
      <c r="AU267" s="294" t="s">
        <v>32</v>
      </c>
      <c r="AV267" s="295" t="s">
        <v>32</v>
      </c>
      <c r="AW267" s="294" t="s">
        <v>32</v>
      </c>
      <c r="AX267" s="294" t="s">
        <v>32</v>
      </c>
      <c r="AY267" s="295" t="s">
        <v>32</v>
      </c>
      <c r="AZ267" s="287" t="s">
        <v>18</v>
      </c>
      <c r="BA267" s="294" t="s">
        <v>32</v>
      </c>
      <c r="BB267" s="288" t="s">
        <v>18</v>
      </c>
      <c r="BC267" s="289" t="s">
        <v>377</v>
      </c>
      <c r="BD267" s="292"/>
    </row>
    <row r="268" ht="12.75" customHeight="1">
      <c r="A268" s="293">
        <v>45271.73974693287</v>
      </c>
      <c r="B268" s="286" t="s">
        <v>504</v>
      </c>
      <c r="C268" s="287" t="s">
        <v>559</v>
      </c>
      <c r="D268" s="285" t="s">
        <v>16</v>
      </c>
      <c r="E268" s="285" t="s">
        <v>476</v>
      </c>
      <c r="F268" s="287" t="s">
        <v>838</v>
      </c>
      <c r="G268" s="285" t="s">
        <v>17</v>
      </c>
      <c r="H268" s="285">
        <v>12.0</v>
      </c>
      <c r="I268" s="287" t="s">
        <v>497</v>
      </c>
      <c r="J268" s="292"/>
      <c r="K268" s="287" t="s">
        <v>508</v>
      </c>
      <c r="L268" s="287" t="s">
        <v>497</v>
      </c>
      <c r="M268" s="292"/>
      <c r="N268" s="292"/>
      <c r="O268" s="292"/>
      <c r="P268" s="292"/>
      <c r="Q268" s="287" t="s">
        <v>377</v>
      </c>
      <c r="R268" s="294" t="s">
        <v>32</v>
      </c>
      <c r="S268" s="295" t="s">
        <v>32</v>
      </c>
      <c r="T268" s="294" t="s">
        <v>32</v>
      </c>
      <c r="U268" s="294" t="s">
        <v>32</v>
      </c>
      <c r="V268" s="295" t="s">
        <v>32</v>
      </c>
      <c r="W268" s="287" t="s">
        <v>18</v>
      </c>
      <c r="X268" s="287" t="s">
        <v>18</v>
      </c>
      <c r="Y268" s="288" t="s">
        <v>18</v>
      </c>
      <c r="Z268" s="287" t="s">
        <v>18</v>
      </c>
      <c r="AA268" s="287" t="s">
        <v>18</v>
      </c>
      <c r="AB268" s="288" t="s">
        <v>18</v>
      </c>
      <c r="AC268" s="289" t="s">
        <v>377</v>
      </c>
      <c r="AD268" s="287" t="s">
        <v>377</v>
      </c>
      <c r="AE268" s="287" t="s">
        <v>377</v>
      </c>
      <c r="AF268" s="288" t="s">
        <v>377</v>
      </c>
      <c r="AG268" s="287" t="s">
        <v>18</v>
      </c>
      <c r="AH268" s="287" t="s">
        <v>18</v>
      </c>
      <c r="AI268" s="288" t="s">
        <v>18</v>
      </c>
      <c r="AJ268" s="287" t="s">
        <v>18</v>
      </c>
      <c r="AK268" s="287" t="s">
        <v>18</v>
      </c>
      <c r="AL268" s="288" t="s">
        <v>18</v>
      </c>
      <c r="AM268" s="287" t="s">
        <v>18</v>
      </c>
      <c r="AN268" s="287" t="s">
        <v>18</v>
      </c>
      <c r="AO268" s="288" t="s">
        <v>18</v>
      </c>
      <c r="AP268" s="289" t="s">
        <v>18</v>
      </c>
      <c r="AQ268" s="287" t="s">
        <v>18</v>
      </c>
      <c r="AR268" s="287" t="s">
        <v>18</v>
      </c>
      <c r="AS268" s="288" t="s">
        <v>18</v>
      </c>
      <c r="AT268" s="287" t="s">
        <v>18</v>
      </c>
      <c r="AU268" s="287" t="s">
        <v>18</v>
      </c>
      <c r="AV268" s="288" t="s">
        <v>18</v>
      </c>
      <c r="AW268" s="287" t="s">
        <v>18</v>
      </c>
      <c r="AX268" s="287" t="s">
        <v>18</v>
      </c>
      <c r="AY268" s="288" t="s">
        <v>18</v>
      </c>
      <c r="AZ268" s="287" t="s">
        <v>18</v>
      </c>
      <c r="BA268" s="287" t="s">
        <v>18</v>
      </c>
      <c r="BB268" s="288" t="s">
        <v>377</v>
      </c>
      <c r="BC268" s="289" t="s">
        <v>377</v>
      </c>
      <c r="BD268" s="292"/>
    </row>
    <row r="269" ht="12.75" customHeight="1">
      <c r="A269" s="293">
        <v>45271.76177429398</v>
      </c>
      <c r="B269" s="286" t="s">
        <v>504</v>
      </c>
      <c r="C269" s="287" t="s">
        <v>559</v>
      </c>
      <c r="D269" s="285" t="s">
        <v>16</v>
      </c>
      <c r="E269" s="285" t="s">
        <v>476</v>
      </c>
      <c r="F269" s="287" t="s">
        <v>839</v>
      </c>
      <c r="G269" s="285" t="s">
        <v>17</v>
      </c>
      <c r="H269" s="285">
        <v>12.0</v>
      </c>
      <c r="I269" s="287" t="s">
        <v>497</v>
      </c>
      <c r="J269" s="292"/>
      <c r="K269" s="287" t="s">
        <v>508</v>
      </c>
      <c r="L269" s="287" t="s">
        <v>497</v>
      </c>
      <c r="M269" s="292"/>
      <c r="N269" s="292"/>
      <c r="O269" s="292"/>
      <c r="P269" s="292"/>
      <c r="Q269" s="294" t="s">
        <v>32</v>
      </c>
      <c r="R269" s="287" t="s">
        <v>377</v>
      </c>
      <c r="S269" s="295" t="s">
        <v>32</v>
      </c>
      <c r="T269" s="294" t="s">
        <v>32</v>
      </c>
      <c r="U269" s="294" t="s">
        <v>32</v>
      </c>
      <c r="V269" s="295" t="s">
        <v>32</v>
      </c>
      <c r="W269" s="287" t="s">
        <v>377</v>
      </c>
      <c r="X269" s="287" t="s">
        <v>18</v>
      </c>
      <c r="Y269" s="288" t="s">
        <v>377</v>
      </c>
      <c r="Z269" s="287" t="s">
        <v>377</v>
      </c>
      <c r="AA269" s="294" t="s">
        <v>32</v>
      </c>
      <c r="AB269" s="295" t="s">
        <v>32</v>
      </c>
      <c r="AC269" s="289" t="s">
        <v>377</v>
      </c>
      <c r="AD269" s="294" t="s">
        <v>32</v>
      </c>
      <c r="AE269" s="294" t="s">
        <v>32</v>
      </c>
      <c r="AF269" s="295" t="s">
        <v>32</v>
      </c>
      <c r="AG269" s="287" t="s">
        <v>18</v>
      </c>
      <c r="AH269" s="287" t="s">
        <v>18</v>
      </c>
      <c r="AI269" s="288" t="s">
        <v>18</v>
      </c>
      <c r="AJ269" s="287" t="s">
        <v>18</v>
      </c>
      <c r="AK269" s="294" t="s">
        <v>32</v>
      </c>
      <c r="AL269" s="288" t="s">
        <v>377</v>
      </c>
      <c r="AM269" s="287" t="s">
        <v>18</v>
      </c>
      <c r="AN269" s="287" t="s">
        <v>18</v>
      </c>
      <c r="AO269" s="288" t="s">
        <v>18</v>
      </c>
      <c r="AP269" s="289" t="s">
        <v>377</v>
      </c>
      <c r="AQ269" s="287" t="s">
        <v>18</v>
      </c>
      <c r="AR269" s="287" t="s">
        <v>18</v>
      </c>
      <c r="AS269" s="288" t="s">
        <v>18</v>
      </c>
      <c r="AT269" s="287" t="s">
        <v>377</v>
      </c>
      <c r="AU269" s="294" t="s">
        <v>32</v>
      </c>
      <c r="AV269" s="295" t="s">
        <v>32</v>
      </c>
      <c r="AW269" s="294" t="s">
        <v>32</v>
      </c>
      <c r="AX269" s="294" t="s">
        <v>32</v>
      </c>
      <c r="AY269" s="295" t="s">
        <v>32</v>
      </c>
      <c r="AZ269" s="294" t="s">
        <v>32</v>
      </c>
      <c r="BA269" s="294" t="s">
        <v>32</v>
      </c>
      <c r="BB269" s="288" t="s">
        <v>18</v>
      </c>
      <c r="BC269" s="289" t="s">
        <v>377</v>
      </c>
      <c r="BD269" s="292"/>
    </row>
    <row r="270" ht="12.75" customHeight="1">
      <c r="A270" s="293">
        <v>45271.76481021991</v>
      </c>
      <c r="B270" s="286" t="s">
        <v>504</v>
      </c>
      <c r="C270" s="287" t="s">
        <v>559</v>
      </c>
      <c r="D270" s="285" t="s">
        <v>16</v>
      </c>
      <c r="E270" s="285" t="s">
        <v>476</v>
      </c>
      <c r="F270" s="287" t="s">
        <v>840</v>
      </c>
      <c r="G270" s="285" t="s">
        <v>21</v>
      </c>
      <c r="H270" s="285">
        <v>12.0</v>
      </c>
      <c r="I270" s="287" t="s">
        <v>497</v>
      </c>
      <c r="J270" s="292"/>
      <c r="K270" s="287" t="s">
        <v>508</v>
      </c>
      <c r="L270" s="287" t="s">
        <v>497</v>
      </c>
      <c r="M270" s="292"/>
      <c r="N270" s="292"/>
      <c r="O270" s="292"/>
      <c r="P270" s="292"/>
      <c r="Q270" s="294" t="s">
        <v>32</v>
      </c>
      <c r="R270" s="294" t="s">
        <v>32</v>
      </c>
      <c r="S270" s="295" t="s">
        <v>32</v>
      </c>
      <c r="T270" s="294" t="s">
        <v>32</v>
      </c>
      <c r="U270" s="294" t="s">
        <v>32</v>
      </c>
      <c r="V270" s="295" t="s">
        <v>32</v>
      </c>
      <c r="W270" s="287" t="s">
        <v>377</v>
      </c>
      <c r="X270" s="287" t="s">
        <v>18</v>
      </c>
      <c r="Y270" s="288" t="s">
        <v>377</v>
      </c>
      <c r="Z270" s="287" t="s">
        <v>18</v>
      </c>
      <c r="AA270" s="287" t="s">
        <v>377</v>
      </c>
      <c r="AB270" s="288" t="s">
        <v>377</v>
      </c>
      <c r="AC270" s="289" t="s">
        <v>377</v>
      </c>
      <c r="AD270" s="287" t="s">
        <v>18</v>
      </c>
      <c r="AE270" s="294" t="s">
        <v>32</v>
      </c>
      <c r="AF270" s="288" t="s">
        <v>377</v>
      </c>
      <c r="AG270" s="287" t="s">
        <v>18</v>
      </c>
      <c r="AH270" s="287" t="s">
        <v>18</v>
      </c>
      <c r="AI270" s="288" t="s">
        <v>18</v>
      </c>
      <c r="AJ270" s="287" t="s">
        <v>18</v>
      </c>
      <c r="AK270" s="287" t="s">
        <v>18</v>
      </c>
      <c r="AL270" s="288" t="s">
        <v>18</v>
      </c>
      <c r="AM270" s="287" t="s">
        <v>18</v>
      </c>
      <c r="AN270" s="287" t="s">
        <v>18</v>
      </c>
      <c r="AO270" s="288" t="s">
        <v>18</v>
      </c>
      <c r="AP270" s="289" t="s">
        <v>18</v>
      </c>
      <c r="AQ270" s="287" t="s">
        <v>377</v>
      </c>
      <c r="AR270" s="294" t="s">
        <v>32</v>
      </c>
      <c r="AS270" s="295" t="s">
        <v>32</v>
      </c>
      <c r="AT270" s="294" t="s">
        <v>32</v>
      </c>
      <c r="AU270" s="294" t="s">
        <v>32</v>
      </c>
      <c r="AV270" s="295" t="s">
        <v>32</v>
      </c>
      <c r="AW270" s="287" t="s">
        <v>18</v>
      </c>
      <c r="AX270" s="294" t="s">
        <v>32</v>
      </c>
      <c r="AY270" s="288" t="s">
        <v>377</v>
      </c>
      <c r="AZ270" s="287" t="s">
        <v>18</v>
      </c>
      <c r="BA270" s="287" t="s">
        <v>18</v>
      </c>
      <c r="BB270" s="288" t="s">
        <v>377</v>
      </c>
      <c r="BC270" s="296" t="s">
        <v>32</v>
      </c>
      <c r="BD270" s="292"/>
    </row>
    <row r="271" ht="12.75" customHeight="1">
      <c r="A271" s="293">
        <v>45271.76723924768</v>
      </c>
      <c r="B271" s="286" t="s">
        <v>504</v>
      </c>
      <c r="C271" s="287" t="s">
        <v>559</v>
      </c>
      <c r="D271" s="285" t="s">
        <v>16</v>
      </c>
      <c r="E271" s="285" t="s">
        <v>476</v>
      </c>
      <c r="F271" s="287" t="s">
        <v>841</v>
      </c>
      <c r="G271" s="285" t="s">
        <v>21</v>
      </c>
      <c r="H271" s="285">
        <v>12.0</v>
      </c>
      <c r="I271" s="287" t="s">
        <v>497</v>
      </c>
      <c r="J271" s="292"/>
      <c r="K271" s="287" t="s">
        <v>508</v>
      </c>
      <c r="L271" s="287" t="s">
        <v>497</v>
      </c>
      <c r="M271" s="292"/>
      <c r="N271" s="292"/>
      <c r="O271" s="292"/>
      <c r="P271" s="292"/>
      <c r="Q271" s="294" t="s">
        <v>32</v>
      </c>
      <c r="R271" s="287" t="s">
        <v>18</v>
      </c>
      <c r="S271" s="288" t="s">
        <v>377</v>
      </c>
      <c r="T271" s="287" t="s">
        <v>377</v>
      </c>
      <c r="U271" s="294" t="s">
        <v>32</v>
      </c>
      <c r="V271" s="295" t="s">
        <v>32</v>
      </c>
      <c r="W271" s="287" t="s">
        <v>377</v>
      </c>
      <c r="X271" s="287" t="s">
        <v>18</v>
      </c>
      <c r="Y271" s="288" t="s">
        <v>377</v>
      </c>
      <c r="Z271" s="287" t="s">
        <v>18</v>
      </c>
      <c r="AA271" s="294" t="s">
        <v>32</v>
      </c>
      <c r="AB271" s="288" t="s">
        <v>377</v>
      </c>
      <c r="AC271" s="289" t="s">
        <v>377</v>
      </c>
      <c r="AD271" s="287" t="s">
        <v>18</v>
      </c>
      <c r="AE271" s="294" t="s">
        <v>32</v>
      </c>
      <c r="AF271" s="288" t="s">
        <v>377</v>
      </c>
      <c r="AG271" s="287" t="s">
        <v>18</v>
      </c>
      <c r="AH271" s="287" t="s">
        <v>18</v>
      </c>
      <c r="AI271" s="288" t="s">
        <v>18</v>
      </c>
      <c r="AJ271" s="287" t="s">
        <v>18</v>
      </c>
      <c r="AK271" s="287" t="s">
        <v>18</v>
      </c>
      <c r="AL271" s="288" t="s">
        <v>18</v>
      </c>
      <c r="AM271" s="287" t="s">
        <v>18</v>
      </c>
      <c r="AN271" s="287" t="s">
        <v>18</v>
      </c>
      <c r="AO271" s="288" t="s">
        <v>18</v>
      </c>
      <c r="AP271" s="289" t="s">
        <v>18</v>
      </c>
      <c r="AQ271" s="287" t="s">
        <v>377</v>
      </c>
      <c r="AR271" s="287" t="s">
        <v>18</v>
      </c>
      <c r="AS271" s="288" t="s">
        <v>377</v>
      </c>
      <c r="AT271" s="294" t="s">
        <v>32</v>
      </c>
      <c r="AU271" s="294" t="s">
        <v>32</v>
      </c>
      <c r="AV271" s="295" t="s">
        <v>32</v>
      </c>
      <c r="AW271" s="287" t="s">
        <v>18</v>
      </c>
      <c r="AX271" s="294" t="s">
        <v>32</v>
      </c>
      <c r="AY271" s="288" t="s">
        <v>377</v>
      </c>
      <c r="AZ271" s="287" t="s">
        <v>18</v>
      </c>
      <c r="BA271" s="287" t="s">
        <v>18</v>
      </c>
      <c r="BB271" s="288" t="s">
        <v>18</v>
      </c>
      <c r="BC271" s="289" t="s">
        <v>18</v>
      </c>
      <c r="BD271" s="292"/>
    </row>
    <row r="272" ht="12.75" customHeight="1">
      <c r="A272" s="293">
        <v>45271.770097615736</v>
      </c>
      <c r="B272" s="286" t="s">
        <v>504</v>
      </c>
      <c r="C272" s="287" t="s">
        <v>559</v>
      </c>
      <c r="D272" s="285" t="s">
        <v>16</v>
      </c>
      <c r="E272" s="285" t="s">
        <v>476</v>
      </c>
      <c r="F272" s="287" t="s">
        <v>842</v>
      </c>
      <c r="G272" s="285" t="s">
        <v>21</v>
      </c>
      <c r="H272" s="285">
        <v>12.0</v>
      </c>
      <c r="I272" s="287" t="s">
        <v>497</v>
      </c>
      <c r="J272" s="292"/>
      <c r="K272" s="287" t="s">
        <v>508</v>
      </c>
      <c r="L272" s="287" t="s">
        <v>497</v>
      </c>
      <c r="M272" s="292"/>
      <c r="N272" s="292"/>
      <c r="O272" s="292"/>
      <c r="P272" s="292"/>
      <c r="Q272" s="294" t="s">
        <v>32</v>
      </c>
      <c r="R272" s="287" t="s">
        <v>18</v>
      </c>
      <c r="S272" s="288" t="s">
        <v>377</v>
      </c>
      <c r="T272" s="287" t="s">
        <v>18</v>
      </c>
      <c r="U272" s="294" t="s">
        <v>32</v>
      </c>
      <c r="V272" s="288" t="s">
        <v>377</v>
      </c>
      <c r="W272" s="287" t="s">
        <v>377</v>
      </c>
      <c r="X272" s="287" t="s">
        <v>377</v>
      </c>
      <c r="Y272" s="288" t="s">
        <v>377</v>
      </c>
      <c r="Z272" s="287" t="s">
        <v>18</v>
      </c>
      <c r="AA272" s="287" t="s">
        <v>18</v>
      </c>
      <c r="AB272" s="288" t="s">
        <v>18</v>
      </c>
      <c r="AC272" s="289" t="s">
        <v>377</v>
      </c>
      <c r="AD272" s="294" t="s">
        <v>32</v>
      </c>
      <c r="AE272" s="294" t="s">
        <v>32</v>
      </c>
      <c r="AF272" s="295" t="s">
        <v>32</v>
      </c>
      <c r="AG272" s="287" t="s">
        <v>18</v>
      </c>
      <c r="AH272" s="287" t="s">
        <v>377</v>
      </c>
      <c r="AI272" s="288" t="s">
        <v>377</v>
      </c>
      <c r="AJ272" s="294" t="s">
        <v>32</v>
      </c>
      <c r="AK272" s="287" t="s">
        <v>18</v>
      </c>
      <c r="AL272" s="288" t="s">
        <v>377</v>
      </c>
      <c r="AM272" s="287" t="s">
        <v>18</v>
      </c>
      <c r="AN272" s="287" t="s">
        <v>18</v>
      </c>
      <c r="AO272" s="288" t="s">
        <v>18</v>
      </c>
      <c r="AP272" s="289" t="s">
        <v>377</v>
      </c>
      <c r="AQ272" s="294" t="s">
        <v>32</v>
      </c>
      <c r="AR272" s="294" t="s">
        <v>32</v>
      </c>
      <c r="AS272" s="295" t="s">
        <v>32</v>
      </c>
      <c r="AT272" s="294" t="s">
        <v>32</v>
      </c>
      <c r="AU272" s="287" t="s">
        <v>18</v>
      </c>
      <c r="AV272" s="288" t="s">
        <v>377</v>
      </c>
      <c r="AW272" s="294" t="s">
        <v>32</v>
      </c>
      <c r="AX272" s="287" t="s">
        <v>377</v>
      </c>
      <c r="AY272" s="295" t="s">
        <v>32</v>
      </c>
      <c r="AZ272" s="287" t="s">
        <v>18</v>
      </c>
      <c r="BA272" s="294" t="s">
        <v>32</v>
      </c>
      <c r="BB272" s="288" t="s">
        <v>377</v>
      </c>
      <c r="BC272" s="289" t="s">
        <v>377</v>
      </c>
      <c r="BD272" s="292"/>
    </row>
    <row r="273" ht="12.75" customHeight="1">
      <c r="A273" s="293">
        <v>45271.774955810186</v>
      </c>
      <c r="B273" s="286" t="s">
        <v>504</v>
      </c>
      <c r="C273" s="287" t="s">
        <v>559</v>
      </c>
      <c r="D273" s="285" t="s">
        <v>16</v>
      </c>
      <c r="E273" s="285" t="s">
        <v>476</v>
      </c>
      <c r="F273" s="287" t="s">
        <v>843</v>
      </c>
      <c r="G273" s="285" t="s">
        <v>21</v>
      </c>
      <c r="H273" s="285">
        <v>12.0</v>
      </c>
      <c r="I273" s="287" t="s">
        <v>497</v>
      </c>
      <c r="J273" s="292"/>
      <c r="K273" s="287" t="s">
        <v>508</v>
      </c>
      <c r="L273" s="287" t="s">
        <v>497</v>
      </c>
      <c r="M273" s="292"/>
      <c r="N273" s="292"/>
      <c r="O273" s="292"/>
      <c r="P273" s="292"/>
      <c r="Q273" s="294" t="s">
        <v>32</v>
      </c>
      <c r="R273" s="287" t="s">
        <v>18</v>
      </c>
      <c r="S273" s="288" t="s">
        <v>377</v>
      </c>
      <c r="T273" s="287" t="s">
        <v>18</v>
      </c>
      <c r="U273" s="294" t="s">
        <v>32</v>
      </c>
      <c r="V273" s="288" t="s">
        <v>377</v>
      </c>
      <c r="W273" s="287" t="s">
        <v>18</v>
      </c>
      <c r="X273" s="287" t="s">
        <v>18</v>
      </c>
      <c r="Y273" s="288" t="s">
        <v>18</v>
      </c>
      <c r="Z273" s="287" t="s">
        <v>18</v>
      </c>
      <c r="AA273" s="287" t="s">
        <v>18</v>
      </c>
      <c r="AB273" s="288" t="s">
        <v>18</v>
      </c>
      <c r="AC273" s="289" t="s">
        <v>377</v>
      </c>
      <c r="AD273" s="294" t="s">
        <v>32</v>
      </c>
      <c r="AE273" s="287" t="s">
        <v>18</v>
      </c>
      <c r="AF273" s="288" t="s">
        <v>377</v>
      </c>
      <c r="AG273" s="287" t="s">
        <v>18</v>
      </c>
      <c r="AH273" s="287" t="s">
        <v>18</v>
      </c>
      <c r="AI273" s="288" t="s">
        <v>18</v>
      </c>
      <c r="AJ273" s="294" t="s">
        <v>32</v>
      </c>
      <c r="AK273" s="287" t="s">
        <v>18</v>
      </c>
      <c r="AL273" s="288" t="s">
        <v>377</v>
      </c>
      <c r="AM273" s="287" t="s">
        <v>18</v>
      </c>
      <c r="AN273" s="287" t="s">
        <v>377</v>
      </c>
      <c r="AO273" s="288" t="s">
        <v>377</v>
      </c>
      <c r="AP273" s="289" t="s">
        <v>377</v>
      </c>
      <c r="AQ273" s="294" t="s">
        <v>32</v>
      </c>
      <c r="AR273" s="287" t="s">
        <v>377</v>
      </c>
      <c r="AS273" s="295" t="s">
        <v>32</v>
      </c>
      <c r="AT273" s="294" t="s">
        <v>32</v>
      </c>
      <c r="AU273" s="294" t="s">
        <v>32</v>
      </c>
      <c r="AV273" s="295" t="s">
        <v>32</v>
      </c>
      <c r="AW273" s="287" t="s">
        <v>377</v>
      </c>
      <c r="AX273" s="294" t="s">
        <v>32</v>
      </c>
      <c r="AY273" s="295" t="s">
        <v>32</v>
      </c>
      <c r="AZ273" s="294" t="s">
        <v>32</v>
      </c>
      <c r="BA273" s="287" t="s">
        <v>18</v>
      </c>
      <c r="BB273" s="288" t="s">
        <v>18</v>
      </c>
      <c r="BC273" s="289" t="s">
        <v>377</v>
      </c>
      <c r="BD273" s="292"/>
    </row>
    <row r="274" ht="12.75" customHeight="1">
      <c r="A274" s="293">
        <v>45271.788153078705</v>
      </c>
      <c r="B274" s="286" t="s">
        <v>504</v>
      </c>
      <c r="C274" s="287" t="s">
        <v>559</v>
      </c>
      <c r="D274" s="285" t="s">
        <v>16</v>
      </c>
      <c r="E274" s="285" t="s">
        <v>476</v>
      </c>
      <c r="F274" s="287" t="s">
        <v>844</v>
      </c>
      <c r="G274" s="285" t="s">
        <v>17</v>
      </c>
      <c r="H274" s="285">
        <v>11.0</v>
      </c>
      <c r="I274" s="287" t="s">
        <v>497</v>
      </c>
      <c r="J274" s="292"/>
      <c r="K274" s="287" t="s">
        <v>508</v>
      </c>
      <c r="L274" s="287" t="s">
        <v>497</v>
      </c>
      <c r="M274" s="292"/>
      <c r="N274" s="292"/>
      <c r="O274" s="292"/>
      <c r="P274" s="292"/>
      <c r="Q274" s="287" t="s">
        <v>377</v>
      </c>
      <c r="R274" s="287" t="s">
        <v>18</v>
      </c>
      <c r="S274" s="288" t="s">
        <v>377</v>
      </c>
      <c r="T274" s="287" t="s">
        <v>18</v>
      </c>
      <c r="U274" s="287" t="s">
        <v>18</v>
      </c>
      <c r="V274" s="288" t="s">
        <v>18</v>
      </c>
      <c r="W274" s="287" t="s">
        <v>18</v>
      </c>
      <c r="X274" s="287" t="s">
        <v>18</v>
      </c>
      <c r="Y274" s="288" t="s">
        <v>18</v>
      </c>
      <c r="Z274" s="287" t="s">
        <v>18</v>
      </c>
      <c r="AA274" s="287" t="s">
        <v>18</v>
      </c>
      <c r="AB274" s="288" t="s">
        <v>18</v>
      </c>
      <c r="AC274" s="289" t="s">
        <v>18</v>
      </c>
      <c r="AD274" s="294" t="s">
        <v>32</v>
      </c>
      <c r="AE274" s="294" t="s">
        <v>32</v>
      </c>
      <c r="AF274" s="295" t="s">
        <v>32</v>
      </c>
      <c r="AG274" s="287" t="s">
        <v>377</v>
      </c>
      <c r="AH274" s="287" t="s">
        <v>18</v>
      </c>
      <c r="AI274" s="288" t="s">
        <v>377</v>
      </c>
      <c r="AJ274" s="287" t="s">
        <v>18</v>
      </c>
      <c r="AK274" s="287" t="s">
        <v>18</v>
      </c>
      <c r="AL274" s="288" t="s">
        <v>18</v>
      </c>
      <c r="AM274" s="287" t="s">
        <v>18</v>
      </c>
      <c r="AN274" s="287" t="s">
        <v>18</v>
      </c>
      <c r="AO274" s="288" t="s">
        <v>18</v>
      </c>
      <c r="AP274" s="289" t="s">
        <v>377</v>
      </c>
      <c r="AQ274" s="287" t="s">
        <v>377</v>
      </c>
      <c r="AR274" s="287" t="s">
        <v>377</v>
      </c>
      <c r="AS274" s="288" t="s">
        <v>377</v>
      </c>
      <c r="AT274" s="294" t="s">
        <v>32</v>
      </c>
      <c r="AU274" s="294" t="s">
        <v>32</v>
      </c>
      <c r="AV274" s="295" t="s">
        <v>32</v>
      </c>
      <c r="AW274" s="294" t="s">
        <v>32</v>
      </c>
      <c r="AX274" s="294" t="s">
        <v>32</v>
      </c>
      <c r="AY274" s="295" t="s">
        <v>32</v>
      </c>
      <c r="AZ274" s="287" t="s">
        <v>18</v>
      </c>
      <c r="BA274" s="287" t="s">
        <v>377</v>
      </c>
      <c r="BB274" s="295" t="s">
        <v>32</v>
      </c>
      <c r="BC274" s="296" t="s">
        <v>32</v>
      </c>
      <c r="BD274" s="292"/>
    </row>
    <row r="275" ht="12.75" customHeight="1">
      <c r="A275" s="293">
        <v>45271.79043670138</v>
      </c>
      <c r="B275" s="286" t="s">
        <v>504</v>
      </c>
      <c r="C275" s="287" t="s">
        <v>559</v>
      </c>
      <c r="D275" s="285" t="s">
        <v>16</v>
      </c>
      <c r="E275" s="285" t="s">
        <v>476</v>
      </c>
      <c r="F275" s="287" t="s">
        <v>845</v>
      </c>
      <c r="G275" s="285" t="s">
        <v>17</v>
      </c>
      <c r="H275" s="285">
        <v>11.0</v>
      </c>
      <c r="I275" s="287" t="s">
        <v>497</v>
      </c>
      <c r="J275" s="292"/>
      <c r="K275" s="287" t="s">
        <v>508</v>
      </c>
      <c r="L275" s="287" t="s">
        <v>497</v>
      </c>
      <c r="M275" s="292"/>
      <c r="N275" s="292"/>
      <c r="O275" s="292"/>
      <c r="P275" s="292"/>
      <c r="Q275" s="294" t="s">
        <v>32</v>
      </c>
      <c r="R275" s="287" t="s">
        <v>18</v>
      </c>
      <c r="S275" s="288" t="s">
        <v>377</v>
      </c>
      <c r="T275" s="294" t="s">
        <v>32</v>
      </c>
      <c r="U275" s="294" t="s">
        <v>32</v>
      </c>
      <c r="V275" s="295" t="s">
        <v>32</v>
      </c>
      <c r="W275" s="287" t="s">
        <v>377</v>
      </c>
      <c r="X275" s="287" t="s">
        <v>18</v>
      </c>
      <c r="Y275" s="288" t="s">
        <v>377</v>
      </c>
      <c r="Z275" s="287" t="s">
        <v>377</v>
      </c>
      <c r="AA275" s="294" t="s">
        <v>32</v>
      </c>
      <c r="AB275" s="295" t="s">
        <v>32</v>
      </c>
      <c r="AC275" s="289" t="s">
        <v>377</v>
      </c>
      <c r="AD275" s="287" t="s">
        <v>377</v>
      </c>
      <c r="AE275" s="294" t="s">
        <v>32</v>
      </c>
      <c r="AF275" s="295" t="s">
        <v>32</v>
      </c>
      <c r="AG275" s="287" t="s">
        <v>18</v>
      </c>
      <c r="AH275" s="287" t="s">
        <v>18</v>
      </c>
      <c r="AI275" s="288" t="s">
        <v>18</v>
      </c>
      <c r="AJ275" s="287" t="s">
        <v>18</v>
      </c>
      <c r="AK275" s="294" t="s">
        <v>32</v>
      </c>
      <c r="AL275" s="288" t="s">
        <v>377</v>
      </c>
      <c r="AM275" s="287" t="s">
        <v>18</v>
      </c>
      <c r="AN275" s="287" t="s">
        <v>18</v>
      </c>
      <c r="AO275" s="288" t="s">
        <v>18</v>
      </c>
      <c r="AP275" s="289" t="s">
        <v>377</v>
      </c>
      <c r="AQ275" s="287" t="s">
        <v>18</v>
      </c>
      <c r="AR275" s="287" t="s">
        <v>18</v>
      </c>
      <c r="AS275" s="288" t="s">
        <v>18</v>
      </c>
      <c r="AT275" s="287" t="s">
        <v>377</v>
      </c>
      <c r="AU275" s="287" t="s">
        <v>377</v>
      </c>
      <c r="AV275" s="288" t="s">
        <v>377</v>
      </c>
      <c r="AW275" s="294" t="s">
        <v>32</v>
      </c>
      <c r="AX275" s="294" t="s">
        <v>32</v>
      </c>
      <c r="AY275" s="295" t="s">
        <v>32</v>
      </c>
      <c r="AZ275" s="287" t="s">
        <v>18</v>
      </c>
      <c r="BA275" s="294" t="s">
        <v>32</v>
      </c>
      <c r="BB275" s="288" t="s">
        <v>18</v>
      </c>
      <c r="BC275" s="289" t="s">
        <v>377</v>
      </c>
      <c r="BD275" s="292"/>
    </row>
    <row r="276" ht="12.75" customHeight="1">
      <c r="A276" s="293">
        <v>45271.79243956019</v>
      </c>
      <c r="B276" s="286" t="s">
        <v>504</v>
      </c>
      <c r="C276" s="287" t="s">
        <v>559</v>
      </c>
      <c r="D276" s="285" t="s">
        <v>16</v>
      </c>
      <c r="E276" s="285" t="s">
        <v>476</v>
      </c>
      <c r="F276" s="287" t="s">
        <v>846</v>
      </c>
      <c r="G276" s="285" t="s">
        <v>17</v>
      </c>
      <c r="H276" s="285">
        <v>13.0</v>
      </c>
      <c r="I276" s="287" t="s">
        <v>497</v>
      </c>
      <c r="J276" s="292"/>
      <c r="K276" s="287" t="s">
        <v>508</v>
      </c>
      <c r="L276" s="287" t="s">
        <v>497</v>
      </c>
      <c r="M276" s="292"/>
      <c r="N276" s="292"/>
      <c r="O276" s="292"/>
      <c r="P276" s="292"/>
      <c r="Q276" s="294" t="s">
        <v>32</v>
      </c>
      <c r="R276" s="287" t="s">
        <v>18</v>
      </c>
      <c r="S276" s="288" t="s">
        <v>377</v>
      </c>
      <c r="T276" s="287" t="s">
        <v>18</v>
      </c>
      <c r="U276" s="287" t="s">
        <v>18</v>
      </c>
      <c r="V276" s="288" t="s">
        <v>18</v>
      </c>
      <c r="W276" s="287" t="s">
        <v>18</v>
      </c>
      <c r="X276" s="287" t="s">
        <v>18</v>
      </c>
      <c r="Y276" s="288" t="s">
        <v>18</v>
      </c>
      <c r="Z276" s="287" t="s">
        <v>377</v>
      </c>
      <c r="AA276" s="287" t="s">
        <v>18</v>
      </c>
      <c r="AB276" s="288" t="s">
        <v>377</v>
      </c>
      <c r="AC276" s="289" t="s">
        <v>18</v>
      </c>
      <c r="AD276" s="287" t="s">
        <v>377</v>
      </c>
      <c r="AE276" s="294" t="s">
        <v>32</v>
      </c>
      <c r="AF276" s="295" t="s">
        <v>32</v>
      </c>
      <c r="AG276" s="287" t="s">
        <v>377</v>
      </c>
      <c r="AH276" s="287" t="s">
        <v>18</v>
      </c>
      <c r="AI276" s="288" t="s">
        <v>377</v>
      </c>
      <c r="AJ276" s="287" t="s">
        <v>18</v>
      </c>
      <c r="AK276" s="287" t="s">
        <v>18</v>
      </c>
      <c r="AL276" s="288" t="s">
        <v>18</v>
      </c>
      <c r="AM276" s="287" t="s">
        <v>18</v>
      </c>
      <c r="AN276" s="287" t="s">
        <v>18</v>
      </c>
      <c r="AO276" s="288" t="s">
        <v>18</v>
      </c>
      <c r="AP276" s="289" t="s">
        <v>377</v>
      </c>
      <c r="AQ276" s="287" t="s">
        <v>377</v>
      </c>
      <c r="AR276" s="287" t="s">
        <v>377</v>
      </c>
      <c r="AS276" s="288" t="s">
        <v>377</v>
      </c>
      <c r="AT276" s="294" t="s">
        <v>32</v>
      </c>
      <c r="AU276" s="294" t="s">
        <v>32</v>
      </c>
      <c r="AV276" s="295" t="s">
        <v>32</v>
      </c>
      <c r="AW276" s="294" t="s">
        <v>32</v>
      </c>
      <c r="AX276" s="294" t="s">
        <v>32</v>
      </c>
      <c r="AY276" s="295" t="s">
        <v>32</v>
      </c>
      <c r="AZ276" s="287" t="s">
        <v>18</v>
      </c>
      <c r="BA276" s="287" t="s">
        <v>377</v>
      </c>
      <c r="BB276" s="288" t="s">
        <v>18</v>
      </c>
      <c r="BC276" s="289" t="s">
        <v>18</v>
      </c>
      <c r="BD276" s="292"/>
    </row>
    <row r="277" ht="12.75" customHeight="1">
      <c r="A277" s="293">
        <v>45271.79413388889</v>
      </c>
      <c r="B277" s="286" t="s">
        <v>504</v>
      </c>
      <c r="C277" s="287" t="s">
        <v>559</v>
      </c>
      <c r="D277" s="285" t="s">
        <v>16</v>
      </c>
      <c r="E277" s="285" t="s">
        <v>476</v>
      </c>
      <c r="F277" s="287" t="s">
        <v>847</v>
      </c>
      <c r="G277" s="285" t="s">
        <v>21</v>
      </c>
      <c r="H277" s="285">
        <v>13.0</v>
      </c>
      <c r="I277" s="287" t="s">
        <v>497</v>
      </c>
      <c r="J277" s="292"/>
      <c r="K277" s="287" t="s">
        <v>508</v>
      </c>
      <c r="L277" s="287" t="s">
        <v>497</v>
      </c>
      <c r="M277" s="292"/>
      <c r="N277" s="292"/>
      <c r="O277" s="292"/>
      <c r="P277" s="292"/>
      <c r="Q277" s="294" t="s">
        <v>32</v>
      </c>
      <c r="R277" s="287" t="s">
        <v>18</v>
      </c>
      <c r="S277" s="288" t="s">
        <v>377</v>
      </c>
      <c r="T277" s="287" t="s">
        <v>18</v>
      </c>
      <c r="U277" s="294" t="s">
        <v>32</v>
      </c>
      <c r="V277" s="288" t="s">
        <v>377</v>
      </c>
      <c r="W277" s="287" t="s">
        <v>18</v>
      </c>
      <c r="X277" s="287" t="s">
        <v>377</v>
      </c>
      <c r="Y277" s="288" t="s">
        <v>377</v>
      </c>
      <c r="Z277" s="287" t="s">
        <v>18</v>
      </c>
      <c r="AA277" s="287" t="s">
        <v>18</v>
      </c>
      <c r="AB277" s="288" t="s">
        <v>18</v>
      </c>
      <c r="AC277" s="289" t="s">
        <v>377</v>
      </c>
      <c r="AD277" s="287" t="s">
        <v>377</v>
      </c>
      <c r="AE277" s="287" t="s">
        <v>377</v>
      </c>
      <c r="AF277" s="288" t="s">
        <v>377</v>
      </c>
      <c r="AG277" s="287" t="s">
        <v>18</v>
      </c>
      <c r="AH277" s="287" t="s">
        <v>18</v>
      </c>
      <c r="AI277" s="288" t="s">
        <v>18</v>
      </c>
      <c r="AJ277" s="287" t="s">
        <v>18</v>
      </c>
      <c r="AK277" s="287" t="s">
        <v>18</v>
      </c>
      <c r="AL277" s="288" t="s">
        <v>18</v>
      </c>
      <c r="AM277" s="287" t="s">
        <v>18</v>
      </c>
      <c r="AN277" s="287" t="s">
        <v>18</v>
      </c>
      <c r="AO277" s="288" t="s">
        <v>18</v>
      </c>
      <c r="AP277" s="289" t="s">
        <v>18</v>
      </c>
      <c r="AQ277" s="287" t="s">
        <v>18</v>
      </c>
      <c r="AR277" s="287" t="s">
        <v>18</v>
      </c>
      <c r="AS277" s="288" t="s">
        <v>18</v>
      </c>
      <c r="AT277" s="287" t="s">
        <v>18</v>
      </c>
      <c r="AU277" s="287" t="s">
        <v>18</v>
      </c>
      <c r="AV277" s="288" t="s">
        <v>18</v>
      </c>
      <c r="AW277" s="287" t="s">
        <v>377</v>
      </c>
      <c r="AX277" s="287" t="s">
        <v>18</v>
      </c>
      <c r="AY277" s="288" t="s">
        <v>377</v>
      </c>
      <c r="AZ277" s="287" t="s">
        <v>18</v>
      </c>
      <c r="BA277" s="287" t="s">
        <v>18</v>
      </c>
      <c r="BB277" s="288" t="s">
        <v>377</v>
      </c>
      <c r="BC277" s="289" t="s">
        <v>377</v>
      </c>
      <c r="BD277" s="292"/>
    </row>
    <row r="278" ht="12.75" customHeight="1">
      <c r="A278" s="293">
        <v>45271.79670465278</v>
      </c>
      <c r="B278" s="286" t="s">
        <v>504</v>
      </c>
      <c r="C278" s="287" t="s">
        <v>559</v>
      </c>
      <c r="D278" s="285" t="s">
        <v>16</v>
      </c>
      <c r="E278" s="285" t="s">
        <v>476</v>
      </c>
      <c r="F278" s="287" t="s">
        <v>848</v>
      </c>
      <c r="G278" s="285" t="s">
        <v>17</v>
      </c>
      <c r="H278" s="285">
        <v>11.0</v>
      </c>
      <c r="I278" s="287" t="s">
        <v>497</v>
      </c>
      <c r="J278" s="292"/>
      <c r="K278" s="287" t="s">
        <v>508</v>
      </c>
      <c r="L278" s="287" t="s">
        <v>497</v>
      </c>
      <c r="M278" s="292"/>
      <c r="N278" s="292"/>
      <c r="O278" s="292"/>
      <c r="P278" s="292"/>
      <c r="Q278" s="294" t="s">
        <v>32</v>
      </c>
      <c r="R278" s="287" t="s">
        <v>377</v>
      </c>
      <c r="S278" s="295" t="s">
        <v>32</v>
      </c>
      <c r="T278" s="294" t="s">
        <v>32</v>
      </c>
      <c r="U278" s="294" t="s">
        <v>32</v>
      </c>
      <c r="V278" s="295" t="s">
        <v>32</v>
      </c>
      <c r="W278" s="287" t="s">
        <v>18</v>
      </c>
      <c r="X278" s="287" t="s">
        <v>18</v>
      </c>
      <c r="Y278" s="288" t="s">
        <v>18</v>
      </c>
      <c r="Z278" s="287" t="s">
        <v>377</v>
      </c>
      <c r="AA278" s="294" t="s">
        <v>32</v>
      </c>
      <c r="AB278" s="295" t="s">
        <v>32</v>
      </c>
      <c r="AC278" s="289" t="s">
        <v>377</v>
      </c>
      <c r="AD278" s="287" t="s">
        <v>377</v>
      </c>
      <c r="AE278" s="287" t="s">
        <v>377</v>
      </c>
      <c r="AF278" s="288" t="s">
        <v>377</v>
      </c>
      <c r="AG278" s="287" t="s">
        <v>18</v>
      </c>
      <c r="AH278" s="287" t="s">
        <v>18</v>
      </c>
      <c r="AI278" s="288" t="s">
        <v>18</v>
      </c>
      <c r="AJ278" s="287" t="s">
        <v>18</v>
      </c>
      <c r="AK278" s="287" t="s">
        <v>18</v>
      </c>
      <c r="AL278" s="288" t="s">
        <v>18</v>
      </c>
      <c r="AM278" s="287" t="s">
        <v>18</v>
      </c>
      <c r="AN278" s="287" t="s">
        <v>18</v>
      </c>
      <c r="AO278" s="288" t="s">
        <v>18</v>
      </c>
      <c r="AP278" s="289" t="s">
        <v>18</v>
      </c>
      <c r="AQ278" s="287" t="s">
        <v>18</v>
      </c>
      <c r="AR278" s="287" t="s">
        <v>18</v>
      </c>
      <c r="AS278" s="288" t="s">
        <v>18</v>
      </c>
      <c r="AT278" s="294" t="s">
        <v>32</v>
      </c>
      <c r="AU278" s="294" t="s">
        <v>32</v>
      </c>
      <c r="AV278" s="295" t="s">
        <v>32</v>
      </c>
      <c r="AW278" s="287" t="s">
        <v>377</v>
      </c>
      <c r="AX278" s="287" t="s">
        <v>377</v>
      </c>
      <c r="AY278" s="288" t="s">
        <v>377</v>
      </c>
      <c r="AZ278" s="287" t="s">
        <v>18</v>
      </c>
      <c r="BA278" s="294" t="s">
        <v>32</v>
      </c>
      <c r="BB278" s="288" t="s">
        <v>377</v>
      </c>
      <c r="BC278" s="289" t="s">
        <v>377</v>
      </c>
      <c r="BD278" s="292"/>
    </row>
    <row r="279" ht="12.75" customHeight="1">
      <c r="A279" s="293">
        <v>45271.8022322801</v>
      </c>
      <c r="B279" s="286" t="s">
        <v>504</v>
      </c>
      <c r="C279" s="287" t="s">
        <v>559</v>
      </c>
      <c r="D279" s="285" t="s">
        <v>16</v>
      </c>
      <c r="E279" s="285" t="s">
        <v>476</v>
      </c>
      <c r="F279" s="287" t="s">
        <v>849</v>
      </c>
      <c r="G279" s="285" t="s">
        <v>21</v>
      </c>
      <c r="H279" s="285">
        <v>11.0</v>
      </c>
      <c r="I279" s="287" t="s">
        <v>497</v>
      </c>
      <c r="J279" s="292"/>
      <c r="K279" s="287" t="s">
        <v>508</v>
      </c>
      <c r="L279" s="287" t="s">
        <v>497</v>
      </c>
      <c r="M279" s="292"/>
      <c r="N279" s="292"/>
      <c r="O279" s="292"/>
      <c r="P279" s="292"/>
      <c r="Q279" s="287" t="s">
        <v>377</v>
      </c>
      <c r="R279" s="294" t="s">
        <v>32</v>
      </c>
      <c r="S279" s="295" t="s">
        <v>32</v>
      </c>
      <c r="T279" s="294" t="s">
        <v>32</v>
      </c>
      <c r="U279" s="294" t="s">
        <v>32</v>
      </c>
      <c r="V279" s="295" t="s">
        <v>32</v>
      </c>
      <c r="W279" s="287" t="s">
        <v>377</v>
      </c>
      <c r="X279" s="287" t="s">
        <v>377</v>
      </c>
      <c r="Y279" s="288" t="s">
        <v>377</v>
      </c>
      <c r="Z279" s="294" t="s">
        <v>32</v>
      </c>
      <c r="AA279" s="294" t="s">
        <v>32</v>
      </c>
      <c r="AB279" s="295" t="s">
        <v>32</v>
      </c>
      <c r="AC279" s="296" t="s">
        <v>32</v>
      </c>
      <c r="AD279" s="294" t="s">
        <v>32</v>
      </c>
      <c r="AE279" s="294" t="s">
        <v>32</v>
      </c>
      <c r="AF279" s="295" t="s">
        <v>32</v>
      </c>
      <c r="AG279" s="287" t="s">
        <v>377</v>
      </c>
      <c r="AH279" s="287" t="s">
        <v>377</v>
      </c>
      <c r="AI279" s="288" t="s">
        <v>377</v>
      </c>
      <c r="AJ279" s="287" t="s">
        <v>377</v>
      </c>
      <c r="AK279" s="287" t="s">
        <v>377</v>
      </c>
      <c r="AL279" s="288" t="s">
        <v>377</v>
      </c>
      <c r="AM279" s="294" t="s">
        <v>32</v>
      </c>
      <c r="AN279" s="287" t="s">
        <v>377</v>
      </c>
      <c r="AO279" s="295" t="s">
        <v>32</v>
      </c>
      <c r="AP279" s="289" t="s">
        <v>377</v>
      </c>
      <c r="AQ279" s="294" t="s">
        <v>32</v>
      </c>
      <c r="AR279" s="294" t="s">
        <v>32</v>
      </c>
      <c r="AS279" s="295" t="s">
        <v>32</v>
      </c>
      <c r="AT279" s="294" t="s">
        <v>32</v>
      </c>
      <c r="AU279" s="294" t="s">
        <v>32</v>
      </c>
      <c r="AV279" s="295" t="s">
        <v>32</v>
      </c>
      <c r="AW279" s="287" t="s">
        <v>377</v>
      </c>
      <c r="AX279" s="287" t="s">
        <v>377</v>
      </c>
      <c r="AY279" s="288" t="s">
        <v>377</v>
      </c>
      <c r="AZ279" s="294" t="s">
        <v>32</v>
      </c>
      <c r="BA279" s="294" t="s">
        <v>32</v>
      </c>
      <c r="BB279" s="288" t="s">
        <v>18</v>
      </c>
      <c r="BC279" s="289" t="s">
        <v>377</v>
      </c>
      <c r="BD279" s="292"/>
    </row>
    <row r="280" ht="12.75" customHeight="1">
      <c r="A280" s="293">
        <v>45271.84361030093</v>
      </c>
      <c r="B280" s="286" t="s">
        <v>504</v>
      </c>
      <c r="C280" s="287" t="s">
        <v>559</v>
      </c>
      <c r="D280" s="285" t="s">
        <v>16</v>
      </c>
      <c r="E280" s="285" t="s">
        <v>476</v>
      </c>
      <c r="F280" s="287" t="s">
        <v>850</v>
      </c>
      <c r="G280" s="285" t="s">
        <v>21</v>
      </c>
      <c r="H280" s="285">
        <v>12.0</v>
      </c>
      <c r="I280" s="287" t="s">
        <v>497</v>
      </c>
      <c r="J280" s="292"/>
      <c r="K280" s="287" t="s">
        <v>508</v>
      </c>
      <c r="L280" s="287" t="s">
        <v>497</v>
      </c>
      <c r="M280" s="292"/>
      <c r="N280" s="292"/>
      <c r="O280" s="292"/>
      <c r="P280" s="292"/>
      <c r="Q280" s="287" t="s">
        <v>18</v>
      </c>
      <c r="R280" s="287" t="s">
        <v>18</v>
      </c>
      <c r="S280" s="288" t="s">
        <v>18</v>
      </c>
      <c r="T280" s="287" t="s">
        <v>18</v>
      </c>
      <c r="U280" s="294" t="s">
        <v>32</v>
      </c>
      <c r="V280" s="288" t="s">
        <v>377</v>
      </c>
      <c r="W280" s="287" t="s">
        <v>18</v>
      </c>
      <c r="X280" s="287" t="s">
        <v>18</v>
      </c>
      <c r="Y280" s="288" t="s">
        <v>18</v>
      </c>
      <c r="Z280" s="287" t="s">
        <v>18</v>
      </c>
      <c r="AA280" s="294" t="s">
        <v>32</v>
      </c>
      <c r="AB280" s="288" t="s">
        <v>377</v>
      </c>
      <c r="AC280" s="289" t="s">
        <v>377</v>
      </c>
      <c r="AD280" s="294" t="s">
        <v>32</v>
      </c>
      <c r="AE280" s="294" t="s">
        <v>32</v>
      </c>
      <c r="AF280" s="295" t="s">
        <v>32</v>
      </c>
      <c r="AG280" s="287" t="s">
        <v>18</v>
      </c>
      <c r="AH280" s="287" t="s">
        <v>18</v>
      </c>
      <c r="AI280" s="288" t="s">
        <v>18</v>
      </c>
      <c r="AJ280" s="287" t="s">
        <v>18</v>
      </c>
      <c r="AK280" s="287" t="s">
        <v>18</v>
      </c>
      <c r="AL280" s="288" t="s">
        <v>18</v>
      </c>
      <c r="AM280" s="287" t="s">
        <v>18</v>
      </c>
      <c r="AN280" s="287" t="s">
        <v>18</v>
      </c>
      <c r="AO280" s="288" t="s">
        <v>18</v>
      </c>
      <c r="AP280" s="289" t="s">
        <v>377</v>
      </c>
      <c r="AQ280" s="294" t="s">
        <v>32</v>
      </c>
      <c r="AR280" s="287" t="s">
        <v>18</v>
      </c>
      <c r="AS280" s="288" t="s">
        <v>377</v>
      </c>
      <c r="AT280" s="294" t="s">
        <v>32</v>
      </c>
      <c r="AU280" s="287" t="s">
        <v>18</v>
      </c>
      <c r="AV280" s="288" t="s">
        <v>377</v>
      </c>
      <c r="AW280" s="287" t="s">
        <v>18</v>
      </c>
      <c r="AX280" s="287" t="s">
        <v>18</v>
      </c>
      <c r="AY280" s="288" t="s">
        <v>18</v>
      </c>
      <c r="AZ280" s="287" t="s">
        <v>18</v>
      </c>
      <c r="BA280" s="294" t="s">
        <v>32</v>
      </c>
      <c r="BB280" s="288" t="s">
        <v>18</v>
      </c>
      <c r="BC280" s="289" t="s">
        <v>377</v>
      </c>
      <c r="BD280" s="292"/>
    </row>
    <row r="281" ht="12.75" customHeight="1">
      <c r="A281" s="293">
        <v>45271.845955509256</v>
      </c>
      <c r="B281" s="286" t="s">
        <v>504</v>
      </c>
      <c r="C281" s="287" t="s">
        <v>559</v>
      </c>
      <c r="D281" s="285" t="s">
        <v>16</v>
      </c>
      <c r="E281" s="285" t="s">
        <v>476</v>
      </c>
      <c r="F281" s="287" t="s">
        <v>851</v>
      </c>
      <c r="G281" s="285" t="s">
        <v>17</v>
      </c>
      <c r="H281" s="285">
        <v>11.0</v>
      </c>
      <c r="I281" s="287" t="s">
        <v>497</v>
      </c>
      <c r="J281" s="292"/>
      <c r="K281" s="287" t="s">
        <v>508</v>
      </c>
      <c r="L281" s="287" t="s">
        <v>497</v>
      </c>
      <c r="M281" s="292"/>
      <c r="N281" s="292"/>
      <c r="O281" s="292"/>
      <c r="P281" s="292"/>
      <c r="Q281" s="294" t="s">
        <v>32</v>
      </c>
      <c r="R281" s="287" t="s">
        <v>18</v>
      </c>
      <c r="S281" s="288" t="s">
        <v>377</v>
      </c>
      <c r="T281" s="287" t="s">
        <v>18</v>
      </c>
      <c r="U281" s="294" t="s">
        <v>32</v>
      </c>
      <c r="V281" s="288" t="s">
        <v>377</v>
      </c>
      <c r="W281" s="287" t="s">
        <v>18</v>
      </c>
      <c r="X281" s="287" t="s">
        <v>377</v>
      </c>
      <c r="Y281" s="288" t="s">
        <v>377</v>
      </c>
      <c r="Z281" s="287" t="s">
        <v>377</v>
      </c>
      <c r="AA281" s="287" t="s">
        <v>18</v>
      </c>
      <c r="AB281" s="288" t="s">
        <v>377</v>
      </c>
      <c r="AC281" s="289" t="s">
        <v>377</v>
      </c>
      <c r="AD281" s="287" t="s">
        <v>18</v>
      </c>
      <c r="AE281" s="287" t="s">
        <v>377</v>
      </c>
      <c r="AF281" s="288" t="s">
        <v>377</v>
      </c>
      <c r="AG281" s="287" t="s">
        <v>18</v>
      </c>
      <c r="AH281" s="287" t="s">
        <v>18</v>
      </c>
      <c r="AI281" s="288" t="s">
        <v>18</v>
      </c>
      <c r="AJ281" s="287" t="s">
        <v>377</v>
      </c>
      <c r="AK281" s="287" t="s">
        <v>18</v>
      </c>
      <c r="AL281" s="288" t="s">
        <v>377</v>
      </c>
      <c r="AM281" s="287" t="s">
        <v>18</v>
      </c>
      <c r="AN281" s="287" t="s">
        <v>18</v>
      </c>
      <c r="AO281" s="288" t="s">
        <v>18</v>
      </c>
      <c r="AP281" s="289" t="s">
        <v>18</v>
      </c>
      <c r="AQ281" s="294" t="s">
        <v>32</v>
      </c>
      <c r="AR281" s="294" t="s">
        <v>32</v>
      </c>
      <c r="AS281" s="295" t="s">
        <v>32</v>
      </c>
      <c r="AT281" s="294" t="s">
        <v>32</v>
      </c>
      <c r="AU281" s="294" t="s">
        <v>32</v>
      </c>
      <c r="AV281" s="295" t="s">
        <v>32</v>
      </c>
      <c r="AW281" s="294" t="s">
        <v>32</v>
      </c>
      <c r="AX281" s="287" t="s">
        <v>377</v>
      </c>
      <c r="AY281" s="295" t="s">
        <v>32</v>
      </c>
      <c r="AZ281" s="287" t="s">
        <v>18</v>
      </c>
      <c r="BA281" s="294" t="s">
        <v>32</v>
      </c>
      <c r="BB281" s="295" t="s">
        <v>32</v>
      </c>
      <c r="BC281" s="296" t="s">
        <v>32</v>
      </c>
      <c r="BD281" s="292"/>
    </row>
    <row r="282" ht="12.75" customHeight="1">
      <c r="A282" s="293">
        <v>45271.87948503472</v>
      </c>
      <c r="B282" s="286" t="s">
        <v>504</v>
      </c>
      <c r="C282" s="287" t="s">
        <v>559</v>
      </c>
      <c r="D282" s="285" t="s">
        <v>16</v>
      </c>
      <c r="E282" s="285" t="s">
        <v>476</v>
      </c>
      <c r="F282" s="287" t="s">
        <v>852</v>
      </c>
      <c r="G282" s="285" t="s">
        <v>17</v>
      </c>
      <c r="H282" s="285">
        <v>12.0</v>
      </c>
      <c r="I282" s="287" t="s">
        <v>497</v>
      </c>
      <c r="J282" s="292"/>
      <c r="K282" s="287" t="s">
        <v>508</v>
      </c>
      <c r="L282" s="287" t="s">
        <v>497</v>
      </c>
      <c r="M282" s="292"/>
      <c r="N282" s="292"/>
      <c r="O282" s="292"/>
      <c r="P282" s="292"/>
      <c r="Q282" s="294" t="s">
        <v>32</v>
      </c>
      <c r="R282" s="287" t="s">
        <v>18</v>
      </c>
      <c r="S282" s="288" t="s">
        <v>377</v>
      </c>
      <c r="T282" s="294" t="s">
        <v>32</v>
      </c>
      <c r="U282" s="294" t="s">
        <v>32</v>
      </c>
      <c r="V282" s="295" t="s">
        <v>32</v>
      </c>
      <c r="W282" s="287" t="s">
        <v>377</v>
      </c>
      <c r="X282" s="287" t="s">
        <v>18</v>
      </c>
      <c r="Y282" s="288" t="s">
        <v>377</v>
      </c>
      <c r="Z282" s="294" t="s">
        <v>32</v>
      </c>
      <c r="AA282" s="287" t="s">
        <v>18</v>
      </c>
      <c r="AB282" s="288" t="s">
        <v>377</v>
      </c>
      <c r="AC282" s="289" t="s">
        <v>377</v>
      </c>
      <c r="AD282" s="287" t="s">
        <v>377</v>
      </c>
      <c r="AE282" s="287" t="s">
        <v>377</v>
      </c>
      <c r="AF282" s="288" t="s">
        <v>377</v>
      </c>
      <c r="AG282" s="287" t="s">
        <v>18</v>
      </c>
      <c r="AH282" s="287" t="s">
        <v>18</v>
      </c>
      <c r="AI282" s="288" t="s">
        <v>18</v>
      </c>
      <c r="AJ282" s="287" t="s">
        <v>18</v>
      </c>
      <c r="AK282" s="287" t="s">
        <v>18</v>
      </c>
      <c r="AL282" s="288" t="s">
        <v>18</v>
      </c>
      <c r="AM282" s="287" t="s">
        <v>18</v>
      </c>
      <c r="AN282" s="287" t="s">
        <v>18</v>
      </c>
      <c r="AO282" s="288" t="s">
        <v>18</v>
      </c>
      <c r="AP282" s="289" t="s">
        <v>18</v>
      </c>
      <c r="AQ282" s="294" t="s">
        <v>32</v>
      </c>
      <c r="AR282" s="294" t="s">
        <v>32</v>
      </c>
      <c r="AS282" s="295" t="s">
        <v>32</v>
      </c>
      <c r="AT282" s="294" t="s">
        <v>32</v>
      </c>
      <c r="AU282" s="287" t="s">
        <v>18</v>
      </c>
      <c r="AV282" s="288" t="s">
        <v>377</v>
      </c>
      <c r="AW282" s="287" t="s">
        <v>18</v>
      </c>
      <c r="AX282" s="287" t="s">
        <v>18</v>
      </c>
      <c r="AY282" s="288" t="s">
        <v>18</v>
      </c>
      <c r="AZ282" s="287" t="s">
        <v>18</v>
      </c>
      <c r="BA282" s="294" t="s">
        <v>32</v>
      </c>
      <c r="BB282" s="288" t="s">
        <v>18</v>
      </c>
      <c r="BC282" s="289" t="s">
        <v>377</v>
      </c>
      <c r="BD282" s="292"/>
    </row>
    <row r="283" ht="12.75" customHeight="1">
      <c r="A283" s="293">
        <v>45271.88202152778</v>
      </c>
      <c r="B283" s="286" t="s">
        <v>504</v>
      </c>
      <c r="C283" s="287" t="s">
        <v>559</v>
      </c>
      <c r="D283" s="285" t="s">
        <v>16</v>
      </c>
      <c r="E283" s="285" t="s">
        <v>476</v>
      </c>
      <c r="F283" s="287" t="s">
        <v>853</v>
      </c>
      <c r="G283" s="285" t="s">
        <v>21</v>
      </c>
      <c r="H283" s="285">
        <v>12.0</v>
      </c>
      <c r="I283" s="287" t="s">
        <v>497</v>
      </c>
      <c r="J283" s="292"/>
      <c r="K283" s="287" t="s">
        <v>508</v>
      </c>
      <c r="L283" s="287" t="s">
        <v>497</v>
      </c>
      <c r="M283" s="292"/>
      <c r="N283" s="292"/>
      <c r="O283" s="292"/>
      <c r="P283" s="292"/>
      <c r="Q283" s="294" t="s">
        <v>32</v>
      </c>
      <c r="R283" s="287" t="s">
        <v>377</v>
      </c>
      <c r="S283" s="295" t="s">
        <v>32</v>
      </c>
      <c r="T283" s="287" t="s">
        <v>18</v>
      </c>
      <c r="U283" s="294" t="s">
        <v>32</v>
      </c>
      <c r="V283" s="288" t="s">
        <v>377</v>
      </c>
      <c r="W283" s="287" t="s">
        <v>377</v>
      </c>
      <c r="X283" s="287" t="s">
        <v>18</v>
      </c>
      <c r="Y283" s="288" t="s">
        <v>377</v>
      </c>
      <c r="Z283" s="294" t="s">
        <v>32</v>
      </c>
      <c r="AA283" s="287" t="s">
        <v>18</v>
      </c>
      <c r="AB283" s="288" t="s">
        <v>377</v>
      </c>
      <c r="AC283" s="289" t="s">
        <v>377</v>
      </c>
      <c r="AD283" s="287" t="s">
        <v>18</v>
      </c>
      <c r="AE283" s="294" t="s">
        <v>32</v>
      </c>
      <c r="AF283" s="288" t="s">
        <v>377</v>
      </c>
      <c r="AG283" s="287" t="s">
        <v>18</v>
      </c>
      <c r="AH283" s="287" t="s">
        <v>18</v>
      </c>
      <c r="AI283" s="288" t="s">
        <v>18</v>
      </c>
      <c r="AJ283" s="287" t="s">
        <v>18</v>
      </c>
      <c r="AK283" s="287" t="s">
        <v>18</v>
      </c>
      <c r="AL283" s="288" t="s">
        <v>18</v>
      </c>
      <c r="AM283" s="287" t="s">
        <v>18</v>
      </c>
      <c r="AN283" s="287" t="s">
        <v>18</v>
      </c>
      <c r="AO283" s="288" t="s">
        <v>18</v>
      </c>
      <c r="AP283" s="289" t="s">
        <v>18</v>
      </c>
      <c r="AQ283" s="294" t="s">
        <v>32</v>
      </c>
      <c r="AR283" s="294" t="s">
        <v>32</v>
      </c>
      <c r="AS283" s="295" t="s">
        <v>32</v>
      </c>
      <c r="AT283" s="294" t="s">
        <v>32</v>
      </c>
      <c r="AU283" s="287" t="s">
        <v>377</v>
      </c>
      <c r="AV283" s="295" t="s">
        <v>32</v>
      </c>
      <c r="AW283" s="294" t="s">
        <v>32</v>
      </c>
      <c r="AX283" s="287" t="s">
        <v>377</v>
      </c>
      <c r="AY283" s="295" t="s">
        <v>32</v>
      </c>
      <c r="AZ283" s="287" t="s">
        <v>18</v>
      </c>
      <c r="BA283" s="294" t="s">
        <v>32</v>
      </c>
      <c r="BB283" s="288" t="s">
        <v>377</v>
      </c>
      <c r="BC283" s="296" t="s">
        <v>32</v>
      </c>
      <c r="BD283" s="292"/>
    </row>
    <row r="284" ht="12.75" customHeight="1">
      <c r="A284" s="293">
        <v>45271.88202496528</v>
      </c>
      <c r="B284" s="286" t="s">
        <v>504</v>
      </c>
      <c r="C284" s="287" t="s">
        <v>559</v>
      </c>
      <c r="D284" s="285" t="s">
        <v>16</v>
      </c>
      <c r="E284" s="285" t="s">
        <v>476</v>
      </c>
      <c r="F284" s="287" t="s">
        <v>854</v>
      </c>
      <c r="G284" s="285" t="s">
        <v>17</v>
      </c>
      <c r="H284" s="285">
        <v>12.0</v>
      </c>
      <c r="I284" s="287" t="s">
        <v>497</v>
      </c>
      <c r="J284" s="292"/>
      <c r="K284" s="287" t="s">
        <v>508</v>
      </c>
      <c r="L284" s="287" t="s">
        <v>497</v>
      </c>
      <c r="M284" s="292"/>
      <c r="N284" s="292"/>
      <c r="O284" s="292"/>
      <c r="P284" s="292"/>
      <c r="Q284" s="294" t="s">
        <v>32</v>
      </c>
      <c r="R284" s="287" t="s">
        <v>377</v>
      </c>
      <c r="S284" s="295" t="s">
        <v>32</v>
      </c>
      <c r="T284" s="294" t="s">
        <v>32</v>
      </c>
      <c r="U284" s="294" t="s">
        <v>32</v>
      </c>
      <c r="V284" s="295" t="s">
        <v>32</v>
      </c>
      <c r="W284" s="287" t="s">
        <v>18</v>
      </c>
      <c r="X284" s="287" t="s">
        <v>18</v>
      </c>
      <c r="Y284" s="288" t="s">
        <v>18</v>
      </c>
      <c r="Z284" s="287" t="s">
        <v>377</v>
      </c>
      <c r="AA284" s="287" t="s">
        <v>18</v>
      </c>
      <c r="AB284" s="288" t="s">
        <v>377</v>
      </c>
      <c r="AC284" s="289" t="s">
        <v>377</v>
      </c>
      <c r="AD284" s="287" t="s">
        <v>377</v>
      </c>
      <c r="AE284" s="287" t="s">
        <v>377</v>
      </c>
      <c r="AF284" s="288" t="s">
        <v>377</v>
      </c>
      <c r="AG284" s="287" t="s">
        <v>18</v>
      </c>
      <c r="AH284" s="287" t="s">
        <v>18</v>
      </c>
      <c r="AI284" s="288" t="s">
        <v>18</v>
      </c>
      <c r="AJ284" s="287" t="s">
        <v>18</v>
      </c>
      <c r="AK284" s="287" t="s">
        <v>18</v>
      </c>
      <c r="AL284" s="288" t="s">
        <v>18</v>
      </c>
      <c r="AM284" s="287" t="s">
        <v>18</v>
      </c>
      <c r="AN284" s="287" t="s">
        <v>18</v>
      </c>
      <c r="AO284" s="288" t="s">
        <v>18</v>
      </c>
      <c r="AP284" s="289" t="s">
        <v>18</v>
      </c>
      <c r="AQ284" s="287" t="s">
        <v>377</v>
      </c>
      <c r="AR284" s="287" t="s">
        <v>377</v>
      </c>
      <c r="AS284" s="288" t="s">
        <v>377</v>
      </c>
      <c r="AT284" s="294" t="s">
        <v>32</v>
      </c>
      <c r="AU284" s="294" t="s">
        <v>32</v>
      </c>
      <c r="AV284" s="295" t="s">
        <v>32</v>
      </c>
      <c r="AW284" s="287" t="s">
        <v>18</v>
      </c>
      <c r="AX284" s="287" t="s">
        <v>377</v>
      </c>
      <c r="AY284" s="288" t="s">
        <v>377</v>
      </c>
      <c r="AZ284" s="287" t="s">
        <v>18</v>
      </c>
      <c r="BA284" s="294" t="s">
        <v>32</v>
      </c>
      <c r="BB284" s="295" t="s">
        <v>32</v>
      </c>
      <c r="BC284" s="296" t="s">
        <v>32</v>
      </c>
      <c r="BD284" s="292"/>
    </row>
    <row r="285" ht="12.75" customHeight="1">
      <c r="A285" s="293">
        <v>45271.884875902775</v>
      </c>
      <c r="B285" s="286" t="s">
        <v>504</v>
      </c>
      <c r="C285" s="287" t="s">
        <v>559</v>
      </c>
      <c r="D285" s="285" t="s">
        <v>16</v>
      </c>
      <c r="E285" s="285" t="s">
        <v>476</v>
      </c>
      <c r="F285" s="287" t="s">
        <v>855</v>
      </c>
      <c r="G285" s="285" t="s">
        <v>17</v>
      </c>
      <c r="H285" s="285">
        <v>12.0</v>
      </c>
      <c r="I285" s="287" t="s">
        <v>497</v>
      </c>
      <c r="J285" s="292"/>
      <c r="K285" s="287" t="s">
        <v>508</v>
      </c>
      <c r="L285" s="287" t="s">
        <v>497</v>
      </c>
      <c r="M285" s="292"/>
      <c r="N285" s="292"/>
      <c r="O285" s="292"/>
      <c r="P285" s="292"/>
      <c r="Q285" s="294" t="s">
        <v>32</v>
      </c>
      <c r="R285" s="287" t="s">
        <v>18</v>
      </c>
      <c r="S285" s="288" t="s">
        <v>377</v>
      </c>
      <c r="T285" s="287" t="s">
        <v>377</v>
      </c>
      <c r="U285" s="287" t="s">
        <v>18</v>
      </c>
      <c r="V285" s="288" t="s">
        <v>377</v>
      </c>
      <c r="W285" s="287" t="s">
        <v>18</v>
      </c>
      <c r="X285" s="287" t="s">
        <v>377</v>
      </c>
      <c r="Y285" s="288" t="s">
        <v>377</v>
      </c>
      <c r="Z285" s="287" t="s">
        <v>18</v>
      </c>
      <c r="AA285" s="287" t="s">
        <v>18</v>
      </c>
      <c r="AB285" s="288" t="s">
        <v>18</v>
      </c>
      <c r="AC285" s="289" t="s">
        <v>377</v>
      </c>
      <c r="AD285" s="287" t="s">
        <v>377</v>
      </c>
      <c r="AE285" s="287" t="s">
        <v>377</v>
      </c>
      <c r="AF285" s="288" t="s">
        <v>377</v>
      </c>
      <c r="AG285" s="287" t="s">
        <v>18</v>
      </c>
      <c r="AH285" s="287" t="s">
        <v>377</v>
      </c>
      <c r="AI285" s="288" t="s">
        <v>377</v>
      </c>
      <c r="AJ285" s="287" t="s">
        <v>377</v>
      </c>
      <c r="AK285" s="287" t="s">
        <v>377</v>
      </c>
      <c r="AL285" s="288" t="s">
        <v>377</v>
      </c>
      <c r="AM285" s="287" t="s">
        <v>18</v>
      </c>
      <c r="AN285" s="287" t="s">
        <v>18</v>
      </c>
      <c r="AO285" s="288" t="s">
        <v>18</v>
      </c>
      <c r="AP285" s="289" t="s">
        <v>377</v>
      </c>
      <c r="AQ285" s="287" t="s">
        <v>377</v>
      </c>
      <c r="AR285" s="287" t="s">
        <v>377</v>
      </c>
      <c r="AS285" s="288" t="s">
        <v>377</v>
      </c>
      <c r="AT285" s="287" t="s">
        <v>18</v>
      </c>
      <c r="AU285" s="287" t="s">
        <v>18</v>
      </c>
      <c r="AV285" s="288" t="s">
        <v>18</v>
      </c>
      <c r="AW285" s="287" t="s">
        <v>377</v>
      </c>
      <c r="AX285" s="287" t="s">
        <v>18</v>
      </c>
      <c r="AY285" s="288" t="s">
        <v>377</v>
      </c>
      <c r="AZ285" s="287" t="s">
        <v>377</v>
      </c>
      <c r="BA285" s="287" t="s">
        <v>377</v>
      </c>
      <c r="BB285" s="295" t="s">
        <v>32</v>
      </c>
      <c r="BC285" s="296" t="s">
        <v>32</v>
      </c>
      <c r="BD285" s="292"/>
    </row>
    <row r="286" ht="12.75" customHeight="1">
      <c r="A286" s="293">
        <v>45271.89065021991</v>
      </c>
      <c r="B286" s="286" t="s">
        <v>504</v>
      </c>
      <c r="C286" s="287" t="s">
        <v>559</v>
      </c>
      <c r="D286" s="285" t="s">
        <v>16</v>
      </c>
      <c r="E286" s="285" t="s">
        <v>476</v>
      </c>
      <c r="F286" s="287" t="s">
        <v>856</v>
      </c>
      <c r="G286" s="285" t="s">
        <v>21</v>
      </c>
      <c r="H286" s="285">
        <v>12.0</v>
      </c>
      <c r="I286" s="287" t="s">
        <v>497</v>
      </c>
      <c r="J286" s="292"/>
      <c r="K286" s="287" t="s">
        <v>508</v>
      </c>
      <c r="L286" s="287" t="s">
        <v>497</v>
      </c>
      <c r="M286" s="292"/>
      <c r="N286" s="292"/>
      <c r="O286" s="292"/>
      <c r="P286" s="292"/>
      <c r="Q286" s="294" t="s">
        <v>32</v>
      </c>
      <c r="R286" s="287" t="s">
        <v>18</v>
      </c>
      <c r="S286" s="288" t="s">
        <v>377</v>
      </c>
      <c r="T286" s="294" t="s">
        <v>32</v>
      </c>
      <c r="U286" s="294" t="s">
        <v>32</v>
      </c>
      <c r="V286" s="295" t="s">
        <v>32</v>
      </c>
      <c r="W286" s="287" t="s">
        <v>18</v>
      </c>
      <c r="X286" s="287" t="s">
        <v>18</v>
      </c>
      <c r="Y286" s="288" t="s">
        <v>18</v>
      </c>
      <c r="Z286" s="287" t="s">
        <v>377</v>
      </c>
      <c r="AA286" s="294" t="s">
        <v>32</v>
      </c>
      <c r="AB286" s="295" t="s">
        <v>32</v>
      </c>
      <c r="AC286" s="289" t="s">
        <v>377</v>
      </c>
      <c r="AD286" s="287" t="s">
        <v>377</v>
      </c>
      <c r="AE286" s="294" t="s">
        <v>32</v>
      </c>
      <c r="AF286" s="295" t="s">
        <v>32</v>
      </c>
      <c r="AG286" s="287" t="s">
        <v>18</v>
      </c>
      <c r="AH286" s="287" t="s">
        <v>18</v>
      </c>
      <c r="AI286" s="288" t="s">
        <v>18</v>
      </c>
      <c r="AJ286" s="287" t="s">
        <v>18</v>
      </c>
      <c r="AK286" s="287" t="s">
        <v>18</v>
      </c>
      <c r="AL286" s="288" t="s">
        <v>18</v>
      </c>
      <c r="AM286" s="287" t="s">
        <v>377</v>
      </c>
      <c r="AN286" s="287" t="s">
        <v>18</v>
      </c>
      <c r="AO286" s="288" t="s">
        <v>377</v>
      </c>
      <c r="AP286" s="289" t="s">
        <v>377</v>
      </c>
      <c r="AQ286" s="287" t="s">
        <v>18</v>
      </c>
      <c r="AR286" s="287" t="s">
        <v>377</v>
      </c>
      <c r="AS286" s="288" t="s">
        <v>377</v>
      </c>
      <c r="AT286" s="294" t="s">
        <v>32</v>
      </c>
      <c r="AU286" s="294" t="s">
        <v>32</v>
      </c>
      <c r="AV286" s="295" t="s">
        <v>32</v>
      </c>
      <c r="AW286" s="287" t="s">
        <v>377</v>
      </c>
      <c r="AX286" s="294" t="s">
        <v>32</v>
      </c>
      <c r="AY286" s="295" t="s">
        <v>32</v>
      </c>
      <c r="AZ286" s="287" t="s">
        <v>18</v>
      </c>
      <c r="BA286" s="287" t="s">
        <v>18</v>
      </c>
      <c r="BB286" s="288" t="s">
        <v>18</v>
      </c>
      <c r="BC286" s="289" t="s">
        <v>377</v>
      </c>
      <c r="BD286" s="292"/>
    </row>
    <row r="287" ht="12.75" customHeight="1">
      <c r="A287" s="293">
        <v>45271.89119653935</v>
      </c>
      <c r="B287" s="286" t="s">
        <v>504</v>
      </c>
      <c r="C287" s="287" t="s">
        <v>559</v>
      </c>
      <c r="D287" s="285" t="s">
        <v>16</v>
      </c>
      <c r="E287" s="285" t="s">
        <v>476</v>
      </c>
      <c r="F287" s="287" t="s">
        <v>857</v>
      </c>
      <c r="G287" s="285" t="s">
        <v>17</v>
      </c>
      <c r="H287" s="285">
        <v>12.0</v>
      </c>
      <c r="I287" s="287" t="s">
        <v>497</v>
      </c>
      <c r="J287" s="292"/>
      <c r="K287" s="287" t="s">
        <v>508</v>
      </c>
      <c r="L287" s="287" t="s">
        <v>479</v>
      </c>
      <c r="M287" s="287" t="s">
        <v>490</v>
      </c>
      <c r="N287" s="287" t="s">
        <v>561</v>
      </c>
      <c r="O287" s="287"/>
      <c r="P287" s="287"/>
      <c r="Q287" s="287" t="s">
        <v>377</v>
      </c>
      <c r="R287" s="287" t="s">
        <v>18</v>
      </c>
      <c r="S287" s="288" t="s">
        <v>377</v>
      </c>
      <c r="T287" s="287" t="s">
        <v>18</v>
      </c>
      <c r="U287" s="294" t="s">
        <v>32</v>
      </c>
      <c r="V287" s="288" t="s">
        <v>377</v>
      </c>
      <c r="W287" s="287" t="s">
        <v>18</v>
      </c>
      <c r="X287" s="287" t="s">
        <v>18</v>
      </c>
      <c r="Y287" s="288" t="s">
        <v>18</v>
      </c>
      <c r="Z287" s="287" t="s">
        <v>377</v>
      </c>
      <c r="AA287" s="287" t="s">
        <v>18</v>
      </c>
      <c r="AB287" s="288" t="s">
        <v>377</v>
      </c>
      <c r="AC287" s="289" t="s">
        <v>377</v>
      </c>
      <c r="AD287" s="287" t="s">
        <v>377</v>
      </c>
      <c r="AE287" s="287" t="s">
        <v>377</v>
      </c>
      <c r="AF287" s="288" t="s">
        <v>377</v>
      </c>
      <c r="AG287" s="287" t="s">
        <v>18</v>
      </c>
      <c r="AH287" s="287" t="s">
        <v>18</v>
      </c>
      <c r="AI287" s="288" t="s">
        <v>18</v>
      </c>
      <c r="AJ287" s="287" t="s">
        <v>18</v>
      </c>
      <c r="AK287" s="287" t="s">
        <v>18</v>
      </c>
      <c r="AL287" s="288" t="s">
        <v>18</v>
      </c>
      <c r="AM287" s="287" t="s">
        <v>18</v>
      </c>
      <c r="AN287" s="287" t="s">
        <v>18</v>
      </c>
      <c r="AO287" s="288" t="s">
        <v>18</v>
      </c>
      <c r="AP287" s="289" t="s">
        <v>18</v>
      </c>
      <c r="AQ287" s="294" t="s">
        <v>32</v>
      </c>
      <c r="AR287" s="287" t="s">
        <v>18</v>
      </c>
      <c r="AS287" s="288" t="s">
        <v>377</v>
      </c>
      <c r="AT287" s="294" t="s">
        <v>32</v>
      </c>
      <c r="AU287" s="287" t="s">
        <v>377</v>
      </c>
      <c r="AV287" s="295" t="s">
        <v>32</v>
      </c>
      <c r="AW287" s="287" t="s">
        <v>18</v>
      </c>
      <c r="AX287" s="287" t="s">
        <v>377</v>
      </c>
      <c r="AY287" s="288" t="s">
        <v>377</v>
      </c>
      <c r="AZ287" s="287" t="s">
        <v>18</v>
      </c>
      <c r="BA287" s="287" t="s">
        <v>18</v>
      </c>
      <c r="BB287" s="295" t="s">
        <v>32</v>
      </c>
      <c r="BC287" s="296" t="s">
        <v>32</v>
      </c>
      <c r="BD287" s="292"/>
    </row>
    <row r="288" ht="12.75" customHeight="1">
      <c r="A288" s="293">
        <v>45271.89204578704</v>
      </c>
      <c r="B288" s="286" t="s">
        <v>504</v>
      </c>
      <c r="C288" s="287" t="s">
        <v>559</v>
      </c>
      <c r="D288" s="285" t="s">
        <v>16</v>
      </c>
      <c r="E288" s="285" t="s">
        <v>476</v>
      </c>
      <c r="F288" s="287" t="s">
        <v>858</v>
      </c>
      <c r="G288" s="285" t="s">
        <v>21</v>
      </c>
      <c r="H288" s="285">
        <v>11.0</v>
      </c>
      <c r="I288" s="287" t="s">
        <v>497</v>
      </c>
      <c r="J288" s="292"/>
      <c r="K288" s="287" t="s">
        <v>508</v>
      </c>
      <c r="L288" s="287" t="s">
        <v>497</v>
      </c>
      <c r="M288" s="292"/>
      <c r="N288" s="292"/>
      <c r="O288" s="292"/>
      <c r="P288" s="292"/>
      <c r="Q288" s="294" t="s">
        <v>32</v>
      </c>
      <c r="R288" s="287" t="s">
        <v>18</v>
      </c>
      <c r="S288" s="288" t="s">
        <v>377</v>
      </c>
      <c r="T288" s="287" t="s">
        <v>18</v>
      </c>
      <c r="U288" s="294" t="s">
        <v>32</v>
      </c>
      <c r="V288" s="288" t="s">
        <v>377</v>
      </c>
      <c r="W288" s="287" t="s">
        <v>18</v>
      </c>
      <c r="X288" s="287" t="s">
        <v>18</v>
      </c>
      <c r="Y288" s="288" t="s">
        <v>18</v>
      </c>
      <c r="Z288" s="294" t="s">
        <v>32</v>
      </c>
      <c r="AA288" s="287" t="s">
        <v>18</v>
      </c>
      <c r="AB288" s="288" t="s">
        <v>377</v>
      </c>
      <c r="AC288" s="289" t="s">
        <v>377</v>
      </c>
      <c r="AD288" s="294" t="s">
        <v>32</v>
      </c>
      <c r="AE288" s="287" t="s">
        <v>377</v>
      </c>
      <c r="AF288" s="295" t="s">
        <v>32</v>
      </c>
      <c r="AG288" s="287" t="s">
        <v>18</v>
      </c>
      <c r="AH288" s="287" t="s">
        <v>18</v>
      </c>
      <c r="AI288" s="288" t="s">
        <v>18</v>
      </c>
      <c r="AJ288" s="287" t="s">
        <v>18</v>
      </c>
      <c r="AK288" s="287" t="s">
        <v>18</v>
      </c>
      <c r="AL288" s="288" t="s">
        <v>18</v>
      </c>
      <c r="AM288" s="287" t="s">
        <v>18</v>
      </c>
      <c r="AN288" s="287" t="s">
        <v>18</v>
      </c>
      <c r="AO288" s="288" t="s">
        <v>18</v>
      </c>
      <c r="AP288" s="289" t="s">
        <v>18</v>
      </c>
      <c r="AQ288" s="294" t="s">
        <v>32</v>
      </c>
      <c r="AR288" s="294" t="s">
        <v>32</v>
      </c>
      <c r="AS288" s="295" t="s">
        <v>32</v>
      </c>
      <c r="AT288" s="294" t="s">
        <v>32</v>
      </c>
      <c r="AU288" s="294" t="s">
        <v>32</v>
      </c>
      <c r="AV288" s="295" t="s">
        <v>32</v>
      </c>
      <c r="AW288" s="294" t="s">
        <v>32</v>
      </c>
      <c r="AX288" s="294" t="s">
        <v>32</v>
      </c>
      <c r="AY288" s="295" t="s">
        <v>32</v>
      </c>
      <c r="AZ288" s="287" t="s">
        <v>18</v>
      </c>
      <c r="BA288" s="294" t="s">
        <v>32</v>
      </c>
      <c r="BB288" s="288" t="s">
        <v>377</v>
      </c>
      <c r="BC288" s="296" t="s">
        <v>32</v>
      </c>
      <c r="BD288" s="292"/>
    </row>
    <row r="289" ht="12.75" customHeight="1">
      <c r="A289" s="293">
        <v>45271.89359662037</v>
      </c>
      <c r="B289" s="286" t="s">
        <v>504</v>
      </c>
      <c r="C289" s="287" t="s">
        <v>559</v>
      </c>
      <c r="D289" s="285" t="s">
        <v>16</v>
      </c>
      <c r="E289" s="285" t="s">
        <v>476</v>
      </c>
      <c r="F289" s="287" t="s">
        <v>859</v>
      </c>
      <c r="G289" s="285" t="s">
        <v>21</v>
      </c>
      <c r="H289" s="285">
        <v>13.0</v>
      </c>
      <c r="I289" s="287" t="s">
        <v>497</v>
      </c>
      <c r="J289" s="292"/>
      <c r="K289" s="287" t="s">
        <v>508</v>
      </c>
      <c r="L289" s="287" t="s">
        <v>479</v>
      </c>
      <c r="M289" s="287" t="s">
        <v>481</v>
      </c>
      <c r="N289" s="287" t="s">
        <v>561</v>
      </c>
      <c r="O289" s="287"/>
      <c r="P289" s="287"/>
      <c r="Q289" s="294" t="s">
        <v>32</v>
      </c>
      <c r="R289" s="287" t="s">
        <v>18</v>
      </c>
      <c r="S289" s="288" t="s">
        <v>377</v>
      </c>
      <c r="T289" s="287" t="s">
        <v>18</v>
      </c>
      <c r="U289" s="294" t="s">
        <v>32</v>
      </c>
      <c r="V289" s="288" t="s">
        <v>377</v>
      </c>
      <c r="W289" s="287" t="s">
        <v>18</v>
      </c>
      <c r="X289" s="287" t="s">
        <v>18</v>
      </c>
      <c r="Y289" s="288" t="s">
        <v>18</v>
      </c>
      <c r="Z289" s="287" t="s">
        <v>377</v>
      </c>
      <c r="AA289" s="287" t="s">
        <v>18</v>
      </c>
      <c r="AB289" s="288" t="s">
        <v>377</v>
      </c>
      <c r="AC289" s="289" t="s">
        <v>377</v>
      </c>
      <c r="AD289" s="287" t="s">
        <v>377</v>
      </c>
      <c r="AE289" s="287" t="s">
        <v>377</v>
      </c>
      <c r="AF289" s="288" t="s">
        <v>377</v>
      </c>
      <c r="AG289" s="287" t="s">
        <v>18</v>
      </c>
      <c r="AH289" s="287" t="s">
        <v>18</v>
      </c>
      <c r="AI289" s="288" t="s">
        <v>18</v>
      </c>
      <c r="AJ289" s="287" t="s">
        <v>18</v>
      </c>
      <c r="AK289" s="287" t="s">
        <v>18</v>
      </c>
      <c r="AL289" s="288" t="s">
        <v>18</v>
      </c>
      <c r="AM289" s="287" t="s">
        <v>18</v>
      </c>
      <c r="AN289" s="287" t="s">
        <v>18</v>
      </c>
      <c r="AO289" s="288" t="s">
        <v>18</v>
      </c>
      <c r="AP289" s="289" t="s">
        <v>18</v>
      </c>
      <c r="AQ289" s="294" t="s">
        <v>32</v>
      </c>
      <c r="AR289" s="287" t="s">
        <v>18</v>
      </c>
      <c r="AS289" s="288" t="s">
        <v>377</v>
      </c>
      <c r="AT289" s="294" t="s">
        <v>32</v>
      </c>
      <c r="AU289" s="287" t="s">
        <v>377</v>
      </c>
      <c r="AV289" s="295" t="s">
        <v>32</v>
      </c>
      <c r="AW289" s="287" t="s">
        <v>18</v>
      </c>
      <c r="AX289" s="287" t="s">
        <v>377</v>
      </c>
      <c r="AY289" s="288" t="s">
        <v>377</v>
      </c>
      <c r="AZ289" s="287" t="s">
        <v>18</v>
      </c>
      <c r="BA289" s="287" t="s">
        <v>18</v>
      </c>
      <c r="BB289" s="288" t="s">
        <v>18</v>
      </c>
      <c r="BC289" s="289" t="s">
        <v>377</v>
      </c>
      <c r="BD289" s="292"/>
    </row>
    <row r="290" ht="12.75" customHeight="1">
      <c r="A290" s="293">
        <v>45271.893726724535</v>
      </c>
      <c r="B290" s="286" t="s">
        <v>504</v>
      </c>
      <c r="C290" s="287" t="s">
        <v>559</v>
      </c>
      <c r="D290" s="285" t="s">
        <v>16</v>
      </c>
      <c r="E290" s="285" t="s">
        <v>476</v>
      </c>
      <c r="F290" s="287" t="s">
        <v>860</v>
      </c>
      <c r="G290" s="285" t="s">
        <v>21</v>
      </c>
      <c r="H290" s="285">
        <v>12.0</v>
      </c>
      <c r="I290" s="287" t="s">
        <v>497</v>
      </c>
      <c r="J290" s="292"/>
      <c r="K290" s="287" t="s">
        <v>508</v>
      </c>
      <c r="L290" s="287" t="s">
        <v>497</v>
      </c>
      <c r="M290" s="292"/>
      <c r="N290" s="292"/>
      <c r="O290" s="292"/>
      <c r="P290" s="292"/>
      <c r="Q290" s="294" t="s">
        <v>32</v>
      </c>
      <c r="R290" s="287" t="s">
        <v>18</v>
      </c>
      <c r="S290" s="288" t="s">
        <v>377</v>
      </c>
      <c r="T290" s="287" t="s">
        <v>377</v>
      </c>
      <c r="U290" s="294" t="s">
        <v>32</v>
      </c>
      <c r="V290" s="295" t="s">
        <v>32</v>
      </c>
      <c r="W290" s="287" t="s">
        <v>18</v>
      </c>
      <c r="X290" s="287" t="s">
        <v>377</v>
      </c>
      <c r="Y290" s="288" t="s">
        <v>377</v>
      </c>
      <c r="Z290" s="294" t="s">
        <v>32</v>
      </c>
      <c r="AA290" s="287" t="s">
        <v>18</v>
      </c>
      <c r="AB290" s="288" t="s">
        <v>377</v>
      </c>
      <c r="AC290" s="289" t="s">
        <v>377</v>
      </c>
      <c r="AD290" s="287" t="s">
        <v>377</v>
      </c>
      <c r="AE290" s="287" t="s">
        <v>377</v>
      </c>
      <c r="AF290" s="288" t="s">
        <v>377</v>
      </c>
      <c r="AG290" s="287" t="s">
        <v>18</v>
      </c>
      <c r="AH290" s="287" t="s">
        <v>18</v>
      </c>
      <c r="AI290" s="288" t="s">
        <v>18</v>
      </c>
      <c r="AJ290" s="287" t="s">
        <v>18</v>
      </c>
      <c r="AK290" s="287" t="s">
        <v>377</v>
      </c>
      <c r="AL290" s="288" t="s">
        <v>377</v>
      </c>
      <c r="AM290" s="287" t="s">
        <v>18</v>
      </c>
      <c r="AN290" s="287" t="s">
        <v>18</v>
      </c>
      <c r="AO290" s="288" t="s">
        <v>18</v>
      </c>
      <c r="AP290" s="289" t="s">
        <v>18</v>
      </c>
      <c r="AQ290" s="294" t="s">
        <v>32</v>
      </c>
      <c r="AR290" s="294" t="s">
        <v>32</v>
      </c>
      <c r="AS290" s="295" t="s">
        <v>32</v>
      </c>
      <c r="AT290" s="294" t="s">
        <v>32</v>
      </c>
      <c r="AU290" s="294" t="s">
        <v>32</v>
      </c>
      <c r="AV290" s="295" t="s">
        <v>32</v>
      </c>
      <c r="AW290" s="294" t="s">
        <v>32</v>
      </c>
      <c r="AX290" s="287" t="s">
        <v>18</v>
      </c>
      <c r="AY290" s="288" t="s">
        <v>377</v>
      </c>
      <c r="AZ290" s="287" t="s">
        <v>18</v>
      </c>
      <c r="BA290" s="294" t="s">
        <v>32</v>
      </c>
      <c r="BB290" s="288" t="s">
        <v>377</v>
      </c>
      <c r="BC290" s="289" t="s">
        <v>377</v>
      </c>
      <c r="BD290" s="292"/>
    </row>
    <row r="291" ht="12.75" customHeight="1">
      <c r="A291" s="293">
        <v>45271.89439097222</v>
      </c>
      <c r="B291" s="286" t="s">
        <v>504</v>
      </c>
      <c r="C291" s="287" t="s">
        <v>559</v>
      </c>
      <c r="D291" s="285" t="s">
        <v>16</v>
      </c>
      <c r="E291" s="285" t="s">
        <v>476</v>
      </c>
      <c r="F291" s="287" t="s">
        <v>861</v>
      </c>
      <c r="G291" s="285" t="s">
        <v>17</v>
      </c>
      <c r="H291" s="285">
        <v>12.0</v>
      </c>
      <c r="I291" s="287" t="s">
        <v>497</v>
      </c>
      <c r="J291" s="292"/>
      <c r="K291" s="287" t="s">
        <v>508</v>
      </c>
      <c r="L291" s="287" t="s">
        <v>497</v>
      </c>
      <c r="M291" s="292"/>
      <c r="N291" s="292"/>
      <c r="O291" s="292"/>
      <c r="P291" s="292"/>
      <c r="Q291" s="294" t="s">
        <v>32</v>
      </c>
      <c r="R291" s="287" t="s">
        <v>18</v>
      </c>
      <c r="S291" s="288" t="s">
        <v>377</v>
      </c>
      <c r="T291" s="287" t="s">
        <v>377</v>
      </c>
      <c r="U291" s="294" t="s">
        <v>32</v>
      </c>
      <c r="V291" s="295" t="s">
        <v>32</v>
      </c>
      <c r="W291" s="287" t="s">
        <v>18</v>
      </c>
      <c r="X291" s="287" t="s">
        <v>18</v>
      </c>
      <c r="Y291" s="288" t="s">
        <v>18</v>
      </c>
      <c r="Z291" s="287" t="s">
        <v>377</v>
      </c>
      <c r="AA291" s="294" t="s">
        <v>32</v>
      </c>
      <c r="AB291" s="295" t="s">
        <v>32</v>
      </c>
      <c r="AC291" s="289" t="s">
        <v>377</v>
      </c>
      <c r="AD291" s="287" t="s">
        <v>377</v>
      </c>
      <c r="AE291" s="294" t="s">
        <v>32</v>
      </c>
      <c r="AF291" s="295" t="s">
        <v>32</v>
      </c>
      <c r="AG291" s="287" t="s">
        <v>18</v>
      </c>
      <c r="AH291" s="287" t="s">
        <v>18</v>
      </c>
      <c r="AI291" s="288" t="s">
        <v>18</v>
      </c>
      <c r="AJ291" s="287" t="s">
        <v>18</v>
      </c>
      <c r="AK291" s="287" t="s">
        <v>18</v>
      </c>
      <c r="AL291" s="288" t="s">
        <v>18</v>
      </c>
      <c r="AM291" s="287" t="s">
        <v>18</v>
      </c>
      <c r="AN291" s="287" t="s">
        <v>18</v>
      </c>
      <c r="AO291" s="288" t="s">
        <v>18</v>
      </c>
      <c r="AP291" s="289" t="s">
        <v>18</v>
      </c>
      <c r="AQ291" s="287" t="s">
        <v>377</v>
      </c>
      <c r="AR291" s="287" t="s">
        <v>18</v>
      </c>
      <c r="AS291" s="288" t="s">
        <v>377</v>
      </c>
      <c r="AT291" s="294" t="s">
        <v>32</v>
      </c>
      <c r="AU291" s="287" t="s">
        <v>18</v>
      </c>
      <c r="AV291" s="288" t="s">
        <v>377</v>
      </c>
      <c r="AW291" s="287" t="s">
        <v>377</v>
      </c>
      <c r="AX291" s="294" t="s">
        <v>32</v>
      </c>
      <c r="AY291" s="295" t="s">
        <v>32</v>
      </c>
      <c r="AZ291" s="287" t="s">
        <v>18</v>
      </c>
      <c r="BA291" s="294" t="s">
        <v>32</v>
      </c>
      <c r="BB291" s="288" t="s">
        <v>18</v>
      </c>
      <c r="BC291" s="289" t="s">
        <v>377</v>
      </c>
      <c r="BD291" s="292"/>
    </row>
    <row r="292" ht="12.75" customHeight="1">
      <c r="A292" s="293">
        <v>45271.89548965278</v>
      </c>
      <c r="B292" s="286" t="s">
        <v>504</v>
      </c>
      <c r="C292" s="287" t="s">
        <v>559</v>
      </c>
      <c r="D292" s="285" t="s">
        <v>16</v>
      </c>
      <c r="E292" s="285" t="s">
        <v>476</v>
      </c>
      <c r="F292" s="287" t="s">
        <v>862</v>
      </c>
      <c r="G292" s="285" t="s">
        <v>17</v>
      </c>
      <c r="H292" s="285">
        <v>12.0</v>
      </c>
      <c r="I292" s="287" t="s">
        <v>497</v>
      </c>
      <c r="J292" s="292"/>
      <c r="K292" s="287" t="s">
        <v>508</v>
      </c>
      <c r="L292" s="287" t="s">
        <v>497</v>
      </c>
      <c r="M292" s="292"/>
      <c r="N292" s="292"/>
      <c r="O292" s="292"/>
      <c r="P292" s="292"/>
      <c r="Q292" s="294" t="s">
        <v>32</v>
      </c>
      <c r="R292" s="287" t="s">
        <v>18</v>
      </c>
      <c r="S292" s="288" t="s">
        <v>377</v>
      </c>
      <c r="T292" s="287" t="s">
        <v>18</v>
      </c>
      <c r="U292" s="294" t="s">
        <v>32</v>
      </c>
      <c r="V292" s="288" t="s">
        <v>377</v>
      </c>
      <c r="W292" s="287" t="s">
        <v>18</v>
      </c>
      <c r="X292" s="287" t="s">
        <v>18</v>
      </c>
      <c r="Y292" s="288" t="s">
        <v>18</v>
      </c>
      <c r="Z292" s="287" t="s">
        <v>377</v>
      </c>
      <c r="AA292" s="287" t="s">
        <v>18</v>
      </c>
      <c r="AB292" s="288" t="s">
        <v>377</v>
      </c>
      <c r="AC292" s="289" t="s">
        <v>377</v>
      </c>
      <c r="AD292" s="287" t="s">
        <v>18</v>
      </c>
      <c r="AE292" s="287" t="s">
        <v>377</v>
      </c>
      <c r="AF292" s="288" t="s">
        <v>377</v>
      </c>
      <c r="AG292" s="287" t="s">
        <v>18</v>
      </c>
      <c r="AH292" s="287" t="s">
        <v>18</v>
      </c>
      <c r="AI292" s="288" t="s">
        <v>18</v>
      </c>
      <c r="AJ292" s="287" t="s">
        <v>18</v>
      </c>
      <c r="AK292" s="287" t="s">
        <v>18</v>
      </c>
      <c r="AL292" s="288" t="s">
        <v>18</v>
      </c>
      <c r="AM292" s="287" t="s">
        <v>18</v>
      </c>
      <c r="AN292" s="287" t="s">
        <v>18</v>
      </c>
      <c r="AO292" s="288" t="s">
        <v>18</v>
      </c>
      <c r="AP292" s="289" t="s">
        <v>18</v>
      </c>
      <c r="AQ292" s="294" t="s">
        <v>32</v>
      </c>
      <c r="AR292" s="287" t="s">
        <v>377</v>
      </c>
      <c r="AS292" s="295" t="s">
        <v>32</v>
      </c>
      <c r="AT292" s="294" t="s">
        <v>32</v>
      </c>
      <c r="AU292" s="287" t="s">
        <v>377</v>
      </c>
      <c r="AV292" s="295" t="s">
        <v>32</v>
      </c>
      <c r="AW292" s="294" t="s">
        <v>32</v>
      </c>
      <c r="AX292" s="287" t="s">
        <v>377</v>
      </c>
      <c r="AY292" s="295" t="s">
        <v>32</v>
      </c>
      <c r="AZ292" s="287" t="s">
        <v>18</v>
      </c>
      <c r="BA292" s="294" t="s">
        <v>32</v>
      </c>
      <c r="BB292" s="288" t="s">
        <v>18</v>
      </c>
      <c r="BC292" s="289" t="s">
        <v>18</v>
      </c>
      <c r="BD292" s="292"/>
    </row>
    <row r="293" ht="12.75" customHeight="1">
      <c r="A293" s="293">
        <v>45271.89568591435</v>
      </c>
      <c r="B293" s="286" t="s">
        <v>504</v>
      </c>
      <c r="C293" s="287" t="s">
        <v>559</v>
      </c>
      <c r="D293" s="285" t="s">
        <v>16</v>
      </c>
      <c r="E293" s="285" t="s">
        <v>476</v>
      </c>
      <c r="F293" s="287" t="s">
        <v>863</v>
      </c>
      <c r="G293" s="285" t="s">
        <v>17</v>
      </c>
      <c r="H293" s="285">
        <v>12.0</v>
      </c>
      <c r="I293" s="287" t="s">
        <v>497</v>
      </c>
      <c r="J293" s="292"/>
      <c r="K293" s="287" t="s">
        <v>508</v>
      </c>
      <c r="L293" s="287" t="s">
        <v>479</v>
      </c>
      <c r="M293" s="287" t="s">
        <v>481</v>
      </c>
      <c r="N293" s="287" t="s">
        <v>561</v>
      </c>
      <c r="O293" s="287"/>
      <c r="P293" s="287"/>
      <c r="Q293" s="294" t="s">
        <v>32</v>
      </c>
      <c r="R293" s="287" t="s">
        <v>18</v>
      </c>
      <c r="S293" s="288" t="s">
        <v>377</v>
      </c>
      <c r="T293" s="287" t="s">
        <v>18</v>
      </c>
      <c r="U293" s="294" t="s">
        <v>32</v>
      </c>
      <c r="V293" s="288" t="s">
        <v>377</v>
      </c>
      <c r="W293" s="287" t="s">
        <v>18</v>
      </c>
      <c r="X293" s="287" t="s">
        <v>18</v>
      </c>
      <c r="Y293" s="288" t="s">
        <v>18</v>
      </c>
      <c r="Z293" s="287" t="s">
        <v>377</v>
      </c>
      <c r="AA293" s="287" t="s">
        <v>18</v>
      </c>
      <c r="AB293" s="288" t="s">
        <v>377</v>
      </c>
      <c r="AC293" s="289" t="s">
        <v>377</v>
      </c>
      <c r="AD293" s="287" t="s">
        <v>18</v>
      </c>
      <c r="AE293" s="287" t="s">
        <v>377</v>
      </c>
      <c r="AF293" s="288" t="s">
        <v>377</v>
      </c>
      <c r="AG293" s="287" t="s">
        <v>18</v>
      </c>
      <c r="AH293" s="287" t="s">
        <v>18</v>
      </c>
      <c r="AI293" s="288" t="s">
        <v>18</v>
      </c>
      <c r="AJ293" s="287" t="s">
        <v>18</v>
      </c>
      <c r="AK293" s="287" t="s">
        <v>18</v>
      </c>
      <c r="AL293" s="288" t="s">
        <v>18</v>
      </c>
      <c r="AM293" s="287" t="s">
        <v>18</v>
      </c>
      <c r="AN293" s="287" t="s">
        <v>18</v>
      </c>
      <c r="AO293" s="288" t="s">
        <v>18</v>
      </c>
      <c r="AP293" s="289" t="s">
        <v>18</v>
      </c>
      <c r="AQ293" s="287" t="s">
        <v>18</v>
      </c>
      <c r="AR293" s="287" t="s">
        <v>18</v>
      </c>
      <c r="AS293" s="288" t="s">
        <v>18</v>
      </c>
      <c r="AT293" s="294" t="s">
        <v>32</v>
      </c>
      <c r="AU293" s="287" t="s">
        <v>18</v>
      </c>
      <c r="AV293" s="288" t="s">
        <v>377</v>
      </c>
      <c r="AW293" s="287" t="s">
        <v>18</v>
      </c>
      <c r="AX293" s="287" t="s">
        <v>377</v>
      </c>
      <c r="AY293" s="288" t="s">
        <v>377</v>
      </c>
      <c r="AZ293" s="287" t="s">
        <v>18</v>
      </c>
      <c r="BA293" s="287" t="s">
        <v>18</v>
      </c>
      <c r="BB293" s="288" t="s">
        <v>377</v>
      </c>
      <c r="BC293" s="289" t="s">
        <v>377</v>
      </c>
      <c r="BD293" s="292"/>
    </row>
    <row r="294" ht="12.75" customHeight="1">
      <c r="A294" s="293">
        <v>45271.89658541667</v>
      </c>
      <c r="B294" s="286" t="s">
        <v>504</v>
      </c>
      <c r="C294" s="287" t="s">
        <v>559</v>
      </c>
      <c r="D294" s="285" t="s">
        <v>16</v>
      </c>
      <c r="E294" s="285" t="s">
        <v>476</v>
      </c>
      <c r="F294" s="287" t="s">
        <v>864</v>
      </c>
      <c r="G294" s="285" t="s">
        <v>21</v>
      </c>
      <c r="H294" s="285">
        <v>12.0</v>
      </c>
      <c r="I294" s="287" t="s">
        <v>497</v>
      </c>
      <c r="J294" s="292"/>
      <c r="K294" s="287" t="s">
        <v>508</v>
      </c>
      <c r="L294" s="287" t="s">
        <v>497</v>
      </c>
      <c r="M294" s="292"/>
      <c r="N294" s="292"/>
      <c r="O294" s="292"/>
      <c r="P294" s="292"/>
      <c r="Q294" s="294" t="s">
        <v>32</v>
      </c>
      <c r="R294" s="287" t="s">
        <v>18</v>
      </c>
      <c r="S294" s="288" t="s">
        <v>377</v>
      </c>
      <c r="T294" s="294" t="s">
        <v>32</v>
      </c>
      <c r="U294" s="294" t="s">
        <v>32</v>
      </c>
      <c r="V294" s="295" t="s">
        <v>32</v>
      </c>
      <c r="W294" s="287" t="s">
        <v>18</v>
      </c>
      <c r="X294" s="287" t="s">
        <v>18</v>
      </c>
      <c r="Y294" s="288" t="s">
        <v>18</v>
      </c>
      <c r="Z294" s="287" t="s">
        <v>377</v>
      </c>
      <c r="AA294" s="294" t="s">
        <v>32</v>
      </c>
      <c r="AB294" s="295" t="s">
        <v>32</v>
      </c>
      <c r="AC294" s="289" t="s">
        <v>377</v>
      </c>
      <c r="AD294" s="287" t="s">
        <v>377</v>
      </c>
      <c r="AE294" s="294" t="s">
        <v>32</v>
      </c>
      <c r="AF294" s="295" t="s">
        <v>32</v>
      </c>
      <c r="AG294" s="287" t="s">
        <v>18</v>
      </c>
      <c r="AH294" s="287" t="s">
        <v>18</v>
      </c>
      <c r="AI294" s="288" t="s">
        <v>18</v>
      </c>
      <c r="AJ294" s="287" t="s">
        <v>18</v>
      </c>
      <c r="AK294" s="287" t="s">
        <v>377</v>
      </c>
      <c r="AL294" s="288" t="s">
        <v>377</v>
      </c>
      <c r="AM294" s="287" t="s">
        <v>18</v>
      </c>
      <c r="AN294" s="287" t="s">
        <v>18</v>
      </c>
      <c r="AO294" s="288" t="s">
        <v>18</v>
      </c>
      <c r="AP294" s="289" t="s">
        <v>377</v>
      </c>
      <c r="AQ294" s="294" t="s">
        <v>32</v>
      </c>
      <c r="AR294" s="287" t="s">
        <v>18</v>
      </c>
      <c r="AS294" s="288" t="s">
        <v>377</v>
      </c>
      <c r="AT294" s="294" t="s">
        <v>32</v>
      </c>
      <c r="AU294" s="294" t="s">
        <v>32</v>
      </c>
      <c r="AV294" s="295" t="s">
        <v>32</v>
      </c>
      <c r="AW294" s="287" t="s">
        <v>377</v>
      </c>
      <c r="AX294" s="294" t="s">
        <v>32</v>
      </c>
      <c r="AY294" s="295" t="s">
        <v>32</v>
      </c>
      <c r="AZ294" s="287" t="s">
        <v>18</v>
      </c>
      <c r="BA294" s="294" t="s">
        <v>32</v>
      </c>
      <c r="BB294" s="288" t="s">
        <v>18</v>
      </c>
      <c r="BC294" s="289" t="s">
        <v>377</v>
      </c>
      <c r="BD294" s="292"/>
    </row>
    <row r="295" ht="12.75" customHeight="1">
      <c r="A295" s="293">
        <v>45271.898237546295</v>
      </c>
      <c r="B295" s="286" t="s">
        <v>504</v>
      </c>
      <c r="C295" s="287" t="s">
        <v>559</v>
      </c>
      <c r="D295" s="285" t="s">
        <v>16</v>
      </c>
      <c r="E295" s="285" t="s">
        <v>476</v>
      </c>
      <c r="F295" s="287" t="s">
        <v>865</v>
      </c>
      <c r="G295" s="285" t="s">
        <v>17</v>
      </c>
      <c r="H295" s="285">
        <v>11.0</v>
      </c>
      <c r="I295" s="287" t="s">
        <v>497</v>
      </c>
      <c r="J295" s="292"/>
      <c r="K295" s="287" t="s">
        <v>508</v>
      </c>
      <c r="L295" s="287" t="s">
        <v>479</v>
      </c>
      <c r="M295" s="287" t="s">
        <v>481</v>
      </c>
      <c r="N295" s="287" t="s">
        <v>561</v>
      </c>
      <c r="O295" s="287"/>
      <c r="P295" s="287"/>
      <c r="Q295" s="287" t="s">
        <v>377</v>
      </c>
      <c r="R295" s="287" t="s">
        <v>18</v>
      </c>
      <c r="S295" s="288" t="s">
        <v>377</v>
      </c>
      <c r="T295" s="287" t="s">
        <v>18</v>
      </c>
      <c r="U295" s="287" t="s">
        <v>377</v>
      </c>
      <c r="V295" s="288" t="s">
        <v>377</v>
      </c>
      <c r="W295" s="287" t="s">
        <v>18</v>
      </c>
      <c r="X295" s="287" t="s">
        <v>18</v>
      </c>
      <c r="Y295" s="288" t="s">
        <v>18</v>
      </c>
      <c r="Z295" s="287" t="s">
        <v>18</v>
      </c>
      <c r="AA295" s="287" t="s">
        <v>18</v>
      </c>
      <c r="AB295" s="288" t="s">
        <v>18</v>
      </c>
      <c r="AC295" s="289" t="s">
        <v>18</v>
      </c>
      <c r="AD295" s="287" t="s">
        <v>377</v>
      </c>
      <c r="AE295" s="287" t="s">
        <v>18</v>
      </c>
      <c r="AF295" s="288" t="s">
        <v>377</v>
      </c>
      <c r="AG295" s="287" t="s">
        <v>18</v>
      </c>
      <c r="AH295" s="287" t="s">
        <v>18</v>
      </c>
      <c r="AI295" s="288" t="s">
        <v>18</v>
      </c>
      <c r="AJ295" s="287" t="s">
        <v>18</v>
      </c>
      <c r="AK295" s="287" t="s">
        <v>18</v>
      </c>
      <c r="AL295" s="288" t="s">
        <v>18</v>
      </c>
      <c r="AM295" s="287" t="s">
        <v>18</v>
      </c>
      <c r="AN295" s="287" t="s">
        <v>18</v>
      </c>
      <c r="AO295" s="288" t="s">
        <v>18</v>
      </c>
      <c r="AP295" s="289" t="s">
        <v>18</v>
      </c>
      <c r="AQ295" s="287" t="s">
        <v>18</v>
      </c>
      <c r="AR295" s="287" t="s">
        <v>18</v>
      </c>
      <c r="AS295" s="288" t="s">
        <v>18</v>
      </c>
      <c r="AT295" s="294" t="s">
        <v>32</v>
      </c>
      <c r="AU295" s="287" t="s">
        <v>377</v>
      </c>
      <c r="AV295" s="295" t="s">
        <v>32</v>
      </c>
      <c r="AW295" s="287" t="s">
        <v>18</v>
      </c>
      <c r="AX295" s="287" t="s">
        <v>18</v>
      </c>
      <c r="AY295" s="288" t="s">
        <v>18</v>
      </c>
      <c r="AZ295" s="287" t="s">
        <v>18</v>
      </c>
      <c r="BA295" s="287" t="s">
        <v>18</v>
      </c>
      <c r="BB295" s="288" t="s">
        <v>18</v>
      </c>
      <c r="BC295" s="289" t="s">
        <v>377</v>
      </c>
      <c r="BD295" s="292"/>
    </row>
    <row r="296" ht="12.75" customHeight="1">
      <c r="A296" s="293">
        <v>45271.89920857639</v>
      </c>
      <c r="B296" s="286" t="s">
        <v>504</v>
      </c>
      <c r="C296" s="287" t="s">
        <v>559</v>
      </c>
      <c r="D296" s="285" t="s">
        <v>16</v>
      </c>
      <c r="E296" s="285" t="s">
        <v>476</v>
      </c>
      <c r="F296" s="287" t="s">
        <v>866</v>
      </c>
      <c r="G296" s="285" t="s">
        <v>21</v>
      </c>
      <c r="H296" s="285">
        <v>12.0</v>
      </c>
      <c r="I296" s="287" t="s">
        <v>497</v>
      </c>
      <c r="J296" s="292"/>
      <c r="K296" s="287" t="s">
        <v>508</v>
      </c>
      <c r="L296" s="287" t="s">
        <v>497</v>
      </c>
      <c r="M296" s="292"/>
      <c r="N296" s="292"/>
      <c r="O296" s="292"/>
      <c r="P296" s="292"/>
      <c r="Q296" s="294" t="s">
        <v>32</v>
      </c>
      <c r="R296" s="287" t="s">
        <v>377</v>
      </c>
      <c r="S296" s="295" t="s">
        <v>32</v>
      </c>
      <c r="T296" s="294" t="s">
        <v>32</v>
      </c>
      <c r="U296" s="294" t="s">
        <v>32</v>
      </c>
      <c r="V296" s="295" t="s">
        <v>32</v>
      </c>
      <c r="W296" s="287" t="s">
        <v>18</v>
      </c>
      <c r="X296" s="287" t="s">
        <v>18</v>
      </c>
      <c r="Y296" s="288" t="s">
        <v>18</v>
      </c>
      <c r="Z296" s="287" t="s">
        <v>377</v>
      </c>
      <c r="AA296" s="294" t="s">
        <v>32</v>
      </c>
      <c r="AB296" s="295" t="s">
        <v>32</v>
      </c>
      <c r="AC296" s="289" t="s">
        <v>377</v>
      </c>
      <c r="AD296" s="287" t="s">
        <v>377</v>
      </c>
      <c r="AE296" s="294" t="s">
        <v>32</v>
      </c>
      <c r="AF296" s="295" t="s">
        <v>32</v>
      </c>
      <c r="AG296" s="287" t="s">
        <v>18</v>
      </c>
      <c r="AH296" s="287" t="s">
        <v>18</v>
      </c>
      <c r="AI296" s="288" t="s">
        <v>18</v>
      </c>
      <c r="AJ296" s="287" t="s">
        <v>18</v>
      </c>
      <c r="AK296" s="287" t="s">
        <v>377</v>
      </c>
      <c r="AL296" s="288" t="s">
        <v>377</v>
      </c>
      <c r="AM296" s="287" t="s">
        <v>18</v>
      </c>
      <c r="AN296" s="287" t="s">
        <v>18</v>
      </c>
      <c r="AO296" s="288" t="s">
        <v>18</v>
      </c>
      <c r="AP296" s="289" t="s">
        <v>377</v>
      </c>
      <c r="AQ296" s="287" t="s">
        <v>377</v>
      </c>
      <c r="AR296" s="287" t="s">
        <v>377</v>
      </c>
      <c r="AS296" s="288" t="s">
        <v>377</v>
      </c>
      <c r="AT296" s="294" t="s">
        <v>32</v>
      </c>
      <c r="AU296" s="294" t="s">
        <v>32</v>
      </c>
      <c r="AV296" s="295" t="s">
        <v>32</v>
      </c>
      <c r="AW296" s="287" t="s">
        <v>377</v>
      </c>
      <c r="AX296" s="294" t="s">
        <v>32</v>
      </c>
      <c r="AY296" s="295" t="s">
        <v>32</v>
      </c>
      <c r="AZ296" s="287" t="s">
        <v>18</v>
      </c>
      <c r="BA296" s="294" t="s">
        <v>32</v>
      </c>
      <c r="BB296" s="288" t="s">
        <v>18</v>
      </c>
      <c r="BC296" s="289" t="s">
        <v>18</v>
      </c>
      <c r="BD296" s="292"/>
    </row>
    <row r="297" ht="12.75" customHeight="1">
      <c r="A297" s="293">
        <v>45271.90332680556</v>
      </c>
      <c r="B297" s="286" t="s">
        <v>504</v>
      </c>
      <c r="C297" s="287" t="s">
        <v>559</v>
      </c>
      <c r="D297" s="285" t="s">
        <v>16</v>
      </c>
      <c r="E297" s="285" t="s">
        <v>476</v>
      </c>
      <c r="F297" s="287" t="s">
        <v>867</v>
      </c>
      <c r="G297" s="285" t="s">
        <v>21</v>
      </c>
      <c r="H297" s="285">
        <v>12.0</v>
      </c>
      <c r="I297" s="287" t="s">
        <v>497</v>
      </c>
      <c r="J297" s="292"/>
      <c r="K297" s="287" t="s">
        <v>508</v>
      </c>
      <c r="L297" s="287" t="s">
        <v>479</v>
      </c>
      <c r="M297" s="287" t="s">
        <v>481</v>
      </c>
      <c r="N297" s="287" t="s">
        <v>561</v>
      </c>
      <c r="O297" s="287"/>
      <c r="P297" s="287"/>
      <c r="Q297" s="287" t="s">
        <v>377</v>
      </c>
      <c r="R297" s="287" t="s">
        <v>18</v>
      </c>
      <c r="S297" s="288" t="s">
        <v>377</v>
      </c>
      <c r="T297" s="287" t="s">
        <v>18</v>
      </c>
      <c r="U297" s="294" t="s">
        <v>32</v>
      </c>
      <c r="V297" s="288" t="s">
        <v>377</v>
      </c>
      <c r="W297" s="287" t="s">
        <v>18</v>
      </c>
      <c r="X297" s="287" t="s">
        <v>18</v>
      </c>
      <c r="Y297" s="288" t="s">
        <v>18</v>
      </c>
      <c r="Z297" s="287" t="s">
        <v>377</v>
      </c>
      <c r="AA297" s="287" t="s">
        <v>18</v>
      </c>
      <c r="AB297" s="288" t="s">
        <v>377</v>
      </c>
      <c r="AC297" s="289" t="s">
        <v>377</v>
      </c>
      <c r="AD297" s="287" t="s">
        <v>377</v>
      </c>
      <c r="AE297" s="287" t="s">
        <v>377</v>
      </c>
      <c r="AF297" s="288" t="s">
        <v>377</v>
      </c>
      <c r="AG297" s="287" t="s">
        <v>18</v>
      </c>
      <c r="AH297" s="287" t="s">
        <v>18</v>
      </c>
      <c r="AI297" s="288" t="s">
        <v>18</v>
      </c>
      <c r="AJ297" s="287" t="s">
        <v>18</v>
      </c>
      <c r="AK297" s="287" t="s">
        <v>18</v>
      </c>
      <c r="AL297" s="288" t="s">
        <v>18</v>
      </c>
      <c r="AM297" s="287" t="s">
        <v>18</v>
      </c>
      <c r="AN297" s="287" t="s">
        <v>18</v>
      </c>
      <c r="AO297" s="288" t="s">
        <v>18</v>
      </c>
      <c r="AP297" s="289" t="s">
        <v>18</v>
      </c>
      <c r="AQ297" s="294" t="s">
        <v>32</v>
      </c>
      <c r="AR297" s="287" t="s">
        <v>377</v>
      </c>
      <c r="AS297" s="295" t="s">
        <v>32</v>
      </c>
      <c r="AT297" s="294" t="s">
        <v>32</v>
      </c>
      <c r="AU297" s="294" t="s">
        <v>32</v>
      </c>
      <c r="AV297" s="295" t="s">
        <v>32</v>
      </c>
      <c r="AW297" s="287" t="s">
        <v>377</v>
      </c>
      <c r="AX297" s="287" t="s">
        <v>18</v>
      </c>
      <c r="AY297" s="288" t="s">
        <v>377</v>
      </c>
      <c r="AZ297" s="294" t="s">
        <v>32</v>
      </c>
      <c r="BA297" s="287" t="s">
        <v>18</v>
      </c>
      <c r="BB297" s="288" t="s">
        <v>18</v>
      </c>
      <c r="BC297" s="289" t="s">
        <v>18</v>
      </c>
      <c r="BD297" s="292"/>
    </row>
    <row r="298" ht="12.75" customHeight="1">
      <c r="A298" s="293">
        <v>45271.90616844907</v>
      </c>
      <c r="B298" s="286" t="s">
        <v>504</v>
      </c>
      <c r="C298" s="287" t="s">
        <v>559</v>
      </c>
      <c r="D298" s="285" t="s">
        <v>16</v>
      </c>
      <c r="E298" s="285" t="s">
        <v>476</v>
      </c>
      <c r="F298" s="287" t="s">
        <v>868</v>
      </c>
      <c r="G298" s="285" t="s">
        <v>17</v>
      </c>
      <c r="H298" s="285">
        <v>12.0</v>
      </c>
      <c r="I298" s="287" t="s">
        <v>497</v>
      </c>
      <c r="J298" s="292"/>
      <c r="K298" s="287" t="s">
        <v>508</v>
      </c>
      <c r="L298" s="287" t="s">
        <v>479</v>
      </c>
      <c r="M298" s="287" t="s">
        <v>481</v>
      </c>
      <c r="N298" s="287" t="s">
        <v>561</v>
      </c>
      <c r="O298" s="287"/>
      <c r="P298" s="287"/>
      <c r="Q298" s="294" t="s">
        <v>32</v>
      </c>
      <c r="R298" s="287" t="s">
        <v>18</v>
      </c>
      <c r="S298" s="288" t="s">
        <v>377</v>
      </c>
      <c r="T298" s="287" t="s">
        <v>18</v>
      </c>
      <c r="U298" s="294" t="s">
        <v>32</v>
      </c>
      <c r="V298" s="288" t="s">
        <v>377</v>
      </c>
      <c r="W298" s="287" t="s">
        <v>18</v>
      </c>
      <c r="X298" s="287" t="s">
        <v>18</v>
      </c>
      <c r="Y298" s="288" t="s">
        <v>18</v>
      </c>
      <c r="Z298" s="287" t="s">
        <v>377</v>
      </c>
      <c r="AA298" s="287" t="s">
        <v>18</v>
      </c>
      <c r="AB298" s="288" t="s">
        <v>377</v>
      </c>
      <c r="AC298" s="289" t="s">
        <v>377</v>
      </c>
      <c r="AD298" s="287" t="s">
        <v>377</v>
      </c>
      <c r="AE298" s="294" t="s">
        <v>32</v>
      </c>
      <c r="AF298" s="295" t="s">
        <v>32</v>
      </c>
      <c r="AG298" s="287" t="s">
        <v>18</v>
      </c>
      <c r="AH298" s="287" t="s">
        <v>18</v>
      </c>
      <c r="AI298" s="288" t="s">
        <v>18</v>
      </c>
      <c r="AJ298" s="287" t="s">
        <v>18</v>
      </c>
      <c r="AK298" s="287" t="s">
        <v>18</v>
      </c>
      <c r="AL298" s="288" t="s">
        <v>18</v>
      </c>
      <c r="AM298" s="287" t="s">
        <v>18</v>
      </c>
      <c r="AN298" s="287" t="s">
        <v>18</v>
      </c>
      <c r="AO298" s="288" t="s">
        <v>18</v>
      </c>
      <c r="AP298" s="289" t="s">
        <v>18</v>
      </c>
      <c r="AQ298" s="287" t="s">
        <v>18</v>
      </c>
      <c r="AR298" s="287" t="s">
        <v>377</v>
      </c>
      <c r="AS298" s="288" t="s">
        <v>377</v>
      </c>
      <c r="AT298" s="294" t="s">
        <v>32</v>
      </c>
      <c r="AU298" s="287" t="s">
        <v>377</v>
      </c>
      <c r="AV298" s="295" t="s">
        <v>32</v>
      </c>
      <c r="AW298" s="287" t="s">
        <v>18</v>
      </c>
      <c r="AX298" s="287" t="s">
        <v>18</v>
      </c>
      <c r="AY298" s="288" t="s">
        <v>18</v>
      </c>
      <c r="AZ298" s="287" t="s">
        <v>18</v>
      </c>
      <c r="BA298" s="287" t="s">
        <v>18</v>
      </c>
      <c r="BB298" s="288" t="s">
        <v>377</v>
      </c>
      <c r="BC298" s="289" t="s">
        <v>377</v>
      </c>
      <c r="BD298" s="292"/>
    </row>
    <row r="299" ht="12.75" customHeight="1">
      <c r="A299" s="293">
        <v>45271.90772079861</v>
      </c>
      <c r="B299" s="286" t="s">
        <v>504</v>
      </c>
      <c r="C299" s="287" t="s">
        <v>559</v>
      </c>
      <c r="D299" s="285" t="s">
        <v>16</v>
      </c>
      <c r="E299" s="285" t="s">
        <v>476</v>
      </c>
      <c r="F299" s="287" t="s">
        <v>869</v>
      </c>
      <c r="G299" s="285" t="s">
        <v>21</v>
      </c>
      <c r="H299" s="285">
        <v>12.0</v>
      </c>
      <c r="I299" s="287" t="s">
        <v>497</v>
      </c>
      <c r="J299" s="292"/>
      <c r="K299" s="287" t="s">
        <v>508</v>
      </c>
      <c r="L299" s="287" t="s">
        <v>497</v>
      </c>
      <c r="M299" s="292"/>
      <c r="N299" s="292"/>
      <c r="O299" s="292"/>
      <c r="P299" s="292"/>
      <c r="Q299" s="294" t="s">
        <v>32</v>
      </c>
      <c r="R299" s="287" t="s">
        <v>18</v>
      </c>
      <c r="S299" s="288" t="s">
        <v>377</v>
      </c>
      <c r="T299" s="287" t="s">
        <v>18</v>
      </c>
      <c r="U299" s="294" t="s">
        <v>32</v>
      </c>
      <c r="V299" s="288" t="s">
        <v>377</v>
      </c>
      <c r="W299" s="287" t="s">
        <v>18</v>
      </c>
      <c r="X299" s="287" t="s">
        <v>18</v>
      </c>
      <c r="Y299" s="288" t="s">
        <v>18</v>
      </c>
      <c r="Z299" s="287" t="s">
        <v>377</v>
      </c>
      <c r="AA299" s="287" t="s">
        <v>18</v>
      </c>
      <c r="AB299" s="288" t="s">
        <v>377</v>
      </c>
      <c r="AC299" s="289" t="s">
        <v>377</v>
      </c>
      <c r="AD299" s="287" t="s">
        <v>18</v>
      </c>
      <c r="AE299" s="287" t="s">
        <v>377</v>
      </c>
      <c r="AF299" s="288" t="s">
        <v>377</v>
      </c>
      <c r="AG299" s="287" t="s">
        <v>18</v>
      </c>
      <c r="AH299" s="287" t="s">
        <v>18</v>
      </c>
      <c r="AI299" s="288" t="s">
        <v>18</v>
      </c>
      <c r="AJ299" s="287" t="s">
        <v>18</v>
      </c>
      <c r="AK299" s="287" t="s">
        <v>18</v>
      </c>
      <c r="AL299" s="288" t="s">
        <v>18</v>
      </c>
      <c r="AM299" s="287" t="s">
        <v>18</v>
      </c>
      <c r="AN299" s="287" t="s">
        <v>18</v>
      </c>
      <c r="AO299" s="288" t="s">
        <v>18</v>
      </c>
      <c r="AP299" s="289" t="s">
        <v>18</v>
      </c>
      <c r="AQ299" s="294" t="s">
        <v>32</v>
      </c>
      <c r="AR299" s="287" t="s">
        <v>377</v>
      </c>
      <c r="AS299" s="295" t="s">
        <v>32</v>
      </c>
      <c r="AT299" s="287" t="s">
        <v>18</v>
      </c>
      <c r="AU299" s="294" t="s">
        <v>32</v>
      </c>
      <c r="AV299" s="288" t="s">
        <v>377</v>
      </c>
      <c r="AW299" s="294" t="s">
        <v>32</v>
      </c>
      <c r="AX299" s="287" t="s">
        <v>18</v>
      </c>
      <c r="AY299" s="288" t="s">
        <v>377</v>
      </c>
      <c r="AZ299" s="287" t="s">
        <v>18</v>
      </c>
      <c r="BA299" s="294" t="s">
        <v>32</v>
      </c>
      <c r="BB299" s="288" t="s">
        <v>377</v>
      </c>
      <c r="BC299" s="289" t="s">
        <v>377</v>
      </c>
      <c r="BD299" s="292"/>
    </row>
    <row r="300" ht="12.75" customHeight="1">
      <c r="A300" s="293">
        <v>45271.90776746528</v>
      </c>
      <c r="B300" s="286" t="s">
        <v>504</v>
      </c>
      <c r="C300" s="287" t="s">
        <v>559</v>
      </c>
      <c r="D300" s="285" t="s">
        <v>16</v>
      </c>
      <c r="E300" s="285" t="s">
        <v>476</v>
      </c>
      <c r="F300" s="287" t="s">
        <v>870</v>
      </c>
      <c r="G300" s="285" t="s">
        <v>17</v>
      </c>
      <c r="H300" s="285">
        <v>11.0</v>
      </c>
      <c r="I300" s="287" t="s">
        <v>497</v>
      </c>
      <c r="J300" s="292"/>
      <c r="K300" s="287" t="s">
        <v>508</v>
      </c>
      <c r="L300" s="287" t="s">
        <v>479</v>
      </c>
      <c r="M300" s="287" t="s">
        <v>481</v>
      </c>
      <c r="N300" s="287" t="s">
        <v>561</v>
      </c>
      <c r="O300" s="287"/>
      <c r="P300" s="287"/>
      <c r="Q300" s="294" t="s">
        <v>32</v>
      </c>
      <c r="R300" s="287" t="s">
        <v>18</v>
      </c>
      <c r="S300" s="288" t="s">
        <v>377</v>
      </c>
      <c r="T300" s="287" t="s">
        <v>18</v>
      </c>
      <c r="U300" s="294" t="s">
        <v>32</v>
      </c>
      <c r="V300" s="288" t="s">
        <v>377</v>
      </c>
      <c r="W300" s="287" t="s">
        <v>18</v>
      </c>
      <c r="X300" s="287" t="s">
        <v>18</v>
      </c>
      <c r="Y300" s="288" t="s">
        <v>18</v>
      </c>
      <c r="Z300" s="287" t="s">
        <v>377</v>
      </c>
      <c r="AA300" s="294" t="s">
        <v>32</v>
      </c>
      <c r="AB300" s="295" t="s">
        <v>32</v>
      </c>
      <c r="AC300" s="289" t="s">
        <v>377</v>
      </c>
      <c r="AD300" s="294" t="s">
        <v>32</v>
      </c>
      <c r="AE300" s="287" t="s">
        <v>18</v>
      </c>
      <c r="AF300" s="288" t="s">
        <v>377</v>
      </c>
      <c r="AG300" s="287" t="s">
        <v>18</v>
      </c>
      <c r="AH300" s="287" t="s">
        <v>18</v>
      </c>
      <c r="AI300" s="288" t="s">
        <v>18</v>
      </c>
      <c r="AJ300" s="287" t="s">
        <v>18</v>
      </c>
      <c r="AK300" s="287" t="s">
        <v>18</v>
      </c>
      <c r="AL300" s="288" t="s">
        <v>18</v>
      </c>
      <c r="AM300" s="287" t="s">
        <v>18</v>
      </c>
      <c r="AN300" s="287" t="s">
        <v>18</v>
      </c>
      <c r="AO300" s="288" t="s">
        <v>18</v>
      </c>
      <c r="AP300" s="289" t="s">
        <v>18</v>
      </c>
      <c r="AQ300" s="287" t="s">
        <v>18</v>
      </c>
      <c r="AR300" s="287" t="s">
        <v>18</v>
      </c>
      <c r="AS300" s="288" t="s">
        <v>18</v>
      </c>
      <c r="AT300" s="294" t="s">
        <v>32</v>
      </c>
      <c r="AU300" s="294" t="s">
        <v>32</v>
      </c>
      <c r="AV300" s="295" t="s">
        <v>32</v>
      </c>
      <c r="AW300" s="287" t="s">
        <v>18</v>
      </c>
      <c r="AX300" s="287" t="s">
        <v>18</v>
      </c>
      <c r="AY300" s="288" t="s">
        <v>18</v>
      </c>
      <c r="AZ300" s="287" t="s">
        <v>18</v>
      </c>
      <c r="BA300" s="287" t="s">
        <v>18</v>
      </c>
      <c r="BB300" s="295" t="s">
        <v>32</v>
      </c>
      <c r="BC300" s="296" t="s">
        <v>32</v>
      </c>
      <c r="BD300" s="292"/>
    </row>
    <row r="301" ht="12.75" customHeight="1">
      <c r="A301" s="293">
        <v>45271.9087719213</v>
      </c>
      <c r="B301" s="286" t="s">
        <v>504</v>
      </c>
      <c r="C301" s="287" t="s">
        <v>559</v>
      </c>
      <c r="D301" s="285" t="s">
        <v>16</v>
      </c>
      <c r="E301" s="285" t="s">
        <v>476</v>
      </c>
      <c r="F301" s="287" t="s">
        <v>871</v>
      </c>
      <c r="G301" s="285" t="s">
        <v>21</v>
      </c>
      <c r="H301" s="285">
        <v>12.0</v>
      </c>
      <c r="I301" s="287" t="s">
        <v>497</v>
      </c>
      <c r="J301" s="292"/>
      <c r="K301" s="287" t="s">
        <v>508</v>
      </c>
      <c r="L301" s="287" t="s">
        <v>497</v>
      </c>
      <c r="M301" s="292"/>
      <c r="N301" s="292"/>
      <c r="O301" s="292"/>
      <c r="P301" s="292"/>
      <c r="Q301" s="294" t="s">
        <v>32</v>
      </c>
      <c r="R301" s="287" t="s">
        <v>18</v>
      </c>
      <c r="S301" s="288" t="s">
        <v>377</v>
      </c>
      <c r="T301" s="287" t="s">
        <v>377</v>
      </c>
      <c r="U301" s="294" t="s">
        <v>32</v>
      </c>
      <c r="V301" s="295" t="s">
        <v>32</v>
      </c>
      <c r="W301" s="294" t="s">
        <v>32</v>
      </c>
      <c r="X301" s="287" t="s">
        <v>377</v>
      </c>
      <c r="Y301" s="295" t="s">
        <v>32</v>
      </c>
      <c r="Z301" s="287" t="s">
        <v>18</v>
      </c>
      <c r="AA301" s="287" t="s">
        <v>18</v>
      </c>
      <c r="AB301" s="288" t="s">
        <v>18</v>
      </c>
      <c r="AC301" s="289" t="s">
        <v>377</v>
      </c>
      <c r="AD301" s="287" t="s">
        <v>18</v>
      </c>
      <c r="AE301" s="294" t="s">
        <v>32</v>
      </c>
      <c r="AF301" s="288" t="s">
        <v>377</v>
      </c>
      <c r="AG301" s="287" t="s">
        <v>18</v>
      </c>
      <c r="AH301" s="287" t="s">
        <v>18</v>
      </c>
      <c r="AI301" s="288" t="s">
        <v>18</v>
      </c>
      <c r="AJ301" s="287" t="s">
        <v>18</v>
      </c>
      <c r="AK301" s="287" t="s">
        <v>18</v>
      </c>
      <c r="AL301" s="288" t="s">
        <v>18</v>
      </c>
      <c r="AM301" s="287" t="s">
        <v>18</v>
      </c>
      <c r="AN301" s="287" t="s">
        <v>18</v>
      </c>
      <c r="AO301" s="288" t="s">
        <v>18</v>
      </c>
      <c r="AP301" s="289" t="s">
        <v>18</v>
      </c>
      <c r="AQ301" s="294" t="s">
        <v>32</v>
      </c>
      <c r="AR301" s="287" t="s">
        <v>377</v>
      </c>
      <c r="AS301" s="295" t="s">
        <v>32</v>
      </c>
      <c r="AT301" s="294" t="s">
        <v>32</v>
      </c>
      <c r="AU301" s="294" t="s">
        <v>32</v>
      </c>
      <c r="AV301" s="295" t="s">
        <v>32</v>
      </c>
      <c r="AW301" s="294" t="s">
        <v>32</v>
      </c>
      <c r="AX301" s="294" t="s">
        <v>32</v>
      </c>
      <c r="AY301" s="295" t="s">
        <v>32</v>
      </c>
      <c r="AZ301" s="287" t="s">
        <v>18</v>
      </c>
      <c r="BA301" s="294" t="s">
        <v>32</v>
      </c>
      <c r="BB301" s="288" t="s">
        <v>377</v>
      </c>
      <c r="BC301" s="289" t="s">
        <v>377</v>
      </c>
      <c r="BD301" s="292"/>
    </row>
    <row r="302" ht="12.75" customHeight="1">
      <c r="A302" s="293">
        <v>45271.90932013889</v>
      </c>
      <c r="B302" s="286" t="s">
        <v>504</v>
      </c>
      <c r="C302" s="287" t="s">
        <v>559</v>
      </c>
      <c r="D302" s="285" t="s">
        <v>16</v>
      </c>
      <c r="E302" s="285" t="s">
        <v>476</v>
      </c>
      <c r="F302" s="287" t="s">
        <v>872</v>
      </c>
      <c r="G302" s="285" t="s">
        <v>21</v>
      </c>
      <c r="H302" s="285">
        <v>12.0</v>
      </c>
      <c r="I302" s="287" t="s">
        <v>497</v>
      </c>
      <c r="J302" s="292"/>
      <c r="K302" s="287" t="s">
        <v>508</v>
      </c>
      <c r="L302" s="287" t="s">
        <v>479</v>
      </c>
      <c r="M302" s="287" t="s">
        <v>481</v>
      </c>
      <c r="N302" s="287" t="s">
        <v>561</v>
      </c>
      <c r="O302" s="287"/>
      <c r="P302" s="287"/>
      <c r="Q302" s="287" t="s">
        <v>18</v>
      </c>
      <c r="R302" s="287" t="s">
        <v>18</v>
      </c>
      <c r="S302" s="288" t="s">
        <v>18</v>
      </c>
      <c r="T302" s="287" t="s">
        <v>18</v>
      </c>
      <c r="U302" s="287" t="s">
        <v>18</v>
      </c>
      <c r="V302" s="288" t="s">
        <v>18</v>
      </c>
      <c r="W302" s="287" t="s">
        <v>18</v>
      </c>
      <c r="X302" s="287" t="s">
        <v>18</v>
      </c>
      <c r="Y302" s="288" t="s">
        <v>18</v>
      </c>
      <c r="Z302" s="287" t="s">
        <v>18</v>
      </c>
      <c r="AA302" s="287" t="s">
        <v>18</v>
      </c>
      <c r="AB302" s="288" t="s">
        <v>18</v>
      </c>
      <c r="AC302" s="289" t="s">
        <v>18</v>
      </c>
      <c r="AD302" s="287" t="s">
        <v>18</v>
      </c>
      <c r="AE302" s="287" t="s">
        <v>18</v>
      </c>
      <c r="AF302" s="288" t="s">
        <v>18</v>
      </c>
      <c r="AG302" s="287" t="s">
        <v>18</v>
      </c>
      <c r="AH302" s="287" t="s">
        <v>18</v>
      </c>
      <c r="AI302" s="288" t="s">
        <v>18</v>
      </c>
      <c r="AJ302" s="287" t="s">
        <v>18</v>
      </c>
      <c r="AK302" s="287" t="s">
        <v>18</v>
      </c>
      <c r="AL302" s="288" t="s">
        <v>18</v>
      </c>
      <c r="AM302" s="287" t="s">
        <v>18</v>
      </c>
      <c r="AN302" s="287" t="s">
        <v>18</v>
      </c>
      <c r="AO302" s="288" t="s">
        <v>18</v>
      </c>
      <c r="AP302" s="289" t="s">
        <v>18</v>
      </c>
      <c r="AQ302" s="287" t="s">
        <v>18</v>
      </c>
      <c r="AR302" s="287" t="s">
        <v>18</v>
      </c>
      <c r="AS302" s="288" t="s">
        <v>18</v>
      </c>
      <c r="AT302" s="287" t="s">
        <v>18</v>
      </c>
      <c r="AU302" s="287" t="s">
        <v>18</v>
      </c>
      <c r="AV302" s="288" t="s">
        <v>18</v>
      </c>
      <c r="AW302" s="287" t="s">
        <v>18</v>
      </c>
      <c r="AX302" s="287" t="s">
        <v>18</v>
      </c>
      <c r="AY302" s="288" t="s">
        <v>18</v>
      </c>
      <c r="AZ302" s="287" t="s">
        <v>18</v>
      </c>
      <c r="BA302" s="287" t="s">
        <v>18</v>
      </c>
      <c r="BB302" s="295" t="s">
        <v>32</v>
      </c>
      <c r="BC302" s="296" t="s">
        <v>32</v>
      </c>
      <c r="BD302" s="292"/>
    </row>
    <row r="303" ht="12.75" customHeight="1">
      <c r="A303" s="293">
        <v>45271.90986958334</v>
      </c>
      <c r="B303" s="286" t="s">
        <v>504</v>
      </c>
      <c r="C303" s="287" t="s">
        <v>559</v>
      </c>
      <c r="D303" s="285" t="s">
        <v>16</v>
      </c>
      <c r="E303" s="285" t="s">
        <v>476</v>
      </c>
      <c r="F303" s="287" t="s">
        <v>873</v>
      </c>
      <c r="G303" s="285" t="s">
        <v>17</v>
      </c>
      <c r="H303" s="285">
        <v>12.0</v>
      </c>
      <c r="I303" s="287" t="s">
        <v>497</v>
      </c>
      <c r="J303" s="292"/>
      <c r="K303" s="287" t="s">
        <v>508</v>
      </c>
      <c r="L303" s="287" t="s">
        <v>497</v>
      </c>
      <c r="M303" s="292"/>
      <c r="N303" s="292"/>
      <c r="O303" s="292"/>
      <c r="P303" s="292"/>
      <c r="Q303" s="294" t="s">
        <v>32</v>
      </c>
      <c r="R303" s="287" t="s">
        <v>18</v>
      </c>
      <c r="S303" s="288" t="s">
        <v>377</v>
      </c>
      <c r="T303" s="287" t="s">
        <v>18</v>
      </c>
      <c r="U303" s="294" t="s">
        <v>32</v>
      </c>
      <c r="V303" s="288" t="s">
        <v>377</v>
      </c>
      <c r="W303" s="287" t="s">
        <v>18</v>
      </c>
      <c r="X303" s="287" t="s">
        <v>18</v>
      </c>
      <c r="Y303" s="288" t="s">
        <v>18</v>
      </c>
      <c r="Z303" s="294" t="s">
        <v>32</v>
      </c>
      <c r="AA303" s="287" t="s">
        <v>18</v>
      </c>
      <c r="AB303" s="288" t="s">
        <v>377</v>
      </c>
      <c r="AC303" s="289" t="s">
        <v>377</v>
      </c>
      <c r="AD303" s="294" t="s">
        <v>32</v>
      </c>
      <c r="AE303" s="294" t="s">
        <v>32</v>
      </c>
      <c r="AF303" s="295" t="s">
        <v>32</v>
      </c>
      <c r="AG303" s="287" t="s">
        <v>18</v>
      </c>
      <c r="AH303" s="287" t="s">
        <v>18</v>
      </c>
      <c r="AI303" s="288" t="s">
        <v>18</v>
      </c>
      <c r="AJ303" s="287" t="s">
        <v>18</v>
      </c>
      <c r="AK303" s="287" t="s">
        <v>18</v>
      </c>
      <c r="AL303" s="288" t="s">
        <v>18</v>
      </c>
      <c r="AM303" s="287" t="s">
        <v>18</v>
      </c>
      <c r="AN303" s="287" t="s">
        <v>18</v>
      </c>
      <c r="AO303" s="288" t="s">
        <v>18</v>
      </c>
      <c r="AP303" s="289" t="s">
        <v>377</v>
      </c>
      <c r="AQ303" s="287" t="s">
        <v>18</v>
      </c>
      <c r="AR303" s="294" t="s">
        <v>32</v>
      </c>
      <c r="AS303" s="288" t="s">
        <v>377</v>
      </c>
      <c r="AT303" s="294" t="s">
        <v>32</v>
      </c>
      <c r="AU303" s="294" t="s">
        <v>32</v>
      </c>
      <c r="AV303" s="295" t="s">
        <v>32</v>
      </c>
      <c r="AW303" s="294" t="s">
        <v>32</v>
      </c>
      <c r="AX303" s="287" t="s">
        <v>18</v>
      </c>
      <c r="AY303" s="288" t="s">
        <v>377</v>
      </c>
      <c r="AZ303" s="287" t="s">
        <v>18</v>
      </c>
      <c r="BA303" s="294" t="s">
        <v>32</v>
      </c>
      <c r="BB303" s="295" t="s">
        <v>32</v>
      </c>
      <c r="BC303" s="296" t="s">
        <v>32</v>
      </c>
      <c r="BD303" s="292"/>
    </row>
    <row r="304" ht="12.75" customHeight="1">
      <c r="A304" s="293">
        <v>45271.91111976852</v>
      </c>
      <c r="B304" s="286" t="s">
        <v>504</v>
      </c>
      <c r="C304" s="287" t="s">
        <v>559</v>
      </c>
      <c r="D304" s="285" t="s">
        <v>16</v>
      </c>
      <c r="E304" s="285" t="s">
        <v>476</v>
      </c>
      <c r="F304" s="287" t="s">
        <v>874</v>
      </c>
      <c r="G304" s="285" t="s">
        <v>21</v>
      </c>
      <c r="H304" s="285">
        <v>12.0</v>
      </c>
      <c r="I304" s="287" t="s">
        <v>497</v>
      </c>
      <c r="J304" s="292"/>
      <c r="K304" s="287" t="s">
        <v>508</v>
      </c>
      <c r="L304" s="287" t="s">
        <v>479</v>
      </c>
      <c r="M304" s="287" t="s">
        <v>481</v>
      </c>
      <c r="N304" s="287" t="s">
        <v>561</v>
      </c>
      <c r="O304" s="287"/>
      <c r="P304" s="287"/>
      <c r="Q304" s="294" t="s">
        <v>32</v>
      </c>
      <c r="R304" s="287" t="s">
        <v>18</v>
      </c>
      <c r="S304" s="288" t="s">
        <v>377</v>
      </c>
      <c r="T304" s="287" t="s">
        <v>18</v>
      </c>
      <c r="U304" s="294" t="s">
        <v>32</v>
      </c>
      <c r="V304" s="288" t="s">
        <v>377</v>
      </c>
      <c r="W304" s="287" t="s">
        <v>18</v>
      </c>
      <c r="X304" s="287" t="s">
        <v>18</v>
      </c>
      <c r="Y304" s="288" t="s">
        <v>18</v>
      </c>
      <c r="Z304" s="287" t="s">
        <v>377</v>
      </c>
      <c r="AA304" s="287" t="s">
        <v>18</v>
      </c>
      <c r="AB304" s="288" t="s">
        <v>377</v>
      </c>
      <c r="AC304" s="289" t="s">
        <v>377</v>
      </c>
      <c r="AD304" s="287" t="s">
        <v>377</v>
      </c>
      <c r="AE304" s="287" t="s">
        <v>18</v>
      </c>
      <c r="AF304" s="288" t="s">
        <v>377</v>
      </c>
      <c r="AG304" s="287" t="s">
        <v>18</v>
      </c>
      <c r="AH304" s="287" t="s">
        <v>18</v>
      </c>
      <c r="AI304" s="288" t="s">
        <v>18</v>
      </c>
      <c r="AJ304" s="287" t="s">
        <v>18</v>
      </c>
      <c r="AK304" s="287" t="s">
        <v>18</v>
      </c>
      <c r="AL304" s="288" t="s">
        <v>18</v>
      </c>
      <c r="AM304" s="287" t="s">
        <v>18</v>
      </c>
      <c r="AN304" s="287" t="s">
        <v>18</v>
      </c>
      <c r="AO304" s="288" t="s">
        <v>18</v>
      </c>
      <c r="AP304" s="289" t="s">
        <v>18</v>
      </c>
      <c r="AQ304" s="294" t="s">
        <v>32</v>
      </c>
      <c r="AR304" s="287" t="s">
        <v>18</v>
      </c>
      <c r="AS304" s="288" t="s">
        <v>377</v>
      </c>
      <c r="AT304" s="294" t="s">
        <v>32</v>
      </c>
      <c r="AU304" s="294" t="s">
        <v>32</v>
      </c>
      <c r="AV304" s="295" t="s">
        <v>32</v>
      </c>
      <c r="AW304" s="287" t="s">
        <v>18</v>
      </c>
      <c r="AX304" s="287" t="s">
        <v>18</v>
      </c>
      <c r="AY304" s="288" t="s">
        <v>18</v>
      </c>
      <c r="AZ304" s="287" t="s">
        <v>18</v>
      </c>
      <c r="BA304" s="287" t="s">
        <v>18</v>
      </c>
      <c r="BB304" s="295" t="s">
        <v>32</v>
      </c>
      <c r="BC304" s="296" t="s">
        <v>32</v>
      </c>
      <c r="BD304" s="292"/>
    </row>
    <row r="305" ht="12.75" customHeight="1">
      <c r="A305" s="293">
        <v>45271.91288783565</v>
      </c>
      <c r="B305" s="286" t="s">
        <v>504</v>
      </c>
      <c r="C305" s="287" t="s">
        <v>559</v>
      </c>
      <c r="D305" s="285" t="s">
        <v>16</v>
      </c>
      <c r="E305" s="285" t="s">
        <v>476</v>
      </c>
      <c r="F305" s="287" t="s">
        <v>875</v>
      </c>
      <c r="G305" s="285" t="s">
        <v>17</v>
      </c>
      <c r="H305" s="285">
        <v>12.0</v>
      </c>
      <c r="I305" s="287" t="s">
        <v>497</v>
      </c>
      <c r="J305" s="292"/>
      <c r="K305" s="287" t="s">
        <v>508</v>
      </c>
      <c r="L305" s="287" t="s">
        <v>497</v>
      </c>
      <c r="M305" s="292"/>
      <c r="N305" s="292"/>
      <c r="O305" s="292"/>
      <c r="P305" s="292"/>
      <c r="Q305" s="294" t="s">
        <v>32</v>
      </c>
      <c r="R305" s="287" t="s">
        <v>377</v>
      </c>
      <c r="S305" s="295" t="s">
        <v>32</v>
      </c>
      <c r="T305" s="287" t="s">
        <v>377</v>
      </c>
      <c r="U305" s="294" t="s">
        <v>32</v>
      </c>
      <c r="V305" s="295" t="s">
        <v>32</v>
      </c>
      <c r="W305" s="287" t="s">
        <v>377</v>
      </c>
      <c r="X305" s="287" t="s">
        <v>377</v>
      </c>
      <c r="Y305" s="288" t="s">
        <v>377</v>
      </c>
      <c r="Z305" s="294" t="s">
        <v>32</v>
      </c>
      <c r="AA305" s="294" t="s">
        <v>32</v>
      </c>
      <c r="AB305" s="295" t="s">
        <v>32</v>
      </c>
      <c r="AC305" s="296" t="s">
        <v>32</v>
      </c>
      <c r="AD305" s="287" t="s">
        <v>377</v>
      </c>
      <c r="AE305" s="287" t="s">
        <v>377</v>
      </c>
      <c r="AF305" s="288" t="s">
        <v>377</v>
      </c>
      <c r="AG305" s="287" t="s">
        <v>377</v>
      </c>
      <c r="AH305" s="287" t="s">
        <v>18</v>
      </c>
      <c r="AI305" s="288" t="s">
        <v>377</v>
      </c>
      <c r="AJ305" s="287" t="s">
        <v>377</v>
      </c>
      <c r="AK305" s="287" t="s">
        <v>377</v>
      </c>
      <c r="AL305" s="288" t="s">
        <v>377</v>
      </c>
      <c r="AM305" s="287" t="s">
        <v>18</v>
      </c>
      <c r="AN305" s="287" t="s">
        <v>18</v>
      </c>
      <c r="AO305" s="288" t="s">
        <v>18</v>
      </c>
      <c r="AP305" s="289" t="s">
        <v>377</v>
      </c>
      <c r="AQ305" s="294" t="s">
        <v>32</v>
      </c>
      <c r="AR305" s="294" t="s">
        <v>32</v>
      </c>
      <c r="AS305" s="295" t="s">
        <v>32</v>
      </c>
      <c r="AT305" s="294" t="s">
        <v>32</v>
      </c>
      <c r="AU305" s="294" t="s">
        <v>32</v>
      </c>
      <c r="AV305" s="295" t="s">
        <v>32</v>
      </c>
      <c r="AW305" s="294" t="s">
        <v>32</v>
      </c>
      <c r="AX305" s="287" t="s">
        <v>377</v>
      </c>
      <c r="AY305" s="295" t="s">
        <v>32</v>
      </c>
      <c r="AZ305" s="294" t="s">
        <v>32</v>
      </c>
      <c r="BA305" s="294" t="s">
        <v>32</v>
      </c>
      <c r="BB305" s="288" t="s">
        <v>377</v>
      </c>
      <c r="BC305" s="289" t="s">
        <v>377</v>
      </c>
      <c r="BD305" s="292"/>
    </row>
    <row r="306" ht="12.75" customHeight="1">
      <c r="A306" s="293">
        <v>45271.912970324076</v>
      </c>
      <c r="B306" s="286" t="s">
        <v>504</v>
      </c>
      <c r="C306" s="287" t="s">
        <v>559</v>
      </c>
      <c r="D306" s="285" t="s">
        <v>16</v>
      </c>
      <c r="E306" s="285" t="s">
        <v>476</v>
      </c>
      <c r="F306" s="287" t="s">
        <v>876</v>
      </c>
      <c r="G306" s="285" t="s">
        <v>17</v>
      </c>
      <c r="H306" s="285">
        <v>12.0</v>
      </c>
      <c r="I306" s="287" t="s">
        <v>497</v>
      </c>
      <c r="J306" s="292"/>
      <c r="K306" s="287" t="s">
        <v>508</v>
      </c>
      <c r="L306" s="287" t="s">
        <v>479</v>
      </c>
      <c r="M306" s="287" t="s">
        <v>481</v>
      </c>
      <c r="N306" s="287" t="s">
        <v>561</v>
      </c>
      <c r="O306" s="287"/>
      <c r="P306" s="287"/>
      <c r="Q306" s="294" t="s">
        <v>32</v>
      </c>
      <c r="R306" s="287" t="s">
        <v>18</v>
      </c>
      <c r="S306" s="288" t="s">
        <v>377</v>
      </c>
      <c r="T306" s="287" t="s">
        <v>18</v>
      </c>
      <c r="U306" s="294" t="s">
        <v>32</v>
      </c>
      <c r="V306" s="288" t="s">
        <v>377</v>
      </c>
      <c r="W306" s="287" t="s">
        <v>18</v>
      </c>
      <c r="X306" s="287" t="s">
        <v>18</v>
      </c>
      <c r="Y306" s="288" t="s">
        <v>18</v>
      </c>
      <c r="Z306" s="287" t="s">
        <v>377</v>
      </c>
      <c r="AA306" s="287" t="s">
        <v>18</v>
      </c>
      <c r="AB306" s="288" t="s">
        <v>377</v>
      </c>
      <c r="AC306" s="289" t="s">
        <v>377</v>
      </c>
      <c r="AD306" s="287" t="s">
        <v>377</v>
      </c>
      <c r="AE306" s="287" t="s">
        <v>377</v>
      </c>
      <c r="AF306" s="288" t="s">
        <v>377</v>
      </c>
      <c r="AG306" s="287" t="s">
        <v>18</v>
      </c>
      <c r="AH306" s="287" t="s">
        <v>18</v>
      </c>
      <c r="AI306" s="288" t="s">
        <v>18</v>
      </c>
      <c r="AJ306" s="287" t="s">
        <v>18</v>
      </c>
      <c r="AK306" s="287" t="s">
        <v>18</v>
      </c>
      <c r="AL306" s="288" t="s">
        <v>18</v>
      </c>
      <c r="AM306" s="287" t="s">
        <v>18</v>
      </c>
      <c r="AN306" s="287" t="s">
        <v>18</v>
      </c>
      <c r="AO306" s="288" t="s">
        <v>18</v>
      </c>
      <c r="AP306" s="289" t="s">
        <v>18</v>
      </c>
      <c r="AQ306" s="287" t="s">
        <v>18</v>
      </c>
      <c r="AR306" s="287" t="s">
        <v>18</v>
      </c>
      <c r="AS306" s="288" t="s">
        <v>18</v>
      </c>
      <c r="AT306" s="294" t="s">
        <v>32</v>
      </c>
      <c r="AU306" s="287" t="s">
        <v>377</v>
      </c>
      <c r="AV306" s="295" t="s">
        <v>32</v>
      </c>
      <c r="AW306" s="287" t="s">
        <v>18</v>
      </c>
      <c r="AX306" s="287" t="s">
        <v>377</v>
      </c>
      <c r="AY306" s="288" t="s">
        <v>377</v>
      </c>
      <c r="AZ306" s="287" t="s">
        <v>18</v>
      </c>
      <c r="BA306" s="287" t="s">
        <v>18</v>
      </c>
      <c r="BB306" s="288" t="s">
        <v>377</v>
      </c>
      <c r="BC306" s="289" t="s">
        <v>377</v>
      </c>
      <c r="BD306" s="292"/>
    </row>
    <row r="307" ht="12.75" customHeight="1">
      <c r="A307" s="293">
        <v>45271.91494966435</v>
      </c>
      <c r="B307" s="286" t="s">
        <v>504</v>
      </c>
      <c r="C307" s="287" t="s">
        <v>559</v>
      </c>
      <c r="D307" s="285" t="s">
        <v>16</v>
      </c>
      <c r="E307" s="285" t="s">
        <v>476</v>
      </c>
      <c r="F307" s="287" t="s">
        <v>877</v>
      </c>
      <c r="G307" s="285" t="s">
        <v>17</v>
      </c>
      <c r="H307" s="285">
        <v>12.0</v>
      </c>
      <c r="I307" s="287" t="s">
        <v>497</v>
      </c>
      <c r="J307" s="292"/>
      <c r="K307" s="287" t="s">
        <v>508</v>
      </c>
      <c r="L307" s="287" t="s">
        <v>479</v>
      </c>
      <c r="M307" s="287" t="s">
        <v>481</v>
      </c>
      <c r="N307" s="287" t="s">
        <v>561</v>
      </c>
      <c r="O307" s="287"/>
      <c r="P307" s="287"/>
      <c r="Q307" s="294" t="s">
        <v>32</v>
      </c>
      <c r="R307" s="287" t="s">
        <v>18</v>
      </c>
      <c r="S307" s="288" t="s">
        <v>377</v>
      </c>
      <c r="T307" s="287" t="s">
        <v>18</v>
      </c>
      <c r="U307" s="294" t="s">
        <v>32</v>
      </c>
      <c r="V307" s="288" t="s">
        <v>377</v>
      </c>
      <c r="W307" s="287" t="s">
        <v>18</v>
      </c>
      <c r="X307" s="287" t="s">
        <v>18</v>
      </c>
      <c r="Y307" s="288" t="s">
        <v>18</v>
      </c>
      <c r="Z307" s="287" t="s">
        <v>377</v>
      </c>
      <c r="AA307" s="287" t="s">
        <v>18</v>
      </c>
      <c r="AB307" s="288" t="s">
        <v>377</v>
      </c>
      <c r="AC307" s="289" t="s">
        <v>377</v>
      </c>
      <c r="AD307" s="287" t="s">
        <v>377</v>
      </c>
      <c r="AE307" s="287" t="s">
        <v>377</v>
      </c>
      <c r="AF307" s="288" t="s">
        <v>377</v>
      </c>
      <c r="AG307" s="287" t="s">
        <v>18</v>
      </c>
      <c r="AH307" s="287" t="s">
        <v>18</v>
      </c>
      <c r="AI307" s="288" t="s">
        <v>18</v>
      </c>
      <c r="AJ307" s="287" t="s">
        <v>18</v>
      </c>
      <c r="AK307" s="287" t="s">
        <v>18</v>
      </c>
      <c r="AL307" s="288" t="s">
        <v>18</v>
      </c>
      <c r="AM307" s="287" t="s">
        <v>18</v>
      </c>
      <c r="AN307" s="287" t="s">
        <v>18</v>
      </c>
      <c r="AO307" s="288" t="s">
        <v>18</v>
      </c>
      <c r="AP307" s="289" t="s">
        <v>18</v>
      </c>
      <c r="AQ307" s="287" t="s">
        <v>18</v>
      </c>
      <c r="AR307" s="287" t="s">
        <v>18</v>
      </c>
      <c r="AS307" s="288" t="s">
        <v>18</v>
      </c>
      <c r="AT307" s="294" t="s">
        <v>32</v>
      </c>
      <c r="AU307" s="287" t="s">
        <v>377</v>
      </c>
      <c r="AV307" s="295" t="s">
        <v>32</v>
      </c>
      <c r="AW307" s="287" t="s">
        <v>18</v>
      </c>
      <c r="AX307" s="287" t="s">
        <v>18</v>
      </c>
      <c r="AY307" s="288" t="s">
        <v>18</v>
      </c>
      <c r="AZ307" s="287" t="s">
        <v>18</v>
      </c>
      <c r="BA307" s="287" t="s">
        <v>18</v>
      </c>
      <c r="BB307" s="295" t="s">
        <v>32</v>
      </c>
      <c r="BC307" s="296" t="s">
        <v>32</v>
      </c>
      <c r="BD307" s="292"/>
    </row>
    <row r="308" ht="12.75" customHeight="1">
      <c r="A308" s="293">
        <v>45271.915523159725</v>
      </c>
      <c r="B308" s="286" t="s">
        <v>504</v>
      </c>
      <c r="C308" s="287" t="s">
        <v>559</v>
      </c>
      <c r="D308" s="285" t="s">
        <v>16</v>
      </c>
      <c r="E308" s="285" t="s">
        <v>476</v>
      </c>
      <c r="F308" s="287" t="s">
        <v>878</v>
      </c>
      <c r="G308" s="285" t="s">
        <v>21</v>
      </c>
      <c r="H308" s="285">
        <v>12.0</v>
      </c>
      <c r="I308" s="287" t="s">
        <v>497</v>
      </c>
      <c r="J308" s="292"/>
      <c r="K308" s="287" t="s">
        <v>508</v>
      </c>
      <c r="L308" s="287" t="s">
        <v>497</v>
      </c>
      <c r="M308" s="292"/>
      <c r="N308" s="292"/>
      <c r="O308" s="292"/>
      <c r="P308" s="292"/>
      <c r="Q308" s="294" t="s">
        <v>32</v>
      </c>
      <c r="R308" s="287" t="s">
        <v>377</v>
      </c>
      <c r="S308" s="295" t="s">
        <v>32</v>
      </c>
      <c r="T308" s="287" t="s">
        <v>377</v>
      </c>
      <c r="U308" s="294" t="s">
        <v>32</v>
      </c>
      <c r="V308" s="295" t="s">
        <v>32</v>
      </c>
      <c r="W308" s="294" t="s">
        <v>32</v>
      </c>
      <c r="X308" s="287" t="s">
        <v>377</v>
      </c>
      <c r="Y308" s="295" t="s">
        <v>32</v>
      </c>
      <c r="Z308" s="294" t="s">
        <v>32</v>
      </c>
      <c r="AA308" s="287" t="s">
        <v>18</v>
      </c>
      <c r="AB308" s="288" t="s">
        <v>377</v>
      </c>
      <c r="AC308" s="289" t="s">
        <v>377</v>
      </c>
      <c r="AD308" s="287" t="s">
        <v>377</v>
      </c>
      <c r="AE308" s="294" t="s">
        <v>32</v>
      </c>
      <c r="AF308" s="295" t="s">
        <v>32</v>
      </c>
      <c r="AG308" s="287" t="s">
        <v>18</v>
      </c>
      <c r="AH308" s="287" t="s">
        <v>18</v>
      </c>
      <c r="AI308" s="288" t="s">
        <v>18</v>
      </c>
      <c r="AJ308" s="287" t="s">
        <v>18</v>
      </c>
      <c r="AK308" s="287" t="s">
        <v>18</v>
      </c>
      <c r="AL308" s="288" t="s">
        <v>18</v>
      </c>
      <c r="AM308" s="287" t="s">
        <v>18</v>
      </c>
      <c r="AN308" s="287" t="s">
        <v>18</v>
      </c>
      <c r="AO308" s="288" t="s">
        <v>18</v>
      </c>
      <c r="AP308" s="289" t="s">
        <v>18</v>
      </c>
      <c r="AQ308" s="294" t="s">
        <v>32</v>
      </c>
      <c r="AR308" s="287" t="s">
        <v>377</v>
      </c>
      <c r="AS308" s="295" t="s">
        <v>32</v>
      </c>
      <c r="AT308" s="294" t="s">
        <v>32</v>
      </c>
      <c r="AU308" s="294" t="s">
        <v>32</v>
      </c>
      <c r="AV308" s="295" t="s">
        <v>32</v>
      </c>
      <c r="AW308" s="287" t="s">
        <v>377</v>
      </c>
      <c r="AX308" s="287" t="s">
        <v>377</v>
      </c>
      <c r="AY308" s="288" t="s">
        <v>377</v>
      </c>
      <c r="AZ308" s="287" t="s">
        <v>377</v>
      </c>
      <c r="BA308" s="287" t="s">
        <v>377</v>
      </c>
      <c r="BB308" s="295" t="s">
        <v>32</v>
      </c>
      <c r="BC308" s="289" t="s">
        <v>377</v>
      </c>
      <c r="BD308" s="292"/>
    </row>
    <row r="309" ht="12.75" customHeight="1">
      <c r="A309" s="293">
        <v>45271.916889722226</v>
      </c>
      <c r="B309" s="286" t="s">
        <v>504</v>
      </c>
      <c r="C309" s="287" t="s">
        <v>559</v>
      </c>
      <c r="D309" s="285" t="s">
        <v>16</v>
      </c>
      <c r="E309" s="285" t="s">
        <v>476</v>
      </c>
      <c r="F309" s="287" t="s">
        <v>879</v>
      </c>
      <c r="G309" s="285" t="s">
        <v>17</v>
      </c>
      <c r="H309" s="285">
        <v>12.0</v>
      </c>
      <c r="I309" s="287" t="s">
        <v>497</v>
      </c>
      <c r="J309" s="292"/>
      <c r="K309" s="287" t="s">
        <v>508</v>
      </c>
      <c r="L309" s="287" t="s">
        <v>479</v>
      </c>
      <c r="M309" s="287" t="s">
        <v>481</v>
      </c>
      <c r="N309" s="287" t="s">
        <v>561</v>
      </c>
      <c r="O309" s="287"/>
      <c r="P309" s="287"/>
      <c r="Q309" s="294" t="s">
        <v>32</v>
      </c>
      <c r="R309" s="287" t="s">
        <v>18</v>
      </c>
      <c r="S309" s="288" t="s">
        <v>377</v>
      </c>
      <c r="T309" s="287" t="s">
        <v>18</v>
      </c>
      <c r="U309" s="294" t="s">
        <v>32</v>
      </c>
      <c r="V309" s="288" t="s">
        <v>377</v>
      </c>
      <c r="W309" s="287" t="s">
        <v>18</v>
      </c>
      <c r="X309" s="287" t="s">
        <v>18</v>
      </c>
      <c r="Y309" s="288" t="s">
        <v>18</v>
      </c>
      <c r="Z309" s="287" t="s">
        <v>377</v>
      </c>
      <c r="AA309" s="287" t="s">
        <v>18</v>
      </c>
      <c r="AB309" s="288" t="s">
        <v>377</v>
      </c>
      <c r="AC309" s="289" t="s">
        <v>377</v>
      </c>
      <c r="AD309" s="287" t="s">
        <v>377</v>
      </c>
      <c r="AE309" s="287" t="s">
        <v>377</v>
      </c>
      <c r="AF309" s="288" t="s">
        <v>377</v>
      </c>
      <c r="AG309" s="287" t="s">
        <v>18</v>
      </c>
      <c r="AH309" s="287" t="s">
        <v>18</v>
      </c>
      <c r="AI309" s="288" t="s">
        <v>18</v>
      </c>
      <c r="AJ309" s="287" t="s">
        <v>18</v>
      </c>
      <c r="AK309" s="287" t="s">
        <v>18</v>
      </c>
      <c r="AL309" s="288" t="s">
        <v>18</v>
      </c>
      <c r="AM309" s="287" t="s">
        <v>18</v>
      </c>
      <c r="AN309" s="287" t="s">
        <v>18</v>
      </c>
      <c r="AO309" s="288" t="s">
        <v>18</v>
      </c>
      <c r="AP309" s="289" t="s">
        <v>18</v>
      </c>
      <c r="AQ309" s="287" t="s">
        <v>18</v>
      </c>
      <c r="AR309" s="287" t="s">
        <v>18</v>
      </c>
      <c r="AS309" s="288" t="s">
        <v>18</v>
      </c>
      <c r="AT309" s="294" t="s">
        <v>32</v>
      </c>
      <c r="AU309" s="287" t="s">
        <v>377</v>
      </c>
      <c r="AV309" s="295" t="s">
        <v>32</v>
      </c>
      <c r="AW309" s="287" t="s">
        <v>18</v>
      </c>
      <c r="AX309" s="287" t="s">
        <v>377</v>
      </c>
      <c r="AY309" s="288" t="s">
        <v>377</v>
      </c>
      <c r="AZ309" s="287" t="s">
        <v>18</v>
      </c>
      <c r="BA309" s="287" t="s">
        <v>18</v>
      </c>
      <c r="BB309" s="295" t="s">
        <v>32</v>
      </c>
      <c r="BC309" s="296" t="s">
        <v>32</v>
      </c>
      <c r="BD309" s="292"/>
    </row>
    <row r="310" ht="12.75" customHeight="1">
      <c r="A310" s="293">
        <v>45271.91815025463</v>
      </c>
      <c r="B310" s="286" t="s">
        <v>504</v>
      </c>
      <c r="C310" s="287" t="s">
        <v>559</v>
      </c>
      <c r="D310" s="285" t="s">
        <v>16</v>
      </c>
      <c r="E310" s="285" t="s">
        <v>476</v>
      </c>
      <c r="F310" s="287" t="s">
        <v>880</v>
      </c>
      <c r="G310" s="285" t="s">
        <v>17</v>
      </c>
      <c r="H310" s="285">
        <v>12.0</v>
      </c>
      <c r="I310" s="287" t="s">
        <v>497</v>
      </c>
      <c r="J310" s="292"/>
      <c r="K310" s="287" t="s">
        <v>508</v>
      </c>
      <c r="L310" s="287" t="s">
        <v>497</v>
      </c>
      <c r="M310" s="292"/>
      <c r="N310" s="292"/>
      <c r="O310" s="292"/>
      <c r="P310" s="292"/>
      <c r="Q310" s="294" t="s">
        <v>32</v>
      </c>
      <c r="R310" s="287" t="s">
        <v>377</v>
      </c>
      <c r="S310" s="295" t="s">
        <v>32</v>
      </c>
      <c r="T310" s="294" t="s">
        <v>32</v>
      </c>
      <c r="U310" s="294" t="s">
        <v>32</v>
      </c>
      <c r="V310" s="295" t="s">
        <v>32</v>
      </c>
      <c r="W310" s="294" t="s">
        <v>32</v>
      </c>
      <c r="X310" s="287" t="s">
        <v>377</v>
      </c>
      <c r="Y310" s="295" t="s">
        <v>32</v>
      </c>
      <c r="Z310" s="294" t="s">
        <v>32</v>
      </c>
      <c r="AA310" s="294" t="s">
        <v>32</v>
      </c>
      <c r="AB310" s="295" t="s">
        <v>32</v>
      </c>
      <c r="AC310" s="296" t="s">
        <v>32</v>
      </c>
      <c r="AD310" s="294" t="s">
        <v>32</v>
      </c>
      <c r="AE310" s="294" t="s">
        <v>32</v>
      </c>
      <c r="AF310" s="295" t="s">
        <v>32</v>
      </c>
      <c r="AG310" s="287" t="s">
        <v>18</v>
      </c>
      <c r="AH310" s="287" t="s">
        <v>18</v>
      </c>
      <c r="AI310" s="288" t="s">
        <v>18</v>
      </c>
      <c r="AJ310" s="287" t="s">
        <v>18</v>
      </c>
      <c r="AK310" s="287" t="s">
        <v>377</v>
      </c>
      <c r="AL310" s="288" t="s">
        <v>377</v>
      </c>
      <c r="AM310" s="287" t="s">
        <v>18</v>
      </c>
      <c r="AN310" s="287" t="s">
        <v>18</v>
      </c>
      <c r="AO310" s="288" t="s">
        <v>18</v>
      </c>
      <c r="AP310" s="289" t="s">
        <v>377</v>
      </c>
      <c r="AQ310" s="294" t="s">
        <v>32</v>
      </c>
      <c r="AR310" s="287" t="s">
        <v>377</v>
      </c>
      <c r="AS310" s="295" t="s">
        <v>32</v>
      </c>
      <c r="AT310" s="294" t="s">
        <v>32</v>
      </c>
      <c r="AU310" s="294" t="s">
        <v>32</v>
      </c>
      <c r="AV310" s="295" t="s">
        <v>32</v>
      </c>
      <c r="AW310" s="294" t="s">
        <v>32</v>
      </c>
      <c r="AX310" s="294" t="s">
        <v>32</v>
      </c>
      <c r="AY310" s="295" t="s">
        <v>32</v>
      </c>
      <c r="AZ310" s="294" t="s">
        <v>32</v>
      </c>
      <c r="BA310" s="294" t="s">
        <v>32</v>
      </c>
      <c r="BB310" s="288" t="s">
        <v>377</v>
      </c>
      <c r="BC310" s="289" t="s">
        <v>377</v>
      </c>
      <c r="BD310" s="292"/>
    </row>
    <row r="311" ht="12.75" customHeight="1">
      <c r="A311" s="293">
        <v>45271.91893388889</v>
      </c>
      <c r="B311" s="286" t="s">
        <v>504</v>
      </c>
      <c r="C311" s="287" t="s">
        <v>559</v>
      </c>
      <c r="D311" s="285" t="s">
        <v>16</v>
      </c>
      <c r="E311" s="285" t="s">
        <v>476</v>
      </c>
      <c r="F311" s="287" t="s">
        <v>881</v>
      </c>
      <c r="G311" s="285" t="s">
        <v>17</v>
      </c>
      <c r="H311" s="285">
        <v>12.0</v>
      </c>
      <c r="I311" s="287" t="s">
        <v>497</v>
      </c>
      <c r="J311" s="292"/>
      <c r="K311" s="287" t="s">
        <v>508</v>
      </c>
      <c r="L311" s="287" t="s">
        <v>479</v>
      </c>
      <c r="M311" s="287" t="s">
        <v>481</v>
      </c>
      <c r="N311" s="287" t="s">
        <v>561</v>
      </c>
      <c r="O311" s="287"/>
      <c r="P311" s="287"/>
      <c r="Q311" s="294" t="s">
        <v>32</v>
      </c>
      <c r="R311" s="287" t="s">
        <v>18</v>
      </c>
      <c r="S311" s="288" t="s">
        <v>377</v>
      </c>
      <c r="T311" s="287" t="s">
        <v>18</v>
      </c>
      <c r="U311" s="294" t="s">
        <v>32</v>
      </c>
      <c r="V311" s="288" t="s">
        <v>377</v>
      </c>
      <c r="W311" s="287" t="s">
        <v>18</v>
      </c>
      <c r="X311" s="287" t="s">
        <v>18</v>
      </c>
      <c r="Y311" s="288" t="s">
        <v>18</v>
      </c>
      <c r="Z311" s="287" t="s">
        <v>377</v>
      </c>
      <c r="AA311" s="287" t="s">
        <v>18</v>
      </c>
      <c r="AB311" s="288" t="s">
        <v>377</v>
      </c>
      <c r="AC311" s="289" t="s">
        <v>377</v>
      </c>
      <c r="AD311" s="287" t="s">
        <v>377</v>
      </c>
      <c r="AE311" s="287" t="s">
        <v>377</v>
      </c>
      <c r="AF311" s="288" t="s">
        <v>377</v>
      </c>
      <c r="AG311" s="287" t="s">
        <v>18</v>
      </c>
      <c r="AH311" s="287" t="s">
        <v>18</v>
      </c>
      <c r="AI311" s="288" t="s">
        <v>18</v>
      </c>
      <c r="AJ311" s="287" t="s">
        <v>18</v>
      </c>
      <c r="AK311" s="287" t="s">
        <v>18</v>
      </c>
      <c r="AL311" s="288" t="s">
        <v>18</v>
      </c>
      <c r="AM311" s="287" t="s">
        <v>18</v>
      </c>
      <c r="AN311" s="287" t="s">
        <v>18</v>
      </c>
      <c r="AO311" s="288" t="s">
        <v>18</v>
      </c>
      <c r="AP311" s="289" t="s">
        <v>18</v>
      </c>
      <c r="AQ311" s="287" t="s">
        <v>18</v>
      </c>
      <c r="AR311" s="287" t="s">
        <v>18</v>
      </c>
      <c r="AS311" s="288" t="s">
        <v>18</v>
      </c>
      <c r="AT311" s="294" t="s">
        <v>32</v>
      </c>
      <c r="AU311" s="287" t="s">
        <v>377</v>
      </c>
      <c r="AV311" s="295" t="s">
        <v>32</v>
      </c>
      <c r="AW311" s="287" t="s">
        <v>18</v>
      </c>
      <c r="AX311" s="287" t="s">
        <v>377</v>
      </c>
      <c r="AY311" s="288" t="s">
        <v>377</v>
      </c>
      <c r="AZ311" s="287" t="s">
        <v>18</v>
      </c>
      <c r="BA311" s="287" t="s">
        <v>18</v>
      </c>
      <c r="BB311" s="288" t="s">
        <v>377</v>
      </c>
      <c r="BC311" s="296" t="s">
        <v>32</v>
      </c>
      <c r="BD311" s="292"/>
    </row>
    <row r="312" ht="12.75" customHeight="1">
      <c r="A312" s="293">
        <v>45271.91942568287</v>
      </c>
      <c r="B312" s="286" t="s">
        <v>504</v>
      </c>
      <c r="C312" s="287" t="s">
        <v>559</v>
      </c>
      <c r="D312" s="285" t="s">
        <v>16</v>
      </c>
      <c r="E312" s="285" t="s">
        <v>476</v>
      </c>
      <c r="F312" s="287" t="s">
        <v>882</v>
      </c>
      <c r="G312" s="285" t="s">
        <v>21</v>
      </c>
      <c r="H312" s="285">
        <v>12.0</v>
      </c>
      <c r="I312" s="287" t="s">
        <v>497</v>
      </c>
      <c r="J312" s="292"/>
      <c r="K312" s="287" t="s">
        <v>508</v>
      </c>
      <c r="L312" s="287" t="s">
        <v>497</v>
      </c>
      <c r="M312" s="292"/>
      <c r="N312" s="292"/>
      <c r="O312" s="292"/>
      <c r="P312" s="292"/>
      <c r="Q312" s="294" t="s">
        <v>32</v>
      </c>
      <c r="R312" s="287" t="s">
        <v>18</v>
      </c>
      <c r="S312" s="288" t="s">
        <v>377</v>
      </c>
      <c r="T312" s="287" t="s">
        <v>377</v>
      </c>
      <c r="U312" s="294" t="s">
        <v>32</v>
      </c>
      <c r="V312" s="295" t="s">
        <v>32</v>
      </c>
      <c r="W312" s="287" t="s">
        <v>377</v>
      </c>
      <c r="X312" s="287" t="s">
        <v>18</v>
      </c>
      <c r="Y312" s="288" t="s">
        <v>377</v>
      </c>
      <c r="Z312" s="294" t="s">
        <v>32</v>
      </c>
      <c r="AA312" s="287" t="s">
        <v>377</v>
      </c>
      <c r="AB312" s="295" t="s">
        <v>32</v>
      </c>
      <c r="AC312" s="289" t="s">
        <v>377</v>
      </c>
      <c r="AD312" s="287" t="s">
        <v>377</v>
      </c>
      <c r="AE312" s="287" t="s">
        <v>377</v>
      </c>
      <c r="AF312" s="288" t="s">
        <v>377</v>
      </c>
      <c r="AG312" s="287" t="s">
        <v>18</v>
      </c>
      <c r="AH312" s="287" t="s">
        <v>18</v>
      </c>
      <c r="AI312" s="288" t="s">
        <v>18</v>
      </c>
      <c r="AJ312" s="287" t="s">
        <v>18</v>
      </c>
      <c r="AK312" s="287" t="s">
        <v>18</v>
      </c>
      <c r="AL312" s="288" t="s">
        <v>18</v>
      </c>
      <c r="AM312" s="287" t="s">
        <v>18</v>
      </c>
      <c r="AN312" s="287" t="s">
        <v>18</v>
      </c>
      <c r="AO312" s="288" t="s">
        <v>18</v>
      </c>
      <c r="AP312" s="289" t="s">
        <v>18</v>
      </c>
      <c r="AQ312" s="294" t="s">
        <v>32</v>
      </c>
      <c r="AR312" s="294" t="s">
        <v>32</v>
      </c>
      <c r="AS312" s="295" t="s">
        <v>32</v>
      </c>
      <c r="AT312" s="294" t="s">
        <v>32</v>
      </c>
      <c r="AU312" s="294" t="s">
        <v>32</v>
      </c>
      <c r="AV312" s="295" t="s">
        <v>32</v>
      </c>
      <c r="AW312" s="294" t="s">
        <v>32</v>
      </c>
      <c r="AX312" s="287" t="s">
        <v>18</v>
      </c>
      <c r="AY312" s="288" t="s">
        <v>377</v>
      </c>
      <c r="AZ312" s="287" t="s">
        <v>18</v>
      </c>
      <c r="BA312" s="294" t="s">
        <v>32</v>
      </c>
      <c r="BB312" s="295" t="s">
        <v>32</v>
      </c>
      <c r="BC312" s="289" t="s">
        <v>377</v>
      </c>
      <c r="BD312" s="292"/>
    </row>
    <row r="313" ht="12.75" customHeight="1">
      <c r="A313" s="293">
        <v>45271.92129225694</v>
      </c>
      <c r="B313" s="286" t="s">
        <v>504</v>
      </c>
      <c r="C313" s="287" t="s">
        <v>559</v>
      </c>
      <c r="D313" s="285" t="s">
        <v>16</v>
      </c>
      <c r="E313" s="285" t="s">
        <v>476</v>
      </c>
      <c r="F313" s="287" t="s">
        <v>883</v>
      </c>
      <c r="G313" s="285" t="s">
        <v>17</v>
      </c>
      <c r="H313" s="285">
        <v>12.0</v>
      </c>
      <c r="I313" s="287" t="s">
        <v>497</v>
      </c>
      <c r="J313" s="292"/>
      <c r="K313" s="287" t="s">
        <v>508</v>
      </c>
      <c r="L313" s="287" t="s">
        <v>497</v>
      </c>
      <c r="M313" s="292"/>
      <c r="N313" s="292"/>
      <c r="O313" s="292"/>
      <c r="P313" s="292"/>
      <c r="Q313" s="294" t="s">
        <v>32</v>
      </c>
      <c r="R313" s="287" t="s">
        <v>377</v>
      </c>
      <c r="S313" s="295" t="s">
        <v>32</v>
      </c>
      <c r="T313" s="287" t="s">
        <v>377</v>
      </c>
      <c r="U313" s="294" t="s">
        <v>32</v>
      </c>
      <c r="V313" s="295" t="s">
        <v>32</v>
      </c>
      <c r="W313" s="287" t="s">
        <v>377</v>
      </c>
      <c r="X313" s="287" t="s">
        <v>18</v>
      </c>
      <c r="Y313" s="288" t="s">
        <v>377</v>
      </c>
      <c r="Z313" s="287" t="s">
        <v>377</v>
      </c>
      <c r="AA313" s="294" t="s">
        <v>32</v>
      </c>
      <c r="AB313" s="295" t="s">
        <v>32</v>
      </c>
      <c r="AC313" s="289" t="s">
        <v>377</v>
      </c>
      <c r="AD313" s="287" t="s">
        <v>377</v>
      </c>
      <c r="AE313" s="287" t="s">
        <v>377</v>
      </c>
      <c r="AF313" s="288" t="s">
        <v>377</v>
      </c>
      <c r="AG313" s="287" t="s">
        <v>18</v>
      </c>
      <c r="AH313" s="287" t="s">
        <v>18</v>
      </c>
      <c r="AI313" s="288" t="s">
        <v>18</v>
      </c>
      <c r="AJ313" s="287" t="s">
        <v>18</v>
      </c>
      <c r="AK313" s="287" t="s">
        <v>18</v>
      </c>
      <c r="AL313" s="288" t="s">
        <v>18</v>
      </c>
      <c r="AM313" s="287" t="s">
        <v>18</v>
      </c>
      <c r="AN313" s="287" t="s">
        <v>18</v>
      </c>
      <c r="AO313" s="288" t="s">
        <v>18</v>
      </c>
      <c r="AP313" s="289" t="s">
        <v>18</v>
      </c>
      <c r="AQ313" s="294" t="s">
        <v>32</v>
      </c>
      <c r="AR313" s="294" t="s">
        <v>32</v>
      </c>
      <c r="AS313" s="295" t="s">
        <v>32</v>
      </c>
      <c r="AT313" s="294" t="s">
        <v>32</v>
      </c>
      <c r="AU313" s="294" t="s">
        <v>32</v>
      </c>
      <c r="AV313" s="295" t="s">
        <v>32</v>
      </c>
      <c r="AW313" s="294" t="s">
        <v>32</v>
      </c>
      <c r="AX313" s="287" t="s">
        <v>18</v>
      </c>
      <c r="AY313" s="288" t="s">
        <v>377</v>
      </c>
      <c r="AZ313" s="294" t="s">
        <v>32</v>
      </c>
      <c r="BA313" s="294" t="s">
        <v>32</v>
      </c>
      <c r="BB313" s="288" t="s">
        <v>377</v>
      </c>
      <c r="BC313" s="289" t="s">
        <v>377</v>
      </c>
      <c r="BD313" s="292"/>
    </row>
    <row r="314" ht="12.75" customHeight="1">
      <c r="A314" s="293">
        <v>45271.923529629625</v>
      </c>
      <c r="B314" s="286" t="s">
        <v>504</v>
      </c>
      <c r="C314" s="287" t="s">
        <v>559</v>
      </c>
      <c r="D314" s="285" t="s">
        <v>16</v>
      </c>
      <c r="E314" s="285" t="s">
        <v>476</v>
      </c>
      <c r="F314" s="287" t="s">
        <v>884</v>
      </c>
      <c r="G314" s="285" t="s">
        <v>21</v>
      </c>
      <c r="H314" s="285">
        <v>12.0</v>
      </c>
      <c r="I314" s="287" t="s">
        <v>497</v>
      </c>
      <c r="J314" s="292"/>
      <c r="K314" s="287" t="s">
        <v>508</v>
      </c>
      <c r="L314" s="287" t="s">
        <v>497</v>
      </c>
      <c r="M314" s="292"/>
      <c r="N314" s="292"/>
      <c r="O314" s="292"/>
      <c r="P314" s="292"/>
      <c r="Q314" s="294" t="s">
        <v>32</v>
      </c>
      <c r="R314" s="287" t="s">
        <v>377</v>
      </c>
      <c r="S314" s="295" t="s">
        <v>32</v>
      </c>
      <c r="T314" s="287" t="s">
        <v>377</v>
      </c>
      <c r="U314" s="294" t="s">
        <v>32</v>
      </c>
      <c r="V314" s="295" t="s">
        <v>32</v>
      </c>
      <c r="W314" s="294" t="s">
        <v>32</v>
      </c>
      <c r="X314" s="294" t="s">
        <v>32</v>
      </c>
      <c r="Y314" s="295" t="s">
        <v>32</v>
      </c>
      <c r="Z314" s="294" t="s">
        <v>32</v>
      </c>
      <c r="AA314" s="294" t="s">
        <v>32</v>
      </c>
      <c r="AB314" s="295" t="s">
        <v>32</v>
      </c>
      <c r="AC314" s="296" t="s">
        <v>32</v>
      </c>
      <c r="AD314" s="287" t="s">
        <v>377</v>
      </c>
      <c r="AE314" s="294" t="s">
        <v>32</v>
      </c>
      <c r="AF314" s="295" t="s">
        <v>32</v>
      </c>
      <c r="AG314" s="287" t="s">
        <v>377</v>
      </c>
      <c r="AH314" s="287" t="s">
        <v>18</v>
      </c>
      <c r="AI314" s="288" t="s">
        <v>377</v>
      </c>
      <c r="AJ314" s="287" t="s">
        <v>377</v>
      </c>
      <c r="AK314" s="287" t="s">
        <v>377</v>
      </c>
      <c r="AL314" s="288" t="s">
        <v>377</v>
      </c>
      <c r="AM314" s="287" t="s">
        <v>377</v>
      </c>
      <c r="AN314" s="287" t="s">
        <v>377</v>
      </c>
      <c r="AO314" s="288" t="s">
        <v>377</v>
      </c>
      <c r="AP314" s="289" t="s">
        <v>377</v>
      </c>
      <c r="AQ314" s="294" t="s">
        <v>32</v>
      </c>
      <c r="AR314" s="294" t="s">
        <v>32</v>
      </c>
      <c r="AS314" s="295" t="s">
        <v>32</v>
      </c>
      <c r="AT314" s="294" t="s">
        <v>32</v>
      </c>
      <c r="AU314" s="294" t="s">
        <v>32</v>
      </c>
      <c r="AV314" s="295" t="s">
        <v>32</v>
      </c>
      <c r="AW314" s="294" t="s">
        <v>32</v>
      </c>
      <c r="AX314" s="294" t="s">
        <v>32</v>
      </c>
      <c r="AY314" s="295" t="s">
        <v>32</v>
      </c>
      <c r="AZ314" s="294" t="s">
        <v>32</v>
      </c>
      <c r="BA314" s="294" t="s">
        <v>32</v>
      </c>
      <c r="BB314" s="288" t="s">
        <v>377</v>
      </c>
      <c r="BC314" s="289" t="s">
        <v>377</v>
      </c>
      <c r="BD314" s="292"/>
    </row>
    <row r="315" ht="12.75" customHeight="1">
      <c r="A315" s="293">
        <v>45271.925464872686</v>
      </c>
      <c r="B315" s="286" t="s">
        <v>504</v>
      </c>
      <c r="C315" s="287" t="s">
        <v>559</v>
      </c>
      <c r="D315" s="285" t="s">
        <v>16</v>
      </c>
      <c r="E315" s="285" t="s">
        <v>476</v>
      </c>
      <c r="F315" s="287" t="s">
        <v>885</v>
      </c>
      <c r="G315" s="285" t="s">
        <v>21</v>
      </c>
      <c r="H315" s="285">
        <v>12.0</v>
      </c>
      <c r="I315" s="287" t="s">
        <v>497</v>
      </c>
      <c r="J315" s="292"/>
      <c r="K315" s="287" t="s">
        <v>508</v>
      </c>
      <c r="L315" s="287" t="s">
        <v>497</v>
      </c>
      <c r="M315" s="292"/>
      <c r="N315" s="292"/>
      <c r="O315" s="292"/>
      <c r="P315" s="292"/>
      <c r="Q315" s="287" t="s">
        <v>377</v>
      </c>
      <c r="R315" s="287" t="s">
        <v>18</v>
      </c>
      <c r="S315" s="288" t="s">
        <v>377</v>
      </c>
      <c r="T315" s="287" t="s">
        <v>18</v>
      </c>
      <c r="U315" s="294" t="s">
        <v>32</v>
      </c>
      <c r="V315" s="288" t="s">
        <v>377</v>
      </c>
      <c r="W315" s="287" t="s">
        <v>18</v>
      </c>
      <c r="X315" s="287" t="s">
        <v>18</v>
      </c>
      <c r="Y315" s="288" t="s">
        <v>18</v>
      </c>
      <c r="Z315" s="287" t="s">
        <v>377</v>
      </c>
      <c r="AA315" s="287" t="s">
        <v>18</v>
      </c>
      <c r="AB315" s="288" t="s">
        <v>377</v>
      </c>
      <c r="AC315" s="289" t="s">
        <v>377</v>
      </c>
      <c r="AD315" s="287" t="s">
        <v>18</v>
      </c>
      <c r="AE315" s="294" t="s">
        <v>32</v>
      </c>
      <c r="AF315" s="288" t="s">
        <v>377</v>
      </c>
      <c r="AG315" s="287" t="s">
        <v>18</v>
      </c>
      <c r="AH315" s="287" t="s">
        <v>18</v>
      </c>
      <c r="AI315" s="288" t="s">
        <v>18</v>
      </c>
      <c r="AJ315" s="287" t="s">
        <v>18</v>
      </c>
      <c r="AK315" s="287" t="s">
        <v>18</v>
      </c>
      <c r="AL315" s="288" t="s">
        <v>18</v>
      </c>
      <c r="AM315" s="287" t="s">
        <v>18</v>
      </c>
      <c r="AN315" s="287" t="s">
        <v>18</v>
      </c>
      <c r="AO315" s="288" t="s">
        <v>18</v>
      </c>
      <c r="AP315" s="289" t="s">
        <v>18</v>
      </c>
      <c r="AQ315" s="287" t="s">
        <v>18</v>
      </c>
      <c r="AR315" s="287" t="s">
        <v>377</v>
      </c>
      <c r="AS315" s="288" t="s">
        <v>377</v>
      </c>
      <c r="AT315" s="294" t="s">
        <v>32</v>
      </c>
      <c r="AU315" s="294" t="s">
        <v>32</v>
      </c>
      <c r="AV315" s="295" t="s">
        <v>32</v>
      </c>
      <c r="AW315" s="287" t="s">
        <v>377</v>
      </c>
      <c r="AX315" s="287" t="s">
        <v>18</v>
      </c>
      <c r="AY315" s="288" t="s">
        <v>377</v>
      </c>
      <c r="AZ315" s="287" t="s">
        <v>18</v>
      </c>
      <c r="BA315" s="287" t="s">
        <v>18</v>
      </c>
      <c r="BB315" s="295" t="s">
        <v>32</v>
      </c>
      <c r="BC315" s="296" t="s">
        <v>32</v>
      </c>
      <c r="BD315" s="292"/>
    </row>
    <row r="316" ht="12.75" customHeight="1">
      <c r="A316" s="293">
        <v>45271.92563565972</v>
      </c>
      <c r="B316" s="286" t="s">
        <v>504</v>
      </c>
      <c r="C316" s="287" t="s">
        <v>559</v>
      </c>
      <c r="D316" s="285" t="s">
        <v>16</v>
      </c>
      <c r="E316" s="285" t="s">
        <v>476</v>
      </c>
      <c r="F316" s="287" t="s">
        <v>886</v>
      </c>
      <c r="G316" s="285" t="s">
        <v>17</v>
      </c>
      <c r="H316" s="285">
        <v>12.0</v>
      </c>
      <c r="I316" s="287" t="s">
        <v>497</v>
      </c>
      <c r="J316" s="292"/>
      <c r="K316" s="287" t="s">
        <v>508</v>
      </c>
      <c r="L316" s="287" t="s">
        <v>497</v>
      </c>
      <c r="M316" s="292"/>
      <c r="N316" s="292"/>
      <c r="O316" s="292"/>
      <c r="P316" s="292"/>
      <c r="Q316" s="294" t="s">
        <v>32</v>
      </c>
      <c r="R316" s="287" t="s">
        <v>377</v>
      </c>
      <c r="S316" s="295" t="s">
        <v>32</v>
      </c>
      <c r="T316" s="287" t="s">
        <v>18</v>
      </c>
      <c r="U316" s="294" t="s">
        <v>32</v>
      </c>
      <c r="V316" s="288" t="s">
        <v>377</v>
      </c>
      <c r="W316" s="287" t="s">
        <v>18</v>
      </c>
      <c r="X316" s="287" t="s">
        <v>18</v>
      </c>
      <c r="Y316" s="288" t="s">
        <v>18</v>
      </c>
      <c r="Z316" s="287" t="s">
        <v>377</v>
      </c>
      <c r="AA316" s="287" t="s">
        <v>377</v>
      </c>
      <c r="AB316" s="288" t="s">
        <v>377</v>
      </c>
      <c r="AC316" s="289" t="s">
        <v>377</v>
      </c>
      <c r="AD316" s="287" t="s">
        <v>18</v>
      </c>
      <c r="AE316" s="287" t="s">
        <v>377</v>
      </c>
      <c r="AF316" s="288" t="s">
        <v>377</v>
      </c>
      <c r="AG316" s="287" t="s">
        <v>18</v>
      </c>
      <c r="AH316" s="287" t="s">
        <v>18</v>
      </c>
      <c r="AI316" s="288" t="s">
        <v>18</v>
      </c>
      <c r="AJ316" s="287" t="s">
        <v>18</v>
      </c>
      <c r="AK316" s="287" t="s">
        <v>18</v>
      </c>
      <c r="AL316" s="288" t="s">
        <v>18</v>
      </c>
      <c r="AM316" s="287" t="s">
        <v>18</v>
      </c>
      <c r="AN316" s="287" t="s">
        <v>18</v>
      </c>
      <c r="AO316" s="288" t="s">
        <v>18</v>
      </c>
      <c r="AP316" s="289" t="s">
        <v>18</v>
      </c>
      <c r="AQ316" s="294" t="s">
        <v>32</v>
      </c>
      <c r="AR316" s="294" t="s">
        <v>32</v>
      </c>
      <c r="AS316" s="295" t="s">
        <v>32</v>
      </c>
      <c r="AT316" s="294" t="s">
        <v>32</v>
      </c>
      <c r="AU316" s="294" t="s">
        <v>32</v>
      </c>
      <c r="AV316" s="295" t="s">
        <v>32</v>
      </c>
      <c r="AW316" s="294" t="s">
        <v>32</v>
      </c>
      <c r="AX316" s="287" t="s">
        <v>377</v>
      </c>
      <c r="AY316" s="295" t="s">
        <v>32</v>
      </c>
      <c r="AZ316" s="287" t="s">
        <v>377</v>
      </c>
      <c r="BA316" s="294" t="s">
        <v>32</v>
      </c>
      <c r="BB316" s="295" t="s">
        <v>32</v>
      </c>
      <c r="BC316" s="296" t="s">
        <v>32</v>
      </c>
      <c r="BD316" s="292"/>
    </row>
    <row r="317" ht="12.75" customHeight="1">
      <c r="A317" s="293">
        <v>45271.927368460645</v>
      </c>
      <c r="B317" s="286" t="s">
        <v>504</v>
      </c>
      <c r="C317" s="287" t="s">
        <v>559</v>
      </c>
      <c r="D317" s="285" t="s">
        <v>16</v>
      </c>
      <c r="E317" s="285" t="s">
        <v>476</v>
      </c>
      <c r="F317" s="287" t="s">
        <v>887</v>
      </c>
      <c r="G317" s="285" t="s">
        <v>17</v>
      </c>
      <c r="H317" s="285">
        <v>11.0</v>
      </c>
      <c r="I317" s="287" t="s">
        <v>497</v>
      </c>
      <c r="J317" s="292"/>
      <c r="K317" s="287" t="s">
        <v>508</v>
      </c>
      <c r="L317" s="287" t="s">
        <v>497</v>
      </c>
      <c r="M317" s="292"/>
      <c r="N317" s="292"/>
      <c r="O317" s="292"/>
      <c r="P317" s="292"/>
      <c r="Q317" s="294" t="s">
        <v>32</v>
      </c>
      <c r="R317" s="287" t="s">
        <v>377</v>
      </c>
      <c r="S317" s="295" t="s">
        <v>32</v>
      </c>
      <c r="T317" s="287" t="s">
        <v>18</v>
      </c>
      <c r="U317" s="294" t="s">
        <v>32</v>
      </c>
      <c r="V317" s="288" t="s">
        <v>377</v>
      </c>
      <c r="W317" s="287" t="s">
        <v>18</v>
      </c>
      <c r="X317" s="287" t="s">
        <v>18</v>
      </c>
      <c r="Y317" s="288" t="s">
        <v>18</v>
      </c>
      <c r="Z317" s="294" t="s">
        <v>32</v>
      </c>
      <c r="AA317" s="287" t="s">
        <v>377</v>
      </c>
      <c r="AB317" s="295" t="s">
        <v>32</v>
      </c>
      <c r="AC317" s="289" t="s">
        <v>377</v>
      </c>
      <c r="AD317" s="287" t="s">
        <v>377</v>
      </c>
      <c r="AE317" s="294" t="s">
        <v>32</v>
      </c>
      <c r="AF317" s="295" t="s">
        <v>32</v>
      </c>
      <c r="AG317" s="287" t="s">
        <v>18</v>
      </c>
      <c r="AH317" s="287" t="s">
        <v>18</v>
      </c>
      <c r="AI317" s="288" t="s">
        <v>18</v>
      </c>
      <c r="AJ317" s="287" t="s">
        <v>18</v>
      </c>
      <c r="AK317" s="287" t="s">
        <v>18</v>
      </c>
      <c r="AL317" s="288" t="s">
        <v>18</v>
      </c>
      <c r="AM317" s="287" t="s">
        <v>18</v>
      </c>
      <c r="AN317" s="287" t="s">
        <v>18</v>
      </c>
      <c r="AO317" s="288" t="s">
        <v>18</v>
      </c>
      <c r="AP317" s="289" t="s">
        <v>18</v>
      </c>
      <c r="AQ317" s="294" t="s">
        <v>32</v>
      </c>
      <c r="AR317" s="294" t="s">
        <v>32</v>
      </c>
      <c r="AS317" s="295" t="s">
        <v>32</v>
      </c>
      <c r="AT317" s="294" t="s">
        <v>32</v>
      </c>
      <c r="AU317" s="294" t="s">
        <v>32</v>
      </c>
      <c r="AV317" s="295" t="s">
        <v>32</v>
      </c>
      <c r="AW317" s="294" t="s">
        <v>32</v>
      </c>
      <c r="AX317" s="287" t="s">
        <v>18</v>
      </c>
      <c r="AY317" s="288" t="s">
        <v>377</v>
      </c>
      <c r="AZ317" s="287" t="s">
        <v>18</v>
      </c>
      <c r="BA317" s="294" t="s">
        <v>32</v>
      </c>
      <c r="BB317" s="295" t="s">
        <v>32</v>
      </c>
      <c r="BC317" s="289" t="s">
        <v>377</v>
      </c>
      <c r="BD317" s="292"/>
    </row>
    <row r="318" ht="12.75" customHeight="1">
      <c r="A318" s="293">
        <v>45271.92845561342</v>
      </c>
      <c r="B318" s="286" t="s">
        <v>504</v>
      </c>
      <c r="C318" s="287" t="s">
        <v>559</v>
      </c>
      <c r="D318" s="285" t="s">
        <v>16</v>
      </c>
      <c r="E318" s="285" t="s">
        <v>476</v>
      </c>
      <c r="F318" s="287" t="s">
        <v>888</v>
      </c>
      <c r="G318" s="285" t="s">
        <v>21</v>
      </c>
      <c r="H318" s="285">
        <v>11.0</v>
      </c>
      <c r="I318" s="287" t="s">
        <v>497</v>
      </c>
      <c r="J318" s="292"/>
      <c r="K318" s="287" t="s">
        <v>508</v>
      </c>
      <c r="L318" s="287" t="s">
        <v>479</v>
      </c>
      <c r="M318" s="287" t="s">
        <v>481</v>
      </c>
      <c r="N318" s="287" t="s">
        <v>561</v>
      </c>
      <c r="O318" s="287"/>
      <c r="P318" s="287"/>
      <c r="Q318" s="294" t="s">
        <v>32</v>
      </c>
      <c r="R318" s="287" t="s">
        <v>18</v>
      </c>
      <c r="S318" s="288" t="s">
        <v>377</v>
      </c>
      <c r="T318" s="287" t="s">
        <v>18</v>
      </c>
      <c r="U318" s="294" t="s">
        <v>32</v>
      </c>
      <c r="V318" s="288" t="s">
        <v>377</v>
      </c>
      <c r="W318" s="287" t="s">
        <v>18</v>
      </c>
      <c r="X318" s="287" t="s">
        <v>18</v>
      </c>
      <c r="Y318" s="288" t="s">
        <v>18</v>
      </c>
      <c r="Z318" s="287" t="s">
        <v>377</v>
      </c>
      <c r="AA318" s="287" t="s">
        <v>18</v>
      </c>
      <c r="AB318" s="288" t="s">
        <v>377</v>
      </c>
      <c r="AC318" s="289" t="s">
        <v>377</v>
      </c>
      <c r="AD318" s="287" t="s">
        <v>377</v>
      </c>
      <c r="AE318" s="287" t="s">
        <v>377</v>
      </c>
      <c r="AF318" s="288" t="s">
        <v>377</v>
      </c>
      <c r="AG318" s="287" t="s">
        <v>18</v>
      </c>
      <c r="AH318" s="287" t="s">
        <v>18</v>
      </c>
      <c r="AI318" s="288" t="s">
        <v>18</v>
      </c>
      <c r="AJ318" s="287" t="s">
        <v>18</v>
      </c>
      <c r="AK318" s="287" t="s">
        <v>18</v>
      </c>
      <c r="AL318" s="288" t="s">
        <v>18</v>
      </c>
      <c r="AM318" s="287" t="s">
        <v>18</v>
      </c>
      <c r="AN318" s="287" t="s">
        <v>18</v>
      </c>
      <c r="AO318" s="288" t="s">
        <v>18</v>
      </c>
      <c r="AP318" s="289" t="s">
        <v>18</v>
      </c>
      <c r="AQ318" s="294" t="s">
        <v>32</v>
      </c>
      <c r="AR318" s="287" t="s">
        <v>18</v>
      </c>
      <c r="AS318" s="288" t="s">
        <v>377</v>
      </c>
      <c r="AT318" s="294" t="s">
        <v>32</v>
      </c>
      <c r="AU318" s="294" t="s">
        <v>32</v>
      </c>
      <c r="AV318" s="295" t="s">
        <v>32</v>
      </c>
      <c r="AW318" s="287" t="s">
        <v>18</v>
      </c>
      <c r="AX318" s="287" t="s">
        <v>377</v>
      </c>
      <c r="AY318" s="288" t="s">
        <v>377</v>
      </c>
      <c r="AZ318" s="287" t="s">
        <v>18</v>
      </c>
      <c r="BA318" s="287" t="s">
        <v>18</v>
      </c>
      <c r="BB318" s="295" t="s">
        <v>32</v>
      </c>
      <c r="BC318" s="296" t="s">
        <v>32</v>
      </c>
      <c r="BD318" s="292"/>
    </row>
    <row r="319" ht="12.75" customHeight="1">
      <c r="A319" s="293">
        <v>45271.93042230324</v>
      </c>
      <c r="B319" s="286" t="s">
        <v>504</v>
      </c>
      <c r="C319" s="287" t="s">
        <v>559</v>
      </c>
      <c r="D319" s="285" t="s">
        <v>16</v>
      </c>
      <c r="E319" s="285" t="s">
        <v>476</v>
      </c>
      <c r="F319" s="287" t="s">
        <v>889</v>
      </c>
      <c r="G319" s="285" t="s">
        <v>17</v>
      </c>
      <c r="H319" s="285">
        <v>11.0</v>
      </c>
      <c r="I319" s="287" t="s">
        <v>497</v>
      </c>
      <c r="J319" s="292"/>
      <c r="K319" s="287" t="s">
        <v>508</v>
      </c>
      <c r="L319" s="287" t="s">
        <v>497</v>
      </c>
      <c r="M319" s="292"/>
      <c r="N319" s="292"/>
      <c r="O319" s="292"/>
      <c r="P319" s="292"/>
      <c r="Q319" s="294" t="s">
        <v>32</v>
      </c>
      <c r="R319" s="287" t="s">
        <v>18</v>
      </c>
      <c r="S319" s="288" t="s">
        <v>377</v>
      </c>
      <c r="T319" s="294" t="s">
        <v>32</v>
      </c>
      <c r="U319" s="294" t="s">
        <v>32</v>
      </c>
      <c r="V319" s="295" t="s">
        <v>32</v>
      </c>
      <c r="W319" s="287" t="s">
        <v>18</v>
      </c>
      <c r="X319" s="287" t="s">
        <v>18</v>
      </c>
      <c r="Y319" s="288" t="s">
        <v>18</v>
      </c>
      <c r="Z319" s="287" t="s">
        <v>18</v>
      </c>
      <c r="AA319" s="287" t="s">
        <v>18</v>
      </c>
      <c r="AB319" s="288" t="s">
        <v>18</v>
      </c>
      <c r="AC319" s="289" t="s">
        <v>377</v>
      </c>
      <c r="AD319" s="287" t="s">
        <v>18</v>
      </c>
      <c r="AE319" s="287" t="s">
        <v>377</v>
      </c>
      <c r="AF319" s="288" t="s">
        <v>377</v>
      </c>
      <c r="AG319" s="287" t="s">
        <v>18</v>
      </c>
      <c r="AH319" s="287" t="s">
        <v>18</v>
      </c>
      <c r="AI319" s="288" t="s">
        <v>18</v>
      </c>
      <c r="AJ319" s="287" t="s">
        <v>18</v>
      </c>
      <c r="AK319" s="287" t="s">
        <v>18</v>
      </c>
      <c r="AL319" s="288" t="s">
        <v>18</v>
      </c>
      <c r="AM319" s="287" t="s">
        <v>18</v>
      </c>
      <c r="AN319" s="287" t="s">
        <v>18</v>
      </c>
      <c r="AO319" s="288" t="s">
        <v>18</v>
      </c>
      <c r="AP319" s="289" t="s">
        <v>18</v>
      </c>
      <c r="AQ319" s="287" t="s">
        <v>18</v>
      </c>
      <c r="AR319" s="287" t="s">
        <v>377</v>
      </c>
      <c r="AS319" s="288" t="s">
        <v>377</v>
      </c>
      <c r="AT319" s="294" t="s">
        <v>32</v>
      </c>
      <c r="AU319" s="294" t="s">
        <v>32</v>
      </c>
      <c r="AV319" s="295" t="s">
        <v>32</v>
      </c>
      <c r="AW319" s="287" t="s">
        <v>18</v>
      </c>
      <c r="AX319" s="294" t="s">
        <v>32</v>
      </c>
      <c r="AY319" s="288" t="s">
        <v>377</v>
      </c>
      <c r="AZ319" s="287" t="s">
        <v>18</v>
      </c>
      <c r="BA319" s="294" t="s">
        <v>32</v>
      </c>
      <c r="BB319" s="288" t="s">
        <v>377</v>
      </c>
      <c r="BC319" s="289" t="s">
        <v>377</v>
      </c>
      <c r="BD319" s="292"/>
    </row>
    <row r="320" ht="12.75" customHeight="1">
      <c r="A320" s="293">
        <v>45271.930465219906</v>
      </c>
      <c r="B320" s="286" t="s">
        <v>504</v>
      </c>
      <c r="C320" s="287" t="s">
        <v>559</v>
      </c>
      <c r="D320" s="285" t="s">
        <v>16</v>
      </c>
      <c r="E320" s="285" t="s">
        <v>476</v>
      </c>
      <c r="F320" s="287" t="s">
        <v>890</v>
      </c>
      <c r="G320" s="285" t="s">
        <v>21</v>
      </c>
      <c r="H320" s="285">
        <v>123.0</v>
      </c>
      <c r="I320" s="287" t="s">
        <v>497</v>
      </c>
      <c r="J320" s="292"/>
      <c r="K320" s="287" t="s">
        <v>508</v>
      </c>
      <c r="L320" s="287" t="s">
        <v>479</v>
      </c>
      <c r="M320" s="287" t="s">
        <v>481</v>
      </c>
      <c r="N320" s="287" t="s">
        <v>561</v>
      </c>
      <c r="O320" s="287"/>
      <c r="P320" s="287"/>
      <c r="Q320" s="294" t="s">
        <v>32</v>
      </c>
      <c r="R320" s="287" t="s">
        <v>18</v>
      </c>
      <c r="S320" s="288" t="s">
        <v>377</v>
      </c>
      <c r="T320" s="287" t="s">
        <v>18</v>
      </c>
      <c r="U320" s="294" t="s">
        <v>32</v>
      </c>
      <c r="V320" s="288" t="s">
        <v>377</v>
      </c>
      <c r="W320" s="287" t="s">
        <v>18</v>
      </c>
      <c r="X320" s="287" t="s">
        <v>18</v>
      </c>
      <c r="Y320" s="288" t="s">
        <v>18</v>
      </c>
      <c r="Z320" s="287" t="s">
        <v>18</v>
      </c>
      <c r="AA320" s="287" t="s">
        <v>18</v>
      </c>
      <c r="AB320" s="288" t="s">
        <v>18</v>
      </c>
      <c r="AC320" s="289" t="s">
        <v>377</v>
      </c>
      <c r="AD320" s="294" t="s">
        <v>32</v>
      </c>
      <c r="AE320" s="294" t="s">
        <v>32</v>
      </c>
      <c r="AF320" s="295" t="s">
        <v>32</v>
      </c>
      <c r="AG320" s="287" t="s">
        <v>18</v>
      </c>
      <c r="AH320" s="287" t="s">
        <v>18</v>
      </c>
      <c r="AI320" s="288" t="s">
        <v>18</v>
      </c>
      <c r="AJ320" s="287" t="s">
        <v>18</v>
      </c>
      <c r="AK320" s="287" t="s">
        <v>18</v>
      </c>
      <c r="AL320" s="288" t="s">
        <v>18</v>
      </c>
      <c r="AM320" s="287" t="s">
        <v>18</v>
      </c>
      <c r="AN320" s="287" t="s">
        <v>18</v>
      </c>
      <c r="AO320" s="288" t="s">
        <v>18</v>
      </c>
      <c r="AP320" s="289" t="s">
        <v>377</v>
      </c>
      <c r="AQ320" s="287" t="s">
        <v>18</v>
      </c>
      <c r="AR320" s="287" t="s">
        <v>18</v>
      </c>
      <c r="AS320" s="288" t="s">
        <v>18</v>
      </c>
      <c r="AT320" s="294" t="s">
        <v>32</v>
      </c>
      <c r="AU320" s="294" t="s">
        <v>32</v>
      </c>
      <c r="AV320" s="295" t="s">
        <v>32</v>
      </c>
      <c r="AW320" s="287" t="s">
        <v>18</v>
      </c>
      <c r="AX320" s="287" t="s">
        <v>18</v>
      </c>
      <c r="AY320" s="288" t="s">
        <v>18</v>
      </c>
      <c r="AZ320" s="287" t="s">
        <v>18</v>
      </c>
      <c r="BA320" s="287" t="s">
        <v>18</v>
      </c>
      <c r="BB320" s="288" t="s">
        <v>18</v>
      </c>
      <c r="BC320" s="289" t="s">
        <v>377</v>
      </c>
      <c r="BD320" s="292"/>
    </row>
    <row r="321" ht="12.75" customHeight="1">
      <c r="A321" s="293">
        <v>45271.932447349536</v>
      </c>
      <c r="B321" s="286" t="s">
        <v>504</v>
      </c>
      <c r="C321" s="287" t="s">
        <v>559</v>
      </c>
      <c r="D321" s="285" t="s">
        <v>16</v>
      </c>
      <c r="E321" s="285" t="s">
        <v>476</v>
      </c>
      <c r="F321" s="287" t="s">
        <v>891</v>
      </c>
      <c r="G321" s="285" t="s">
        <v>21</v>
      </c>
      <c r="H321" s="285">
        <v>12.0</v>
      </c>
      <c r="I321" s="287" t="s">
        <v>497</v>
      </c>
      <c r="J321" s="292"/>
      <c r="K321" s="287" t="s">
        <v>508</v>
      </c>
      <c r="L321" s="287" t="s">
        <v>479</v>
      </c>
      <c r="M321" s="287" t="s">
        <v>481</v>
      </c>
      <c r="N321" s="287" t="s">
        <v>561</v>
      </c>
      <c r="O321" s="287"/>
      <c r="P321" s="287"/>
      <c r="Q321" s="287" t="s">
        <v>377</v>
      </c>
      <c r="R321" s="287" t="s">
        <v>18</v>
      </c>
      <c r="S321" s="288" t="s">
        <v>377</v>
      </c>
      <c r="T321" s="287" t="s">
        <v>18</v>
      </c>
      <c r="U321" s="287" t="s">
        <v>377</v>
      </c>
      <c r="V321" s="288" t="s">
        <v>377</v>
      </c>
      <c r="W321" s="287" t="s">
        <v>18</v>
      </c>
      <c r="X321" s="287" t="s">
        <v>18</v>
      </c>
      <c r="Y321" s="288" t="s">
        <v>18</v>
      </c>
      <c r="Z321" s="287" t="s">
        <v>377</v>
      </c>
      <c r="AA321" s="287" t="s">
        <v>18</v>
      </c>
      <c r="AB321" s="288" t="s">
        <v>377</v>
      </c>
      <c r="AC321" s="289" t="s">
        <v>18</v>
      </c>
      <c r="AD321" s="287" t="s">
        <v>377</v>
      </c>
      <c r="AE321" s="287" t="s">
        <v>18</v>
      </c>
      <c r="AF321" s="288" t="s">
        <v>377</v>
      </c>
      <c r="AG321" s="287" t="s">
        <v>18</v>
      </c>
      <c r="AH321" s="287" t="s">
        <v>18</v>
      </c>
      <c r="AI321" s="288" t="s">
        <v>18</v>
      </c>
      <c r="AJ321" s="287" t="s">
        <v>18</v>
      </c>
      <c r="AK321" s="287" t="s">
        <v>18</v>
      </c>
      <c r="AL321" s="288" t="s">
        <v>18</v>
      </c>
      <c r="AM321" s="287" t="s">
        <v>18</v>
      </c>
      <c r="AN321" s="287" t="s">
        <v>18</v>
      </c>
      <c r="AO321" s="288" t="s">
        <v>18</v>
      </c>
      <c r="AP321" s="289" t="s">
        <v>18</v>
      </c>
      <c r="AQ321" s="287" t="s">
        <v>18</v>
      </c>
      <c r="AR321" s="287" t="s">
        <v>18</v>
      </c>
      <c r="AS321" s="288" t="s">
        <v>18</v>
      </c>
      <c r="AT321" s="287" t="s">
        <v>18</v>
      </c>
      <c r="AU321" s="287" t="s">
        <v>18</v>
      </c>
      <c r="AV321" s="288" t="s">
        <v>18</v>
      </c>
      <c r="AW321" s="287" t="s">
        <v>18</v>
      </c>
      <c r="AX321" s="287" t="s">
        <v>18</v>
      </c>
      <c r="AY321" s="288" t="s">
        <v>18</v>
      </c>
      <c r="AZ321" s="287" t="s">
        <v>18</v>
      </c>
      <c r="BA321" s="287" t="s">
        <v>18</v>
      </c>
      <c r="BB321" s="295" t="s">
        <v>32</v>
      </c>
      <c r="BC321" s="296" t="s">
        <v>32</v>
      </c>
      <c r="BD321" s="292"/>
    </row>
    <row r="322" ht="12.75" customHeight="1">
      <c r="A322" s="293">
        <v>45271.9340025</v>
      </c>
      <c r="B322" s="286" t="s">
        <v>504</v>
      </c>
      <c r="C322" s="287" t="s">
        <v>559</v>
      </c>
      <c r="D322" s="285" t="s">
        <v>16</v>
      </c>
      <c r="E322" s="285" t="s">
        <v>476</v>
      </c>
      <c r="F322" s="287" t="s">
        <v>892</v>
      </c>
      <c r="G322" s="285" t="s">
        <v>17</v>
      </c>
      <c r="H322" s="285">
        <v>12.0</v>
      </c>
      <c r="I322" s="287" t="s">
        <v>497</v>
      </c>
      <c r="J322" s="292"/>
      <c r="K322" s="287" t="s">
        <v>508</v>
      </c>
      <c r="L322" s="287" t="s">
        <v>497</v>
      </c>
      <c r="M322" s="292"/>
      <c r="N322" s="292"/>
      <c r="O322" s="292"/>
      <c r="P322" s="292"/>
      <c r="Q322" s="294" t="s">
        <v>32</v>
      </c>
      <c r="R322" s="287" t="s">
        <v>18</v>
      </c>
      <c r="S322" s="288" t="s">
        <v>377</v>
      </c>
      <c r="T322" s="294" t="s">
        <v>32</v>
      </c>
      <c r="U322" s="294" t="s">
        <v>32</v>
      </c>
      <c r="V322" s="295" t="s">
        <v>32</v>
      </c>
      <c r="W322" s="287" t="s">
        <v>18</v>
      </c>
      <c r="X322" s="287" t="s">
        <v>18</v>
      </c>
      <c r="Y322" s="288" t="s">
        <v>18</v>
      </c>
      <c r="Z322" s="294" t="s">
        <v>32</v>
      </c>
      <c r="AA322" s="287" t="s">
        <v>377</v>
      </c>
      <c r="AB322" s="295" t="s">
        <v>32</v>
      </c>
      <c r="AC322" s="289" t="s">
        <v>377</v>
      </c>
      <c r="AD322" s="287" t="s">
        <v>18</v>
      </c>
      <c r="AE322" s="287" t="s">
        <v>377</v>
      </c>
      <c r="AF322" s="288" t="s">
        <v>377</v>
      </c>
      <c r="AG322" s="287" t="s">
        <v>18</v>
      </c>
      <c r="AH322" s="287" t="s">
        <v>18</v>
      </c>
      <c r="AI322" s="288" t="s">
        <v>18</v>
      </c>
      <c r="AJ322" s="287" t="s">
        <v>18</v>
      </c>
      <c r="AK322" s="287" t="s">
        <v>18</v>
      </c>
      <c r="AL322" s="288" t="s">
        <v>18</v>
      </c>
      <c r="AM322" s="287" t="s">
        <v>18</v>
      </c>
      <c r="AN322" s="287" t="s">
        <v>18</v>
      </c>
      <c r="AO322" s="288" t="s">
        <v>18</v>
      </c>
      <c r="AP322" s="289" t="s">
        <v>18</v>
      </c>
      <c r="AQ322" s="287" t="s">
        <v>18</v>
      </c>
      <c r="AR322" s="294" t="s">
        <v>32</v>
      </c>
      <c r="AS322" s="288" t="s">
        <v>377</v>
      </c>
      <c r="AT322" s="287" t="s">
        <v>377</v>
      </c>
      <c r="AU322" s="294" t="s">
        <v>32</v>
      </c>
      <c r="AV322" s="295" t="s">
        <v>32</v>
      </c>
      <c r="AW322" s="287" t="s">
        <v>377</v>
      </c>
      <c r="AX322" s="294" t="s">
        <v>32</v>
      </c>
      <c r="AY322" s="295" t="s">
        <v>32</v>
      </c>
      <c r="AZ322" s="287" t="s">
        <v>18</v>
      </c>
      <c r="BA322" s="294" t="s">
        <v>32</v>
      </c>
      <c r="BB322" s="295" t="s">
        <v>32</v>
      </c>
      <c r="BC322" s="296" t="s">
        <v>32</v>
      </c>
      <c r="BD322" s="292"/>
    </row>
    <row r="323" ht="12.75" customHeight="1">
      <c r="A323" s="293">
        <v>45271.93431964121</v>
      </c>
      <c r="B323" s="286" t="s">
        <v>504</v>
      </c>
      <c r="C323" s="287" t="s">
        <v>559</v>
      </c>
      <c r="D323" s="285" t="s">
        <v>16</v>
      </c>
      <c r="E323" s="285" t="s">
        <v>476</v>
      </c>
      <c r="F323" s="287" t="s">
        <v>893</v>
      </c>
      <c r="G323" s="285" t="s">
        <v>21</v>
      </c>
      <c r="H323" s="285">
        <v>11.0</v>
      </c>
      <c r="I323" s="287" t="s">
        <v>497</v>
      </c>
      <c r="J323" s="292"/>
      <c r="K323" s="287" t="s">
        <v>508</v>
      </c>
      <c r="L323" s="287" t="s">
        <v>479</v>
      </c>
      <c r="M323" s="287" t="s">
        <v>481</v>
      </c>
      <c r="N323" s="287" t="s">
        <v>561</v>
      </c>
      <c r="O323" s="287"/>
      <c r="P323" s="287"/>
      <c r="Q323" s="294" t="s">
        <v>32</v>
      </c>
      <c r="R323" s="287" t="s">
        <v>18</v>
      </c>
      <c r="S323" s="288" t="s">
        <v>377</v>
      </c>
      <c r="T323" s="294" t="s">
        <v>32</v>
      </c>
      <c r="U323" s="294" t="s">
        <v>32</v>
      </c>
      <c r="V323" s="295" t="s">
        <v>32</v>
      </c>
      <c r="W323" s="287" t="s">
        <v>18</v>
      </c>
      <c r="X323" s="287" t="s">
        <v>18</v>
      </c>
      <c r="Y323" s="288" t="s">
        <v>18</v>
      </c>
      <c r="Z323" s="287" t="s">
        <v>377</v>
      </c>
      <c r="AA323" s="287" t="s">
        <v>18</v>
      </c>
      <c r="AB323" s="288" t="s">
        <v>377</v>
      </c>
      <c r="AC323" s="289" t="s">
        <v>377</v>
      </c>
      <c r="AD323" s="287" t="s">
        <v>18</v>
      </c>
      <c r="AE323" s="287" t="s">
        <v>377</v>
      </c>
      <c r="AF323" s="288" t="s">
        <v>377</v>
      </c>
      <c r="AG323" s="287" t="s">
        <v>18</v>
      </c>
      <c r="AH323" s="287" t="s">
        <v>18</v>
      </c>
      <c r="AI323" s="288" t="s">
        <v>18</v>
      </c>
      <c r="AJ323" s="287" t="s">
        <v>18</v>
      </c>
      <c r="AK323" s="287" t="s">
        <v>18</v>
      </c>
      <c r="AL323" s="288" t="s">
        <v>18</v>
      </c>
      <c r="AM323" s="287" t="s">
        <v>18</v>
      </c>
      <c r="AN323" s="287" t="s">
        <v>18</v>
      </c>
      <c r="AO323" s="288" t="s">
        <v>18</v>
      </c>
      <c r="AP323" s="289" t="s">
        <v>18</v>
      </c>
      <c r="AQ323" s="294" t="s">
        <v>32</v>
      </c>
      <c r="AR323" s="287" t="s">
        <v>18</v>
      </c>
      <c r="AS323" s="288" t="s">
        <v>377</v>
      </c>
      <c r="AT323" s="294" t="s">
        <v>32</v>
      </c>
      <c r="AU323" s="294" t="s">
        <v>32</v>
      </c>
      <c r="AV323" s="295" t="s">
        <v>32</v>
      </c>
      <c r="AW323" s="294" t="s">
        <v>32</v>
      </c>
      <c r="AX323" s="287" t="s">
        <v>377</v>
      </c>
      <c r="AY323" s="295" t="s">
        <v>32</v>
      </c>
      <c r="AZ323" s="287" t="s">
        <v>18</v>
      </c>
      <c r="BA323" s="287" t="s">
        <v>18</v>
      </c>
      <c r="BB323" s="295" t="s">
        <v>32</v>
      </c>
      <c r="BC323" s="296" t="s">
        <v>32</v>
      </c>
      <c r="BD323" s="292"/>
    </row>
    <row r="324" ht="12.75" customHeight="1">
      <c r="A324" s="293">
        <v>45271.93606255787</v>
      </c>
      <c r="B324" s="286" t="s">
        <v>504</v>
      </c>
      <c r="C324" s="287" t="s">
        <v>559</v>
      </c>
      <c r="D324" s="285" t="s">
        <v>16</v>
      </c>
      <c r="E324" s="285" t="s">
        <v>476</v>
      </c>
      <c r="F324" s="287" t="s">
        <v>894</v>
      </c>
      <c r="G324" s="285" t="s">
        <v>21</v>
      </c>
      <c r="H324" s="285">
        <v>11.0</v>
      </c>
      <c r="I324" s="287" t="s">
        <v>497</v>
      </c>
      <c r="J324" s="292"/>
      <c r="K324" s="287" t="s">
        <v>508</v>
      </c>
      <c r="L324" s="287" t="s">
        <v>479</v>
      </c>
      <c r="M324" s="287" t="s">
        <v>481</v>
      </c>
      <c r="N324" s="287" t="s">
        <v>561</v>
      </c>
      <c r="O324" s="287"/>
      <c r="P324" s="287"/>
      <c r="Q324" s="287" t="s">
        <v>18</v>
      </c>
      <c r="R324" s="287" t="s">
        <v>18</v>
      </c>
      <c r="S324" s="288" t="s">
        <v>18</v>
      </c>
      <c r="T324" s="287" t="s">
        <v>18</v>
      </c>
      <c r="U324" s="294" t="s">
        <v>32</v>
      </c>
      <c r="V324" s="288" t="s">
        <v>377</v>
      </c>
      <c r="W324" s="287" t="s">
        <v>18</v>
      </c>
      <c r="X324" s="287" t="s">
        <v>18</v>
      </c>
      <c r="Y324" s="288" t="s">
        <v>18</v>
      </c>
      <c r="Z324" s="287" t="s">
        <v>377</v>
      </c>
      <c r="AA324" s="287" t="s">
        <v>18</v>
      </c>
      <c r="AB324" s="288" t="s">
        <v>377</v>
      </c>
      <c r="AC324" s="289" t="s">
        <v>18</v>
      </c>
      <c r="AD324" s="294" t="s">
        <v>32</v>
      </c>
      <c r="AE324" s="287" t="s">
        <v>377</v>
      </c>
      <c r="AF324" s="295" t="s">
        <v>32</v>
      </c>
      <c r="AG324" s="287" t="s">
        <v>18</v>
      </c>
      <c r="AH324" s="287" t="s">
        <v>18</v>
      </c>
      <c r="AI324" s="288" t="s">
        <v>18</v>
      </c>
      <c r="AJ324" s="287" t="s">
        <v>18</v>
      </c>
      <c r="AK324" s="287" t="s">
        <v>18</v>
      </c>
      <c r="AL324" s="288" t="s">
        <v>18</v>
      </c>
      <c r="AM324" s="287" t="s">
        <v>18</v>
      </c>
      <c r="AN324" s="287" t="s">
        <v>18</v>
      </c>
      <c r="AO324" s="288" t="s">
        <v>18</v>
      </c>
      <c r="AP324" s="289" t="s">
        <v>18</v>
      </c>
      <c r="AQ324" s="294" t="s">
        <v>32</v>
      </c>
      <c r="AR324" s="287" t="s">
        <v>18</v>
      </c>
      <c r="AS324" s="288" t="s">
        <v>377</v>
      </c>
      <c r="AT324" s="294" t="s">
        <v>32</v>
      </c>
      <c r="AU324" s="294" t="s">
        <v>32</v>
      </c>
      <c r="AV324" s="295" t="s">
        <v>32</v>
      </c>
      <c r="AW324" s="294" t="s">
        <v>32</v>
      </c>
      <c r="AX324" s="287" t="s">
        <v>18</v>
      </c>
      <c r="AY324" s="288" t="s">
        <v>377</v>
      </c>
      <c r="AZ324" s="287" t="s">
        <v>18</v>
      </c>
      <c r="BA324" s="287" t="s">
        <v>18</v>
      </c>
      <c r="BB324" s="295" t="s">
        <v>32</v>
      </c>
      <c r="BC324" s="289" t="s">
        <v>377</v>
      </c>
      <c r="BD324" s="292"/>
    </row>
    <row r="325" ht="12.75" customHeight="1">
      <c r="A325" s="293">
        <v>45271.938022546296</v>
      </c>
      <c r="B325" s="286" t="s">
        <v>504</v>
      </c>
      <c r="C325" s="287" t="s">
        <v>559</v>
      </c>
      <c r="D325" s="285" t="s">
        <v>16</v>
      </c>
      <c r="E325" s="285" t="s">
        <v>476</v>
      </c>
      <c r="F325" s="287" t="s">
        <v>895</v>
      </c>
      <c r="G325" s="285" t="s">
        <v>21</v>
      </c>
      <c r="H325" s="285">
        <v>12.0</v>
      </c>
      <c r="I325" s="287" t="s">
        <v>497</v>
      </c>
      <c r="J325" s="292"/>
      <c r="K325" s="287" t="s">
        <v>508</v>
      </c>
      <c r="L325" s="287" t="s">
        <v>479</v>
      </c>
      <c r="M325" s="287" t="s">
        <v>481</v>
      </c>
      <c r="N325" s="287" t="s">
        <v>561</v>
      </c>
      <c r="O325" s="287"/>
      <c r="P325" s="287"/>
      <c r="Q325" s="287" t="s">
        <v>18</v>
      </c>
      <c r="R325" s="287" t="s">
        <v>18</v>
      </c>
      <c r="S325" s="288" t="s">
        <v>18</v>
      </c>
      <c r="T325" s="287" t="s">
        <v>18</v>
      </c>
      <c r="U325" s="287" t="s">
        <v>377</v>
      </c>
      <c r="V325" s="288" t="s">
        <v>377</v>
      </c>
      <c r="W325" s="287" t="s">
        <v>18</v>
      </c>
      <c r="X325" s="287" t="s">
        <v>18</v>
      </c>
      <c r="Y325" s="288" t="s">
        <v>18</v>
      </c>
      <c r="Z325" s="287" t="s">
        <v>377</v>
      </c>
      <c r="AA325" s="287" t="s">
        <v>18</v>
      </c>
      <c r="AB325" s="288" t="s">
        <v>377</v>
      </c>
      <c r="AC325" s="289" t="s">
        <v>18</v>
      </c>
      <c r="AD325" s="287" t="s">
        <v>377</v>
      </c>
      <c r="AE325" s="287" t="s">
        <v>18</v>
      </c>
      <c r="AF325" s="288" t="s">
        <v>377</v>
      </c>
      <c r="AG325" s="287" t="s">
        <v>18</v>
      </c>
      <c r="AH325" s="287" t="s">
        <v>18</v>
      </c>
      <c r="AI325" s="288" t="s">
        <v>18</v>
      </c>
      <c r="AJ325" s="287" t="s">
        <v>18</v>
      </c>
      <c r="AK325" s="287" t="s">
        <v>18</v>
      </c>
      <c r="AL325" s="288" t="s">
        <v>18</v>
      </c>
      <c r="AM325" s="287" t="s">
        <v>18</v>
      </c>
      <c r="AN325" s="287" t="s">
        <v>18</v>
      </c>
      <c r="AO325" s="288" t="s">
        <v>18</v>
      </c>
      <c r="AP325" s="289" t="s">
        <v>18</v>
      </c>
      <c r="AQ325" s="287" t="s">
        <v>377</v>
      </c>
      <c r="AR325" s="287" t="s">
        <v>18</v>
      </c>
      <c r="AS325" s="288" t="s">
        <v>377</v>
      </c>
      <c r="AT325" s="294" t="s">
        <v>32</v>
      </c>
      <c r="AU325" s="287" t="s">
        <v>18</v>
      </c>
      <c r="AV325" s="288" t="s">
        <v>377</v>
      </c>
      <c r="AW325" s="287" t="s">
        <v>18</v>
      </c>
      <c r="AX325" s="287" t="s">
        <v>18</v>
      </c>
      <c r="AY325" s="288" t="s">
        <v>18</v>
      </c>
      <c r="AZ325" s="287" t="s">
        <v>18</v>
      </c>
      <c r="BA325" s="287" t="s">
        <v>18</v>
      </c>
      <c r="BB325" s="295" t="s">
        <v>32</v>
      </c>
      <c r="BC325" s="296" t="s">
        <v>32</v>
      </c>
      <c r="BD325" s="292"/>
    </row>
    <row r="326" ht="12.75" customHeight="1">
      <c r="A326" s="293">
        <v>45271.94001145833</v>
      </c>
      <c r="B326" s="286" t="s">
        <v>504</v>
      </c>
      <c r="C326" s="287" t="s">
        <v>559</v>
      </c>
      <c r="D326" s="285" t="s">
        <v>16</v>
      </c>
      <c r="E326" s="285" t="s">
        <v>476</v>
      </c>
      <c r="F326" s="287" t="s">
        <v>896</v>
      </c>
      <c r="G326" s="285" t="s">
        <v>17</v>
      </c>
      <c r="H326" s="285">
        <v>12.0</v>
      </c>
      <c r="I326" s="287" t="s">
        <v>497</v>
      </c>
      <c r="J326" s="292"/>
      <c r="K326" s="287" t="s">
        <v>508</v>
      </c>
      <c r="L326" s="287" t="s">
        <v>479</v>
      </c>
      <c r="M326" s="287" t="s">
        <v>481</v>
      </c>
      <c r="N326" s="287" t="s">
        <v>561</v>
      </c>
      <c r="O326" s="287"/>
      <c r="P326" s="287"/>
      <c r="Q326" s="294" t="s">
        <v>32</v>
      </c>
      <c r="R326" s="287" t="s">
        <v>18</v>
      </c>
      <c r="S326" s="288" t="s">
        <v>377</v>
      </c>
      <c r="T326" s="294" t="s">
        <v>32</v>
      </c>
      <c r="U326" s="294" t="s">
        <v>32</v>
      </c>
      <c r="V326" s="295" t="s">
        <v>32</v>
      </c>
      <c r="W326" s="287" t="s">
        <v>18</v>
      </c>
      <c r="X326" s="287" t="s">
        <v>18</v>
      </c>
      <c r="Y326" s="288" t="s">
        <v>18</v>
      </c>
      <c r="Z326" s="287" t="s">
        <v>377</v>
      </c>
      <c r="AA326" s="287" t="s">
        <v>18</v>
      </c>
      <c r="AB326" s="288" t="s">
        <v>377</v>
      </c>
      <c r="AC326" s="289" t="s">
        <v>377</v>
      </c>
      <c r="AD326" s="287" t="s">
        <v>18</v>
      </c>
      <c r="AE326" s="287" t="s">
        <v>377</v>
      </c>
      <c r="AF326" s="288" t="s">
        <v>377</v>
      </c>
      <c r="AG326" s="287" t="s">
        <v>18</v>
      </c>
      <c r="AH326" s="287" t="s">
        <v>18</v>
      </c>
      <c r="AI326" s="288" t="s">
        <v>18</v>
      </c>
      <c r="AJ326" s="287" t="s">
        <v>18</v>
      </c>
      <c r="AK326" s="287" t="s">
        <v>18</v>
      </c>
      <c r="AL326" s="288" t="s">
        <v>18</v>
      </c>
      <c r="AM326" s="287" t="s">
        <v>18</v>
      </c>
      <c r="AN326" s="287" t="s">
        <v>18</v>
      </c>
      <c r="AO326" s="288" t="s">
        <v>18</v>
      </c>
      <c r="AP326" s="289" t="s">
        <v>18</v>
      </c>
      <c r="AQ326" s="287" t="s">
        <v>18</v>
      </c>
      <c r="AR326" s="287" t="s">
        <v>18</v>
      </c>
      <c r="AS326" s="288" t="s">
        <v>18</v>
      </c>
      <c r="AT326" s="294" t="s">
        <v>32</v>
      </c>
      <c r="AU326" s="287" t="s">
        <v>18</v>
      </c>
      <c r="AV326" s="288" t="s">
        <v>377</v>
      </c>
      <c r="AW326" s="287" t="s">
        <v>18</v>
      </c>
      <c r="AX326" s="287" t="s">
        <v>377</v>
      </c>
      <c r="AY326" s="288" t="s">
        <v>377</v>
      </c>
      <c r="AZ326" s="287" t="s">
        <v>18</v>
      </c>
      <c r="BA326" s="287" t="s">
        <v>18</v>
      </c>
      <c r="BB326" s="288" t="s">
        <v>18</v>
      </c>
      <c r="BC326" s="289" t="s">
        <v>377</v>
      </c>
      <c r="BD326" s="292"/>
    </row>
    <row r="327" ht="12.75" customHeight="1">
      <c r="A327" s="293">
        <v>45271.94260741898</v>
      </c>
      <c r="B327" s="286" t="s">
        <v>504</v>
      </c>
      <c r="C327" s="287" t="s">
        <v>559</v>
      </c>
      <c r="D327" s="285" t="s">
        <v>16</v>
      </c>
      <c r="E327" s="285" t="s">
        <v>476</v>
      </c>
      <c r="F327" s="287" t="s">
        <v>897</v>
      </c>
      <c r="G327" s="285" t="s">
        <v>17</v>
      </c>
      <c r="H327" s="285">
        <v>12.0</v>
      </c>
      <c r="I327" s="287" t="s">
        <v>497</v>
      </c>
      <c r="J327" s="292"/>
      <c r="K327" s="287" t="s">
        <v>508</v>
      </c>
      <c r="L327" s="287" t="s">
        <v>479</v>
      </c>
      <c r="M327" s="287" t="s">
        <v>481</v>
      </c>
      <c r="N327" s="287" t="s">
        <v>561</v>
      </c>
      <c r="O327" s="287"/>
      <c r="P327" s="287"/>
      <c r="Q327" s="294" t="s">
        <v>32</v>
      </c>
      <c r="R327" s="287" t="s">
        <v>18</v>
      </c>
      <c r="S327" s="288" t="s">
        <v>377</v>
      </c>
      <c r="T327" s="287" t="s">
        <v>18</v>
      </c>
      <c r="U327" s="294" t="s">
        <v>32</v>
      </c>
      <c r="V327" s="288" t="s">
        <v>377</v>
      </c>
      <c r="W327" s="287" t="s">
        <v>18</v>
      </c>
      <c r="X327" s="287" t="s">
        <v>18</v>
      </c>
      <c r="Y327" s="288" t="s">
        <v>18</v>
      </c>
      <c r="Z327" s="287" t="s">
        <v>377</v>
      </c>
      <c r="AA327" s="287" t="s">
        <v>18</v>
      </c>
      <c r="AB327" s="288" t="s">
        <v>377</v>
      </c>
      <c r="AC327" s="289" t="s">
        <v>377</v>
      </c>
      <c r="AD327" s="294" t="s">
        <v>32</v>
      </c>
      <c r="AE327" s="287" t="s">
        <v>377</v>
      </c>
      <c r="AF327" s="295" t="s">
        <v>32</v>
      </c>
      <c r="AG327" s="287" t="s">
        <v>18</v>
      </c>
      <c r="AH327" s="287" t="s">
        <v>18</v>
      </c>
      <c r="AI327" s="288" t="s">
        <v>18</v>
      </c>
      <c r="AJ327" s="287" t="s">
        <v>18</v>
      </c>
      <c r="AK327" s="287" t="s">
        <v>18</v>
      </c>
      <c r="AL327" s="288" t="s">
        <v>18</v>
      </c>
      <c r="AM327" s="287" t="s">
        <v>18</v>
      </c>
      <c r="AN327" s="287" t="s">
        <v>18</v>
      </c>
      <c r="AO327" s="288" t="s">
        <v>18</v>
      </c>
      <c r="AP327" s="289" t="s">
        <v>18</v>
      </c>
      <c r="AQ327" s="287" t="s">
        <v>18</v>
      </c>
      <c r="AR327" s="294" t="s">
        <v>32</v>
      </c>
      <c r="AS327" s="288" t="s">
        <v>377</v>
      </c>
      <c r="AT327" s="294" t="s">
        <v>32</v>
      </c>
      <c r="AU327" s="294" t="s">
        <v>32</v>
      </c>
      <c r="AV327" s="295" t="s">
        <v>32</v>
      </c>
      <c r="AW327" s="287" t="s">
        <v>18</v>
      </c>
      <c r="AX327" s="287" t="s">
        <v>377</v>
      </c>
      <c r="AY327" s="288" t="s">
        <v>377</v>
      </c>
      <c r="AZ327" s="287" t="s">
        <v>377</v>
      </c>
      <c r="BA327" s="287" t="s">
        <v>18</v>
      </c>
      <c r="BB327" s="288" t="s">
        <v>377</v>
      </c>
      <c r="BC327" s="289" t="s">
        <v>377</v>
      </c>
      <c r="BD327" s="292"/>
    </row>
    <row r="328" ht="12.75" customHeight="1">
      <c r="A328" s="293">
        <v>45271.95844206019</v>
      </c>
      <c r="B328" s="286" t="s">
        <v>504</v>
      </c>
      <c r="C328" s="287" t="s">
        <v>559</v>
      </c>
      <c r="D328" s="285" t="s">
        <v>16</v>
      </c>
      <c r="E328" s="285" t="s">
        <v>476</v>
      </c>
      <c r="F328" s="287" t="s">
        <v>898</v>
      </c>
      <c r="G328" s="285" t="s">
        <v>17</v>
      </c>
      <c r="H328" s="285">
        <v>12.0</v>
      </c>
      <c r="I328" s="287" t="s">
        <v>497</v>
      </c>
      <c r="J328" s="292"/>
      <c r="K328" s="287" t="s">
        <v>508</v>
      </c>
      <c r="L328" s="287" t="s">
        <v>497</v>
      </c>
      <c r="M328" s="292"/>
      <c r="N328" s="292"/>
      <c r="O328" s="292"/>
      <c r="P328" s="292"/>
      <c r="Q328" s="294" t="s">
        <v>32</v>
      </c>
      <c r="R328" s="287" t="s">
        <v>18</v>
      </c>
      <c r="S328" s="288" t="s">
        <v>377</v>
      </c>
      <c r="T328" s="294" t="s">
        <v>32</v>
      </c>
      <c r="U328" s="294" t="s">
        <v>32</v>
      </c>
      <c r="V328" s="295" t="s">
        <v>32</v>
      </c>
      <c r="W328" s="287" t="s">
        <v>18</v>
      </c>
      <c r="X328" s="287" t="s">
        <v>377</v>
      </c>
      <c r="Y328" s="288" t="s">
        <v>377</v>
      </c>
      <c r="Z328" s="287" t="s">
        <v>377</v>
      </c>
      <c r="AA328" s="287" t="s">
        <v>377</v>
      </c>
      <c r="AB328" s="288" t="s">
        <v>377</v>
      </c>
      <c r="AC328" s="289" t="s">
        <v>377</v>
      </c>
      <c r="AD328" s="287" t="s">
        <v>18</v>
      </c>
      <c r="AE328" s="294" t="s">
        <v>32</v>
      </c>
      <c r="AF328" s="288" t="s">
        <v>377</v>
      </c>
      <c r="AG328" s="287" t="s">
        <v>18</v>
      </c>
      <c r="AH328" s="287" t="s">
        <v>18</v>
      </c>
      <c r="AI328" s="288" t="s">
        <v>18</v>
      </c>
      <c r="AJ328" s="287" t="s">
        <v>18</v>
      </c>
      <c r="AK328" s="287" t="s">
        <v>18</v>
      </c>
      <c r="AL328" s="288" t="s">
        <v>18</v>
      </c>
      <c r="AM328" s="287" t="s">
        <v>18</v>
      </c>
      <c r="AN328" s="287" t="s">
        <v>18</v>
      </c>
      <c r="AO328" s="288" t="s">
        <v>18</v>
      </c>
      <c r="AP328" s="289" t="s">
        <v>18</v>
      </c>
      <c r="AQ328" s="287" t="s">
        <v>18</v>
      </c>
      <c r="AR328" s="287" t="s">
        <v>18</v>
      </c>
      <c r="AS328" s="288" t="s">
        <v>18</v>
      </c>
      <c r="AT328" s="294" t="s">
        <v>32</v>
      </c>
      <c r="AU328" s="294" t="s">
        <v>32</v>
      </c>
      <c r="AV328" s="295" t="s">
        <v>32</v>
      </c>
      <c r="AW328" s="287" t="s">
        <v>18</v>
      </c>
      <c r="AX328" s="287" t="s">
        <v>377</v>
      </c>
      <c r="AY328" s="288" t="s">
        <v>377</v>
      </c>
      <c r="AZ328" s="287" t="s">
        <v>18</v>
      </c>
      <c r="BA328" s="294" t="s">
        <v>32</v>
      </c>
      <c r="BB328" s="295" t="s">
        <v>32</v>
      </c>
      <c r="BC328" s="296" t="s">
        <v>32</v>
      </c>
      <c r="BD328" s="292"/>
    </row>
    <row r="329" ht="12.75" customHeight="1">
      <c r="A329" s="293">
        <v>45271.96098079861</v>
      </c>
      <c r="B329" s="286" t="s">
        <v>504</v>
      </c>
      <c r="C329" s="287" t="s">
        <v>559</v>
      </c>
      <c r="D329" s="285" t="s">
        <v>16</v>
      </c>
      <c r="E329" s="285" t="s">
        <v>476</v>
      </c>
      <c r="F329" s="287" t="s">
        <v>899</v>
      </c>
      <c r="G329" s="285" t="s">
        <v>17</v>
      </c>
      <c r="H329" s="285">
        <v>12.0</v>
      </c>
      <c r="I329" s="287" t="s">
        <v>497</v>
      </c>
      <c r="J329" s="292"/>
      <c r="K329" s="287" t="s">
        <v>508</v>
      </c>
      <c r="L329" s="287" t="s">
        <v>497</v>
      </c>
      <c r="M329" s="292"/>
      <c r="N329" s="292"/>
      <c r="O329" s="292"/>
      <c r="P329" s="292"/>
      <c r="Q329" s="294" t="s">
        <v>32</v>
      </c>
      <c r="R329" s="287" t="s">
        <v>18</v>
      </c>
      <c r="S329" s="288" t="s">
        <v>377</v>
      </c>
      <c r="T329" s="294" t="s">
        <v>32</v>
      </c>
      <c r="U329" s="294" t="s">
        <v>32</v>
      </c>
      <c r="V329" s="295" t="s">
        <v>32</v>
      </c>
      <c r="W329" s="287" t="s">
        <v>18</v>
      </c>
      <c r="X329" s="287" t="s">
        <v>377</v>
      </c>
      <c r="Y329" s="288" t="s">
        <v>377</v>
      </c>
      <c r="Z329" s="287" t="s">
        <v>377</v>
      </c>
      <c r="AA329" s="287" t="s">
        <v>377</v>
      </c>
      <c r="AB329" s="288" t="s">
        <v>377</v>
      </c>
      <c r="AC329" s="289" t="s">
        <v>377</v>
      </c>
      <c r="AD329" s="287" t="s">
        <v>18</v>
      </c>
      <c r="AE329" s="287" t="s">
        <v>377</v>
      </c>
      <c r="AF329" s="288" t="s">
        <v>377</v>
      </c>
      <c r="AG329" s="287" t="s">
        <v>18</v>
      </c>
      <c r="AH329" s="287" t="s">
        <v>18</v>
      </c>
      <c r="AI329" s="288" t="s">
        <v>18</v>
      </c>
      <c r="AJ329" s="287" t="s">
        <v>18</v>
      </c>
      <c r="AK329" s="287" t="s">
        <v>18</v>
      </c>
      <c r="AL329" s="288" t="s">
        <v>18</v>
      </c>
      <c r="AM329" s="287" t="s">
        <v>18</v>
      </c>
      <c r="AN329" s="287" t="s">
        <v>18</v>
      </c>
      <c r="AO329" s="288" t="s">
        <v>18</v>
      </c>
      <c r="AP329" s="289" t="s">
        <v>18</v>
      </c>
      <c r="AQ329" s="287" t="s">
        <v>18</v>
      </c>
      <c r="AR329" s="287" t="s">
        <v>18</v>
      </c>
      <c r="AS329" s="288" t="s">
        <v>18</v>
      </c>
      <c r="AT329" s="287" t="s">
        <v>377</v>
      </c>
      <c r="AU329" s="294" t="s">
        <v>32</v>
      </c>
      <c r="AV329" s="295" t="s">
        <v>32</v>
      </c>
      <c r="AW329" s="287" t="s">
        <v>18</v>
      </c>
      <c r="AX329" s="287" t="s">
        <v>18</v>
      </c>
      <c r="AY329" s="288" t="s">
        <v>18</v>
      </c>
      <c r="AZ329" s="287" t="s">
        <v>18</v>
      </c>
      <c r="BA329" s="294" t="s">
        <v>32</v>
      </c>
      <c r="BB329" s="295" t="s">
        <v>32</v>
      </c>
      <c r="BC329" s="296" t="s">
        <v>32</v>
      </c>
      <c r="BD329" s="292"/>
    </row>
    <row r="330" ht="12.75" customHeight="1">
      <c r="A330" s="293">
        <v>45271.965891342596</v>
      </c>
      <c r="B330" s="286" t="s">
        <v>504</v>
      </c>
      <c r="C330" s="287" t="s">
        <v>559</v>
      </c>
      <c r="D330" s="285" t="s">
        <v>16</v>
      </c>
      <c r="E330" s="285" t="s">
        <v>476</v>
      </c>
      <c r="F330" s="287" t="s">
        <v>900</v>
      </c>
      <c r="G330" s="285" t="s">
        <v>21</v>
      </c>
      <c r="H330" s="285">
        <v>11.0</v>
      </c>
      <c r="I330" s="287" t="s">
        <v>497</v>
      </c>
      <c r="J330" s="292"/>
      <c r="K330" s="287" t="s">
        <v>508</v>
      </c>
      <c r="L330" s="287" t="s">
        <v>497</v>
      </c>
      <c r="M330" s="292"/>
      <c r="N330" s="292"/>
      <c r="O330" s="292"/>
      <c r="P330" s="292"/>
      <c r="Q330" s="294" t="s">
        <v>32</v>
      </c>
      <c r="R330" s="294" t="s">
        <v>32</v>
      </c>
      <c r="S330" s="295" t="s">
        <v>32</v>
      </c>
      <c r="T330" s="294" t="s">
        <v>32</v>
      </c>
      <c r="U330" s="294" t="s">
        <v>32</v>
      </c>
      <c r="V330" s="295" t="s">
        <v>32</v>
      </c>
      <c r="W330" s="287" t="s">
        <v>377</v>
      </c>
      <c r="X330" s="287" t="s">
        <v>377</v>
      </c>
      <c r="Y330" s="288" t="s">
        <v>377</v>
      </c>
      <c r="Z330" s="287" t="s">
        <v>18</v>
      </c>
      <c r="AA330" s="294" t="s">
        <v>32</v>
      </c>
      <c r="AB330" s="288" t="s">
        <v>377</v>
      </c>
      <c r="AC330" s="296" t="s">
        <v>32</v>
      </c>
      <c r="AD330" s="287" t="s">
        <v>377</v>
      </c>
      <c r="AE330" s="294" t="s">
        <v>32</v>
      </c>
      <c r="AF330" s="295" t="s">
        <v>32</v>
      </c>
      <c r="AG330" s="287" t="s">
        <v>18</v>
      </c>
      <c r="AH330" s="287" t="s">
        <v>18</v>
      </c>
      <c r="AI330" s="288" t="s">
        <v>18</v>
      </c>
      <c r="AJ330" s="287" t="s">
        <v>18</v>
      </c>
      <c r="AK330" s="287" t="s">
        <v>18</v>
      </c>
      <c r="AL330" s="288" t="s">
        <v>18</v>
      </c>
      <c r="AM330" s="287" t="s">
        <v>18</v>
      </c>
      <c r="AN330" s="287" t="s">
        <v>377</v>
      </c>
      <c r="AO330" s="288" t="s">
        <v>377</v>
      </c>
      <c r="AP330" s="289" t="s">
        <v>377</v>
      </c>
      <c r="AQ330" s="287" t="s">
        <v>377</v>
      </c>
      <c r="AR330" s="287" t="s">
        <v>377</v>
      </c>
      <c r="AS330" s="288" t="s">
        <v>377</v>
      </c>
      <c r="AT330" s="294" t="s">
        <v>32</v>
      </c>
      <c r="AU330" s="294" t="s">
        <v>32</v>
      </c>
      <c r="AV330" s="295" t="s">
        <v>32</v>
      </c>
      <c r="AW330" s="287" t="s">
        <v>377</v>
      </c>
      <c r="AX330" s="287" t="s">
        <v>377</v>
      </c>
      <c r="AY330" s="288" t="s">
        <v>377</v>
      </c>
      <c r="AZ330" s="294" t="s">
        <v>32</v>
      </c>
      <c r="BA330" s="287" t="s">
        <v>18</v>
      </c>
      <c r="BB330" s="288" t="s">
        <v>377</v>
      </c>
      <c r="BC330" s="296" t="s">
        <v>32</v>
      </c>
      <c r="BD330" s="292"/>
    </row>
    <row r="331" ht="12.75" customHeight="1">
      <c r="A331" s="293">
        <v>45271.966847881944</v>
      </c>
      <c r="B331" s="286" t="s">
        <v>504</v>
      </c>
      <c r="C331" s="287" t="s">
        <v>559</v>
      </c>
      <c r="D331" s="285" t="s">
        <v>16</v>
      </c>
      <c r="E331" s="285" t="s">
        <v>476</v>
      </c>
      <c r="F331" s="287" t="s">
        <v>901</v>
      </c>
      <c r="G331" s="285" t="s">
        <v>17</v>
      </c>
      <c r="H331" s="285">
        <v>12.0</v>
      </c>
      <c r="I331" s="287" t="s">
        <v>497</v>
      </c>
      <c r="J331" s="292"/>
      <c r="K331" s="287" t="s">
        <v>508</v>
      </c>
      <c r="L331" s="287" t="s">
        <v>497</v>
      </c>
      <c r="M331" s="292"/>
      <c r="N331" s="292"/>
      <c r="O331" s="292"/>
      <c r="P331" s="292"/>
      <c r="Q331" s="294" t="s">
        <v>32</v>
      </c>
      <c r="R331" s="287" t="s">
        <v>377</v>
      </c>
      <c r="S331" s="295" t="s">
        <v>32</v>
      </c>
      <c r="T331" s="294" t="s">
        <v>32</v>
      </c>
      <c r="U331" s="294" t="s">
        <v>32</v>
      </c>
      <c r="V331" s="295" t="s">
        <v>32</v>
      </c>
      <c r="W331" s="287" t="s">
        <v>377</v>
      </c>
      <c r="X331" s="294" t="s">
        <v>32</v>
      </c>
      <c r="Y331" s="295" t="s">
        <v>32</v>
      </c>
      <c r="Z331" s="294" t="s">
        <v>32</v>
      </c>
      <c r="AA331" s="294" t="s">
        <v>32</v>
      </c>
      <c r="AB331" s="295" t="s">
        <v>32</v>
      </c>
      <c r="AC331" s="296" t="s">
        <v>32</v>
      </c>
      <c r="AD331" s="287" t="s">
        <v>377</v>
      </c>
      <c r="AE331" s="294" t="s">
        <v>32</v>
      </c>
      <c r="AF331" s="295" t="s">
        <v>32</v>
      </c>
      <c r="AG331" s="287" t="s">
        <v>377</v>
      </c>
      <c r="AH331" s="287" t="s">
        <v>377</v>
      </c>
      <c r="AI331" s="288" t="s">
        <v>377</v>
      </c>
      <c r="AJ331" s="294" t="s">
        <v>32</v>
      </c>
      <c r="AK331" s="287" t="s">
        <v>377</v>
      </c>
      <c r="AL331" s="295" t="s">
        <v>32</v>
      </c>
      <c r="AM331" s="287" t="s">
        <v>377</v>
      </c>
      <c r="AN331" s="287" t="s">
        <v>377</v>
      </c>
      <c r="AO331" s="288" t="s">
        <v>377</v>
      </c>
      <c r="AP331" s="289" t="s">
        <v>377</v>
      </c>
      <c r="AQ331" s="294" t="s">
        <v>32</v>
      </c>
      <c r="AR331" s="294" t="s">
        <v>32</v>
      </c>
      <c r="AS331" s="295" t="s">
        <v>32</v>
      </c>
      <c r="AT331" s="294" t="s">
        <v>32</v>
      </c>
      <c r="AU331" s="294" t="s">
        <v>32</v>
      </c>
      <c r="AV331" s="295" t="s">
        <v>32</v>
      </c>
      <c r="AW331" s="294" t="s">
        <v>32</v>
      </c>
      <c r="AX331" s="294" t="s">
        <v>32</v>
      </c>
      <c r="AY331" s="295" t="s">
        <v>32</v>
      </c>
      <c r="AZ331" s="287" t="s">
        <v>377</v>
      </c>
      <c r="BA331" s="294" t="s">
        <v>32</v>
      </c>
      <c r="BB331" s="288" t="s">
        <v>377</v>
      </c>
      <c r="BC331" s="289" t="s">
        <v>377</v>
      </c>
      <c r="BD331" s="292"/>
    </row>
    <row r="332" ht="12.75" customHeight="1">
      <c r="A332" s="293">
        <v>45271.96790957176</v>
      </c>
      <c r="B332" s="286" t="s">
        <v>504</v>
      </c>
      <c r="C332" s="287" t="s">
        <v>559</v>
      </c>
      <c r="D332" s="285" t="s">
        <v>16</v>
      </c>
      <c r="E332" s="285" t="s">
        <v>476</v>
      </c>
      <c r="F332" s="287" t="s">
        <v>902</v>
      </c>
      <c r="G332" s="285" t="s">
        <v>17</v>
      </c>
      <c r="H332" s="285">
        <v>12.0</v>
      </c>
      <c r="I332" s="287" t="s">
        <v>497</v>
      </c>
      <c r="J332" s="292"/>
      <c r="K332" s="287" t="s">
        <v>508</v>
      </c>
      <c r="L332" s="287" t="s">
        <v>497</v>
      </c>
      <c r="M332" s="292"/>
      <c r="N332" s="292"/>
      <c r="O332" s="292"/>
      <c r="P332" s="292"/>
      <c r="Q332" s="294" t="s">
        <v>32</v>
      </c>
      <c r="R332" s="294" t="s">
        <v>32</v>
      </c>
      <c r="S332" s="295" t="s">
        <v>32</v>
      </c>
      <c r="T332" s="294" t="s">
        <v>32</v>
      </c>
      <c r="U332" s="294" t="s">
        <v>32</v>
      </c>
      <c r="V332" s="295" t="s">
        <v>32</v>
      </c>
      <c r="W332" s="287" t="s">
        <v>377</v>
      </c>
      <c r="X332" s="287" t="s">
        <v>18</v>
      </c>
      <c r="Y332" s="288" t="s">
        <v>377</v>
      </c>
      <c r="Z332" s="287" t="s">
        <v>377</v>
      </c>
      <c r="AA332" s="294" t="s">
        <v>32</v>
      </c>
      <c r="AB332" s="295" t="s">
        <v>32</v>
      </c>
      <c r="AC332" s="296" t="s">
        <v>32</v>
      </c>
      <c r="AD332" s="287" t="s">
        <v>377</v>
      </c>
      <c r="AE332" s="294" t="s">
        <v>32</v>
      </c>
      <c r="AF332" s="295" t="s">
        <v>32</v>
      </c>
      <c r="AG332" s="287" t="s">
        <v>18</v>
      </c>
      <c r="AH332" s="287" t="s">
        <v>18</v>
      </c>
      <c r="AI332" s="288" t="s">
        <v>18</v>
      </c>
      <c r="AJ332" s="287" t="s">
        <v>18</v>
      </c>
      <c r="AK332" s="287" t="s">
        <v>18</v>
      </c>
      <c r="AL332" s="288" t="s">
        <v>18</v>
      </c>
      <c r="AM332" s="287" t="s">
        <v>18</v>
      </c>
      <c r="AN332" s="287" t="s">
        <v>18</v>
      </c>
      <c r="AO332" s="288" t="s">
        <v>18</v>
      </c>
      <c r="AP332" s="289" t="s">
        <v>18</v>
      </c>
      <c r="AQ332" s="287" t="s">
        <v>377</v>
      </c>
      <c r="AR332" s="287" t="s">
        <v>377</v>
      </c>
      <c r="AS332" s="288" t="s">
        <v>377</v>
      </c>
      <c r="AT332" s="294" t="s">
        <v>32</v>
      </c>
      <c r="AU332" s="294" t="s">
        <v>32</v>
      </c>
      <c r="AV332" s="295" t="s">
        <v>32</v>
      </c>
      <c r="AW332" s="287" t="s">
        <v>377</v>
      </c>
      <c r="AX332" s="287" t="s">
        <v>377</v>
      </c>
      <c r="AY332" s="288" t="s">
        <v>377</v>
      </c>
      <c r="AZ332" s="287" t="s">
        <v>377</v>
      </c>
      <c r="BA332" s="294" t="s">
        <v>32</v>
      </c>
      <c r="BB332" s="288" t="s">
        <v>377</v>
      </c>
      <c r="BC332" s="289" t="s">
        <v>377</v>
      </c>
      <c r="BD332" s="292"/>
    </row>
    <row r="333" ht="12.75" customHeight="1">
      <c r="A333" s="293">
        <v>45271.96847283565</v>
      </c>
      <c r="B333" s="286" t="s">
        <v>504</v>
      </c>
      <c r="C333" s="287" t="s">
        <v>559</v>
      </c>
      <c r="D333" s="285" t="s">
        <v>16</v>
      </c>
      <c r="E333" s="285" t="s">
        <v>476</v>
      </c>
      <c r="F333" s="287" t="s">
        <v>903</v>
      </c>
      <c r="G333" s="285" t="s">
        <v>17</v>
      </c>
      <c r="H333" s="285">
        <v>12.0</v>
      </c>
      <c r="I333" s="287" t="s">
        <v>497</v>
      </c>
      <c r="J333" s="292"/>
      <c r="K333" s="287" t="s">
        <v>508</v>
      </c>
      <c r="L333" s="287" t="s">
        <v>497</v>
      </c>
      <c r="M333" s="292"/>
      <c r="N333" s="292"/>
      <c r="O333" s="292"/>
      <c r="P333" s="292"/>
      <c r="Q333" s="294" t="s">
        <v>32</v>
      </c>
      <c r="R333" s="294" t="s">
        <v>32</v>
      </c>
      <c r="S333" s="295" t="s">
        <v>32</v>
      </c>
      <c r="T333" s="294" t="s">
        <v>32</v>
      </c>
      <c r="U333" s="294" t="s">
        <v>32</v>
      </c>
      <c r="V333" s="295" t="s">
        <v>32</v>
      </c>
      <c r="W333" s="294" t="s">
        <v>32</v>
      </c>
      <c r="X333" s="287" t="s">
        <v>377</v>
      </c>
      <c r="Y333" s="295" t="s">
        <v>32</v>
      </c>
      <c r="Z333" s="294" t="s">
        <v>32</v>
      </c>
      <c r="AA333" s="287" t="s">
        <v>377</v>
      </c>
      <c r="AB333" s="295" t="s">
        <v>32</v>
      </c>
      <c r="AC333" s="296" t="s">
        <v>32</v>
      </c>
      <c r="AD333" s="287" t="s">
        <v>377</v>
      </c>
      <c r="AE333" s="294" t="s">
        <v>32</v>
      </c>
      <c r="AF333" s="295" t="s">
        <v>32</v>
      </c>
      <c r="AG333" s="294" t="s">
        <v>32</v>
      </c>
      <c r="AH333" s="287" t="s">
        <v>377</v>
      </c>
      <c r="AI333" s="295" t="s">
        <v>32</v>
      </c>
      <c r="AJ333" s="294" t="s">
        <v>32</v>
      </c>
      <c r="AK333" s="287" t="s">
        <v>377</v>
      </c>
      <c r="AL333" s="295" t="s">
        <v>32</v>
      </c>
      <c r="AM333" s="294" t="s">
        <v>32</v>
      </c>
      <c r="AN333" s="287" t="s">
        <v>377</v>
      </c>
      <c r="AO333" s="295" t="s">
        <v>32</v>
      </c>
      <c r="AP333" s="296" t="s">
        <v>32</v>
      </c>
      <c r="AQ333" s="287" t="s">
        <v>18</v>
      </c>
      <c r="AR333" s="294" t="s">
        <v>32</v>
      </c>
      <c r="AS333" s="288" t="s">
        <v>377</v>
      </c>
      <c r="AT333" s="294" t="s">
        <v>32</v>
      </c>
      <c r="AU333" s="287" t="s">
        <v>377</v>
      </c>
      <c r="AV333" s="295" t="s">
        <v>32</v>
      </c>
      <c r="AW333" s="294" t="s">
        <v>32</v>
      </c>
      <c r="AX333" s="294" t="s">
        <v>32</v>
      </c>
      <c r="AY333" s="295" t="s">
        <v>32</v>
      </c>
      <c r="AZ333" s="287" t="s">
        <v>377</v>
      </c>
      <c r="BA333" s="294" t="s">
        <v>32</v>
      </c>
      <c r="BB333" s="288" t="s">
        <v>377</v>
      </c>
      <c r="BC333" s="289" t="s">
        <v>377</v>
      </c>
      <c r="BD333" s="292"/>
    </row>
    <row r="334" ht="12.75" customHeight="1">
      <c r="A334" s="293">
        <v>45271.97022287037</v>
      </c>
      <c r="B334" s="286" t="s">
        <v>504</v>
      </c>
      <c r="C334" s="287" t="s">
        <v>559</v>
      </c>
      <c r="D334" s="285" t="s">
        <v>16</v>
      </c>
      <c r="E334" s="285" t="s">
        <v>476</v>
      </c>
      <c r="F334" s="287" t="s">
        <v>904</v>
      </c>
      <c r="G334" s="285" t="s">
        <v>21</v>
      </c>
      <c r="H334" s="285">
        <v>12.0</v>
      </c>
      <c r="I334" s="287" t="s">
        <v>497</v>
      </c>
      <c r="J334" s="292"/>
      <c r="K334" s="287" t="s">
        <v>508</v>
      </c>
      <c r="L334" s="287" t="s">
        <v>497</v>
      </c>
      <c r="M334" s="292"/>
      <c r="N334" s="292"/>
      <c r="O334" s="292"/>
      <c r="P334" s="292"/>
      <c r="Q334" s="294" t="s">
        <v>32</v>
      </c>
      <c r="R334" s="287" t="s">
        <v>377</v>
      </c>
      <c r="S334" s="295" t="s">
        <v>32</v>
      </c>
      <c r="T334" s="294" t="s">
        <v>32</v>
      </c>
      <c r="U334" s="294" t="s">
        <v>32</v>
      </c>
      <c r="V334" s="295" t="s">
        <v>32</v>
      </c>
      <c r="W334" s="287" t="s">
        <v>377</v>
      </c>
      <c r="X334" s="287" t="s">
        <v>377</v>
      </c>
      <c r="Y334" s="288" t="s">
        <v>377</v>
      </c>
      <c r="Z334" s="287" t="s">
        <v>377</v>
      </c>
      <c r="AA334" s="294" t="s">
        <v>32</v>
      </c>
      <c r="AB334" s="295" t="s">
        <v>32</v>
      </c>
      <c r="AC334" s="296" t="s">
        <v>32</v>
      </c>
      <c r="AD334" s="294" t="s">
        <v>32</v>
      </c>
      <c r="AE334" s="294" t="s">
        <v>32</v>
      </c>
      <c r="AF334" s="295" t="s">
        <v>32</v>
      </c>
      <c r="AG334" s="287" t="s">
        <v>18</v>
      </c>
      <c r="AH334" s="287" t="s">
        <v>18</v>
      </c>
      <c r="AI334" s="288" t="s">
        <v>18</v>
      </c>
      <c r="AJ334" s="287" t="s">
        <v>18</v>
      </c>
      <c r="AK334" s="294" t="s">
        <v>32</v>
      </c>
      <c r="AL334" s="288" t="s">
        <v>377</v>
      </c>
      <c r="AM334" s="287" t="s">
        <v>18</v>
      </c>
      <c r="AN334" s="287" t="s">
        <v>18</v>
      </c>
      <c r="AO334" s="288" t="s">
        <v>18</v>
      </c>
      <c r="AP334" s="289" t="s">
        <v>377</v>
      </c>
      <c r="AQ334" s="287" t="s">
        <v>18</v>
      </c>
      <c r="AR334" s="287" t="s">
        <v>18</v>
      </c>
      <c r="AS334" s="288" t="s">
        <v>18</v>
      </c>
      <c r="AT334" s="294" t="s">
        <v>32</v>
      </c>
      <c r="AU334" s="294" t="s">
        <v>32</v>
      </c>
      <c r="AV334" s="295" t="s">
        <v>32</v>
      </c>
      <c r="AW334" s="287" t="s">
        <v>377</v>
      </c>
      <c r="AX334" s="294" t="s">
        <v>32</v>
      </c>
      <c r="AY334" s="295" t="s">
        <v>32</v>
      </c>
      <c r="AZ334" s="287" t="s">
        <v>377</v>
      </c>
      <c r="BA334" s="287" t="s">
        <v>18</v>
      </c>
      <c r="BB334" s="295" t="s">
        <v>32</v>
      </c>
      <c r="BC334" s="296" t="s">
        <v>32</v>
      </c>
      <c r="BD334" s="292"/>
    </row>
    <row r="335" ht="12.75" customHeight="1">
      <c r="A335" s="293">
        <v>45271.97218739583</v>
      </c>
      <c r="B335" s="286" t="s">
        <v>504</v>
      </c>
      <c r="C335" s="287" t="s">
        <v>559</v>
      </c>
      <c r="D335" s="285" t="s">
        <v>16</v>
      </c>
      <c r="E335" s="285" t="s">
        <v>476</v>
      </c>
      <c r="F335" s="287" t="s">
        <v>905</v>
      </c>
      <c r="G335" s="285" t="s">
        <v>17</v>
      </c>
      <c r="H335" s="285">
        <v>13.0</v>
      </c>
      <c r="I335" s="287" t="s">
        <v>497</v>
      </c>
      <c r="J335" s="292"/>
      <c r="K335" s="287" t="s">
        <v>508</v>
      </c>
      <c r="L335" s="287" t="s">
        <v>497</v>
      </c>
      <c r="M335" s="292"/>
      <c r="N335" s="292"/>
      <c r="O335" s="292"/>
      <c r="P335" s="292"/>
      <c r="Q335" s="294" t="s">
        <v>32</v>
      </c>
      <c r="R335" s="287" t="s">
        <v>377</v>
      </c>
      <c r="S335" s="295" t="s">
        <v>32</v>
      </c>
      <c r="T335" s="287" t="s">
        <v>377</v>
      </c>
      <c r="U335" s="294" t="s">
        <v>32</v>
      </c>
      <c r="V335" s="295" t="s">
        <v>32</v>
      </c>
      <c r="W335" s="287" t="s">
        <v>18</v>
      </c>
      <c r="X335" s="287" t="s">
        <v>377</v>
      </c>
      <c r="Y335" s="288" t="s">
        <v>377</v>
      </c>
      <c r="Z335" s="294" t="s">
        <v>32</v>
      </c>
      <c r="AA335" s="287" t="s">
        <v>377</v>
      </c>
      <c r="AB335" s="295" t="s">
        <v>32</v>
      </c>
      <c r="AC335" s="289" t="s">
        <v>377</v>
      </c>
      <c r="AD335" s="287" t="s">
        <v>377</v>
      </c>
      <c r="AE335" s="294" t="s">
        <v>32</v>
      </c>
      <c r="AF335" s="295" t="s">
        <v>32</v>
      </c>
      <c r="AG335" s="287" t="s">
        <v>377</v>
      </c>
      <c r="AH335" s="287" t="s">
        <v>377</v>
      </c>
      <c r="AI335" s="288" t="s">
        <v>377</v>
      </c>
      <c r="AJ335" s="287" t="s">
        <v>377</v>
      </c>
      <c r="AK335" s="287" t="s">
        <v>377</v>
      </c>
      <c r="AL335" s="288" t="s">
        <v>377</v>
      </c>
      <c r="AM335" s="287" t="s">
        <v>377</v>
      </c>
      <c r="AN335" s="287" t="s">
        <v>377</v>
      </c>
      <c r="AO335" s="288" t="s">
        <v>377</v>
      </c>
      <c r="AP335" s="289" t="s">
        <v>377</v>
      </c>
      <c r="AQ335" s="294" t="s">
        <v>32</v>
      </c>
      <c r="AR335" s="287" t="s">
        <v>377</v>
      </c>
      <c r="AS335" s="295" t="s">
        <v>32</v>
      </c>
      <c r="AT335" s="287" t="s">
        <v>377</v>
      </c>
      <c r="AU335" s="294" t="s">
        <v>32</v>
      </c>
      <c r="AV335" s="295" t="s">
        <v>32</v>
      </c>
      <c r="AW335" s="294" t="s">
        <v>32</v>
      </c>
      <c r="AX335" s="294" t="s">
        <v>32</v>
      </c>
      <c r="AY335" s="295" t="s">
        <v>32</v>
      </c>
      <c r="AZ335" s="287" t="s">
        <v>377</v>
      </c>
      <c r="BA335" s="287" t="s">
        <v>377</v>
      </c>
      <c r="BB335" s="295" t="s">
        <v>32</v>
      </c>
      <c r="BC335" s="289" t="s">
        <v>377</v>
      </c>
      <c r="BD335" s="292"/>
    </row>
    <row r="336" ht="12.75" customHeight="1">
      <c r="A336" s="293">
        <v>45271.972661736116</v>
      </c>
      <c r="B336" s="286" t="s">
        <v>504</v>
      </c>
      <c r="C336" s="287" t="s">
        <v>559</v>
      </c>
      <c r="D336" s="285" t="s">
        <v>16</v>
      </c>
      <c r="E336" s="285" t="s">
        <v>476</v>
      </c>
      <c r="F336" s="287" t="s">
        <v>906</v>
      </c>
      <c r="G336" s="285" t="s">
        <v>21</v>
      </c>
      <c r="H336" s="285">
        <v>11.0</v>
      </c>
      <c r="I336" s="287" t="s">
        <v>497</v>
      </c>
      <c r="J336" s="292"/>
      <c r="K336" s="287" t="s">
        <v>508</v>
      </c>
      <c r="L336" s="287" t="s">
        <v>497</v>
      </c>
      <c r="M336" s="292"/>
      <c r="N336" s="292"/>
      <c r="O336" s="292"/>
      <c r="P336" s="292"/>
      <c r="Q336" s="294" t="s">
        <v>32</v>
      </c>
      <c r="R336" s="287" t="s">
        <v>377</v>
      </c>
      <c r="S336" s="295" t="s">
        <v>32</v>
      </c>
      <c r="T336" s="294" t="s">
        <v>32</v>
      </c>
      <c r="U336" s="294" t="s">
        <v>32</v>
      </c>
      <c r="V336" s="295" t="s">
        <v>32</v>
      </c>
      <c r="W336" s="287" t="s">
        <v>18</v>
      </c>
      <c r="X336" s="287" t="s">
        <v>377</v>
      </c>
      <c r="Y336" s="288" t="s">
        <v>377</v>
      </c>
      <c r="Z336" s="294" t="s">
        <v>32</v>
      </c>
      <c r="AA336" s="287" t="s">
        <v>377</v>
      </c>
      <c r="AB336" s="295" t="s">
        <v>32</v>
      </c>
      <c r="AC336" s="289" t="s">
        <v>377</v>
      </c>
      <c r="AD336" s="287" t="s">
        <v>18</v>
      </c>
      <c r="AE336" s="294" t="s">
        <v>32</v>
      </c>
      <c r="AF336" s="288" t="s">
        <v>377</v>
      </c>
      <c r="AG336" s="287" t="s">
        <v>18</v>
      </c>
      <c r="AH336" s="287" t="s">
        <v>18</v>
      </c>
      <c r="AI336" s="288" t="s">
        <v>18</v>
      </c>
      <c r="AJ336" s="287" t="s">
        <v>18</v>
      </c>
      <c r="AK336" s="287" t="s">
        <v>18</v>
      </c>
      <c r="AL336" s="288" t="s">
        <v>18</v>
      </c>
      <c r="AM336" s="287" t="s">
        <v>18</v>
      </c>
      <c r="AN336" s="287" t="s">
        <v>18</v>
      </c>
      <c r="AO336" s="288" t="s">
        <v>18</v>
      </c>
      <c r="AP336" s="289" t="s">
        <v>18</v>
      </c>
      <c r="AQ336" s="287" t="s">
        <v>18</v>
      </c>
      <c r="AR336" s="287" t="s">
        <v>18</v>
      </c>
      <c r="AS336" s="288" t="s">
        <v>18</v>
      </c>
      <c r="AT336" s="287" t="s">
        <v>18</v>
      </c>
      <c r="AU336" s="294" t="s">
        <v>32</v>
      </c>
      <c r="AV336" s="288" t="s">
        <v>377</v>
      </c>
      <c r="AW336" s="294" t="s">
        <v>32</v>
      </c>
      <c r="AX336" s="294" t="s">
        <v>32</v>
      </c>
      <c r="AY336" s="295" t="s">
        <v>32</v>
      </c>
      <c r="AZ336" s="294" t="s">
        <v>32</v>
      </c>
      <c r="BA336" s="294" t="s">
        <v>32</v>
      </c>
      <c r="BB336" s="295" t="s">
        <v>32</v>
      </c>
      <c r="BC336" s="296" t="s">
        <v>32</v>
      </c>
      <c r="BD336" s="292"/>
    </row>
    <row r="337" ht="12.75" customHeight="1">
      <c r="A337" s="293">
        <v>45271.97434502315</v>
      </c>
      <c r="B337" s="286" t="s">
        <v>504</v>
      </c>
      <c r="C337" s="287" t="s">
        <v>559</v>
      </c>
      <c r="D337" s="285" t="s">
        <v>16</v>
      </c>
      <c r="E337" s="285" t="s">
        <v>476</v>
      </c>
      <c r="F337" s="287" t="s">
        <v>907</v>
      </c>
      <c r="G337" s="285" t="s">
        <v>17</v>
      </c>
      <c r="H337" s="285">
        <v>12.0</v>
      </c>
      <c r="I337" s="287" t="s">
        <v>497</v>
      </c>
      <c r="J337" s="292"/>
      <c r="K337" s="287" t="s">
        <v>508</v>
      </c>
      <c r="L337" s="287" t="s">
        <v>497</v>
      </c>
      <c r="M337" s="292"/>
      <c r="N337" s="292"/>
      <c r="O337" s="292"/>
      <c r="P337" s="292"/>
      <c r="Q337" s="287" t="s">
        <v>377</v>
      </c>
      <c r="R337" s="287" t="s">
        <v>18</v>
      </c>
      <c r="S337" s="288" t="s">
        <v>377</v>
      </c>
      <c r="T337" s="294" t="s">
        <v>32</v>
      </c>
      <c r="U337" s="294" t="s">
        <v>32</v>
      </c>
      <c r="V337" s="295" t="s">
        <v>32</v>
      </c>
      <c r="W337" s="287" t="s">
        <v>18</v>
      </c>
      <c r="X337" s="287" t="s">
        <v>18</v>
      </c>
      <c r="Y337" s="288" t="s">
        <v>18</v>
      </c>
      <c r="Z337" s="287" t="s">
        <v>377</v>
      </c>
      <c r="AA337" s="287" t="s">
        <v>18</v>
      </c>
      <c r="AB337" s="288" t="s">
        <v>377</v>
      </c>
      <c r="AC337" s="289" t="s">
        <v>377</v>
      </c>
      <c r="AD337" s="287" t="s">
        <v>377</v>
      </c>
      <c r="AE337" s="287" t="s">
        <v>377</v>
      </c>
      <c r="AF337" s="288" t="s">
        <v>377</v>
      </c>
      <c r="AG337" s="294" t="s">
        <v>32</v>
      </c>
      <c r="AH337" s="287" t="s">
        <v>377</v>
      </c>
      <c r="AI337" s="295" t="s">
        <v>32</v>
      </c>
      <c r="AJ337" s="294" t="s">
        <v>32</v>
      </c>
      <c r="AK337" s="287" t="s">
        <v>377</v>
      </c>
      <c r="AL337" s="295" t="s">
        <v>32</v>
      </c>
      <c r="AM337" s="287" t="s">
        <v>18</v>
      </c>
      <c r="AN337" s="287" t="s">
        <v>18</v>
      </c>
      <c r="AO337" s="288" t="s">
        <v>18</v>
      </c>
      <c r="AP337" s="289" t="s">
        <v>377</v>
      </c>
      <c r="AQ337" s="287" t="s">
        <v>18</v>
      </c>
      <c r="AR337" s="294" t="s">
        <v>32</v>
      </c>
      <c r="AS337" s="288" t="s">
        <v>377</v>
      </c>
      <c r="AT337" s="294" t="s">
        <v>32</v>
      </c>
      <c r="AU337" s="287" t="s">
        <v>377</v>
      </c>
      <c r="AV337" s="295" t="s">
        <v>32</v>
      </c>
      <c r="AW337" s="287" t="s">
        <v>377</v>
      </c>
      <c r="AX337" s="287" t="s">
        <v>377</v>
      </c>
      <c r="AY337" s="288" t="s">
        <v>377</v>
      </c>
      <c r="AZ337" s="287" t="s">
        <v>377</v>
      </c>
      <c r="BA337" s="287" t="s">
        <v>377</v>
      </c>
      <c r="BB337" s="288" t="s">
        <v>377</v>
      </c>
      <c r="BC337" s="289" t="s">
        <v>377</v>
      </c>
      <c r="BD337" s="292"/>
    </row>
    <row r="338" ht="12.75" customHeight="1">
      <c r="A338" s="293">
        <v>45271.975452175924</v>
      </c>
      <c r="B338" s="286" t="s">
        <v>504</v>
      </c>
      <c r="C338" s="287" t="s">
        <v>559</v>
      </c>
      <c r="D338" s="285" t="s">
        <v>16</v>
      </c>
      <c r="E338" s="285" t="s">
        <v>476</v>
      </c>
      <c r="F338" s="287" t="s">
        <v>908</v>
      </c>
      <c r="G338" s="285" t="s">
        <v>21</v>
      </c>
      <c r="H338" s="285">
        <v>11.0</v>
      </c>
      <c r="I338" s="287" t="s">
        <v>497</v>
      </c>
      <c r="J338" s="292"/>
      <c r="K338" s="287" t="s">
        <v>508</v>
      </c>
      <c r="L338" s="287" t="s">
        <v>497</v>
      </c>
      <c r="M338" s="292"/>
      <c r="N338" s="292"/>
      <c r="O338" s="292"/>
      <c r="P338" s="292"/>
      <c r="Q338" s="294" t="s">
        <v>32</v>
      </c>
      <c r="R338" s="287" t="s">
        <v>377</v>
      </c>
      <c r="S338" s="295" t="s">
        <v>32</v>
      </c>
      <c r="T338" s="287" t="s">
        <v>377</v>
      </c>
      <c r="U338" s="294" t="s">
        <v>32</v>
      </c>
      <c r="V338" s="295" t="s">
        <v>32</v>
      </c>
      <c r="W338" s="287" t="s">
        <v>18</v>
      </c>
      <c r="X338" s="287" t="s">
        <v>18</v>
      </c>
      <c r="Y338" s="288" t="s">
        <v>18</v>
      </c>
      <c r="Z338" s="294" t="s">
        <v>32</v>
      </c>
      <c r="AA338" s="287" t="s">
        <v>18</v>
      </c>
      <c r="AB338" s="288" t="s">
        <v>377</v>
      </c>
      <c r="AC338" s="289" t="s">
        <v>377</v>
      </c>
      <c r="AD338" s="287" t="s">
        <v>18</v>
      </c>
      <c r="AE338" s="294" t="s">
        <v>32</v>
      </c>
      <c r="AF338" s="288" t="s">
        <v>377</v>
      </c>
      <c r="AG338" s="287" t="s">
        <v>18</v>
      </c>
      <c r="AH338" s="287" t="s">
        <v>18</v>
      </c>
      <c r="AI338" s="288" t="s">
        <v>18</v>
      </c>
      <c r="AJ338" s="287" t="s">
        <v>18</v>
      </c>
      <c r="AK338" s="287" t="s">
        <v>18</v>
      </c>
      <c r="AL338" s="288" t="s">
        <v>18</v>
      </c>
      <c r="AM338" s="287" t="s">
        <v>18</v>
      </c>
      <c r="AN338" s="287" t="s">
        <v>18</v>
      </c>
      <c r="AO338" s="288" t="s">
        <v>18</v>
      </c>
      <c r="AP338" s="289" t="s">
        <v>18</v>
      </c>
      <c r="AQ338" s="287" t="s">
        <v>18</v>
      </c>
      <c r="AR338" s="287" t="s">
        <v>18</v>
      </c>
      <c r="AS338" s="288" t="s">
        <v>18</v>
      </c>
      <c r="AT338" s="294" t="s">
        <v>32</v>
      </c>
      <c r="AU338" s="294" t="s">
        <v>32</v>
      </c>
      <c r="AV338" s="295" t="s">
        <v>32</v>
      </c>
      <c r="AW338" s="294" t="s">
        <v>32</v>
      </c>
      <c r="AX338" s="287" t="s">
        <v>18</v>
      </c>
      <c r="AY338" s="288" t="s">
        <v>377</v>
      </c>
      <c r="AZ338" s="287" t="s">
        <v>18</v>
      </c>
      <c r="BA338" s="294" t="s">
        <v>32</v>
      </c>
      <c r="BB338" s="288" t="s">
        <v>377</v>
      </c>
      <c r="BC338" s="289" t="s">
        <v>377</v>
      </c>
      <c r="BD338" s="292"/>
    </row>
    <row r="339" ht="12.75" customHeight="1">
      <c r="A339" s="293">
        <v>45271.97645488426</v>
      </c>
      <c r="B339" s="286" t="s">
        <v>504</v>
      </c>
      <c r="C339" s="287" t="s">
        <v>559</v>
      </c>
      <c r="D339" s="285" t="s">
        <v>16</v>
      </c>
      <c r="E339" s="285" t="s">
        <v>476</v>
      </c>
      <c r="F339" s="287" t="s">
        <v>909</v>
      </c>
      <c r="G339" s="285" t="s">
        <v>17</v>
      </c>
      <c r="H339" s="285">
        <v>12.0</v>
      </c>
      <c r="I339" s="287" t="s">
        <v>497</v>
      </c>
      <c r="J339" s="292"/>
      <c r="K339" s="287" t="s">
        <v>508</v>
      </c>
      <c r="L339" s="287" t="s">
        <v>497</v>
      </c>
      <c r="M339" s="292"/>
      <c r="N339" s="292"/>
      <c r="O339" s="292"/>
      <c r="P339" s="292"/>
      <c r="Q339" s="294" t="s">
        <v>32</v>
      </c>
      <c r="R339" s="294" t="s">
        <v>32</v>
      </c>
      <c r="S339" s="295" t="s">
        <v>32</v>
      </c>
      <c r="T339" s="287" t="s">
        <v>18</v>
      </c>
      <c r="U339" s="287" t="s">
        <v>18</v>
      </c>
      <c r="V339" s="288" t="s">
        <v>18</v>
      </c>
      <c r="W339" s="294" t="s">
        <v>32</v>
      </c>
      <c r="X339" s="294" t="s">
        <v>32</v>
      </c>
      <c r="Y339" s="295" t="s">
        <v>32</v>
      </c>
      <c r="Z339" s="294" t="s">
        <v>32</v>
      </c>
      <c r="AA339" s="294" t="s">
        <v>32</v>
      </c>
      <c r="AB339" s="295" t="s">
        <v>32</v>
      </c>
      <c r="AC339" s="296" t="s">
        <v>32</v>
      </c>
      <c r="AD339" s="294" t="s">
        <v>32</v>
      </c>
      <c r="AE339" s="294" t="s">
        <v>32</v>
      </c>
      <c r="AF339" s="295" t="s">
        <v>32</v>
      </c>
      <c r="AG339" s="294" t="s">
        <v>32</v>
      </c>
      <c r="AH339" s="287" t="s">
        <v>18</v>
      </c>
      <c r="AI339" s="288" t="s">
        <v>377</v>
      </c>
      <c r="AJ339" s="294" t="s">
        <v>32</v>
      </c>
      <c r="AK339" s="294" t="s">
        <v>32</v>
      </c>
      <c r="AL339" s="295" t="s">
        <v>32</v>
      </c>
      <c r="AM339" s="287" t="s">
        <v>18</v>
      </c>
      <c r="AN339" s="287" t="s">
        <v>18</v>
      </c>
      <c r="AO339" s="288" t="s">
        <v>18</v>
      </c>
      <c r="AP339" s="289" t="s">
        <v>377</v>
      </c>
      <c r="AQ339" s="294" t="s">
        <v>32</v>
      </c>
      <c r="AR339" s="294" t="s">
        <v>32</v>
      </c>
      <c r="AS339" s="295" t="s">
        <v>32</v>
      </c>
      <c r="AT339" s="294" t="s">
        <v>32</v>
      </c>
      <c r="AU339" s="294" t="s">
        <v>32</v>
      </c>
      <c r="AV339" s="295" t="s">
        <v>32</v>
      </c>
      <c r="AW339" s="294" t="s">
        <v>32</v>
      </c>
      <c r="AX339" s="294" t="s">
        <v>32</v>
      </c>
      <c r="AY339" s="295" t="s">
        <v>32</v>
      </c>
      <c r="AZ339" s="294" t="s">
        <v>32</v>
      </c>
      <c r="BA339" s="294" t="s">
        <v>32</v>
      </c>
      <c r="BB339" s="295" t="s">
        <v>32</v>
      </c>
      <c r="BC339" s="289" t="s">
        <v>377</v>
      </c>
      <c r="BD339" s="292"/>
    </row>
    <row r="340" ht="12.75" customHeight="1">
      <c r="A340" s="293">
        <v>45271.97823784722</v>
      </c>
      <c r="B340" s="286" t="s">
        <v>504</v>
      </c>
      <c r="C340" s="287" t="s">
        <v>559</v>
      </c>
      <c r="D340" s="285" t="s">
        <v>16</v>
      </c>
      <c r="E340" s="285" t="s">
        <v>476</v>
      </c>
      <c r="F340" s="287" t="s">
        <v>910</v>
      </c>
      <c r="G340" s="285" t="s">
        <v>21</v>
      </c>
      <c r="H340" s="285">
        <v>11.0</v>
      </c>
      <c r="I340" s="287" t="s">
        <v>497</v>
      </c>
      <c r="J340" s="292"/>
      <c r="K340" s="287" t="s">
        <v>508</v>
      </c>
      <c r="L340" s="287" t="s">
        <v>497</v>
      </c>
      <c r="M340" s="292"/>
      <c r="N340" s="292"/>
      <c r="O340" s="292"/>
      <c r="P340" s="292"/>
      <c r="Q340" s="294" t="s">
        <v>32</v>
      </c>
      <c r="R340" s="287" t="s">
        <v>377</v>
      </c>
      <c r="S340" s="295" t="s">
        <v>32</v>
      </c>
      <c r="T340" s="287" t="s">
        <v>377</v>
      </c>
      <c r="U340" s="294" t="s">
        <v>32</v>
      </c>
      <c r="V340" s="295" t="s">
        <v>32</v>
      </c>
      <c r="W340" s="287" t="s">
        <v>18</v>
      </c>
      <c r="X340" s="287" t="s">
        <v>18</v>
      </c>
      <c r="Y340" s="288" t="s">
        <v>18</v>
      </c>
      <c r="Z340" s="287" t="s">
        <v>377</v>
      </c>
      <c r="AA340" s="294" t="s">
        <v>32</v>
      </c>
      <c r="AB340" s="295" t="s">
        <v>32</v>
      </c>
      <c r="AC340" s="289" t="s">
        <v>377</v>
      </c>
      <c r="AD340" s="287" t="s">
        <v>377</v>
      </c>
      <c r="AE340" s="294" t="s">
        <v>32</v>
      </c>
      <c r="AF340" s="295" t="s">
        <v>32</v>
      </c>
      <c r="AG340" s="287" t="s">
        <v>377</v>
      </c>
      <c r="AH340" s="287" t="s">
        <v>377</v>
      </c>
      <c r="AI340" s="288" t="s">
        <v>377</v>
      </c>
      <c r="AJ340" s="294" t="s">
        <v>32</v>
      </c>
      <c r="AK340" s="287" t="s">
        <v>377</v>
      </c>
      <c r="AL340" s="295" t="s">
        <v>32</v>
      </c>
      <c r="AM340" s="287" t="s">
        <v>18</v>
      </c>
      <c r="AN340" s="287" t="s">
        <v>18</v>
      </c>
      <c r="AO340" s="288" t="s">
        <v>18</v>
      </c>
      <c r="AP340" s="289" t="s">
        <v>377</v>
      </c>
      <c r="AQ340" s="294" t="s">
        <v>32</v>
      </c>
      <c r="AR340" s="287" t="s">
        <v>377</v>
      </c>
      <c r="AS340" s="295" t="s">
        <v>32</v>
      </c>
      <c r="AT340" s="294" t="s">
        <v>32</v>
      </c>
      <c r="AU340" s="287" t="s">
        <v>377</v>
      </c>
      <c r="AV340" s="295" t="s">
        <v>32</v>
      </c>
      <c r="AW340" s="287" t="s">
        <v>377</v>
      </c>
      <c r="AX340" s="287" t="s">
        <v>377</v>
      </c>
      <c r="AY340" s="288" t="s">
        <v>377</v>
      </c>
      <c r="AZ340" s="294" t="s">
        <v>32</v>
      </c>
      <c r="BA340" s="294" t="s">
        <v>32</v>
      </c>
      <c r="BB340" s="288" t="s">
        <v>18</v>
      </c>
      <c r="BC340" s="289" t="s">
        <v>18</v>
      </c>
      <c r="BD340" s="292"/>
    </row>
    <row r="341" ht="12.75" customHeight="1">
      <c r="A341" s="293">
        <v>45271.978607094905</v>
      </c>
      <c r="B341" s="286" t="s">
        <v>504</v>
      </c>
      <c r="C341" s="287" t="s">
        <v>559</v>
      </c>
      <c r="D341" s="285" t="s">
        <v>16</v>
      </c>
      <c r="E341" s="285" t="s">
        <v>476</v>
      </c>
      <c r="F341" s="287" t="s">
        <v>911</v>
      </c>
      <c r="G341" s="285" t="s">
        <v>21</v>
      </c>
      <c r="H341" s="285">
        <v>12.0</v>
      </c>
      <c r="I341" s="287" t="s">
        <v>497</v>
      </c>
      <c r="J341" s="292"/>
      <c r="K341" s="287" t="s">
        <v>508</v>
      </c>
      <c r="L341" s="287" t="s">
        <v>497</v>
      </c>
      <c r="M341" s="292"/>
      <c r="N341" s="292"/>
      <c r="O341" s="292"/>
      <c r="P341" s="292"/>
      <c r="Q341" s="294" t="s">
        <v>32</v>
      </c>
      <c r="R341" s="287" t="s">
        <v>377</v>
      </c>
      <c r="S341" s="295" t="s">
        <v>32</v>
      </c>
      <c r="T341" s="294" t="s">
        <v>32</v>
      </c>
      <c r="U341" s="294" t="s">
        <v>32</v>
      </c>
      <c r="V341" s="295" t="s">
        <v>32</v>
      </c>
      <c r="W341" s="287" t="s">
        <v>18</v>
      </c>
      <c r="X341" s="287" t="s">
        <v>18</v>
      </c>
      <c r="Y341" s="288" t="s">
        <v>18</v>
      </c>
      <c r="Z341" s="294" t="s">
        <v>32</v>
      </c>
      <c r="AA341" s="287" t="s">
        <v>377</v>
      </c>
      <c r="AB341" s="295" t="s">
        <v>32</v>
      </c>
      <c r="AC341" s="289" t="s">
        <v>377</v>
      </c>
      <c r="AD341" s="287" t="s">
        <v>377</v>
      </c>
      <c r="AE341" s="287" t="s">
        <v>377</v>
      </c>
      <c r="AF341" s="288" t="s">
        <v>377</v>
      </c>
      <c r="AG341" s="287" t="s">
        <v>18</v>
      </c>
      <c r="AH341" s="287" t="s">
        <v>377</v>
      </c>
      <c r="AI341" s="288" t="s">
        <v>377</v>
      </c>
      <c r="AJ341" s="287" t="s">
        <v>18</v>
      </c>
      <c r="AK341" s="287" t="s">
        <v>377</v>
      </c>
      <c r="AL341" s="288" t="s">
        <v>377</v>
      </c>
      <c r="AM341" s="287" t="s">
        <v>18</v>
      </c>
      <c r="AN341" s="287" t="s">
        <v>18</v>
      </c>
      <c r="AO341" s="288" t="s">
        <v>18</v>
      </c>
      <c r="AP341" s="289" t="s">
        <v>377</v>
      </c>
      <c r="AQ341" s="287" t="s">
        <v>18</v>
      </c>
      <c r="AR341" s="287" t="s">
        <v>377</v>
      </c>
      <c r="AS341" s="288" t="s">
        <v>377</v>
      </c>
      <c r="AT341" s="287" t="s">
        <v>18</v>
      </c>
      <c r="AU341" s="294" t="s">
        <v>32</v>
      </c>
      <c r="AV341" s="288" t="s">
        <v>377</v>
      </c>
      <c r="AW341" s="294" t="s">
        <v>32</v>
      </c>
      <c r="AX341" s="287" t="s">
        <v>377</v>
      </c>
      <c r="AY341" s="295" t="s">
        <v>32</v>
      </c>
      <c r="AZ341" s="287" t="s">
        <v>377</v>
      </c>
      <c r="BA341" s="294" t="s">
        <v>32</v>
      </c>
      <c r="BB341" s="288" t="s">
        <v>18</v>
      </c>
      <c r="BC341" s="289" t="s">
        <v>18</v>
      </c>
      <c r="BD341" s="292"/>
    </row>
    <row r="342" ht="12.75" customHeight="1">
      <c r="A342" s="293">
        <v>45271.979789074074</v>
      </c>
      <c r="B342" s="286" t="s">
        <v>504</v>
      </c>
      <c r="C342" s="287" t="s">
        <v>559</v>
      </c>
      <c r="D342" s="285" t="s">
        <v>16</v>
      </c>
      <c r="E342" s="285" t="s">
        <v>476</v>
      </c>
      <c r="F342" s="287" t="s">
        <v>912</v>
      </c>
      <c r="G342" s="285" t="s">
        <v>21</v>
      </c>
      <c r="H342" s="285">
        <v>13.0</v>
      </c>
      <c r="I342" s="287" t="s">
        <v>497</v>
      </c>
      <c r="J342" s="292"/>
      <c r="K342" s="287" t="s">
        <v>508</v>
      </c>
      <c r="L342" s="287" t="s">
        <v>497</v>
      </c>
      <c r="M342" s="292"/>
      <c r="N342" s="292"/>
      <c r="O342" s="292"/>
      <c r="P342" s="292"/>
      <c r="Q342" s="287" t="s">
        <v>377</v>
      </c>
      <c r="R342" s="294" t="s">
        <v>32</v>
      </c>
      <c r="S342" s="295" t="s">
        <v>32</v>
      </c>
      <c r="T342" s="287" t="s">
        <v>18</v>
      </c>
      <c r="U342" s="287" t="s">
        <v>18</v>
      </c>
      <c r="V342" s="288" t="s">
        <v>18</v>
      </c>
      <c r="W342" s="287" t="s">
        <v>18</v>
      </c>
      <c r="X342" s="287" t="s">
        <v>18</v>
      </c>
      <c r="Y342" s="288" t="s">
        <v>18</v>
      </c>
      <c r="Z342" s="287" t="s">
        <v>377</v>
      </c>
      <c r="AA342" s="287" t="s">
        <v>18</v>
      </c>
      <c r="AB342" s="288" t="s">
        <v>377</v>
      </c>
      <c r="AC342" s="289" t="s">
        <v>377</v>
      </c>
      <c r="AD342" s="294" t="s">
        <v>32</v>
      </c>
      <c r="AE342" s="287" t="s">
        <v>377</v>
      </c>
      <c r="AF342" s="295" t="s">
        <v>32</v>
      </c>
      <c r="AG342" s="294" t="s">
        <v>32</v>
      </c>
      <c r="AH342" s="287" t="s">
        <v>18</v>
      </c>
      <c r="AI342" s="288" t="s">
        <v>377</v>
      </c>
      <c r="AJ342" s="287" t="s">
        <v>18</v>
      </c>
      <c r="AK342" s="287" t="s">
        <v>18</v>
      </c>
      <c r="AL342" s="288" t="s">
        <v>18</v>
      </c>
      <c r="AM342" s="287" t="s">
        <v>18</v>
      </c>
      <c r="AN342" s="287" t="s">
        <v>18</v>
      </c>
      <c r="AO342" s="288" t="s">
        <v>18</v>
      </c>
      <c r="AP342" s="289" t="s">
        <v>377</v>
      </c>
      <c r="AQ342" s="294" t="s">
        <v>32</v>
      </c>
      <c r="AR342" s="294" t="s">
        <v>32</v>
      </c>
      <c r="AS342" s="295" t="s">
        <v>32</v>
      </c>
      <c r="AT342" s="294" t="s">
        <v>32</v>
      </c>
      <c r="AU342" s="294" t="s">
        <v>32</v>
      </c>
      <c r="AV342" s="295" t="s">
        <v>32</v>
      </c>
      <c r="AW342" s="287" t="s">
        <v>18</v>
      </c>
      <c r="AX342" s="294" t="s">
        <v>32</v>
      </c>
      <c r="AY342" s="288" t="s">
        <v>377</v>
      </c>
      <c r="AZ342" s="294" t="s">
        <v>32</v>
      </c>
      <c r="BA342" s="294" t="s">
        <v>32</v>
      </c>
      <c r="BB342" s="288" t="s">
        <v>18</v>
      </c>
      <c r="BC342" s="289" t="s">
        <v>18</v>
      </c>
      <c r="BD342" s="292"/>
    </row>
    <row r="343" ht="12.75" customHeight="1">
      <c r="A343" s="293">
        <v>45271.98041956019</v>
      </c>
      <c r="B343" s="286" t="s">
        <v>504</v>
      </c>
      <c r="C343" s="287" t="s">
        <v>559</v>
      </c>
      <c r="D343" s="285" t="s">
        <v>16</v>
      </c>
      <c r="E343" s="285" t="s">
        <v>476</v>
      </c>
      <c r="F343" s="287" t="s">
        <v>913</v>
      </c>
      <c r="G343" s="285" t="s">
        <v>21</v>
      </c>
      <c r="H343" s="285">
        <v>12.0</v>
      </c>
      <c r="I343" s="287" t="s">
        <v>497</v>
      </c>
      <c r="J343" s="292"/>
      <c r="K343" s="287" t="s">
        <v>508</v>
      </c>
      <c r="L343" s="287" t="s">
        <v>497</v>
      </c>
      <c r="M343" s="292"/>
      <c r="N343" s="292"/>
      <c r="O343" s="292"/>
      <c r="P343" s="292"/>
      <c r="Q343" s="294" t="s">
        <v>32</v>
      </c>
      <c r="R343" s="287" t="s">
        <v>18</v>
      </c>
      <c r="S343" s="288" t="s">
        <v>377</v>
      </c>
      <c r="T343" s="294" t="s">
        <v>32</v>
      </c>
      <c r="U343" s="294" t="s">
        <v>32</v>
      </c>
      <c r="V343" s="295" t="s">
        <v>32</v>
      </c>
      <c r="W343" s="287" t="s">
        <v>18</v>
      </c>
      <c r="X343" s="287" t="s">
        <v>18</v>
      </c>
      <c r="Y343" s="288" t="s">
        <v>18</v>
      </c>
      <c r="Z343" s="294" t="s">
        <v>32</v>
      </c>
      <c r="AA343" s="287" t="s">
        <v>18</v>
      </c>
      <c r="AB343" s="288" t="s">
        <v>377</v>
      </c>
      <c r="AC343" s="289" t="s">
        <v>377</v>
      </c>
      <c r="AD343" s="294" t="s">
        <v>32</v>
      </c>
      <c r="AE343" s="294" t="s">
        <v>32</v>
      </c>
      <c r="AF343" s="295" t="s">
        <v>32</v>
      </c>
      <c r="AG343" s="287" t="s">
        <v>18</v>
      </c>
      <c r="AH343" s="287" t="s">
        <v>18</v>
      </c>
      <c r="AI343" s="288" t="s">
        <v>18</v>
      </c>
      <c r="AJ343" s="287" t="s">
        <v>18</v>
      </c>
      <c r="AK343" s="287" t="s">
        <v>18</v>
      </c>
      <c r="AL343" s="288" t="s">
        <v>18</v>
      </c>
      <c r="AM343" s="287" t="s">
        <v>18</v>
      </c>
      <c r="AN343" s="287" t="s">
        <v>18</v>
      </c>
      <c r="AO343" s="288" t="s">
        <v>18</v>
      </c>
      <c r="AP343" s="289" t="s">
        <v>377</v>
      </c>
      <c r="AQ343" s="287" t="s">
        <v>18</v>
      </c>
      <c r="AR343" s="287" t="s">
        <v>18</v>
      </c>
      <c r="AS343" s="288" t="s">
        <v>18</v>
      </c>
      <c r="AT343" s="294" t="s">
        <v>32</v>
      </c>
      <c r="AU343" s="294" t="s">
        <v>32</v>
      </c>
      <c r="AV343" s="295" t="s">
        <v>32</v>
      </c>
      <c r="AW343" s="294" t="s">
        <v>32</v>
      </c>
      <c r="AX343" s="287" t="s">
        <v>18</v>
      </c>
      <c r="AY343" s="288" t="s">
        <v>377</v>
      </c>
      <c r="AZ343" s="287" t="s">
        <v>18</v>
      </c>
      <c r="BA343" s="294" t="s">
        <v>32</v>
      </c>
      <c r="BB343" s="295" t="s">
        <v>32</v>
      </c>
      <c r="BC343" s="296" t="s">
        <v>32</v>
      </c>
      <c r="BD343" s="292"/>
    </row>
    <row r="344" ht="12.75" customHeight="1">
      <c r="A344" s="293">
        <v>45271.98360460648</v>
      </c>
      <c r="B344" s="286" t="s">
        <v>504</v>
      </c>
      <c r="C344" s="287" t="s">
        <v>559</v>
      </c>
      <c r="D344" s="285" t="s">
        <v>16</v>
      </c>
      <c r="E344" s="285" t="s">
        <v>476</v>
      </c>
      <c r="F344" s="287" t="s">
        <v>914</v>
      </c>
      <c r="G344" s="285" t="s">
        <v>21</v>
      </c>
      <c r="H344" s="285">
        <v>12.0</v>
      </c>
      <c r="I344" s="287" t="s">
        <v>497</v>
      </c>
      <c r="J344" s="292"/>
      <c r="K344" s="287" t="s">
        <v>508</v>
      </c>
      <c r="L344" s="287" t="s">
        <v>497</v>
      </c>
      <c r="M344" s="292"/>
      <c r="N344" s="292"/>
      <c r="O344" s="292"/>
      <c r="P344" s="292"/>
      <c r="Q344" s="287" t="s">
        <v>377</v>
      </c>
      <c r="R344" s="287" t="s">
        <v>377</v>
      </c>
      <c r="S344" s="288" t="s">
        <v>377</v>
      </c>
      <c r="T344" s="287" t="s">
        <v>377</v>
      </c>
      <c r="U344" s="294" t="s">
        <v>32</v>
      </c>
      <c r="V344" s="295" t="s">
        <v>32</v>
      </c>
      <c r="W344" s="287" t="s">
        <v>18</v>
      </c>
      <c r="X344" s="287" t="s">
        <v>377</v>
      </c>
      <c r="Y344" s="288" t="s">
        <v>377</v>
      </c>
      <c r="Z344" s="287" t="s">
        <v>377</v>
      </c>
      <c r="AA344" s="287" t="s">
        <v>377</v>
      </c>
      <c r="AB344" s="288" t="s">
        <v>377</v>
      </c>
      <c r="AC344" s="289" t="s">
        <v>377</v>
      </c>
      <c r="AD344" s="287" t="s">
        <v>377</v>
      </c>
      <c r="AE344" s="294" t="s">
        <v>32</v>
      </c>
      <c r="AF344" s="295" t="s">
        <v>32</v>
      </c>
      <c r="AG344" s="287" t="s">
        <v>377</v>
      </c>
      <c r="AH344" s="287" t="s">
        <v>377</v>
      </c>
      <c r="AI344" s="288" t="s">
        <v>377</v>
      </c>
      <c r="AJ344" s="287" t="s">
        <v>377</v>
      </c>
      <c r="AK344" s="287" t="s">
        <v>377</v>
      </c>
      <c r="AL344" s="288" t="s">
        <v>377</v>
      </c>
      <c r="AM344" s="287" t="s">
        <v>18</v>
      </c>
      <c r="AN344" s="287" t="s">
        <v>18</v>
      </c>
      <c r="AO344" s="288" t="s">
        <v>18</v>
      </c>
      <c r="AP344" s="289" t="s">
        <v>377</v>
      </c>
      <c r="AQ344" s="287" t="s">
        <v>18</v>
      </c>
      <c r="AR344" s="287" t="s">
        <v>377</v>
      </c>
      <c r="AS344" s="288" t="s">
        <v>377</v>
      </c>
      <c r="AT344" s="287" t="s">
        <v>18</v>
      </c>
      <c r="AU344" s="294" t="s">
        <v>32</v>
      </c>
      <c r="AV344" s="288" t="s">
        <v>377</v>
      </c>
      <c r="AW344" s="294" t="s">
        <v>32</v>
      </c>
      <c r="AX344" s="294" t="s">
        <v>32</v>
      </c>
      <c r="AY344" s="295" t="s">
        <v>32</v>
      </c>
      <c r="AZ344" s="287" t="s">
        <v>18</v>
      </c>
      <c r="BA344" s="287" t="s">
        <v>18</v>
      </c>
      <c r="BB344" s="295" t="s">
        <v>32</v>
      </c>
      <c r="BC344" s="296" t="s">
        <v>32</v>
      </c>
      <c r="BD344" s="292"/>
    </row>
    <row r="345" ht="12.75" customHeight="1">
      <c r="A345" s="293">
        <v>45271.98541017361</v>
      </c>
      <c r="B345" s="286" t="s">
        <v>504</v>
      </c>
      <c r="C345" s="287" t="s">
        <v>559</v>
      </c>
      <c r="D345" s="285" t="s">
        <v>16</v>
      </c>
      <c r="E345" s="285" t="s">
        <v>476</v>
      </c>
      <c r="F345" s="287" t="s">
        <v>915</v>
      </c>
      <c r="G345" s="285" t="s">
        <v>21</v>
      </c>
      <c r="H345" s="285">
        <v>12.0</v>
      </c>
      <c r="I345" s="287" t="s">
        <v>497</v>
      </c>
      <c r="J345" s="292"/>
      <c r="K345" s="287" t="s">
        <v>508</v>
      </c>
      <c r="L345" s="287" t="s">
        <v>479</v>
      </c>
      <c r="M345" s="287" t="s">
        <v>500</v>
      </c>
      <c r="N345" s="287" t="s">
        <v>500</v>
      </c>
      <c r="O345" s="287"/>
      <c r="P345" s="287"/>
      <c r="Q345" s="294" t="s">
        <v>32</v>
      </c>
      <c r="R345" s="294" t="s">
        <v>32</v>
      </c>
      <c r="S345" s="295" t="s">
        <v>32</v>
      </c>
      <c r="T345" s="294" t="s">
        <v>32</v>
      </c>
      <c r="U345" s="294" t="s">
        <v>32</v>
      </c>
      <c r="V345" s="295" t="s">
        <v>32</v>
      </c>
      <c r="W345" s="294" t="s">
        <v>32</v>
      </c>
      <c r="X345" s="287" t="s">
        <v>377</v>
      </c>
      <c r="Y345" s="295" t="s">
        <v>32</v>
      </c>
      <c r="Z345" s="294" t="s">
        <v>32</v>
      </c>
      <c r="AA345" s="287" t="s">
        <v>377</v>
      </c>
      <c r="AB345" s="295" t="s">
        <v>32</v>
      </c>
      <c r="AC345" s="296" t="s">
        <v>32</v>
      </c>
      <c r="AD345" s="287" t="s">
        <v>377</v>
      </c>
      <c r="AE345" s="294" t="s">
        <v>32</v>
      </c>
      <c r="AF345" s="295" t="s">
        <v>32</v>
      </c>
      <c r="AG345" s="287" t="s">
        <v>377</v>
      </c>
      <c r="AH345" s="287" t="s">
        <v>18</v>
      </c>
      <c r="AI345" s="288" t="s">
        <v>377</v>
      </c>
      <c r="AJ345" s="287" t="s">
        <v>377</v>
      </c>
      <c r="AK345" s="287" t="s">
        <v>377</v>
      </c>
      <c r="AL345" s="288" t="s">
        <v>377</v>
      </c>
      <c r="AM345" s="287" t="s">
        <v>18</v>
      </c>
      <c r="AN345" s="287" t="s">
        <v>18</v>
      </c>
      <c r="AO345" s="288" t="s">
        <v>18</v>
      </c>
      <c r="AP345" s="289" t="s">
        <v>377</v>
      </c>
      <c r="AQ345" s="294" t="s">
        <v>32</v>
      </c>
      <c r="AR345" s="287" t="s">
        <v>377</v>
      </c>
      <c r="AS345" s="295" t="s">
        <v>32</v>
      </c>
      <c r="AT345" s="294" t="s">
        <v>32</v>
      </c>
      <c r="AU345" s="294" t="s">
        <v>32</v>
      </c>
      <c r="AV345" s="295" t="s">
        <v>32</v>
      </c>
      <c r="AW345" s="287" t="s">
        <v>377</v>
      </c>
      <c r="AX345" s="287" t="s">
        <v>377</v>
      </c>
      <c r="AY345" s="288" t="s">
        <v>377</v>
      </c>
      <c r="AZ345" s="294" t="s">
        <v>32</v>
      </c>
      <c r="BA345" s="294" t="s">
        <v>32</v>
      </c>
      <c r="BB345" s="295" t="s">
        <v>32</v>
      </c>
      <c r="BC345" s="296" t="s">
        <v>32</v>
      </c>
      <c r="BD345" s="292"/>
    </row>
    <row r="346" ht="12.75" customHeight="1">
      <c r="A346" s="293">
        <v>45271.98543994213</v>
      </c>
      <c r="B346" s="286" t="s">
        <v>504</v>
      </c>
      <c r="C346" s="287" t="s">
        <v>559</v>
      </c>
      <c r="D346" s="285" t="s">
        <v>16</v>
      </c>
      <c r="E346" s="285" t="s">
        <v>476</v>
      </c>
      <c r="F346" s="287" t="s">
        <v>916</v>
      </c>
      <c r="G346" s="285" t="s">
        <v>21</v>
      </c>
      <c r="H346" s="285">
        <v>12.0</v>
      </c>
      <c r="I346" s="287" t="s">
        <v>497</v>
      </c>
      <c r="J346" s="292"/>
      <c r="K346" s="287" t="s">
        <v>508</v>
      </c>
      <c r="L346" s="287" t="s">
        <v>497</v>
      </c>
      <c r="M346" s="292"/>
      <c r="N346" s="292"/>
      <c r="O346" s="292"/>
      <c r="P346" s="292"/>
      <c r="Q346" s="294" t="s">
        <v>32</v>
      </c>
      <c r="R346" s="294" t="s">
        <v>32</v>
      </c>
      <c r="S346" s="295" t="s">
        <v>32</v>
      </c>
      <c r="T346" s="287" t="s">
        <v>18</v>
      </c>
      <c r="U346" s="294" t="s">
        <v>32</v>
      </c>
      <c r="V346" s="288" t="s">
        <v>377</v>
      </c>
      <c r="W346" s="287" t="s">
        <v>377</v>
      </c>
      <c r="X346" s="294" t="s">
        <v>32</v>
      </c>
      <c r="Y346" s="295" t="s">
        <v>32</v>
      </c>
      <c r="Z346" s="287" t="s">
        <v>18</v>
      </c>
      <c r="AA346" s="287" t="s">
        <v>377</v>
      </c>
      <c r="AB346" s="288" t="s">
        <v>377</v>
      </c>
      <c r="AC346" s="289" t="s">
        <v>377</v>
      </c>
      <c r="AD346" s="287" t="s">
        <v>377</v>
      </c>
      <c r="AE346" s="294" t="s">
        <v>32</v>
      </c>
      <c r="AF346" s="295" t="s">
        <v>32</v>
      </c>
      <c r="AG346" s="287" t="s">
        <v>377</v>
      </c>
      <c r="AH346" s="287" t="s">
        <v>18</v>
      </c>
      <c r="AI346" s="288" t="s">
        <v>377</v>
      </c>
      <c r="AJ346" s="287" t="s">
        <v>18</v>
      </c>
      <c r="AK346" s="287" t="s">
        <v>377</v>
      </c>
      <c r="AL346" s="288" t="s">
        <v>377</v>
      </c>
      <c r="AM346" s="287" t="s">
        <v>18</v>
      </c>
      <c r="AN346" s="287" t="s">
        <v>18</v>
      </c>
      <c r="AO346" s="288" t="s">
        <v>18</v>
      </c>
      <c r="AP346" s="289" t="s">
        <v>377</v>
      </c>
      <c r="AQ346" s="294" t="s">
        <v>32</v>
      </c>
      <c r="AR346" s="287" t="s">
        <v>377</v>
      </c>
      <c r="AS346" s="295" t="s">
        <v>32</v>
      </c>
      <c r="AT346" s="287" t="s">
        <v>377</v>
      </c>
      <c r="AU346" s="287" t="s">
        <v>377</v>
      </c>
      <c r="AV346" s="288" t="s">
        <v>377</v>
      </c>
      <c r="AW346" s="294" t="s">
        <v>32</v>
      </c>
      <c r="AX346" s="287" t="s">
        <v>377</v>
      </c>
      <c r="AY346" s="295" t="s">
        <v>32</v>
      </c>
      <c r="AZ346" s="294" t="s">
        <v>32</v>
      </c>
      <c r="BA346" s="294" t="s">
        <v>32</v>
      </c>
      <c r="BB346" s="295" t="s">
        <v>32</v>
      </c>
      <c r="BC346" s="296" t="s">
        <v>32</v>
      </c>
      <c r="BD346" s="292"/>
    </row>
    <row r="347" ht="12.75" customHeight="1">
      <c r="A347" s="293">
        <v>45271.98700732639</v>
      </c>
      <c r="B347" s="286" t="s">
        <v>504</v>
      </c>
      <c r="C347" s="287" t="s">
        <v>559</v>
      </c>
      <c r="D347" s="285" t="s">
        <v>16</v>
      </c>
      <c r="E347" s="285" t="s">
        <v>476</v>
      </c>
      <c r="F347" s="287" t="s">
        <v>917</v>
      </c>
      <c r="G347" s="285" t="s">
        <v>17</v>
      </c>
      <c r="H347" s="285">
        <v>12.0</v>
      </c>
      <c r="I347" s="287" t="s">
        <v>497</v>
      </c>
      <c r="J347" s="292"/>
      <c r="K347" s="287" t="s">
        <v>508</v>
      </c>
      <c r="L347" s="287" t="s">
        <v>497</v>
      </c>
      <c r="M347" s="292"/>
      <c r="N347" s="292"/>
      <c r="O347" s="292"/>
      <c r="P347" s="292"/>
      <c r="Q347" s="294" t="s">
        <v>32</v>
      </c>
      <c r="R347" s="294" t="s">
        <v>32</v>
      </c>
      <c r="S347" s="295" t="s">
        <v>32</v>
      </c>
      <c r="T347" s="294" t="s">
        <v>32</v>
      </c>
      <c r="U347" s="294" t="s">
        <v>32</v>
      </c>
      <c r="V347" s="295" t="s">
        <v>32</v>
      </c>
      <c r="W347" s="294" t="s">
        <v>32</v>
      </c>
      <c r="X347" s="287" t="s">
        <v>377</v>
      </c>
      <c r="Y347" s="295" t="s">
        <v>32</v>
      </c>
      <c r="Z347" s="294" t="s">
        <v>32</v>
      </c>
      <c r="AA347" s="294" t="s">
        <v>32</v>
      </c>
      <c r="AB347" s="295" t="s">
        <v>32</v>
      </c>
      <c r="AC347" s="296" t="s">
        <v>32</v>
      </c>
      <c r="AD347" s="294" t="s">
        <v>32</v>
      </c>
      <c r="AE347" s="294" t="s">
        <v>32</v>
      </c>
      <c r="AF347" s="295" t="s">
        <v>32</v>
      </c>
      <c r="AG347" s="294" t="s">
        <v>32</v>
      </c>
      <c r="AH347" s="287" t="s">
        <v>377</v>
      </c>
      <c r="AI347" s="295" t="s">
        <v>32</v>
      </c>
      <c r="AJ347" s="294" t="s">
        <v>32</v>
      </c>
      <c r="AK347" s="294" t="s">
        <v>32</v>
      </c>
      <c r="AL347" s="295" t="s">
        <v>32</v>
      </c>
      <c r="AM347" s="287" t="s">
        <v>377</v>
      </c>
      <c r="AN347" s="287" t="s">
        <v>377</v>
      </c>
      <c r="AO347" s="288" t="s">
        <v>377</v>
      </c>
      <c r="AP347" s="296" t="s">
        <v>32</v>
      </c>
      <c r="AQ347" s="294" t="s">
        <v>32</v>
      </c>
      <c r="AR347" s="294" t="s">
        <v>32</v>
      </c>
      <c r="AS347" s="295" t="s">
        <v>32</v>
      </c>
      <c r="AT347" s="294" t="s">
        <v>32</v>
      </c>
      <c r="AU347" s="294" t="s">
        <v>32</v>
      </c>
      <c r="AV347" s="295" t="s">
        <v>32</v>
      </c>
      <c r="AW347" s="294" t="s">
        <v>32</v>
      </c>
      <c r="AX347" s="294" t="s">
        <v>32</v>
      </c>
      <c r="AY347" s="295" t="s">
        <v>32</v>
      </c>
      <c r="AZ347" s="294" t="s">
        <v>32</v>
      </c>
      <c r="BA347" s="294" t="s">
        <v>32</v>
      </c>
      <c r="BB347" s="295" t="s">
        <v>32</v>
      </c>
      <c r="BC347" s="296" t="s">
        <v>32</v>
      </c>
      <c r="BD347" s="292"/>
    </row>
    <row r="348" ht="12.75" customHeight="1">
      <c r="A348" s="293">
        <v>45271.99231732639</v>
      </c>
      <c r="B348" s="286" t="s">
        <v>504</v>
      </c>
      <c r="C348" s="287" t="s">
        <v>559</v>
      </c>
      <c r="D348" s="285" t="s">
        <v>16</v>
      </c>
      <c r="E348" s="285" t="s">
        <v>476</v>
      </c>
      <c r="F348" s="287" t="s">
        <v>918</v>
      </c>
      <c r="G348" s="285" t="s">
        <v>21</v>
      </c>
      <c r="H348" s="285">
        <v>11.0</v>
      </c>
      <c r="I348" s="287" t="s">
        <v>497</v>
      </c>
      <c r="J348" s="292"/>
      <c r="K348" s="287" t="s">
        <v>508</v>
      </c>
      <c r="L348" s="287" t="s">
        <v>479</v>
      </c>
      <c r="M348" s="287" t="s">
        <v>500</v>
      </c>
      <c r="N348" s="287" t="s">
        <v>500</v>
      </c>
      <c r="O348" s="287"/>
      <c r="P348" s="287"/>
      <c r="Q348" s="294" t="s">
        <v>32</v>
      </c>
      <c r="R348" s="287" t="s">
        <v>18</v>
      </c>
      <c r="S348" s="288" t="s">
        <v>377</v>
      </c>
      <c r="T348" s="294" t="s">
        <v>32</v>
      </c>
      <c r="U348" s="294" t="s">
        <v>32</v>
      </c>
      <c r="V348" s="295" t="s">
        <v>32</v>
      </c>
      <c r="W348" s="294" t="s">
        <v>32</v>
      </c>
      <c r="X348" s="287" t="s">
        <v>377</v>
      </c>
      <c r="Y348" s="295" t="s">
        <v>32</v>
      </c>
      <c r="Z348" s="294" t="s">
        <v>32</v>
      </c>
      <c r="AA348" s="287" t="s">
        <v>377</v>
      </c>
      <c r="AB348" s="295" t="s">
        <v>32</v>
      </c>
      <c r="AC348" s="296" t="s">
        <v>32</v>
      </c>
      <c r="AD348" s="294" t="s">
        <v>32</v>
      </c>
      <c r="AE348" s="294" t="s">
        <v>32</v>
      </c>
      <c r="AF348" s="295" t="s">
        <v>32</v>
      </c>
      <c r="AG348" s="287" t="s">
        <v>18</v>
      </c>
      <c r="AH348" s="287" t="s">
        <v>377</v>
      </c>
      <c r="AI348" s="288" t="s">
        <v>377</v>
      </c>
      <c r="AJ348" s="294" t="s">
        <v>32</v>
      </c>
      <c r="AK348" s="287" t="s">
        <v>18</v>
      </c>
      <c r="AL348" s="288" t="s">
        <v>377</v>
      </c>
      <c r="AM348" s="287" t="s">
        <v>18</v>
      </c>
      <c r="AN348" s="287" t="s">
        <v>18</v>
      </c>
      <c r="AO348" s="288" t="s">
        <v>18</v>
      </c>
      <c r="AP348" s="289" t="s">
        <v>377</v>
      </c>
      <c r="AQ348" s="294" t="s">
        <v>32</v>
      </c>
      <c r="AR348" s="287" t="s">
        <v>18</v>
      </c>
      <c r="AS348" s="288" t="s">
        <v>377</v>
      </c>
      <c r="AT348" s="287" t="s">
        <v>377</v>
      </c>
      <c r="AU348" s="287" t="s">
        <v>377</v>
      </c>
      <c r="AV348" s="288" t="s">
        <v>377</v>
      </c>
      <c r="AW348" s="287" t="s">
        <v>18</v>
      </c>
      <c r="AX348" s="294" t="s">
        <v>32</v>
      </c>
      <c r="AY348" s="288" t="s">
        <v>377</v>
      </c>
      <c r="AZ348" s="294" t="s">
        <v>32</v>
      </c>
      <c r="BA348" s="294" t="s">
        <v>32</v>
      </c>
      <c r="BB348" s="295" t="s">
        <v>32</v>
      </c>
      <c r="BC348" s="289" t="s">
        <v>377</v>
      </c>
      <c r="BD348" s="292"/>
    </row>
    <row r="349" ht="12.75" customHeight="1">
      <c r="A349" s="293">
        <v>45271.99706934028</v>
      </c>
      <c r="B349" s="286" t="s">
        <v>504</v>
      </c>
      <c r="C349" s="287" t="s">
        <v>559</v>
      </c>
      <c r="D349" s="285" t="s">
        <v>16</v>
      </c>
      <c r="E349" s="285" t="s">
        <v>476</v>
      </c>
      <c r="F349" s="287" t="s">
        <v>919</v>
      </c>
      <c r="G349" s="285" t="s">
        <v>21</v>
      </c>
      <c r="H349" s="285">
        <v>12.0</v>
      </c>
      <c r="I349" s="287" t="s">
        <v>497</v>
      </c>
      <c r="J349" s="292"/>
      <c r="K349" s="287" t="s">
        <v>508</v>
      </c>
      <c r="L349" s="287" t="s">
        <v>479</v>
      </c>
      <c r="M349" s="287" t="s">
        <v>500</v>
      </c>
      <c r="N349" s="287" t="s">
        <v>500</v>
      </c>
      <c r="O349" s="287"/>
      <c r="P349" s="287"/>
      <c r="Q349" s="294" t="s">
        <v>32</v>
      </c>
      <c r="R349" s="294" t="s">
        <v>32</v>
      </c>
      <c r="S349" s="295" t="s">
        <v>32</v>
      </c>
      <c r="T349" s="294" t="s">
        <v>32</v>
      </c>
      <c r="U349" s="294" t="s">
        <v>32</v>
      </c>
      <c r="V349" s="295" t="s">
        <v>32</v>
      </c>
      <c r="W349" s="294" t="s">
        <v>32</v>
      </c>
      <c r="X349" s="287" t="s">
        <v>18</v>
      </c>
      <c r="Y349" s="288" t="s">
        <v>377</v>
      </c>
      <c r="Z349" s="287" t="s">
        <v>18</v>
      </c>
      <c r="AA349" s="287" t="s">
        <v>18</v>
      </c>
      <c r="AB349" s="288" t="s">
        <v>18</v>
      </c>
      <c r="AC349" s="289" t="s">
        <v>377</v>
      </c>
      <c r="AD349" s="294" t="s">
        <v>32</v>
      </c>
      <c r="AE349" s="287" t="s">
        <v>377</v>
      </c>
      <c r="AF349" s="295" t="s">
        <v>32</v>
      </c>
      <c r="AG349" s="287" t="s">
        <v>377</v>
      </c>
      <c r="AH349" s="287" t="s">
        <v>18</v>
      </c>
      <c r="AI349" s="288" t="s">
        <v>377</v>
      </c>
      <c r="AJ349" s="287" t="s">
        <v>377</v>
      </c>
      <c r="AK349" s="287" t="s">
        <v>377</v>
      </c>
      <c r="AL349" s="288" t="s">
        <v>377</v>
      </c>
      <c r="AM349" s="287" t="s">
        <v>18</v>
      </c>
      <c r="AN349" s="287" t="s">
        <v>18</v>
      </c>
      <c r="AO349" s="288" t="s">
        <v>18</v>
      </c>
      <c r="AP349" s="289" t="s">
        <v>377</v>
      </c>
      <c r="AQ349" s="287" t="s">
        <v>18</v>
      </c>
      <c r="AR349" s="294" t="s">
        <v>32</v>
      </c>
      <c r="AS349" s="288" t="s">
        <v>377</v>
      </c>
      <c r="AT349" s="294" t="s">
        <v>32</v>
      </c>
      <c r="AU349" s="294" t="s">
        <v>32</v>
      </c>
      <c r="AV349" s="295" t="s">
        <v>32</v>
      </c>
      <c r="AW349" s="294" t="s">
        <v>32</v>
      </c>
      <c r="AX349" s="294" t="s">
        <v>32</v>
      </c>
      <c r="AY349" s="295" t="s">
        <v>32</v>
      </c>
      <c r="AZ349" s="287" t="s">
        <v>18</v>
      </c>
      <c r="BA349" s="287" t="s">
        <v>18</v>
      </c>
      <c r="BB349" s="288" t="s">
        <v>377</v>
      </c>
      <c r="BC349" s="289" t="s">
        <v>377</v>
      </c>
      <c r="BD349" s="292"/>
    </row>
    <row r="350" ht="12.75" customHeight="1">
      <c r="A350" s="293">
        <v>45271.998908877315</v>
      </c>
      <c r="B350" s="286" t="s">
        <v>504</v>
      </c>
      <c r="C350" s="287" t="s">
        <v>559</v>
      </c>
      <c r="D350" s="285" t="s">
        <v>16</v>
      </c>
      <c r="E350" s="285" t="s">
        <v>476</v>
      </c>
      <c r="F350" s="287" t="s">
        <v>920</v>
      </c>
      <c r="G350" s="285" t="s">
        <v>21</v>
      </c>
      <c r="H350" s="285">
        <v>11.0</v>
      </c>
      <c r="I350" s="287" t="s">
        <v>497</v>
      </c>
      <c r="J350" s="292"/>
      <c r="K350" s="287" t="s">
        <v>508</v>
      </c>
      <c r="L350" s="287" t="s">
        <v>479</v>
      </c>
      <c r="M350" s="287" t="s">
        <v>500</v>
      </c>
      <c r="N350" s="287" t="s">
        <v>500</v>
      </c>
      <c r="O350" s="287"/>
      <c r="P350" s="287"/>
      <c r="Q350" s="287" t="s">
        <v>377</v>
      </c>
      <c r="R350" s="287" t="s">
        <v>18</v>
      </c>
      <c r="S350" s="288" t="s">
        <v>377</v>
      </c>
      <c r="T350" s="287" t="s">
        <v>377</v>
      </c>
      <c r="U350" s="287" t="s">
        <v>377</v>
      </c>
      <c r="V350" s="288" t="s">
        <v>377</v>
      </c>
      <c r="W350" s="287" t="s">
        <v>18</v>
      </c>
      <c r="X350" s="287" t="s">
        <v>18</v>
      </c>
      <c r="Y350" s="288" t="s">
        <v>18</v>
      </c>
      <c r="Z350" s="294" t="s">
        <v>32</v>
      </c>
      <c r="AA350" s="287" t="s">
        <v>377</v>
      </c>
      <c r="AB350" s="295" t="s">
        <v>32</v>
      </c>
      <c r="AC350" s="289" t="s">
        <v>377</v>
      </c>
      <c r="AD350" s="294" t="s">
        <v>32</v>
      </c>
      <c r="AE350" s="287" t="s">
        <v>377</v>
      </c>
      <c r="AF350" s="295" t="s">
        <v>32</v>
      </c>
      <c r="AG350" s="287" t="s">
        <v>377</v>
      </c>
      <c r="AH350" s="287" t="s">
        <v>377</v>
      </c>
      <c r="AI350" s="288" t="s">
        <v>377</v>
      </c>
      <c r="AJ350" s="287" t="s">
        <v>377</v>
      </c>
      <c r="AK350" s="294" t="s">
        <v>32</v>
      </c>
      <c r="AL350" s="295" t="s">
        <v>32</v>
      </c>
      <c r="AM350" s="287" t="s">
        <v>18</v>
      </c>
      <c r="AN350" s="287" t="s">
        <v>377</v>
      </c>
      <c r="AO350" s="288" t="s">
        <v>377</v>
      </c>
      <c r="AP350" s="289" t="s">
        <v>377</v>
      </c>
      <c r="AQ350" s="287" t="s">
        <v>377</v>
      </c>
      <c r="AR350" s="287" t="s">
        <v>18</v>
      </c>
      <c r="AS350" s="288" t="s">
        <v>377</v>
      </c>
      <c r="AT350" s="287" t="s">
        <v>18</v>
      </c>
      <c r="AU350" s="294" t="s">
        <v>32</v>
      </c>
      <c r="AV350" s="288" t="s">
        <v>377</v>
      </c>
      <c r="AW350" s="287" t="s">
        <v>377</v>
      </c>
      <c r="AX350" s="287" t="s">
        <v>18</v>
      </c>
      <c r="AY350" s="288" t="s">
        <v>377</v>
      </c>
      <c r="AZ350" s="287" t="s">
        <v>377</v>
      </c>
      <c r="BA350" s="287" t="s">
        <v>377</v>
      </c>
      <c r="BB350" s="288" t="s">
        <v>18</v>
      </c>
      <c r="BC350" s="289" t="s">
        <v>18</v>
      </c>
      <c r="BD350" s="292"/>
    </row>
    <row r="351" ht="12.75" customHeight="1">
      <c r="A351" s="293">
        <v>45275.87319951389</v>
      </c>
      <c r="B351" s="286" t="s">
        <v>504</v>
      </c>
      <c r="C351" s="287" t="s">
        <v>559</v>
      </c>
      <c r="D351" s="285" t="s">
        <v>16</v>
      </c>
      <c r="E351" s="285" t="s">
        <v>476</v>
      </c>
      <c r="F351" s="287" t="s">
        <v>921</v>
      </c>
      <c r="G351" s="285" t="s">
        <v>17</v>
      </c>
      <c r="H351" s="285">
        <v>11.0</v>
      </c>
      <c r="I351" s="287" t="s">
        <v>497</v>
      </c>
      <c r="J351" s="292"/>
      <c r="K351" s="287" t="s">
        <v>508</v>
      </c>
      <c r="L351" s="287" t="s">
        <v>497</v>
      </c>
      <c r="M351" s="292"/>
      <c r="N351" s="292"/>
      <c r="O351" s="292"/>
      <c r="P351" s="292"/>
      <c r="Q351" s="294" t="s">
        <v>32</v>
      </c>
      <c r="R351" s="294" t="s">
        <v>32</v>
      </c>
      <c r="S351" s="295" t="s">
        <v>32</v>
      </c>
      <c r="T351" s="294" t="s">
        <v>32</v>
      </c>
      <c r="U351" s="294" t="s">
        <v>32</v>
      </c>
      <c r="V351" s="295" t="s">
        <v>32</v>
      </c>
      <c r="W351" s="294" t="s">
        <v>32</v>
      </c>
      <c r="X351" s="294" t="s">
        <v>32</v>
      </c>
      <c r="Y351" s="295" t="s">
        <v>32</v>
      </c>
      <c r="Z351" s="294" t="s">
        <v>32</v>
      </c>
      <c r="AA351" s="294" t="s">
        <v>32</v>
      </c>
      <c r="AB351" s="295" t="s">
        <v>32</v>
      </c>
      <c r="AC351" s="296" t="s">
        <v>32</v>
      </c>
      <c r="AD351" s="287" t="s">
        <v>377</v>
      </c>
      <c r="AE351" s="287" t="s">
        <v>377</v>
      </c>
      <c r="AF351" s="288" t="s">
        <v>377</v>
      </c>
      <c r="AG351" s="287" t="s">
        <v>18</v>
      </c>
      <c r="AH351" s="294" t="s">
        <v>32</v>
      </c>
      <c r="AI351" s="288" t="s">
        <v>377</v>
      </c>
      <c r="AJ351" s="294" t="s">
        <v>32</v>
      </c>
      <c r="AK351" s="287" t="s">
        <v>377</v>
      </c>
      <c r="AL351" s="295" t="s">
        <v>32</v>
      </c>
      <c r="AM351" s="294" t="s">
        <v>32</v>
      </c>
      <c r="AN351" s="287" t="s">
        <v>18</v>
      </c>
      <c r="AO351" s="288" t="s">
        <v>377</v>
      </c>
      <c r="AP351" s="289" t="s">
        <v>377</v>
      </c>
      <c r="AQ351" s="287" t="s">
        <v>18</v>
      </c>
      <c r="AR351" s="287" t="s">
        <v>18</v>
      </c>
      <c r="AS351" s="288" t="s">
        <v>18</v>
      </c>
      <c r="AT351" s="294" t="s">
        <v>32</v>
      </c>
      <c r="AU351" s="294" t="s">
        <v>32</v>
      </c>
      <c r="AV351" s="295" t="s">
        <v>32</v>
      </c>
      <c r="AW351" s="294" t="s">
        <v>32</v>
      </c>
      <c r="AX351" s="294" t="s">
        <v>32</v>
      </c>
      <c r="AY351" s="295" t="s">
        <v>32</v>
      </c>
      <c r="AZ351" s="294" t="s">
        <v>32</v>
      </c>
      <c r="BA351" s="294" t="s">
        <v>32</v>
      </c>
      <c r="BB351" s="288" t="s">
        <v>18</v>
      </c>
      <c r="BC351" s="289" t="s">
        <v>18</v>
      </c>
      <c r="BD351" s="292"/>
    </row>
    <row r="352" ht="12.75" customHeight="1">
      <c r="A352" s="293">
        <v>45275.88162930556</v>
      </c>
      <c r="B352" s="286" t="s">
        <v>504</v>
      </c>
      <c r="C352" s="287" t="s">
        <v>559</v>
      </c>
      <c r="D352" s="285" t="s">
        <v>16</v>
      </c>
      <c r="E352" s="285" t="s">
        <v>476</v>
      </c>
      <c r="F352" s="287" t="s">
        <v>922</v>
      </c>
      <c r="G352" s="285" t="s">
        <v>21</v>
      </c>
      <c r="H352" s="285">
        <v>12.0</v>
      </c>
      <c r="I352" s="287" t="s">
        <v>497</v>
      </c>
      <c r="J352" s="292"/>
      <c r="K352" s="287" t="s">
        <v>508</v>
      </c>
      <c r="L352" s="287" t="s">
        <v>479</v>
      </c>
      <c r="M352" s="287" t="s">
        <v>490</v>
      </c>
      <c r="N352" s="287" t="s">
        <v>561</v>
      </c>
      <c r="O352" s="287"/>
      <c r="P352" s="287"/>
      <c r="Q352" s="294" t="s">
        <v>32</v>
      </c>
      <c r="R352" s="287" t="s">
        <v>377</v>
      </c>
      <c r="S352" s="295" t="s">
        <v>32</v>
      </c>
      <c r="T352" s="287" t="s">
        <v>377</v>
      </c>
      <c r="U352" s="294" t="s">
        <v>32</v>
      </c>
      <c r="V352" s="295" t="s">
        <v>32</v>
      </c>
      <c r="W352" s="287" t="s">
        <v>377</v>
      </c>
      <c r="X352" s="294" t="s">
        <v>32</v>
      </c>
      <c r="Y352" s="295" t="s">
        <v>32</v>
      </c>
      <c r="Z352" s="294" t="s">
        <v>32</v>
      </c>
      <c r="AA352" s="294" t="s">
        <v>32</v>
      </c>
      <c r="AB352" s="295" t="s">
        <v>32</v>
      </c>
      <c r="AC352" s="296" t="s">
        <v>32</v>
      </c>
      <c r="AD352" s="294" t="s">
        <v>32</v>
      </c>
      <c r="AE352" s="294" t="s">
        <v>32</v>
      </c>
      <c r="AF352" s="295" t="s">
        <v>32</v>
      </c>
      <c r="AG352" s="294" t="s">
        <v>32</v>
      </c>
      <c r="AH352" s="287" t="s">
        <v>377</v>
      </c>
      <c r="AI352" s="295" t="s">
        <v>32</v>
      </c>
      <c r="AJ352" s="287" t="s">
        <v>18</v>
      </c>
      <c r="AK352" s="287" t="s">
        <v>18</v>
      </c>
      <c r="AL352" s="288" t="s">
        <v>18</v>
      </c>
      <c r="AM352" s="287" t="s">
        <v>377</v>
      </c>
      <c r="AN352" s="287" t="s">
        <v>377</v>
      </c>
      <c r="AO352" s="288" t="s">
        <v>377</v>
      </c>
      <c r="AP352" s="289" t="s">
        <v>377</v>
      </c>
      <c r="AQ352" s="294" t="s">
        <v>32</v>
      </c>
      <c r="AR352" s="294" t="s">
        <v>32</v>
      </c>
      <c r="AS352" s="295" t="s">
        <v>32</v>
      </c>
      <c r="AT352" s="294" t="s">
        <v>32</v>
      </c>
      <c r="AU352" s="294" t="s">
        <v>32</v>
      </c>
      <c r="AV352" s="295" t="s">
        <v>32</v>
      </c>
      <c r="AW352" s="287" t="s">
        <v>18</v>
      </c>
      <c r="AX352" s="287" t="s">
        <v>377</v>
      </c>
      <c r="AY352" s="288" t="s">
        <v>377</v>
      </c>
      <c r="AZ352" s="287" t="s">
        <v>18</v>
      </c>
      <c r="BA352" s="294" t="s">
        <v>32</v>
      </c>
      <c r="BB352" s="288" t="s">
        <v>18</v>
      </c>
      <c r="BC352" s="289" t="s">
        <v>18</v>
      </c>
      <c r="BD352" s="292"/>
    </row>
    <row r="353" ht="12.75" customHeight="1">
      <c r="A353" s="293">
        <v>44785.49128739584</v>
      </c>
      <c r="B353" s="297" t="s">
        <v>504</v>
      </c>
      <c r="C353" s="298" t="s">
        <v>567</v>
      </c>
      <c r="D353" s="298" t="s">
        <v>16</v>
      </c>
      <c r="E353" s="285" t="s">
        <v>476</v>
      </c>
      <c r="F353" s="292" t="s">
        <v>923</v>
      </c>
      <c r="G353" s="298" t="s">
        <v>17</v>
      </c>
      <c r="H353" s="298">
        <v>12.0</v>
      </c>
      <c r="I353" s="292" t="s">
        <v>497</v>
      </c>
      <c r="J353" s="292" t="s">
        <v>498</v>
      </c>
      <c r="K353" s="287" t="s">
        <v>508</v>
      </c>
      <c r="L353" s="292" t="s">
        <v>497</v>
      </c>
      <c r="M353" s="292" t="s">
        <v>586</v>
      </c>
      <c r="N353" s="292"/>
      <c r="O353" s="292"/>
      <c r="P353" s="292"/>
      <c r="Q353" s="299" t="s">
        <v>32</v>
      </c>
      <c r="R353" s="299" t="s">
        <v>32</v>
      </c>
      <c r="S353" s="295" t="s">
        <v>32</v>
      </c>
      <c r="T353" s="299" t="s">
        <v>32</v>
      </c>
      <c r="U353" s="299" t="s">
        <v>32</v>
      </c>
      <c r="V353" s="295" t="s">
        <v>32</v>
      </c>
      <c r="W353" s="292" t="s">
        <v>18</v>
      </c>
      <c r="X353" s="292" t="s">
        <v>377</v>
      </c>
      <c r="Y353" s="288" t="s">
        <v>377</v>
      </c>
      <c r="Z353" s="299" t="s">
        <v>32</v>
      </c>
      <c r="AA353" s="292" t="s">
        <v>18</v>
      </c>
      <c r="AB353" s="288" t="s">
        <v>377</v>
      </c>
      <c r="AC353" s="289" t="s">
        <v>377</v>
      </c>
      <c r="AD353" s="299" t="s">
        <v>32</v>
      </c>
      <c r="AE353" s="299" t="s">
        <v>32</v>
      </c>
      <c r="AF353" s="295" t="s">
        <v>32</v>
      </c>
      <c r="AG353" s="292" t="s">
        <v>18</v>
      </c>
      <c r="AH353" s="292" t="s">
        <v>18</v>
      </c>
      <c r="AI353" s="288" t="s">
        <v>18</v>
      </c>
      <c r="AJ353" s="292" t="s">
        <v>18</v>
      </c>
      <c r="AK353" s="292" t="s">
        <v>18</v>
      </c>
      <c r="AL353" s="288" t="s">
        <v>18</v>
      </c>
      <c r="AM353" s="292" t="s">
        <v>18</v>
      </c>
      <c r="AN353" s="292" t="s">
        <v>377</v>
      </c>
      <c r="AO353" s="288" t="s">
        <v>377</v>
      </c>
      <c r="AP353" s="289" t="s">
        <v>377</v>
      </c>
      <c r="AQ353" s="299" t="s">
        <v>32</v>
      </c>
      <c r="AR353" s="299" t="s">
        <v>32</v>
      </c>
      <c r="AS353" s="295" t="s">
        <v>32</v>
      </c>
      <c r="AT353" s="299" t="s">
        <v>32</v>
      </c>
      <c r="AU353" s="299" t="s">
        <v>32</v>
      </c>
      <c r="AV353" s="295" t="s">
        <v>32</v>
      </c>
      <c r="AW353" s="299" t="s">
        <v>32</v>
      </c>
      <c r="AX353" s="299" t="s">
        <v>32</v>
      </c>
      <c r="AY353" s="295" t="s">
        <v>32</v>
      </c>
      <c r="AZ353" s="292" t="s">
        <v>377</v>
      </c>
      <c r="BA353" s="299" t="s">
        <v>32</v>
      </c>
      <c r="BB353" s="288" t="s">
        <v>18</v>
      </c>
      <c r="BC353" s="289" t="s">
        <v>18</v>
      </c>
      <c r="BD353" s="292"/>
    </row>
    <row r="354" ht="12.75" customHeight="1">
      <c r="A354" s="293">
        <v>44785.500551018515</v>
      </c>
      <c r="B354" s="297" t="s">
        <v>504</v>
      </c>
      <c r="C354" s="298" t="s">
        <v>567</v>
      </c>
      <c r="D354" s="298" t="s">
        <v>16</v>
      </c>
      <c r="E354" s="285" t="s">
        <v>476</v>
      </c>
      <c r="F354" s="292" t="s">
        <v>924</v>
      </c>
      <c r="G354" s="298" t="s">
        <v>21</v>
      </c>
      <c r="H354" s="298">
        <v>11.0</v>
      </c>
      <c r="I354" s="292" t="s">
        <v>497</v>
      </c>
      <c r="J354" s="292" t="s">
        <v>498</v>
      </c>
      <c r="K354" s="287" t="s">
        <v>508</v>
      </c>
      <c r="L354" s="292" t="s">
        <v>497</v>
      </c>
      <c r="M354" s="292" t="s">
        <v>586</v>
      </c>
      <c r="N354" s="292"/>
      <c r="O354" s="292"/>
      <c r="P354" s="292"/>
      <c r="Q354" s="299" t="s">
        <v>32</v>
      </c>
      <c r="R354" s="299" t="s">
        <v>32</v>
      </c>
      <c r="S354" s="295" t="s">
        <v>32</v>
      </c>
      <c r="T354" s="299" t="s">
        <v>32</v>
      </c>
      <c r="U354" s="299" t="s">
        <v>32</v>
      </c>
      <c r="V354" s="295" t="s">
        <v>32</v>
      </c>
      <c r="W354" s="299" t="s">
        <v>32</v>
      </c>
      <c r="X354" s="299" t="s">
        <v>32</v>
      </c>
      <c r="Y354" s="295" t="s">
        <v>32</v>
      </c>
      <c r="Z354" s="292" t="s">
        <v>18</v>
      </c>
      <c r="AA354" s="299" t="s">
        <v>32</v>
      </c>
      <c r="AB354" s="288" t="s">
        <v>377</v>
      </c>
      <c r="AC354" s="296" t="s">
        <v>32</v>
      </c>
      <c r="AD354" s="299" t="s">
        <v>32</v>
      </c>
      <c r="AE354" s="299" t="s">
        <v>32</v>
      </c>
      <c r="AF354" s="295" t="s">
        <v>32</v>
      </c>
      <c r="AG354" s="299" t="s">
        <v>32</v>
      </c>
      <c r="AH354" s="299" t="s">
        <v>32</v>
      </c>
      <c r="AI354" s="295" t="s">
        <v>32</v>
      </c>
      <c r="AJ354" s="299" t="s">
        <v>32</v>
      </c>
      <c r="AK354" s="299" t="s">
        <v>32</v>
      </c>
      <c r="AL354" s="295" t="s">
        <v>32</v>
      </c>
      <c r="AM354" s="292" t="s">
        <v>18</v>
      </c>
      <c r="AN354" s="292" t="s">
        <v>18</v>
      </c>
      <c r="AO354" s="288" t="s">
        <v>18</v>
      </c>
      <c r="AP354" s="296" t="s">
        <v>32</v>
      </c>
      <c r="AQ354" s="299" t="s">
        <v>32</v>
      </c>
      <c r="AR354" s="299" t="s">
        <v>32</v>
      </c>
      <c r="AS354" s="295" t="s">
        <v>32</v>
      </c>
      <c r="AT354" s="299" t="s">
        <v>32</v>
      </c>
      <c r="AU354" s="299" t="s">
        <v>32</v>
      </c>
      <c r="AV354" s="295" t="s">
        <v>32</v>
      </c>
      <c r="AW354" s="299" t="s">
        <v>32</v>
      </c>
      <c r="AX354" s="299" t="s">
        <v>32</v>
      </c>
      <c r="AY354" s="295" t="s">
        <v>32</v>
      </c>
      <c r="AZ354" s="299" t="s">
        <v>32</v>
      </c>
      <c r="BA354" s="299" t="s">
        <v>32</v>
      </c>
      <c r="BB354" s="288" t="s">
        <v>18</v>
      </c>
      <c r="BC354" s="289" t="s">
        <v>18</v>
      </c>
      <c r="BD354" s="292"/>
    </row>
    <row r="355" ht="12.75" customHeight="1">
      <c r="A355" s="293">
        <v>44785.527036354164</v>
      </c>
      <c r="B355" s="297" t="s">
        <v>504</v>
      </c>
      <c r="C355" s="298" t="s">
        <v>567</v>
      </c>
      <c r="D355" s="298" t="s">
        <v>16</v>
      </c>
      <c r="E355" s="285" t="s">
        <v>476</v>
      </c>
      <c r="F355" s="292" t="s">
        <v>925</v>
      </c>
      <c r="G355" s="298" t="s">
        <v>21</v>
      </c>
      <c r="H355" s="298">
        <v>11.0</v>
      </c>
      <c r="I355" s="292" t="s">
        <v>497</v>
      </c>
      <c r="J355" s="292" t="s">
        <v>498</v>
      </c>
      <c r="K355" s="287" t="s">
        <v>508</v>
      </c>
      <c r="L355" s="292" t="s">
        <v>497</v>
      </c>
      <c r="M355" s="292" t="s">
        <v>586</v>
      </c>
      <c r="N355" s="292"/>
      <c r="O355" s="292"/>
      <c r="P355" s="292"/>
      <c r="Q355" s="299" t="s">
        <v>32</v>
      </c>
      <c r="R355" s="299" t="s">
        <v>32</v>
      </c>
      <c r="S355" s="295" t="s">
        <v>32</v>
      </c>
      <c r="T355" s="292" t="s">
        <v>18</v>
      </c>
      <c r="U355" s="299" t="s">
        <v>32</v>
      </c>
      <c r="V355" s="288" t="s">
        <v>377</v>
      </c>
      <c r="W355" s="299" t="s">
        <v>32</v>
      </c>
      <c r="X355" s="299" t="s">
        <v>32</v>
      </c>
      <c r="Y355" s="295" t="s">
        <v>32</v>
      </c>
      <c r="Z355" s="292" t="s">
        <v>18</v>
      </c>
      <c r="AA355" s="299" t="s">
        <v>32</v>
      </c>
      <c r="AB355" s="288" t="s">
        <v>377</v>
      </c>
      <c r="AC355" s="296" t="s">
        <v>32</v>
      </c>
      <c r="AD355" s="299" t="s">
        <v>32</v>
      </c>
      <c r="AE355" s="299" t="s">
        <v>32</v>
      </c>
      <c r="AF355" s="295" t="s">
        <v>32</v>
      </c>
      <c r="AG355" s="292" t="s">
        <v>18</v>
      </c>
      <c r="AH355" s="292" t="s">
        <v>18</v>
      </c>
      <c r="AI355" s="288" t="s">
        <v>18</v>
      </c>
      <c r="AJ355" s="299" t="s">
        <v>32</v>
      </c>
      <c r="AK355" s="299" t="s">
        <v>32</v>
      </c>
      <c r="AL355" s="295" t="s">
        <v>32</v>
      </c>
      <c r="AM355" s="292" t="s">
        <v>18</v>
      </c>
      <c r="AN355" s="292" t="s">
        <v>18</v>
      </c>
      <c r="AO355" s="288" t="s">
        <v>18</v>
      </c>
      <c r="AP355" s="289" t="s">
        <v>377</v>
      </c>
      <c r="AQ355" s="299" t="s">
        <v>32</v>
      </c>
      <c r="AR355" s="299" t="s">
        <v>32</v>
      </c>
      <c r="AS355" s="295" t="s">
        <v>32</v>
      </c>
      <c r="AT355" s="299" t="s">
        <v>32</v>
      </c>
      <c r="AU355" s="299" t="s">
        <v>32</v>
      </c>
      <c r="AV355" s="295" t="s">
        <v>32</v>
      </c>
      <c r="AW355" s="299" t="s">
        <v>32</v>
      </c>
      <c r="AX355" s="299" t="s">
        <v>32</v>
      </c>
      <c r="AY355" s="295" t="s">
        <v>32</v>
      </c>
      <c r="AZ355" s="299" t="s">
        <v>32</v>
      </c>
      <c r="BA355" s="299" t="s">
        <v>32</v>
      </c>
      <c r="BB355" s="288" t="s">
        <v>18</v>
      </c>
      <c r="BC355" s="289" t="s">
        <v>18</v>
      </c>
      <c r="BD355" s="292"/>
    </row>
    <row r="356" ht="12.75" customHeight="1">
      <c r="A356" s="293">
        <v>44785.529336747684</v>
      </c>
      <c r="B356" s="297" t="s">
        <v>504</v>
      </c>
      <c r="C356" s="298" t="s">
        <v>567</v>
      </c>
      <c r="D356" s="298" t="s">
        <v>16</v>
      </c>
      <c r="E356" s="285" t="s">
        <v>476</v>
      </c>
      <c r="F356" s="292" t="s">
        <v>926</v>
      </c>
      <c r="G356" s="298" t="s">
        <v>17</v>
      </c>
      <c r="H356" s="298">
        <v>11.0</v>
      </c>
      <c r="I356" s="292" t="s">
        <v>497</v>
      </c>
      <c r="J356" s="292" t="s">
        <v>498</v>
      </c>
      <c r="K356" s="287" t="s">
        <v>508</v>
      </c>
      <c r="L356" s="292" t="s">
        <v>497</v>
      </c>
      <c r="M356" s="292" t="s">
        <v>586</v>
      </c>
      <c r="N356" s="292"/>
      <c r="O356" s="292"/>
      <c r="P356" s="292"/>
      <c r="Q356" s="299" t="s">
        <v>32</v>
      </c>
      <c r="R356" s="299" t="s">
        <v>32</v>
      </c>
      <c r="S356" s="295" t="s">
        <v>32</v>
      </c>
      <c r="T356" s="299" t="s">
        <v>32</v>
      </c>
      <c r="U356" s="299" t="s">
        <v>32</v>
      </c>
      <c r="V356" s="295" t="s">
        <v>32</v>
      </c>
      <c r="W356" s="292" t="s">
        <v>377</v>
      </c>
      <c r="X356" s="292" t="s">
        <v>377</v>
      </c>
      <c r="Y356" s="288" t="s">
        <v>377</v>
      </c>
      <c r="Z356" s="299" t="s">
        <v>32</v>
      </c>
      <c r="AA356" s="292" t="s">
        <v>377</v>
      </c>
      <c r="AB356" s="295" t="s">
        <v>32</v>
      </c>
      <c r="AC356" s="296" t="s">
        <v>32</v>
      </c>
      <c r="AD356" s="292" t="s">
        <v>377</v>
      </c>
      <c r="AE356" s="292" t="s">
        <v>377</v>
      </c>
      <c r="AF356" s="288" t="s">
        <v>377</v>
      </c>
      <c r="AG356" s="292" t="s">
        <v>377</v>
      </c>
      <c r="AH356" s="292" t="s">
        <v>377</v>
      </c>
      <c r="AI356" s="288" t="s">
        <v>377</v>
      </c>
      <c r="AJ356" s="292" t="s">
        <v>377</v>
      </c>
      <c r="AK356" s="292" t="s">
        <v>377</v>
      </c>
      <c r="AL356" s="288" t="s">
        <v>377</v>
      </c>
      <c r="AM356" s="292" t="s">
        <v>18</v>
      </c>
      <c r="AN356" s="292" t="s">
        <v>18</v>
      </c>
      <c r="AO356" s="288" t="s">
        <v>18</v>
      </c>
      <c r="AP356" s="289" t="s">
        <v>377</v>
      </c>
      <c r="AQ356" s="292" t="s">
        <v>18</v>
      </c>
      <c r="AR356" s="292" t="s">
        <v>18</v>
      </c>
      <c r="AS356" s="288" t="s">
        <v>18</v>
      </c>
      <c r="AT356" s="299" t="s">
        <v>32</v>
      </c>
      <c r="AU356" s="299" t="s">
        <v>32</v>
      </c>
      <c r="AV356" s="295" t="s">
        <v>32</v>
      </c>
      <c r="AW356" s="292" t="s">
        <v>377</v>
      </c>
      <c r="AX356" s="292" t="s">
        <v>377</v>
      </c>
      <c r="AY356" s="288" t="s">
        <v>377</v>
      </c>
      <c r="AZ356" s="292" t="s">
        <v>377</v>
      </c>
      <c r="BA356" s="292" t="s">
        <v>377</v>
      </c>
      <c r="BB356" s="288" t="s">
        <v>18</v>
      </c>
      <c r="BC356" s="289" t="s">
        <v>18</v>
      </c>
      <c r="BD356" s="292"/>
    </row>
    <row r="357" ht="12.75" customHeight="1">
      <c r="A357" s="293">
        <v>44785.53359666667</v>
      </c>
      <c r="B357" s="297" t="s">
        <v>504</v>
      </c>
      <c r="C357" s="298" t="s">
        <v>567</v>
      </c>
      <c r="D357" s="298" t="s">
        <v>16</v>
      </c>
      <c r="E357" s="285" t="s">
        <v>476</v>
      </c>
      <c r="F357" s="292" t="s">
        <v>927</v>
      </c>
      <c r="G357" s="298" t="s">
        <v>17</v>
      </c>
      <c r="H357" s="298">
        <v>11.0</v>
      </c>
      <c r="I357" s="292" t="s">
        <v>497</v>
      </c>
      <c r="J357" s="292" t="s">
        <v>498</v>
      </c>
      <c r="K357" s="287" t="s">
        <v>508</v>
      </c>
      <c r="L357" s="292" t="s">
        <v>497</v>
      </c>
      <c r="M357" s="292" t="s">
        <v>586</v>
      </c>
      <c r="N357" s="292"/>
      <c r="O357" s="292"/>
      <c r="P357" s="292"/>
      <c r="Q357" s="299" t="s">
        <v>32</v>
      </c>
      <c r="R357" s="299" t="s">
        <v>32</v>
      </c>
      <c r="S357" s="295" t="s">
        <v>32</v>
      </c>
      <c r="T357" s="299" t="s">
        <v>32</v>
      </c>
      <c r="U357" s="299" t="s">
        <v>32</v>
      </c>
      <c r="V357" s="295" t="s">
        <v>32</v>
      </c>
      <c r="W357" s="292" t="s">
        <v>377</v>
      </c>
      <c r="X357" s="292" t="s">
        <v>377</v>
      </c>
      <c r="Y357" s="288" t="s">
        <v>377</v>
      </c>
      <c r="Z357" s="292" t="s">
        <v>377</v>
      </c>
      <c r="AA357" s="292" t="s">
        <v>377</v>
      </c>
      <c r="AB357" s="288" t="s">
        <v>377</v>
      </c>
      <c r="AC357" s="296" t="s">
        <v>32</v>
      </c>
      <c r="AD357" s="292" t="s">
        <v>377</v>
      </c>
      <c r="AE357" s="299" t="s">
        <v>32</v>
      </c>
      <c r="AF357" s="295" t="s">
        <v>32</v>
      </c>
      <c r="AG357" s="292" t="s">
        <v>377</v>
      </c>
      <c r="AH357" s="292" t="s">
        <v>377</v>
      </c>
      <c r="AI357" s="288" t="s">
        <v>377</v>
      </c>
      <c r="AJ357" s="292" t="s">
        <v>377</v>
      </c>
      <c r="AK357" s="292" t="s">
        <v>377</v>
      </c>
      <c r="AL357" s="288" t="s">
        <v>377</v>
      </c>
      <c r="AM357" s="292" t="s">
        <v>18</v>
      </c>
      <c r="AN357" s="292" t="s">
        <v>18</v>
      </c>
      <c r="AO357" s="288" t="s">
        <v>18</v>
      </c>
      <c r="AP357" s="289" t="s">
        <v>377</v>
      </c>
      <c r="AQ357" s="292" t="s">
        <v>18</v>
      </c>
      <c r="AR357" s="292" t="s">
        <v>18</v>
      </c>
      <c r="AS357" s="288" t="s">
        <v>18</v>
      </c>
      <c r="AT357" s="299" t="s">
        <v>32</v>
      </c>
      <c r="AU357" s="299" t="s">
        <v>32</v>
      </c>
      <c r="AV357" s="295" t="s">
        <v>32</v>
      </c>
      <c r="AW357" s="292" t="s">
        <v>377</v>
      </c>
      <c r="AX357" s="292" t="s">
        <v>377</v>
      </c>
      <c r="AY357" s="288" t="s">
        <v>377</v>
      </c>
      <c r="AZ357" s="292" t="s">
        <v>377</v>
      </c>
      <c r="BA357" s="299" t="s">
        <v>32</v>
      </c>
      <c r="BB357" s="288" t="s">
        <v>377</v>
      </c>
      <c r="BC357" s="289" t="s">
        <v>377</v>
      </c>
      <c r="BD357" s="292"/>
    </row>
    <row r="358" ht="12.75" customHeight="1">
      <c r="A358" s="293">
        <v>44785.605628703706</v>
      </c>
      <c r="B358" s="297" t="s">
        <v>504</v>
      </c>
      <c r="C358" s="298" t="s">
        <v>567</v>
      </c>
      <c r="D358" s="298" t="s">
        <v>16</v>
      </c>
      <c r="E358" s="285" t="s">
        <v>476</v>
      </c>
      <c r="F358" s="292" t="s">
        <v>505</v>
      </c>
      <c r="G358" s="298" t="s">
        <v>21</v>
      </c>
      <c r="H358" s="298">
        <v>11.0</v>
      </c>
      <c r="I358" s="292" t="s">
        <v>497</v>
      </c>
      <c r="J358" s="292" t="s">
        <v>498</v>
      </c>
      <c r="K358" s="287" t="s">
        <v>508</v>
      </c>
      <c r="L358" s="292" t="s">
        <v>479</v>
      </c>
      <c r="M358" s="292" t="s">
        <v>481</v>
      </c>
      <c r="N358" s="292"/>
      <c r="O358" s="292"/>
      <c r="P358" s="292"/>
      <c r="Q358" s="299" t="s">
        <v>32</v>
      </c>
      <c r="R358" s="292" t="s">
        <v>18</v>
      </c>
      <c r="S358" s="288" t="s">
        <v>377</v>
      </c>
      <c r="T358" s="299" t="s">
        <v>32</v>
      </c>
      <c r="U358" s="299" t="s">
        <v>32</v>
      </c>
      <c r="V358" s="295" t="s">
        <v>32</v>
      </c>
      <c r="W358" s="299" t="s">
        <v>32</v>
      </c>
      <c r="X358" s="292" t="s">
        <v>18</v>
      </c>
      <c r="Y358" s="288" t="s">
        <v>377</v>
      </c>
      <c r="Z358" s="299" t="s">
        <v>32</v>
      </c>
      <c r="AA358" s="292" t="s">
        <v>18</v>
      </c>
      <c r="AB358" s="288" t="s">
        <v>377</v>
      </c>
      <c r="AC358" s="289" t="s">
        <v>377</v>
      </c>
      <c r="AD358" s="292" t="s">
        <v>18</v>
      </c>
      <c r="AE358" s="299" t="s">
        <v>32</v>
      </c>
      <c r="AF358" s="288" t="s">
        <v>377</v>
      </c>
      <c r="AG358" s="292" t="s">
        <v>377</v>
      </c>
      <c r="AH358" s="292" t="s">
        <v>18</v>
      </c>
      <c r="AI358" s="288" t="s">
        <v>377</v>
      </c>
      <c r="AJ358" s="292" t="s">
        <v>377</v>
      </c>
      <c r="AK358" s="292" t="s">
        <v>18</v>
      </c>
      <c r="AL358" s="288" t="s">
        <v>377</v>
      </c>
      <c r="AM358" s="292" t="s">
        <v>18</v>
      </c>
      <c r="AN358" s="292" t="s">
        <v>18</v>
      </c>
      <c r="AO358" s="288" t="s">
        <v>18</v>
      </c>
      <c r="AP358" s="289" t="s">
        <v>377</v>
      </c>
      <c r="AQ358" s="299" t="s">
        <v>32</v>
      </c>
      <c r="AR358" s="299" t="s">
        <v>32</v>
      </c>
      <c r="AS358" s="295" t="s">
        <v>32</v>
      </c>
      <c r="AT358" s="299" t="s">
        <v>32</v>
      </c>
      <c r="AU358" s="299" t="s">
        <v>32</v>
      </c>
      <c r="AV358" s="295" t="s">
        <v>32</v>
      </c>
      <c r="AW358" s="292" t="s">
        <v>377</v>
      </c>
      <c r="AX358" s="292" t="s">
        <v>377</v>
      </c>
      <c r="AY358" s="288" t="s">
        <v>377</v>
      </c>
      <c r="AZ358" s="299" t="s">
        <v>32</v>
      </c>
      <c r="BA358" s="299" t="s">
        <v>32</v>
      </c>
      <c r="BB358" s="288" t="s">
        <v>18</v>
      </c>
      <c r="BC358" s="289" t="s">
        <v>18</v>
      </c>
      <c r="BD358" s="292"/>
    </row>
    <row r="359" ht="12.75" customHeight="1">
      <c r="A359" s="293">
        <v>44785.62023241898</v>
      </c>
      <c r="B359" s="297" t="s">
        <v>504</v>
      </c>
      <c r="C359" s="298" t="s">
        <v>567</v>
      </c>
      <c r="D359" s="298" t="s">
        <v>16</v>
      </c>
      <c r="E359" s="285" t="s">
        <v>476</v>
      </c>
      <c r="F359" s="292" t="s">
        <v>928</v>
      </c>
      <c r="G359" s="298" t="s">
        <v>21</v>
      </c>
      <c r="H359" s="298">
        <v>11.0</v>
      </c>
      <c r="I359" s="292" t="s">
        <v>497</v>
      </c>
      <c r="J359" s="292" t="s">
        <v>498</v>
      </c>
      <c r="K359" s="287" t="s">
        <v>508</v>
      </c>
      <c r="L359" s="292" t="s">
        <v>497</v>
      </c>
      <c r="M359" s="292" t="s">
        <v>586</v>
      </c>
      <c r="N359" s="292"/>
      <c r="O359" s="292"/>
      <c r="P359" s="292"/>
      <c r="Q359" s="299" t="s">
        <v>32</v>
      </c>
      <c r="R359" s="299" t="s">
        <v>32</v>
      </c>
      <c r="S359" s="295" t="s">
        <v>32</v>
      </c>
      <c r="T359" s="292" t="s">
        <v>377</v>
      </c>
      <c r="U359" s="292" t="s">
        <v>377</v>
      </c>
      <c r="V359" s="288" t="s">
        <v>377</v>
      </c>
      <c r="W359" s="292" t="s">
        <v>18</v>
      </c>
      <c r="X359" s="292" t="s">
        <v>18</v>
      </c>
      <c r="Y359" s="288" t="s">
        <v>18</v>
      </c>
      <c r="Z359" s="292" t="s">
        <v>18</v>
      </c>
      <c r="AA359" s="292" t="s">
        <v>377</v>
      </c>
      <c r="AB359" s="288" t="s">
        <v>377</v>
      </c>
      <c r="AC359" s="289" t="s">
        <v>377</v>
      </c>
      <c r="AD359" s="292" t="s">
        <v>377</v>
      </c>
      <c r="AE359" s="299" t="s">
        <v>32</v>
      </c>
      <c r="AF359" s="295" t="s">
        <v>32</v>
      </c>
      <c r="AG359" s="292" t="s">
        <v>18</v>
      </c>
      <c r="AH359" s="292" t="s">
        <v>18</v>
      </c>
      <c r="AI359" s="288" t="s">
        <v>18</v>
      </c>
      <c r="AJ359" s="292" t="s">
        <v>18</v>
      </c>
      <c r="AK359" s="292" t="s">
        <v>18</v>
      </c>
      <c r="AL359" s="288" t="s">
        <v>18</v>
      </c>
      <c r="AM359" s="292" t="s">
        <v>18</v>
      </c>
      <c r="AN359" s="292" t="s">
        <v>18</v>
      </c>
      <c r="AO359" s="288" t="s">
        <v>18</v>
      </c>
      <c r="AP359" s="289" t="s">
        <v>18</v>
      </c>
      <c r="AQ359" s="299" t="s">
        <v>32</v>
      </c>
      <c r="AR359" s="292" t="s">
        <v>18</v>
      </c>
      <c r="AS359" s="288" t="s">
        <v>377</v>
      </c>
      <c r="AT359" s="299" t="s">
        <v>32</v>
      </c>
      <c r="AU359" s="299" t="s">
        <v>32</v>
      </c>
      <c r="AV359" s="295" t="s">
        <v>32</v>
      </c>
      <c r="AW359" s="292" t="s">
        <v>18</v>
      </c>
      <c r="AX359" s="292" t="s">
        <v>18</v>
      </c>
      <c r="AY359" s="288" t="s">
        <v>18</v>
      </c>
      <c r="AZ359" s="292" t="s">
        <v>377</v>
      </c>
      <c r="BA359" s="299" t="s">
        <v>32</v>
      </c>
      <c r="BB359" s="288" t="s">
        <v>18</v>
      </c>
      <c r="BC359" s="289" t="s">
        <v>18</v>
      </c>
      <c r="BD359" s="292"/>
    </row>
    <row r="360" ht="12.75" customHeight="1">
      <c r="A360" s="293">
        <v>44785.62330209491</v>
      </c>
      <c r="B360" s="297" t="s">
        <v>504</v>
      </c>
      <c r="C360" s="298" t="s">
        <v>567</v>
      </c>
      <c r="D360" s="298" t="s">
        <v>16</v>
      </c>
      <c r="E360" s="285" t="s">
        <v>476</v>
      </c>
      <c r="F360" s="292" t="s">
        <v>929</v>
      </c>
      <c r="G360" s="298" t="s">
        <v>17</v>
      </c>
      <c r="H360" s="298">
        <v>12.0</v>
      </c>
      <c r="I360" s="292" t="s">
        <v>497</v>
      </c>
      <c r="J360" s="292" t="s">
        <v>498</v>
      </c>
      <c r="K360" s="287" t="s">
        <v>508</v>
      </c>
      <c r="L360" s="292" t="s">
        <v>479</v>
      </c>
      <c r="M360" s="292" t="s">
        <v>481</v>
      </c>
      <c r="N360" s="292"/>
      <c r="O360" s="292"/>
      <c r="P360" s="292"/>
      <c r="Q360" s="299" t="s">
        <v>32</v>
      </c>
      <c r="R360" s="299" t="s">
        <v>32</v>
      </c>
      <c r="S360" s="295" t="s">
        <v>32</v>
      </c>
      <c r="T360" s="299" t="s">
        <v>32</v>
      </c>
      <c r="U360" s="292" t="s">
        <v>377</v>
      </c>
      <c r="V360" s="295" t="s">
        <v>32</v>
      </c>
      <c r="W360" s="299" t="s">
        <v>32</v>
      </c>
      <c r="X360" s="292" t="s">
        <v>18</v>
      </c>
      <c r="Y360" s="288" t="s">
        <v>377</v>
      </c>
      <c r="Z360" s="292" t="s">
        <v>377</v>
      </c>
      <c r="AA360" s="292" t="s">
        <v>18</v>
      </c>
      <c r="AB360" s="288" t="s">
        <v>377</v>
      </c>
      <c r="AC360" s="289" t="s">
        <v>377</v>
      </c>
      <c r="AD360" s="292" t="s">
        <v>377</v>
      </c>
      <c r="AE360" s="299" t="s">
        <v>32</v>
      </c>
      <c r="AF360" s="295" t="s">
        <v>32</v>
      </c>
      <c r="AG360" s="292" t="s">
        <v>18</v>
      </c>
      <c r="AH360" s="292" t="s">
        <v>18</v>
      </c>
      <c r="AI360" s="288" t="s">
        <v>18</v>
      </c>
      <c r="AJ360" s="292" t="s">
        <v>18</v>
      </c>
      <c r="AK360" s="292" t="s">
        <v>18</v>
      </c>
      <c r="AL360" s="288" t="s">
        <v>18</v>
      </c>
      <c r="AM360" s="292" t="s">
        <v>18</v>
      </c>
      <c r="AN360" s="292" t="s">
        <v>18</v>
      </c>
      <c r="AO360" s="288" t="s">
        <v>18</v>
      </c>
      <c r="AP360" s="289" t="s">
        <v>18</v>
      </c>
      <c r="AQ360" s="292" t="s">
        <v>377</v>
      </c>
      <c r="AR360" s="292" t="s">
        <v>377</v>
      </c>
      <c r="AS360" s="288" t="s">
        <v>377</v>
      </c>
      <c r="AT360" s="299" t="s">
        <v>32</v>
      </c>
      <c r="AU360" s="299" t="s">
        <v>32</v>
      </c>
      <c r="AV360" s="295" t="s">
        <v>32</v>
      </c>
      <c r="AW360" s="299" t="s">
        <v>32</v>
      </c>
      <c r="AX360" s="292" t="s">
        <v>377</v>
      </c>
      <c r="AY360" s="295" t="s">
        <v>32</v>
      </c>
      <c r="AZ360" s="299" t="s">
        <v>32</v>
      </c>
      <c r="BA360" s="292" t="s">
        <v>377</v>
      </c>
      <c r="BB360" s="288" t="s">
        <v>18</v>
      </c>
      <c r="BC360" s="289" t="s">
        <v>18</v>
      </c>
      <c r="BD360" s="292"/>
    </row>
    <row r="361" ht="12.75" customHeight="1">
      <c r="A361" s="293">
        <v>44785.625260057874</v>
      </c>
      <c r="B361" s="297" t="s">
        <v>504</v>
      </c>
      <c r="C361" s="298" t="s">
        <v>567</v>
      </c>
      <c r="D361" s="298" t="s">
        <v>16</v>
      </c>
      <c r="E361" s="285" t="s">
        <v>476</v>
      </c>
      <c r="F361" s="292" t="s">
        <v>930</v>
      </c>
      <c r="G361" s="298" t="s">
        <v>21</v>
      </c>
      <c r="H361" s="298">
        <v>13.0</v>
      </c>
      <c r="I361" s="292" t="s">
        <v>497</v>
      </c>
      <c r="J361" s="292" t="s">
        <v>498</v>
      </c>
      <c r="K361" s="287" t="s">
        <v>508</v>
      </c>
      <c r="L361" s="292" t="s">
        <v>497</v>
      </c>
      <c r="M361" s="292" t="s">
        <v>586</v>
      </c>
      <c r="N361" s="292"/>
      <c r="O361" s="292"/>
      <c r="P361" s="292"/>
      <c r="Q361" s="299" t="s">
        <v>32</v>
      </c>
      <c r="R361" s="299" t="s">
        <v>32</v>
      </c>
      <c r="S361" s="295" t="s">
        <v>32</v>
      </c>
      <c r="T361" s="299" t="s">
        <v>32</v>
      </c>
      <c r="U361" s="299" t="s">
        <v>32</v>
      </c>
      <c r="V361" s="295" t="s">
        <v>32</v>
      </c>
      <c r="W361" s="292" t="s">
        <v>377</v>
      </c>
      <c r="X361" s="292" t="s">
        <v>18</v>
      </c>
      <c r="Y361" s="288" t="s">
        <v>377</v>
      </c>
      <c r="Z361" s="292" t="s">
        <v>18</v>
      </c>
      <c r="AA361" s="292" t="s">
        <v>18</v>
      </c>
      <c r="AB361" s="288" t="s">
        <v>18</v>
      </c>
      <c r="AC361" s="289" t="s">
        <v>377</v>
      </c>
      <c r="AD361" s="299" t="s">
        <v>32</v>
      </c>
      <c r="AE361" s="299" t="s">
        <v>32</v>
      </c>
      <c r="AF361" s="295" t="s">
        <v>32</v>
      </c>
      <c r="AG361" s="292" t="s">
        <v>18</v>
      </c>
      <c r="AH361" s="292" t="s">
        <v>18</v>
      </c>
      <c r="AI361" s="288" t="s">
        <v>18</v>
      </c>
      <c r="AJ361" s="292" t="s">
        <v>377</v>
      </c>
      <c r="AK361" s="292" t="s">
        <v>18</v>
      </c>
      <c r="AL361" s="288" t="s">
        <v>377</v>
      </c>
      <c r="AM361" s="292" t="s">
        <v>18</v>
      </c>
      <c r="AN361" s="292" t="s">
        <v>18</v>
      </c>
      <c r="AO361" s="288" t="s">
        <v>18</v>
      </c>
      <c r="AP361" s="289" t="s">
        <v>377</v>
      </c>
      <c r="AQ361" s="292" t="s">
        <v>377</v>
      </c>
      <c r="AR361" s="299" t="s">
        <v>32</v>
      </c>
      <c r="AS361" s="295" t="s">
        <v>32</v>
      </c>
      <c r="AT361" s="299" t="s">
        <v>32</v>
      </c>
      <c r="AU361" s="299" t="s">
        <v>32</v>
      </c>
      <c r="AV361" s="295" t="s">
        <v>32</v>
      </c>
      <c r="AW361" s="292" t="s">
        <v>377</v>
      </c>
      <c r="AX361" s="292" t="s">
        <v>377</v>
      </c>
      <c r="AY361" s="288" t="s">
        <v>377</v>
      </c>
      <c r="AZ361" s="299" t="s">
        <v>32</v>
      </c>
      <c r="BA361" s="299" t="s">
        <v>32</v>
      </c>
      <c r="BB361" s="288" t="s">
        <v>18</v>
      </c>
      <c r="BC361" s="289" t="s">
        <v>18</v>
      </c>
      <c r="BD361" s="292"/>
    </row>
    <row r="362" ht="12.75" customHeight="1">
      <c r="A362" s="293">
        <v>44785.633965092595</v>
      </c>
      <c r="B362" s="297" t="s">
        <v>504</v>
      </c>
      <c r="C362" s="298" t="s">
        <v>567</v>
      </c>
      <c r="D362" s="298" t="s">
        <v>16</v>
      </c>
      <c r="E362" s="285" t="s">
        <v>476</v>
      </c>
      <c r="F362" s="292" t="s">
        <v>931</v>
      </c>
      <c r="G362" s="298" t="s">
        <v>21</v>
      </c>
      <c r="H362" s="298">
        <v>11.0</v>
      </c>
      <c r="I362" s="292" t="s">
        <v>497</v>
      </c>
      <c r="J362" s="292" t="s">
        <v>498</v>
      </c>
      <c r="K362" s="287" t="s">
        <v>508</v>
      </c>
      <c r="L362" s="292" t="s">
        <v>479</v>
      </c>
      <c r="M362" s="292" t="s">
        <v>481</v>
      </c>
      <c r="N362" s="292"/>
      <c r="O362" s="292"/>
      <c r="P362" s="292"/>
      <c r="Q362" s="299" t="s">
        <v>32</v>
      </c>
      <c r="R362" s="299" t="s">
        <v>32</v>
      </c>
      <c r="S362" s="295" t="s">
        <v>32</v>
      </c>
      <c r="T362" s="292" t="s">
        <v>377</v>
      </c>
      <c r="U362" s="299" t="s">
        <v>32</v>
      </c>
      <c r="V362" s="295" t="s">
        <v>32</v>
      </c>
      <c r="W362" s="292" t="s">
        <v>377</v>
      </c>
      <c r="X362" s="292" t="s">
        <v>377</v>
      </c>
      <c r="Y362" s="288" t="s">
        <v>377</v>
      </c>
      <c r="Z362" s="299" t="s">
        <v>32</v>
      </c>
      <c r="AA362" s="292" t="s">
        <v>18</v>
      </c>
      <c r="AB362" s="288" t="s">
        <v>377</v>
      </c>
      <c r="AC362" s="289" t="s">
        <v>377</v>
      </c>
      <c r="AD362" s="299" t="s">
        <v>32</v>
      </c>
      <c r="AE362" s="299" t="s">
        <v>32</v>
      </c>
      <c r="AF362" s="295" t="s">
        <v>32</v>
      </c>
      <c r="AG362" s="292" t="s">
        <v>18</v>
      </c>
      <c r="AH362" s="292" t="s">
        <v>377</v>
      </c>
      <c r="AI362" s="288" t="s">
        <v>377</v>
      </c>
      <c r="AJ362" s="292" t="s">
        <v>18</v>
      </c>
      <c r="AK362" s="292" t="s">
        <v>377</v>
      </c>
      <c r="AL362" s="288" t="s">
        <v>377</v>
      </c>
      <c r="AM362" s="292" t="s">
        <v>18</v>
      </c>
      <c r="AN362" s="292" t="s">
        <v>18</v>
      </c>
      <c r="AO362" s="288" t="s">
        <v>18</v>
      </c>
      <c r="AP362" s="289" t="s">
        <v>377</v>
      </c>
      <c r="AQ362" s="299" t="s">
        <v>32</v>
      </c>
      <c r="AR362" s="299" t="s">
        <v>32</v>
      </c>
      <c r="AS362" s="295" t="s">
        <v>32</v>
      </c>
      <c r="AT362" s="292" t="s">
        <v>377</v>
      </c>
      <c r="AU362" s="292" t="s">
        <v>377</v>
      </c>
      <c r="AV362" s="288" t="s">
        <v>377</v>
      </c>
      <c r="AW362" s="299" t="s">
        <v>32</v>
      </c>
      <c r="AX362" s="299" t="s">
        <v>32</v>
      </c>
      <c r="AY362" s="295" t="s">
        <v>32</v>
      </c>
      <c r="AZ362" s="292" t="s">
        <v>377</v>
      </c>
      <c r="BA362" s="299" t="s">
        <v>32</v>
      </c>
      <c r="BB362" s="288" t="s">
        <v>18</v>
      </c>
      <c r="BC362" s="289" t="s">
        <v>18</v>
      </c>
      <c r="BD362" s="292"/>
    </row>
    <row r="363" ht="12.75" customHeight="1">
      <c r="A363" s="293">
        <v>44806.36583340278</v>
      </c>
      <c r="B363" s="297" t="s">
        <v>504</v>
      </c>
      <c r="C363" s="298" t="s">
        <v>567</v>
      </c>
      <c r="D363" s="298" t="s">
        <v>16</v>
      </c>
      <c r="E363" s="285" t="s">
        <v>476</v>
      </c>
      <c r="F363" s="292" t="s">
        <v>932</v>
      </c>
      <c r="G363" s="298" t="s">
        <v>17</v>
      </c>
      <c r="H363" s="298">
        <v>15.0</v>
      </c>
      <c r="I363" s="292" t="s">
        <v>497</v>
      </c>
      <c r="J363" s="292" t="s">
        <v>498</v>
      </c>
      <c r="K363" s="287" t="s">
        <v>508</v>
      </c>
      <c r="L363" s="292" t="s">
        <v>497</v>
      </c>
      <c r="M363" s="292" t="s">
        <v>586</v>
      </c>
      <c r="N363" s="292"/>
      <c r="O363" s="292"/>
      <c r="P363" s="292"/>
      <c r="Q363" s="299" t="s">
        <v>32</v>
      </c>
      <c r="R363" s="299" t="s">
        <v>32</v>
      </c>
      <c r="S363" s="295" t="s">
        <v>32</v>
      </c>
      <c r="T363" s="299" t="s">
        <v>32</v>
      </c>
      <c r="U363" s="292" t="s">
        <v>377</v>
      </c>
      <c r="V363" s="295" t="s">
        <v>32</v>
      </c>
      <c r="W363" s="292" t="s">
        <v>377</v>
      </c>
      <c r="X363" s="292" t="s">
        <v>377</v>
      </c>
      <c r="Y363" s="288" t="s">
        <v>377</v>
      </c>
      <c r="Z363" s="299" t="s">
        <v>32</v>
      </c>
      <c r="AA363" s="292" t="s">
        <v>18</v>
      </c>
      <c r="AB363" s="288" t="s">
        <v>377</v>
      </c>
      <c r="AC363" s="289" t="s">
        <v>377</v>
      </c>
      <c r="AD363" s="299" t="s">
        <v>32</v>
      </c>
      <c r="AE363" s="292" t="s">
        <v>377</v>
      </c>
      <c r="AF363" s="295" t="s">
        <v>32</v>
      </c>
      <c r="AG363" s="292" t="s">
        <v>18</v>
      </c>
      <c r="AH363" s="292" t="s">
        <v>18</v>
      </c>
      <c r="AI363" s="288" t="s">
        <v>18</v>
      </c>
      <c r="AJ363" s="299" t="s">
        <v>32</v>
      </c>
      <c r="AK363" s="292" t="s">
        <v>377</v>
      </c>
      <c r="AL363" s="295" t="s">
        <v>32</v>
      </c>
      <c r="AM363" s="299" t="s">
        <v>32</v>
      </c>
      <c r="AN363" s="292" t="s">
        <v>377</v>
      </c>
      <c r="AO363" s="295" t="s">
        <v>32</v>
      </c>
      <c r="AP363" s="289" t="s">
        <v>377</v>
      </c>
      <c r="AQ363" s="299" t="s">
        <v>32</v>
      </c>
      <c r="AR363" s="292" t="s">
        <v>18</v>
      </c>
      <c r="AS363" s="288" t="s">
        <v>377</v>
      </c>
      <c r="AT363" s="299" t="s">
        <v>32</v>
      </c>
      <c r="AU363" s="292" t="s">
        <v>377</v>
      </c>
      <c r="AV363" s="295" t="s">
        <v>32</v>
      </c>
      <c r="AW363" s="292" t="s">
        <v>377</v>
      </c>
      <c r="AX363" s="292" t="s">
        <v>377</v>
      </c>
      <c r="AY363" s="288" t="s">
        <v>377</v>
      </c>
      <c r="AZ363" s="292" t="s">
        <v>18</v>
      </c>
      <c r="BA363" s="299" t="s">
        <v>32</v>
      </c>
      <c r="BB363" s="288" t="s">
        <v>18</v>
      </c>
      <c r="BC363" s="289" t="s">
        <v>18</v>
      </c>
      <c r="BD363" s="292"/>
    </row>
    <row r="364" ht="12.75" customHeight="1">
      <c r="A364" s="293">
        <v>45243.398004745366</v>
      </c>
      <c r="B364" s="286" t="s">
        <v>506</v>
      </c>
      <c r="C364" s="287" t="s">
        <v>559</v>
      </c>
      <c r="D364" s="285" t="s">
        <v>16</v>
      </c>
      <c r="E364" s="285" t="s">
        <v>476</v>
      </c>
      <c r="F364" s="287" t="s">
        <v>933</v>
      </c>
      <c r="G364" s="285" t="s">
        <v>17</v>
      </c>
      <c r="H364" s="285">
        <v>12.0</v>
      </c>
      <c r="I364" s="287" t="s">
        <v>497</v>
      </c>
      <c r="J364" s="292"/>
      <c r="K364" s="287" t="s">
        <v>508</v>
      </c>
      <c r="L364" s="287" t="s">
        <v>497</v>
      </c>
      <c r="M364" s="292"/>
      <c r="N364" s="292"/>
      <c r="O364" s="292"/>
      <c r="P364" s="292"/>
      <c r="Q364" s="287" t="s">
        <v>18</v>
      </c>
      <c r="R364" s="287" t="s">
        <v>377</v>
      </c>
      <c r="S364" s="288" t="s">
        <v>377</v>
      </c>
      <c r="T364" s="287" t="s">
        <v>18</v>
      </c>
      <c r="U364" s="287" t="s">
        <v>377</v>
      </c>
      <c r="V364" s="288" t="s">
        <v>377</v>
      </c>
      <c r="W364" s="294" t="s">
        <v>32</v>
      </c>
      <c r="X364" s="287" t="s">
        <v>18</v>
      </c>
      <c r="Y364" s="288" t="s">
        <v>377</v>
      </c>
      <c r="Z364" s="287" t="s">
        <v>377</v>
      </c>
      <c r="AA364" s="294" t="s">
        <v>32</v>
      </c>
      <c r="AB364" s="295" t="s">
        <v>32</v>
      </c>
      <c r="AC364" s="289" t="s">
        <v>377</v>
      </c>
      <c r="AD364" s="287" t="s">
        <v>377</v>
      </c>
      <c r="AE364" s="287" t="s">
        <v>377</v>
      </c>
      <c r="AF364" s="288" t="s">
        <v>377</v>
      </c>
      <c r="AG364" s="294" t="s">
        <v>32</v>
      </c>
      <c r="AH364" s="287" t="s">
        <v>18</v>
      </c>
      <c r="AI364" s="288" t="s">
        <v>377</v>
      </c>
      <c r="AJ364" s="287" t="s">
        <v>18</v>
      </c>
      <c r="AK364" s="287" t="s">
        <v>377</v>
      </c>
      <c r="AL364" s="288" t="s">
        <v>377</v>
      </c>
      <c r="AM364" s="287" t="s">
        <v>377</v>
      </c>
      <c r="AN364" s="287" t="s">
        <v>18</v>
      </c>
      <c r="AO364" s="288" t="s">
        <v>377</v>
      </c>
      <c r="AP364" s="289" t="s">
        <v>377</v>
      </c>
      <c r="AQ364" s="287" t="s">
        <v>377</v>
      </c>
      <c r="AR364" s="287" t="s">
        <v>377</v>
      </c>
      <c r="AS364" s="288" t="s">
        <v>377</v>
      </c>
      <c r="AT364" s="294" t="s">
        <v>32</v>
      </c>
      <c r="AU364" s="287" t="s">
        <v>377</v>
      </c>
      <c r="AV364" s="295" t="s">
        <v>32</v>
      </c>
      <c r="AW364" s="287" t="s">
        <v>18</v>
      </c>
      <c r="AX364" s="294" t="s">
        <v>32</v>
      </c>
      <c r="AY364" s="288" t="s">
        <v>377</v>
      </c>
      <c r="AZ364" s="287" t="s">
        <v>18</v>
      </c>
      <c r="BA364" s="294" t="s">
        <v>32</v>
      </c>
      <c r="BB364" s="288" t="s">
        <v>18</v>
      </c>
      <c r="BC364" s="289" t="s">
        <v>18</v>
      </c>
      <c r="BD364" s="292"/>
    </row>
    <row r="365" ht="12.75" customHeight="1">
      <c r="A365" s="293">
        <v>45243.39857608796</v>
      </c>
      <c r="B365" s="286" t="s">
        <v>506</v>
      </c>
      <c r="C365" s="287" t="s">
        <v>559</v>
      </c>
      <c r="D365" s="285" t="s">
        <v>16</v>
      </c>
      <c r="E365" s="285" t="s">
        <v>476</v>
      </c>
      <c r="F365" s="287" t="s">
        <v>934</v>
      </c>
      <c r="G365" s="285" t="s">
        <v>17</v>
      </c>
      <c r="H365" s="285">
        <v>12.0</v>
      </c>
      <c r="I365" s="287" t="s">
        <v>497</v>
      </c>
      <c r="J365" s="292"/>
      <c r="K365" s="287" t="s">
        <v>508</v>
      </c>
      <c r="L365" s="287" t="s">
        <v>497</v>
      </c>
      <c r="M365" s="292"/>
      <c r="N365" s="292"/>
      <c r="O365" s="292"/>
      <c r="P365" s="292"/>
      <c r="Q365" s="287" t="s">
        <v>377</v>
      </c>
      <c r="R365" s="287" t="s">
        <v>377</v>
      </c>
      <c r="S365" s="288" t="s">
        <v>377</v>
      </c>
      <c r="T365" s="294" t="s">
        <v>32</v>
      </c>
      <c r="U365" s="294" t="s">
        <v>32</v>
      </c>
      <c r="V365" s="295" t="s">
        <v>32</v>
      </c>
      <c r="W365" s="287" t="s">
        <v>18</v>
      </c>
      <c r="X365" s="294" t="s">
        <v>32</v>
      </c>
      <c r="Y365" s="288" t="s">
        <v>377</v>
      </c>
      <c r="Z365" s="294" t="s">
        <v>32</v>
      </c>
      <c r="AA365" s="287" t="s">
        <v>18</v>
      </c>
      <c r="AB365" s="288" t="s">
        <v>377</v>
      </c>
      <c r="AC365" s="289" t="s">
        <v>377</v>
      </c>
      <c r="AD365" s="287" t="s">
        <v>377</v>
      </c>
      <c r="AE365" s="287" t="s">
        <v>18</v>
      </c>
      <c r="AF365" s="288" t="s">
        <v>377</v>
      </c>
      <c r="AG365" s="287" t="s">
        <v>18</v>
      </c>
      <c r="AH365" s="294" t="s">
        <v>32</v>
      </c>
      <c r="AI365" s="288" t="s">
        <v>377</v>
      </c>
      <c r="AJ365" s="287" t="s">
        <v>18</v>
      </c>
      <c r="AK365" s="294" t="s">
        <v>32</v>
      </c>
      <c r="AL365" s="288" t="s">
        <v>377</v>
      </c>
      <c r="AM365" s="294" t="s">
        <v>32</v>
      </c>
      <c r="AN365" s="287" t="s">
        <v>18</v>
      </c>
      <c r="AO365" s="288" t="s">
        <v>377</v>
      </c>
      <c r="AP365" s="289" t="s">
        <v>377</v>
      </c>
      <c r="AQ365" s="287" t="s">
        <v>377</v>
      </c>
      <c r="AR365" s="287" t="s">
        <v>18</v>
      </c>
      <c r="AS365" s="288" t="s">
        <v>377</v>
      </c>
      <c r="AT365" s="294" t="s">
        <v>32</v>
      </c>
      <c r="AU365" s="294" t="s">
        <v>32</v>
      </c>
      <c r="AV365" s="295" t="s">
        <v>32</v>
      </c>
      <c r="AW365" s="287" t="s">
        <v>377</v>
      </c>
      <c r="AX365" s="287" t="s">
        <v>18</v>
      </c>
      <c r="AY365" s="288" t="s">
        <v>377</v>
      </c>
      <c r="AZ365" s="287" t="s">
        <v>377</v>
      </c>
      <c r="BA365" s="287" t="s">
        <v>18</v>
      </c>
      <c r="BB365" s="288" t="s">
        <v>18</v>
      </c>
      <c r="BC365" s="289" t="s">
        <v>18</v>
      </c>
      <c r="BD365" s="292"/>
    </row>
    <row r="366" ht="12.75" customHeight="1">
      <c r="A366" s="293">
        <v>45243.40538538195</v>
      </c>
      <c r="B366" s="286" t="s">
        <v>506</v>
      </c>
      <c r="C366" s="287" t="s">
        <v>559</v>
      </c>
      <c r="D366" s="285" t="s">
        <v>16</v>
      </c>
      <c r="E366" s="285" t="s">
        <v>476</v>
      </c>
      <c r="F366" s="287" t="s">
        <v>935</v>
      </c>
      <c r="G366" s="285" t="s">
        <v>21</v>
      </c>
      <c r="H366" s="285">
        <v>12.0</v>
      </c>
      <c r="I366" s="287" t="s">
        <v>479</v>
      </c>
      <c r="J366" s="292"/>
      <c r="K366" s="287" t="s">
        <v>508</v>
      </c>
      <c r="L366" s="287" t="s">
        <v>497</v>
      </c>
      <c r="M366" s="292"/>
      <c r="N366" s="292"/>
      <c r="O366" s="292"/>
      <c r="P366" s="292"/>
      <c r="Q366" s="294" t="s">
        <v>32</v>
      </c>
      <c r="R366" s="294" t="s">
        <v>32</v>
      </c>
      <c r="S366" s="295" t="s">
        <v>32</v>
      </c>
      <c r="T366" s="294" t="s">
        <v>32</v>
      </c>
      <c r="U366" s="294" t="s">
        <v>32</v>
      </c>
      <c r="V366" s="295" t="s">
        <v>32</v>
      </c>
      <c r="W366" s="294" t="s">
        <v>32</v>
      </c>
      <c r="X366" s="294" t="s">
        <v>32</v>
      </c>
      <c r="Y366" s="295" t="s">
        <v>32</v>
      </c>
      <c r="Z366" s="294" t="s">
        <v>32</v>
      </c>
      <c r="AA366" s="294" t="s">
        <v>32</v>
      </c>
      <c r="AB366" s="295" t="s">
        <v>32</v>
      </c>
      <c r="AC366" s="296" t="s">
        <v>32</v>
      </c>
      <c r="AD366" s="294" t="s">
        <v>32</v>
      </c>
      <c r="AE366" s="294" t="s">
        <v>32</v>
      </c>
      <c r="AF366" s="295" t="s">
        <v>32</v>
      </c>
      <c r="AG366" s="294" t="s">
        <v>32</v>
      </c>
      <c r="AH366" s="294" t="s">
        <v>32</v>
      </c>
      <c r="AI366" s="295" t="s">
        <v>32</v>
      </c>
      <c r="AJ366" s="294" t="s">
        <v>32</v>
      </c>
      <c r="AK366" s="294" t="s">
        <v>32</v>
      </c>
      <c r="AL366" s="295" t="s">
        <v>32</v>
      </c>
      <c r="AM366" s="294" t="s">
        <v>32</v>
      </c>
      <c r="AN366" s="294" t="s">
        <v>32</v>
      </c>
      <c r="AO366" s="295" t="s">
        <v>32</v>
      </c>
      <c r="AP366" s="296" t="s">
        <v>32</v>
      </c>
      <c r="AQ366" s="294" t="s">
        <v>32</v>
      </c>
      <c r="AR366" s="294" t="s">
        <v>32</v>
      </c>
      <c r="AS366" s="295" t="s">
        <v>32</v>
      </c>
      <c r="AT366" s="294" t="s">
        <v>32</v>
      </c>
      <c r="AU366" s="294" t="s">
        <v>32</v>
      </c>
      <c r="AV366" s="295" t="s">
        <v>32</v>
      </c>
      <c r="AW366" s="294" t="s">
        <v>32</v>
      </c>
      <c r="AX366" s="294" t="s">
        <v>32</v>
      </c>
      <c r="AY366" s="295" t="s">
        <v>32</v>
      </c>
      <c r="AZ366" s="294" t="s">
        <v>32</v>
      </c>
      <c r="BA366" s="294" t="s">
        <v>32</v>
      </c>
      <c r="BB366" s="288" t="s">
        <v>377</v>
      </c>
      <c r="BC366" s="289" t="s">
        <v>18</v>
      </c>
      <c r="BD366" s="292"/>
    </row>
    <row r="367" ht="12.75" customHeight="1">
      <c r="A367" s="293">
        <v>45243.4137640625</v>
      </c>
      <c r="B367" s="286" t="s">
        <v>506</v>
      </c>
      <c r="C367" s="287" t="s">
        <v>559</v>
      </c>
      <c r="D367" s="285" t="s">
        <v>16</v>
      </c>
      <c r="E367" s="285" t="s">
        <v>476</v>
      </c>
      <c r="F367" s="287" t="s">
        <v>936</v>
      </c>
      <c r="G367" s="285" t="s">
        <v>17</v>
      </c>
      <c r="H367" s="285">
        <v>11.0</v>
      </c>
      <c r="I367" s="287" t="s">
        <v>497</v>
      </c>
      <c r="J367" s="292"/>
      <c r="K367" s="287" t="s">
        <v>508</v>
      </c>
      <c r="L367" s="287" t="s">
        <v>497</v>
      </c>
      <c r="M367" s="292"/>
      <c r="N367" s="292"/>
      <c r="O367" s="292"/>
      <c r="P367" s="292"/>
      <c r="Q367" s="287" t="s">
        <v>377</v>
      </c>
      <c r="R367" s="287" t="s">
        <v>377</v>
      </c>
      <c r="S367" s="288" t="s">
        <v>377</v>
      </c>
      <c r="T367" s="294" t="s">
        <v>32</v>
      </c>
      <c r="U367" s="287" t="s">
        <v>377</v>
      </c>
      <c r="V367" s="295" t="s">
        <v>32</v>
      </c>
      <c r="W367" s="287" t="s">
        <v>377</v>
      </c>
      <c r="X367" s="294" t="s">
        <v>32</v>
      </c>
      <c r="Y367" s="295" t="s">
        <v>32</v>
      </c>
      <c r="Z367" s="287" t="s">
        <v>377</v>
      </c>
      <c r="AA367" s="287" t="s">
        <v>377</v>
      </c>
      <c r="AB367" s="288" t="s">
        <v>377</v>
      </c>
      <c r="AC367" s="289" t="s">
        <v>377</v>
      </c>
      <c r="AD367" s="294" t="s">
        <v>32</v>
      </c>
      <c r="AE367" s="294" t="s">
        <v>32</v>
      </c>
      <c r="AF367" s="295" t="s">
        <v>32</v>
      </c>
      <c r="AG367" s="287" t="s">
        <v>18</v>
      </c>
      <c r="AH367" s="287" t="s">
        <v>18</v>
      </c>
      <c r="AI367" s="288" t="s">
        <v>18</v>
      </c>
      <c r="AJ367" s="287" t="s">
        <v>377</v>
      </c>
      <c r="AK367" s="287" t="s">
        <v>18</v>
      </c>
      <c r="AL367" s="288" t="s">
        <v>377</v>
      </c>
      <c r="AM367" s="287" t="s">
        <v>18</v>
      </c>
      <c r="AN367" s="294" t="s">
        <v>32</v>
      </c>
      <c r="AO367" s="288" t="s">
        <v>377</v>
      </c>
      <c r="AP367" s="289" t="s">
        <v>377</v>
      </c>
      <c r="AQ367" s="287" t="s">
        <v>377</v>
      </c>
      <c r="AR367" s="287" t="s">
        <v>18</v>
      </c>
      <c r="AS367" s="288" t="s">
        <v>377</v>
      </c>
      <c r="AT367" s="287" t="s">
        <v>18</v>
      </c>
      <c r="AU367" s="294" t="s">
        <v>32</v>
      </c>
      <c r="AV367" s="288" t="s">
        <v>377</v>
      </c>
      <c r="AW367" s="294" t="s">
        <v>32</v>
      </c>
      <c r="AX367" s="287" t="s">
        <v>18</v>
      </c>
      <c r="AY367" s="288" t="s">
        <v>377</v>
      </c>
      <c r="AZ367" s="294" t="s">
        <v>32</v>
      </c>
      <c r="BA367" s="287" t="s">
        <v>18</v>
      </c>
      <c r="BB367" s="288" t="s">
        <v>18</v>
      </c>
      <c r="BC367" s="289" t="s">
        <v>18</v>
      </c>
      <c r="BD367" s="292"/>
    </row>
    <row r="368" ht="12.75" customHeight="1">
      <c r="A368" s="293">
        <v>45243.41806315973</v>
      </c>
      <c r="B368" s="286" t="s">
        <v>506</v>
      </c>
      <c r="C368" s="287" t="s">
        <v>559</v>
      </c>
      <c r="D368" s="285" t="s">
        <v>16</v>
      </c>
      <c r="E368" s="285" t="s">
        <v>476</v>
      </c>
      <c r="F368" s="287" t="s">
        <v>937</v>
      </c>
      <c r="G368" s="285" t="s">
        <v>21</v>
      </c>
      <c r="H368" s="285">
        <v>12.0</v>
      </c>
      <c r="I368" s="287" t="s">
        <v>497</v>
      </c>
      <c r="J368" s="292"/>
      <c r="K368" s="287" t="s">
        <v>508</v>
      </c>
      <c r="L368" s="287" t="s">
        <v>497</v>
      </c>
      <c r="M368" s="292"/>
      <c r="N368" s="292"/>
      <c r="O368" s="292"/>
      <c r="P368" s="292"/>
      <c r="Q368" s="287" t="s">
        <v>18</v>
      </c>
      <c r="R368" s="287" t="s">
        <v>377</v>
      </c>
      <c r="S368" s="288" t="s">
        <v>377</v>
      </c>
      <c r="T368" s="287" t="s">
        <v>377</v>
      </c>
      <c r="U368" s="287" t="s">
        <v>18</v>
      </c>
      <c r="V368" s="288" t="s">
        <v>377</v>
      </c>
      <c r="W368" s="287" t="s">
        <v>18</v>
      </c>
      <c r="X368" s="287" t="s">
        <v>18</v>
      </c>
      <c r="Y368" s="288" t="s">
        <v>18</v>
      </c>
      <c r="Z368" s="294" t="s">
        <v>32</v>
      </c>
      <c r="AA368" s="294" t="s">
        <v>32</v>
      </c>
      <c r="AB368" s="295" t="s">
        <v>32</v>
      </c>
      <c r="AC368" s="289" t="s">
        <v>377</v>
      </c>
      <c r="AD368" s="287" t="s">
        <v>377</v>
      </c>
      <c r="AE368" s="287" t="s">
        <v>377</v>
      </c>
      <c r="AF368" s="288" t="s">
        <v>377</v>
      </c>
      <c r="AG368" s="287" t="s">
        <v>377</v>
      </c>
      <c r="AH368" s="287" t="s">
        <v>377</v>
      </c>
      <c r="AI368" s="288" t="s">
        <v>377</v>
      </c>
      <c r="AJ368" s="287" t="s">
        <v>377</v>
      </c>
      <c r="AK368" s="287" t="s">
        <v>377</v>
      </c>
      <c r="AL368" s="288" t="s">
        <v>377</v>
      </c>
      <c r="AM368" s="287" t="s">
        <v>377</v>
      </c>
      <c r="AN368" s="287" t="s">
        <v>377</v>
      </c>
      <c r="AO368" s="288" t="s">
        <v>377</v>
      </c>
      <c r="AP368" s="289" t="s">
        <v>377</v>
      </c>
      <c r="AQ368" s="287" t="s">
        <v>377</v>
      </c>
      <c r="AR368" s="287" t="s">
        <v>377</v>
      </c>
      <c r="AS368" s="288" t="s">
        <v>377</v>
      </c>
      <c r="AT368" s="287" t="s">
        <v>377</v>
      </c>
      <c r="AU368" s="294" t="s">
        <v>32</v>
      </c>
      <c r="AV368" s="295" t="s">
        <v>32</v>
      </c>
      <c r="AW368" s="287" t="s">
        <v>377</v>
      </c>
      <c r="AX368" s="287" t="s">
        <v>377</v>
      </c>
      <c r="AY368" s="288" t="s">
        <v>377</v>
      </c>
      <c r="AZ368" s="287" t="s">
        <v>377</v>
      </c>
      <c r="BA368" s="287" t="s">
        <v>377</v>
      </c>
      <c r="BB368" s="288" t="s">
        <v>18</v>
      </c>
      <c r="BC368" s="289" t="s">
        <v>18</v>
      </c>
      <c r="BD368" s="292"/>
    </row>
    <row r="369" ht="12.75" customHeight="1">
      <c r="A369" s="293">
        <v>45243.42066157407</v>
      </c>
      <c r="B369" s="286" t="s">
        <v>506</v>
      </c>
      <c r="C369" s="287" t="s">
        <v>559</v>
      </c>
      <c r="D369" s="285" t="s">
        <v>16</v>
      </c>
      <c r="E369" s="285" t="s">
        <v>476</v>
      </c>
      <c r="F369" s="287" t="s">
        <v>938</v>
      </c>
      <c r="G369" s="285" t="s">
        <v>21</v>
      </c>
      <c r="H369" s="285">
        <v>12.0</v>
      </c>
      <c r="I369" s="287" t="s">
        <v>497</v>
      </c>
      <c r="J369" s="292"/>
      <c r="K369" s="287" t="s">
        <v>508</v>
      </c>
      <c r="L369" s="287" t="s">
        <v>497</v>
      </c>
      <c r="M369" s="292"/>
      <c r="N369" s="292"/>
      <c r="O369" s="292"/>
      <c r="P369" s="292"/>
      <c r="Q369" s="287" t="s">
        <v>18</v>
      </c>
      <c r="R369" s="287" t="s">
        <v>18</v>
      </c>
      <c r="S369" s="288" t="s">
        <v>18</v>
      </c>
      <c r="T369" s="287" t="s">
        <v>18</v>
      </c>
      <c r="U369" s="287" t="s">
        <v>18</v>
      </c>
      <c r="V369" s="288" t="s">
        <v>18</v>
      </c>
      <c r="W369" s="287" t="s">
        <v>18</v>
      </c>
      <c r="X369" s="287" t="s">
        <v>18</v>
      </c>
      <c r="Y369" s="288" t="s">
        <v>18</v>
      </c>
      <c r="Z369" s="287" t="s">
        <v>18</v>
      </c>
      <c r="AA369" s="287" t="s">
        <v>18</v>
      </c>
      <c r="AB369" s="288" t="s">
        <v>18</v>
      </c>
      <c r="AC369" s="289" t="s">
        <v>18</v>
      </c>
      <c r="AD369" s="287" t="s">
        <v>18</v>
      </c>
      <c r="AE369" s="287" t="s">
        <v>18</v>
      </c>
      <c r="AF369" s="288" t="s">
        <v>18</v>
      </c>
      <c r="AG369" s="287" t="s">
        <v>18</v>
      </c>
      <c r="AH369" s="287" t="s">
        <v>18</v>
      </c>
      <c r="AI369" s="288" t="s">
        <v>18</v>
      </c>
      <c r="AJ369" s="287" t="s">
        <v>18</v>
      </c>
      <c r="AK369" s="287" t="s">
        <v>18</v>
      </c>
      <c r="AL369" s="288" t="s">
        <v>18</v>
      </c>
      <c r="AM369" s="287" t="s">
        <v>18</v>
      </c>
      <c r="AN369" s="287" t="s">
        <v>18</v>
      </c>
      <c r="AO369" s="288" t="s">
        <v>18</v>
      </c>
      <c r="AP369" s="289" t="s">
        <v>18</v>
      </c>
      <c r="AQ369" s="287" t="s">
        <v>18</v>
      </c>
      <c r="AR369" s="287" t="s">
        <v>377</v>
      </c>
      <c r="AS369" s="288" t="s">
        <v>377</v>
      </c>
      <c r="AT369" s="287" t="s">
        <v>18</v>
      </c>
      <c r="AU369" s="287" t="s">
        <v>18</v>
      </c>
      <c r="AV369" s="288" t="s">
        <v>18</v>
      </c>
      <c r="AW369" s="287" t="s">
        <v>18</v>
      </c>
      <c r="AX369" s="287" t="s">
        <v>18</v>
      </c>
      <c r="AY369" s="288" t="s">
        <v>18</v>
      </c>
      <c r="AZ369" s="287" t="s">
        <v>18</v>
      </c>
      <c r="BA369" s="287" t="s">
        <v>18</v>
      </c>
      <c r="BB369" s="288" t="s">
        <v>18</v>
      </c>
      <c r="BC369" s="289" t="s">
        <v>18</v>
      </c>
      <c r="BD369" s="292"/>
    </row>
    <row r="370" ht="12.75" customHeight="1">
      <c r="A370" s="293">
        <v>45243.42363792824</v>
      </c>
      <c r="B370" s="286" t="s">
        <v>506</v>
      </c>
      <c r="C370" s="287" t="s">
        <v>559</v>
      </c>
      <c r="D370" s="285" t="s">
        <v>16</v>
      </c>
      <c r="E370" s="285" t="s">
        <v>476</v>
      </c>
      <c r="F370" s="287" t="s">
        <v>939</v>
      </c>
      <c r="G370" s="285" t="s">
        <v>17</v>
      </c>
      <c r="H370" s="285">
        <v>13.0</v>
      </c>
      <c r="I370" s="287" t="s">
        <v>497</v>
      </c>
      <c r="J370" s="292"/>
      <c r="K370" s="287" t="s">
        <v>508</v>
      </c>
      <c r="L370" s="287" t="s">
        <v>497</v>
      </c>
      <c r="M370" s="292"/>
      <c r="N370" s="292"/>
      <c r="O370" s="292"/>
      <c r="P370" s="292"/>
      <c r="Q370" s="287" t="s">
        <v>18</v>
      </c>
      <c r="R370" s="287" t="s">
        <v>18</v>
      </c>
      <c r="S370" s="288" t="s">
        <v>18</v>
      </c>
      <c r="T370" s="287" t="s">
        <v>18</v>
      </c>
      <c r="U370" s="287" t="s">
        <v>18</v>
      </c>
      <c r="V370" s="288" t="s">
        <v>18</v>
      </c>
      <c r="W370" s="287" t="s">
        <v>18</v>
      </c>
      <c r="X370" s="287" t="s">
        <v>18</v>
      </c>
      <c r="Y370" s="288" t="s">
        <v>18</v>
      </c>
      <c r="Z370" s="287" t="s">
        <v>18</v>
      </c>
      <c r="AA370" s="287" t="s">
        <v>18</v>
      </c>
      <c r="AB370" s="288" t="s">
        <v>18</v>
      </c>
      <c r="AC370" s="289" t="s">
        <v>18</v>
      </c>
      <c r="AD370" s="287" t="s">
        <v>18</v>
      </c>
      <c r="AE370" s="287" t="s">
        <v>18</v>
      </c>
      <c r="AF370" s="288" t="s">
        <v>18</v>
      </c>
      <c r="AG370" s="287" t="s">
        <v>18</v>
      </c>
      <c r="AH370" s="287" t="s">
        <v>18</v>
      </c>
      <c r="AI370" s="288" t="s">
        <v>18</v>
      </c>
      <c r="AJ370" s="287" t="s">
        <v>18</v>
      </c>
      <c r="AK370" s="287" t="s">
        <v>18</v>
      </c>
      <c r="AL370" s="288" t="s">
        <v>18</v>
      </c>
      <c r="AM370" s="287" t="s">
        <v>18</v>
      </c>
      <c r="AN370" s="287" t="s">
        <v>18</v>
      </c>
      <c r="AO370" s="288" t="s">
        <v>18</v>
      </c>
      <c r="AP370" s="289" t="s">
        <v>18</v>
      </c>
      <c r="AQ370" s="287" t="s">
        <v>18</v>
      </c>
      <c r="AR370" s="287" t="s">
        <v>18</v>
      </c>
      <c r="AS370" s="288" t="s">
        <v>18</v>
      </c>
      <c r="AT370" s="287" t="s">
        <v>18</v>
      </c>
      <c r="AU370" s="287" t="s">
        <v>18</v>
      </c>
      <c r="AV370" s="288" t="s">
        <v>18</v>
      </c>
      <c r="AW370" s="287" t="s">
        <v>18</v>
      </c>
      <c r="AX370" s="287" t="s">
        <v>18</v>
      </c>
      <c r="AY370" s="288" t="s">
        <v>18</v>
      </c>
      <c r="AZ370" s="287" t="s">
        <v>18</v>
      </c>
      <c r="BA370" s="287" t="s">
        <v>18</v>
      </c>
      <c r="BB370" s="288" t="s">
        <v>18</v>
      </c>
      <c r="BC370" s="289" t="s">
        <v>18</v>
      </c>
      <c r="BD370" s="292"/>
    </row>
    <row r="371" ht="12.75" customHeight="1">
      <c r="A371" s="293">
        <v>45243.42582700231</v>
      </c>
      <c r="B371" s="286" t="s">
        <v>506</v>
      </c>
      <c r="C371" s="287" t="s">
        <v>559</v>
      </c>
      <c r="D371" s="285" t="s">
        <v>16</v>
      </c>
      <c r="E371" s="285" t="s">
        <v>476</v>
      </c>
      <c r="F371" s="287" t="s">
        <v>940</v>
      </c>
      <c r="G371" s="285" t="s">
        <v>21</v>
      </c>
      <c r="H371" s="285">
        <v>12.0</v>
      </c>
      <c r="I371" s="287" t="s">
        <v>497</v>
      </c>
      <c r="J371" s="292"/>
      <c r="K371" s="287" t="s">
        <v>508</v>
      </c>
      <c r="L371" s="287" t="s">
        <v>497</v>
      </c>
      <c r="M371" s="292"/>
      <c r="N371" s="292"/>
      <c r="O371" s="292"/>
      <c r="P371" s="292"/>
      <c r="Q371" s="287" t="s">
        <v>18</v>
      </c>
      <c r="R371" s="287" t="s">
        <v>377</v>
      </c>
      <c r="S371" s="288" t="s">
        <v>377</v>
      </c>
      <c r="T371" s="287" t="s">
        <v>18</v>
      </c>
      <c r="U371" s="287" t="s">
        <v>377</v>
      </c>
      <c r="V371" s="288" t="s">
        <v>377</v>
      </c>
      <c r="W371" s="287" t="s">
        <v>18</v>
      </c>
      <c r="X371" s="287" t="s">
        <v>18</v>
      </c>
      <c r="Y371" s="288" t="s">
        <v>18</v>
      </c>
      <c r="Z371" s="287" t="s">
        <v>18</v>
      </c>
      <c r="AA371" s="287" t="s">
        <v>18</v>
      </c>
      <c r="AB371" s="288" t="s">
        <v>18</v>
      </c>
      <c r="AC371" s="289" t="s">
        <v>18</v>
      </c>
      <c r="AD371" s="287" t="s">
        <v>377</v>
      </c>
      <c r="AE371" s="287" t="s">
        <v>377</v>
      </c>
      <c r="AF371" s="288" t="s">
        <v>377</v>
      </c>
      <c r="AG371" s="287" t="s">
        <v>377</v>
      </c>
      <c r="AH371" s="287" t="s">
        <v>18</v>
      </c>
      <c r="AI371" s="288" t="s">
        <v>377</v>
      </c>
      <c r="AJ371" s="287" t="s">
        <v>18</v>
      </c>
      <c r="AK371" s="287" t="s">
        <v>18</v>
      </c>
      <c r="AL371" s="288" t="s">
        <v>18</v>
      </c>
      <c r="AM371" s="287" t="s">
        <v>18</v>
      </c>
      <c r="AN371" s="287" t="s">
        <v>18</v>
      </c>
      <c r="AO371" s="288" t="s">
        <v>18</v>
      </c>
      <c r="AP371" s="289" t="s">
        <v>18</v>
      </c>
      <c r="AQ371" s="287" t="s">
        <v>377</v>
      </c>
      <c r="AR371" s="287" t="s">
        <v>18</v>
      </c>
      <c r="AS371" s="288" t="s">
        <v>377</v>
      </c>
      <c r="AT371" s="287" t="s">
        <v>18</v>
      </c>
      <c r="AU371" s="287" t="s">
        <v>18</v>
      </c>
      <c r="AV371" s="288" t="s">
        <v>18</v>
      </c>
      <c r="AW371" s="287" t="s">
        <v>18</v>
      </c>
      <c r="AX371" s="287" t="s">
        <v>18</v>
      </c>
      <c r="AY371" s="288" t="s">
        <v>18</v>
      </c>
      <c r="AZ371" s="287" t="s">
        <v>18</v>
      </c>
      <c r="BA371" s="287" t="s">
        <v>18</v>
      </c>
      <c r="BB371" s="288" t="s">
        <v>18</v>
      </c>
      <c r="BC371" s="289" t="s">
        <v>18</v>
      </c>
      <c r="BD371" s="292"/>
    </row>
    <row r="372" ht="12.75" customHeight="1">
      <c r="A372" s="300">
        <v>44796.685136064814</v>
      </c>
      <c r="B372" s="297" t="s">
        <v>506</v>
      </c>
      <c r="C372" s="298" t="s">
        <v>567</v>
      </c>
      <c r="D372" s="298" t="s">
        <v>16</v>
      </c>
      <c r="E372" s="285" t="s">
        <v>476</v>
      </c>
      <c r="F372" s="292" t="s">
        <v>941</v>
      </c>
      <c r="G372" s="298" t="s">
        <v>17</v>
      </c>
      <c r="H372" s="298">
        <v>11.0</v>
      </c>
      <c r="I372" s="292" t="s">
        <v>497</v>
      </c>
      <c r="J372" s="292" t="s">
        <v>508</v>
      </c>
      <c r="K372" s="287" t="s">
        <v>508</v>
      </c>
      <c r="L372" s="292" t="s">
        <v>497</v>
      </c>
      <c r="M372" s="292" t="s">
        <v>586</v>
      </c>
      <c r="N372" s="292"/>
      <c r="O372" s="292"/>
      <c r="P372" s="292"/>
      <c r="Q372" s="299" t="s">
        <v>32</v>
      </c>
      <c r="R372" s="299" t="s">
        <v>32</v>
      </c>
      <c r="S372" s="295" t="s">
        <v>32</v>
      </c>
      <c r="T372" s="292" t="s">
        <v>18</v>
      </c>
      <c r="U372" s="299" t="s">
        <v>32</v>
      </c>
      <c r="V372" s="288" t="s">
        <v>377</v>
      </c>
      <c r="W372" s="299" t="s">
        <v>32</v>
      </c>
      <c r="X372" s="292" t="s">
        <v>377</v>
      </c>
      <c r="Y372" s="295" t="s">
        <v>32</v>
      </c>
      <c r="Z372" s="299" t="s">
        <v>32</v>
      </c>
      <c r="AA372" s="299" t="s">
        <v>32</v>
      </c>
      <c r="AB372" s="295" t="s">
        <v>32</v>
      </c>
      <c r="AC372" s="296" t="s">
        <v>32</v>
      </c>
      <c r="AD372" s="292" t="s">
        <v>377</v>
      </c>
      <c r="AE372" s="299" t="s">
        <v>32</v>
      </c>
      <c r="AF372" s="295" t="s">
        <v>32</v>
      </c>
      <c r="AG372" s="299" t="s">
        <v>32</v>
      </c>
      <c r="AH372" s="299" t="s">
        <v>32</v>
      </c>
      <c r="AI372" s="295" t="s">
        <v>32</v>
      </c>
      <c r="AJ372" s="292" t="s">
        <v>377</v>
      </c>
      <c r="AK372" s="292" t="s">
        <v>18</v>
      </c>
      <c r="AL372" s="288" t="s">
        <v>377</v>
      </c>
      <c r="AM372" s="292" t="s">
        <v>377</v>
      </c>
      <c r="AN372" s="292" t="s">
        <v>377</v>
      </c>
      <c r="AO372" s="288" t="s">
        <v>377</v>
      </c>
      <c r="AP372" s="289" t="s">
        <v>377</v>
      </c>
      <c r="AQ372" s="292" t="s">
        <v>377</v>
      </c>
      <c r="AR372" s="292" t="s">
        <v>377</v>
      </c>
      <c r="AS372" s="288" t="s">
        <v>377</v>
      </c>
      <c r="AT372" s="299" t="s">
        <v>32</v>
      </c>
      <c r="AU372" s="299" t="s">
        <v>32</v>
      </c>
      <c r="AV372" s="295" t="s">
        <v>32</v>
      </c>
      <c r="AW372" s="292" t="s">
        <v>377</v>
      </c>
      <c r="AX372" s="299" t="s">
        <v>32</v>
      </c>
      <c r="AY372" s="295" t="s">
        <v>32</v>
      </c>
      <c r="AZ372" s="299" t="s">
        <v>32</v>
      </c>
      <c r="BA372" s="299" t="s">
        <v>32</v>
      </c>
      <c r="BB372" s="288" t="s">
        <v>18</v>
      </c>
      <c r="BC372" s="289" t="s">
        <v>18</v>
      </c>
      <c r="BD372" s="292"/>
    </row>
    <row r="373" ht="12.75" customHeight="1">
      <c r="A373" s="300">
        <v>44796.73170256944</v>
      </c>
      <c r="B373" s="297" t="s">
        <v>506</v>
      </c>
      <c r="C373" s="298" t="s">
        <v>567</v>
      </c>
      <c r="D373" s="298" t="s">
        <v>16</v>
      </c>
      <c r="E373" s="285" t="s">
        <v>476</v>
      </c>
      <c r="F373" s="292" t="s">
        <v>942</v>
      </c>
      <c r="G373" s="298" t="s">
        <v>21</v>
      </c>
      <c r="H373" s="298">
        <v>12.0</v>
      </c>
      <c r="I373" s="292" t="s">
        <v>497</v>
      </c>
      <c r="J373" s="292" t="s">
        <v>508</v>
      </c>
      <c r="K373" s="287" t="s">
        <v>508</v>
      </c>
      <c r="L373" s="292" t="s">
        <v>497</v>
      </c>
      <c r="M373" s="292" t="s">
        <v>586</v>
      </c>
      <c r="N373" s="292"/>
      <c r="O373" s="292"/>
      <c r="P373" s="292"/>
      <c r="Q373" s="299" t="s">
        <v>32</v>
      </c>
      <c r="R373" s="299" t="s">
        <v>32</v>
      </c>
      <c r="S373" s="295" t="s">
        <v>32</v>
      </c>
      <c r="T373" s="299" t="s">
        <v>32</v>
      </c>
      <c r="U373" s="299" t="s">
        <v>32</v>
      </c>
      <c r="V373" s="295" t="s">
        <v>32</v>
      </c>
      <c r="W373" s="292" t="s">
        <v>377</v>
      </c>
      <c r="X373" s="299" t="s">
        <v>32</v>
      </c>
      <c r="Y373" s="295" t="s">
        <v>32</v>
      </c>
      <c r="Z373" s="299" t="s">
        <v>32</v>
      </c>
      <c r="AA373" s="299" t="s">
        <v>32</v>
      </c>
      <c r="AB373" s="295" t="s">
        <v>32</v>
      </c>
      <c r="AC373" s="296" t="s">
        <v>32</v>
      </c>
      <c r="AD373" s="299" t="s">
        <v>32</v>
      </c>
      <c r="AE373" s="299" t="s">
        <v>32</v>
      </c>
      <c r="AF373" s="295" t="s">
        <v>32</v>
      </c>
      <c r="AG373" s="292" t="s">
        <v>377</v>
      </c>
      <c r="AH373" s="292" t="s">
        <v>377</v>
      </c>
      <c r="AI373" s="288" t="s">
        <v>377</v>
      </c>
      <c r="AJ373" s="292" t="s">
        <v>377</v>
      </c>
      <c r="AK373" s="299" t="s">
        <v>32</v>
      </c>
      <c r="AL373" s="295" t="s">
        <v>32</v>
      </c>
      <c r="AM373" s="299" t="s">
        <v>32</v>
      </c>
      <c r="AN373" s="292" t="s">
        <v>377</v>
      </c>
      <c r="AO373" s="295" t="s">
        <v>32</v>
      </c>
      <c r="AP373" s="296" t="s">
        <v>32</v>
      </c>
      <c r="AQ373" s="292" t="s">
        <v>377</v>
      </c>
      <c r="AR373" s="299" t="s">
        <v>32</v>
      </c>
      <c r="AS373" s="295" t="s">
        <v>32</v>
      </c>
      <c r="AT373" s="299" t="s">
        <v>32</v>
      </c>
      <c r="AU373" s="299" t="s">
        <v>32</v>
      </c>
      <c r="AV373" s="295" t="s">
        <v>32</v>
      </c>
      <c r="AW373" s="292" t="s">
        <v>18</v>
      </c>
      <c r="AX373" s="299" t="s">
        <v>32</v>
      </c>
      <c r="AY373" s="288" t="s">
        <v>377</v>
      </c>
      <c r="AZ373" s="292" t="s">
        <v>377</v>
      </c>
      <c r="BA373" s="292" t="s">
        <v>18</v>
      </c>
      <c r="BB373" s="288" t="s">
        <v>18</v>
      </c>
      <c r="BC373" s="289" t="s">
        <v>377</v>
      </c>
      <c r="BD373" s="292"/>
    </row>
    <row r="374" ht="12.75" customHeight="1">
      <c r="A374" s="300">
        <v>44796.82372353009</v>
      </c>
      <c r="B374" s="297" t="s">
        <v>506</v>
      </c>
      <c r="C374" s="298" t="s">
        <v>567</v>
      </c>
      <c r="D374" s="298" t="s">
        <v>16</v>
      </c>
      <c r="E374" s="285" t="s">
        <v>476</v>
      </c>
      <c r="F374" s="292" t="s">
        <v>943</v>
      </c>
      <c r="G374" s="298" t="s">
        <v>21</v>
      </c>
      <c r="H374" s="298">
        <v>12.0</v>
      </c>
      <c r="I374" s="292" t="s">
        <v>497</v>
      </c>
      <c r="J374" s="292" t="s">
        <v>508</v>
      </c>
      <c r="K374" s="287" t="s">
        <v>508</v>
      </c>
      <c r="L374" s="292" t="s">
        <v>497</v>
      </c>
      <c r="M374" s="292" t="s">
        <v>586</v>
      </c>
      <c r="N374" s="292"/>
      <c r="O374" s="292"/>
      <c r="P374" s="292"/>
      <c r="Q374" s="299" t="s">
        <v>32</v>
      </c>
      <c r="R374" s="299" t="s">
        <v>32</v>
      </c>
      <c r="S374" s="295" t="s">
        <v>32</v>
      </c>
      <c r="T374" s="299" t="s">
        <v>32</v>
      </c>
      <c r="U374" s="299" t="s">
        <v>32</v>
      </c>
      <c r="V374" s="295" t="s">
        <v>32</v>
      </c>
      <c r="W374" s="299" t="s">
        <v>32</v>
      </c>
      <c r="X374" s="299" t="s">
        <v>32</v>
      </c>
      <c r="Y374" s="295" t="s">
        <v>32</v>
      </c>
      <c r="Z374" s="292" t="s">
        <v>18</v>
      </c>
      <c r="AA374" s="299" t="s">
        <v>32</v>
      </c>
      <c r="AB374" s="288" t="s">
        <v>377</v>
      </c>
      <c r="AC374" s="296" t="s">
        <v>32</v>
      </c>
      <c r="AD374" s="292" t="s">
        <v>377</v>
      </c>
      <c r="AE374" s="292" t="s">
        <v>377</v>
      </c>
      <c r="AF374" s="288" t="s">
        <v>377</v>
      </c>
      <c r="AG374" s="292" t="s">
        <v>18</v>
      </c>
      <c r="AH374" s="292" t="s">
        <v>18</v>
      </c>
      <c r="AI374" s="288" t="s">
        <v>18</v>
      </c>
      <c r="AJ374" s="292" t="s">
        <v>377</v>
      </c>
      <c r="AK374" s="292" t="s">
        <v>18</v>
      </c>
      <c r="AL374" s="288" t="s">
        <v>377</v>
      </c>
      <c r="AM374" s="292" t="s">
        <v>18</v>
      </c>
      <c r="AN374" s="292" t="s">
        <v>18</v>
      </c>
      <c r="AO374" s="288" t="s">
        <v>18</v>
      </c>
      <c r="AP374" s="289" t="s">
        <v>18</v>
      </c>
      <c r="AQ374" s="292" t="s">
        <v>18</v>
      </c>
      <c r="AR374" s="299" t="s">
        <v>32</v>
      </c>
      <c r="AS374" s="288" t="s">
        <v>377</v>
      </c>
      <c r="AT374" s="299" t="s">
        <v>32</v>
      </c>
      <c r="AU374" s="299" t="s">
        <v>32</v>
      </c>
      <c r="AV374" s="295" t="s">
        <v>32</v>
      </c>
      <c r="AW374" s="292" t="s">
        <v>18</v>
      </c>
      <c r="AX374" s="292" t="s">
        <v>377</v>
      </c>
      <c r="AY374" s="288" t="s">
        <v>377</v>
      </c>
      <c r="AZ374" s="292" t="s">
        <v>377</v>
      </c>
      <c r="BA374" s="292" t="s">
        <v>377</v>
      </c>
      <c r="BB374" s="295" t="s">
        <v>32</v>
      </c>
      <c r="BC374" s="296" t="s">
        <v>32</v>
      </c>
      <c r="BD374" s="292"/>
    </row>
    <row r="375" ht="12.75" customHeight="1">
      <c r="A375" s="300">
        <v>44796.835374953705</v>
      </c>
      <c r="B375" s="297" t="s">
        <v>506</v>
      </c>
      <c r="C375" s="298" t="s">
        <v>567</v>
      </c>
      <c r="D375" s="298" t="s">
        <v>16</v>
      </c>
      <c r="E375" s="285" t="s">
        <v>476</v>
      </c>
      <c r="F375" s="292" t="s">
        <v>944</v>
      </c>
      <c r="G375" s="298" t="s">
        <v>17</v>
      </c>
      <c r="H375" s="298">
        <v>13.0</v>
      </c>
      <c r="I375" s="292" t="s">
        <v>497</v>
      </c>
      <c r="J375" s="292" t="s">
        <v>508</v>
      </c>
      <c r="K375" s="287" t="s">
        <v>508</v>
      </c>
      <c r="L375" s="292" t="s">
        <v>497</v>
      </c>
      <c r="M375" s="292" t="s">
        <v>586</v>
      </c>
      <c r="N375" s="292"/>
      <c r="O375" s="292"/>
      <c r="P375" s="292"/>
      <c r="Q375" s="292" t="s">
        <v>18</v>
      </c>
      <c r="R375" s="292" t="s">
        <v>18</v>
      </c>
      <c r="S375" s="288" t="s">
        <v>18</v>
      </c>
      <c r="T375" s="292" t="s">
        <v>18</v>
      </c>
      <c r="U375" s="299" t="s">
        <v>32</v>
      </c>
      <c r="V375" s="288" t="s">
        <v>377</v>
      </c>
      <c r="W375" s="292" t="s">
        <v>377</v>
      </c>
      <c r="X375" s="292" t="s">
        <v>377</v>
      </c>
      <c r="Y375" s="288" t="s">
        <v>377</v>
      </c>
      <c r="Z375" s="292" t="s">
        <v>18</v>
      </c>
      <c r="AA375" s="299" t="s">
        <v>32</v>
      </c>
      <c r="AB375" s="288" t="s">
        <v>377</v>
      </c>
      <c r="AC375" s="289" t="s">
        <v>377</v>
      </c>
      <c r="AD375" s="299" t="s">
        <v>32</v>
      </c>
      <c r="AE375" s="292" t="s">
        <v>377</v>
      </c>
      <c r="AF375" s="295" t="s">
        <v>32</v>
      </c>
      <c r="AG375" s="292" t="s">
        <v>377</v>
      </c>
      <c r="AH375" s="299" t="s">
        <v>32</v>
      </c>
      <c r="AI375" s="295" t="s">
        <v>32</v>
      </c>
      <c r="AJ375" s="299" t="s">
        <v>32</v>
      </c>
      <c r="AK375" s="299" t="s">
        <v>32</v>
      </c>
      <c r="AL375" s="295" t="s">
        <v>32</v>
      </c>
      <c r="AM375" s="292" t="s">
        <v>377</v>
      </c>
      <c r="AN375" s="299" t="s">
        <v>32</v>
      </c>
      <c r="AO375" s="295" t="s">
        <v>32</v>
      </c>
      <c r="AP375" s="296" t="s">
        <v>32</v>
      </c>
      <c r="AQ375" s="299" t="s">
        <v>32</v>
      </c>
      <c r="AR375" s="299" t="s">
        <v>32</v>
      </c>
      <c r="AS375" s="295" t="s">
        <v>32</v>
      </c>
      <c r="AT375" s="299" t="s">
        <v>32</v>
      </c>
      <c r="AU375" s="299" t="s">
        <v>32</v>
      </c>
      <c r="AV375" s="295" t="s">
        <v>32</v>
      </c>
      <c r="AW375" s="292" t="s">
        <v>18</v>
      </c>
      <c r="AX375" s="292" t="s">
        <v>377</v>
      </c>
      <c r="AY375" s="288" t="s">
        <v>377</v>
      </c>
      <c r="AZ375" s="299" t="s">
        <v>32</v>
      </c>
      <c r="BA375" s="292" t="s">
        <v>18</v>
      </c>
      <c r="BB375" s="288" t="s">
        <v>18</v>
      </c>
      <c r="BC375" s="289" t="s">
        <v>18</v>
      </c>
      <c r="BD375" s="292"/>
    </row>
    <row r="376" ht="12.75" customHeight="1">
      <c r="A376" s="300">
        <v>44796.840190682866</v>
      </c>
      <c r="B376" s="297" t="s">
        <v>506</v>
      </c>
      <c r="C376" s="298" t="s">
        <v>567</v>
      </c>
      <c r="D376" s="298" t="s">
        <v>16</v>
      </c>
      <c r="E376" s="285" t="s">
        <v>476</v>
      </c>
      <c r="F376" s="292" t="s">
        <v>945</v>
      </c>
      <c r="G376" s="298" t="s">
        <v>21</v>
      </c>
      <c r="H376" s="298">
        <v>12.0</v>
      </c>
      <c r="I376" s="292" t="s">
        <v>497</v>
      </c>
      <c r="J376" s="292" t="s">
        <v>508</v>
      </c>
      <c r="K376" s="287" t="s">
        <v>508</v>
      </c>
      <c r="L376" s="292" t="s">
        <v>497</v>
      </c>
      <c r="M376" s="292" t="s">
        <v>586</v>
      </c>
      <c r="N376" s="292"/>
      <c r="O376" s="292"/>
      <c r="P376" s="292"/>
      <c r="Q376" s="299" t="s">
        <v>32</v>
      </c>
      <c r="R376" s="299" t="s">
        <v>32</v>
      </c>
      <c r="S376" s="295" t="s">
        <v>32</v>
      </c>
      <c r="T376" s="292" t="s">
        <v>18</v>
      </c>
      <c r="U376" s="299" t="s">
        <v>32</v>
      </c>
      <c r="V376" s="288" t="s">
        <v>377</v>
      </c>
      <c r="W376" s="292" t="s">
        <v>377</v>
      </c>
      <c r="X376" s="292" t="s">
        <v>377</v>
      </c>
      <c r="Y376" s="288" t="s">
        <v>377</v>
      </c>
      <c r="Z376" s="292" t="s">
        <v>377</v>
      </c>
      <c r="AA376" s="292" t="s">
        <v>377</v>
      </c>
      <c r="AB376" s="288" t="s">
        <v>377</v>
      </c>
      <c r="AC376" s="289" t="s">
        <v>377</v>
      </c>
      <c r="AD376" s="299" t="s">
        <v>32</v>
      </c>
      <c r="AE376" s="299" t="s">
        <v>32</v>
      </c>
      <c r="AF376" s="295" t="s">
        <v>32</v>
      </c>
      <c r="AG376" s="299" t="s">
        <v>32</v>
      </c>
      <c r="AH376" s="292" t="s">
        <v>377</v>
      </c>
      <c r="AI376" s="295" t="s">
        <v>32</v>
      </c>
      <c r="AJ376" s="299" t="s">
        <v>32</v>
      </c>
      <c r="AK376" s="292" t="s">
        <v>377</v>
      </c>
      <c r="AL376" s="295" t="s">
        <v>32</v>
      </c>
      <c r="AM376" s="292" t="s">
        <v>377</v>
      </c>
      <c r="AN376" s="292" t="s">
        <v>18</v>
      </c>
      <c r="AO376" s="288" t="s">
        <v>377</v>
      </c>
      <c r="AP376" s="289" t="s">
        <v>377</v>
      </c>
      <c r="AQ376" s="292" t="s">
        <v>377</v>
      </c>
      <c r="AR376" s="292" t="s">
        <v>18</v>
      </c>
      <c r="AS376" s="288" t="s">
        <v>377</v>
      </c>
      <c r="AT376" s="292" t="s">
        <v>377</v>
      </c>
      <c r="AU376" s="299" t="s">
        <v>32</v>
      </c>
      <c r="AV376" s="295" t="s">
        <v>32</v>
      </c>
      <c r="AW376" s="292" t="s">
        <v>18</v>
      </c>
      <c r="AX376" s="292" t="s">
        <v>377</v>
      </c>
      <c r="AY376" s="288" t="s">
        <v>377</v>
      </c>
      <c r="AZ376" s="299" t="s">
        <v>32</v>
      </c>
      <c r="BA376" s="292" t="s">
        <v>18</v>
      </c>
      <c r="BB376" s="295" t="s">
        <v>32</v>
      </c>
      <c r="BC376" s="296" t="s">
        <v>32</v>
      </c>
      <c r="BD376" s="292"/>
    </row>
    <row r="377" ht="12.75" customHeight="1">
      <c r="A377" s="300">
        <v>44796.84364640046</v>
      </c>
      <c r="B377" s="297" t="s">
        <v>506</v>
      </c>
      <c r="C377" s="298" t="s">
        <v>567</v>
      </c>
      <c r="D377" s="298" t="s">
        <v>16</v>
      </c>
      <c r="E377" s="285" t="s">
        <v>476</v>
      </c>
      <c r="F377" s="292" t="s">
        <v>946</v>
      </c>
      <c r="G377" s="298" t="s">
        <v>21</v>
      </c>
      <c r="H377" s="298">
        <v>13.0</v>
      </c>
      <c r="I377" s="292" t="s">
        <v>497</v>
      </c>
      <c r="J377" s="292" t="s">
        <v>508</v>
      </c>
      <c r="K377" s="287" t="s">
        <v>508</v>
      </c>
      <c r="L377" s="292" t="s">
        <v>497</v>
      </c>
      <c r="M377" s="292" t="s">
        <v>586</v>
      </c>
      <c r="N377" s="292"/>
      <c r="O377" s="292"/>
      <c r="P377" s="292"/>
      <c r="Q377" s="292" t="s">
        <v>18</v>
      </c>
      <c r="R377" s="292" t="s">
        <v>18</v>
      </c>
      <c r="S377" s="288" t="s">
        <v>18</v>
      </c>
      <c r="T377" s="292" t="s">
        <v>18</v>
      </c>
      <c r="U377" s="292" t="s">
        <v>18</v>
      </c>
      <c r="V377" s="288" t="s">
        <v>18</v>
      </c>
      <c r="W377" s="292" t="s">
        <v>18</v>
      </c>
      <c r="X377" s="292" t="s">
        <v>18</v>
      </c>
      <c r="Y377" s="288" t="s">
        <v>18</v>
      </c>
      <c r="Z377" s="292" t="s">
        <v>18</v>
      </c>
      <c r="AA377" s="292" t="s">
        <v>18</v>
      </c>
      <c r="AB377" s="288" t="s">
        <v>18</v>
      </c>
      <c r="AC377" s="289" t="s">
        <v>18</v>
      </c>
      <c r="AD377" s="292" t="s">
        <v>377</v>
      </c>
      <c r="AE377" s="292" t="s">
        <v>377</v>
      </c>
      <c r="AF377" s="288" t="s">
        <v>377</v>
      </c>
      <c r="AG377" s="292" t="s">
        <v>377</v>
      </c>
      <c r="AH377" s="292" t="s">
        <v>18</v>
      </c>
      <c r="AI377" s="288" t="s">
        <v>377</v>
      </c>
      <c r="AJ377" s="292" t="s">
        <v>18</v>
      </c>
      <c r="AK377" s="292" t="s">
        <v>18</v>
      </c>
      <c r="AL377" s="288" t="s">
        <v>18</v>
      </c>
      <c r="AM377" s="292" t="s">
        <v>377</v>
      </c>
      <c r="AN377" s="292" t="s">
        <v>18</v>
      </c>
      <c r="AO377" s="288" t="s">
        <v>377</v>
      </c>
      <c r="AP377" s="289" t="s">
        <v>377</v>
      </c>
      <c r="AQ377" s="299" t="s">
        <v>32</v>
      </c>
      <c r="AR377" s="292" t="s">
        <v>377</v>
      </c>
      <c r="AS377" s="295" t="s">
        <v>32</v>
      </c>
      <c r="AT377" s="299" t="s">
        <v>32</v>
      </c>
      <c r="AU377" s="292" t="s">
        <v>18</v>
      </c>
      <c r="AV377" s="288" t="s">
        <v>377</v>
      </c>
      <c r="AW377" s="292" t="s">
        <v>18</v>
      </c>
      <c r="AX377" s="292" t="s">
        <v>377</v>
      </c>
      <c r="AY377" s="288" t="s">
        <v>377</v>
      </c>
      <c r="AZ377" s="292" t="s">
        <v>18</v>
      </c>
      <c r="BA377" s="292" t="s">
        <v>377</v>
      </c>
      <c r="BB377" s="288" t="s">
        <v>377</v>
      </c>
      <c r="BC377" s="289" t="s">
        <v>377</v>
      </c>
      <c r="BD377" s="292"/>
    </row>
    <row r="378" ht="12.75" customHeight="1">
      <c r="A378" s="300">
        <v>44796.84701478009</v>
      </c>
      <c r="B378" s="297" t="s">
        <v>506</v>
      </c>
      <c r="C378" s="298" t="s">
        <v>567</v>
      </c>
      <c r="D378" s="298" t="s">
        <v>16</v>
      </c>
      <c r="E378" s="285" t="s">
        <v>476</v>
      </c>
      <c r="F378" s="292" t="s">
        <v>947</v>
      </c>
      <c r="G378" s="298" t="s">
        <v>17</v>
      </c>
      <c r="H378" s="298">
        <v>15.0</v>
      </c>
      <c r="I378" s="292" t="s">
        <v>497</v>
      </c>
      <c r="J378" s="292" t="s">
        <v>508</v>
      </c>
      <c r="K378" s="287" t="s">
        <v>508</v>
      </c>
      <c r="L378" s="292" t="s">
        <v>497</v>
      </c>
      <c r="M378" s="292" t="s">
        <v>586</v>
      </c>
      <c r="N378" s="292"/>
      <c r="O378" s="292"/>
      <c r="P378" s="292"/>
      <c r="Q378" s="292" t="s">
        <v>18</v>
      </c>
      <c r="R378" s="292" t="s">
        <v>18</v>
      </c>
      <c r="S378" s="288" t="s">
        <v>18</v>
      </c>
      <c r="T378" s="292" t="s">
        <v>18</v>
      </c>
      <c r="U378" s="299" t="s">
        <v>32</v>
      </c>
      <c r="V378" s="288" t="s">
        <v>377</v>
      </c>
      <c r="W378" s="292" t="s">
        <v>18</v>
      </c>
      <c r="X378" s="292" t="s">
        <v>18</v>
      </c>
      <c r="Y378" s="288" t="s">
        <v>18</v>
      </c>
      <c r="Z378" s="292" t="s">
        <v>18</v>
      </c>
      <c r="AA378" s="292" t="s">
        <v>18</v>
      </c>
      <c r="AB378" s="288" t="s">
        <v>18</v>
      </c>
      <c r="AC378" s="289" t="s">
        <v>18</v>
      </c>
      <c r="AD378" s="292" t="s">
        <v>18</v>
      </c>
      <c r="AE378" s="292" t="s">
        <v>377</v>
      </c>
      <c r="AF378" s="288" t="s">
        <v>377</v>
      </c>
      <c r="AG378" s="299" t="s">
        <v>32</v>
      </c>
      <c r="AH378" s="292" t="s">
        <v>377</v>
      </c>
      <c r="AI378" s="295" t="s">
        <v>32</v>
      </c>
      <c r="AJ378" s="292" t="s">
        <v>18</v>
      </c>
      <c r="AK378" s="292" t="s">
        <v>18</v>
      </c>
      <c r="AL378" s="288" t="s">
        <v>18</v>
      </c>
      <c r="AM378" s="292" t="s">
        <v>377</v>
      </c>
      <c r="AN378" s="292" t="s">
        <v>18</v>
      </c>
      <c r="AO378" s="288" t="s">
        <v>377</v>
      </c>
      <c r="AP378" s="289" t="s">
        <v>377</v>
      </c>
      <c r="AQ378" s="292" t="s">
        <v>377</v>
      </c>
      <c r="AR378" s="292" t="s">
        <v>377</v>
      </c>
      <c r="AS378" s="288" t="s">
        <v>377</v>
      </c>
      <c r="AT378" s="299" t="s">
        <v>32</v>
      </c>
      <c r="AU378" s="299" t="s">
        <v>32</v>
      </c>
      <c r="AV378" s="295" t="s">
        <v>32</v>
      </c>
      <c r="AW378" s="292" t="s">
        <v>18</v>
      </c>
      <c r="AX378" s="292" t="s">
        <v>377</v>
      </c>
      <c r="AY378" s="288" t="s">
        <v>377</v>
      </c>
      <c r="AZ378" s="299" t="s">
        <v>32</v>
      </c>
      <c r="BA378" s="299" t="s">
        <v>32</v>
      </c>
      <c r="BB378" s="288" t="s">
        <v>377</v>
      </c>
      <c r="BC378" s="289" t="s">
        <v>377</v>
      </c>
      <c r="BD378" s="292"/>
    </row>
    <row r="379" ht="12.75" customHeight="1">
      <c r="A379" s="300">
        <v>44796.84898538195</v>
      </c>
      <c r="B379" s="297" t="s">
        <v>506</v>
      </c>
      <c r="C379" s="298" t="s">
        <v>567</v>
      </c>
      <c r="D379" s="298" t="s">
        <v>16</v>
      </c>
      <c r="E379" s="285" t="s">
        <v>476</v>
      </c>
      <c r="F379" s="292" t="s">
        <v>507</v>
      </c>
      <c r="G379" s="298" t="s">
        <v>21</v>
      </c>
      <c r="H379" s="298">
        <v>12.0</v>
      </c>
      <c r="I379" s="292" t="s">
        <v>497</v>
      </c>
      <c r="J379" s="292" t="s">
        <v>508</v>
      </c>
      <c r="K379" s="287" t="s">
        <v>508</v>
      </c>
      <c r="L379" s="292" t="s">
        <v>497</v>
      </c>
      <c r="M379" s="292" t="s">
        <v>586</v>
      </c>
      <c r="N379" s="292"/>
      <c r="O379" s="292"/>
      <c r="P379" s="292"/>
      <c r="Q379" s="299" t="s">
        <v>32</v>
      </c>
      <c r="R379" s="292" t="s">
        <v>18</v>
      </c>
      <c r="S379" s="288" t="s">
        <v>377</v>
      </c>
      <c r="T379" s="299" t="s">
        <v>32</v>
      </c>
      <c r="U379" s="292" t="s">
        <v>377</v>
      </c>
      <c r="V379" s="295" t="s">
        <v>32</v>
      </c>
      <c r="W379" s="292" t="s">
        <v>18</v>
      </c>
      <c r="X379" s="292" t="s">
        <v>18</v>
      </c>
      <c r="Y379" s="288" t="s">
        <v>18</v>
      </c>
      <c r="Z379" s="292" t="s">
        <v>18</v>
      </c>
      <c r="AA379" s="299" t="s">
        <v>32</v>
      </c>
      <c r="AB379" s="288" t="s">
        <v>377</v>
      </c>
      <c r="AC379" s="289" t="s">
        <v>377</v>
      </c>
      <c r="AD379" s="292" t="s">
        <v>18</v>
      </c>
      <c r="AE379" s="292" t="s">
        <v>377</v>
      </c>
      <c r="AF379" s="288" t="s">
        <v>377</v>
      </c>
      <c r="AG379" s="292" t="s">
        <v>377</v>
      </c>
      <c r="AH379" s="299" t="s">
        <v>32</v>
      </c>
      <c r="AI379" s="295" t="s">
        <v>32</v>
      </c>
      <c r="AJ379" s="292" t="s">
        <v>18</v>
      </c>
      <c r="AK379" s="299" t="s">
        <v>32</v>
      </c>
      <c r="AL379" s="288" t="s">
        <v>377</v>
      </c>
      <c r="AM379" s="292" t="s">
        <v>377</v>
      </c>
      <c r="AN379" s="292" t="s">
        <v>377</v>
      </c>
      <c r="AO379" s="288" t="s">
        <v>377</v>
      </c>
      <c r="AP379" s="289" t="s">
        <v>377</v>
      </c>
      <c r="AQ379" s="299" t="s">
        <v>32</v>
      </c>
      <c r="AR379" s="292" t="s">
        <v>18</v>
      </c>
      <c r="AS379" s="288" t="s">
        <v>377</v>
      </c>
      <c r="AT379" s="299" t="s">
        <v>32</v>
      </c>
      <c r="AU379" s="299" t="s">
        <v>32</v>
      </c>
      <c r="AV379" s="295" t="s">
        <v>32</v>
      </c>
      <c r="AW379" s="292" t="s">
        <v>18</v>
      </c>
      <c r="AX379" s="292" t="s">
        <v>377</v>
      </c>
      <c r="AY379" s="288" t="s">
        <v>377</v>
      </c>
      <c r="AZ379" s="292" t="s">
        <v>377</v>
      </c>
      <c r="BA379" s="299" t="s">
        <v>32</v>
      </c>
      <c r="BB379" s="295" t="s">
        <v>32</v>
      </c>
      <c r="BC379" s="296" t="s">
        <v>32</v>
      </c>
      <c r="BD379" s="292"/>
    </row>
    <row r="380" ht="12.75" customHeight="1">
      <c r="A380" s="300">
        <v>44796.85074648148</v>
      </c>
      <c r="B380" s="297" t="s">
        <v>506</v>
      </c>
      <c r="C380" s="298" t="s">
        <v>567</v>
      </c>
      <c r="D380" s="298" t="s">
        <v>16</v>
      </c>
      <c r="E380" s="285" t="s">
        <v>476</v>
      </c>
      <c r="F380" s="292" t="s">
        <v>948</v>
      </c>
      <c r="G380" s="298" t="s">
        <v>21</v>
      </c>
      <c r="H380" s="298">
        <v>12.0</v>
      </c>
      <c r="I380" s="292" t="s">
        <v>497</v>
      </c>
      <c r="J380" s="292" t="s">
        <v>508</v>
      </c>
      <c r="K380" s="287" t="s">
        <v>508</v>
      </c>
      <c r="L380" s="292" t="s">
        <v>497</v>
      </c>
      <c r="M380" s="292" t="s">
        <v>586</v>
      </c>
      <c r="N380" s="292"/>
      <c r="O380" s="292"/>
      <c r="P380" s="292"/>
      <c r="Q380" s="299" t="s">
        <v>32</v>
      </c>
      <c r="R380" s="299" t="s">
        <v>32</v>
      </c>
      <c r="S380" s="295" t="s">
        <v>32</v>
      </c>
      <c r="T380" s="292" t="s">
        <v>377</v>
      </c>
      <c r="U380" s="292" t="s">
        <v>18</v>
      </c>
      <c r="V380" s="288" t="s">
        <v>377</v>
      </c>
      <c r="W380" s="292" t="s">
        <v>18</v>
      </c>
      <c r="X380" s="292" t="s">
        <v>18</v>
      </c>
      <c r="Y380" s="288" t="s">
        <v>18</v>
      </c>
      <c r="Z380" s="292" t="s">
        <v>18</v>
      </c>
      <c r="AA380" s="292" t="s">
        <v>377</v>
      </c>
      <c r="AB380" s="288" t="s">
        <v>377</v>
      </c>
      <c r="AC380" s="289" t="s">
        <v>377</v>
      </c>
      <c r="AD380" s="292" t="s">
        <v>18</v>
      </c>
      <c r="AE380" s="292" t="s">
        <v>377</v>
      </c>
      <c r="AF380" s="288" t="s">
        <v>377</v>
      </c>
      <c r="AG380" s="299" t="s">
        <v>32</v>
      </c>
      <c r="AH380" s="292" t="s">
        <v>377</v>
      </c>
      <c r="AI380" s="295" t="s">
        <v>32</v>
      </c>
      <c r="AJ380" s="292" t="s">
        <v>377</v>
      </c>
      <c r="AK380" s="292" t="s">
        <v>377</v>
      </c>
      <c r="AL380" s="288" t="s">
        <v>377</v>
      </c>
      <c r="AM380" s="299" t="s">
        <v>32</v>
      </c>
      <c r="AN380" s="292" t="s">
        <v>377</v>
      </c>
      <c r="AO380" s="295" t="s">
        <v>32</v>
      </c>
      <c r="AP380" s="289" t="s">
        <v>377</v>
      </c>
      <c r="AQ380" s="292" t="s">
        <v>377</v>
      </c>
      <c r="AR380" s="299" t="s">
        <v>32</v>
      </c>
      <c r="AS380" s="295" t="s">
        <v>32</v>
      </c>
      <c r="AT380" s="299" t="s">
        <v>32</v>
      </c>
      <c r="AU380" s="299" t="s">
        <v>32</v>
      </c>
      <c r="AV380" s="295" t="s">
        <v>32</v>
      </c>
      <c r="AW380" s="292" t="s">
        <v>18</v>
      </c>
      <c r="AX380" s="292" t="s">
        <v>377</v>
      </c>
      <c r="AY380" s="288" t="s">
        <v>377</v>
      </c>
      <c r="AZ380" s="292" t="s">
        <v>377</v>
      </c>
      <c r="BA380" s="299" t="s">
        <v>32</v>
      </c>
      <c r="BB380" s="295" t="s">
        <v>32</v>
      </c>
      <c r="BC380" s="296" t="s">
        <v>32</v>
      </c>
      <c r="BD380" s="292"/>
    </row>
    <row r="381" ht="12.75" customHeight="1">
      <c r="A381" s="300">
        <v>44796.92971798611</v>
      </c>
      <c r="B381" s="297" t="s">
        <v>506</v>
      </c>
      <c r="C381" s="298" t="s">
        <v>567</v>
      </c>
      <c r="D381" s="298" t="s">
        <v>16</v>
      </c>
      <c r="E381" s="285" t="s">
        <v>476</v>
      </c>
      <c r="F381" s="292" t="s">
        <v>949</v>
      </c>
      <c r="G381" s="298" t="s">
        <v>21</v>
      </c>
      <c r="H381" s="298">
        <v>12.0</v>
      </c>
      <c r="I381" s="292" t="s">
        <v>497</v>
      </c>
      <c r="J381" s="292" t="s">
        <v>508</v>
      </c>
      <c r="K381" s="287" t="s">
        <v>508</v>
      </c>
      <c r="L381" s="292" t="s">
        <v>497</v>
      </c>
      <c r="M381" s="292" t="s">
        <v>586</v>
      </c>
      <c r="N381" s="292"/>
      <c r="O381" s="292"/>
      <c r="P381" s="292"/>
      <c r="Q381" s="292" t="s">
        <v>18</v>
      </c>
      <c r="R381" s="292" t="s">
        <v>18</v>
      </c>
      <c r="S381" s="288" t="s">
        <v>18</v>
      </c>
      <c r="T381" s="292" t="s">
        <v>18</v>
      </c>
      <c r="U381" s="292" t="s">
        <v>18</v>
      </c>
      <c r="V381" s="288" t="s">
        <v>18</v>
      </c>
      <c r="W381" s="292" t="s">
        <v>18</v>
      </c>
      <c r="X381" s="292" t="s">
        <v>18</v>
      </c>
      <c r="Y381" s="288" t="s">
        <v>18</v>
      </c>
      <c r="Z381" s="292" t="s">
        <v>18</v>
      </c>
      <c r="AA381" s="292" t="s">
        <v>18</v>
      </c>
      <c r="AB381" s="288" t="s">
        <v>18</v>
      </c>
      <c r="AC381" s="289" t="s">
        <v>18</v>
      </c>
      <c r="AD381" s="292" t="s">
        <v>18</v>
      </c>
      <c r="AE381" s="292" t="s">
        <v>377</v>
      </c>
      <c r="AF381" s="288" t="s">
        <v>377</v>
      </c>
      <c r="AG381" s="292" t="s">
        <v>377</v>
      </c>
      <c r="AH381" s="299" t="s">
        <v>32</v>
      </c>
      <c r="AI381" s="295" t="s">
        <v>32</v>
      </c>
      <c r="AJ381" s="292" t="s">
        <v>377</v>
      </c>
      <c r="AK381" s="292" t="s">
        <v>18</v>
      </c>
      <c r="AL381" s="288" t="s">
        <v>377</v>
      </c>
      <c r="AM381" s="292" t="s">
        <v>377</v>
      </c>
      <c r="AN381" s="292" t="s">
        <v>18</v>
      </c>
      <c r="AO381" s="288" t="s">
        <v>377</v>
      </c>
      <c r="AP381" s="289" t="s">
        <v>377</v>
      </c>
      <c r="AQ381" s="292" t="s">
        <v>377</v>
      </c>
      <c r="AR381" s="292" t="s">
        <v>18</v>
      </c>
      <c r="AS381" s="288" t="s">
        <v>377</v>
      </c>
      <c r="AT381" s="292" t="s">
        <v>377</v>
      </c>
      <c r="AU381" s="299" t="s">
        <v>32</v>
      </c>
      <c r="AV381" s="295" t="s">
        <v>32</v>
      </c>
      <c r="AW381" s="292" t="s">
        <v>18</v>
      </c>
      <c r="AX381" s="292" t="s">
        <v>377</v>
      </c>
      <c r="AY381" s="288" t="s">
        <v>377</v>
      </c>
      <c r="AZ381" s="299" t="s">
        <v>32</v>
      </c>
      <c r="BA381" s="299" t="s">
        <v>32</v>
      </c>
      <c r="BB381" s="295" t="s">
        <v>32</v>
      </c>
      <c r="BC381" s="296" t="s">
        <v>32</v>
      </c>
      <c r="BD381" s="292"/>
    </row>
    <row r="382" ht="12.75" customHeight="1">
      <c r="A382" s="300">
        <v>44796.932414490744</v>
      </c>
      <c r="B382" s="297" t="s">
        <v>506</v>
      </c>
      <c r="C382" s="298" t="s">
        <v>567</v>
      </c>
      <c r="D382" s="298" t="s">
        <v>16</v>
      </c>
      <c r="E382" s="285" t="s">
        <v>476</v>
      </c>
      <c r="F382" s="292" t="s">
        <v>510</v>
      </c>
      <c r="G382" s="298" t="s">
        <v>21</v>
      </c>
      <c r="H382" s="298">
        <v>12.0</v>
      </c>
      <c r="I382" s="292" t="s">
        <v>497</v>
      </c>
      <c r="J382" s="292" t="s">
        <v>508</v>
      </c>
      <c r="K382" s="287" t="s">
        <v>508</v>
      </c>
      <c r="L382" s="292" t="s">
        <v>497</v>
      </c>
      <c r="M382" s="292" t="s">
        <v>586</v>
      </c>
      <c r="N382" s="292"/>
      <c r="O382" s="292"/>
      <c r="P382" s="292"/>
      <c r="Q382" s="292" t="s">
        <v>18</v>
      </c>
      <c r="R382" s="292" t="s">
        <v>377</v>
      </c>
      <c r="S382" s="288" t="s">
        <v>377</v>
      </c>
      <c r="T382" s="292" t="s">
        <v>18</v>
      </c>
      <c r="U382" s="299" t="s">
        <v>32</v>
      </c>
      <c r="V382" s="288" t="s">
        <v>377</v>
      </c>
      <c r="W382" s="292" t="s">
        <v>18</v>
      </c>
      <c r="X382" s="292" t="s">
        <v>18</v>
      </c>
      <c r="Y382" s="288" t="s">
        <v>18</v>
      </c>
      <c r="Z382" s="292" t="s">
        <v>18</v>
      </c>
      <c r="AA382" s="292" t="s">
        <v>18</v>
      </c>
      <c r="AB382" s="288" t="s">
        <v>18</v>
      </c>
      <c r="AC382" s="289" t="s">
        <v>18</v>
      </c>
      <c r="AD382" s="292" t="s">
        <v>18</v>
      </c>
      <c r="AE382" s="292" t="s">
        <v>18</v>
      </c>
      <c r="AF382" s="288" t="s">
        <v>18</v>
      </c>
      <c r="AG382" s="292" t="s">
        <v>18</v>
      </c>
      <c r="AH382" s="292" t="s">
        <v>18</v>
      </c>
      <c r="AI382" s="288" t="s">
        <v>18</v>
      </c>
      <c r="AJ382" s="292" t="s">
        <v>18</v>
      </c>
      <c r="AK382" s="292" t="s">
        <v>18</v>
      </c>
      <c r="AL382" s="288" t="s">
        <v>18</v>
      </c>
      <c r="AM382" s="292" t="s">
        <v>18</v>
      </c>
      <c r="AN382" s="292" t="s">
        <v>18</v>
      </c>
      <c r="AO382" s="288" t="s">
        <v>18</v>
      </c>
      <c r="AP382" s="289" t="s">
        <v>18</v>
      </c>
      <c r="AQ382" s="292" t="s">
        <v>18</v>
      </c>
      <c r="AR382" s="292" t="s">
        <v>18</v>
      </c>
      <c r="AS382" s="288" t="s">
        <v>18</v>
      </c>
      <c r="AT382" s="292" t="s">
        <v>18</v>
      </c>
      <c r="AU382" s="292" t="s">
        <v>18</v>
      </c>
      <c r="AV382" s="288" t="s">
        <v>18</v>
      </c>
      <c r="AW382" s="292" t="s">
        <v>18</v>
      </c>
      <c r="AX382" s="292" t="s">
        <v>18</v>
      </c>
      <c r="AY382" s="288" t="s">
        <v>18</v>
      </c>
      <c r="AZ382" s="292" t="s">
        <v>18</v>
      </c>
      <c r="BA382" s="292" t="s">
        <v>18</v>
      </c>
      <c r="BB382" s="288" t="s">
        <v>18</v>
      </c>
      <c r="BC382" s="289" t="s">
        <v>377</v>
      </c>
      <c r="BD382" s="292"/>
    </row>
    <row r="383" ht="12.75" customHeight="1">
      <c r="A383" s="300">
        <v>44796.93410662037</v>
      </c>
      <c r="B383" s="297" t="s">
        <v>506</v>
      </c>
      <c r="C383" s="298" t="s">
        <v>567</v>
      </c>
      <c r="D383" s="298" t="s">
        <v>16</v>
      </c>
      <c r="E383" s="285" t="s">
        <v>476</v>
      </c>
      <c r="F383" s="292" t="s">
        <v>950</v>
      </c>
      <c r="G383" s="298" t="s">
        <v>17</v>
      </c>
      <c r="H383" s="298">
        <v>14.0</v>
      </c>
      <c r="I383" s="292" t="s">
        <v>497</v>
      </c>
      <c r="J383" s="292" t="s">
        <v>508</v>
      </c>
      <c r="K383" s="287" t="s">
        <v>508</v>
      </c>
      <c r="L383" s="292" t="s">
        <v>497</v>
      </c>
      <c r="M383" s="292" t="s">
        <v>586</v>
      </c>
      <c r="N383" s="292"/>
      <c r="O383" s="292"/>
      <c r="P383" s="292"/>
      <c r="Q383" s="292" t="s">
        <v>18</v>
      </c>
      <c r="R383" s="292" t="s">
        <v>18</v>
      </c>
      <c r="S383" s="288" t="s">
        <v>18</v>
      </c>
      <c r="T383" s="292" t="s">
        <v>18</v>
      </c>
      <c r="U383" s="292" t="s">
        <v>377</v>
      </c>
      <c r="V383" s="288" t="s">
        <v>377</v>
      </c>
      <c r="W383" s="292" t="s">
        <v>18</v>
      </c>
      <c r="X383" s="292" t="s">
        <v>18</v>
      </c>
      <c r="Y383" s="288" t="s">
        <v>18</v>
      </c>
      <c r="Z383" s="292" t="s">
        <v>18</v>
      </c>
      <c r="AA383" s="292" t="s">
        <v>18</v>
      </c>
      <c r="AB383" s="288" t="s">
        <v>18</v>
      </c>
      <c r="AC383" s="289" t="s">
        <v>18</v>
      </c>
      <c r="AD383" s="292" t="s">
        <v>18</v>
      </c>
      <c r="AE383" s="292" t="s">
        <v>18</v>
      </c>
      <c r="AF383" s="288" t="s">
        <v>18</v>
      </c>
      <c r="AG383" s="292" t="s">
        <v>18</v>
      </c>
      <c r="AH383" s="292" t="s">
        <v>18</v>
      </c>
      <c r="AI383" s="288" t="s">
        <v>18</v>
      </c>
      <c r="AJ383" s="292" t="s">
        <v>18</v>
      </c>
      <c r="AK383" s="292" t="s">
        <v>18</v>
      </c>
      <c r="AL383" s="288" t="s">
        <v>18</v>
      </c>
      <c r="AM383" s="292" t="s">
        <v>18</v>
      </c>
      <c r="AN383" s="292" t="s">
        <v>18</v>
      </c>
      <c r="AO383" s="288" t="s">
        <v>18</v>
      </c>
      <c r="AP383" s="289" t="s">
        <v>18</v>
      </c>
      <c r="AQ383" s="292" t="s">
        <v>18</v>
      </c>
      <c r="AR383" s="292" t="s">
        <v>18</v>
      </c>
      <c r="AS383" s="288" t="s">
        <v>18</v>
      </c>
      <c r="AT383" s="292" t="s">
        <v>18</v>
      </c>
      <c r="AU383" s="292" t="s">
        <v>18</v>
      </c>
      <c r="AV383" s="288" t="s">
        <v>18</v>
      </c>
      <c r="AW383" s="292" t="s">
        <v>18</v>
      </c>
      <c r="AX383" s="292" t="s">
        <v>18</v>
      </c>
      <c r="AY383" s="288" t="s">
        <v>18</v>
      </c>
      <c r="AZ383" s="292" t="s">
        <v>18</v>
      </c>
      <c r="BA383" s="292" t="s">
        <v>18</v>
      </c>
      <c r="BB383" s="295" t="s">
        <v>32</v>
      </c>
      <c r="BC383" s="289" t="s">
        <v>377</v>
      </c>
      <c r="BD383" s="292"/>
    </row>
    <row r="384" ht="12.75" customHeight="1">
      <c r="A384" s="300">
        <v>44796.93563353009</v>
      </c>
      <c r="B384" s="297" t="s">
        <v>506</v>
      </c>
      <c r="C384" s="298" t="s">
        <v>567</v>
      </c>
      <c r="D384" s="298" t="s">
        <v>16</v>
      </c>
      <c r="E384" s="285" t="s">
        <v>476</v>
      </c>
      <c r="F384" s="292" t="s">
        <v>951</v>
      </c>
      <c r="G384" s="298" t="s">
        <v>21</v>
      </c>
      <c r="H384" s="298">
        <v>12.0</v>
      </c>
      <c r="I384" s="292" t="s">
        <v>497</v>
      </c>
      <c r="J384" s="292" t="s">
        <v>508</v>
      </c>
      <c r="K384" s="287" t="s">
        <v>508</v>
      </c>
      <c r="L384" s="292" t="s">
        <v>497</v>
      </c>
      <c r="M384" s="292" t="s">
        <v>586</v>
      </c>
      <c r="N384" s="292"/>
      <c r="O384" s="292"/>
      <c r="P384" s="292"/>
      <c r="Q384" s="292" t="s">
        <v>18</v>
      </c>
      <c r="R384" s="292" t="s">
        <v>18</v>
      </c>
      <c r="S384" s="288" t="s">
        <v>18</v>
      </c>
      <c r="T384" s="292" t="s">
        <v>18</v>
      </c>
      <c r="U384" s="299" t="s">
        <v>32</v>
      </c>
      <c r="V384" s="288" t="s">
        <v>377</v>
      </c>
      <c r="W384" s="292" t="s">
        <v>18</v>
      </c>
      <c r="X384" s="292" t="s">
        <v>18</v>
      </c>
      <c r="Y384" s="288" t="s">
        <v>18</v>
      </c>
      <c r="Z384" s="292" t="s">
        <v>18</v>
      </c>
      <c r="AA384" s="292" t="s">
        <v>18</v>
      </c>
      <c r="AB384" s="288" t="s">
        <v>18</v>
      </c>
      <c r="AC384" s="289" t="s">
        <v>18</v>
      </c>
      <c r="AD384" s="292" t="s">
        <v>18</v>
      </c>
      <c r="AE384" s="292" t="s">
        <v>377</v>
      </c>
      <c r="AF384" s="288" t="s">
        <v>377</v>
      </c>
      <c r="AG384" s="292" t="s">
        <v>18</v>
      </c>
      <c r="AH384" s="292" t="s">
        <v>18</v>
      </c>
      <c r="AI384" s="288" t="s">
        <v>18</v>
      </c>
      <c r="AJ384" s="292" t="s">
        <v>18</v>
      </c>
      <c r="AK384" s="292" t="s">
        <v>18</v>
      </c>
      <c r="AL384" s="288" t="s">
        <v>18</v>
      </c>
      <c r="AM384" s="292" t="s">
        <v>18</v>
      </c>
      <c r="AN384" s="292" t="s">
        <v>18</v>
      </c>
      <c r="AO384" s="288" t="s">
        <v>18</v>
      </c>
      <c r="AP384" s="289" t="s">
        <v>18</v>
      </c>
      <c r="AQ384" s="292" t="s">
        <v>18</v>
      </c>
      <c r="AR384" s="292" t="s">
        <v>18</v>
      </c>
      <c r="AS384" s="288" t="s">
        <v>18</v>
      </c>
      <c r="AT384" s="292" t="s">
        <v>18</v>
      </c>
      <c r="AU384" s="292" t="s">
        <v>18</v>
      </c>
      <c r="AV384" s="288" t="s">
        <v>18</v>
      </c>
      <c r="AW384" s="292" t="s">
        <v>18</v>
      </c>
      <c r="AX384" s="292" t="s">
        <v>18</v>
      </c>
      <c r="AY384" s="288" t="s">
        <v>18</v>
      </c>
      <c r="AZ384" s="292" t="s">
        <v>18</v>
      </c>
      <c r="BA384" s="292" t="s">
        <v>18</v>
      </c>
      <c r="BB384" s="295" t="s">
        <v>32</v>
      </c>
      <c r="BC384" s="289" t="s">
        <v>377</v>
      </c>
      <c r="BD384" s="292"/>
    </row>
    <row r="385" ht="12.75" customHeight="1">
      <c r="A385" s="300">
        <v>44796.93745938657</v>
      </c>
      <c r="B385" s="297" t="s">
        <v>506</v>
      </c>
      <c r="C385" s="298" t="s">
        <v>567</v>
      </c>
      <c r="D385" s="298" t="s">
        <v>16</v>
      </c>
      <c r="E385" s="285" t="s">
        <v>476</v>
      </c>
      <c r="F385" s="292" t="s">
        <v>511</v>
      </c>
      <c r="G385" s="298" t="s">
        <v>21</v>
      </c>
      <c r="H385" s="298">
        <v>12.0</v>
      </c>
      <c r="I385" s="292" t="s">
        <v>497</v>
      </c>
      <c r="J385" s="292" t="s">
        <v>508</v>
      </c>
      <c r="K385" s="287" t="s">
        <v>508</v>
      </c>
      <c r="L385" s="292" t="s">
        <v>497</v>
      </c>
      <c r="M385" s="292" t="s">
        <v>586</v>
      </c>
      <c r="N385" s="292"/>
      <c r="O385" s="292"/>
      <c r="P385" s="292"/>
      <c r="Q385" s="292" t="s">
        <v>377</v>
      </c>
      <c r="R385" s="292" t="s">
        <v>377</v>
      </c>
      <c r="S385" s="288" t="s">
        <v>377</v>
      </c>
      <c r="T385" s="292" t="s">
        <v>18</v>
      </c>
      <c r="U385" s="299" t="s">
        <v>32</v>
      </c>
      <c r="V385" s="288" t="s">
        <v>377</v>
      </c>
      <c r="W385" s="292" t="s">
        <v>18</v>
      </c>
      <c r="X385" s="292" t="s">
        <v>18</v>
      </c>
      <c r="Y385" s="288" t="s">
        <v>18</v>
      </c>
      <c r="Z385" s="292" t="s">
        <v>18</v>
      </c>
      <c r="AA385" s="292" t="s">
        <v>18</v>
      </c>
      <c r="AB385" s="288" t="s">
        <v>18</v>
      </c>
      <c r="AC385" s="289" t="s">
        <v>377</v>
      </c>
      <c r="AD385" s="292" t="s">
        <v>18</v>
      </c>
      <c r="AE385" s="292" t="s">
        <v>18</v>
      </c>
      <c r="AF385" s="288" t="s">
        <v>18</v>
      </c>
      <c r="AG385" s="292" t="s">
        <v>18</v>
      </c>
      <c r="AH385" s="292" t="s">
        <v>18</v>
      </c>
      <c r="AI385" s="288" t="s">
        <v>18</v>
      </c>
      <c r="AJ385" s="292" t="s">
        <v>18</v>
      </c>
      <c r="AK385" s="292" t="s">
        <v>18</v>
      </c>
      <c r="AL385" s="288" t="s">
        <v>18</v>
      </c>
      <c r="AM385" s="292" t="s">
        <v>18</v>
      </c>
      <c r="AN385" s="292" t="s">
        <v>18</v>
      </c>
      <c r="AO385" s="288" t="s">
        <v>18</v>
      </c>
      <c r="AP385" s="289" t="s">
        <v>18</v>
      </c>
      <c r="AQ385" s="292" t="s">
        <v>18</v>
      </c>
      <c r="AR385" s="292" t="s">
        <v>18</v>
      </c>
      <c r="AS385" s="288" t="s">
        <v>18</v>
      </c>
      <c r="AT385" s="292" t="s">
        <v>18</v>
      </c>
      <c r="AU385" s="292" t="s">
        <v>18</v>
      </c>
      <c r="AV385" s="288" t="s">
        <v>18</v>
      </c>
      <c r="AW385" s="292" t="s">
        <v>18</v>
      </c>
      <c r="AX385" s="292" t="s">
        <v>18</v>
      </c>
      <c r="AY385" s="288" t="s">
        <v>18</v>
      </c>
      <c r="AZ385" s="292" t="s">
        <v>18</v>
      </c>
      <c r="BA385" s="292" t="s">
        <v>18</v>
      </c>
      <c r="BB385" s="288" t="s">
        <v>377</v>
      </c>
      <c r="BC385" s="289" t="s">
        <v>377</v>
      </c>
      <c r="BD385" s="292"/>
    </row>
    <row r="386" ht="12.75" customHeight="1">
      <c r="A386" s="300">
        <v>44796.93954211805</v>
      </c>
      <c r="B386" s="297" t="s">
        <v>506</v>
      </c>
      <c r="C386" s="298" t="s">
        <v>567</v>
      </c>
      <c r="D386" s="298" t="s">
        <v>16</v>
      </c>
      <c r="E386" s="285" t="s">
        <v>476</v>
      </c>
      <c r="F386" s="292" t="s">
        <v>952</v>
      </c>
      <c r="G386" s="298" t="s">
        <v>17</v>
      </c>
      <c r="H386" s="298">
        <v>11.0</v>
      </c>
      <c r="I386" s="292" t="s">
        <v>497</v>
      </c>
      <c r="J386" s="292" t="s">
        <v>508</v>
      </c>
      <c r="K386" s="287" t="s">
        <v>508</v>
      </c>
      <c r="L386" s="292" t="s">
        <v>497</v>
      </c>
      <c r="M386" s="292" t="s">
        <v>586</v>
      </c>
      <c r="N386" s="292"/>
      <c r="O386" s="292"/>
      <c r="P386" s="292"/>
      <c r="Q386" s="292" t="s">
        <v>18</v>
      </c>
      <c r="R386" s="292" t="s">
        <v>18</v>
      </c>
      <c r="S386" s="288" t="s">
        <v>18</v>
      </c>
      <c r="T386" s="292" t="s">
        <v>18</v>
      </c>
      <c r="U386" s="292" t="s">
        <v>377</v>
      </c>
      <c r="V386" s="288" t="s">
        <v>377</v>
      </c>
      <c r="W386" s="292" t="s">
        <v>18</v>
      </c>
      <c r="X386" s="292" t="s">
        <v>18</v>
      </c>
      <c r="Y386" s="288" t="s">
        <v>18</v>
      </c>
      <c r="Z386" s="292" t="s">
        <v>18</v>
      </c>
      <c r="AA386" s="292" t="s">
        <v>18</v>
      </c>
      <c r="AB386" s="288" t="s">
        <v>18</v>
      </c>
      <c r="AC386" s="289" t="s">
        <v>18</v>
      </c>
      <c r="AD386" s="292" t="s">
        <v>18</v>
      </c>
      <c r="AE386" s="292" t="s">
        <v>18</v>
      </c>
      <c r="AF386" s="288" t="s">
        <v>18</v>
      </c>
      <c r="AG386" s="292" t="s">
        <v>18</v>
      </c>
      <c r="AH386" s="292" t="s">
        <v>18</v>
      </c>
      <c r="AI386" s="288" t="s">
        <v>18</v>
      </c>
      <c r="AJ386" s="292" t="s">
        <v>18</v>
      </c>
      <c r="AK386" s="292" t="s">
        <v>18</v>
      </c>
      <c r="AL386" s="288" t="s">
        <v>18</v>
      </c>
      <c r="AM386" s="292" t="s">
        <v>18</v>
      </c>
      <c r="AN386" s="292" t="s">
        <v>18</v>
      </c>
      <c r="AO386" s="288" t="s">
        <v>18</v>
      </c>
      <c r="AP386" s="289" t="s">
        <v>18</v>
      </c>
      <c r="AQ386" s="292" t="s">
        <v>18</v>
      </c>
      <c r="AR386" s="292" t="s">
        <v>18</v>
      </c>
      <c r="AS386" s="288" t="s">
        <v>18</v>
      </c>
      <c r="AT386" s="292" t="s">
        <v>18</v>
      </c>
      <c r="AU386" s="292" t="s">
        <v>18</v>
      </c>
      <c r="AV386" s="288" t="s">
        <v>18</v>
      </c>
      <c r="AW386" s="292" t="s">
        <v>18</v>
      </c>
      <c r="AX386" s="292" t="s">
        <v>18</v>
      </c>
      <c r="AY386" s="288" t="s">
        <v>18</v>
      </c>
      <c r="AZ386" s="292" t="s">
        <v>18</v>
      </c>
      <c r="BA386" s="292" t="s">
        <v>18</v>
      </c>
      <c r="BB386" s="295" t="s">
        <v>32</v>
      </c>
      <c r="BC386" s="289" t="s">
        <v>377</v>
      </c>
      <c r="BD386" s="292"/>
    </row>
    <row r="387" ht="12.75" customHeight="1">
      <c r="A387" s="300">
        <v>44796.940702719905</v>
      </c>
      <c r="B387" s="297" t="s">
        <v>506</v>
      </c>
      <c r="C387" s="298" t="s">
        <v>567</v>
      </c>
      <c r="D387" s="298" t="s">
        <v>16</v>
      </c>
      <c r="E387" s="285" t="s">
        <v>476</v>
      </c>
      <c r="F387" s="292" t="s">
        <v>953</v>
      </c>
      <c r="G387" s="298" t="s">
        <v>21</v>
      </c>
      <c r="H387" s="298">
        <v>11.0</v>
      </c>
      <c r="I387" s="292" t="s">
        <v>497</v>
      </c>
      <c r="J387" s="292" t="s">
        <v>508</v>
      </c>
      <c r="K387" s="287" t="s">
        <v>508</v>
      </c>
      <c r="L387" s="292" t="s">
        <v>497</v>
      </c>
      <c r="M387" s="292" t="s">
        <v>586</v>
      </c>
      <c r="N387" s="292"/>
      <c r="O387" s="292"/>
      <c r="P387" s="292"/>
      <c r="Q387" s="292" t="s">
        <v>18</v>
      </c>
      <c r="R387" s="292" t="s">
        <v>18</v>
      </c>
      <c r="S387" s="288" t="s">
        <v>18</v>
      </c>
      <c r="T387" s="292" t="s">
        <v>18</v>
      </c>
      <c r="U387" s="292" t="s">
        <v>377</v>
      </c>
      <c r="V387" s="288" t="s">
        <v>377</v>
      </c>
      <c r="W387" s="292" t="s">
        <v>18</v>
      </c>
      <c r="X387" s="292" t="s">
        <v>18</v>
      </c>
      <c r="Y387" s="288" t="s">
        <v>18</v>
      </c>
      <c r="Z387" s="292" t="s">
        <v>18</v>
      </c>
      <c r="AA387" s="292" t="s">
        <v>18</v>
      </c>
      <c r="AB387" s="288" t="s">
        <v>18</v>
      </c>
      <c r="AC387" s="289" t="s">
        <v>18</v>
      </c>
      <c r="AD387" s="292" t="s">
        <v>18</v>
      </c>
      <c r="AE387" s="292" t="s">
        <v>18</v>
      </c>
      <c r="AF387" s="288" t="s">
        <v>18</v>
      </c>
      <c r="AG387" s="292" t="s">
        <v>18</v>
      </c>
      <c r="AH387" s="292" t="s">
        <v>18</v>
      </c>
      <c r="AI387" s="288" t="s">
        <v>18</v>
      </c>
      <c r="AJ387" s="292" t="s">
        <v>18</v>
      </c>
      <c r="AK387" s="292" t="s">
        <v>18</v>
      </c>
      <c r="AL387" s="288" t="s">
        <v>18</v>
      </c>
      <c r="AM387" s="292" t="s">
        <v>18</v>
      </c>
      <c r="AN387" s="292" t="s">
        <v>18</v>
      </c>
      <c r="AO387" s="288" t="s">
        <v>18</v>
      </c>
      <c r="AP387" s="289" t="s">
        <v>18</v>
      </c>
      <c r="AQ387" s="292" t="s">
        <v>18</v>
      </c>
      <c r="AR387" s="292" t="s">
        <v>18</v>
      </c>
      <c r="AS387" s="288" t="s">
        <v>18</v>
      </c>
      <c r="AT387" s="292" t="s">
        <v>18</v>
      </c>
      <c r="AU387" s="292" t="s">
        <v>18</v>
      </c>
      <c r="AV387" s="288" t="s">
        <v>18</v>
      </c>
      <c r="AW387" s="292" t="s">
        <v>18</v>
      </c>
      <c r="AX387" s="292" t="s">
        <v>18</v>
      </c>
      <c r="AY387" s="288" t="s">
        <v>18</v>
      </c>
      <c r="AZ387" s="292" t="s">
        <v>18</v>
      </c>
      <c r="BA387" s="292" t="s">
        <v>18</v>
      </c>
      <c r="BB387" s="288" t="s">
        <v>18</v>
      </c>
      <c r="BC387" s="289" t="s">
        <v>377</v>
      </c>
      <c r="BD387" s="292"/>
    </row>
    <row r="388" ht="12.75" customHeight="1">
      <c r="A388" s="300">
        <v>44796.94216975695</v>
      </c>
      <c r="B388" s="297" t="s">
        <v>506</v>
      </c>
      <c r="C388" s="298" t="s">
        <v>567</v>
      </c>
      <c r="D388" s="298" t="s">
        <v>16</v>
      </c>
      <c r="E388" s="285" t="s">
        <v>476</v>
      </c>
      <c r="F388" s="292" t="s">
        <v>954</v>
      </c>
      <c r="G388" s="298" t="s">
        <v>21</v>
      </c>
      <c r="H388" s="298">
        <v>11.0</v>
      </c>
      <c r="I388" s="292" t="s">
        <v>497</v>
      </c>
      <c r="J388" s="292" t="s">
        <v>508</v>
      </c>
      <c r="K388" s="287" t="s">
        <v>508</v>
      </c>
      <c r="L388" s="292" t="s">
        <v>497</v>
      </c>
      <c r="M388" s="292" t="s">
        <v>586</v>
      </c>
      <c r="N388" s="292"/>
      <c r="O388" s="292"/>
      <c r="P388" s="292"/>
      <c r="Q388" s="292" t="s">
        <v>18</v>
      </c>
      <c r="R388" s="292" t="s">
        <v>18</v>
      </c>
      <c r="S388" s="288" t="s">
        <v>18</v>
      </c>
      <c r="T388" s="292" t="s">
        <v>18</v>
      </c>
      <c r="U388" s="292" t="s">
        <v>18</v>
      </c>
      <c r="V388" s="288" t="s">
        <v>18</v>
      </c>
      <c r="W388" s="292" t="s">
        <v>18</v>
      </c>
      <c r="X388" s="292" t="s">
        <v>18</v>
      </c>
      <c r="Y388" s="288" t="s">
        <v>18</v>
      </c>
      <c r="Z388" s="292" t="s">
        <v>18</v>
      </c>
      <c r="AA388" s="292" t="s">
        <v>18</v>
      </c>
      <c r="AB388" s="288" t="s">
        <v>18</v>
      </c>
      <c r="AC388" s="289" t="s">
        <v>18</v>
      </c>
      <c r="AD388" s="292" t="s">
        <v>18</v>
      </c>
      <c r="AE388" s="292" t="s">
        <v>18</v>
      </c>
      <c r="AF388" s="288" t="s">
        <v>18</v>
      </c>
      <c r="AG388" s="292" t="s">
        <v>18</v>
      </c>
      <c r="AH388" s="292" t="s">
        <v>18</v>
      </c>
      <c r="AI388" s="288" t="s">
        <v>18</v>
      </c>
      <c r="AJ388" s="292" t="s">
        <v>18</v>
      </c>
      <c r="AK388" s="292" t="s">
        <v>377</v>
      </c>
      <c r="AL388" s="288" t="s">
        <v>377</v>
      </c>
      <c r="AM388" s="292" t="s">
        <v>18</v>
      </c>
      <c r="AN388" s="292" t="s">
        <v>18</v>
      </c>
      <c r="AO388" s="288" t="s">
        <v>18</v>
      </c>
      <c r="AP388" s="289" t="s">
        <v>18</v>
      </c>
      <c r="AQ388" s="292" t="s">
        <v>18</v>
      </c>
      <c r="AR388" s="292" t="s">
        <v>18</v>
      </c>
      <c r="AS388" s="288" t="s">
        <v>18</v>
      </c>
      <c r="AT388" s="292" t="s">
        <v>377</v>
      </c>
      <c r="AU388" s="292" t="s">
        <v>18</v>
      </c>
      <c r="AV388" s="288" t="s">
        <v>377</v>
      </c>
      <c r="AW388" s="292" t="s">
        <v>18</v>
      </c>
      <c r="AX388" s="292" t="s">
        <v>18</v>
      </c>
      <c r="AY388" s="288" t="s">
        <v>18</v>
      </c>
      <c r="AZ388" s="292" t="s">
        <v>18</v>
      </c>
      <c r="BA388" s="292" t="s">
        <v>18</v>
      </c>
      <c r="BB388" s="295" t="s">
        <v>32</v>
      </c>
      <c r="BC388" s="296" t="s">
        <v>32</v>
      </c>
      <c r="BD388" s="292"/>
    </row>
    <row r="389" ht="12.75" customHeight="1">
      <c r="A389" s="300">
        <v>44796.944038368056</v>
      </c>
      <c r="B389" s="297" t="s">
        <v>506</v>
      </c>
      <c r="C389" s="298" t="s">
        <v>567</v>
      </c>
      <c r="D389" s="298" t="s">
        <v>16</v>
      </c>
      <c r="E389" s="285" t="s">
        <v>476</v>
      </c>
      <c r="F389" s="292" t="s">
        <v>512</v>
      </c>
      <c r="G389" s="298" t="s">
        <v>17</v>
      </c>
      <c r="H389" s="298">
        <v>11.0</v>
      </c>
      <c r="I389" s="292" t="s">
        <v>497</v>
      </c>
      <c r="J389" s="292" t="s">
        <v>508</v>
      </c>
      <c r="K389" s="287" t="s">
        <v>508</v>
      </c>
      <c r="L389" s="292" t="s">
        <v>497</v>
      </c>
      <c r="M389" s="292" t="s">
        <v>586</v>
      </c>
      <c r="N389" s="292"/>
      <c r="O389" s="292"/>
      <c r="P389" s="292"/>
      <c r="Q389" s="292" t="s">
        <v>377</v>
      </c>
      <c r="R389" s="292" t="s">
        <v>377</v>
      </c>
      <c r="S389" s="288" t="s">
        <v>377</v>
      </c>
      <c r="T389" s="292" t="s">
        <v>18</v>
      </c>
      <c r="U389" s="299" t="s">
        <v>32</v>
      </c>
      <c r="V389" s="288" t="s">
        <v>377</v>
      </c>
      <c r="W389" s="299" t="s">
        <v>32</v>
      </c>
      <c r="X389" s="292" t="s">
        <v>18</v>
      </c>
      <c r="Y389" s="288" t="s">
        <v>377</v>
      </c>
      <c r="Z389" s="292" t="s">
        <v>377</v>
      </c>
      <c r="AA389" s="299" t="s">
        <v>32</v>
      </c>
      <c r="AB389" s="295" t="s">
        <v>32</v>
      </c>
      <c r="AC389" s="289" t="s">
        <v>377</v>
      </c>
      <c r="AD389" s="292" t="s">
        <v>377</v>
      </c>
      <c r="AE389" s="299" t="s">
        <v>32</v>
      </c>
      <c r="AF389" s="295" t="s">
        <v>32</v>
      </c>
      <c r="AG389" s="292" t="s">
        <v>377</v>
      </c>
      <c r="AH389" s="292" t="s">
        <v>18</v>
      </c>
      <c r="AI389" s="288" t="s">
        <v>377</v>
      </c>
      <c r="AJ389" s="299" t="s">
        <v>32</v>
      </c>
      <c r="AK389" s="299" t="s">
        <v>32</v>
      </c>
      <c r="AL389" s="295" t="s">
        <v>32</v>
      </c>
      <c r="AM389" s="292" t="s">
        <v>18</v>
      </c>
      <c r="AN389" s="292" t="s">
        <v>377</v>
      </c>
      <c r="AO389" s="288" t="s">
        <v>377</v>
      </c>
      <c r="AP389" s="289" t="s">
        <v>377</v>
      </c>
      <c r="AQ389" s="299" t="s">
        <v>32</v>
      </c>
      <c r="AR389" s="292" t="s">
        <v>377</v>
      </c>
      <c r="AS389" s="295" t="s">
        <v>32</v>
      </c>
      <c r="AT389" s="299" t="s">
        <v>32</v>
      </c>
      <c r="AU389" s="299" t="s">
        <v>32</v>
      </c>
      <c r="AV389" s="295" t="s">
        <v>32</v>
      </c>
      <c r="AW389" s="292" t="s">
        <v>18</v>
      </c>
      <c r="AX389" s="292" t="s">
        <v>18</v>
      </c>
      <c r="AY389" s="288" t="s">
        <v>18</v>
      </c>
      <c r="AZ389" s="292" t="s">
        <v>18</v>
      </c>
      <c r="BA389" s="299" t="s">
        <v>32</v>
      </c>
      <c r="BB389" s="288" t="s">
        <v>377</v>
      </c>
      <c r="BC389" s="289" t="s">
        <v>377</v>
      </c>
      <c r="BD389" s="292"/>
    </row>
    <row r="390" ht="12.75" customHeight="1">
      <c r="A390" s="300">
        <v>44796.94610789352</v>
      </c>
      <c r="B390" s="297" t="s">
        <v>506</v>
      </c>
      <c r="C390" s="298" t="s">
        <v>567</v>
      </c>
      <c r="D390" s="298" t="s">
        <v>16</v>
      </c>
      <c r="E390" s="285" t="s">
        <v>476</v>
      </c>
      <c r="F390" s="292" t="s">
        <v>513</v>
      </c>
      <c r="G390" s="298" t="s">
        <v>21</v>
      </c>
      <c r="H390" s="298">
        <v>12.0</v>
      </c>
      <c r="I390" s="292" t="s">
        <v>497</v>
      </c>
      <c r="J390" s="292" t="s">
        <v>508</v>
      </c>
      <c r="K390" s="287" t="s">
        <v>508</v>
      </c>
      <c r="L390" s="292" t="s">
        <v>497</v>
      </c>
      <c r="M390" s="292" t="s">
        <v>586</v>
      </c>
      <c r="N390" s="292"/>
      <c r="O390" s="292"/>
      <c r="P390" s="292"/>
      <c r="Q390" s="292" t="s">
        <v>377</v>
      </c>
      <c r="R390" s="292" t="s">
        <v>377</v>
      </c>
      <c r="S390" s="288" t="s">
        <v>377</v>
      </c>
      <c r="T390" s="292" t="s">
        <v>377</v>
      </c>
      <c r="U390" s="299" t="s">
        <v>32</v>
      </c>
      <c r="V390" s="295" t="s">
        <v>32</v>
      </c>
      <c r="W390" s="292" t="s">
        <v>18</v>
      </c>
      <c r="X390" s="292" t="s">
        <v>18</v>
      </c>
      <c r="Y390" s="288" t="s">
        <v>18</v>
      </c>
      <c r="Z390" s="292" t="s">
        <v>377</v>
      </c>
      <c r="AA390" s="292" t="s">
        <v>377</v>
      </c>
      <c r="AB390" s="288" t="s">
        <v>377</v>
      </c>
      <c r="AC390" s="289" t="s">
        <v>377</v>
      </c>
      <c r="AD390" s="292" t="s">
        <v>377</v>
      </c>
      <c r="AE390" s="292" t="s">
        <v>377</v>
      </c>
      <c r="AF390" s="288" t="s">
        <v>377</v>
      </c>
      <c r="AG390" s="292" t="s">
        <v>377</v>
      </c>
      <c r="AH390" s="292" t="s">
        <v>377</v>
      </c>
      <c r="AI390" s="288" t="s">
        <v>377</v>
      </c>
      <c r="AJ390" s="292" t="s">
        <v>377</v>
      </c>
      <c r="AK390" s="292" t="s">
        <v>377</v>
      </c>
      <c r="AL390" s="288" t="s">
        <v>377</v>
      </c>
      <c r="AM390" s="292" t="s">
        <v>377</v>
      </c>
      <c r="AN390" s="292" t="s">
        <v>18</v>
      </c>
      <c r="AO390" s="288" t="s">
        <v>377</v>
      </c>
      <c r="AP390" s="289" t="s">
        <v>377</v>
      </c>
      <c r="AQ390" s="292" t="s">
        <v>18</v>
      </c>
      <c r="AR390" s="292" t="s">
        <v>377</v>
      </c>
      <c r="AS390" s="288" t="s">
        <v>377</v>
      </c>
      <c r="AT390" s="292" t="s">
        <v>377</v>
      </c>
      <c r="AU390" s="292" t="s">
        <v>18</v>
      </c>
      <c r="AV390" s="288" t="s">
        <v>377</v>
      </c>
      <c r="AW390" s="292" t="s">
        <v>18</v>
      </c>
      <c r="AX390" s="292" t="s">
        <v>18</v>
      </c>
      <c r="AY390" s="288" t="s">
        <v>18</v>
      </c>
      <c r="AZ390" s="292" t="s">
        <v>18</v>
      </c>
      <c r="BA390" s="292" t="s">
        <v>18</v>
      </c>
      <c r="BB390" s="295" t="s">
        <v>32</v>
      </c>
      <c r="BC390" s="289" t="s">
        <v>377</v>
      </c>
      <c r="BD390" s="292"/>
    </row>
    <row r="391" ht="12.75" customHeight="1">
      <c r="A391" s="300">
        <v>44796.94886105324</v>
      </c>
      <c r="B391" s="297" t="s">
        <v>506</v>
      </c>
      <c r="C391" s="298" t="s">
        <v>567</v>
      </c>
      <c r="D391" s="298" t="s">
        <v>16</v>
      </c>
      <c r="E391" s="285" t="s">
        <v>476</v>
      </c>
      <c r="F391" s="292" t="s">
        <v>514</v>
      </c>
      <c r="G391" s="298" t="s">
        <v>17</v>
      </c>
      <c r="H391" s="298">
        <v>14.0</v>
      </c>
      <c r="I391" s="292" t="s">
        <v>497</v>
      </c>
      <c r="J391" s="292" t="s">
        <v>508</v>
      </c>
      <c r="K391" s="287" t="s">
        <v>508</v>
      </c>
      <c r="L391" s="292" t="s">
        <v>497</v>
      </c>
      <c r="M391" s="292" t="s">
        <v>586</v>
      </c>
      <c r="N391" s="292"/>
      <c r="O391" s="292"/>
      <c r="P391" s="292"/>
      <c r="Q391" s="292" t="s">
        <v>377</v>
      </c>
      <c r="R391" s="292" t="s">
        <v>18</v>
      </c>
      <c r="S391" s="288" t="s">
        <v>377</v>
      </c>
      <c r="T391" s="292" t="s">
        <v>18</v>
      </c>
      <c r="U391" s="299" t="s">
        <v>32</v>
      </c>
      <c r="V391" s="288" t="s">
        <v>377</v>
      </c>
      <c r="W391" s="292" t="s">
        <v>18</v>
      </c>
      <c r="X391" s="292" t="s">
        <v>18</v>
      </c>
      <c r="Y391" s="288" t="s">
        <v>18</v>
      </c>
      <c r="Z391" s="292" t="s">
        <v>18</v>
      </c>
      <c r="AA391" s="292" t="s">
        <v>377</v>
      </c>
      <c r="AB391" s="288" t="s">
        <v>377</v>
      </c>
      <c r="AC391" s="289" t="s">
        <v>377</v>
      </c>
      <c r="AD391" s="292" t="s">
        <v>377</v>
      </c>
      <c r="AE391" s="292" t="s">
        <v>377</v>
      </c>
      <c r="AF391" s="288" t="s">
        <v>377</v>
      </c>
      <c r="AG391" s="292" t="s">
        <v>377</v>
      </c>
      <c r="AH391" s="292" t="s">
        <v>377</v>
      </c>
      <c r="AI391" s="288" t="s">
        <v>377</v>
      </c>
      <c r="AJ391" s="292" t="s">
        <v>377</v>
      </c>
      <c r="AK391" s="292" t="s">
        <v>18</v>
      </c>
      <c r="AL391" s="288" t="s">
        <v>377</v>
      </c>
      <c r="AM391" s="292" t="s">
        <v>18</v>
      </c>
      <c r="AN391" s="292" t="s">
        <v>18</v>
      </c>
      <c r="AO391" s="288" t="s">
        <v>18</v>
      </c>
      <c r="AP391" s="289" t="s">
        <v>377</v>
      </c>
      <c r="AQ391" s="292" t="s">
        <v>18</v>
      </c>
      <c r="AR391" s="292" t="s">
        <v>18</v>
      </c>
      <c r="AS391" s="288" t="s">
        <v>18</v>
      </c>
      <c r="AT391" s="292" t="s">
        <v>377</v>
      </c>
      <c r="AU391" s="292" t="s">
        <v>18</v>
      </c>
      <c r="AV391" s="288" t="s">
        <v>377</v>
      </c>
      <c r="AW391" s="292" t="s">
        <v>18</v>
      </c>
      <c r="AX391" s="292" t="s">
        <v>18</v>
      </c>
      <c r="AY391" s="288" t="s">
        <v>18</v>
      </c>
      <c r="AZ391" s="292" t="s">
        <v>18</v>
      </c>
      <c r="BA391" s="292" t="s">
        <v>18</v>
      </c>
      <c r="BB391" s="288" t="s">
        <v>377</v>
      </c>
      <c r="BC391" s="289" t="s">
        <v>377</v>
      </c>
      <c r="BD391" s="292"/>
    </row>
    <row r="392" ht="12.75" customHeight="1">
      <c r="A392" s="300">
        <v>44796.95953644676</v>
      </c>
      <c r="B392" s="297" t="s">
        <v>506</v>
      </c>
      <c r="C392" s="298" t="s">
        <v>567</v>
      </c>
      <c r="D392" s="298" t="s">
        <v>16</v>
      </c>
      <c r="E392" s="285" t="s">
        <v>476</v>
      </c>
      <c r="F392" s="292" t="s">
        <v>515</v>
      </c>
      <c r="G392" s="298" t="s">
        <v>21</v>
      </c>
      <c r="H392" s="298">
        <v>12.0</v>
      </c>
      <c r="I392" s="292" t="s">
        <v>497</v>
      </c>
      <c r="J392" s="292" t="s">
        <v>508</v>
      </c>
      <c r="K392" s="287" t="s">
        <v>508</v>
      </c>
      <c r="L392" s="292" t="s">
        <v>497</v>
      </c>
      <c r="M392" s="292" t="s">
        <v>586</v>
      </c>
      <c r="N392" s="292"/>
      <c r="O392" s="292"/>
      <c r="P392" s="292"/>
      <c r="Q392" s="292" t="s">
        <v>377</v>
      </c>
      <c r="R392" s="292" t="s">
        <v>18</v>
      </c>
      <c r="S392" s="288" t="s">
        <v>377</v>
      </c>
      <c r="T392" s="292" t="s">
        <v>18</v>
      </c>
      <c r="U392" s="299" t="s">
        <v>32</v>
      </c>
      <c r="V392" s="288" t="s">
        <v>377</v>
      </c>
      <c r="W392" s="292" t="s">
        <v>377</v>
      </c>
      <c r="X392" s="292" t="s">
        <v>377</v>
      </c>
      <c r="Y392" s="288" t="s">
        <v>377</v>
      </c>
      <c r="Z392" s="292" t="s">
        <v>377</v>
      </c>
      <c r="AA392" s="292" t="s">
        <v>18</v>
      </c>
      <c r="AB392" s="288" t="s">
        <v>377</v>
      </c>
      <c r="AC392" s="289" t="s">
        <v>377</v>
      </c>
      <c r="AD392" s="292" t="s">
        <v>377</v>
      </c>
      <c r="AE392" s="292" t="s">
        <v>18</v>
      </c>
      <c r="AF392" s="288" t="s">
        <v>377</v>
      </c>
      <c r="AG392" s="292" t="s">
        <v>377</v>
      </c>
      <c r="AH392" s="292" t="s">
        <v>18</v>
      </c>
      <c r="AI392" s="288" t="s">
        <v>377</v>
      </c>
      <c r="AJ392" s="292" t="s">
        <v>377</v>
      </c>
      <c r="AK392" s="292" t="s">
        <v>18</v>
      </c>
      <c r="AL392" s="288" t="s">
        <v>377</v>
      </c>
      <c r="AM392" s="292" t="s">
        <v>18</v>
      </c>
      <c r="AN392" s="292" t="s">
        <v>377</v>
      </c>
      <c r="AO392" s="288" t="s">
        <v>377</v>
      </c>
      <c r="AP392" s="289" t="s">
        <v>377</v>
      </c>
      <c r="AQ392" s="292" t="s">
        <v>18</v>
      </c>
      <c r="AR392" s="292" t="s">
        <v>377</v>
      </c>
      <c r="AS392" s="288" t="s">
        <v>377</v>
      </c>
      <c r="AT392" s="292" t="s">
        <v>18</v>
      </c>
      <c r="AU392" s="292" t="s">
        <v>377</v>
      </c>
      <c r="AV392" s="288" t="s">
        <v>377</v>
      </c>
      <c r="AW392" s="292" t="s">
        <v>18</v>
      </c>
      <c r="AX392" s="292" t="s">
        <v>377</v>
      </c>
      <c r="AY392" s="288" t="s">
        <v>377</v>
      </c>
      <c r="AZ392" s="292" t="s">
        <v>377</v>
      </c>
      <c r="BA392" s="292" t="s">
        <v>377</v>
      </c>
      <c r="BB392" s="295" t="s">
        <v>32</v>
      </c>
      <c r="BC392" s="289" t="s">
        <v>377</v>
      </c>
      <c r="BD392" s="292"/>
    </row>
    <row r="393" ht="12.75" customHeight="1">
      <c r="A393" s="300">
        <v>44796.961588715276</v>
      </c>
      <c r="B393" s="297" t="s">
        <v>506</v>
      </c>
      <c r="C393" s="298" t="s">
        <v>567</v>
      </c>
      <c r="D393" s="298" t="s">
        <v>16</v>
      </c>
      <c r="E393" s="285" t="s">
        <v>476</v>
      </c>
      <c r="F393" s="292" t="s">
        <v>516</v>
      </c>
      <c r="G393" s="298" t="s">
        <v>21</v>
      </c>
      <c r="H393" s="298">
        <v>14.0</v>
      </c>
      <c r="I393" s="292" t="s">
        <v>497</v>
      </c>
      <c r="J393" s="292" t="s">
        <v>508</v>
      </c>
      <c r="K393" s="287" t="s">
        <v>508</v>
      </c>
      <c r="L393" s="292" t="s">
        <v>497</v>
      </c>
      <c r="M393" s="292" t="s">
        <v>586</v>
      </c>
      <c r="N393" s="292"/>
      <c r="O393" s="292"/>
      <c r="P393" s="292"/>
      <c r="Q393" s="292" t="s">
        <v>377</v>
      </c>
      <c r="R393" s="292" t="s">
        <v>377</v>
      </c>
      <c r="S393" s="288" t="s">
        <v>377</v>
      </c>
      <c r="T393" s="292" t="s">
        <v>377</v>
      </c>
      <c r="U393" s="292" t="s">
        <v>377</v>
      </c>
      <c r="V393" s="288" t="s">
        <v>377</v>
      </c>
      <c r="W393" s="292" t="s">
        <v>377</v>
      </c>
      <c r="X393" s="292" t="s">
        <v>377</v>
      </c>
      <c r="Y393" s="288" t="s">
        <v>377</v>
      </c>
      <c r="Z393" s="292" t="s">
        <v>377</v>
      </c>
      <c r="AA393" s="292" t="s">
        <v>377</v>
      </c>
      <c r="AB393" s="288" t="s">
        <v>377</v>
      </c>
      <c r="AC393" s="289" t="s">
        <v>377</v>
      </c>
      <c r="AD393" s="292" t="s">
        <v>377</v>
      </c>
      <c r="AE393" s="292" t="s">
        <v>377</v>
      </c>
      <c r="AF393" s="288" t="s">
        <v>377</v>
      </c>
      <c r="AG393" s="292" t="s">
        <v>377</v>
      </c>
      <c r="AH393" s="292" t="s">
        <v>18</v>
      </c>
      <c r="AI393" s="288" t="s">
        <v>377</v>
      </c>
      <c r="AJ393" s="292" t="s">
        <v>377</v>
      </c>
      <c r="AK393" s="292" t="s">
        <v>377</v>
      </c>
      <c r="AL393" s="288" t="s">
        <v>377</v>
      </c>
      <c r="AM393" s="292" t="s">
        <v>377</v>
      </c>
      <c r="AN393" s="292" t="s">
        <v>377</v>
      </c>
      <c r="AO393" s="288" t="s">
        <v>377</v>
      </c>
      <c r="AP393" s="289" t="s">
        <v>377</v>
      </c>
      <c r="AQ393" s="292" t="s">
        <v>18</v>
      </c>
      <c r="AR393" s="292" t="s">
        <v>18</v>
      </c>
      <c r="AS393" s="288" t="s">
        <v>18</v>
      </c>
      <c r="AT393" s="292" t="s">
        <v>377</v>
      </c>
      <c r="AU393" s="292" t="s">
        <v>377</v>
      </c>
      <c r="AV393" s="288" t="s">
        <v>377</v>
      </c>
      <c r="AW393" s="292" t="s">
        <v>377</v>
      </c>
      <c r="AX393" s="292" t="s">
        <v>377</v>
      </c>
      <c r="AY393" s="288" t="s">
        <v>377</v>
      </c>
      <c r="AZ393" s="292" t="s">
        <v>18</v>
      </c>
      <c r="BA393" s="292" t="s">
        <v>377</v>
      </c>
      <c r="BB393" s="288" t="s">
        <v>18</v>
      </c>
      <c r="BC393" s="289" t="s">
        <v>18</v>
      </c>
      <c r="BD393" s="292"/>
    </row>
    <row r="394" ht="12.75" customHeight="1">
      <c r="A394" s="300">
        <v>44796.966009814816</v>
      </c>
      <c r="B394" s="297" t="s">
        <v>506</v>
      </c>
      <c r="C394" s="298" t="s">
        <v>567</v>
      </c>
      <c r="D394" s="298" t="s">
        <v>16</v>
      </c>
      <c r="E394" s="285" t="s">
        <v>476</v>
      </c>
      <c r="F394" s="292" t="s">
        <v>517</v>
      </c>
      <c r="G394" s="298" t="s">
        <v>21</v>
      </c>
      <c r="H394" s="298">
        <v>11.0</v>
      </c>
      <c r="I394" s="292" t="s">
        <v>497</v>
      </c>
      <c r="J394" s="292" t="s">
        <v>508</v>
      </c>
      <c r="K394" s="287" t="s">
        <v>508</v>
      </c>
      <c r="L394" s="292" t="s">
        <v>497</v>
      </c>
      <c r="M394" s="292" t="s">
        <v>586</v>
      </c>
      <c r="N394" s="292"/>
      <c r="O394" s="292"/>
      <c r="P394" s="292"/>
      <c r="Q394" s="292" t="s">
        <v>377</v>
      </c>
      <c r="R394" s="292" t="s">
        <v>377</v>
      </c>
      <c r="S394" s="288" t="s">
        <v>377</v>
      </c>
      <c r="T394" s="292" t="s">
        <v>377</v>
      </c>
      <c r="U394" s="292" t="s">
        <v>377</v>
      </c>
      <c r="V394" s="288" t="s">
        <v>377</v>
      </c>
      <c r="W394" s="292" t="s">
        <v>377</v>
      </c>
      <c r="X394" s="292" t="s">
        <v>377</v>
      </c>
      <c r="Y394" s="288" t="s">
        <v>377</v>
      </c>
      <c r="Z394" s="292" t="s">
        <v>377</v>
      </c>
      <c r="AA394" s="292" t="s">
        <v>377</v>
      </c>
      <c r="AB394" s="288" t="s">
        <v>377</v>
      </c>
      <c r="AC394" s="289" t="s">
        <v>377</v>
      </c>
      <c r="AD394" s="292" t="s">
        <v>377</v>
      </c>
      <c r="AE394" s="292" t="s">
        <v>377</v>
      </c>
      <c r="AF394" s="288" t="s">
        <v>377</v>
      </c>
      <c r="AG394" s="292" t="s">
        <v>18</v>
      </c>
      <c r="AH394" s="292" t="s">
        <v>377</v>
      </c>
      <c r="AI394" s="288" t="s">
        <v>377</v>
      </c>
      <c r="AJ394" s="292" t="s">
        <v>377</v>
      </c>
      <c r="AK394" s="292" t="s">
        <v>377</v>
      </c>
      <c r="AL394" s="288" t="s">
        <v>377</v>
      </c>
      <c r="AM394" s="292" t="s">
        <v>377</v>
      </c>
      <c r="AN394" s="292" t="s">
        <v>18</v>
      </c>
      <c r="AO394" s="288" t="s">
        <v>377</v>
      </c>
      <c r="AP394" s="289" t="s">
        <v>377</v>
      </c>
      <c r="AQ394" s="292" t="s">
        <v>377</v>
      </c>
      <c r="AR394" s="292" t="s">
        <v>18</v>
      </c>
      <c r="AS394" s="288" t="s">
        <v>377</v>
      </c>
      <c r="AT394" s="292" t="s">
        <v>377</v>
      </c>
      <c r="AU394" s="292" t="s">
        <v>377</v>
      </c>
      <c r="AV394" s="288" t="s">
        <v>377</v>
      </c>
      <c r="AW394" s="292" t="s">
        <v>18</v>
      </c>
      <c r="AX394" s="292" t="s">
        <v>377</v>
      </c>
      <c r="AY394" s="288" t="s">
        <v>377</v>
      </c>
      <c r="AZ394" s="292" t="s">
        <v>18</v>
      </c>
      <c r="BA394" s="292" t="s">
        <v>18</v>
      </c>
      <c r="BB394" s="288" t="s">
        <v>18</v>
      </c>
      <c r="BC394" s="289" t="s">
        <v>18</v>
      </c>
      <c r="BD394" s="292"/>
    </row>
    <row r="395" ht="12.75" customHeight="1">
      <c r="A395" s="300">
        <v>44796.97000381944</v>
      </c>
      <c r="B395" s="297" t="s">
        <v>506</v>
      </c>
      <c r="C395" s="298" t="s">
        <v>567</v>
      </c>
      <c r="D395" s="298" t="s">
        <v>16</v>
      </c>
      <c r="E395" s="285" t="s">
        <v>476</v>
      </c>
      <c r="F395" s="292" t="s">
        <v>518</v>
      </c>
      <c r="G395" s="298" t="s">
        <v>17</v>
      </c>
      <c r="H395" s="298">
        <v>13.0</v>
      </c>
      <c r="I395" s="292" t="s">
        <v>497</v>
      </c>
      <c r="J395" s="292" t="s">
        <v>508</v>
      </c>
      <c r="K395" s="287" t="s">
        <v>508</v>
      </c>
      <c r="L395" s="292" t="s">
        <v>497</v>
      </c>
      <c r="M395" s="292" t="s">
        <v>586</v>
      </c>
      <c r="N395" s="292"/>
      <c r="O395" s="292"/>
      <c r="P395" s="292"/>
      <c r="Q395" s="292" t="s">
        <v>377</v>
      </c>
      <c r="R395" s="292" t="s">
        <v>18</v>
      </c>
      <c r="S395" s="288" t="s">
        <v>377</v>
      </c>
      <c r="T395" s="292" t="s">
        <v>18</v>
      </c>
      <c r="U395" s="299" t="s">
        <v>32</v>
      </c>
      <c r="V395" s="288" t="s">
        <v>377</v>
      </c>
      <c r="W395" s="292" t="s">
        <v>18</v>
      </c>
      <c r="X395" s="292" t="s">
        <v>18</v>
      </c>
      <c r="Y395" s="288" t="s">
        <v>18</v>
      </c>
      <c r="Z395" s="292" t="s">
        <v>18</v>
      </c>
      <c r="AA395" s="292" t="s">
        <v>18</v>
      </c>
      <c r="AB395" s="288" t="s">
        <v>18</v>
      </c>
      <c r="AC395" s="289" t="s">
        <v>18</v>
      </c>
      <c r="AD395" s="292" t="s">
        <v>377</v>
      </c>
      <c r="AE395" s="292" t="s">
        <v>377</v>
      </c>
      <c r="AF395" s="288" t="s">
        <v>377</v>
      </c>
      <c r="AG395" s="292" t="s">
        <v>377</v>
      </c>
      <c r="AH395" s="292" t="s">
        <v>377</v>
      </c>
      <c r="AI395" s="288" t="s">
        <v>377</v>
      </c>
      <c r="AJ395" s="292" t="s">
        <v>377</v>
      </c>
      <c r="AK395" s="292" t="s">
        <v>18</v>
      </c>
      <c r="AL395" s="288" t="s">
        <v>377</v>
      </c>
      <c r="AM395" s="292" t="s">
        <v>18</v>
      </c>
      <c r="AN395" s="292" t="s">
        <v>18</v>
      </c>
      <c r="AO395" s="288" t="s">
        <v>18</v>
      </c>
      <c r="AP395" s="289" t="s">
        <v>377</v>
      </c>
      <c r="AQ395" s="292" t="s">
        <v>18</v>
      </c>
      <c r="AR395" s="292" t="s">
        <v>18</v>
      </c>
      <c r="AS395" s="288" t="s">
        <v>18</v>
      </c>
      <c r="AT395" s="292" t="s">
        <v>377</v>
      </c>
      <c r="AU395" s="292" t="s">
        <v>18</v>
      </c>
      <c r="AV395" s="288" t="s">
        <v>377</v>
      </c>
      <c r="AW395" s="292" t="s">
        <v>377</v>
      </c>
      <c r="AX395" s="292" t="s">
        <v>18</v>
      </c>
      <c r="AY395" s="288" t="s">
        <v>377</v>
      </c>
      <c r="AZ395" s="292" t="s">
        <v>18</v>
      </c>
      <c r="BA395" s="292" t="s">
        <v>18</v>
      </c>
      <c r="BB395" s="288" t="s">
        <v>18</v>
      </c>
      <c r="BC395" s="289" t="s">
        <v>18</v>
      </c>
      <c r="BD395" s="292"/>
    </row>
    <row r="396" ht="12.75" customHeight="1">
      <c r="A396" s="300">
        <v>44796.97173258102</v>
      </c>
      <c r="B396" s="297" t="s">
        <v>506</v>
      </c>
      <c r="C396" s="298" t="s">
        <v>567</v>
      </c>
      <c r="D396" s="298" t="s">
        <v>16</v>
      </c>
      <c r="E396" s="285" t="s">
        <v>476</v>
      </c>
      <c r="F396" s="292" t="s">
        <v>955</v>
      </c>
      <c r="G396" s="298" t="s">
        <v>17</v>
      </c>
      <c r="H396" s="298">
        <v>12.0</v>
      </c>
      <c r="I396" s="292" t="s">
        <v>497</v>
      </c>
      <c r="J396" s="292" t="s">
        <v>508</v>
      </c>
      <c r="K396" s="287" t="s">
        <v>508</v>
      </c>
      <c r="L396" s="292" t="s">
        <v>497</v>
      </c>
      <c r="M396" s="292" t="s">
        <v>586</v>
      </c>
      <c r="N396" s="292"/>
      <c r="O396" s="292"/>
      <c r="P396" s="292"/>
      <c r="Q396" s="292" t="s">
        <v>18</v>
      </c>
      <c r="R396" s="292" t="s">
        <v>18</v>
      </c>
      <c r="S396" s="288" t="s">
        <v>18</v>
      </c>
      <c r="T396" s="292" t="s">
        <v>18</v>
      </c>
      <c r="U396" s="292" t="s">
        <v>377</v>
      </c>
      <c r="V396" s="288" t="s">
        <v>377</v>
      </c>
      <c r="W396" s="292" t="s">
        <v>18</v>
      </c>
      <c r="X396" s="292" t="s">
        <v>377</v>
      </c>
      <c r="Y396" s="288" t="s">
        <v>377</v>
      </c>
      <c r="Z396" s="292" t="s">
        <v>18</v>
      </c>
      <c r="AA396" s="292" t="s">
        <v>377</v>
      </c>
      <c r="AB396" s="288" t="s">
        <v>377</v>
      </c>
      <c r="AC396" s="289" t="s">
        <v>18</v>
      </c>
      <c r="AD396" s="292" t="s">
        <v>377</v>
      </c>
      <c r="AE396" s="292" t="s">
        <v>18</v>
      </c>
      <c r="AF396" s="288" t="s">
        <v>377</v>
      </c>
      <c r="AG396" s="292" t="s">
        <v>377</v>
      </c>
      <c r="AH396" s="292" t="s">
        <v>377</v>
      </c>
      <c r="AI396" s="288" t="s">
        <v>377</v>
      </c>
      <c r="AJ396" s="292" t="s">
        <v>18</v>
      </c>
      <c r="AK396" s="292" t="s">
        <v>18</v>
      </c>
      <c r="AL396" s="288" t="s">
        <v>18</v>
      </c>
      <c r="AM396" s="292" t="s">
        <v>18</v>
      </c>
      <c r="AN396" s="292" t="s">
        <v>18</v>
      </c>
      <c r="AO396" s="288" t="s">
        <v>18</v>
      </c>
      <c r="AP396" s="289" t="s">
        <v>18</v>
      </c>
      <c r="AQ396" s="292" t="s">
        <v>18</v>
      </c>
      <c r="AR396" s="292" t="s">
        <v>377</v>
      </c>
      <c r="AS396" s="288" t="s">
        <v>377</v>
      </c>
      <c r="AT396" s="292" t="s">
        <v>18</v>
      </c>
      <c r="AU396" s="292" t="s">
        <v>18</v>
      </c>
      <c r="AV396" s="288" t="s">
        <v>18</v>
      </c>
      <c r="AW396" s="292" t="s">
        <v>18</v>
      </c>
      <c r="AX396" s="292" t="s">
        <v>18</v>
      </c>
      <c r="AY396" s="288" t="s">
        <v>18</v>
      </c>
      <c r="AZ396" s="292" t="s">
        <v>18</v>
      </c>
      <c r="BA396" s="292" t="s">
        <v>18</v>
      </c>
      <c r="BB396" s="288" t="s">
        <v>18</v>
      </c>
      <c r="BC396" s="289" t="s">
        <v>18</v>
      </c>
      <c r="BD396" s="292"/>
    </row>
    <row r="397" ht="12.75" customHeight="1">
      <c r="A397" s="293">
        <v>45258.54708675926</v>
      </c>
      <c r="B397" s="286" t="s">
        <v>519</v>
      </c>
      <c r="C397" s="287" t="s">
        <v>559</v>
      </c>
      <c r="D397" s="285" t="s">
        <v>16</v>
      </c>
      <c r="E397" s="285" t="s">
        <v>476</v>
      </c>
      <c r="F397" s="287" t="s">
        <v>956</v>
      </c>
      <c r="G397" s="285" t="s">
        <v>17</v>
      </c>
      <c r="H397" s="285">
        <v>12.0</v>
      </c>
      <c r="I397" s="287" t="s">
        <v>497</v>
      </c>
      <c r="J397" s="292"/>
      <c r="K397" s="287" t="s">
        <v>508</v>
      </c>
      <c r="L397" s="287" t="s">
        <v>497</v>
      </c>
      <c r="M397" s="292"/>
      <c r="N397" s="292"/>
      <c r="O397" s="292"/>
      <c r="P397" s="292"/>
      <c r="Q397" s="287" t="s">
        <v>377</v>
      </c>
      <c r="R397" s="287" t="s">
        <v>377</v>
      </c>
      <c r="S397" s="288" t="s">
        <v>377</v>
      </c>
      <c r="T397" s="287" t="s">
        <v>18</v>
      </c>
      <c r="U397" s="287" t="s">
        <v>18</v>
      </c>
      <c r="V397" s="288" t="s">
        <v>18</v>
      </c>
      <c r="W397" s="287" t="s">
        <v>377</v>
      </c>
      <c r="X397" s="287" t="s">
        <v>377</v>
      </c>
      <c r="Y397" s="288" t="s">
        <v>377</v>
      </c>
      <c r="Z397" s="294" t="s">
        <v>32</v>
      </c>
      <c r="AA397" s="287" t="s">
        <v>18</v>
      </c>
      <c r="AB397" s="288" t="s">
        <v>377</v>
      </c>
      <c r="AC397" s="289" t="s">
        <v>377</v>
      </c>
      <c r="AD397" s="287" t="s">
        <v>377</v>
      </c>
      <c r="AE397" s="287" t="s">
        <v>377</v>
      </c>
      <c r="AF397" s="288" t="s">
        <v>377</v>
      </c>
      <c r="AG397" s="294" t="s">
        <v>32</v>
      </c>
      <c r="AH397" s="287" t="s">
        <v>18</v>
      </c>
      <c r="AI397" s="288" t="s">
        <v>377</v>
      </c>
      <c r="AJ397" s="287" t="s">
        <v>18</v>
      </c>
      <c r="AK397" s="287" t="s">
        <v>18</v>
      </c>
      <c r="AL397" s="288" t="s">
        <v>18</v>
      </c>
      <c r="AM397" s="287" t="s">
        <v>18</v>
      </c>
      <c r="AN397" s="287" t="s">
        <v>18</v>
      </c>
      <c r="AO397" s="288" t="s">
        <v>18</v>
      </c>
      <c r="AP397" s="289" t="s">
        <v>377</v>
      </c>
      <c r="AQ397" s="287" t="s">
        <v>18</v>
      </c>
      <c r="AR397" s="287" t="s">
        <v>18</v>
      </c>
      <c r="AS397" s="288" t="s">
        <v>18</v>
      </c>
      <c r="AT397" s="287" t="s">
        <v>18</v>
      </c>
      <c r="AU397" s="287" t="s">
        <v>18</v>
      </c>
      <c r="AV397" s="288" t="s">
        <v>18</v>
      </c>
      <c r="AW397" s="287" t="s">
        <v>18</v>
      </c>
      <c r="AX397" s="287" t="s">
        <v>18</v>
      </c>
      <c r="AY397" s="288" t="s">
        <v>18</v>
      </c>
      <c r="AZ397" s="287" t="s">
        <v>18</v>
      </c>
      <c r="BA397" s="287" t="s">
        <v>18</v>
      </c>
      <c r="BB397" s="288" t="s">
        <v>377</v>
      </c>
      <c r="BC397" s="296" t="s">
        <v>32</v>
      </c>
      <c r="BD397" s="287"/>
    </row>
    <row r="398" ht="12.75" customHeight="1">
      <c r="A398" s="293">
        <v>45258.58934486111</v>
      </c>
      <c r="B398" s="286" t="s">
        <v>519</v>
      </c>
      <c r="C398" s="287" t="s">
        <v>559</v>
      </c>
      <c r="D398" s="285" t="s">
        <v>16</v>
      </c>
      <c r="E398" s="285" t="s">
        <v>476</v>
      </c>
      <c r="F398" s="287" t="s">
        <v>957</v>
      </c>
      <c r="G398" s="285" t="s">
        <v>17</v>
      </c>
      <c r="H398" s="285">
        <v>12.0</v>
      </c>
      <c r="I398" s="287" t="s">
        <v>497</v>
      </c>
      <c r="J398" s="292"/>
      <c r="K398" s="287" t="s">
        <v>508</v>
      </c>
      <c r="L398" s="287" t="s">
        <v>497</v>
      </c>
      <c r="M398" s="292"/>
      <c r="N398" s="292"/>
      <c r="O398" s="292"/>
      <c r="P398" s="292"/>
      <c r="Q398" s="287" t="s">
        <v>18</v>
      </c>
      <c r="R398" s="287" t="s">
        <v>18</v>
      </c>
      <c r="S398" s="288" t="s">
        <v>18</v>
      </c>
      <c r="T398" s="287" t="s">
        <v>18</v>
      </c>
      <c r="U398" s="287" t="s">
        <v>18</v>
      </c>
      <c r="V398" s="288" t="s">
        <v>18</v>
      </c>
      <c r="W398" s="287" t="s">
        <v>18</v>
      </c>
      <c r="X398" s="287" t="s">
        <v>18</v>
      </c>
      <c r="Y398" s="288" t="s">
        <v>18</v>
      </c>
      <c r="Z398" s="287" t="s">
        <v>18</v>
      </c>
      <c r="AA398" s="287" t="s">
        <v>18</v>
      </c>
      <c r="AB398" s="288" t="s">
        <v>18</v>
      </c>
      <c r="AC398" s="289" t="s">
        <v>18</v>
      </c>
      <c r="AD398" s="287" t="s">
        <v>18</v>
      </c>
      <c r="AE398" s="287" t="s">
        <v>18</v>
      </c>
      <c r="AF398" s="288" t="s">
        <v>18</v>
      </c>
      <c r="AG398" s="287" t="s">
        <v>18</v>
      </c>
      <c r="AH398" s="287" t="s">
        <v>18</v>
      </c>
      <c r="AI398" s="288" t="s">
        <v>18</v>
      </c>
      <c r="AJ398" s="287" t="s">
        <v>18</v>
      </c>
      <c r="AK398" s="287" t="s">
        <v>18</v>
      </c>
      <c r="AL398" s="288" t="s">
        <v>18</v>
      </c>
      <c r="AM398" s="287" t="s">
        <v>18</v>
      </c>
      <c r="AN398" s="287" t="s">
        <v>18</v>
      </c>
      <c r="AO398" s="288" t="s">
        <v>18</v>
      </c>
      <c r="AP398" s="289" t="s">
        <v>18</v>
      </c>
      <c r="AQ398" s="287" t="s">
        <v>18</v>
      </c>
      <c r="AR398" s="287" t="s">
        <v>18</v>
      </c>
      <c r="AS398" s="288" t="s">
        <v>18</v>
      </c>
      <c r="AT398" s="287" t="s">
        <v>18</v>
      </c>
      <c r="AU398" s="287" t="s">
        <v>18</v>
      </c>
      <c r="AV398" s="288" t="s">
        <v>18</v>
      </c>
      <c r="AW398" s="287" t="s">
        <v>18</v>
      </c>
      <c r="AX398" s="287" t="s">
        <v>18</v>
      </c>
      <c r="AY398" s="288" t="s">
        <v>18</v>
      </c>
      <c r="AZ398" s="287" t="s">
        <v>18</v>
      </c>
      <c r="BA398" s="287" t="s">
        <v>18</v>
      </c>
      <c r="BB398" s="295" t="s">
        <v>32</v>
      </c>
      <c r="BC398" s="296" t="s">
        <v>32</v>
      </c>
      <c r="BD398" s="287"/>
    </row>
    <row r="399" ht="12.75" customHeight="1">
      <c r="A399" s="293">
        <v>45258.59653376158</v>
      </c>
      <c r="B399" s="286" t="s">
        <v>519</v>
      </c>
      <c r="C399" s="287" t="s">
        <v>559</v>
      </c>
      <c r="D399" s="285" t="s">
        <v>16</v>
      </c>
      <c r="E399" s="285" t="s">
        <v>476</v>
      </c>
      <c r="F399" s="287" t="s">
        <v>958</v>
      </c>
      <c r="G399" s="285" t="s">
        <v>21</v>
      </c>
      <c r="H399" s="285">
        <v>12.0</v>
      </c>
      <c r="I399" s="287" t="s">
        <v>497</v>
      </c>
      <c r="J399" s="292"/>
      <c r="K399" s="287" t="s">
        <v>508</v>
      </c>
      <c r="L399" s="287" t="s">
        <v>497</v>
      </c>
      <c r="M399" s="292"/>
      <c r="N399" s="292"/>
      <c r="O399" s="292"/>
      <c r="P399" s="292"/>
      <c r="Q399" s="287" t="s">
        <v>377</v>
      </c>
      <c r="R399" s="287" t="s">
        <v>377</v>
      </c>
      <c r="S399" s="288" t="s">
        <v>377</v>
      </c>
      <c r="T399" s="287" t="s">
        <v>377</v>
      </c>
      <c r="U399" s="287" t="s">
        <v>377</v>
      </c>
      <c r="V399" s="288" t="s">
        <v>377</v>
      </c>
      <c r="W399" s="287" t="s">
        <v>377</v>
      </c>
      <c r="X399" s="287" t="s">
        <v>377</v>
      </c>
      <c r="Y399" s="288" t="s">
        <v>377</v>
      </c>
      <c r="Z399" s="287" t="s">
        <v>377</v>
      </c>
      <c r="AA399" s="287" t="s">
        <v>377</v>
      </c>
      <c r="AB399" s="288" t="s">
        <v>377</v>
      </c>
      <c r="AC399" s="289" t="s">
        <v>377</v>
      </c>
      <c r="AD399" s="287" t="s">
        <v>18</v>
      </c>
      <c r="AE399" s="287" t="s">
        <v>377</v>
      </c>
      <c r="AF399" s="288" t="s">
        <v>377</v>
      </c>
      <c r="AG399" s="287" t="s">
        <v>18</v>
      </c>
      <c r="AH399" s="287" t="s">
        <v>18</v>
      </c>
      <c r="AI399" s="288" t="s">
        <v>18</v>
      </c>
      <c r="AJ399" s="287" t="s">
        <v>18</v>
      </c>
      <c r="AK399" s="287" t="s">
        <v>18</v>
      </c>
      <c r="AL399" s="288" t="s">
        <v>18</v>
      </c>
      <c r="AM399" s="287" t="s">
        <v>18</v>
      </c>
      <c r="AN399" s="287" t="s">
        <v>18</v>
      </c>
      <c r="AO399" s="288" t="s">
        <v>18</v>
      </c>
      <c r="AP399" s="289" t="s">
        <v>18</v>
      </c>
      <c r="AQ399" s="287" t="s">
        <v>18</v>
      </c>
      <c r="AR399" s="287" t="s">
        <v>18</v>
      </c>
      <c r="AS399" s="288" t="s">
        <v>18</v>
      </c>
      <c r="AT399" s="287" t="s">
        <v>18</v>
      </c>
      <c r="AU399" s="287" t="s">
        <v>18</v>
      </c>
      <c r="AV399" s="288" t="s">
        <v>18</v>
      </c>
      <c r="AW399" s="287" t="s">
        <v>18</v>
      </c>
      <c r="AX399" s="287" t="s">
        <v>18</v>
      </c>
      <c r="AY399" s="288" t="s">
        <v>18</v>
      </c>
      <c r="AZ399" s="287" t="s">
        <v>18</v>
      </c>
      <c r="BA399" s="287" t="s">
        <v>18</v>
      </c>
      <c r="BB399" s="295" t="s">
        <v>32</v>
      </c>
      <c r="BC399" s="296" t="s">
        <v>32</v>
      </c>
      <c r="BD399" s="287"/>
    </row>
    <row r="400" ht="12.75" customHeight="1">
      <c r="A400" s="293">
        <v>45258.59910543982</v>
      </c>
      <c r="B400" s="286" t="s">
        <v>519</v>
      </c>
      <c r="C400" s="287" t="s">
        <v>559</v>
      </c>
      <c r="D400" s="285" t="s">
        <v>16</v>
      </c>
      <c r="E400" s="285" t="s">
        <v>476</v>
      </c>
      <c r="F400" s="287" t="s">
        <v>959</v>
      </c>
      <c r="G400" s="285" t="s">
        <v>21</v>
      </c>
      <c r="H400" s="285">
        <v>12.0</v>
      </c>
      <c r="I400" s="287" t="s">
        <v>497</v>
      </c>
      <c r="J400" s="292"/>
      <c r="K400" s="287" t="s">
        <v>508</v>
      </c>
      <c r="L400" s="287" t="s">
        <v>497</v>
      </c>
      <c r="M400" s="292"/>
      <c r="N400" s="292"/>
      <c r="O400" s="292"/>
      <c r="P400" s="292"/>
      <c r="Q400" s="287" t="s">
        <v>377</v>
      </c>
      <c r="R400" s="287" t="s">
        <v>377</v>
      </c>
      <c r="S400" s="288" t="s">
        <v>377</v>
      </c>
      <c r="T400" s="287" t="s">
        <v>18</v>
      </c>
      <c r="U400" s="287" t="s">
        <v>377</v>
      </c>
      <c r="V400" s="288" t="s">
        <v>377</v>
      </c>
      <c r="W400" s="287" t="s">
        <v>377</v>
      </c>
      <c r="X400" s="287" t="s">
        <v>18</v>
      </c>
      <c r="Y400" s="288" t="s">
        <v>377</v>
      </c>
      <c r="Z400" s="287" t="s">
        <v>18</v>
      </c>
      <c r="AA400" s="287" t="s">
        <v>18</v>
      </c>
      <c r="AB400" s="288" t="s">
        <v>18</v>
      </c>
      <c r="AC400" s="289" t="s">
        <v>377</v>
      </c>
      <c r="AD400" s="287" t="s">
        <v>377</v>
      </c>
      <c r="AE400" s="287" t="s">
        <v>377</v>
      </c>
      <c r="AF400" s="288" t="s">
        <v>377</v>
      </c>
      <c r="AG400" s="287" t="s">
        <v>377</v>
      </c>
      <c r="AH400" s="287" t="s">
        <v>18</v>
      </c>
      <c r="AI400" s="288" t="s">
        <v>377</v>
      </c>
      <c r="AJ400" s="287" t="s">
        <v>18</v>
      </c>
      <c r="AK400" s="287" t="s">
        <v>18</v>
      </c>
      <c r="AL400" s="288" t="s">
        <v>18</v>
      </c>
      <c r="AM400" s="287" t="s">
        <v>18</v>
      </c>
      <c r="AN400" s="287" t="s">
        <v>18</v>
      </c>
      <c r="AO400" s="288" t="s">
        <v>18</v>
      </c>
      <c r="AP400" s="289" t="s">
        <v>18</v>
      </c>
      <c r="AQ400" s="287" t="s">
        <v>18</v>
      </c>
      <c r="AR400" s="287" t="s">
        <v>18</v>
      </c>
      <c r="AS400" s="288" t="s">
        <v>18</v>
      </c>
      <c r="AT400" s="287" t="s">
        <v>18</v>
      </c>
      <c r="AU400" s="287" t="s">
        <v>18</v>
      </c>
      <c r="AV400" s="288" t="s">
        <v>18</v>
      </c>
      <c r="AW400" s="287" t="s">
        <v>18</v>
      </c>
      <c r="AX400" s="287" t="s">
        <v>18</v>
      </c>
      <c r="AY400" s="288" t="s">
        <v>18</v>
      </c>
      <c r="AZ400" s="287" t="s">
        <v>18</v>
      </c>
      <c r="BA400" s="287" t="s">
        <v>18</v>
      </c>
      <c r="BB400" s="295" t="s">
        <v>32</v>
      </c>
      <c r="BC400" s="296" t="s">
        <v>32</v>
      </c>
      <c r="BD400" s="287"/>
    </row>
    <row r="401" ht="12.75" customHeight="1">
      <c r="A401" s="293">
        <v>45258.60276243056</v>
      </c>
      <c r="B401" s="286" t="s">
        <v>519</v>
      </c>
      <c r="C401" s="287" t="s">
        <v>559</v>
      </c>
      <c r="D401" s="285" t="s">
        <v>16</v>
      </c>
      <c r="E401" s="285" t="s">
        <v>476</v>
      </c>
      <c r="F401" s="287" t="s">
        <v>960</v>
      </c>
      <c r="G401" s="285" t="s">
        <v>17</v>
      </c>
      <c r="H401" s="285">
        <v>12.0</v>
      </c>
      <c r="I401" s="287" t="s">
        <v>497</v>
      </c>
      <c r="J401" s="292"/>
      <c r="K401" s="287" t="s">
        <v>508</v>
      </c>
      <c r="L401" s="287" t="s">
        <v>497</v>
      </c>
      <c r="M401" s="292"/>
      <c r="N401" s="292"/>
      <c r="O401" s="292"/>
      <c r="P401" s="292"/>
      <c r="Q401" s="294" t="s">
        <v>32</v>
      </c>
      <c r="R401" s="294" t="s">
        <v>32</v>
      </c>
      <c r="S401" s="295" t="s">
        <v>32</v>
      </c>
      <c r="T401" s="287" t="s">
        <v>377</v>
      </c>
      <c r="U401" s="294" t="s">
        <v>32</v>
      </c>
      <c r="V401" s="295" t="s">
        <v>32</v>
      </c>
      <c r="W401" s="287" t="s">
        <v>377</v>
      </c>
      <c r="X401" s="287" t="s">
        <v>18</v>
      </c>
      <c r="Y401" s="288" t="s">
        <v>377</v>
      </c>
      <c r="Z401" s="287" t="s">
        <v>18</v>
      </c>
      <c r="AA401" s="287" t="s">
        <v>18</v>
      </c>
      <c r="AB401" s="288" t="s">
        <v>18</v>
      </c>
      <c r="AC401" s="289" t="s">
        <v>377</v>
      </c>
      <c r="AD401" s="287" t="s">
        <v>18</v>
      </c>
      <c r="AE401" s="287" t="s">
        <v>18</v>
      </c>
      <c r="AF401" s="288" t="s">
        <v>18</v>
      </c>
      <c r="AG401" s="287" t="s">
        <v>18</v>
      </c>
      <c r="AH401" s="287" t="s">
        <v>18</v>
      </c>
      <c r="AI401" s="288" t="s">
        <v>18</v>
      </c>
      <c r="AJ401" s="287" t="s">
        <v>18</v>
      </c>
      <c r="AK401" s="287" t="s">
        <v>18</v>
      </c>
      <c r="AL401" s="288" t="s">
        <v>18</v>
      </c>
      <c r="AM401" s="287" t="s">
        <v>18</v>
      </c>
      <c r="AN401" s="287" t="s">
        <v>18</v>
      </c>
      <c r="AO401" s="288" t="s">
        <v>18</v>
      </c>
      <c r="AP401" s="289" t="s">
        <v>18</v>
      </c>
      <c r="AQ401" s="287" t="s">
        <v>18</v>
      </c>
      <c r="AR401" s="287" t="s">
        <v>18</v>
      </c>
      <c r="AS401" s="288" t="s">
        <v>18</v>
      </c>
      <c r="AT401" s="287" t="s">
        <v>18</v>
      </c>
      <c r="AU401" s="287" t="s">
        <v>18</v>
      </c>
      <c r="AV401" s="288" t="s">
        <v>18</v>
      </c>
      <c r="AW401" s="287" t="s">
        <v>18</v>
      </c>
      <c r="AX401" s="287" t="s">
        <v>18</v>
      </c>
      <c r="AY401" s="288" t="s">
        <v>18</v>
      </c>
      <c r="AZ401" s="287" t="s">
        <v>18</v>
      </c>
      <c r="BA401" s="287" t="s">
        <v>18</v>
      </c>
      <c r="BB401" s="295" t="s">
        <v>32</v>
      </c>
      <c r="BC401" s="296" t="s">
        <v>32</v>
      </c>
      <c r="BD401" s="287"/>
    </row>
    <row r="402" ht="12.75" customHeight="1">
      <c r="A402" s="293">
        <v>45258.60501825232</v>
      </c>
      <c r="B402" s="286" t="s">
        <v>519</v>
      </c>
      <c r="C402" s="287" t="s">
        <v>559</v>
      </c>
      <c r="D402" s="285" t="s">
        <v>16</v>
      </c>
      <c r="E402" s="285" t="s">
        <v>476</v>
      </c>
      <c r="F402" s="287" t="s">
        <v>961</v>
      </c>
      <c r="G402" s="285" t="s">
        <v>17</v>
      </c>
      <c r="H402" s="285">
        <v>13.0</v>
      </c>
      <c r="I402" s="287" t="s">
        <v>497</v>
      </c>
      <c r="J402" s="292"/>
      <c r="K402" s="287" t="s">
        <v>508</v>
      </c>
      <c r="L402" s="287" t="s">
        <v>497</v>
      </c>
      <c r="M402" s="292"/>
      <c r="N402" s="292"/>
      <c r="O402" s="292"/>
      <c r="P402" s="292"/>
      <c r="Q402" s="294" t="s">
        <v>32</v>
      </c>
      <c r="R402" s="294" t="s">
        <v>32</v>
      </c>
      <c r="S402" s="295" t="s">
        <v>32</v>
      </c>
      <c r="T402" s="287" t="s">
        <v>18</v>
      </c>
      <c r="U402" s="287" t="s">
        <v>18</v>
      </c>
      <c r="V402" s="288" t="s">
        <v>18</v>
      </c>
      <c r="W402" s="287" t="s">
        <v>18</v>
      </c>
      <c r="X402" s="287" t="s">
        <v>18</v>
      </c>
      <c r="Y402" s="288" t="s">
        <v>18</v>
      </c>
      <c r="Z402" s="287" t="s">
        <v>18</v>
      </c>
      <c r="AA402" s="287" t="s">
        <v>18</v>
      </c>
      <c r="AB402" s="288" t="s">
        <v>18</v>
      </c>
      <c r="AC402" s="289" t="s">
        <v>377</v>
      </c>
      <c r="AD402" s="287" t="s">
        <v>18</v>
      </c>
      <c r="AE402" s="287" t="s">
        <v>18</v>
      </c>
      <c r="AF402" s="288" t="s">
        <v>18</v>
      </c>
      <c r="AG402" s="287" t="s">
        <v>18</v>
      </c>
      <c r="AH402" s="287" t="s">
        <v>18</v>
      </c>
      <c r="AI402" s="288" t="s">
        <v>18</v>
      </c>
      <c r="AJ402" s="287" t="s">
        <v>18</v>
      </c>
      <c r="AK402" s="287" t="s">
        <v>18</v>
      </c>
      <c r="AL402" s="288" t="s">
        <v>18</v>
      </c>
      <c r="AM402" s="287" t="s">
        <v>18</v>
      </c>
      <c r="AN402" s="287" t="s">
        <v>18</v>
      </c>
      <c r="AO402" s="288" t="s">
        <v>18</v>
      </c>
      <c r="AP402" s="289" t="s">
        <v>18</v>
      </c>
      <c r="AQ402" s="294" t="s">
        <v>32</v>
      </c>
      <c r="AR402" s="287" t="s">
        <v>377</v>
      </c>
      <c r="AS402" s="295" t="s">
        <v>32</v>
      </c>
      <c r="AT402" s="287" t="s">
        <v>18</v>
      </c>
      <c r="AU402" s="287" t="s">
        <v>18</v>
      </c>
      <c r="AV402" s="288" t="s">
        <v>18</v>
      </c>
      <c r="AW402" s="287" t="s">
        <v>18</v>
      </c>
      <c r="AX402" s="287" t="s">
        <v>18</v>
      </c>
      <c r="AY402" s="288" t="s">
        <v>18</v>
      </c>
      <c r="AZ402" s="287" t="s">
        <v>18</v>
      </c>
      <c r="BA402" s="287" t="s">
        <v>18</v>
      </c>
      <c r="BB402" s="295" t="s">
        <v>32</v>
      </c>
      <c r="BC402" s="289" t="s">
        <v>377</v>
      </c>
      <c r="BD402" s="287"/>
    </row>
    <row r="403" ht="12.75" customHeight="1">
      <c r="A403" s="293">
        <v>45258.60772976852</v>
      </c>
      <c r="B403" s="286" t="s">
        <v>519</v>
      </c>
      <c r="C403" s="287" t="s">
        <v>559</v>
      </c>
      <c r="D403" s="285" t="s">
        <v>16</v>
      </c>
      <c r="E403" s="285" t="s">
        <v>476</v>
      </c>
      <c r="F403" s="287" t="s">
        <v>962</v>
      </c>
      <c r="G403" s="285" t="s">
        <v>21</v>
      </c>
      <c r="H403" s="285">
        <v>12.0</v>
      </c>
      <c r="I403" s="287" t="s">
        <v>497</v>
      </c>
      <c r="J403" s="292"/>
      <c r="K403" s="287" t="s">
        <v>508</v>
      </c>
      <c r="L403" s="287" t="s">
        <v>497</v>
      </c>
      <c r="M403" s="292"/>
      <c r="N403" s="292"/>
      <c r="O403" s="292"/>
      <c r="P403" s="292"/>
      <c r="Q403" s="294" t="s">
        <v>32</v>
      </c>
      <c r="R403" s="287" t="s">
        <v>18</v>
      </c>
      <c r="S403" s="288" t="s">
        <v>377</v>
      </c>
      <c r="T403" s="287" t="s">
        <v>18</v>
      </c>
      <c r="U403" s="287" t="s">
        <v>18</v>
      </c>
      <c r="V403" s="288" t="s">
        <v>18</v>
      </c>
      <c r="W403" s="287" t="s">
        <v>18</v>
      </c>
      <c r="X403" s="287" t="s">
        <v>18</v>
      </c>
      <c r="Y403" s="288" t="s">
        <v>18</v>
      </c>
      <c r="Z403" s="287" t="s">
        <v>18</v>
      </c>
      <c r="AA403" s="287" t="s">
        <v>18</v>
      </c>
      <c r="AB403" s="288" t="s">
        <v>18</v>
      </c>
      <c r="AC403" s="289" t="s">
        <v>18</v>
      </c>
      <c r="AD403" s="287" t="s">
        <v>18</v>
      </c>
      <c r="AE403" s="287" t="s">
        <v>18</v>
      </c>
      <c r="AF403" s="288" t="s">
        <v>18</v>
      </c>
      <c r="AG403" s="287" t="s">
        <v>18</v>
      </c>
      <c r="AH403" s="287" t="s">
        <v>18</v>
      </c>
      <c r="AI403" s="288" t="s">
        <v>18</v>
      </c>
      <c r="AJ403" s="287" t="s">
        <v>18</v>
      </c>
      <c r="AK403" s="287" t="s">
        <v>18</v>
      </c>
      <c r="AL403" s="288" t="s">
        <v>18</v>
      </c>
      <c r="AM403" s="287" t="s">
        <v>18</v>
      </c>
      <c r="AN403" s="287" t="s">
        <v>18</v>
      </c>
      <c r="AO403" s="288" t="s">
        <v>18</v>
      </c>
      <c r="AP403" s="289" t="s">
        <v>18</v>
      </c>
      <c r="AQ403" s="287" t="s">
        <v>18</v>
      </c>
      <c r="AR403" s="287" t="s">
        <v>18</v>
      </c>
      <c r="AS403" s="288" t="s">
        <v>18</v>
      </c>
      <c r="AT403" s="287" t="s">
        <v>18</v>
      </c>
      <c r="AU403" s="287" t="s">
        <v>18</v>
      </c>
      <c r="AV403" s="288" t="s">
        <v>18</v>
      </c>
      <c r="AW403" s="287" t="s">
        <v>18</v>
      </c>
      <c r="AX403" s="287" t="s">
        <v>18</v>
      </c>
      <c r="AY403" s="288" t="s">
        <v>18</v>
      </c>
      <c r="AZ403" s="287" t="s">
        <v>18</v>
      </c>
      <c r="BA403" s="287" t="s">
        <v>18</v>
      </c>
      <c r="BB403" s="295" t="s">
        <v>32</v>
      </c>
      <c r="BC403" s="296" t="s">
        <v>32</v>
      </c>
      <c r="BD403" s="287"/>
    </row>
    <row r="404" ht="12.75" customHeight="1">
      <c r="A404" s="293">
        <v>45258.61027496528</v>
      </c>
      <c r="B404" s="286" t="s">
        <v>519</v>
      </c>
      <c r="C404" s="287" t="s">
        <v>559</v>
      </c>
      <c r="D404" s="285" t="s">
        <v>16</v>
      </c>
      <c r="E404" s="285" t="s">
        <v>476</v>
      </c>
      <c r="F404" s="287" t="s">
        <v>963</v>
      </c>
      <c r="G404" s="285" t="s">
        <v>21</v>
      </c>
      <c r="H404" s="285">
        <v>13.0</v>
      </c>
      <c r="I404" s="287" t="s">
        <v>497</v>
      </c>
      <c r="J404" s="292"/>
      <c r="K404" s="287" t="s">
        <v>508</v>
      </c>
      <c r="L404" s="287" t="s">
        <v>497</v>
      </c>
      <c r="M404" s="292"/>
      <c r="N404" s="292"/>
      <c r="O404" s="292"/>
      <c r="P404" s="292"/>
      <c r="Q404" s="294" t="s">
        <v>32</v>
      </c>
      <c r="R404" s="287" t="s">
        <v>377</v>
      </c>
      <c r="S404" s="295" t="s">
        <v>32</v>
      </c>
      <c r="T404" s="287" t="s">
        <v>18</v>
      </c>
      <c r="U404" s="287" t="s">
        <v>18</v>
      </c>
      <c r="V404" s="288" t="s">
        <v>18</v>
      </c>
      <c r="W404" s="287" t="s">
        <v>18</v>
      </c>
      <c r="X404" s="287" t="s">
        <v>18</v>
      </c>
      <c r="Y404" s="288" t="s">
        <v>18</v>
      </c>
      <c r="Z404" s="287" t="s">
        <v>18</v>
      </c>
      <c r="AA404" s="287" t="s">
        <v>18</v>
      </c>
      <c r="AB404" s="288" t="s">
        <v>18</v>
      </c>
      <c r="AC404" s="289" t="s">
        <v>18</v>
      </c>
      <c r="AD404" s="287" t="s">
        <v>377</v>
      </c>
      <c r="AE404" s="287" t="s">
        <v>377</v>
      </c>
      <c r="AF404" s="288" t="s">
        <v>377</v>
      </c>
      <c r="AG404" s="287" t="s">
        <v>377</v>
      </c>
      <c r="AH404" s="287" t="s">
        <v>377</v>
      </c>
      <c r="AI404" s="288" t="s">
        <v>377</v>
      </c>
      <c r="AJ404" s="287" t="s">
        <v>377</v>
      </c>
      <c r="AK404" s="287" t="s">
        <v>377</v>
      </c>
      <c r="AL404" s="288" t="s">
        <v>377</v>
      </c>
      <c r="AM404" s="287" t="s">
        <v>377</v>
      </c>
      <c r="AN404" s="287" t="s">
        <v>377</v>
      </c>
      <c r="AO404" s="288" t="s">
        <v>377</v>
      </c>
      <c r="AP404" s="289" t="s">
        <v>377</v>
      </c>
      <c r="AQ404" s="287" t="s">
        <v>377</v>
      </c>
      <c r="AR404" s="287" t="s">
        <v>377</v>
      </c>
      <c r="AS404" s="288" t="s">
        <v>377</v>
      </c>
      <c r="AT404" s="287" t="s">
        <v>377</v>
      </c>
      <c r="AU404" s="287" t="s">
        <v>377</v>
      </c>
      <c r="AV404" s="288" t="s">
        <v>377</v>
      </c>
      <c r="AW404" s="287" t="s">
        <v>377</v>
      </c>
      <c r="AX404" s="287" t="s">
        <v>377</v>
      </c>
      <c r="AY404" s="288" t="s">
        <v>377</v>
      </c>
      <c r="AZ404" s="287" t="s">
        <v>377</v>
      </c>
      <c r="BA404" s="287" t="s">
        <v>377</v>
      </c>
      <c r="BB404" s="295" t="s">
        <v>32</v>
      </c>
      <c r="BC404" s="296" t="s">
        <v>32</v>
      </c>
      <c r="BD404" s="287"/>
    </row>
    <row r="405" ht="12.75" customHeight="1">
      <c r="A405" s="293">
        <v>45258.6130140625</v>
      </c>
      <c r="B405" s="286" t="s">
        <v>519</v>
      </c>
      <c r="C405" s="287" t="s">
        <v>559</v>
      </c>
      <c r="D405" s="285" t="s">
        <v>16</v>
      </c>
      <c r="E405" s="285" t="s">
        <v>476</v>
      </c>
      <c r="F405" s="287" t="s">
        <v>964</v>
      </c>
      <c r="G405" s="285" t="s">
        <v>21</v>
      </c>
      <c r="H405" s="285">
        <v>14.0</v>
      </c>
      <c r="I405" s="287" t="s">
        <v>497</v>
      </c>
      <c r="J405" s="292"/>
      <c r="K405" s="287" t="s">
        <v>508</v>
      </c>
      <c r="L405" s="287" t="s">
        <v>497</v>
      </c>
      <c r="M405" s="292"/>
      <c r="N405" s="292"/>
      <c r="O405" s="292"/>
      <c r="P405" s="292"/>
      <c r="Q405" s="287" t="s">
        <v>18</v>
      </c>
      <c r="R405" s="287" t="s">
        <v>18</v>
      </c>
      <c r="S405" s="288" t="s">
        <v>18</v>
      </c>
      <c r="T405" s="287" t="s">
        <v>18</v>
      </c>
      <c r="U405" s="287" t="s">
        <v>18</v>
      </c>
      <c r="V405" s="288" t="s">
        <v>18</v>
      </c>
      <c r="W405" s="287" t="s">
        <v>18</v>
      </c>
      <c r="X405" s="287" t="s">
        <v>18</v>
      </c>
      <c r="Y405" s="288" t="s">
        <v>18</v>
      </c>
      <c r="Z405" s="287" t="s">
        <v>18</v>
      </c>
      <c r="AA405" s="287" t="s">
        <v>18</v>
      </c>
      <c r="AB405" s="288" t="s">
        <v>18</v>
      </c>
      <c r="AC405" s="289" t="s">
        <v>18</v>
      </c>
      <c r="AD405" s="287" t="s">
        <v>18</v>
      </c>
      <c r="AE405" s="287" t="s">
        <v>18</v>
      </c>
      <c r="AF405" s="288" t="s">
        <v>18</v>
      </c>
      <c r="AG405" s="287" t="s">
        <v>18</v>
      </c>
      <c r="AH405" s="287" t="s">
        <v>18</v>
      </c>
      <c r="AI405" s="288" t="s">
        <v>18</v>
      </c>
      <c r="AJ405" s="287" t="s">
        <v>18</v>
      </c>
      <c r="AK405" s="287" t="s">
        <v>18</v>
      </c>
      <c r="AL405" s="288" t="s">
        <v>18</v>
      </c>
      <c r="AM405" s="287" t="s">
        <v>18</v>
      </c>
      <c r="AN405" s="287" t="s">
        <v>18</v>
      </c>
      <c r="AO405" s="288" t="s">
        <v>18</v>
      </c>
      <c r="AP405" s="289" t="s">
        <v>18</v>
      </c>
      <c r="AQ405" s="287" t="s">
        <v>18</v>
      </c>
      <c r="AR405" s="287" t="s">
        <v>18</v>
      </c>
      <c r="AS405" s="288" t="s">
        <v>18</v>
      </c>
      <c r="AT405" s="287" t="s">
        <v>18</v>
      </c>
      <c r="AU405" s="287" t="s">
        <v>18</v>
      </c>
      <c r="AV405" s="288" t="s">
        <v>18</v>
      </c>
      <c r="AW405" s="287" t="s">
        <v>18</v>
      </c>
      <c r="AX405" s="287" t="s">
        <v>18</v>
      </c>
      <c r="AY405" s="288" t="s">
        <v>18</v>
      </c>
      <c r="AZ405" s="287" t="s">
        <v>18</v>
      </c>
      <c r="BA405" s="287" t="s">
        <v>18</v>
      </c>
      <c r="BB405" s="295" t="s">
        <v>32</v>
      </c>
      <c r="BC405" s="289" t="s">
        <v>377</v>
      </c>
      <c r="BD405" s="287"/>
    </row>
    <row r="406" ht="12.75" customHeight="1">
      <c r="A406" s="293">
        <v>45258.61533509259</v>
      </c>
      <c r="B406" s="286" t="s">
        <v>519</v>
      </c>
      <c r="C406" s="287" t="s">
        <v>559</v>
      </c>
      <c r="D406" s="285" t="s">
        <v>16</v>
      </c>
      <c r="E406" s="285" t="s">
        <v>476</v>
      </c>
      <c r="F406" s="287" t="s">
        <v>965</v>
      </c>
      <c r="G406" s="285" t="s">
        <v>17</v>
      </c>
      <c r="H406" s="285">
        <v>12.0</v>
      </c>
      <c r="I406" s="287" t="s">
        <v>497</v>
      </c>
      <c r="J406" s="292"/>
      <c r="K406" s="287" t="s">
        <v>508</v>
      </c>
      <c r="L406" s="287" t="s">
        <v>497</v>
      </c>
      <c r="M406" s="292"/>
      <c r="N406" s="292"/>
      <c r="O406" s="292"/>
      <c r="P406" s="292"/>
      <c r="Q406" s="294" t="s">
        <v>32</v>
      </c>
      <c r="R406" s="287" t="s">
        <v>18</v>
      </c>
      <c r="S406" s="288" t="s">
        <v>377</v>
      </c>
      <c r="T406" s="287" t="s">
        <v>18</v>
      </c>
      <c r="U406" s="287" t="s">
        <v>18</v>
      </c>
      <c r="V406" s="288" t="s">
        <v>18</v>
      </c>
      <c r="W406" s="287" t="s">
        <v>18</v>
      </c>
      <c r="X406" s="287" t="s">
        <v>18</v>
      </c>
      <c r="Y406" s="288" t="s">
        <v>18</v>
      </c>
      <c r="Z406" s="287" t="s">
        <v>18</v>
      </c>
      <c r="AA406" s="287" t="s">
        <v>18</v>
      </c>
      <c r="AB406" s="288" t="s">
        <v>18</v>
      </c>
      <c r="AC406" s="289" t="s">
        <v>18</v>
      </c>
      <c r="AD406" s="287" t="s">
        <v>18</v>
      </c>
      <c r="AE406" s="287" t="s">
        <v>18</v>
      </c>
      <c r="AF406" s="288" t="s">
        <v>18</v>
      </c>
      <c r="AG406" s="287" t="s">
        <v>18</v>
      </c>
      <c r="AH406" s="287" t="s">
        <v>18</v>
      </c>
      <c r="AI406" s="288" t="s">
        <v>18</v>
      </c>
      <c r="AJ406" s="287" t="s">
        <v>18</v>
      </c>
      <c r="AK406" s="287" t="s">
        <v>18</v>
      </c>
      <c r="AL406" s="288" t="s">
        <v>18</v>
      </c>
      <c r="AM406" s="287" t="s">
        <v>18</v>
      </c>
      <c r="AN406" s="287" t="s">
        <v>18</v>
      </c>
      <c r="AO406" s="288" t="s">
        <v>18</v>
      </c>
      <c r="AP406" s="289" t="s">
        <v>18</v>
      </c>
      <c r="AQ406" s="287" t="s">
        <v>18</v>
      </c>
      <c r="AR406" s="287" t="s">
        <v>18</v>
      </c>
      <c r="AS406" s="288" t="s">
        <v>18</v>
      </c>
      <c r="AT406" s="287" t="s">
        <v>18</v>
      </c>
      <c r="AU406" s="287" t="s">
        <v>18</v>
      </c>
      <c r="AV406" s="288" t="s">
        <v>18</v>
      </c>
      <c r="AW406" s="287" t="s">
        <v>18</v>
      </c>
      <c r="AX406" s="287" t="s">
        <v>18</v>
      </c>
      <c r="AY406" s="288" t="s">
        <v>18</v>
      </c>
      <c r="AZ406" s="287" t="s">
        <v>18</v>
      </c>
      <c r="BA406" s="287" t="s">
        <v>18</v>
      </c>
      <c r="BB406" s="288" t="s">
        <v>377</v>
      </c>
      <c r="BC406" s="289" t="s">
        <v>18</v>
      </c>
      <c r="BD406" s="287"/>
    </row>
    <row r="407" ht="12.75" customHeight="1">
      <c r="A407" s="293">
        <v>45258.61749967592</v>
      </c>
      <c r="B407" s="286" t="s">
        <v>519</v>
      </c>
      <c r="C407" s="287" t="s">
        <v>559</v>
      </c>
      <c r="D407" s="285" t="s">
        <v>16</v>
      </c>
      <c r="E407" s="285" t="s">
        <v>476</v>
      </c>
      <c r="F407" s="287" t="s">
        <v>966</v>
      </c>
      <c r="G407" s="285" t="s">
        <v>21</v>
      </c>
      <c r="H407" s="285">
        <v>12.0</v>
      </c>
      <c r="I407" s="287" t="s">
        <v>497</v>
      </c>
      <c r="J407" s="292"/>
      <c r="K407" s="287" t="s">
        <v>508</v>
      </c>
      <c r="L407" s="287" t="s">
        <v>497</v>
      </c>
      <c r="M407" s="292"/>
      <c r="N407" s="292"/>
      <c r="O407" s="292"/>
      <c r="P407" s="292"/>
      <c r="Q407" s="287" t="s">
        <v>18</v>
      </c>
      <c r="R407" s="287" t="s">
        <v>18</v>
      </c>
      <c r="S407" s="288" t="s">
        <v>18</v>
      </c>
      <c r="T407" s="287" t="s">
        <v>18</v>
      </c>
      <c r="U407" s="287" t="s">
        <v>18</v>
      </c>
      <c r="V407" s="288" t="s">
        <v>18</v>
      </c>
      <c r="W407" s="287" t="s">
        <v>18</v>
      </c>
      <c r="X407" s="287" t="s">
        <v>18</v>
      </c>
      <c r="Y407" s="288" t="s">
        <v>18</v>
      </c>
      <c r="Z407" s="287" t="s">
        <v>18</v>
      </c>
      <c r="AA407" s="287" t="s">
        <v>18</v>
      </c>
      <c r="AB407" s="288" t="s">
        <v>18</v>
      </c>
      <c r="AC407" s="289" t="s">
        <v>18</v>
      </c>
      <c r="AD407" s="287" t="s">
        <v>18</v>
      </c>
      <c r="AE407" s="287" t="s">
        <v>18</v>
      </c>
      <c r="AF407" s="288" t="s">
        <v>18</v>
      </c>
      <c r="AG407" s="287" t="s">
        <v>18</v>
      </c>
      <c r="AH407" s="287" t="s">
        <v>18</v>
      </c>
      <c r="AI407" s="288" t="s">
        <v>18</v>
      </c>
      <c r="AJ407" s="287" t="s">
        <v>18</v>
      </c>
      <c r="AK407" s="287" t="s">
        <v>18</v>
      </c>
      <c r="AL407" s="288" t="s">
        <v>18</v>
      </c>
      <c r="AM407" s="287" t="s">
        <v>18</v>
      </c>
      <c r="AN407" s="287" t="s">
        <v>18</v>
      </c>
      <c r="AO407" s="288" t="s">
        <v>18</v>
      </c>
      <c r="AP407" s="289" t="s">
        <v>18</v>
      </c>
      <c r="AQ407" s="287" t="s">
        <v>18</v>
      </c>
      <c r="AR407" s="287" t="s">
        <v>18</v>
      </c>
      <c r="AS407" s="288" t="s">
        <v>18</v>
      </c>
      <c r="AT407" s="287" t="s">
        <v>18</v>
      </c>
      <c r="AU407" s="287" t="s">
        <v>18</v>
      </c>
      <c r="AV407" s="288" t="s">
        <v>18</v>
      </c>
      <c r="AW407" s="287" t="s">
        <v>18</v>
      </c>
      <c r="AX407" s="287" t="s">
        <v>18</v>
      </c>
      <c r="AY407" s="288" t="s">
        <v>18</v>
      </c>
      <c r="AZ407" s="287" t="s">
        <v>18</v>
      </c>
      <c r="BA407" s="287" t="s">
        <v>18</v>
      </c>
      <c r="BB407" s="295" t="s">
        <v>32</v>
      </c>
      <c r="BC407" s="296" t="s">
        <v>32</v>
      </c>
      <c r="BD407" s="287"/>
    </row>
    <row r="408" ht="12.75" customHeight="1">
      <c r="A408" s="293">
        <v>45258.61938101852</v>
      </c>
      <c r="B408" s="286" t="s">
        <v>519</v>
      </c>
      <c r="C408" s="287" t="s">
        <v>559</v>
      </c>
      <c r="D408" s="285" t="s">
        <v>16</v>
      </c>
      <c r="E408" s="285" t="s">
        <v>476</v>
      </c>
      <c r="F408" s="287" t="s">
        <v>967</v>
      </c>
      <c r="G408" s="285" t="s">
        <v>21</v>
      </c>
      <c r="H408" s="285">
        <v>12.0</v>
      </c>
      <c r="I408" s="287" t="s">
        <v>497</v>
      </c>
      <c r="J408" s="292"/>
      <c r="K408" s="287" t="s">
        <v>508</v>
      </c>
      <c r="L408" s="287" t="s">
        <v>497</v>
      </c>
      <c r="M408" s="292"/>
      <c r="N408" s="292"/>
      <c r="O408" s="292"/>
      <c r="P408" s="292"/>
      <c r="Q408" s="287" t="s">
        <v>18</v>
      </c>
      <c r="R408" s="287" t="s">
        <v>18</v>
      </c>
      <c r="S408" s="288" t="s">
        <v>18</v>
      </c>
      <c r="T408" s="287" t="s">
        <v>18</v>
      </c>
      <c r="U408" s="287" t="s">
        <v>18</v>
      </c>
      <c r="V408" s="288" t="s">
        <v>18</v>
      </c>
      <c r="W408" s="287" t="s">
        <v>18</v>
      </c>
      <c r="X408" s="287" t="s">
        <v>18</v>
      </c>
      <c r="Y408" s="288" t="s">
        <v>18</v>
      </c>
      <c r="Z408" s="287" t="s">
        <v>18</v>
      </c>
      <c r="AA408" s="287" t="s">
        <v>18</v>
      </c>
      <c r="AB408" s="288" t="s">
        <v>18</v>
      </c>
      <c r="AC408" s="289" t="s">
        <v>18</v>
      </c>
      <c r="AD408" s="287" t="s">
        <v>18</v>
      </c>
      <c r="AE408" s="287" t="s">
        <v>18</v>
      </c>
      <c r="AF408" s="288" t="s">
        <v>18</v>
      </c>
      <c r="AG408" s="287" t="s">
        <v>18</v>
      </c>
      <c r="AH408" s="287" t="s">
        <v>18</v>
      </c>
      <c r="AI408" s="288" t="s">
        <v>18</v>
      </c>
      <c r="AJ408" s="287" t="s">
        <v>18</v>
      </c>
      <c r="AK408" s="287" t="s">
        <v>18</v>
      </c>
      <c r="AL408" s="288" t="s">
        <v>18</v>
      </c>
      <c r="AM408" s="287" t="s">
        <v>18</v>
      </c>
      <c r="AN408" s="287" t="s">
        <v>18</v>
      </c>
      <c r="AO408" s="288" t="s">
        <v>18</v>
      </c>
      <c r="AP408" s="289" t="s">
        <v>18</v>
      </c>
      <c r="AQ408" s="287" t="s">
        <v>18</v>
      </c>
      <c r="AR408" s="287" t="s">
        <v>18</v>
      </c>
      <c r="AS408" s="288" t="s">
        <v>18</v>
      </c>
      <c r="AT408" s="287" t="s">
        <v>18</v>
      </c>
      <c r="AU408" s="287" t="s">
        <v>18</v>
      </c>
      <c r="AV408" s="288" t="s">
        <v>18</v>
      </c>
      <c r="AW408" s="287" t="s">
        <v>18</v>
      </c>
      <c r="AX408" s="287" t="s">
        <v>18</v>
      </c>
      <c r="AY408" s="288" t="s">
        <v>18</v>
      </c>
      <c r="AZ408" s="287" t="s">
        <v>18</v>
      </c>
      <c r="BA408" s="287" t="s">
        <v>18</v>
      </c>
      <c r="BB408" s="288" t="s">
        <v>377</v>
      </c>
      <c r="BC408" s="289" t="s">
        <v>377</v>
      </c>
      <c r="BD408" s="287"/>
    </row>
    <row r="409" ht="12.75" customHeight="1">
      <c r="A409" s="293">
        <v>45258.621007685186</v>
      </c>
      <c r="B409" s="286" t="s">
        <v>519</v>
      </c>
      <c r="C409" s="287" t="s">
        <v>559</v>
      </c>
      <c r="D409" s="285" t="s">
        <v>16</v>
      </c>
      <c r="E409" s="285" t="s">
        <v>476</v>
      </c>
      <c r="F409" s="287" t="s">
        <v>968</v>
      </c>
      <c r="G409" s="285" t="s">
        <v>17</v>
      </c>
      <c r="H409" s="285">
        <v>12.0</v>
      </c>
      <c r="I409" s="287" t="s">
        <v>497</v>
      </c>
      <c r="J409" s="292"/>
      <c r="K409" s="287" t="s">
        <v>508</v>
      </c>
      <c r="L409" s="287" t="s">
        <v>497</v>
      </c>
      <c r="M409" s="292"/>
      <c r="N409" s="292"/>
      <c r="O409" s="292"/>
      <c r="P409" s="292"/>
      <c r="Q409" s="287" t="s">
        <v>18</v>
      </c>
      <c r="R409" s="287" t="s">
        <v>18</v>
      </c>
      <c r="S409" s="288" t="s">
        <v>18</v>
      </c>
      <c r="T409" s="287" t="s">
        <v>18</v>
      </c>
      <c r="U409" s="287" t="s">
        <v>18</v>
      </c>
      <c r="V409" s="288" t="s">
        <v>18</v>
      </c>
      <c r="W409" s="287" t="s">
        <v>18</v>
      </c>
      <c r="X409" s="287" t="s">
        <v>18</v>
      </c>
      <c r="Y409" s="288" t="s">
        <v>18</v>
      </c>
      <c r="Z409" s="287" t="s">
        <v>18</v>
      </c>
      <c r="AA409" s="287" t="s">
        <v>18</v>
      </c>
      <c r="AB409" s="288" t="s">
        <v>18</v>
      </c>
      <c r="AC409" s="289" t="s">
        <v>18</v>
      </c>
      <c r="AD409" s="287" t="s">
        <v>18</v>
      </c>
      <c r="AE409" s="287" t="s">
        <v>18</v>
      </c>
      <c r="AF409" s="288" t="s">
        <v>18</v>
      </c>
      <c r="AG409" s="287" t="s">
        <v>18</v>
      </c>
      <c r="AH409" s="287" t="s">
        <v>18</v>
      </c>
      <c r="AI409" s="288" t="s">
        <v>18</v>
      </c>
      <c r="AJ409" s="287" t="s">
        <v>18</v>
      </c>
      <c r="AK409" s="287" t="s">
        <v>18</v>
      </c>
      <c r="AL409" s="288" t="s">
        <v>18</v>
      </c>
      <c r="AM409" s="287" t="s">
        <v>18</v>
      </c>
      <c r="AN409" s="287" t="s">
        <v>18</v>
      </c>
      <c r="AO409" s="288" t="s">
        <v>18</v>
      </c>
      <c r="AP409" s="289" t="s">
        <v>18</v>
      </c>
      <c r="AQ409" s="287" t="s">
        <v>18</v>
      </c>
      <c r="AR409" s="287" t="s">
        <v>18</v>
      </c>
      <c r="AS409" s="288" t="s">
        <v>18</v>
      </c>
      <c r="AT409" s="287" t="s">
        <v>18</v>
      </c>
      <c r="AU409" s="287" t="s">
        <v>18</v>
      </c>
      <c r="AV409" s="288" t="s">
        <v>18</v>
      </c>
      <c r="AW409" s="287" t="s">
        <v>18</v>
      </c>
      <c r="AX409" s="287" t="s">
        <v>18</v>
      </c>
      <c r="AY409" s="288" t="s">
        <v>18</v>
      </c>
      <c r="AZ409" s="287" t="s">
        <v>18</v>
      </c>
      <c r="BA409" s="287" t="s">
        <v>18</v>
      </c>
      <c r="BB409" s="295" t="s">
        <v>32</v>
      </c>
      <c r="BC409" s="289" t="s">
        <v>377</v>
      </c>
      <c r="BD409" s="287"/>
    </row>
    <row r="410" ht="12.75" customHeight="1">
      <c r="A410" s="293">
        <v>45258.6230696875</v>
      </c>
      <c r="B410" s="286" t="s">
        <v>519</v>
      </c>
      <c r="C410" s="287" t="s">
        <v>559</v>
      </c>
      <c r="D410" s="285" t="s">
        <v>16</v>
      </c>
      <c r="E410" s="285" t="s">
        <v>476</v>
      </c>
      <c r="F410" s="287" t="s">
        <v>969</v>
      </c>
      <c r="G410" s="285" t="s">
        <v>17</v>
      </c>
      <c r="H410" s="285">
        <v>12.0</v>
      </c>
      <c r="I410" s="287" t="s">
        <v>497</v>
      </c>
      <c r="J410" s="292"/>
      <c r="K410" s="287" t="s">
        <v>508</v>
      </c>
      <c r="L410" s="287" t="s">
        <v>497</v>
      </c>
      <c r="M410" s="292"/>
      <c r="N410" s="292"/>
      <c r="O410" s="292"/>
      <c r="P410" s="292"/>
      <c r="Q410" s="287" t="s">
        <v>18</v>
      </c>
      <c r="R410" s="287" t="s">
        <v>18</v>
      </c>
      <c r="S410" s="288" t="s">
        <v>18</v>
      </c>
      <c r="T410" s="287" t="s">
        <v>18</v>
      </c>
      <c r="U410" s="287" t="s">
        <v>18</v>
      </c>
      <c r="V410" s="288" t="s">
        <v>18</v>
      </c>
      <c r="W410" s="287" t="s">
        <v>18</v>
      </c>
      <c r="X410" s="287" t="s">
        <v>18</v>
      </c>
      <c r="Y410" s="288" t="s">
        <v>18</v>
      </c>
      <c r="Z410" s="287" t="s">
        <v>18</v>
      </c>
      <c r="AA410" s="287" t="s">
        <v>18</v>
      </c>
      <c r="AB410" s="288" t="s">
        <v>18</v>
      </c>
      <c r="AC410" s="289" t="s">
        <v>18</v>
      </c>
      <c r="AD410" s="287" t="s">
        <v>18</v>
      </c>
      <c r="AE410" s="287" t="s">
        <v>18</v>
      </c>
      <c r="AF410" s="288" t="s">
        <v>18</v>
      </c>
      <c r="AG410" s="287" t="s">
        <v>18</v>
      </c>
      <c r="AH410" s="287" t="s">
        <v>18</v>
      </c>
      <c r="AI410" s="288" t="s">
        <v>18</v>
      </c>
      <c r="AJ410" s="287" t="s">
        <v>18</v>
      </c>
      <c r="AK410" s="287" t="s">
        <v>18</v>
      </c>
      <c r="AL410" s="288" t="s">
        <v>18</v>
      </c>
      <c r="AM410" s="287" t="s">
        <v>18</v>
      </c>
      <c r="AN410" s="287" t="s">
        <v>18</v>
      </c>
      <c r="AO410" s="288" t="s">
        <v>18</v>
      </c>
      <c r="AP410" s="289" t="s">
        <v>18</v>
      </c>
      <c r="AQ410" s="287" t="s">
        <v>18</v>
      </c>
      <c r="AR410" s="287" t="s">
        <v>18</v>
      </c>
      <c r="AS410" s="288" t="s">
        <v>18</v>
      </c>
      <c r="AT410" s="287" t="s">
        <v>18</v>
      </c>
      <c r="AU410" s="287" t="s">
        <v>18</v>
      </c>
      <c r="AV410" s="288" t="s">
        <v>18</v>
      </c>
      <c r="AW410" s="287" t="s">
        <v>18</v>
      </c>
      <c r="AX410" s="287" t="s">
        <v>18</v>
      </c>
      <c r="AY410" s="288" t="s">
        <v>18</v>
      </c>
      <c r="AZ410" s="287" t="s">
        <v>18</v>
      </c>
      <c r="BA410" s="287" t="s">
        <v>18</v>
      </c>
      <c r="BB410" s="295" t="s">
        <v>32</v>
      </c>
      <c r="BC410" s="289" t="s">
        <v>377</v>
      </c>
      <c r="BD410" s="287"/>
    </row>
    <row r="411" ht="12.75" customHeight="1">
      <c r="A411" s="293">
        <v>45258.62551677083</v>
      </c>
      <c r="B411" s="286" t="s">
        <v>519</v>
      </c>
      <c r="C411" s="287" t="s">
        <v>559</v>
      </c>
      <c r="D411" s="285" t="s">
        <v>16</v>
      </c>
      <c r="E411" s="285" t="s">
        <v>476</v>
      </c>
      <c r="F411" s="287" t="s">
        <v>970</v>
      </c>
      <c r="G411" s="285" t="s">
        <v>17</v>
      </c>
      <c r="H411" s="285">
        <v>12.0</v>
      </c>
      <c r="I411" s="287" t="s">
        <v>497</v>
      </c>
      <c r="J411" s="292"/>
      <c r="K411" s="287" t="s">
        <v>508</v>
      </c>
      <c r="L411" s="287" t="s">
        <v>497</v>
      </c>
      <c r="M411" s="292"/>
      <c r="N411" s="292"/>
      <c r="O411" s="292"/>
      <c r="P411" s="292"/>
      <c r="Q411" s="287" t="s">
        <v>18</v>
      </c>
      <c r="R411" s="287" t="s">
        <v>18</v>
      </c>
      <c r="S411" s="288" t="s">
        <v>18</v>
      </c>
      <c r="T411" s="287" t="s">
        <v>18</v>
      </c>
      <c r="U411" s="287" t="s">
        <v>18</v>
      </c>
      <c r="V411" s="288" t="s">
        <v>18</v>
      </c>
      <c r="W411" s="287" t="s">
        <v>18</v>
      </c>
      <c r="X411" s="287" t="s">
        <v>18</v>
      </c>
      <c r="Y411" s="288" t="s">
        <v>18</v>
      </c>
      <c r="Z411" s="287" t="s">
        <v>18</v>
      </c>
      <c r="AA411" s="287" t="s">
        <v>18</v>
      </c>
      <c r="AB411" s="288" t="s">
        <v>18</v>
      </c>
      <c r="AC411" s="289" t="s">
        <v>18</v>
      </c>
      <c r="AD411" s="287" t="s">
        <v>18</v>
      </c>
      <c r="AE411" s="287" t="s">
        <v>18</v>
      </c>
      <c r="AF411" s="288" t="s">
        <v>18</v>
      </c>
      <c r="AG411" s="287" t="s">
        <v>18</v>
      </c>
      <c r="AH411" s="287" t="s">
        <v>18</v>
      </c>
      <c r="AI411" s="288" t="s">
        <v>18</v>
      </c>
      <c r="AJ411" s="287" t="s">
        <v>18</v>
      </c>
      <c r="AK411" s="287" t="s">
        <v>18</v>
      </c>
      <c r="AL411" s="288" t="s">
        <v>18</v>
      </c>
      <c r="AM411" s="287" t="s">
        <v>18</v>
      </c>
      <c r="AN411" s="287" t="s">
        <v>18</v>
      </c>
      <c r="AO411" s="288" t="s">
        <v>18</v>
      </c>
      <c r="AP411" s="289" t="s">
        <v>18</v>
      </c>
      <c r="AQ411" s="287" t="s">
        <v>18</v>
      </c>
      <c r="AR411" s="287" t="s">
        <v>18</v>
      </c>
      <c r="AS411" s="288" t="s">
        <v>18</v>
      </c>
      <c r="AT411" s="287" t="s">
        <v>18</v>
      </c>
      <c r="AU411" s="287" t="s">
        <v>18</v>
      </c>
      <c r="AV411" s="288" t="s">
        <v>18</v>
      </c>
      <c r="AW411" s="287" t="s">
        <v>18</v>
      </c>
      <c r="AX411" s="287" t="s">
        <v>18</v>
      </c>
      <c r="AY411" s="288" t="s">
        <v>18</v>
      </c>
      <c r="AZ411" s="287" t="s">
        <v>18</v>
      </c>
      <c r="BA411" s="287" t="s">
        <v>18</v>
      </c>
      <c r="BB411" s="295" t="s">
        <v>32</v>
      </c>
      <c r="BC411" s="296" t="s">
        <v>32</v>
      </c>
      <c r="BD411" s="287"/>
    </row>
    <row r="412" ht="12.75" customHeight="1">
      <c r="A412" s="293">
        <v>45258.62746386574</v>
      </c>
      <c r="B412" s="286" t="s">
        <v>519</v>
      </c>
      <c r="C412" s="287" t="s">
        <v>559</v>
      </c>
      <c r="D412" s="285" t="s">
        <v>16</v>
      </c>
      <c r="E412" s="285" t="s">
        <v>476</v>
      </c>
      <c r="F412" s="287" t="s">
        <v>971</v>
      </c>
      <c r="G412" s="285" t="s">
        <v>17</v>
      </c>
      <c r="H412" s="285">
        <v>12.0</v>
      </c>
      <c r="I412" s="287" t="s">
        <v>497</v>
      </c>
      <c r="J412" s="292"/>
      <c r="K412" s="287" t="s">
        <v>508</v>
      </c>
      <c r="L412" s="287" t="s">
        <v>497</v>
      </c>
      <c r="M412" s="292"/>
      <c r="N412" s="292"/>
      <c r="O412" s="292"/>
      <c r="P412" s="292"/>
      <c r="Q412" s="287" t="s">
        <v>377</v>
      </c>
      <c r="R412" s="287" t="s">
        <v>18</v>
      </c>
      <c r="S412" s="288" t="s">
        <v>377</v>
      </c>
      <c r="T412" s="287" t="s">
        <v>18</v>
      </c>
      <c r="U412" s="287" t="s">
        <v>18</v>
      </c>
      <c r="V412" s="288" t="s">
        <v>18</v>
      </c>
      <c r="W412" s="287" t="s">
        <v>18</v>
      </c>
      <c r="X412" s="287" t="s">
        <v>18</v>
      </c>
      <c r="Y412" s="288" t="s">
        <v>18</v>
      </c>
      <c r="Z412" s="287" t="s">
        <v>18</v>
      </c>
      <c r="AA412" s="287" t="s">
        <v>18</v>
      </c>
      <c r="AB412" s="288" t="s">
        <v>18</v>
      </c>
      <c r="AC412" s="289" t="s">
        <v>18</v>
      </c>
      <c r="AD412" s="287" t="s">
        <v>18</v>
      </c>
      <c r="AE412" s="287" t="s">
        <v>18</v>
      </c>
      <c r="AF412" s="288" t="s">
        <v>18</v>
      </c>
      <c r="AG412" s="287" t="s">
        <v>18</v>
      </c>
      <c r="AH412" s="287" t="s">
        <v>18</v>
      </c>
      <c r="AI412" s="288" t="s">
        <v>18</v>
      </c>
      <c r="AJ412" s="287" t="s">
        <v>18</v>
      </c>
      <c r="AK412" s="287" t="s">
        <v>18</v>
      </c>
      <c r="AL412" s="288" t="s">
        <v>18</v>
      </c>
      <c r="AM412" s="287" t="s">
        <v>18</v>
      </c>
      <c r="AN412" s="287" t="s">
        <v>18</v>
      </c>
      <c r="AO412" s="288" t="s">
        <v>18</v>
      </c>
      <c r="AP412" s="289" t="s">
        <v>18</v>
      </c>
      <c r="AQ412" s="287" t="s">
        <v>18</v>
      </c>
      <c r="AR412" s="287" t="s">
        <v>18</v>
      </c>
      <c r="AS412" s="288" t="s">
        <v>18</v>
      </c>
      <c r="AT412" s="287" t="s">
        <v>18</v>
      </c>
      <c r="AU412" s="287" t="s">
        <v>18</v>
      </c>
      <c r="AV412" s="288" t="s">
        <v>18</v>
      </c>
      <c r="AW412" s="287" t="s">
        <v>18</v>
      </c>
      <c r="AX412" s="287" t="s">
        <v>18</v>
      </c>
      <c r="AY412" s="288" t="s">
        <v>18</v>
      </c>
      <c r="AZ412" s="287" t="s">
        <v>18</v>
      </c>
      <c r="BA412" s="287" t="s">
        <v>18</v>
      </c>
      <c r="BB412" s="295" t="s">
        <v>32</v>
      </c>
      <c r="BC412" s="296" t="s">
        <v>32</v>
      </c>
      <c r="BD412" s="287"/>
    </row>
    <row r="413" ht="12.75" customHeight="1">
      <c r="A413" s="293">
        <v>45258.63014163195</v>
      </c>
      <c r="B413" s="286" t="s">
        <v>519</v>
      </c>
      <c r="C413" s="287" t="s">
        <v>559</v>
      </c>
      <c r="D413" s="285" t="s">
        <v>16</v>
      </c>
      <c r="E413" s="285" t="s">
        <v>476</v>
      </c>
      <c r="F413" s="287" t="s">
        <v>972</v>
      </c>
      <c r="G413" s="285" t="s">
        <v>21</v>
      </c>
      <c r="H413" s="285">
        <v>12.0</v>
      </c>
      <c r="I413" s="287" t="s">
        <v>497</v>
      </c>
      <c r="J413" s="292"/>
      <c r="K413" s="287" t="s">
        <v>508</v>
      </c>
      <c r="L413" s="287" t="s">
        <v>497</v>
      </c>
      <c r="M413" s="292"/>
      <c r="N413" s="292"/>
      <c r="O413" s="292"/>
      <c r="P413" s="292"/>
      <c r="Q413" s="287" t="s">
        <v>18</v>
      </c>
      <c r="R413" s="287" t="s">
        <v>18</v>
      </c>
      <c r="S413" s="288" t="s">
        <v>18</v>
      </c>
      <c r="T413" s="287" t="s">
        <v>18</v>
      </c>
      <c r="U413" s="287" t="s">
        <v>18</v>
      </c>
      <c r="V413" s="288" t="s">
        <v>18</v>
      </c>
      <c r="W413" s="287" t="s">
        <v>18</v>
      </c>
      <c r="X413" s="287" t="s">
        <v>18</v>
      </c>
      <c r="Y413" s="288" t="s">
        <v>18</v>
      </c>
      <c r="Z413" s="287" t="s">
        <v>18</v>
      </c>
      <c r="AA413" s="287" t="s">
        <v>18</v>
      </c>
      <c r="AB413" s="288" t="s">
        <v>18</v>
      </c>
      <c r="AC413" s="289" t="s">
        <v>18</v>
      </c>
      <c r="AD413" s="287" t="s">
        <v>18</v>
      </c>
      <c r="AE413" s="287" t="s">
        <v>18</v>
      </c>
      <c r="AF413" s="288" t="s">
        <v>18</v>
      </c>
      <c r="AG413" s="287" t="s">
        <v>18</v>
      </c>
      <c r="AH413" s="287" t="s">
        <v>18</v>
      </c>
      <c r="AI413" s="288" t="s">
        <v>18</v>
      </c>
      <c r="AJ413" s="287" t="s">
        <v>18</v>
      </c>
      <c r="AK413" s="287" t="s">
        <v>18</v>
      </c>
      <c r="AL413" s="288" t="s">
        <v>18</v>
      </c>
      <c r="AM413" s="287" t="s">
        <v>18</v>
      </c>
      <c r="AN413" s="287" t="s">
        <v>18</v>
      </c>
      <c r="AO413" s="288" t="s">
        <v>18</v>
      </c>
      <c r="AP413" s="289" t="s">
        <v>18</v>
      </c>
      <c r="AQ413" s="287" t="s">
        <v>18</v>
      </c>
      <c r="AR413" s="287" t="s">
        <v>18</v>
      </c>
      <c r="AS413" s="288" t="s">
        <v>18</v>
      </c>
      <c r="AT413" s="287" t="s">
        <v>18</v>
      </c>
      <c r="AU413" s="287" t="s">
        <v>18</v>
      </c>
      <c r="AV413" s="288" t="s">
        <v>18</v>
      </c>
      <c r="AW413" s="287" t="s">
        <v>18</v>
      </c>
      <c r="AX413" s="287" t="s">
        <v>18</v>
      </c>
      <c r="AY413" s="288" t="s">
        <v>18</v>
      </c>
      <c r="AZ413" s="287" t="s">
        <v>377</v>
      </c>
      <c r="BA413" s="287" t="s">
        <v>377</v>
      </c>
      <c r="BB413" s="295" t="s">
        <v>32</v>
      </c>
      <c r="BC413" s="296" t="s">
        <v>32</v>
      </c>
      <c r="BD413" s="287"/>
    </row>
    <row r="414" ht="12.75" customHeight="1">
      <c r="A414" s="293">
        <v>45258.63200457176</v>
      </c>
      <c r="B414" s="286" t="s">
        <v>519</v>
      </c>
      <c r="C414" s="287" t="s">
        <v>559</v>
      </c>
      <c r="D414" s="285" t="s">
        <v>16</v>
      </c>
      <c r="E414" s="285" t="s">
        <v>476</v>
      </c>
      <c r="F414" s="287" t="s">
        <v>973</v>
      </c>
      <c r="G414" s="285" t="s">
        <v>17</v>
      </c>
      <c r="H414" s="285">
        <v>12.0</v>
      </c>
      <c r="I414" s="287" t="s">
        <v>497</v>
      </c>
      <c r="J414" s="292"/>
      <c r="K414" s="287" t="s">
        <v>508</v>
      </c>
      <c r="L414" s="287" t="s">
        <v>497</v>
      </c>
      <c r="M414" s="292"/>
      <c r="N414" s="292"/>
      <c r="O414" s="292"/>
      <c r="P414" s="292"/>
      <c r="Q414" s="287" t="s">
        <v>18</v>
      </c>
      <c r="R414" s="287" t="s">
        <v>18</v>
      </c>
      <c r="S414" s="288" t="s">
        <v>18</v>
      </c>
      <c r="T414" s="287" t="s">
        <v>18</v>
      </c>
      <c r="U414" s="287" t="s">
        <v>18</v>
      </c>
      <c r="V414" s="288" t="s">
        <v>18</v>
      </c>
      <c r="W414" s="287" t="s">
        <v>18</v>
      </c>
      <c r="X414" s="287" t="s">
        <v>18</v>
      </c>
      <c r="Y414" s="288" t="s">
        <v>18</v>
      </c>
      <c r="Z414" s="287" t="s">
        <v>18</v>
      </c>
      <c r="AA414" s="287" t="s">
        <v>18</v>
      </c>
      <c r="AB414" s="288" t="s">
        <v>18</v>
      </c>
      <c r="AC414" s="289" t="s">
        <v>18</v>
      </c>
      <c r="AD414" s="287" t="s">
        <v>18</v>
      </c>
      <c r="AE414" s="287" t="s">
        <v>18</v>
      </c>
      <c r="AF414" s="288" t="s">
        <v>18</v>
      </c>
      <c r="AG414" s="287" t="s">
        <v>18</v>
      </c>
      <c r="AH414" s="287" t="s">
        <v>18</v>
      </c>
      <c r="AI414" s="288" t="s">
        <v>18</v>
      </c>
      <c r="AJ414" s="287" t="s">
        <v>18</v>
      </c>
      <c r="AK414" s="287" t="s">
        <v>18</v>
      </c>
      <c r="AL414" s="288" t="s">
        <v>18</v>
      </c>
      <c r="AM414" s="287" t="s">
        <v>18</v>
      </c>
      <c r="AN414" s="287" t="s">
        <v>18</v>
      </c>
      <c r="AO414" s="288" t="s">
        <v>18</v>
      </c>
      <c r="AP414" s="289" t="s">
        <v>18</v>
      </c>
      <c r="AQ414" s="287" t="s">
        <v>18</v>
      </c>
      <c r="AR414" s="287" t="s">
        <v>18</v>
      </c>
      <c r="AS414" s="288" t="s">
        <v>18</v>
      </c>
      <c r="AT414" s="287" t="s">
        <v>18</v>
      </c>
      <c r="AU414" s="287" t="s">
        <v>18</v>
      </c>
      <c r="AV414" s="288" t="s">
        <v>18</v>
      </c>
      <c r="AW414" s="287" t="s">
        <v>18</v>
      </c>
      <c r="AX414" s="287" t="s">
        <v>18</v>
      </c>
      <c r="AY414" s="288" t="s">
        <v>18</v>
      </c>
      <c r="AZ414" s="287" t="s">
        <v>18</v>
      </c>
      <c r="BA414" s="287" t="s">
        <v>18</v>
      </c>
      <c r="BB414" s="288" t="s">
        <v>377</v>
      </c>
      <c r="BC414" s="289" t="s">
        <v>377</v>
      </c>
      <c r="BD414" s="287"/>
    </row>
    <row r="415" ht="12.75" customHeight="1">
      <c r="A415" s="293">
        <v>45258.63449777778</v>
      </c>
      <c r="B415" s="286" t="s">
        <v>519</v>
      </c>
      <c r="C415" s="287" t="s">
        <v>559</v>
      </c>
      <c r="D415" s="285" t="s">
        <v>16</v>
      </c>
      <c r="E415" s="285" t="s">
        <v>476</v>
      </c>
      <c r="F415" s="287" t="s">
        <v>974</v>
      </c>
      <c r="G415" s="285" t="s">
        <v>17</v>
      </c>
      <c r="H415" s="285">
        <v>13.0</v>
      </c>
      <c r="I415" s="287" t="s">
        <v>497</v>
      </c>
      <c r="J415" s="292"/>
      <c r="K415" s="287" t="s">
        <v>508</v>
      </c>
      <c r="L415" s="287" t="s">
        <v>497</v>
      </c>
      <c r="M415" s="292"/>
      <c r="N415" s="292"/>
      <c r="O415" s="292"/>
      <c r="P415" s="292"/>
      <c r="Q415" s="287" t="s">
        <v>18</v>
      </c>
      <c r="R415" s="287" t="s">
        <v>18</v>
      </c>
      <c r="S415" s="288" t="s">
        <v>18</v>
      </c>
      <c r="T415" s="287" t="s">
        <v>18</v>
      </c>
      <c r="U415" s="287" t="s">
        <v>18</v>
      </c>
      <c r="V415" s="288" t="s">
        <v>18</v>
      </c>
      <c r="W415" s="287" t="s">
        <v>18</v>
      </c>
      <c r="X415" s="287" t="s">
        <v>18</v>
      </c>
      <c r="Y415" s="288" t="s">
        <v>18</v>
      </c>
      <c r="Z415" s="287" t="s">
        <v>18</v>
      </c>
      <c r="AA415" s="287" t="s">
        <v>18</v>
      </c>
      <c r="AB415" s="288" t="s">
        <v>18</v>
      </c>
      <c r="AC415" s="289" t="s">
        <v>18</v>
      </c>
      <c r="AD415" s="287" t="s">
        <v>18</v>
      </c>
      <c r="AE415" s="287" t="s">
        <v>18</v>
      </c>
      <c r="AF415" s="288" t="s">
        <v>18</v>
      </c>
      <c r="AG415" s="287" t="s">
        <v>18</v>
      </c>
      <c r="AH415" s="287" t="s">
        <v>18</v>
      </c>
      <c r="AI415" s="288" t="s">
        <v>18</v>
      </c>
      <c r="AJ415" s="287" t="s">
        <v>18</v>
      </c>
      <c r="AK415" s="287" t="s">
        <v>18</v>
      </c>
      <c r="AL415" s="288" t="s">
        <v>18</v>
      </c>
      <c r="AM415" s="287" t="s">
        <v>18</v>
      </c>
      <c r="AN415" s="287" t="s">
        <v>18</v>
      </c>
      <c r="AO415" s="288" t="s">
        <v>18</v>
      </c>
      <c r="AP415" s="289" t="s">
        <v>18</v>
      </c>
      <c r="AQ415" s="287" t="s">
        <v>18</v>
      </c>
      <c r="AR415" s="287" t="s">
        <v>18</v>
      </c>
      <c r="AS415" s="288" t="s">
        <v>18</v>
      </c>
      <c r="AT415" s="287" t="s">
        <v>18</v>
      </c>
      <c r="AU415" s="287" t="s">
        <v>18</v>
      </c>
      <c r="AV415" s="288" t="s">
        <v>18</v>
      </c>
      <c r="AW415" s="287" t="s">
        <v>18</v>
      </c>
      <c r="AX415" s="287" t="s">
        <v>18</v>
      </c>
      <c r="AY415" s="288" t="s">
        <v>18</v>
      </c>
      <c r="AZ415" s="287" t="s">
        <v>18</v>
      </c>
      <c r="BA415" s="287" t="s">
        <v>18</v>
      </c>
      <c r="BB415" s="295" t="s">
        <v>32</v>
      </c>
      <c r="BC415" s="296" t="s">
        <v>32</v>
      </c>
      <c r="BD415" s="287"/>
    </row>
    <row r="416" ht="12.75" customHeight="1">
      <c r="A416" s="293">
        <v>45258.636310393515</v>
      </c>
      <c r="B416" s="286" t="s">
        <v>519</v>
      </c>
      <c r="C416" s="287" t="s">
        <v>559</v>
      </c>
      <c r="D416" s="285" t="s">
        <v>16</v>
      </c>
      <c r="E416" s="285" t="s">
        <v>476</v>
      </c>
      <c r="F416" s="287" t="s">
        <v>975</v>
      </c>
      <c r="G416" s="285" t="s">
        <v>21</v>
      </c>
      <c r="H416" s="285">
        <v>13.0</v>
      </c>
      <c r="I416" s="287" t="s">
        <v>497</v>
      </c>
      <c r="J416" s="292"/>
      <c r="K416" s="287" t="s">
        <v>508</v>
      </c>
      <c r="L416" s="287" t="s">
        <v>497</v>
      </c>
      <c r="M416" s="292"/>
      <c r="N416" s="292"/>
      <c r="O416" s="292"/>
      <c r="P416" s="292"/>
      <c r="Q416" s="287" t="s">
        <v>18</v>
      </c>
      <c r="R416" s="287" t="s">
        <v>18</v>
      </c>
      <c r="S416" s="288" t="s">
        <v>18</v>
      </c>
      <c r="T416" s="287" t="s">
        <v>18</v>
      </c>
      <c r="U416" s="287" t="s">
        <v>18</v>
      </c>
      <c r="V416" s="288" t="s">
        <v>18</v>
      </c>
      <c r="W416" s="287" t="s">
        <v>18</v>
      </c>
      <c r="X416" s="287" t="s">
        <v>18</v>
      </c>
      <c r="Y416" s="288" t="s">
        <v>18</v>
      </c>
      <c r="Z416" s="287" t="s">
        <v>18</v>
      </c>
      <c r="AA416" s="287" t="s">
        <v>18</v>
      </c>
      <c r="AB416" s="288" t="s">
        <v>18</v>
      </c>
      <c r="AC416" s="289" t="s">
        <v>18</v>
      </c>
      <c r="AD416" s="287" t="s">
        <v>18</v>
      </c>
      <c r="AE416" s="287" t="s">
        <v>18</v>
      </c>
      <c r="AF416" s="288" t="s">
        <v>18</v>
      </c>
      <c r="AG416" s="287" t="s">
        <v>18</v>
      </c>
      <c r="AH416" s="287" t="s">
        <v>18</v>
      </c>
      <c r="AI416" s="288" t="s">
        <v>18</v>
      </c>
      <c r="AJ416" s="287" t="s">
        <v>18</v>
      </c>
      <c r="AK416" s="287" t="s">
        <v>18</v>
      </c>
      <c r="AL416" s="288" t="s">
        <v>18</v>
      </c>
      <c r="AM416" s="287" t="s">
        <v>18</v>
      </c>
      <c r="AN416" s="287" t="s">
        <v>18</v>
      </c>
      <c r="AO416" s="288" t="s">
        <v>18</v>
      </c>
      <c r="AP416" s="289" t="s">
        <v>18</v>
      </c>
      <c r="AQ416" s="287" t="s">
        <v>18</v>
      </c>
      <c r="AR416" s="287" t="s">
        <v>18</v>
      </c>
      <c r="AS416" s="288" t="s">
        <v>18</v>
      </c>
      <c r="AT416" s="287" t="s">
        <v>18</v>
      </c>
      <c r="AU416" s="287" t="s">
        <v>18</v>
      </c>
      <c r="AV416" s="288" t="s">
        <v>18</v>
      </c>
      <c r="AW416" s="287" t="s">
        <v>18</v>
      </c>
      <c r="AX416" s="287" t="s">
        <v>18</v>
      </c>
      <c r="AY416" s="288" t="s">
        <v>18</v>
      </c>
      <c r="AZ416" s="287" t="s">
        <v>18</v>
      </c>
      <c r="BA416" s="287" t="s">
        <v>18</v>
      </c>
      <c r="BB416" s="295" t="s">
        <v>32</v>
      </c>
      <c r="BC416" s="296" t="s">
        <v>32</v>
      </c>
      <c r="BD416" s="287"/>
    </row>
    <row r="417" ht="12.75" customHeight="1">
      <c r="A417" s="293">
        <v>45258.79309283565</v>
      </c>
      <c r="B417" s="286" t="s">
        <v>519</v>
      </c>
      <c r="C417" s="287" t="s">
        <v>559</v>
      </c>
      <c r="D417" s="285" t="s">
        <v>16</v>
      </c>
      <c r="E417" s="285" t="s">
        <v>476</v>
      </c>
      <c r="F417" s="287" t="s">
        <v>976</v>
      </c>
      <c r="G417" s="285" t="s">
        <v>21</v>
      </c>
      <c r="H417" s="285">
        <v>12.0</v>
      </c>
      <c r="I417" s="287" t="s">
        <v>497</v>
      </c>
      <c r="J417" s="292"/>
      <c r="K417" s="287" t="s">
        <v>508</v>
      </c>
      <c r="L417" s="287" t="s">
        <v>497</v>
      </c>
      <c r="M417" s="292"/>
      <c r="N417" s="292"/>
      <c r="O417" s="292"/>
      <c r="P417" s="292"/>
      <c r="Q417" s="287" t="s">
        <v>18</v>
      </c>
      <c r="R417" s="287" t="s">
        <v>18</v>
      </c>
      <c r="S417" s="288" t="s">
        <v>18</v>
      </c>
      <c r="T417" s="287" t="s">
        <v>18</v>
      </c>
      <c r="U417" s="287" t="s">
        <v>18</v>
      </c>
      <c r="V417" s="288" t="s">
        <v>18</v>
      </c>
      <c r="W417" s="287" t="s">
        <v>18</v>
      </c>
      <c r="X417" s="287" t="s">
        <v>18</v>
      </c>
      <c r="Y417" s="288" t="s">
        <v>18</v>
      </c>
      <c r="Z417" s="287" t="s">
        <v>18</v>
      </c>
      <c r="AA417" s="287" t="s">
        <v>18</v>
      </c>
      <c r="AB417" s="288" t="s">
        <v>18</v>
      </c>
      <c r="AC417" s="289" t="s">
        <v>18</v>
      </c>
      <c r="AD417" s="287" t="s">
        <v>18</v>
      </c>
      <c r="AE417" s="287" t="s">
        <v>18</v>
      </c>
      <c r="AF417" s="288" t="s">
        <v>18</v>
      </c>
      <c r="AG417" s="287" t="s">
        <v>18</v>
      </c>
      <c r="AH417" s="287" t="s">
        <v>18</v>
      </c>
      <c r="AI417" s="288" t="s">
        <v>18</v>
      </c>
      <c r="AJ417" s="287" t="s">
        <v>18</v>
      </c>
      <c r="AK417" s="287" t="s">
        <v>18</v>
      </c>
      <c r="AL417" s="288" t="s">
        <v>18</v>
      </c>
      <c r="AM417" s="287" t="s">
        <v>18</v>
      </c>
      <c r="AN417" s="287" t="s">
        <v>18</v>
      </c>
      <c r="AO417" s="288" t="s">
        <v>18</v>
      </c>
      <c r="AP417" s="289" t="s">
        <v>18</v>
      </c>
      <c r="AQ417" s="287" t="s">
        <v>18</v>
      </c>
      <c r="AR417" s="287" t="s">
        <v>18</v>
      </c>
      <c r="AS417" s="288" t="s">
        <v>18</v>
      </c>
      <c r="AT417" s="287" t="s">
        <v>18</v>
      </c>
      <c r="AU417" s="287" t="s">
        <v>18</v>
      </c>
      <c r="AV417" s="288" t="s">
        <v>18</v>
      </c>
      <c r="AW417" s="287" t="s">
        <v>18</v>
      </c>
      <c r="AX417" s="287" t="s">
        <v>18</v>
      </c>
      <c r="AY417" s="288" t="s">
        <v>18</v>
      </c>
      <c r="AZ417" s="287" t="s">
        <v>18</v>
      </c>
      <c r="BA417" s="287" t="s">
        <v>18</v>
      </c>
      <c r="BB417" s="295" t="s">
        <v>32</v>
      </c>
      <c r="BC417" s="296" t="s">
        <v>32</v>
      </c>
      <c r="BD417" s="287"/>
    </row>
    <row r="418" ht="12.75" customHeight="1">
      <c r="A418" s="293">
        <v>45258.795241099535</v>
      </c>
      <c r="B418" s="286" t="s">
        <v>519</v>
      </c>
      <c r="C418" s="287" t="s">
        <v>559</v>
      </c>
      <c r="D418" s="285" t="s">
        <v>16</v>
      </c>
      <c r="E418" s="285" t="s">
        <v>476</v>
      </c>
      <c r="F418" s="287" t="s">
        <v>977</v>
      </c>
      <c r="G418" s="285" t="s">
        <v>17</v>
      </c>
      <c r="H418" s="285">
        <v>12.0</v>
      </c>
      <c r="I418" s="287" t="s">
        <v>497</v>
      </c>
      <c r="J418" s="292"/>
      <c r="K418" s="287" t="s">
        <v>508</v>
      </c>
      <c r="L418" s="287" t="s">
        <v>497</v>
      </c>
      <c r="M418" s="292"/>
      <c r="N418" s="292"/>
      <c r="O418" s="292"/>
      <c r="P418" s="292"/>
      <c r="Q418" s="287" t="s">
        <v>18</v>
      </c>
      <c r="R418" s="287" t="s">
        <v>18</v>
      </c>
      <c r="S418" s="288" t="s">
        <v>18</v>
      </c>
      <c r="T418" s="287" t="s">
        <v>18</v>
      </c>
      <c r="U418" s="287" t="s">
        <v>18</v>
      </c>
      <c r="V418" s="288" t="s">
        <v>18</v>
      </c>
      <c r="W418" s="287" t="s">
        <v>18</v>
      </c>
      <c r="X418" s="287" t="s">
        <v>18</v>
      </c>
      <c r="Y418" s="288" t="s">
        <v>18</v>
      </c>
      <c r="Z418" s="287" t="s">
        <v>18</v>
      </c>
      <c r="AA418" s="287" t="s">
        <v>18</v>
      </c>
      <c r="AB418" s="288" t="s">
        <v>18</v>
      </c>
      <c r="AC418" s="289" t="s">
        <v>18</v>
      </c>
      <c r="AD418" s="287" t="s">
        <v>18</v>
      </c>
      <c r="AE418" s="287" t="s">
        <v>18</v>
      </c>
      <c r="AF418" s="288" t="s">
        <v>18</v>
      </c>
      <c r="AG418" s="287" t="s">
        <v>18</v>
      </c>
      <c r="AH418" s="287" t="s">
        <v>18</v>
      </c>
      <c r="AI418" s="288" t="s">
        <v>18</v>
      </c>
      <c r="AJ418" s="287" t="s">
        <v>18</v>
      </c>
      <c r="AK418" s="287" t="s">
        <v>18</v>
      </c>
      <c r="AL418" s="288" t="s">
        <v>18</v>
      </c>
      <c r="AM418" s="287" t="s">
        <v>18</v>
      </c>
      <c r="AN418" s="287" t="s">
        <v>18</v>
      </c>
      <c r="AO418" s="288" t="s">
        <v>18</v>
      </c>
      <c r="AP418" s="289" t="s">
        <v>18</v>
      </c>
      <c r="AQ418" s="287" t="s">
        <v>18</v>
      </c>
      <c r="AR418" s="287" t="s">
        <v>18</v>
      </c>
      <c r="AS418" s="288" t="s">
        <v>18</v>
      </c>
      <c r="AT418" s="287" t="s">
        <v>18</v>
      </c>
      <c r="AU418" s="287" t="s">
        <v>18</v>
      </c>
      <c r="AV418" s="288" t="s">
        <v>18</v>
      </c>
      <c r="AW418" s="287" t="s">
        <v>18</v>
      </c>
      <c r="AX418" s="287" t="s">
        <v>18</v>
      </c>
      <c r="AY418" s="288" t="s">
        <v>18</v>
      </c>
      <c r="AZ418" s="287" t="s">
        <v>18</v>
      </c>
      <c r="BA418" s="287" t="s">
        <v>18</v>
      </c>
      <c r="BB418" s="288" t="s">
        <v>377</v>
      </c>
      <c r="BC418" s="289" t="s">
        <v>377</v>
      </c>
      <c r="BD418" s="287"/>
    </row>
    <row r="419" ht="12.75" customHeight="1">
      <c r="A419" s="293">
        <v>45258.79709974537</v>
      </c>
      <c r="B419" s="286" t="s">
        <v>519</v>
      </c>
      <c r="C419" s="287" t="s">
        <v>559</v>
      </c>
      <c r="D419" s="285" t="s">
        <v>16</v>
      </c>
      <c r="E419" s="285" t="s">
        <v>476</v>
      </c>
      <c r="F419" s="287" t="s">
        <v>978</v>
      </c>
      <c r="G419" s="285" t="s">
        <v>17</v>
      </c>
      <c r="H419" s="285">
        <v>12.0</v>
      </c>
      <c r="I419" s="287" t="s">
        <v>497</v>
      </c>
      <c r="J419" s="292"/>
      <c r="K419" s="287" t="s">
        <v>508</v>
      </c>
      <c r="L419" s="287" t="s">
        <v>497</v>
      </c>
      <c r="M419" s="292"/>
      <c r="N419" s="292"/>
      <c r="O419" s="292"/>
      <c r="P419" s="292"/>
      <c r="Q419" s="287" t="s">
        <v>18</v>
      </c>
      <c r="R419" s="287" t="s">
        <v>18</v>
      </c>
      <c r="S419" s="288" t="s">
        <v>18</v>
      </c>
      <c r="T419" s="287" t="s">
        <v>18</v>
      </c>
      <c r="U419" s="287" t="s">
        <v>18</v>
      </c>
      <c r="V419" s="288" t="s">
        <v>18</v>
      </c>
      <c r="W419" s="287" t="s">
        <v>18</v>
      </c>
      <c r="X419" s="287" t="s">
        <v>18</v>
      </c>
      <c r="Y419" s="288" t="s">
        <v>18</v>
      </c>
      <c r="Z419" s="287" t="s">
        <v>18</v>
      </c>
      <c r="AA419" s="287" t="s">
        <v>18</v>
      </c>
      <c r="AB419" s="288" t="s">
        <v>18</v>
      </c>
      <c r="AC419" s="289" t="s">
        <v>18</v>
      </c>
      <c r="AD419" s="287" t="s">
        <v>18</v>
      </c>
      <c r="AE419" s="287" t="s">
        <v>18</v>
      </c>
      <c r="AF419" s="288" t="s">
        <v>18</v>
      </c>
      <c r="AG419" s="287" t="s">
        <v>18</v>
      </c>
      <c r="AH419" s="287" t="s">
        <v>18</v>
      </c>
      <c r="AI419" s="288" t="s">
        <v>18</v>
      </c>
      <c r="AJ419" s="287" t="s">
        <v>18</v>
      </c>
      <c r="AK419" s="287" t="s">
        <v>18</v>
      </c>
      <c r="AL419" s="288" t="s">
        <v>18</v>
      </c>
      <c r="AM419" s="287" t="s">
        <v>18</v>
      </c>
      <c r="AN419" s="287" t="s">
        <v>18</v>
      </c>
      <c r="AO419" s="288" t="s">
        <v>18</v>
      </c>
      <c r="AP419" s="289" t="s">
        <v>18</v>
      </c>
      <c r="AQ419" s="287" t="s">
        <v>18</v>
      </c>
      <c r="AR419" s="287" t="s">
        <v>18</v>
      </c>
      <c r="AS419" s="288" t="s">
        <v>18</v>
      </c>
      <c r="AT419" s="287" t="s">
        <v>18</v>
      </c>
      <c r="AU419" s="287" t="s">
        <v>18</v>
      </c>
      <c r="AV419" s="288" t="s">
        <v>18</v>
      </c>
      <c r="AW419" s="287" t="s">
        <v>18</v>
      </c>
      <c r="AX419" s="287" t="s">
        <v>18</v>
      </c>
      <c r="AY419" s="288" t="s">
        <v>18</v>
      </c>
      <c r="AZ419" s="287" t="s">
        <v>18</v>
      </c>
      <c r="BA419" s="287" t="s">
        <v>18</v>
      </c>
      <c r="BB419" s="295" t="s">
        <v>32</v>
      </c>
      <c r="BC419" s="289" t="s">
        <v>377</v>
      </c>
      <c r="BD419" s="287"/>
    </row>
    <row r="420" ht="12.75" customHeight="1">
      <c r="A420" s="293">
        <v>44797.83878871528</v>
      </c>
      <c r="B420" s="297" t="s">
        <v>519</v>
      </c>
      <c r="C420" s="298" t="s">
        <v>567</v>
      </c>
      <c r="D420" s="298" t="s">
        <v>16</v>
      </c>
      <c r="E420" s="285" t="s">
        <v>476</v>
      </c>
      <c r="F420" s="292" t="s">
        <v>979</v>
      </c>
      <c r="G420" s="298" t="s">
        <v>21</v>
      </c>
      <c r="H420" s="298">
        <v>11.0</v>
      </c>
      <c r="I420" s="292" t="s">
        <v>497</v>
      </c>
      <c r="J420" s="292" t="s">
        <v>498</v>
      </c>
      <c r="K420" s="287" t="s">
        <v>508</v>
      </c>
      <c r="L420" s="292" t="s">
        <v>497</v>
      </c>
      <c r="M420" s="292" t="s">
        <v>586</v>
      </c>
      <c r="N420" s="292"/>
      <c r="O420" s="292"/>
      <c r="P420" s="292"/>
      <c r="Q420" s="299" t="s">
        <v>32</v>
      </c>
      <c r="R420" s="292" t="s">
        <v>377</v>
      </c>
      <c r="S420" s="295" t="s">
        <v>32</v>
      </c>
      <c r="T420" s="292" t="s">
        <v>18</v>
      </c>
      <c r="U420" s="299" t="s">
        <v>32</v>
      </c>
      <c r="V420" s="288" t="s">
        <v>377</v>
      </c>
      <c r="W420" s="292" t="s">
        <v>18</v>
      </c>
      <c r="X420" s="292" t="s">
        <v>377</v>
      </c>
      <c r="Y420" s="288" t="s">
        <v>377</v>
      </c>
      <c r="Z420" s="292" t="s">
        <v>377</v>
      </c>
      <c r="AA420" s="292" t="s">
        <v>377</v>
      </c>
      <c r="AB420" s="288" t="s">
        <v>377</v>
      </c>
      <c r="AC420" s="289" t="s">
        <v>377</v>
      </c>
      <c r="AD420" s="292" t="s">
        <v>18</v>
      </c>
      <c r="AE420" s="292" t="s">
        <v>18</v>
      </c>
      <c r="AF420" s="288" t="s">
        <v>18</v>
      </c>
      <c r="AG420" s="292" t="s">
        <v>377</v>
      </c>
      <c r="AH420" s="292" t="s">
        <v>377</v>
      </c>
      <c r="AI420" s="288" t="s">
        <v>377</v>
      </c>
      <c r="AJ420" s="292" t="s">
        <v>18</v>
      </c>
      <c r="AK420" s="292" t="s">
        <v>18</v>
      </c>
      <c r="AL420" s="288" t="s">
        <v>18</v>
      </c>
      <c r="AM420" s="292" t="s">
        <v>18</v>
      </c>
      <c r="AN420" s="292" t="s">
        <v>18</v>
      </c>
      <c r="AO420" s="288" t="s">
        <v>18</v>
      </c>
      <c r="AP420" s="289" t="s">
        <v>18</v>
      </c>
      <c r="AQ420" s="292" t="s">
        <v>377</v>
      </c>
      <c r="AR420" s="292" t="s">
        <v>18</v>
      </c>
      <c r="AS420" s="288" t="s">
        <v>377</v>
      </c>
      <c r="AT420" s="292" t="s">
        <v>377</v>
      </c>
      <c r="AU420" s="292" t="s">
        <v>18</v>
      </c>
      <c r="AV420" s="288" t="s">
        <v>377</v>
      </c>
      <c r="AW420" s="292" t="s">
        <v>377</v>
      </c>
      <c r="AX420" s="292" t="s">
        <v>18</v>
      </c>
      <c r="AY420" s="288" t="s">
        <v>377</v>
      </c>
      <c r="AZ420" s="292" t="s">
        <v>18</v>
      </c>
      <c r="BA420" s="292" t="s">
        <v>18</v>
      </c>
      <c r="BB420" s="295" t="s">
        <v>32</v>
      </c>
      <c r="BC420" s="296" t="s">
        <v>32</v>
      </c>
      <c r="BD420" s="287"/>
    </row>
    <row r="421" ht="12.75" customHeight="1">
      <c r="A421" s="293">
        <v>44797.842954548614</v>
      </c>
      <c r="B421" s="297" t="s">
        <v>519</v>
      </c>
      <c r="C421" s="298" t="s">
        <v>567</v>
      </c>
      <c r="D421" s="298" t="s">
        <v>16</v>
      </c>
      <c r="E421" s="285" t="s">
        <v>476</v>
      </c>
      <c r="F421" s="292" t="s">
        <v>980</v>
      </c>
      <c r="G421" s="298" t="s">
        <v>17</v>
      </c>
      <c r="H421" s="298">
        <v>11.0</v>
      </c>
      <c r="I421" s="292" t="s">
        <v>497</v>
      </c>
      <c r="J421" s="292" t="s">
        <v>498</v>
      </c>
      <c r="K421" s="287" t="s">
        <v>508</v>
      </c>
      <c r="L421" s="292" t="s">
        <v>497</v>
      </c>
      <c r="M421" s="292" t="s">
        <v>586</v>
      </c>
      <c r="N421" s="292"/>
      <c r="O421" s="292"/>
      <c r="P421" s="292"/>
      <c r="Q421" s="299" t="s">
        <v>32</v>
      </c>
      <c r="R421" s="292" t="s">
        <v>377</v>
      </c>
      <c r="S421" s="295" t="s">
        <v>32</v>
      </c>
      <c r="T421" s="299" t="s">
        <v>32</v>
      </c>
      <c r="U421" s="299" t="s">
        <v>32</v>
      </c>
      <c r="V421" s="295" t="s">
        <v>32</v>
      </c>
      <c r="W421" s="292" t="s">
        <v>377</v>
      </c>
      <c r="X421" s="292" t="s">
        <v>377</v>
      </c>
      <c r="Y421" s="288" t="s">
        <v>377</v>
      </c>
      <c r="Z421" s="292" t="s">
        <v>377</v>
      </c>
      <c r="AA421" s="292" t="s">
        <v>377</v>
      </c>
      <c r="AB421" s="288" t="s">
        <v>377</v>
      </c>
      <c r="AC421" s="289" t="s">
        <v>377</v>
      </c>
      <c r="AD421" s="292" t="s">
        <v>377</v>
      </c>
      <c r="AE421" s="292" t="s">
        <v>377</v>
      </c>
      <c r="AF421" s="288" t="s">
        <v>377</v>
      </c>
      <c r="AG421" s="292" t="s">
        <v>377</v>
      </c>
      <c r="AH421" s="292" t="s">
        <v>18</v>
      </c>
      <c r="AI421" s="288" t="s">
        <v>377</v>
      </c>
      <c r="AJ421" s="292" t="s">
        <v>18</v>
      </c>
      <c r="AK421" s="292" t="s">
        <v>18</v>
      </c>
      <c r="AL421" s="288" t="s">
        <v>18</v>
      </c>
      <c r="AM421" s="292" t="s">
        <v>18</v>
      </c>
      <c r="AN421" s="299" t="s">
        <v>32</v>
      </c>
      <c r="AO421" s="288" t="s">
        <v>377</v>
      </c>
      <c r="AP421" s="289" t="s">
        <v>377</v>
      </c>
      <c r="AQ421" s="292" t="s">
        <v>377</v>
      </c>
      <c r="AR421" s="292" t="s">
        <v>377</v>
      </c>
      <c r="AS421" s="288" t="s">
        <v>377</v>
      </c>
      <c r="AT421" s="292" t="s">
        <v>377</v>
      </c>
      <c r="AU421" s="292" t="s">
        <v>377</v>
      </c>
      <c r="AV421" s="288" t="s">
        <v>377</v>
      </c>
      <c r="AW421" s="299" t="s">
        <v>32</v>
      </c>
      <c r="AX421" s="292" t="s">
        <v>377</v>
      </c>
      <c r="AY421" s="295" t="s">
        <v>32</v>
      </c>
      <c r="AZ421" s="299" t="s">
        <v>32</v>
      </c>
      <c r="BA421" s="292" t="s">
        <v>377</v>
      </c>
      <c r="BB421" s="295" t="s">
        <v>32</v>
      </c>
      <c r="BC421" s="296" t="s">
        <v>32</v>
      </c>
      <c r="BD421" s="287"/>
    </row>
    <row r="422" ht="12.75" customHeight="1">
      <c r="A422" s="293">
        <v>44797.845050081014</v>
      </c>
      <c r="B422" s="297" t="s">
        <v>519</v>
      </c>
      <c r="C422" s="298" t="s">
        <v>567</v>
      </c>
      <c r="D422" s="298" t="s">
        <v>16</v>
      </c>
      <c r="E422" s="285" t="s">
        <v>476</v>
      </c>
      <c r="F422" s="292" t="s">
        <v>520</v>
      </c>
      <c r="G422" s="298" t="s">
        <v>21</v>
      </c>
      <c r="H422" s="298">
        <v>12.0</v>
      </c>
      <c r="I422" s="292" t="s">
        <v>497</v>
      </c>
      <c r="J422" s="292" t="s">
        <v>498</v>
      </c>
      <c r="K422" s="287" t="s">
        <v>508</v>
      </c>
      <c r="L422" s="292" t="s">
        <v>497</v>
      </c>
      <c r="M422" s="292" t="s">
        <v>586</v>
      </c>
      <c r="N422" s="292"/>
      <c r="O422" s="292"/>
      <c r="P422" s="292"/>
      <c r="Q422" s="292" t="s">
        <v>377</v>
      </c>
      <c r="R422" s="292" t="s">
        <v>377</v>
      </c>
      <c r="S422" s="288" t="s">
        <v>377</v>
      </c>
      <c r="T422" s="292" t="s">
        <v>377</v>
      </c>
      <c r="U422" s="292" t="s">
        <v>377</v>
      </c>
      <c r="V422" s="288" t="s">
        <v>377</v>
      </c>
      <c r="W422" s="292" t="s">
        <v>377</v>
      </c>
      <c r="X422" s="292" t="s">
        <v>377</v>
      </c>
      <c r="Y422" s="288" t="s">
        <v>377</v>
      </c>
      <c r="Z422" s="292" t="s">
        <v>377</v>
      </c>
      <c r="AA422" s="292" t="s">
        <v>18</v>
      </c>
      <c r="AB422" s="288" t="s">
        <v>377</v>
      </c>
      <c r="AC422" s="289" t="s">
        <v>377</v>
      </c>
      <c r="AD422" s="292" t="s">
        <v>377</v>
      </c>
      <c r="AE422" s="292" t="s">
        <v>377</v>
      </c>
      <c r="AF422" s="288" t="s">
        <v>377</v>
      </c>
      <c r="AG422" s="292" t="s">
        <v>377</v>
      </c>
      <c r="AH422" s="292" t="s">
        <v>18</v>
      </c>
      <c r="AI422" s="288" t="s">
        <v>377</v>
      </c>
      <c r="AJ422" s="292" t="s">
        <v>18</v>
      </c>
      <c r="AK422" s="292" t="s">
        <v>18</v>
      </c>
      <c r="AL422" s="288" t="s">
        <v>18</v>
      </c>
      <c r="AM422" s="292" t="s">
        <v>18</v>
      </c>
      <c r="AN422" s="292" t="s">
        <v>18</v>
      </c>
      <c r="AO422" s="288" t="s">
        <v>18</v>
      </c>
      <c r="AP422" s="289" t="s">
        <v>18</v>
      </c>
      <c r="AQ422" s="292" t="s">
        <v>377</v>
      </c>
      <c r="AR422" s="292" t="s">
        <v>377</v>
      </c>
      <c r="AS422" s="288" t="s">
        <v>377</v>
      </c>
      <c r="AT422" s="292" t="s">
        <v>377</v>
      </c>
      <c r="AU422" s="292" t="s">
        <v>377</v>
      </c>
      <c r="AV422" s="288" t="s">
        <v>377</v>
      </c>
      <c r="AW422" s="292" t="s">
        <v>377</v>
      </c>
      <c r="AX422" s="292" t="s">
        <v>377</v>
      </c>
      <c r="AY422" s="288" t="s">
        <v>377</v>
      </c>
      <c r="AZ422" s="292" t="s">
        <v>377</v>
      </c>
      <c r="BA422" s="292" t="s">
        <v>377</v>
      </c>
      <c r="BB422" s="295" t="s">
        <v>32</v>
      </c>
      <c r="BC422" s="296" t="s">
        <v>32</v>
      </c>
      <c r="BD422" s="287"/>
    </row>
    <row r="423" ht="12.75" customHeight="1">
      <c r="A423" s="293">
        <v>44805.39916829861</v>
      </c>
      <c r="B423" s="297" t="s">
        <v>519</v>
      </c>
      <c r="C423" s="298" t="s">
        <v>567</v>
      </c>
      <c r="D423" s="298" t="s">
        <v>16</v>
      </c>
      <c r="E423" s="285" t="s">
        <v>476</v>
      </c>
      <c r="F423" s="292" t="s">
        <v>981</v>
      </c>
      <c r="G423" s="298" t="s">
        <v>21</v>
      </c>
      <c r="H423" s="298">
        <v>11.0</v>
      </c>
      <c r="I423" s="292" t="s">
        <v>497</v>
      </c>
      <c r="J423" s="292" t="s">
        <v>498</v>
      </c>
      <c r="K423" s="287" t="s">
        <v>508</v>
      </c>
      <c r="L423" s="292" t="s">
        <v>497</v>
      </c>
      <c r="M423" s="292" t="s">
        <v>586</v>
      </c>
      <c r="N423" s="292"/>
      <c r="O423" s="292"/>
      <c r="P423" s="292"/>
      <c r="Q423" s="299" t="s">
        <v>32</v>
      </c>
      <c r="R423" s="292" t="s">
        <v>377</v>
      </c>
      <c r="S423" s="295" t="s">
        <v>32</v>
      </c>
      <c r="T423" s="292" t="s">
        <v>377</v>
      </c>
      <c r="U423" s="299" t="s">
        <v>32</v>
      </c>
      <c r="V423" s="295" t="s">
        <v>32</v>
      </c>
      <c r="W423" s="292" t="s">
        <v>377</v>
      </c>
      <c r="X423" s="299" t="s">
        <v>32</v>
      </c>
      <c r="Y423" s="295" t="s">
        <v>32</v>
      </c>
      <c r="Z423" s="292" t="s">
        <v>377</v>
      </c>
      <c r="AA423" s="292" t="s">
        <v>377</v>
      </c>
      <c r="AB423" s="288" t="s">
        <v>377</v>
      </c>
      <c r="AC423" s="289" t="s">
        <v>377</v>
      </c>
      <c r="AD423" s="292" t="s">
        <v>377</v>
      </c>
      <c r="AE423" s="292" t="s">
        <v>377</v>
      </c>
      <c r="AF423" s="288" t="s">
        <v>377</v>
      </c>
      <c r="AG423" s="299" t="s">
        <v>32</v>
      </c>
      <c r="AH423" s="292" t="s">
        <v>377</v>
      </c>
      <c r="AI423" s="295" t="s">
        <v>32</v>
      </c>
      <c r="AJ423" s="292" t="s">
        <v>377</v>
      </c>
      <c r="AK423" s="292" t="s">
        <v>377</v>
      </c>
      <c r="AL423" s="288" t="s">
        <v>377</v>
      </c>
      <c r="AM423" s="292" t="s">
        <v>377</v>
      </c>
      <c r="AN423" s="292" t="s">
        <v>377</v>
      </c>
      <c r="AO423" s="288" t="s">
        <v>377</v>
      </c>
      <c r="AP423" s="289" t="s">
        <v>377</v>
      </c>
      <c r="AQ423" s="292" t="s">
        <v>377</v>
      </c>
      <c r="AR423" s="292" t="s">
        <v>377</v>
      </c>
      <c r="AS423" s="288" t="s">
        <v>377</v>
      </c>
      <c r="AT423" s="292" t="s">
        <v>377</v>
      </c>
      <c r="AU423" s="292" t="s">
        <v>377</v>
      </c>
      <c r="AV423" s="288" t="s">
        <v>377</v>
      </c>
      <c r="AW423" s="292" t="s">
        <v>377</v>
      </c>
      <c r="AX423" s="292" t="s">
        <v>377</v>
      </c>
      <c r="AY423" s="288" t="s">
        <v>377</v>
      </c>
      <c r="AZ423" s="292" t="s">
        <v>377</v>
      </c>
      <c r="BA423" s="292" t="s">
        <v>377</v>
      </c>
      <c r="BB423" s="295" t="s">
        <v>32</v>
      </c>
      <c r="BC423" s="289" t="s">
        <v>377</v>
      </c>
      <c r="BD423" s="287"/>
    </row>
    <row r="424" ht="12.75" customHeight="1">
      <c r="A424" s="293">
        <v>44805.400499421296</v>
      </c>
      <c r="B424" s="297" t="s">
        <v>519</v>
      </c>
      <c r="C424" s="298" t="s">
        <v>567</v>
      </c>
      <c r="D424" s="298" t="s">
        <v>16</v>
      </c>
      <c r="E424" s="285" t="s">
        <v>476</v>
      </c>
      <c r="F424" s="292" t="s">
        <v>982</v>
      </c>
      <c r="G424" s="298" t="s">
        <v>21</v>
      </c>
      <c r="H424" s="298">
        <v>12.0</v>
      </c>
      <c r="I424" s="292" t="s">
        <v>497</v>
      </c>
      <c r="J424" s="292" t="s">
        <v>498</v>
      </c>
      <c r="K424" s="287" t="s">
        <v>508</v>
      </c>
      <c r="L424" s="292" t="s">
        <v>497</v>
      </c>
      <c r="M424" s="292" t="s">
        <v>586</v>
      </c>
      <c r="N424" s="292"/>
      <c r="O424" s="292"/>
      <c r="P424" s="292"/>
      <c r="Q424" s="299" t="s">
        <v>32</v>
      </c>
      <c r="R424" s="292" t="s">
        <v>377</v>
      </c>
      <c r="S424" s="295" t="s">
        <v>32</v>
      </c>
      <c r="T424" s="292" t="s">
        <v>377</v>
      </c>
      <c r="U424" s="292" t="s">
        <v>377</v>
      </c>
      <c r="V424" s="288" t="s">
        <v>377</v>
      </c>
      <c r="W424" s="292" t="s">
        <v>377</v>
      </c>
      <c r="X424" s="292" t="s">
        <v>377</v>
      </c>
      <c r="Y424" s="288" t="s">
        <v>377</v>
      </c>
      <c r="Z424" s="292" t="s">
        <v>377</v>
      </c>
      <c r="AA424" s="292" t="s">
        <v>377</v>
      </c>
      <c r="AB424" s="288" t="s">
        <v>377</v>
      </c>
      <c r="AC424" s="289" t="s">
        <v>377</v>
      </c>
      <c r="AD424" s="292" t="s">
        <v>377</v>
      </c>
      <c r="AE424" s="299" t="s">
        <v>32</v>
      </c>
      <c r="AF424" s="295" t="s">
        <v>32</v>
      </c>
      <c r="AG424" s="292" t="s">
        <v>377</v>
      </c>
      <c r="AH424" s="292" t="s">
        <v>377</v>
      </c>
      <c r="AI424" s="288" t="s">
        <v>377</v>
      </c>
      <c r="AJ424" s="292" t="s">
        <v>377</v>
      </c>
      <c r="AK424" s="292" t="s">
        <v>377</v>
      </c>
      <c r="AL424" s="288" t="s">
        <v>377</v>
      </c>
      <c r="AM424" s="292" t="s">
        <v>377</v>
      </c>
      <c r="AN424" s="292" t="s">
        <v>377</v>
      </c>
      <c r="AO424" s="288" t="s">
        <v>377</v>
      </c>
      <c r="AP424" s="289" t="s">
        <v>377</v>
      </c>
      <c r="AQ424" s="292" t="s">
        <v>377</v>
      </c>
      <c r="AR424" s="292" t="s">
        <v>377</v>
      </c>
      <c r="AS424" s="288" t="s">
        <v>377</v>
      </c>
      <c r="AT424" s="299" t="s">
        <v>32</v>
      </c>
      <c r="AU424" s="292" t="s">
        <v>377</v>
      </c>
      <c r="AV424" s="295" t="s">
        <v>32</v>
      </c>
      <c r="AW424" s="292" t="s">
        <v>377</v>
      </c>
      <c r="AX424" s="292" t="s">
        <v>377</v>
      </c>
      <c r="AY424" s="288" t="s">
        <v>377</v>
      </c>
      <c r="AZ424" s="292" t="s">
        <v>377</v>
      </c>
      <c r="BA424" s="292" t="s">
        <v>377</v>
      </c>
      <c r="BB424" s="295" t="s">
        <v>32</v>
      </c>
      <c r="BC424" s="289" t="s">
        <v>377</v>
      </c>
      <c r="BD424" s="287"/>
    </row>
    <row r="425" ht="12.75" customHeight="1">
      <c r="A425" s="293">
        <v>44805.40223868056</v>
      </c>
      <c r="B425" s="297" t="s">
        <v>519</v>
      </c>
      <c r="C425" s="298" t="s">
        <v>567</v>
      </c>
      <c r="D425" s="298" t="s">
        <v>16</v>
      </c>
      <c r="E425" s="285" t="s">
        <v>476</v>
      </c>
      <c r="F425" s="292" t="s">
        <v>521</v>
      </c>
      <c r="G425" s="298" t="s">
        <v>21</v>
      </c>
      <c r="H425" s="298">
        <v>12.0</v>
      </c>
      <c r="I425" s="292" t="s">
        <v>497</v>
      </c>
      <c r="J425" s="292" t="s">
        <v>498</v>
      </c>
      <c r="K425" s="287" t="s">
        <v>508</v>
      </c>
      <c r="L425" s="292" t="s">
        <v>497</v>
      </c>
      <c r="M425" s="292" t="s">
        <v>586</v>
      </c>
      <c r="N425" s="292"/>
      <c r="O425" s="292"/>
      <c r="P425" s="292"/>
      <c r="Q425" s="299" t="s">
        <v>32</v>
      </c>
      <c r="R425" s="292" t="s">
        <v>18</v>
      </c>
      <c r="S425" s="288" t="s">
        <v>377</v>
      </c>
      <c r="T425" s="292" t="s">
        <v>377</v>
      </c>
      <c r="U425" s="299" t="s">
        <v>32</v>
      </c>
      <c r="V425" s="295" t="s">
        <v>32</v>
      </c>
      <c r="W425" s="299" t="s">
        <v>32</v>
      </c>
      <c r="X425" s="292" t="s">
        <v>18</v>
      </c>
      <c r="Y425" s="288" t="s">
        <v>377</v>
      </c>
      <c r="Z425" s="292" t="s">
        <v>18</v>
      </c>
      <c r="AA425" s="292" t="s">
        <v>377</v>
      </c>
      <c r="AB425" s="288" t="s">
        <v>377</v>
      </c>
      <c r="AC425" s="289" t="s">
        <v>377</v>
      </c>
      <c r="AD425" s="299" t="s">
        <v>32</v>
      </c>
      <c r="AE425" s="299" t="s">
        <v>32</v>
      </c>
      <c r="AF425" s="295" t="s">
        <v>32</v>
      </c>
      <c r="AG425" s="292" t="s">
        <v>377</v>
      </c>
      <c r="AH425" s="292" t="s">
        <v>377</v>
      </c>
      <c r="AI425" s="288" t="s">
        <v>377</v>
      </c>
      <c r="AJ425" s="299" t="s">
        <v>32</v>
      </c>
      <c r="AK425" s="292" t="s">
        <v>18</v>
      </c>
      <c r="AL425" s="288" t="s">
        <v>377</v>
      </c>
      <c r="AM425" s="292" t="s">
        <v>18</v>
      </c>
      <c r="AN425" s="292" t="s">
        <v>18</v>
      </c>
      <c r="AO425" s="288" t="s">
        <v>18</v>
      </c>
      <c r="AP425" s="289" t="s">
        <v>377</v>
      </c>
      <c r="AQ425" s="292" t="s">
        <v>377</v>
      </c>
      <c r="AR425" s="299" t="s">
        <v>32</v>
      </c>
      <c r="AS425" s="295" t="s">
        <v>32</v>
      </c>
      <c r="AT425" s="299" t="s">
        <v>32</v>
      </c>
      <c r="AU425" s="292" t="s">
        <v>377</v>
      </c>
      <c r="AV425" s="295" t="s">
        <v>32</v>
      </c>
      <c r="AW425" s="292" t="s">
        <v>377</v>
      </c>
      <c r="AX425" s="292" t="s">
        <v>377</v>
      </c>
      <c r="AY425" s="288" t="s">
        <v>377</v>
      </c>
      <c r="AZ425" s="299" t="s">
        <v>32</v>
      </c>
      <c r="BA425" s="299" t="s">
        <v>32</v>
      </c>
      <c r="BB425" s="295" t="s">
        <v>32</v>
      </c>
      <c r="BC425" s="296" t="s">
        <v>32</v>
      </c>
      <c r="BD425" s="287"/>
    </row>
    <row r="426" ht="12.75" customHeight="1">
      <c r="A426" s="293">
        <v>44805.40374136574</v>
      </c>
      <c r="B426" s="297" t="s">
        <v>519</v>
      </c>
      <c r="C426" s="298" t="s">
        <v>567</v>
      </c>
      <c r="D426" s="298" t="s">
        <v>16</v>
      </c>
      <c r="E426" s="285" t="s">
        <v>476</v>
      </c>
      <c r="F426" s="292" t="s">
        <v>522</v>
      </c>
      <c r="G426" s="298" t="s">
        <v>17</v>
      </c>
      <c r="H426" s="298">
        <v>12.0</v>
      </c>
      <c r="I426" s="292" t="s">
        <v>497</v>
      </c>
      <c r="J426" s="292" t="s">
        <v>498</v>
      </c>
      <c r="K426" s="287" t="s">
        <v>508</v>
      </c>
      <c r="L426" s="292" t="s">
        <v>497</v>
      </c>
      <c r="M426" s="292" t="s">
        <v>586</v>
      </c>
      <c r="N426" s="292"/>
      <c r="O426" s="292"/>
      <c r="P426" s="292"/>
      <c r="Q426" s="299" t="s">
        <v>32</v>
      </c>
      <c r="R426" s="292" t="s">
        <v>18</v>
      </c>
      <c r="S426" s="288" t="s">
        <v>377</v>
      </c>
      <c r="T426" s="292" t="s">
        <v>18</v>
      </c>
      <c r="U426" s="299" t="s">
        <v>32</v>
      </c>
      <c r="V426" s="288" t="s">
        <v>377</v>
      </c>
      <c r="W426" s="292" t="s">
        <v>18</v>
      </c>
      <c r="X426" s="292" t="s">
        <v>18</v>
      </c>
      <c r="Y426" s="288" t="s">
        <v>18</v>
      </c>
      <c r="Z426" s="292" t="s">
        <v>18</v>
      </c>
      <c r="AA426" s="292" t="s">
        <v>18</v>
      </c>
      <c r="AB426" s="288" t="s">
        <v>18</v>
      </c>
      <c r="AC426" s="289" t="s">
        <v>377</v>
      </c>
      <c r="AD426" s="292" t="s">
        <v>18</v>
      </c>
      <c r="AE426" s="292" t="s">
        <v>18</v>
      </c>
      <c r="AF426" s="288" t="s">
        <v>18</v>
      </c>
      <c r="AG426" s="299" t="s">
        <v>32</v>
      </c>
      <c r="AH426" s="292" t="s">
        <v>18</v>
      </c>
      <c r="AI426" s="288" t="s">
        <v>377</v>
      </c>
      <c r="AJ426" s="292" t="s">
        <v>18</v>
      </c>
      <c r="AK426" s="292" t="s">
        <v>18</v>
      </c>
      <c r="AL426" s="288" t="s">
        <v>18</v>
      </c>
      <c r="AM426" s="292" t="s">
        <v>18</v>
      </c>
      <c r="AN426" s="292" t="s">
        <v>18</v>
      </c>
      <c r="AO426" s="288" t="s">
        <v>18</v>
      </c>
      <c r="AP426" s="289" t="s">
        <v>18</v>
      </c>
      <c r="AQ426" s="299" t="s">
        <v>32</v>
      </c>
      <c r="AR426" s="292" t="s">
        <v>377</v>
      </c>
      <c r="AS426" s="295" t="s">
        <v>32</v>
      </c>
      <c r="AT426" s="299" t="s">
        <v>32</v>
      </c>
      <c r="AU426" s="299" t="s">
        <v>32</v>
      </c>
      <c r="AV426" s="295" t="s">
        <v>32</v>
      </c>
      <c r="AW426" s="292" t="s">
        <v>18</v>
      </c>
      <c r="AX426" s="292" t="s">
        <v>18</v>
      </c>
      <c r="AY426" s="288" t="s">
        <v>18</v>
      </c>
      <c r="AZ426" s="299" t="s">
        <v>32</v>
      </c>
      <c r="BA426" s="299" t="s">
        <v>32</v>
      </c>
      <c r="BB426" s="295" t="s">
        <v>32</v>
      </c>
      <c r="BC426" s="296" t="s">
        <v>32</v>
      </c>
      <c r="BD426" s="287"/>
    </row>
    <row r="427" ht="12.75" customHeight="1">
      <c r="A427" s="293">
        <v>44805.40514793982</v>
      </c>
      <c r="B427" s="297" t="s">
        <v>519</v>
      </c>
      <c r="C427" s="298" t="s">
        <v>567</v>
      </c>
      <c r="D427" s="298" t="s">
        <v>16</v>
      </c>
      <c r="E427" s="285" t="s">
        <v>476</v>
      </c>
      <c r="F427" s="292" t="s">
        <v>523</v>
      </c>
      <c r="G427" s="298" t="s">
        <v>21</v>
      </c>
      <c r="H427" s="298">
        <v>12.0</v>
      </c>
      <c r="I427" s="292" t="s">
        <v>497</v>
      </c>
      <c r="J427" s="292" t="s">
        <v>498</v>
      </c>
      <c r="K427" s="287" t="s">
        <v>508</v>
      </c>
      <c r="L427" s="292" t="s">
        <v>497</v>
      </c>
      <c r="M427" s="292" t="s">
        <v>586</v>
      </c>
      <c r="N427" s="292"/>
      <c r="O427" s="292"/>
      <c r="P427" s="292"/>
      <c r="Q427" s="292" t="s">
        <v>377</v>
      </c>
      <c r="R427" s="292" t="s">
        <v>18</v>
      </c>
      <c r="S427" s="288" t="s">
        <v>377</v>
      </c>
      <c r="T427" s="292" t="s">
        <v>377</v>
      </c>
      <c r="U427" s="292" t="s">
        <v>18</v>
      </c>
      <c r="V427" s="288" t="s">
        <v>377</v>
      </c>
      <c r="W427" s="292" t="s">
        <v>377</v>
      </c>
      <c r="X427" s="292" t="s">
        <v>18</v>
      </c>
      <c r="Y427" s="288" t="s">
        <v>377</v>
      </c>
      <c r="Z427" s="292" t="s">
        <v>377</v>
      </c>
      <c r="AA427" s="292" t="s">
        <v>377</v>
      </c>
      <c r="AB427" s="288" t="s">
        <v>377</v>
      </c>
      <c r="AC427" s="289" t="s">
        <v>377</v>
      </c>
      <c r="AD427" s="292" t="s">
        <v>377</v>
      </c>
      <c r="AE427" s="292" t="s">
        <v>377</v>
      </c>
      <c r="AF427" s="288" t="s">
        <v>377</v>
      </c>
      <c r="AG427" s="292" t="s">
        <v>377</v>
      </c>
      <c r="AH427" s="292" t="s">
        <v>377</v>
      </c>
      <c r="AI427" s="288" t="s">
        <v>377</v>
      </c>
      <c r="AJ427" s="292" t="s">
        <v>377</v>
      </c>
      <c r="AK427" s="292" t="s">
        <v>377</v>
      </c>
      <c r="AL427" s="288" t="s">
        <v>377</v>
      </c>
      <c r="AM427" s="292" t="s">
        <v>377</v>
      </c>
      <c r="AN427" s="292" t="s">
        <v>18</v>
      </c>
      <c r="AO427" s="288" t="s">
        <v>377</v>
      </c>
      <c r="AP427" s="289" t="s">
        <v>377</v>
      </c>
      <c r="AQ427" s="292" t="s">
        <v>377</v>
      </c>
      <c r="AR427" s="292" t="s">
        <v>377</v>
      </c>
      <c r="AS427" s="288" t="s">
        <v>377</v>
      </c>
      <c r="AT427" s="292" t="s">
        <v>377</v>
      </c>
      <c r="AU427" s="292" t="s">
        <v>377</v>
      </c>
      <c r="AV427" s="288" t="s">
        <v>377</v>
      </c>
      <c r="AW427" s="292" t="s">
        <v>377</v>
      </c>
      <c r="AX427" s="292" t="s">
        <v>377</v>
      </c>
      <c r="AY427" s="288" t="s">
        <v>377</v>
      </c>
      <c r="AZ427" s="292" t="s">
        <v>377</v>
      </c>
      <c r="BA427" s="292" t="s">
        <v>377</v>
      </c>
      <c r="BB427" s="295" t="s">
        <v>32</v>
      </c>
      <c r="BC427" s="296" t="s">
        <v>32</v>
      </c>
      <c r="BD427" s="287"/>
    </row>
    <row r="428" ht="12.75" customHeight="1">
      <c r="A428" s="293">
        <v>44805.40704017361</v>
      </c>
      <c r="B428" s="297" t="s">
        <v>519</v>
      </c>
      <c r="C428" s="298" t="s">
        <v>567</v>
      </c>
      <c r="D428" s="298" t="s">
        <v>16</v>
      </c>
      <c r="E428" s="285" t="s">
        <v>476</v>
      </c>
      <c r="F428" s="292" t="s">
        <v>983</v>
      </c>
      <c r="G428" s="298" t="s">
        <v>21</v>
      </c>
      <c r="H428" s="298">
        <v>12.0</v>
      </c>
      <c r="I428" s="292" t="s">
        <v>497</v>
      </c>
      <c r="J428" s="292" t="s">
        <v>498</v>
      </c>
      <c r="K428" s="287" t="s">
        <v>508</v>
      </c>
      <c r="L428" s="292" t="s">
        <v>497</v>
      </c>
      <c r="M428" s="292" t="s">
        <v>586</v>
      </c>
      <c r="N428" s="292"/>
      <c r="O428" s="292"/>
      <c r="P428" s="292"/>
      <c r="Q428" s="299" t="s">
        <v>32</v>
      </c>
      <c r="R428" s="299" t="s">
        <v>32</v>
      </c>
      <c r="S428" s="295" t="s">
        <v>32</v>
      </c>
      <c r="T428" s="299" t="s">
        <v>32</v>
      </c>
      <c r="U428" s="299" t="s">
        <v>32</v>
      </c>
      <c r="V428" s="295" t="s">
        <v>32</v>
      </c>
      <c r="W428" s="292" t="s">
        <v>377</v>
      </c>
      <c r="X428" s="292" t="s">
        <v>377</v>
      </c>
      <c r="Y428" s="288" t="s">
        <v>377</v>
      </c>
      <c r="Z428" s="292" t="s">
        <v>377</v>
      </c>
      <c r="AA428" s="292" t="s">
        <v>377</v>
      </c>
      <c r="AB428" s="288" t="s">
        <v>377</v>
      </c>
      <c r="AC428" s="296" t="s">
        <v>32</v>
      </c>
      <c r="AD428" s="292" t="s">
        <v>377</v>
      </c>
      <c r="AE428" s="292" t="s">
        <v>377</v>
      </c>
      <c r="AF428" s="288" t="s">
        <v>377</v>
      </c>
      <c r="AG428" s="292" t="s">
        <v>377</v>
      </c>
      <c r="AH428" s="292" t="s">
        <v>377</v>
      </c>
      <c r="AI428" s="288" t="s">
        <v>377</v>
      </c>
      <c r="AJ428" s="292" t="s">
        <v>377</v>
      </c>
      <c r="AK428" s="292" t="s">
        <v>377</v>
      </c>
      <c r="AL428" s="288" t="s">
        <v>377</v>
      </c>
      <c r="AM428" s="292" t="s">
        <v>377</v>
      </c>
      <c r="AN428" s="292" t="s">
        <v>377</v>
      </c>
      <c r="AO428" s="288" t="s">
        <v>377</v>
      </c>
      <c r="AP428" s="289" t="s">
        <v>377</v>
      </c>
      <c r="AQ428" s="292" t="s">
        <v>18</v>
      </c>
      <c r="AR428" s="292" t="s">
        <v>377</v>
      </c>
      <c r="AS428" s="288" t="s">
        <v>377</v>
      </c>
      <c r="AT428" s="299" t="s">
        <v>32</v>
      </c>
      <c r="AU428" s="299" t="s">
        <v>32</v>
      </c>
      <c r="AV428" s="295" t="s">
        <v>32</v>
      </c>
      <c r="AW428" s="292" t="s">
        <v>377</v>
      </c>
      <c r="AX428" s="292" t="s">
        <v>377</v>
      </c>
      <c r="AY428" s="288" t="s">
        <v>377</v>
      </c>
      <c r="AZ428" s="299" t="s">
        <v>32</v>
      </c>
      <c r="BA428" s="292" t="s">
        <v>377</v>
      </c>
      <c r="BB428" s="295" t="s">
        <v>32</v>
      </c>
      <c r="BC428" s="296" t="s">
        <v>32</v>
      </c>
      <c r="BD428" s="287"/>
    </row>
    <row r="429" ht="12.75" customHeight="1">
      <c r="A429" s="293">
        <v>44805.40855288194</v>
      </c>
      <c r="B429" s="297" t="s">
        <v>519</v>
      </c>
      <c r="C429" s="298" t="s">
        <v>567</v>
      </c>
      <c r="D429" s="298" t="s">
        <v>16</v>
      </c>
      <c r="E429" s="285" t="s">
        <v>476</v>
      </c>
      <c r="F429" s="292" t="s">
        <v>984</v>
      </c>
      <c r="G429" s="298" t="s">
        <v>17</v>
      </c>
      <c r="H429" s="298">
        <v>12.0</v>
      </c>
      <c r="I429" s="292" t="s">
        <v>497</v>
      </c>
      <c r="J429" s="292" t="s">
        <v>498</v>
      </c>
      <c r="K429" s="287" t="s">
        <v>508</v>
      </c>
      <c r="L429" s="292" t="s">
        <v>497</v>
      </c>
      <c r="M429" s="292" t="s">
        <v>586</v>
      </c>
      <c r="N429" s="292"/>
      <c r="O429" s="292"/>
      <c r="P429" s="292"/>
      <c r="Q429" s="299" t="s">
        <v>32</v>
      </c>
      <c r="R429" s="299" t="s">
        <v>32</v>
      </c>
      <c r="S429" s="295" t="s">
        <v>32</v>
      </c>
      <c r="T429" s="299" t="s">
        <v>32</v>
      </c>
      <c r="U429" s="292" t="s">
        <v>18</v>
      </c>
      <c r="V429" s="288" t="s">
        <v>377</v>
      </c>
      <c r="W429" s="299" t="s">
        <v>32</v>
      </c>
      <c r="X429" s="299" t="s">
        <v>32</v>
      </c>
      <c r="Y429" s="295" t="s">
        <v>32</v>
      </c>
      <c r="Z429" s="299" t="s">
        <v>32</v>
      </c>
      <c r="AA429" s="299" t="s">
        <v>32</v>
      </c>
      <c r="AB429" s="295" t="s">
        <v>32</v>
      </c>
      <c r="AC429" s="296" t="s">
        <v>32</v>
      </c>
      <c r="AD429" s="292" t="s">
        <v>377</v>
      </c>
      <c r="AE429" s="292" t="s">
        <v>377</v>
      </c>
      <c r="AF429" s="288" t="s">
        <v>377</v>
      </c>
      <c r="AG429" s="292" t="s">
        <v>377</v>
      </c>
      <c r="AH429" s="292" t="s">
        <v>18</v>
      </c>
      <c r="AI429" s="288" t="s">
        <v>377</v>
      </c>
      <c r="AJ429" s="292" t="s">
        <v>377</v>
      </c>
      <c r="AK429" s="292" t="s">
        <v>377</v>
      </c>
      <c r="AL429" s="288" t="s">
        <v>377</v>
      </c>
      <c r="AM429" s="292" t="s">
        <v>18</v>
      </c>
      <c r="AN429" s="292" t="s">
        <v>18</v>
      </c>
      <c r="AO429" s="288" t="s">
        <v>18</v>
      </c>
      <c r="AP429" s="289" t="s">
        <v>377</v>
      </c>
      <c r="AQ429" s="292" t="s">
        <v>377</v>
      </c>
      <c r="AR429" s="299" t="s">
        <v>32</v>
      </c>
      <c r="AS429" s="295" t="s">
        <v>32</v>
      </c>
      <c r="AT429" s="299" t="s">
        <v>32</v>
      </c>
      <c r="AU429" s="292" t="s">
        <v>377</v>
      </c>
      <c r="AV429" s="295" t="s">
        <v>32</v>
      </c>
      <c r="AW429" s="299" t="s">
        <v>32</v>
      </c>
      <c r="AX429" s="292" t="s">
        <v>377</v>
      </c>
      <c r="AY429" s="295" t="s">
        <v>32</v>
      </c>
      <c r="AZ429" s="299" t="s">
        <v>32</v>
      </c>
      <c r="BA429" s="292" t="s">
        <v>377</v>
      </c>
      <c r="BB429" s="288" t="s">
        <v>377</v>
      </c>
      <c r="BC429" s="289" t="s">
        <v>377</v>
      </c>
      <c r="BD429" s="287"/>
    </row>
    <row r="430" ht="12.75" customHeight="1">
      <c r="A430" s="293">
        <v>44805.40983662037</v>
      </c>
      <c r="B430" s="297" t="s">
        <v>519</v>
      </c>
      <c r="C430" s="298" t="s">
        <v>567</v>
      </c>
      <c r="D430" s="298" t="s">
        <v>16</v>
      </c>
      <c r="E430" s="285" t="s">
        <v>476</v>
      </c>
      <c r="F430" s="292" t="s">
        <v>985</v>
      </c>
      <c r="G430" s="298" t="s">
        <v>21</v>
      </c>
      <c r="H430" s="298">
        <v>12.0</v>
      </c>
      <c r="I430" s="292" t="s">
        <v>497</v>
      </c>
      <c r="J430" s="292" t="s">
        <v>498</v>
      </c>
      <c r="K430" s="287" t="s">
        <v>508</v>
      </c>
      <c r="L430" s="292" t="s">
        <v>497</v>
      </c>
      <c r="M430" s="292" t="s">
        <v>586</v>
      </c>
      <c r="N430" s="292"/>
      <c r="O430" s="292"/>
      <c r="P430" s="292"/>
      <c r="Q430" s="299" t="s">
        <v>32</v>
      </c>
      <c r="R430" s="299" t="s">
        <v>32</v>
      </c>
      <c r="S430" s="295" t="s">
        <v>32</v>
      </c>
      <c r="T430" s="299" t="s">
        <v>32</v>
      </c>
      <c r="U430" s="299" t="s">
        <v>32</v>
      </c>
      <c r="V430" s="295" t="s">
        <v>32</v>
      </c>
      <c r="W430" s="299" t="s">
        <v>32</v>
      </c>
      <c r="X430" s="292" t="s">
        <v>377</v>
      </c>
      <c r="Y430" s="295" t="s">
        <v>32</v>
      </c>
      <c r="Z430" s="299" t="s">
        <v>32</v>
      </c>
      <c r="AA430" s="299" t="s">
        <v>32</v>
      </c>
      <c r="AB430" s="295" t="s">
        <v>32</v>
      </c>
      <c r="AC430" s="296" t="s">
        <v>32</v>
      </c>
      <c r="AD430" s="292" t="s">
        <v>377</v>
      </c>
      <c r="AE430" s="292" t="s">
        <v>18</v>
      </c>
      <c r="AF430" s="288" t="s">
        <v>377</v>
      </c>
      <c r="AG430" s="292" t="s">
        <v>377</v>
      </c>
      <c r="AH430" s="292" t="s">
        <v>377</v>
      </c>
      <c r="AI430" s="288" t="s">
        <v>377</v>
      </c>
      <c r="AJ430" s="292" t="s">
        <v>377</v>
      </c>
      <c r="AK430" s="292" t="s">
        <v>377</v>
      </c>
      <c r="AL430" s="288" t="s">
        <v>377</v>
      </c>
      <c r="AM430" s="292" t="s">
        <v>377</v>
      </c>
      <c r="AN430" s="292" t="s">
        <v>377</v>
      </c>
      <c r="AO430" s="288" t="s">
        <v>377</v>
      </c>
      <c r="AP430" s="289" t="s">
        <v>377</v>
      </c>
      <c r="AQ430" s="299" t="s">
        <v>32</v>
      </c>
      <c r="AR430" s="292" t="s">
        <v>377</v>
      </c>
      <c r="AS430" s="295" t="s">
        <v>32</v>
      </c>
      <c r="AT430" s="299" t="s">
        <v>32</v>
      </c>
      <c r="AU430" s="292" t="s">
        <v>377</v>
      </c>
      <c r="AV430" s="295" t="s">
        <v>32</v>
      </c>
      <c r="AW430" s="299" t="s">
        <v>32</v>
      </c>
      <c r="AX430" s="292" t="s">
        <v>377</v>
      </c>
      <c r="AY430" s="295" t="s">
        <v>32</v>
      </c>
      <c r="AZ430" s="299" t="s">
        <v>32</v>
      </c>
      <c r="BA430" s="292" t="s">
        <v>377</v>
      </c>
      <c r="BB430" s="295" t="s">
        <v>32</v>
      </c>
      <c r="BC430" s="289" t="s">
        <v>377</v>
      </c>
      <c r="BD430" s="287"/>
    </row>
    <row r="431" ht="12.75" customHeight="1">
      <c r="A431" s="293">
        <v>44805.411212928244</v>
      </c>
      <c r="B431" s="297" t="s">
        <v>519</v>
      </c>
      <c r="C431" s="298" t="s">
        <v>567</v>
      </c>
      <c r="D431" s="298" t="s">
        <v>16</v>
      </c>
      <c r="E431" s="285" t="s">
        <v>476</v>
      </c>
      <c r="F431" s="292" t="s">
        <v>986</v>
      </c>
      <c r="G431" s="298" t="s">
        <v>17</v>
      </c>
      <c r="H431" s="298">
        <v>12.0</v>
      </c>
      <c r="I431" s="292" t="s">
        <v>497</v>
      </c>
      <c r="J431" s="292" t="s">
        <v>498</v>
      </c>
      <c r="K431" s="287" t="s">
        <v>508</v>
      </c>
      <c r="L431" s="292" t="s">
        <v>497</v>
      </c>
      <c r="M431" s="292" t="s">
        <v>586</v>
      </c>
      <c r="N431" s="292"/>
      <c r="O431" s="292"/>
      <c r="P431" s="292"/>
      <c r="Q431" s="299" t="s">
        <v>32</v>
      </c>
      <c r="R431" s="292" t="s">
        <v>377</v>
      </c>
      <c r="S431" s="295" t="s">
        <v>32</v>
      </c>
      <c r="T431" s="299" t="s">
        <v>32</v>
      </c>
      <c r="U431" s="292" t="s">
        <v>377</v>
      </c>
      <c r="V431" s="295" t="s">
        <v>32</v>
      </c>
      <c r="W431" s="299" t="s">
        <v>32</v>
      </c>
      <c r="X431" s="299" t="s">
        <v>32</v>
      </c>
      <c r="Y431" s="295" t="s">
        <v>32</v>
      </c>
      <c r="Z431" s="292" t="s">
        <v>377</v>
      </c>
      <c r="AA431" s="299" t="s">
        <v>32</v>
      </c>
      <c r="AB431" s="295" t="s">
        <v>32</v>
      </c>
      <c r="AC431" s="296" t="s">
        <v>32</v>
      </c>
      <c r="AD431" s="292" t="s">
        <v>377</v>
      </c>
      <c r="AE431" s="292" t="s">
        <v>18</v>
      </c>
      <c r="AF431" s="288" t="s">
        <v>377</v>
      </c>
      <c r="AG431" s="292" t="s">
        <v>377</v>
      </c>
      <c r="AH431" s="292" t="s">
        <v>377</v>
      </c>
      <c r="AI431" s="288" t="s">
        <v>377</v>
      </c>
      <c r="AJ431" s="292" t="s">
        <v>377</v>
      </c>
      <c r="AK431" s="292" t="s">
        <v>377</v>
      </c>
      <c r="AL431" s="288" t="s">
        <v>377</v>
      </c>
      <c r="AM431" s="292" t="s">
        <v>18</v>
      </c>
      <c r="AN431" s="292" t="s">
        <v>377</v>
      </c>
      <c r="AO431" s="288" t="s">
        <v>377</v>
      </c>
      <c r="AP431" s="289" t="s">
        <v>377</v>
      </c>
      <c r="AQ431" s="292" t="s">
        <v>377</v>
      </c>
      <c r="AR431" s="292" t="s">
        <v>377</v>
      </c>
      <c r="AS431" s="288" t="s">
        <v>377</v>
      </c>
      <c r="AT431" s="299" t="s">
        <v>32</v>
      </c>
      <c r="AU431" s="299" t="s">
        <v>32</v>
      </c>
      <c r="AV431" s="295" t="s">
        <v>32</v>
      </c>
      <c r="AW431" s="299" t="s">
        <v>32</v>
      </c>
      <c r="AX431" s="292" t="s">
        <v>18</v>
      </c>
      <c r="AY431" s="288" t="s">
        <v>377</v>
      </c>
      <c r="AZ431" s="299" t="s">
        <v>32</v>
      </c>
      <c r="BA431" s="299" t="s">
        <v>32</v>
      </c>
      <c r="BB431" s="295" t="s">
        <v>32</v>
      </c>
      <c r="BC431" s="296" t="s">
        <v>32</v>
      </c>
      <c r="BD431" s="287"/>
    </row>
    <row r="432" ht="12.75" customHeight="1">
      <c r="A432" s="293">
        <v>44805.41226423611</v>
      </c>
      <c r="B432" s="297" t="s">
        <v>519</v>
      </c>
      <c r="C432" s="298" t="s">
        <v>567</v>
      </c>
      <c r="D432" s="298" t="s">
        <v>16</v>
      </c>
      <c r="E432" s="285" t="s">
        <v>476</v>
      </c>
      <c r="F432" s="292" t="s">
        <v>987</v>
      </c>
      <c r="G432" s="298" t="s">
        <v>17</v>
      </c>
      <c r="H432" s="298">
        <v>12.0</v>
      </c>
      <c r="I432" s="292" t="s">
        <v>497</v>
      </c>
      <c r="J432" s="292" t="s">
        <v>498</v>
      </c>
      <c r="K432" s="287" t="s">
        <v>508</v>
      </c>
      <c r="L432" s="292" t="s">
        <v>497</v>
      </c>
      <c r="M432" s="292" t="s">
        <v>586</v>
      </c>
      <c r="N432" s="292"/>
      <c r="O432" s="292"/>
      <c r="P432" s="292"/>
      <c r="Q432" s="292" t="s">
        <v>18</v>
      </c>
      <c r="R432" s="292" t="s">
        <v>18</v>
      </c>
      <c r="S432" s="288" t="s">
        <v>18</v>
      </c>
      <c r="T432" s="292" t="s">
        <v>18</v>
      </c>
      <c r="U432" s="292" t="s">
        <v>18</v>
      </c>
      <c r="V432" s="288" t="s">
        <v>18</v>
      </c>
      <c r="W432" s="292" t="s">
        <v>18</v>
      </c>
      <c r="X432" s="292" t="s">
        <v>18</v>
      </c>
      <c r="Y432" s="288" t="s">
        <v>18</v>
      </c>
      <c r="Z432" s="292" t="s">
        <v>18</v>
      </c>
      <c r="AA432" s="292" t="s">
        <v>18</v>
      </c>
      <c r="AB432" s="288" t="s">
        <v>18</v>
      </c>
      <c r="AC432" s="289" t="s">
        <v>18</v>
      </c>
      <c r="AD432" s="292" t="s">
        <v>18</v>
      </c>
      <c r="AE432" s="292" t="s">
        <v>18</v>
      </c>
      <c r="AF432" s="288" t="s">
        <v>18</v>
      </c>
      <c r="AG432" s="292" t="s">
        <v>18</v>
      </c>
      <c r="AH432" s="292" t="s">
        <v>18</v>
      </c>
      <c r="AI432" s="288" t="s">
        <v>18</v>
      </c>
      <c r="AJ432" s="292" t="s">
        <v>18</v>
      </c>
      <c r="AK432" s="292" t="s">
        <v>18</v>
      </c>
      <c r="AL432" s="288" t="s">
        <v>18</v>
      </c>
      <c r="AM432" s="292" t="s">
        <v>18</v>
      </c>
      <c r="AN432" s="292" t="s">
        <v>18</v>
      </c>
      <c r="AO432" s="288" t="s">
        <v>18</v>
      </c>
      <c r="AP432" s="289" t="s">
        <v>18</v>
      </c>
      <c r="AQ432" s="299" t="s">
        <v>32</v>
      </c>
      <c r="AR432" s="292" t="s">
        <v>18</v>
      </c>
      <c r="AS432" s="288" t="s">
        <v>377</v>
      </c>
      <c r="AT432" s="299" t="s">
        <v>32</v>
      </c>
      <c r="AU432" s="299" t="s">
        <v>32</v>
      </c>
      <c r="AV432" s="295" t="s">
        <v>32</v>
      </c>
      <c r="AW432" s="292" t="s">
        <v>18</v>
      </c>
      <c r="AX432" s="292" t="s">
        <v>18</v>
      </c>
      <c r="AY432" s="288" t="s">
        <v>18</v>
      </c>
      <c r="AZ432" s="299" t="s">
        <v>32</v>
      </c>
      <c r="BA432" s="299" t="s">
        <v>32</v>
      </c>
      <c r="BB432" s="295" t="s">
        <v>32</v>
      </c>
      <c r="BC432" s="296" t="s">
        <v>32</v>
      </c>
      <c r="BD432" s="287"/>
    </row>
    <row r="433" ht="12.75" customHeight="1">
      <c r="A433" s="293">
        <v>44805.416655625</v>
      </c>
      <c r="B433" s="297" t="s">
        <v>519</v>
      </c>
      <c r="C433" s="298" t="s">
        <v>567</v>
      </c>
      <c r="D433" s="298" t="s">
        <v>16</v>
      </c>
      <c r="E433" s="285" t="s">
        <v>476</v>
      </c>
      <c r="F433" s="292" t="s">
        <v>988</v>
      </c>
      <c r="G433" s="298" t="s">
        <v>17</v>
      </c>
      <c r="H433" s="298">
        <v>12.0</v>
      </c>
      <c r="I433" s="292" t="s">
        <v>497</v>
      </c>
      <c r="J433" s="292" t="s">
        <v>498</v>
      </c>
      <c r="K433" s="287" t="s">
        <v>508</v>
      </c>
      <c r="L433" s="292" t="s">
        <v>497</v>
      </c>
      <c r="M433" s="292" t="s">
        <v>586</v>
      </c>
      <c r="N433" s="292"/>
      <c r="O433" s="292"/>
      <c r="P433" s="292"/>
      <c r="Q433" s="299" t="s">
        <v>32</v>
      </c>
      <c r="R433" s="299" t="s">
        <v>32</v>
      </c>
      <c r="S433" s="295" t="s">
        <v>32</v>
      </c>
      <c r="T433" s="299" t="s">
        <v>32</v>
      </c>
      <c r="U433" s="299" t="s">
        <v>32</v>
      </c>
      <c r="V433" s="295" t="s">
        <v>32</v>
      </c>
      <c r="W433" s="292" t="s">
        <v>377</v>
      </c>
      <c r="X433" s="299" t="s">
        <v>32</v>
      </c>
      <c r="Y433" s="295" t="s">
        <v>32</v>
      </c>
      <c r="Z433" s="292" t="s">
        <v>18</v>
      </c>
      <c r="AA433" s="299" t="s">
        <v>32</v>
      </c>
      <c r="AB433" s="288" t="s">
        <v>377</v>
      </c>
      <c r="AC433" s="296" t="s">
        <v>32</v>
      </c>
      <c r="AD433" s="292" t="s">
        <v>377</v>
      </c>
      <c r="AE433" s="292" t="s">
        <v>377</v>
      </c>
      <c r="AF433" s="288" t="s">
        <v>377</v>
      </c>
      <c r="AG433" s="292" t="s">
        <v>377</v>
      </c>
      <c r="AH433" s="292" t="s">
        <v>18</v>
      </c>
      <c r="AI433" s="288" t="s">
        <v>377</v>
      </c>
      <c r="AJ433" s="299" t="s">
        <v>32</v>
      </c>
      <c r="AK433" s="292" t="s">
        <v>377</v>
      </c>
      <c r="AL433" s="295" t="s">
        <v>32</v>
      </c>
      <c r="AM433" s="292" t="s">
        <v>18</v>
      </c>
      <c r="AN433" s="292" t="s">
        <v>18</v>
      </c>
      <c r="AO433" s="288" t="s">
        <v>18</v>
      </c>
      <c r="AP433" s="289" t="s">
        <v>377</v>
      </c>
      <c r="AQ433" s="292" t="s">
        <v>18</v>
      </c>
      <c r="AR433" s="299" t="s">
        <v>32</v>
      </c>
      <c r="AS433" s="288" t="s">
        <v>377</v>
      </c>
      <c r="AT433" s="292" t="s">
        <v>18</v>
      </c>
      <c r="AU433" s="299" t="s">
        <v>32</v>
      </c>
      <c r="AV433" s="288" t="s">
        <v>377</v>
      </c>
      <c r="AW433" s="292" t="s">
        <v>18</v>
      </c>
      <c r="AX433" s="299" t="s">
        <v>32</v>
      </c>
      <c r="AY433" s="288" t="s">
        <v>377</v>
      </c>
      <c r="AZ433" s="299" t="s">
        <v>32</v>
      </c>
      <c r="BA433" s="299" t="s">
        <v>32</v>
      </c>
      <c r="BB433" s="295" t="s">
        <v>32</v>
      </c>
      <c r="BC433" s="296" t="s">
        <v>32</v>
      </c>
      <c r="BD433" s="287"/>
    </row>
    <row r="434" ht="12.75" customHeight="1">
      <c r="A434" s="293">
        <v>44805.418370810185</v>
      </c>
      <c r="B434" s="297" t="s">
        <v>519</v>
      </c>
      <c r="C434" s="298" t="s">
        <v>567</v>
      </c>
      <c r="D434" s="298" t="s">
        <v>16</v>
      </c>
      <c r="E434" s="285" t="s">
        <v>476</v>
      </c>
      <c r="F434" s="292" t="s">
        <v>989</v>
      </c>
      <c r="G434" s="298" t="s">
        <v>21</v>
      </c>
      <c r="H434" s="298">
        <v>13.0</v>
      </c>
      <c r="I434" s="292" t="s">
        <v>497</v>
      </c>
      <c r="J434" s="292" t="s">
        <v>498</v>
      </c>
      <c r="K434" s="287" t="s">
        <v>508</v>
      </c>
      <c r="L434" s="292" t="s">
        <v>497</v>
      </c>
      <c r="M434" s="292" t="s">
        <v>586</v>
      </c>
      <c r="N434" s="292"/>
      <c r="O434" s="292"/>
      <c r="P434" s="292"/>
      <c r="Q434" s="299" t="s">
        <v>32</v>
      </c>
      <c r="R434" s="299" t="s">
        <v>32</v>
      </c>
      <c r="S434" s="295" t="s">
        <v>32</v>
      </c>
      <c r="T434" s="292" t="s">
        <v>377</v>
      </c>
      <c r="U434" s="292" t="s">
        <v>18</v>
      </c>
      <c r="V434" s="288" t="s">
        <v>377</v>
      </c>
      <c r="W434" s="299" t="s">
        <v>32</v>
      </c>
      <c r="X434" s="292" t="s">
        <v>377</v>
      </c>
      <c r="Y434" s="295" t="s">
        <v>32</v>
      </c>
      <c r="Z434" s="299" t="s">
        <v>32</v>
      </c>
      <c r="AA434" s="299" t="s">
        <v>32</v>
      </c>
      <c r="AB434" s="295" t="s">
        <v>32</v>
      </c>
      <c r="AC434" s="296" t="s">
        <v>32</v>
      </c>
      <c r="AD434" s="292" t="s">
        <v>18</v>
      </c>
      <c r="AE434" s="292" t="s">
        <v>377</v>
      </c>
      <c r="AF434" s="288" t="s">
        <v>377</v>
      </c>
      <c r="AG434" s="292" t="s">
        <v>18</v>
      </c>
      <c r="AH434" s="292" t="s">
        <v>18</v>
      </c>
      <c r="AI434" s="288" t="s">
        <v>18</v>
      </c>
      <c r="AJ434" s="299" t="s">
        <v>32</v>
      </c>
      <c r="AK434" s="292" t="s">
        <v>18</v>
      </c>
      <c r="AL434" s="288" t="s">
        <v>377</v>
      </c>
      <c r="AM434" s="292" t="s">
        <v>18</v>
      </c>
      <c r="AN434" s="292" t="s">
        <v>377</v>
      </c>
      <c r="AO434" s="288" t="s">
        <v>377</v>
      </c>
      <c r="AP434" s="289" t="s">
        <v>377</v>
      </c>
      <c r="AQ434" s="299" t="s">
        <v>32</v>
      </c>
      <c r="AR434" s="299" t="s">
        <v>32</v>
      </c>
      <c r="AS434" s="295" t="s">
        <v>32</v>
      </c>
      <c r="AT434" s="299" t="s">
        <v>32</v>
      </c>
      <c r="AU434" s="299" t="s">
        <v>32</v>
      </c>
      <c r="AV434" s="295" t="s">
        <v>32</v>
      </c>
      <c r="AW434" s="299" t="s">
        <v>32</v>
      </c>
      <c r="AX434" s="299" t="s">
        <v>32</v>
      </c>
      <c r="AY434" s="295" t="s">
        <v>32</v>
      </c>
      <c r="AZ434" s="299" t="s">
        <v>32</v>
      </c>
      <c r="BA434" s="299" t="s">
        <v>32</v>
      </c>
      <c r="BB434" s="295" t="s">
        <v>32</v>
      </c>
      <c r="BC434" s="296" t="s">
        <v>32</v>
      </c>
      <c r="BD434" s="287"/>
    </row>
    <row r="435" ht="12.75" customHeight="1">
      <c r="A435" s="293">
        <v>44805.42000269676</v>
      </c>
      <c r="B435" s="297" t="s">
        <v>519</v>
      </c>
      <c r="C435" s="298" t="s">
        <v>567</v>
      </c>
      <c r="D435" s="298" t="s">
        <v>16</v>
      </c>
      <c r="E435" s="285" t="s">
        <v>476</v>
      </c>
      <c r="F435" s="292" t="s">
        <v>990</v>
      </c>
      <c r="G435" s="298" t="s">
        <v>21</v>
      </c>
      <c r="H435" s="298">
        <v>12.0</v>
      </c>
      <c r="I435" s="292" t="s">
        <v>497</v>
      </c>
      <c r="J435" s="292" t="s">
        <v>498</v>
      </c>
      <c r="K435" s="287" t="s">
        <v>508</v>
      </c>
      <c r="L435" s="292" t="s">
        <v>497</v>
      </c>
      <c r="M435" s="292" t="s">
        <v>586</v>
      </c>
      <c r="N435" s="292"/>
      <c r="O435" s="292"/>
      <c r="P435" s="292"/>
      <c r="Q435" s="299" t="s">
        <v>32</v>
      </c>
      <c r="R435" s="299" t="s">
        <v>32</v>
      </c>
      <c r="S435" s="295" t="s">
        <v>32</v>
      </c>
      <c r="T435" s="292" t="s">
        <v>377</v>
      </c>
      <c r="U435" s="299" t="s">
        <v>32</v>
      </c>
      <c r="V435" s="295" t="s">
        <v>32</v>
      </c>
      <c r="W435" s="292" t="s">
        <v>377</v>
      </c>
      <c r="X435" s="292" t="s">
        <v>18</v>
      </c>
      <c r="Y435" s="288" t="s">
        <v>377</v>
      </c>
      <c r="Z435" s="299" t="s">
        <v>32</v>
      </c>
      <c r="AA435" s="292" t="s">
        <v>377</v>
      </c>
      <c r="AB435" s="295" t="s">
        <v>32</v>
      </c>
      <c r="AC435" s="289" t="s">
        <v>377</v>
      </c>
      <c r="AD435" s="292" t="s">
        <v>18</v>
      </c>
      <c r="AE435" s="292" t="s">
        <v>377</v>
      </c>
      <c r="AF435" s="288" t="s">
        <v>377</v>
      </c>
      <c r="AG435" s="292" t="s">
        <v>18</v>
      </c>
      <c r="AH435" s="292" t="s">
        <v>18</v>
      </c>
      <c r="AI435" s="288" t="s">
        <v>18</v>
      </c>
      <c r="AJ435" s="299" t="s">
        <v>32</v>
      </c>
      <c r="AK435" s="299" t="s">
        <v>32</v>
      </c>
      <c r="AL435" s="295" t="s">
        <v>32</v>
      </c>
      <c r="AM435" s="292" t="s">
        <v>18</v>
      </c>
      <c r="AN435" s="292" t="s">
        <v>377</v>
      </c>
      <c r="AO435" s="288" t="s">
        <v>377</v>
      </c>
      <c r="AP435" s="289" t="s">
        <v>377</v>
      </c>
      <c r="AQ435" s="292" t="s">
        <v>377</v>
      </c>
      <c r="AR435" s="299" t="s">
        <v>32</v>
      </c>
      <c r="AS435" s="295" t="s">
        <v>32</v>
      </c>
      <c r="AT435" s="299" t="s">
        <v>32</v>
      </c>
      <c r="AU435" s="299" t="s">
        <v>32</v>
      </c>
      <c r="AV435" s="295" t="s">
        <v>32</v>
      </c>
      <c r="AW435" s="299" t="s">
        <v>32</v>
      </c>
      <c r="AX435" s="299" t="s">
        <v>32</v>
      </c>
      <c r="AY435" s="295" t="s">
        <v>32</v>
      </c>
      <c r="AZ435" s="299" t="s">
        <v>32</v>
      </c>
      <c r="BA435" s="292" t="s">
        <v>18</v>
      </c>
      <c r="BB435" s="295" t="s">
        <v>32</v>
      </c>
      <c r="BC435" s="296" t="s">
        <v>32</v>
      </c>
      <c r="BD435" s="287"/>
    </row>
    <row r="436" ht="12.75" customHeight="1">
      <c r="A436" s="293">
        <v>44805.421423692125</v>
      </c>
      <c r="B436" s="297" t="s">
        <v>519</v>
      </c>
      <c r="C436" s="298" t="s">
        <v>567</v>
      </c>
      <c r="D436" s="298" t="s">
        <v>16</v>
      </c>
      <c r="E436" s="285" t="s">
        <v>476</v>
      </c>
      <c r="F436" s="292" t="s">
        <v>991</v>
      </c>
      <c r="G436" s="298" t="s">
        <v>21</v>
      </c>
      <c r="H436" s="298">
        <v>12.0</v>
      </c>
      <c r="I436" s="292" t="s">
        <v>497</v>
      </c>
      <c r="J436" s="292" t="s">
        <v>498</v>
      </c>
      <c r="K436" s="287" t="s">
        <v>508</v>
      </c>
      <c r="L436" s="292" t="s">
        <v>497</v>
      </c>
      <c r="M436" s="292" t="s">
        <v>586</v>
      </c>
      <c r="N436" s="292"/>
      <c r="O436" s="292"/>
      <c r="P436" s="292"/>
      <c r="Q436" s="299" t="s">
        <v>32</v>
      </c>
      <c r="R436" s="299" t="s">
        <v>32</v>
      </c>
      <c r="S436" s="295" t="s">
        <v>32</v>
      </c>
      <c r="T436" s="299" t="s">
        <v>32</v>
      </c>
      <c r="U436" s="299" t="s">
        <v>32</v>
      </c>
      <c r="V436" s="295" t="s">
        <v>32</v>
      </c>
      <c r="W436" s="292" t="s">
        <v>377</v>
      </c>
      <c r="X436" s="292" t="s">
        <v>18</v>
      </c>
      <c r="Y436" s="288" t="s">
        <v>377</v>
      </c>
      <c r="Z436" s="292" t="s">
        <v>18</v>
      </c>
      <c r="AA436" s="299" t="s">
        <v>32</v>
      </c>
      <c r="AB436" s="288" t="s">
        <v>377</v>
      </c>
      <c r="AC436" s="289" t="s">
        <v>377</v>
      </c>
      <c r="AD436" s="292" t="s">
        <v>377</v>
      </c>
      <c r="AE436" s="292" t="s">
        <v>377</v>
      </c>
      <c r="AF436" s="288" t="s">
        <v>377</v>
      </c>
      <c r="AG436" s="292" t="s">
        <v>377</v>
      </c>
      <c r="AH436" s="292" t="s">
        <v>18</v>
      </c>
      <c r="AI436" s="288" t="s">
        <v>377</v>
      </c>
      <c r="AJ436" s="292" t="s">
        <v>18</v>
      </c>
      <c r="AK436" s="292" t="s">
        <v>377</v>
      </c>
      <c r="AL436" s="288" t="s">
        <v>377</v>
      </c>
      <c r="AM436" s="292" t="s">
        <v>18</v>
      </c>
      <c r="AN436" s="292" t="s">
        <v>18</v>
      </c>
      <c r="AO436" s="288" t="s">
        <v>18</v>
      </c>
      <c r="AP436" s="289" t="s">
        <v>377</v>
      </c>
      <c r="AQ436" s="292" t="s">
        <v>18</v>
      </c>
      <c r="AR436" s="299" t="s">
        <v>32</v>
      </c>
      <c r="AS436" s="288" t="s">
        <v>377</v>
      </c>
      <c r="AT436" s="299" t="s">
        <v>32</v>
      </c>
      <c r="AU436" s="292" t="s">
        <v>18</v>
      </c>
      <c r="AV436" s="288" t="s">
        <v>377</v>
      </c>
      <c r="AW436" s="292" t="s">
        <v>377</v>
      </c>
      <c r="AX436" s="292" t="s">
        <v>18</v>
      </c>
      <c r="AY436" s="288" t="s">
        <v>377</v>
      </c>
      <c r="AZ436" s="299" t="s">
        <v>32</v>
      </c>
      <c r="BA436" s="299" t="s">
        <v>32</v>
      </c>
      <c r="BB436" s="288" t="s">
        <v>377</v>
      </c>
      <c r="BC436" s="289" t="s">
        <v>377</v>
      </c>
      <c r="BD436" s="287"/>
    </row>
    <row r="437" ht="12.75" customHeight="1">
      <c r="A437" s="293">
        <v>44805.422709085644</v>
      </c>
      <c r="B437" s="297" t="s">
        <v>519</v>
      </c>
      <c r="C437" s="298" t="s">
        <v>567</v>
      </c>
      <c r="D437" s="298" t="s">
        <v>16</v>
      </c>
      <c r="E437" s="285" t="s">
        <v>476</v>
      </c>
      <c r="F437" s="292" t="s">
        <v>524</v>
      </c>
      <c r="G437" s="298" t="s">
        <v>17</v>
      </c>
      <c r="H437" s="298">
        <v>11.0</v>
      </c>
      <c r="I437" s="292" t="s">
        <v>497</v>
      </c>
      <c r="J437" s="292" t="s">
        <v>498</v>
      </c>
      <c r="K437" s="287" t="s">
        <v>508</v>
      </c>
      <c r="L437" s="292" t="s">
        <v>497</v>
      </c>
      <c r="M437" s="292" t="s">
        <v>586</v>
      </c>
      <c r="N437" s="292"/>
      <c r="O437" s="292"/>
      <c r="P437" s="292"/>
      <c r="Q437" s="292" t="s">
        <v>18</v>
      </c>
      <c r="R437" s="299" t="s">
        <v>32</v>
      </c>
      <c r="S437" s="288" t="s">
        <v>377</v>
      </c>
      <c r="T437" s="299" t="s">
        <v>32</v>
      </c>
      <c r="U437" s="292" t="s">
        <v>377</v>
      </c>
      <c r="V437" s="295" t="s">
        <v>32</v>
      </c>
      <c r="W437" s="292" t="s">
        <v>377</v>
      </c>
      <c r="X437" s="299" t="s">
        <v>32</v>
      </c>
      <c r="Y437" s="295" t="s">
        <v>32</v>
      </c>
      <c r="Z437" s="299" t="s">
        <v>32</v>
      </c>
      <c r="AA437" s="292" t="s">
        <v>377</v>
      </c>
      <c r="AB437" s="295" t="s">
        <v>32</v>
      </c>
      <c r="AC437" s="289" t="s">
        <v>377</v>
      </c>
      <c r="AD437" s="292" t="s">
        <v>377</v>
      </c>
      <c r="AE437" s="292" t="s">
        <v>377</v>
      </c>
      <c r="AF437" s="288" t="s">
        <v>377</v>
      </c>
      <c r="AG437" s="292" t="s">
        <v>377</v>
      </c>
      <c r="AH437" s="292" t="s">
        <v>18</v>
      </c>
      <c r="AI437" s="288" t="s">
        <v>377</v>
      </c>
      <c r="AJ437" s="299" t="s">
        <v>32</v>
      </c>
      <c r="AK437" s="299" t="s">
        <v>32</v>
      </c>
      <c r="AL437" s="295" t="s">
        <v>32</v>
      </c>
      <c r="AM437" s="292" t="s">
        <v>18</v>
      </c>
      <c r="AN437" s="292" t="s">
        <v>18</v>
      </c>
      <c r="AO437" s="288" t="s">
        <v>18</v>
      </c>
      <c r="AP437" s="289" t="s">
        <v>377</v>
      </c>
      <c r="AQ437" s="299" t="s">
        <v>32</v>
      </c>
      <c r="AR437" s="299" t="s">
        <v>32</v>
      </c>
      <c r="AS437" s="295" t="s">
        <v>32</v>
      </c>
      <c r="AT437" s="299" t="s">
        <v>32</v>
      </c>
      <c r="AU437" s="292" t="s">
        <v>377</v>
      </c>
      <c r="AV437" s="295" t="s">
        <v>32</v>
      </c>
      <c r="AW437" s="299" t="s">
        <v>32</v>
      </c>
      <c r="AX437" s="299" t="s">
        <v>32</v>
      </c>
      <c r="AY437" s="295" t="s">
        <v>32</v>
      </c>
      <c r="AZ437" s="299" t="s">
        <v>32</v>
      </c>
      <c r="BA437" s="292" t="s">
        <v>377</v>
      </c>
      <c r="BB437" s="295" t="s">
        <v>32</v>
      </c>
      <c r="BC437" s="296" t="s">
        <v>32</v>
      </c>
      <c r="BD437" s="287"/>
    </row>
    <row r="438" ht="12.75" customHeight="1">
      <c r="A438" s="293">
        <v>45259.50763199074</v>
      </c>
      <c r="B438" s="286" t="s">
        <v>525</v>
      </c>
      <c r="C438" s="287" t="s">
        <v>559</v>
      </c>
      <c r="D438" s="285" t="s">
        <v>16</v>
      </c>
      <c r="E438" s="285" t="s">
        <v>476</v>
      </c>
      <c r="F438" s="287" t="s">
        <v>992</v>
      </c>
      <c r="G438" s="285" t="s">
        <v>17</v>
      </c>
      <c r="H438" s="285">
        <v>11.0</v>
      </c>
      <c r="I438" s="287" t="s">
        <v>497</v>
      </c>
      <c r="J438" s="292"/>
      <c r="K438" s="287" t="s">
        <v>508</v>
      </c>
      <c r="L438" s="287" t="s">
        <v>479</v>
      </c>
      <c r="M438" s="287" t="s">
        <v>483</v>
      </c>
      <c r="N438" s="287" t="s">
        <v>483</v>
      </c>
      <c r="O438" s="287"/>
      <c r="P438" s="287"/>
      <c r="Q438" s="294" t="s">
        <v>32</v>
      </c>
      <c r="R438" s="294" t="s">
        <v>32</v>
      </c>
      <c r="S438" s="295" t="s">
        <v>32</v>
      </c>
      <c r="T438" s="287" t="s">
        <v>377</v>
      </c>
      <c r="U438" s="287" t="s">
        <v>18</v>
      </c>
      <c r="V438" s="288" t="s">
        <v>377</v>
      </c>
      <c r="W438" s="294" t="s">
        <v>32</v>
      </c>
      <c r="X438" s="287" t="s">
        <v>377</v>
      </c>
      <c r="Y438" s="295" t="s">
        <v>32</v>
      </c>
      <c r="Z438" s="287" t="s">
        <v>18</v>
      </c>
      <c r="AA438" s="287" t="s">
        <v>377</v>
      </c>
      <c r="AB438" s="288" t="s">
        <v>377</v>
      </c>
      <c r="AC438" s="289" t="s">
        <v>377</v>
      </c>
      <c r="AD438" s="287" t="s">
        <v>377</v>
      </c>
      <c r="AE438" s="294" t="s">
        <v>32</v>
      </c>
      <c r="AF438" s="295" t="s">
        <v>32</v>
      </c>
      <c r="AG438" s="294" t="s">
        <v>32</v>
      </c>
      <c r="AH438" s="287" t="s">
        <v>18</v>
      </c>
      <c r="AI438" s="288" t="s">
        <v>377</v>
      </c>
      <c r="AJ438" s="294" t="s">
        <v>32</v>
      </c>
      <c r="AK438" s="287" t="s">
        <v>377</v>
      </c>
      <c r="AL438" s="295" t="s">
        <v>32</v>
      </c>
      <c r="AM438" s="287" t="s">
        <v>18</v>
      </c>
      <c r="AN438" s="287" t="s">
        <v>377</v>
      </c>
      <c r="AO438" s="288" t="s">
        <v>377</v>
      </c>
      <c r="AP438" s="289" t="s">
        <v>377</v>
      </c>
      <c r="AQ438" s="287" t="s">
        <v>18</v>
      </c>
      <c r="AR438" s="287" t="s">
        <v>18</v>
      </c>
      <c r="AS438" s="288" t="s">
        <v>18</v>
      </c>
      <c r="AT438" s="294" t="s">
        <v>32</v>
      </c>
      <c r="AU438" s="294" t="s">
        <v>32</v>
      </c>
      <c r="AV438" s="295" t="s">
        <v>32</v>
      </c>
      <c r="AW438" s="287" t="s">
        <v>377</v>
      </c>
      <c r="AX438" s="287" t="s">
        <v>377</v>
      </c>
      <c r="AY438" s="288" t="s">
        <v>377</v>
      </c>
      <c r="AZ438" s="287" t="s">
        <v>18</v>
      </c>
      <c r="BA438" s="287" t="s">
        <v>18</v>
      </c>
      <c r="BB438" s="295" t="s">
        <v>32</v>
      </c>
      <c r="BC438" s="296" t="s">
        <v>32</v>
      </c>
      <c r="BD438" s="287"/>
    </row>
    <row r="439" ht="12.75" customHeight="1">
      <c r="A439" s="293">
        <v>45259.52893983797</v>
      </c>
      <c r="B439" s="286" t="s">
        <v>525</v>
      </c>
      <c r="C439" s="287" t="s">
        <v>559</v>
      </c>
      <c r="D439" s="285" t="s">
        <v>16</v>
      </c>
      <c r="E439" s="285" t="s">
        <v>476</v>
      </c>
      <c r="F439" s="287" t="s">
        <v>993</v>
      </c>
      <c r="G439" s="285" t="s">
        <v>17</v>
      </c>
      <c r="H439" s="285">
        <v>11.0</v>
      </c>
      <c r="I439" s="287" t="s">
        <v>497</v>
      </c>
      <c r="J439" s="292"/>
      <c r="K439" s="287" t="s">
        <v>508</v>
      </c>
      <c r="L439" s="287" t="s">
        <v>479</v>
      </c>
      <c r="M439" s="287" t="s">
        <v>483</v>
      </c>
      <c r="N439" s="287" t="s">
        <v>483</v>
      </c>
      <c r="O439" s="287"/>
      <c r="P439" s="287"/>
      <c r="Q439" s="294" t="s">
        <v>32</v>
      </c>
      <c r="R439" s="294" t="s">
        <v>32</v>
      </c>
      <c r="S439" s="295" t="s">
        <v>32</v>
      </c>
      <c r="T439" s="294" t="s">
        <v>32</v>
      </c>
      <c r="U439" s="294" t="s">
        <v>32</v>
      </c>
      <c r="V439" s="295" t="s">
        <v>32</v>
      </c>
      <c r="W439" s="287" t="s">
        <v>377</v>
      </c>
      <c r="X439" s="294" t="s">
        <v>32</v>
      </c>
      <c r="Y439" s="295" t="s">
        <v>32</v>
      </c>
      <c r="Z439" s="287" t="s">
        <v>18</v>
      </c>
      <c r="AA439" s="287" t="s">
        <v>18</v>
      </c>
      <c r="AB439" s="288" t="s">
        <v>18</v>
      </c>
      <c r="AC439" s="289" t="s">
        <v>377</v>
      </c>
      <c r="AD439" s="287" t="s">
        <v>377</v>
      </c>
      <c r="AE439" s="294" t="s">
        <v>32</v>
      </c>
      <c r="AF439" s="295" t="s">
        <v>32</v>
      </c>
      <c r="AG439" s="294" t="s">
        <v>32</v>
      </c>
      <c r="AH439" s="287" t="s">
        <v>18</v>
      </c>
      <c r="AI439" s="288" t="s">
        <v>377</v>
      </c>
      <c r="AJ439" s="287" t="s">
        <v>18</v>
      </c>
      <c r="AK439" s="287" t="s">
        <v>18</v>
      </c>
      <c r="AL439" s="288" t="s">
        <v>18</v>
      </c>
      <c r="AM439" s="287" t="s">
        <v>18</v>
      </c>
      <c r="AN439" s="287" t="s">
        <v>18</v>
      </c>
      <c r="AO439" s="288" t="s">
        <v>18</v>
      </c>
      <c r="AP439" s="289" t="s">
        <v>377</v>
      </c>
      <c r="AQ439" s="287" t="s">
        <v>18</v>
      </c>
      <c r="AR439" s="287" t="s">
        <v>18</v>
      </c>
      <c r="AS439" s="288" t="s">
        <v>18</v>
      </c>
      <c r="AT439" s="287" t="s">
        <v>18</v>
      </c>
      <c r="AU439" s="287" t="s">
        <v>18</v>
      </c>
      <c r="AV439" s="288" t="s">
        <v>18</v>
      </c>
      <c r="AW439" s="287" t="s">
        <v>377</v>
      </c>
      <c r="AX439" s="287" t="s">
        <v>18</v>
      </c>
      <c r="AY439" s="288" t="s">
        <v>377</v>
      </c>
      <c r="AZ439" s="287" t="s">
        <v>18</v>
      </c>
      <c r="BA439" s="287" t="s">
        <v>18</v>
      </c>
      <c r="BB439" s="295" t="s">
        <v>32</v>
      </c>
      <c r="BC439" s="289" t="s">
        <v>377</v>
      </c>
      <c r="BD439" s="287"/>
    </row>
    <row r="440" ht="12.75" customHeight="1">
      <c r="A440" s="293">
        <v>45259.533877939815</v>
      </c>
      <c r="B440" s="286" t="s">
        <v>525</v>
      </c>
      <c r="C440" s="287" t="s">
        <v>559</v>
      </c>
      <c r="D440" s="285" t="s">
        <v>16</v>
      </c>
      <c r="E440" s="285" t="s">
        <v>476</v>
      </c>
      <c r="F440" s="287" t="s">
        <v>994</v>
      </c>
      <c r="G440" s="285" t="s">
        <v>17</v>
      </c>
      <c r="H440" s="285">
        <v>12.0</v>
      </c>
      <c r="I440" s="287" t="s">
        <v>479</v>
      </c>
      <c r="J440" s="292"/>
      <c r="K440" s="287" t="s">
        <v>508</v>
      </c>
      <c r="L440" s="287" t="s">
        <v>479</v>
      </c>
      <c r="M440" s="287" t="s">
        <v>483</v>
      </c>
      <c r="N440" s="287" t="s">
        <v>483</v>
      </c>
      <c r="O440" s="287"/>
      <c r="P440" s="287"/>
      <c r="Q440" s="294" t="s">
        <v>32</v>
      </c>
      <c r="R440" s="287" t="s">
        <v>377</v>
      </c>
      <c r="S440" s="295" t="s">
        <v>32</v>
      </c>
      <c r="T440" s="287" t="s">
        <v>18</v>
      </c>
      <c r="U440" s="294" t="s">
        <v>32</v>
      </c>
      <c r="V440" s="288" t="s">
        <v>377</v>
      </c>
      <c r="W440" s="287" t="s">
        <v>377</v>
      </c>
      <c r="X440" s="287" t="s">
        <v>18</v>
      </c>
      <c r="Y440" s="288" t="s">
        <v>377</v>
      </c>
      <c r="Z440" s="294" t="s">
        <v>32</v>
      </c>
      <c r="AA440" s="287" t="s">
        <v>377</v>
      </c>
      <c r="AB440" s="295" t="s">
        <v>32</v>
      </c>
      <c r="AC440" s="289" t="s">
        <v>377</v>
      </c>
      <c r="AD440" s="294" t="s">
        <v>32</v>
      </c>
      <c r="AE440" s="294" t="s">
        <v>32</v>
      </c>
      <c r="AF440" s="295" t="s">
        <v>32</v>
      </c>
      <c r="AG440" s="287" t="s">
        <v>377</v>
      </c>
      <c r="AH440" s="287" t="s">
        <v>18</v>
      </c>
      <c r="AI440" s="288" t="s">
        <v>377</v>
      </c>
      <c r="AJ440" s="294" t="s">
        <v>32</v>
      </c>
      <c r="AK440" s="287" t="s">
        <v>377</v>
      </c>
      <c r="AL440" s="295" t="s">
        <v>32</v>
      </c>
      <c r="AM440" s="287" t="s">
        <v>377</v>
      </c>
      <c r="AN440" s="287" t="s">
        <v>18</v>
      </c>
      <c r="AO440" s="288" t="s">
        <v>377</v>
      </c>
      <c r="AP440" s="289" t="s">
        <v>377</v>
      </c>
      <c r="AQ440" s="294" t="s">
        <v>32</v>
      </c>
      <c r="AR440" s="294" t="s">
        <v>32</v>
      </c>
      <c r="AS440" s="295" t="s">
        <v>32</v>
      </c>
      <c r="AT440" s="294" t="s">
        <v>32</v>
      </c>
      <c r="AU440" s="294" t="s">
        <v>32</v>
      </c>
      <c r="AV440" s="295" t="s">
        <v>32</v>
      </c>
      <c r="AW440" s="287" t="s">
        <v>377</v>
      </c>
      <c r="AX440" s="287" t="s">
        <v>18</v>
      </c>
      <c r="AY440" s="288" t="s">
        <v>377</v>
      </c>
      <c r="AZ440" s="294" t="s">
        <v>32</v>
      </c>
      <c r="BA440" s="294" t="s">
        <v>32</v>
      </c>
      <c r="BB440" s="295" t="s">
        <v>32</v>
      </c>
      <c r="BC440" s="296" t="s">
        <v>32</v>
      </c>
      <c r="BD440" s="287"/>
    </row>
    <row r="441" ht="12.75" customHeight="1">
      <c r="A441" s="293">
        <v>45259.5402155787</v>
      </c>
      <c r="B441" s="286" t="s">
        <v>525</v>
      </c>
      <c r="C441" s="287" t="s">
        <v>559</v>
      </c>
      <c r="D441" s="285" t="s">
        <v>16</v>
      </c>
      <c r="E441" s="285" t="s">
        <v>476</v>
      </c>
      <c r="F441" s="287" t="s">
        <v>995</v>
      </c>
      <c r="G441" s="285" t="s">
        <v>17</v>
      </c>
      <c r="H441" s="285">
        <v>11.0</v>
      </c>
      <c r="I441" s="287" t="s">
        <v>497</v>
      </c>
      <c r="J441" s="292"/>
      <c r="K441" s="287" t="s">
        <v>508</v>
      </c>
      <c r="L441" s="287" t="s">
        <v>479</v>
      </c>
      <c r="M441" s="287" t="s">
        <v>483</v>
      </c>
      <c r="N441" s="287" t="s">
        <v>483</v>
      </c>
      <c r="O441" s="287"/>
      <c r="P441" s="287"/>
      <c r="Q441" s="287" t="s">
        <v>377</v>
      </c>
      <c r="R441" s="287" t="s">
        <v>377</v>
      </c>
      <c r="S441" s="288" t="s">
        <v>377</v>
      </c>
      <c r="T441" s="287" t="s">
        <v>377</v>
      </c>
      <c r="U441" s="287" t="s">
        <v>18</v>
      </c>
      <c r="V441" s="288" t="s">
        <v>377</v>
      </c>
      <c r="W441" s="287" t="s">
        <v>377</v>
      </c>
      <c r="X441" s="287" t="s">
        <v>377</v>
      </c>
      <c r="Y441" s="288" t="s">
        <v>377</v>
      </c>
      <c r="Z441" s="287" t="s">
        <v>18</v>
      </c>
      <c r="AA441" s="287" t="s">
        <v>377</v>
      </c>
      <c r="AB441" s="288" t="s">
        <v>377</v>
      </c>
      <c r="AC441" s="289" t="s">
        <v>377</v>
      </c>
      <c r="AD441" s="294" t="s">
        <v>32</v>
      </c>
      <c r="AE441" s="294" t="s">
        <v>32</v>
      </c>
      <c r="AF441" s="295" t="s">
        <v>32</v>
      </c>
      <c r="AG441" s="287" t="s">
        <v>377</v>
      </c>
      <c r="AH441" s="287" t="s">
        <v>377</v>
      </c>
      <c r="AI441" s="288" t="s">
        <v>377</v>
      </c>
      <c r="AJ441" s="294" t="s">
        <v>32</v>
      </c>
      <c r="AK441" s="287" t="s">
        <v>377</v>
      </c>
      <c r="AL441" s="295" t="s">
        <v>32</v>
      </c>
      <c r="AM441" s="287" t="s">
        <v>377</v>
      </c>
      <c r="AN441" s="287" t="s">
        <v>377</v>
      </c>
      <c r="AO441" s="288" t="s">
        <v>377</v>
      </c>
      <c r="AP441" s="289" t="s">
        <v>377</v>
      </c>
      <c r="AQ441" s="287" t="s">
        <v>18</v>
      </c>
      <c r="AR441" s="287" t="s">
        <v>18</v>
      </c>
      <c r="AS441" s="288" t="s">
        <v>18</v>
      </c>
      <c r="AT441" s="294" t="s">
        <v>32</v>
      </c>
      <c r="AU441" s="294" t="s">
        <v>32</v>
      </c>
      <c r="AV441" s="295" t="s">
        <v>32</v>
      </c>
      <c r="AW441" s="287" t="s">
        <v>18</v>
      </c>
      <c r="AX441" s="294" t="s">
        <v>32</v>
      </c>
      <c r="AY441" s="288" t="s">
        <v>377</v>
      </c>
      <c r="AZ441" s="294" t="s">
        <v>32</v>
      </c>
      <c r="BA441" s="287" t="s">
        <v>18</v>
      </c>
      <c r="BB441" s="295" t="s">
        <v>32</v>
      </c>
      <c r="BC441" s="296" t="s">
        <v>32</v>
      </c>
      <c r="BD441" s="287"/>
    </row>
    <row r="442" ht="12.75" customHeight="1">
      <c r="A442" s="293">
        <v>45259.545145324075</v>
      </c>
      <c r="B442" s="286" t="s">
        <v>525</v>
      </c>
      <c r="C442" s="287" t="s">
        <v>559</v>
      </c>
      <c r="D442" s="285" t="s">
        <v>16</v>
      </c>
      <c r="E442" s="285" t="s">
        <v>476</v>
      </c>
      <c r="F442" s="287" t="s">
        <v>996</v>
      </c>
      <c r="G442" s="285" t="s">
        <v>17</v>
      </c>
      <c r="H442" s="285">
        <v>11.0</v>
      </c>
      <c r="I442" s="287" t="s">
        <v>497</v>
      </c>
      <c r="J442" s="292"/>
      <c r="K442" s="287" t="s">
        <v>508</v>
      </c>
      <c r="L442" s="287" t="s">
        <v>479</v>
      </c>
      <c r="M442" s="287" t="s">
        <v>490</v>
      </c>
      <c r="N442" s="287" t="s">
        <v>490</v>
      </c>
      <c r="O442" s="287"/>
      <c r="P442" s="287"/>
      <c r="Q442" s="287" t="s">
        <v>377</v>
      </c>
      <c r="R442" s="287" t="s">
        <v>377</v>
      </c>
      <c r="S442" s="288" t="s">
        <v>377</v>
      </c>
      <c r="T442" s="287" t="s">
        <v>377</v>
      </c>
      <c r="U442" s="287" t="s">
        <v>377</v>
      </c>
      <c r="V442" s="288" t="s">
        <v>377</v>
      </c>
      <c r="W442" s="287" t="s">
        <v>377</v>
      </c>
      <c r="X442" s="287" t="s">
        <v>377</v>
      </c>
      <c r="Y442" s="288" t="s">
        <v>377</v>
      </c>
      <c r="Z442" s="287" t="s">
        <v>18</v>
      </c>
      <c r="AA442" s="287" t="s">
        <v>377</v>
      </c>
      <c r="AB442" s="288" t="s">
        <v>377</v>
      </c>
      <c r="AC442" s="289" t="s">
        <v>377</v>
      </c>
      <c r="AD442" s="294" t="s">
        <v>32</v>
      </c>
      <c r="AE442" s="287" t="s">
        <v>377</v>
      </c>
      <c r="AF442" s="295" t="s">
        <v>32</v>
      </c>
      <c r="AG442" s="294" t="s">
        <v>32</v>
      </c>
      <c r="AH442" s="287" t="s">
        <v>377</v>
      </c>
      <c r="AI442" s="295" t="s">
        <v>32</v>
      </c>
      <c r="AJ442" s="287" t="s">
        <v>377</v>
      </c>
      <c r="AK442" s="287" t="s">
        <v>377</v>
      </c>
      <c r="AL442" s="288" t="s">
        <v>377</v>
      </c>
      <c r="AM442" s="294" t="s">
        <v>32</v>
      </c>
      <c r="AN442" s="287" t="s">
        <v>377</v>
      </c>
      <c r="AO442" s="295" t="s">
        <v>32</v>
      </c>
      <c r="AP442" s="289" t="s">
        <v>377</v>
      </c>
      <c r="AQ442" s="287" t="s">
        <v>377</v>
      </c>
      <c r="AR442" s="287" t="s">
        <v>377</v>
      </c>
      <c r="AS442" s="288" t="s">
        <v>377</v>
      </c>
      <c r="AT442" s="287" t="s">
        <v>377</v>
      </c>
      <c r="AU442" s="294" t="s">
        <v>32</v>
      </c>
      <c r="AV442" s="295" t="s">
        <v>32</v>
      </c>
      <c r="AW442" s="287" t="s">
        <v>18</v>
      </c>
      <c r="AX442" s="287" t="s">
        <v>377</v>
      </c>
      <c r="AY442" s="288" t="s">
        <v>377</v>
      </c>
      <c r="AZ442" s="294" t="s">
        <v>32</v>
      </c>
      <c r="BA442" s="287" t="s">
        <v>18</v>
      </c>
      <c r="BB442" s="295" t="s">
        <v>32</v>
      </c>
      <c r="BC442" s="296" t="s">
        <v>32</v>
      </c>
      <c r="BD442" s="287"/>
    </row>
    <row r="443" ht="12.75" customHeight="1">
      <c r="A443" s="293">
        <v>45259.54867708334</v>
      </c>
      <c r="B443" s="286" t="s">
        <v>525</v>
      </c>
      <c r="C443" s="287" t="s">
        <v>559</v>
      </c>
      <c r="D443" s="285" t="s">
        <v>16</v>
      </c>
      <c r="E443" s="285" t="s">
        <v>476</v>
      </c>
      <c r="F443" s="287" t="s">
        <v>997</v>
      </c>
      <c r="G443" s="285" t="s">
        <v>21</v>
      </c>
      <c r="H443" s="285">
        <v>11.0</v>
      </c>
      <c r="I443" s="287" t="s">
        <v>497</v>
      </c>
      <c r="J443" s="292"/>
      <c r="K443" s="287" t="s">
        <v>508</v>
      </c>
      <c r="L443" s="287" t="s">
        <v>479</v>
      </c>
      <c r="M443" s="287" t="s">
        <v>483</v>
      </c>
      <c r="N443" s="287" t="s">
        <v>483</v>
      </c>
      <c r="O443" s="287"/>
      <c r="P443" s="287"/>
      <c r="Q443" s="287" t="s">
        <v>377</v>
      </c>
      <c r="R443" s="287" t="s">
        <v>377</v>
      </c>
      <c r="S443" s="288" t="s">
        <v>377</v>
      </c>
      <c r="T443" s="287" t="s">
        <v>377</v>
      </c>
      <c r="U443" s="287" t="s">
        <v>377</v>
      </c>
      <c r="V443" s="288" t="s">
        <v>377</v>
      </c>
      <c r="W443" s="294" t="s">
        <v>32</v>
      </c>
      <c r="X443" s="287" t="s">
        <v>377</v>
      </c>
      <c r="Y443" s="295" t="s">
        <v>32</v>
      </c>
      <c r="Z443" s="287" t="s">
        <v>377</v>
      </c>
      <c r="AA443" s="287" t="s">
        <v>377</v>
      </c>
      <c r="AB443" s="288" t="s">
        <v>377</v>
      </c>
      <c r="AC443" s="289" t="s">
        <v>377</v>
      </c>
      <c r="AD443" s="294" t="s">
        <v>32</v>
      </c>
      <c r="AE443" s="287" t="s">
        <v>377</v>
      </c>
      <c r="AF443" s="295" t="s">
        <v>32</v>
      </c>
      <c r="AG443" s="294" t="s">
        <v>32</v>
      </c>
      <c r="AH443" s="287" t="s">
        <v>377</v>
      </c>
      <c r="AI443" s="295" t="s">
        <v>32</v>
      </c>
      <c r="AJ443" s="294" t="s">
        <v>32</v>
      </c>
      <c r="AK443" s="287" t="s">
        <v>377</v>
      </c>
      <c r="AL443" s="295" t="s">
        <v>32</v>
      </c>
      <c r="AM443" s="294" t="s">
        <v>32</v>
      </c>
      <c r="AN443" s="287" t="s">
        <v>377</v>
      </c>
      <c r="AO443" s="295" t="s">
        <v>32</v>
      </c>
      <c r="AP443" s="296" t="s">
        <v>32</v>
      </c>
      <c r="AQ443" s="294" t="s">
        <v>32</v>
      </c>
      <c r="AR443" s="287" t="s">
        <v>377</v>
      </c>
      <c r="AS443" s="295" t="s">
        <v>32</v>
      </c>
      <c r="AT443" s="294" t="s">
        <v>32</v>
      </c>
      <c r="AU443" s="287" t="s">
        <v>377</v>
      </c>
      <c r="AV443" s="295" t="s">
        <v>32</v>
      </c>
      <c r="AW443" s="294" t="s">
        <v>32</v>
      </c>
      <c r="AX443" s="287" t="s">
        <v>377</v>
      </c>
      <c r="AY443" s="295" t="s">
        <v>32</v>
      </c>
      <c r="AZ443" s="294" t="s">
        <v>32</v>
      </c>
      <c r="BA443" s="294" t="s">
        <v>32</v>
      </c>
      <c r="BB443" s="288" t="s">
        <v>377</v>
      </c>
      <c r="BC443" s="289" t="s">
        <v>377</v>
      </c>
      <c r="BD443" s="287"/>
    </row>
    <row r="444" ht="12.75" customHeight="1">
      <c r="A444" s="293">
        <v>45259.556870659726</v>
      </c>
      <c r="B444" s="286" t="s">
        <v>525</v>
      </c>
      <c r="C444" s="287" t="s">
        <v>559</v>
      </c>
      <c r="D444" s="285" t="s">
        <v>16</v>
      </c>
      <c r="E444" s="285" t="s">
        <v>476</v>
      </c>
      <c r="F444" s="287" t="s">
        <v>998</v>
      </c>
      <c r="G444" s="285" t="s">
        <v>21</v>
      </c>
      <c r="H444" s="285">
        <v>12.0</v>
      </c>
      <c r="I444" s="287" t="s">
        <v>497</v>
      </c>
      <c r="J444" s="292"/>
      <c r="K444" s="287" t="s">
        <v>508</v>
      </c>
      <c r="L444" s="287" t="s">
        <v>479</v>
      </c>
      <c r="M444" s="287" t="s">
        <v>483</v>
      </c>
      <c r="N444" s="287" t="s">
        <v>483</v>
      </c>
      <c r="O444" s="287"/>
      <c r="P444" s="287"/>
      <c r="Q444" s="294" t="s">
        <v>32</v>
      </c>
      <c r="R444" s="294" t="s">
        <v>32</v>
      </c>
      <c r="S444" s="295" t="s">
        <v>32</v>
      </c>
      <c r="T444" s="287" t="s">
        <v>18</v>
      </c>
      <c r="U444" s="294" t="s">
        <v>32</v>
      </c>
      <c r="V444" s="288" t="s">
        <v>377</v>
      </c>
      <c r="W444" s="294" t="s">
        <v>32</v>
      </c>
      <c r="X444" s="294" t="s">
        <v>32</v>
      </c>
      <c r="Y444" s="295" t="s">
        <v>32</v>
      </c>
      <c r="Z444" s="294" t="s">
        <v>32</v>
      </c>
      <c r="AA444" s="287" t="s">
        <v>18</v>
      </c>
      <c r="AB444" s="288" t="s">
        <v>377</v>
      </c>
      <c r="AC444" s="296" t="s">
        <v>32</v>
      </c>
      <c r="AD444" s="294" t="s">
        <v>32</v>
      </c>
      <c r="AE444" s="294" t="s">
        <v>32</v>
      </c>
      <c r="AF444" s="295" t="s">
        <v>32</v>
      </c>
      <c r="AG444" s="287" t="s">
        <v>377</v>
      </c>
      <c r="AH444" s="287" t="s">
        <v>377</v>
      </c>
      <c r="AI444" s="288" t="s">
        <v>377</v>
      </c>
      <c r="AJ444" s="294" t="s">
        <v>32</v>
      </c>
      <c r="AK444" s="294" t="s">
        <v>32</v>
      </c>
      <c r="AL444" s="295" t="s">
        <v>32</v>
      </c>
      <c r="AM444" s="287" t="s">
        <v>18</v>
      </c>
      <c r="AN444" s="287" t="s">
        <v>18</v>
      </c>
      <c r="AO444" s="288" t="s">
        <v>18</v>
      </c>
      <c r="AP444" s="289" t="s">
        <v>377</v>
      </c>
      <c r="AQ444" s="294" t="s">
        <v>32</v>
      </c>
      <c r="AR444" s="287" t="s">
        <v>377</v>
      </c>
      <c r="AS444" s="295" t="s">
        <v>32</v>
      </c>
      <c r="AT444" s="287" t="s">
        <v>377</v>
      </c>
      <c r="AU444" s="294" t="s">
        <v>32</v>
      </c>
      <c r="AV444" s="295" t="s">
        <v>32</v>
      </c>
      <c r="AW444" s="294" t="s">
        <v>32</v>
      </c>
      <c r="AX444" s="294" t="s">
        <v>32</v>
      </c>
      <c r="AY444" s="295" t="s">
        <v>32</v>
      </c>
      <c r="AZ444" s="294" t="s">
        <v>32</v>
      </c>
      <c r="BA444" s="294" t="s">
        <v>32</v>
      </c>
      <c r="BB444" s="288" t="s">
        <v>377</v>
      </c>
      <c r="BC444" s="289" t="s">
        <v>377</v>
      </c>
      <c r="BD444" s="287"/>
    </row>
    <row r="445" ht="12.75" customHeight="1">
      <c r="A445" s="293">
        <v>45259.56084907407</v>
      </c>
      <c r="B445" s="286" t="s">
        <v>525</v>
      </c>
      <c r="C445" s="287" t="s">
        <v>559</v>
      </c>
      <c r="D445" s="285" t="s">
        <v>16</v>
      </c>
      <c r="E445" s="285" t="s">
        <v>476</v>
      </c>
      <c r="F445" s="287" t="s">
        <v>999</v>
      </c>
      <c r="G445" s="285" t="s">
        <v>21</v>
      </c>
      <c r="H445" s="285">
        <v>12.0</v>
      </c>
      <c r="I445" s="287" t="s">
        <v>497</v>
      </c>
      <c r="J445" s="292"/>
      <c r="K445" s="287" t="s">
        <v>508</v>
      </c>
      <c r="L445" s="287" t="s">
        <v>479</v>
      </c>
      <c r="M445" s="287" t="s">
        <v>495</v>
      </c>
      <c r="N445" s="287" t="s">
        <v>495</v>
      </c>
      <c r="O445" s="287"/>
      <c r="P445" s="287"/>
      <c r="Q445" s="294" t="s">
        <v>32</v>
      </c>
      <c r="R445" s="294" t="s">
        <v>32</v>
      </c>
      <c r="S445" s="295" t="s">
        <v>32</v>
      </c>
      <c r="T445" s="294" t="s">
        <v>32</v>
      </c>
      <c r="U445" s="294" t="s">
        <v>32</v>
      </c>
      <c r="V445" s="295" t="s">
        <v>32</v>
      </c>
      <c r="W445" s="294" t="s">
        <v>32</v>
      </c>
      <c r="X445" s="294" t="s">
        <v>32</v>
      </c>
      <c r="Y445" s="295" t="s">
        <v>32</v>
      </c>
      <c r="Z445" s="294" t="s">
        <v>32</v>
      </c>
      <c r="AA445" s="294" t="s">
        <v>32</v>
      </c>
      <c r="AB445" s="295" t="s">
        <v>32</v>
      </c>
      <c r="AC445" s="296" t="s">
        <v>32</v>
      </c>
      <c r="AD445" s="294" t="s">
        <v>32</v>
      </c>
      <c r="AE445" s="294" t="s">
        <v>32</v>
      </c>
      <c r="AF445" s="295" t="s">
        <v>32</v>
      </c>
      <c r="AG445" s="294" t="s">
        <v>32</v>
      </c>
      <c r="AH445" s="294" t="s">
        <v>32</v>
      </c>
      <c r="AI445" s="295" t="s">
        <v>32</v>
      </c>
      <c r="AJ445" s="294" t="s">
        <v>32</v>
      </c>
      <c r="AK445" s="294" t="s">
        <v>32</v>
      </c>
      <c r="AL445" s="295" t="s">
        <v>32</v>
      </c>
      <c r="AM445" s="287" t="s">
        <v>18</v>
      </c>
      <c r="AN445" s="287" t="s">
        <v>18</v>
      </c>
      <c r="AO445" s="288" t="s">
        <v>18</v>
      </c>
      <c r="AP445" s="296" t="s">
        <v>32</v>
      </c>
      <c r="AQ445" s="294" t="s">
        <v>32</v>
      </c>
      <c r="AR445" s="294" t="s">
        <v>32</v>
      </c>
      <c r="AS445" s="295" t="s">
        <v>32</v>
      </c>
      <c r="AT445" s="287" t="s">
        <v>18</v>
      </c>
      <c r="AU445" s="287" t="s">
        <v>18</v>
      </c>
      <c r="AV445" s="288" t="s">
        <v>18</v>
      </c>
      <c r="AW445" s="287" t="s">
        <v>18</v>
      </c>
      <c r="AX445" s="287" t="s">
        <v>18</v>
      </c>
      <c r="AY445" s="288" t="s">
        <v>18</v>
      </c>
      <c r="AZ445" s="287" t="s">
        <v>18</v>
      </c>
      <c r="BA445" s="287" t="s">
        <v>18</v>
      </c>
      <c r="BB445" s="288" t="s">
        <v>377</v>
      </c>
      <c r="BC445" s="289" t="s">
        <v>377</v>
      </c>
      <c r="BD445" s="287"/>
    </row>
    <row r="446" ht="12.75" customHeight="1">
      <c r="A446" s="293">
        <v>45259.56848803241</v>
      </c>
      <c r="B446" s="286" t="s">
        <v>525</v>
      </c>
      <c r="C446" s="287" t="s">
        <v>559</v>
      </c>
      <c r="D446" s="285" t="s">
        <v>16</v>
      </c>
      <c r="E446" s="285" t="s">
        <v>476</v>
      </c>
      <c r="F446" s="287" t="s">
        <v>1000</v>
      </c>
      <c r="G446" s="285" t="s">
        <v>17</v>
      </c>
      <c r="H446" s="285">
        <v>11.0</v>
      </c>
      <c r="I446" s="287" t="s">
        <v>497</v>
      </c>
      <c r="J446" s="292"/>
      <c r="K446" s="287" t="s">
        <v>508</v>
      </c>
      <c r="L446" s="287" t="s">
        <v>479</v>
      </c>
      <c r="M446" s="287" t="s">
        <v>483</v>
      </c>
      <c r="N446" s="287" t="s">
        <v>483</v>
      </c>
      <c r="O446" s="287"/>
      <c r="P446" s="287"/>
      <c r="Q446" s="294" t="s">
        <v>32</v>
      </c>
      <c r="R446" s="294" t="s">
        <v>32</v>
      </c>
      <c r="S446" s="295" t="s">
        <v>32</v>
      </c>
      <c r="T446" s="287" t="s">
        <v>377</v>
      </c>
      <c r="U446" s="294" t="s">
        <v>32</v>
      </c>
      <c r="V446" s="295" t="s">
        <v>32</v>
      </c>
      <c r="W446" s="287" t="s">
        <v>377</v>
      </c>
      <c r="X446" s="287" t="s">
        <v>377</v>
      </c>
      <c r="Y446" s="288" t="s">
        <v>377</v>
      </c>
      <c r="Z446" s="294" t="s">
        <v>32</v>
      </c>
      <c r="AA446" s="294" t="s">
        <v>32</v>
      </c>
      <c r="AB446" s="295" t="s">
        <v>32</v>
      </c>
      <c r="AC446" s="296" t="s">
        <v>32</v>
      </c>
      <c r="AD446" s="287" t="s">
        <v>18</v>
      </c>
      <c r="AE446" s="287" t="s">
        <v>377</v>
      </c>
      <c r="AF446" s="288" t="s">
        <v>377</v>
      </c>
      <c r="AG446" s="287" t="s">
        <v>377</v>
      </c>
      <c r="AH446" s="287" t="s">
        <v>377</v>
      </c>
      <c r="AI446" s="288" t="s">
        <v>377</v>
      </c>
      <c r="AJ446" s="287" t="s">
        <v>377</v>
      </c>
      <c r="AK446" s="287" t="s">
        <v>377</v>
      </c>
      <c r="AL446" s="288" t="s">
        <v>377</v>
      </c>
      <c r="AM446" s="287" t="s">
        <v>377</v>
      </c>
      <c r="AN446" s="287" t="s">
        <v>18</v>
      </c>
      <c r="AO446" s="288" t="s">
        <v>377</v>
      </c>
      <c r="AP446" s="289" t="s">
        <v>377</v>
      </c>
      <c r="AQ446" s="287" t="s">
        <v>18</v>
      </c>
      <c r="AR446" s="287" t="s">
        <v>18</v>
      </c>
      <c r="AS446" s="288" t="s">
        <v>18</v>
      </c>
      <c r="AT446" s="294" t="s">
        <v>32</v>
      </c>
      <c r="AU446" s="287" t="s">
        <v>377</v>
      </c>
      <c r="AV446" s="295" t="s">
        <v>32</v>
      </c>
      <c r="AW446" s="294" t="s">
        <v>32</v>
      </c>
      <c r="AX446" s="287" t="s">
        <v>377</v>
      </c>
      <c r="AY446" s="295" t="s">
        <v>32</v>
      </c>
      <c r="AZ446" s="294" t="s">
        <v>32</v>
      </c>
      <c r="BA446" s="294" t="s">
        <v>32</v>
      </c>
      <c r="BB446" s="295" t="s">
        <v>32</v>
      </c>
      <c r="BC446" s="296" t="s">
        <v>32</v>
      </c>
      <c r="BD446" s="287"/>
    </row>
    <row r="447" ht="12.75" customHeight="1">
      <c r="A447" s="293">
        <v>45259.57745246528</v>
      </c>
      <c r="B447" s="286" t="s">
        <v>525</v>
      </c>
      <c r="C447" s="287" t="s">
        <v>559</v>
      </c>
      <c r="D447" s="285" t="s">
        <v>16</v>
      </c>
      <c r="E447" s="285" t="s">
        <v>476</v>
      </c>
      <c r="F447" s="287" t="s">
        <v>1001</v>
      </c>
      <c r="G447" s="285" t="s">
        <v>21</v>
      </c>
      <c r="H447" s="285">
        <v>11.0</v>
      </c>
      <c r="I447" s="287" t="s">
        <v>497</v>
      </c>
      <c r="J447" s="292"/>
      <c r="K447" s="287" t="s">
        <v>508</v>
      </c>
      <c r="L447" s="287" t="s">
        <v>497</v>
      </c>
      <c r="M447" s="292"/>
      <c r="N447" s="292"/>
      <c r="O447" s="292"/>
      <c r="P447" s="292"/>
      <c r="Q447" s="294" t="s">
        <v>32</v>
      </c>
      <c r="R447" s="294" t="s">
        <v>32</v>
      </c>
      <c r="S447" s="295" t="s">
        <v>32</v>
      </c>
      <c r="T447" s="294" t="s">
        <v>32</v>
      </c>
      <c r="U447" s="294" t="s">
        <v>32</v>
      </c>
      <c r="V447" s="295" t="s">
        <v>32</v>
      </c>
      <c r="W447" s="294" t="s">
        <v>32</v>
      </c>
      <c r="X447" s="287" t="s">
        <v>18</v>
      </c>
      <c r="Y447" s="288" t="s">
        <v>377</v>
      </c>
      <c r="Z447" s="287" t="s">
        <v>377</v>
      </c>
      <c r="AA447" s="287" t="s">
        <v>18</v>
      </c>
      <c r="AB447" s="288" t="s">
        <v>377</v>
      </c>
      <c r="AC447" s="289" t="s">
        <v>377</v>
      </c>
      <c r="AD447" s="294" t="s">
        <v>32</v>
      </c>
      <c r="AE447" s="287" t="s">
        <v>377</v>
      </c>
      <c r="AF447" s="295" t="s">
        <v>32</v>
      </c>
      <c r="AG447" s="294" t="s">
        <v>32</v>
      </c>
      <c r="AH447" s="287" t="s">
        <v>18</v>
      </c>
      <c r="AI447" s="288" t="s">
        <v>377</v>
      </c>
      <c r="AJ447" s="287" t="s">
        <v>377</v>
      </c>
      <c r="AK447" s="294" t="s">
        <v>32</v>
      </c>
      <c r="AL447" s="295" t="s">
        <v>32</v>
      </c>
      <c r="AM447" s="287" t="s">
        <v>18</v>
      </c>
      <c r="AN447" s="287" t="s">
        <v>18</v>
      </c>
      <c r="AO447" s="288" t="s">
        <v>18</v>
      </c>
      <c r="AP447" s="289" t="s">
        <v>377</v>
      </c>
      <c r="AQ447" s="294" t="s">
        <v>32</v>
      </c>
      <c r="AR447" s="287" t="s">
        <v>377</v>
      </c>
      <c r="AS447" s="295" t="s">
        <v>32</v>
      </c>
      <c r="AT447" s="294" t="s">
        <v>32</v>
      </c>
      <c r="AU447" s="287" t="s">
        <v>18</v>
      </c>
      <c r="AV447" s="288" t="s">
        <v>377</v>
      </c>
      <c r="AW447" s="287" t="s">
        <v>18</v>
      </c>
      <c r="AX447" s="294" t="s">
        <v>32</v>
      </c>
      <c r="AY447" s="288" t="s">
        <v>377</v>
      </c>
      <c r="AZ447" s="287" t="s">
        <v>377</v>
      </c>
      <c r="BA447" s="294" t="s">
        <v>32</v>
      </c>
      <c r="BB447" s="295" t="s">
        <v>32</v>
      </c>
      <c r="BC447" s="296" t="s">
        <v>32</v>
      </c>
      <c r="BD447" s="287"/>
    </row>
    <row r="448" ht="12.75" customHeight="1">
      <c r="A448" s="293">
        <v>45259.586875</v>
      </c>
      <c r="B448" s="286" t="s">
        <v>525</v>
      </c>
      <c r="C448" s="287" t="s">
        <v>559</v>
      </c>
      <c r="D448" s="285" t="s">
        <v>16</v>
      </c>
      <c r="E448" s="285" t="s">
        <v>476</v>
      </c>
      <c r="F448" s="287" t="s">
        <v>1002</v>
      </c>
      <c r="G448" s="285" t="s">
        <v>21</v>
      </c>
      <c r="H448" s="285">
        <v>11.0</v>
      </c>
      <c r="I448" s="287" t="s">
        <v>497</v>
      </c>
      <c r="J448" s="292"/>
      <c r="K448" s="287" t="s">
        <v>508</v>
      </c>
      <c r="L448" s="287" t="s">
        <v>497</v>
      </c>
      <c r="M448" s="292"/>
      <c r="N448" s="292"/>
      <c r="O448" s="292"/>
      <c r="P448" s="292"/>
      <c r="Q448" s="287" t="s">
        <v>377</v>
      </c>
      <c r="R448" s="287" t="s">
        <v>377</v>
      </c>
      <c r="S448" s="288" t="s">
        <v>377</v>
      </c>
      <c r="T448" s="294" t="s">
        <v>32</v>
      </c>
      <c r="U448" s="287" t="s">
        <v>377</v>
      </c>
      <c r="V448" s="295" t="s">
        <v>32</v>
      </c>
      <c r="W448" s="294" t="s">
        <v>32</v>
      </c>
      <c r="X448" s="287" t="s">
        <v>18</v>
      </c>
      <c r="Y448" s="288" t="s">
        <v>377</v>
      </c>
      <c r="Z448" s="294" t="s">
        <v>32</v>
      </c>
      <c r="AA448" s="287" t="s">
        <v>377</v>
      </c>
      <c r="AB448" s="295" t="s">
        <v>32</v>
      </c>
      <c r="AC448" s="289" t="s">
        <v>377</v>
      </c>
      <c r="AD448" s="294" t="s">
        <v>32</v>
      </c>
      <c r="AE448" s="287" t="s">
        <v>377</v>
      </c>
      <c r="AF448" s="295" t="s">
        <v>32</v>
      </c>
      <c r="AG448" s="287" t="s">
        <v>18</v>
      </c>
      <c r="AH448" s="294" t="s">
        <v>32</v>
      </c>
      <c r="AI448" s="288" t="s">
        <v>377</v>
      </c>
      <c r="AJ448" s="287" t="s">
        <v>18</v>
      </c>
      <c r="AK448" s="287" t="s">
        <v>377</v>
      </c>
      <c r="AL448" s="288" t="s">
        <v>377</v>
      </c>
      <c r="AM448" s="294" t="s">
        <v>32</v>
      </c>
      <c r="AN448" s="287" t="s">
        <v>18</v>
      </c>
      <c r="AO448" s="288" t="s">
        <v>377</v>
      </c>
      <c r="AP448" s="289" t="s">
        <v>377</v>
      </c>
      <c r="AQ448" s="287" t="s">
        <v>377</v>
      </c>
      <c r="AR448" s="294" t="s">
        <v>32</v>
      </c>
      <c r="AS448" s="295" t="s">
        <v>32</v>
      </c>
      <c r="AT448" s="287" t="s">
        <v>18</v>
      </c>
      <c r="AU448" s="287" t="s">
        <v>377</v>
      </c>
      <c r="AV448" s="288" t="s">
        <v>377</v>
      </c>
      <c r="AW448" s="287" t="s">
        <v>377</v>
      </c>
      <c r="AX448" s="287" t="s">
        <v>18</v>
      </c>
      <c r="AY448" s="288" t="s">
        <v>377</v>
      </c>
      <c r="AZ448" s="294" t="s">
        <v>32</v>
      </c>
      <c r="BA448" s="294" t="s">
        <v>32</v>
      </c>
      <c r="BB448" s="295" t="s">
        <v>32</v>
      </c>
      <c r="BC448" s="296" t="s">
        <v>32</v>
      </c>
      <c r="BD448" s="287"/>
    </row>
    <row r="449" ht="12.75" customHeight="1">
      <c r="A449" s="293">
        <v>45259.619021273145</v>
      </c>
      <c r="B449" s="286" t="s">
        <v>525</v>
      </c>
      <c r="C449" s="287" t="s">
        <v>559</v>
      </c>
      <c r="D449" s="285" t="s">
        <v>16</v>
      </c>
      <c r="E449" s="285" t="s">
        <v>476</v>
      </c>
      <c r="F449" s="287" t="s">
        <v>1003</v>
      </c>
      <c r="G449" s="285" t="s">
        <v>17</v>
      </c>
      <c r="H449" s="285">
        <v>11.0</v>
      </c>
      <c r="I449" s="287" t="s">
        <v>497</v>
      </c>
      <c r="J449" s="292"/>
      <c r="K449" s="287" t="s">
        <v>508</v>
      </c>
      <c r="L449" s="287" t="s">
        <v>479</v>
      </c>
      <c r="M449" s="287" t="s">
        <v>483</v>
      </c>
      <c r="N449" s="287" t="s">
        <v>483</v>
      </c>
      <c r="O449" s="287"/>
      <c r="P449" s="287"/>
      <c r="Q449" s="294" t="s">
        <v>32</v>
      </c>
      <c r="R449" s="287" t="s">
        <v>377</v>
      </c>
      <c r="S449" s="295" t="s">
        <v>32</v>
      </c>
      <c r="T449" s="294" t="s">
        <v>32</v>
      </c>
      <c r="U449" s="294" t="s">
        <v>32</v>
      </c>
      <c r="V449" s="295" t="s">
        <v>32</v>
      </c>
      <c r="W449" s="294" t="s">
        <v>32</v>
      </c>
      <c r="X449" s="287" t="s">
        <v>377</v>
      </c>
      <c r="Y449" s="295" t="s">
        <v>32</v>
      </c>
      <c r="Z449" s="294" t="s">
        <v>32</v>
      </c>
      <c r="AA449" s="294" t="s">
        <v>32</v>
      </c>
      <c r="AB449" s="295" t="s">
        <v>32</v>
      </c>
      <c r="AC449" s="296" t="s">
        <v>32</v>
      </c>
      <c r="AD449" s="287" t="s">
        <v>377</v>
      </c>
      <c r="AE449" s="294" t="s">
        <v>32</v>
      </c>
      <c r="AF449" s="295" t="s">
        <v>32</v>
      </c>
      <c r="AG449" s="294" t="s">
        <v>32</v>
      </c>
      <c r="AH449" s="287" t="s">
        <v>377</v>
      </c>
      <c r="AI449" s="295" t="s">
        <v>32</v>
      </c>
      <c r="AJ449" s="287" t="s">
        <v>377</v>
      </c>
      <c r="AK449" s="287" t="s">
        <v>377</v>
      </c>
      <c r="AL449" s="288" t="s">
        <v>377</v>
      </c>
      <c r="AM449" s="287" t="s">
        <v>377</v>
      </c>
      <c r="AN449" s="294" t="s">
        <v>32</v>
      </c>
      <c r="AO449" s="295" t="s">
        <v>32</v>
      </c>
      <c r="AP449" s="289" t="s">
        <v>377</v>
      </c>
      <c r="AQ449" s="287" t="s">
        <v>377</v>
      </c>
      <c r="AR449" s="294" t="s">
        <v>32</v>
      </c>
      <c r="AS449" s="295" t="s">
        <v>32</v>
      </c>
      <c r="AT449" s="294" t="s">
        <v>32</v>
      </c>
      <c r="AU449" s="294" t="s">
        <v>32</v>
      </c>
      <c r="AV449" s="295" t="s">
        <v>32</v>
      </c>
      <c r="AW449" s="294" t="s">
        <v>32</v>
      </c>
      <c r="AX449" s="287" t="s">
        <v>377</v>
      </c>
      <c r="AY449" s="295" t="s">
        <v>32</v>
      </c>
      <c r="AZ449" s="294" t="s">
        <v>32</v>
      </c>
      <c r="BA449" s="294" t="s">
        <v>32</v>
      </c>
      <c r="BB449" s="295" t="s">
        <v>32</v>
      </c>
      <c r="BC449" s="296" t="s">
        <v>32</v>
      </c>
      <c r="BD449" s="287"/>
    </row>
    <row r="450" ht="12.75" customHeight="1">
      <c r="A450" s="293">
        <v>45259.631595983796</v>
      </c>
      <c r="B450" s="286" t="s">
        <v>525</v>
      </c>
      <c r="C450" s="287" t="s">
        <v>559</v>
      </c>
      <c r="D450" s="285" t="s">
        <v>16</v>
      </c>
      <c r="E450" s="285" t="s">
        <v>476</v>
      </c>
      <c r="F450" s="287" t="s">
        <v>1004</v>
      </c>
      <c r="G450" s="285" t="s">
        <v>17</v>
      </c>
      <c r="H450" s="285">
        <v>12.0</v>
      </c>
      <c r="I450" s="287" t="s">
        <v>497</v>
      </c>
      <c r="J450" s="292"/>
      <c r="K450" s="287" t="s">
        <v>508</v>
      </c>
      <c r="L450" s="287" t="s">
        <v>479</v>
      </c>
      <c r="M450" s="287" t="s">
        <v>500</v>
      </c>
      <c r="N450" s="287" t="s">
        <v>500</v>
      </c>
      <c r="O450" s="287"/>
      <c r="P450" s="287"/>
      <c r="Q450" s="287" t="s">
        <v>377</v>
      </c>
      <c r="R450" s="287" t="s">
        <v>377</v>
      </c>
      <c r="S450" s="288" t="s">
        <v>377</v>
      </c>
      <c r="T450" s="287" t="s">
        <v>377</v>
      </c>
      <c r="U450" s="287" t="s">
        <v>18</v>
      </c>
      <c r="V450" s="288" t="s">
        <v>377</v>
      </c>
      <c r="W450" s="287" t="s">
        <v>377</v>
      </c>
      <c r="X450" s="287" t="s">
        <v>18</v>
      </c>
      <c r="Y450" s="288" t="s">
        <v>377</v>
      </c>
      <c r="Z450" s="294" t="s">
        <v>32</v>
      </c>
      <c r="AA450" s="287" t="s">
        <v>18</v>
      </c>
      <c r="AB450" s="288" t="s">
        <v>377</v>
      </c>
      <c r="AC450" s="289" t="s">
        <v>377</v>
      </c>
      <c r="AD450" s="287" t="s">
        <v>377</v>
      </c>
      <c r="AE450" s="294" t="s">
        <v>32</v>
      </c>
      <c r="AF450" s="295" t="s">
        <v>32</v>
      </c>
      <c r="AG450" s="287" t="s">
        <v>18</v>
      </c>
      <c r="AH450" s="294" t="s">
        <v>32</v>
      </c>
      <c r="AI450" s="288" t="s">
        <v>377</v>
      </c>
      <c r="AJ450" s="287" t="s">
        <v>18</v>
      </c>
      <c r="AK450" s="287" t="s">
        <v>377</v>
      </c>
      <c r="AL450" s="288" t="s">
        <v>377</v>
      </c>
      <c r="AM450" s="287" t="s">
        <v>377</v>
      </c>
      <c r="AN450" s="287" t="s">
        <v>377</v>
      </c>
      <c r="AO450" s="288" t="s">
        <v>377</v>
      </c>
      <c r="AP450" s="289" t="s">
        <v>377</v>
      </c>
      <c r="AQ450" s="287" t="s">
        <v>18</v>
      </c>
      <c r="AR450" s="294" t="s">
        <v>32</v>
      </c>
      <c r="AS450" s="288" t="s">
        <v>377</v>
      </c>
      <c r="AT450" s="287" t="s">
        <v>377</v>
      </c>
      <c r="AU450" s="287" t="s">
        <v>18</v>
      </c>
      <c r="AV450" s="288" t="s">
        <v>377</v>
      </c>
      <c r="AW450" s="287" t="s">
        <v>377</v>
      </c>
      <c r="AX450" s="294" t="s">
        <v>32</v>
      </c>
      <c r="AY450" s="295" t="s">
        <v>32</v>
      </c>
      <c r="AZ450" s="287" t="s">
        <v>18</v>
      </c>
      <c r="BA450" s="294" t="s">
        <v>32</v>
      </c>
      <c r="BB450" s="295" t="s">
        <v>32</v>
      </c>
      <c r="BC450" s="296" t="s">
        <v>32</v>
      </c>
      <c r="BD450" s="287"/>
    </row>
    <row r="451" ht="12.75" customHeight="1">
      <c r="A451" s="293">
        <v>45259.638286851856</v>
      </c>
      <c r="B451" s="286" t="s">
        <v>525</v>
      </c>
      <c r="C451" s="287" t="s">
        <v>559</v>
      </c>
      <c r="D451" s="285" t="s">
        <v>16</v>
      </c>
      <c r="E451" s="285" t="s">
        <v>476</v>
      </c>
      <c r="F451" s="287" t="s">
        <v>1005</v>
      </c>
      <c r="G451" s="285" t="s">
        <v>17</v>
      </c>
      <c r="H451" s="285">
        <v>11.0</v>
      </c>
      <c r="I451" s="287" t="s">
        <v>497</v>
      </c>
      <c r="J451" s="292"/>
      <c r="K451" s="287" t="s">
        <v>508</v>
      </c>
      <c r="L451" s="287" t="s">
        <v>497</v>
      </c>
      <c r="M451" s="292"/>
      <c r="N451" s="292"/>
      <c r="O451" s="292"/>
      <c r="P451" s="292"/>
      <c r="Q451" s="287" t="s">
        <v>18</v>
      </c>
      <c r="R451" s="287" t="s">
        <v>18</v>
      </c>
      <c r="S451" s="288" t="s">
        <v>18</v>
      </c>
      <c r="T451" s="287" t="s">
        <v>18</v>
      </c>
      <c r="U451" s="287" t="s">
        <v>18</v>
      </c>
      <c r="V451" s="288" t="s">
        <v>18</v>
      </c>
      <c r="W451" s="287" t="s">
        <v>18</v>
      </c>
      <c r="X451" s="287" t="s">
        <v>18</v>
      </c>
      <c r="Y451" s="288" t="s">
        <v>18</v>
      </c>
      <c r="Z451" s="287" t="s">
        <v>18</v>
      </c>
      <c r="AA451" s="287" t="s">
        <v>18</v>
      </c>
      <c r="AB451" s="288" t="s">
        <v>18</v>
      </c>
      <c r="AC451" s="289" t="s">
        <v>18</v>
      </c>
      <c r="AD451" s="287" t="s">
        <v>18</v>
      </c>
      <c r="AE451" s="287" t="s">
        <v>18</v>
      </c>
      <c r="AF451" s="288" t="s">
        <v>18</v>
      </c>
      <c r="AG451" s="287" t="s">
        <v>18</v>
      </c>
      <c r="AH451" s="287" t="s">
        <v>18</v>
      </c>
      <c r="AI451" s="288" t="s">
        <v>18</v>
      </c>
      <c r="AJ451" s="287" t="s">
        <v>18</v>
      </c>
      <c r="AK451" s="287" t="s">
        <v>18</v>
      </c>
      <c r="AL451" s="288" t="s">
        <v>18</v>
      </c>
      <c r="AM451" s="287" t="s">
        <v>18</v>
      </c>
      <c r="AN451" s="287" t="s">
        <v>18</v>
      </c>
      <c r="AO451" s="288" t="s">
        <v>18</v>
      </c>
      <c r="AP451" s="289" t="s">
        <v>18</v>
      </c>
      <c r="AQ451" s="287" t="s">
        <v>18</v>
      </c>
      <c r="AR451" s="287" t="s">
        <v>18</v>
      </c>
      <c r="AS451" s="288" t="s">
        <v>18</v>
      </c>
      <c r="AT451" s="287" t="s">
        <v>18</v>
      </c>
      <c r="AU451" s="287" t="s">
        <v>18</v>
      </c>
      <c r="AV451" s="288" t="s">
        <v>18</v>
      </c>
      <c r="AW451" s="287" t="s">
        <v>18</v>
      </c>
      <c r="AX451" s="287" t="s">
        <v>18</v>
      </c>
      <c r="AY451" s="288" t="s">
        <v>18</v>
      </c>
      <c r="AZ451" s="287" t="s">
        <v>18</v>
      </c>
      <c r="BA451" s="287" t="s">
        <v>18</v>
      </c>
      <c r="BB451" s="288" t="s">
        <v>377</v>
      </c>
      <c r="BC451" s="289" t="s">
        <v>377</v>
      </c>
      <c r="BD451" s="287"/>
    </row>
    <row r="452" ht="12.75" customHeight="1">
      <c r="A452" s="293">
        <v>45259.64109369213</v>
      </c>
      <c r="B452" s="286" t="s">
        <v>525</v>
      </c>
      <c r="C452" s="287" t="s">
        <v>559</v>
      </c>
      <c r="D452" s="285" t="s">
        <v>16</v>
      </c>
      <c r="E452" s="285" t="s">
        <v>476</v>
      </c>
      <c r="F452" s="287" t="s">
        <v>1006</v>
      </c>
      <c r="G452" s="285" t="s">
        <v>21</v>
      </c>
      <c r="H452" s="285">
        <v>10.0</v>
      </c>
      <c r="I452" s="287" t="s">
        <v>497</v>
      </c>
      <c r="J452" s="292"/>
      <c r="K452" s="287" t="s">
        <v>508</v>
      </c>
      <c r="L452" s="287" t="s">
        <v>497</v>
      </c>
      <c r="M452" s="292"/>
      <c r="N452" s="292"/>
      <c r="O452" s="292"/>
      <c r="P452" s="292"/>
      <c r="Q452" s="287" t="s">
        <v>18</v>
      </c>
      <c r="R452" s="287" t="s">
        <v>18</v>
      </c>
      <c r="S452" s="288" t="s">
        <v>18</v>
      </c>
      <c r="T452" s="287" t="s">
        <v>18</v>
      </c>
      <c r="U452" s="287" t="s">
        <v>18</v>
      </c>
      <c r="V452" s="288" t="s">
        <v>18</v>
      </c>
      <c r="W452" s="287" t="s">
        <v>18</v>
      </c>
      <c r="X452" s="287" t="s">
        <v>18</v>
      </c>
      <c r="Y452" s="288" t="s">
        <v>18</v>
      </c>
      <c r="Z452" s="287" t="s">
        <v>18</v>
      </c>
      <c r="AA452" s="287" t="s">
        <v>18</v>
      </c>
      <c r="AB452" s="288" t="s">
        <v>18</v>
      </c>
      <c r="AC452" s="289" t="s">
        <v>18</v>
      </c>
      <c r="AD452" s="287" t="s">
        <v>18</v>
      </c>
      <c r="AE452" s="287" t="s">
        <v>18</v>
      </c>
      <c r="AF452" s="288" t="s">
        <v>18</v>
      </c>
      <c r="AG452" s="287" t="s">
        <v>18</v>
      </c>
      <c r="AH452" s="287" t="s">
        <v>18</v>
      </c>
      <c r="AI452" s="288" t="s">
        <v>18</v>
      </c>
      <c r="AJ452" s="287" t="s">
        <v>18</v>
      </c>
      <c r="AK452" s="287" t="s">
        <v>18</v>
      </c>
      <c r="AL452" s="288" t="s">
        <v>18</v>
      </c>
      <c r="AM452" s="287" t="s">
        <v>18</v>
      </c>
      <c r="AN452" s="287" t="s">
        <v>18</v>
      </c>
      <c r="AO452" s="288" t="s">
        <v>18</v>
      </c>
      <c r="AP452" s="289" t="s">
        <v>18</v>
      </c>
      <c r="AQ452" s="287" t="s">
        <v>18</v>
      </c>
      <c r="AR452" s="287" t="s">
        <v>18</v>
      </c>
      <c r="AS452" s="288" t="s">
        <v>18</v>
      </c>
      <c r="AT452" s="287" t="s">
        <v>18</v>
      </c>
      <c r="AU452" s="287" t="s">
        <v>18</v>
      </c>
      <c r="AV452" s="288" t="s">
        <v>18</v>
      </c>
      <c r="AW452" s="287" t="s">
        <v>18</v>
      </c>
      <c r="AX452" s="287" t="s">
        <v>18</v>
      </c>
      <c r="AY452" s="288" t="s">
        <v>18</v>
      </c>
      <c r="AZ452" s="287" t="s">
        <v>18</v>
      </c>
      <c r="BA452" s="287" t="s">
        <v>18</v>
      </c>
      <c r="BB452" s="288" t="s">
        <v>377</v>
      </c>
      <c r="BC452" s="289" t="s">
        <v>377</v>
      </c>
      <c r="BD452" s="287"/>
    </row>
    <row r="453" ht="12.75" customHeight="1">
      <c r="A453" s="293">
        <v>45259.64360915509</v>
      </c>
      <c r="B453" s="286" t="s">
        <v>525</v>
      </c>
      <c r="C453" s="287" t="s">
        <v>559</v>
      </c>
      <c r="D453" s="285" t="s">
        <v>16</v>
      </c>
      <c r="E453" s="285" t="s">
        <v>476</v>
      </c>
      <c r="F453" s="287" t="s">
        <v>1007</v>
      </c>
      <c r="G453" s="285" t="s">
        <v>21</v>
      </c>
      <c r="H453" s="285">
        <v>10.0</v>
      </c>
      <c r="I453" s="287" t="s">
        <v>497</v>
      </c>
      <c r="J453" s="292"/>
      <c r="K453" s="287" t="s">
        <v>508</v>
      </c>
      <c r="L453" s="287" t="s">
        <v>497</v>
      </c>
      <c r="M453" s="292"/>
      <c r="N453" s="292"/>
      <c r="O453" s="292"/>
      <c r="P453" s="292"/>
      <c r="Q453" s="287" t="s">
        <v>18</v>
      </c>
      <c r="R453" s="287" t="s">
        <v>18</v>
      </c>
      <c r="S453" s="288" t="s">
        <v>18</v>
      </c>
      <c r="T453" s="287" t="s">
        <v>18</v>
      </c>
      <c r="U453" s="287" t="s">
        <v>18</v>
      </c>
      <c r="V453" s="288" t="s">
        <v>18</v>
      </c>
      <c r="W453" s="287" t="s">
        <v>18</v>
      </c>
      <c r="X453" s="287" t="s">
        <v>18</v>
      </c>
      <c r="Y453" s="288" t="s">
        <v>18</v>
      </c>
      <c r="Z453" s="287" t="s">
        <v>18</v>
      </c>
      <c r="AA453" s="287" t="s">
        <v>18</v>
      </c>
      <c r="AB453" s="288" t="s">
        <v>18</v>
      </c>
      <c r="AC453" s="289" t="s">
        <v>18</v>
      </c>
      <c r="AD453" s="287" t="s">
        <v>18</v>
      </c>
      <c r="AE453" s="287" t="s">
        <v>18</v>
      </c>
      <c r="AF453" s="288" t="s">
        <v>18</v>
      </c>
      <c r="AG453" s="287" t="s">
        <v>18</v>
      </c>
      <c r="AH453" s="287" t="s">
        <v>18</v>
      </c>
      <c r="AI453" s="288" t="s">
        <v>18</v>
      </c>
      <c r="AJ453" s="287" t="s">
        <v>18</v>
      </c>
      <c r="AK453" s="287" t="s">
        <v>18</v>
      </c>
      <c r="AL453" s="288" t="s">
        <v>18</v>
      </c>
      <c r="AM453" s="287" t="s">
        <v>18</v>
      </c>
      <c r="AN453" s="287" t="s">
        <v>18</v>
      </c>
      <c r="AO453" s="288" t="s">
        <v>18</v>
      </c>
      <c r="AP453" s="289" t="s">
        <v>18</v>
      </c>
      <c r="AQ453" s="287" t="s">
        <v>18</v>
      </c>
      <c r="AR453" s="287" t="s">
        <v>18</v>
      </c>
      <c r="AS453" s="288" t="s">
        <v>18</v>
      </c>
      <c r="AT453" s="287" t="s">
        <v>18</v>
      </c>
      <c r="AU453" s="287" t="s">
        <v>18</v>
      </c>
      <c r="AV453" s="288" t="s">
        <v>18</v>
      </c>
      <c r="AW453" s="287" t="s">
        <v>18</v>
      </c>
      <c r="AX453" s="287" t="s">
        <v>18</v>
      </c>
      <c r="AY453" s="288" t="s">
        <v>18</v>
      </c>
      <c r="AZ453" s="287" t="s">
        <v>18</v>
      </c>
      <c r="BA453" s="287" t="s">
        <v>18</v>
      </c>
      <c r="BB453" s="288" t="s">
        <v>377</v>
      </c>
      <c r="BC453" s="289" t="s">
        <v>377</v>
      </c>
      <c r="BD453" s="287"/>
    </row>
    <row r="454" ht="12.75" customHeight="1">
      <c r="A454" s="293">
        <v>45259.64621100694</v>
      </c>
      <c r="B454" s="286" t="s">
        <v>525</v>
      </c>
      <c r="C454" s="287" t="s">
        <v>559</v>
      </c>
      <c r="D454" s="285" t="s">
        <v>16</v>
      </c>
      <c r="E454" s="285" t="s">
        <v>476</v>
      </c>
      <c r="F454" s="287" t="s">
        <v>1008</v>
      </c>
      <c r="G454" s="285" t="s">
        <v>21</v>
      </c>
      <c r="H454" s="285">
        <v>10.0</v>
      </c>
      <c r="I454" s="287" t="s">
        <v>497</v>
      </c>
      <c r="J454" s="292"/>
      <c r="K454" s="287" t="s">
        <v>508</v>
      </c>
      <c r="L454" s="287" t="s">
        <v>497</v>
      </c>
      <c r="M454" s="292"/>
      <c r="N454" s="292"/>
      <c r="O454" s="292"/>
      <c r="P454" s="292"/>
      <c r="Q454" s="287" t="s">
        <v>18</v>
      </c>
      <c r="R454" s="287" t="s">
        <v>18</v>
      </c>
      <c r="S454" s="288" t="s">
        <v>18</v>
      </c>
      <c r="T454" s="287" t="s">
        <v>18</v>
      </c>
      <c r="U454" s="287" t="s">
        <v>18</v>
      </c>
      <c r="V454" s="288" t="s">
        <v>18</v>
      </c>
      <c r="W454" s="287" t="s">
        <v>18</v>
      </c>
      <c r="X454" s="287" t="s">
        <v>18</v>
      </c>
      <c r="Y454" s="288" t="s">
        <v>18</v>
      </c>
      <c r="Z454" s="287" t="s">
        <v>18</v>
      </c>
      <c r="AA454" s="287" t="s">
        <v>18</v>
      </c>
      <c r="AB454" s="288" t="s">
        <v>18</v>
      </c>
      <c r="AC454" s="289" t="s">
        <v>18</v>
      </c>
      <c r="AD454" s="287" t="s">
        <v>18</v>
      </c>
      <c r="AE454" s="287" t="s">
        <v>18</v>
      </c>
      <c r="AF454" s="288" t="s">
        <v>18</v>
      </c>
      <c r="AG454" s="287" t="s">
        <v>18</v>
      </c>
      <c r="AH454" s="287" t="s">
        <v>18</v>
      </c>
      <c r="AI454" s="288" t="s">
        <v>18</v>
      </c>
      <c r="AJ454" s="287" t="s">
        <v>18</v>
      </c>
      <c r="AK454" s="287" t="s">
        <v>18</v>
      </c>
      <c r="AL454" s="288" t="s">
        <v>18</v>
      </c>
      <c r="AM454" s="287" t="s">
        <v>18</v>
      </c>
      <c r="AN454" s="287" t="s">
        <v>18</v>
      </c>
      <c r="AO454" s="288" t="s">
        <v>18</v>
      </c>
      <c r="AP454" s="289" t="s">
        <v>18</v>
      </c>
      <c r="AQ454" s="287" t="s">
        <v>18</v>
      </c>
      <c r="AR454" s="287" t="s">
        <v>18</v>
      </c>
      <c r="AS454" s="288" t="s">
        <v>18</v>
      </c>
      <c r="AT454" s="287" t="s">
        <v>18</v>
      </c>
      <c r="AU454" s="287" t="s">
        <v>18</v>
      </c>
      <c r="AV454" s="288" t="s">
        <v>18</v>
      </c>
      <c r="AW454" s="287" t="s">
        <v>18</v>
      </c>
      <c r="AX454" s="287" t="s">
        <v>18</v>
      </c>
      <c r="AY454" s="288" t="s">
        <v>18</v>
      </c>
      <c r="AZ454" s="287" t="s">
        <v>18</v>
      </c>
      <c r="BA454" s="287" t="s">
        <v>18</v>
      </c>
      <c r="BB454" s="295" t="s">
        <v>32</v>
      </c>
      <c r="BC454" s="296" t="s">
        <v>32</v>
      </c>
      <c r="BD454" s="287"/>
    </row>
    <row r="455" ht="12.75" customHeight="1">
      <c r="A455" s="293">
        <v>44790.40685996528</v>
      </c>
      <c r="B455" s="297" t="s">
        <v>525</v>
      </c>
      <c r="C455" s="298" t="s">
        <v>567</v>
      </c>
      <c r="D455" s="298" t="s">
        <v>16</v>
      </c>
      <c r="E455" s="285" t="s">
        <v>476</v>
      </c>
      <c r="F455" s="292" t="s">
        <v>1009</v>
      </c>
      <c r="G455" s="298" t="s">
        <v>21</v>
      </c>
      <c r="H455" s="298">
        <v>12.0</v>
      </c>
      <c r="I455" s="292" t="s">
        <v>497</v>
      </c>
      <c r="J455" s="292" t="s">
        <v>498</v>
      </c>
      <c r="K455" s="287" t="s">
        <v>508</v>
      </c>
      <c r="L455" s="292" t="s">
        <v>479</v>
      </c>
      <c r="M455" s="292" t="s">
        <v>483</v>
      </c>
      <c r="N455" s="292"/>
      <c r="O455" s="292"/>
      <c r="P455" s="292"/>
      <c r="Q455" s="299" t="s">
        <v>32</v>
      </c>
      <c r="R455" s="299" t="s">
        <v>32</v>
      </c>
      <c r="S455" s="295" t="s">
        <v>32</v>
      </c>
      <c r="T455" s="292" t="s">
        <v>18</v>
      </c>
      <c r="U455" s="299" t="s">
        <v>32</v>
      </c>
      <c r="V455" s="288" t="s">
        <v>377</v>
      </c>
      <c r="W455" s="299" t="s">
        <v>32</v>
      </c>
      <c r="X455" s="299" t="s">
        <v>32</v>
      </c>
      <c r="Y455" s="295" t="s">
        <v>32</v>
      </c>
      <c r="Z455" s="292" t="s">
        <v>377</v>
      </c>
      <c r="AA455" s="299" t="s">
        <v>32</v>
      </c>
      <c r="AB455" s="295" t="s">
        <v>32</v>
      </c>
      <c r="AC455" s="296" t="s">
        <v>32</v>
      </c>
      <c r="AD455" s="292" t="s">
        <v>377</v>
      </c>
      <c r="AE455" s="299" t="s">
        <v>32</v>
      </c>
      <c r="AF455" s="295" t="s">
        <v>32</v>
      </c>
      <c r="AG455" s="299" t="s">
        <v>32</v>
      </c>
      <c r="AH455" s="292" t="s">
        <v>377</v>
      </c>
      <c r="AI455" s="295" t="s">
        <v>32</v>
      </c>
      <c r="AJ455" s="299" t="s">
        <v>32</v>
      </c>
      <c r="AK455" s="299" t="s">
        <v>32</v>
      </c>
      <c r="AL455" s="295" t="s">
        <v>32</v>
      </c>
      <c r="AM455" s="292" t="s">
        <v>18</v>
      </c>
      <c r="AN455" s="292" t="s">
        <v>18</v>
      </c>
      <c r="AO455" s="288" t="s">
        <v>18</v>
      </c>
      <c r="AP455" s="289" t="s">
        <v>377</v>
      </c>
      <c r="AQ455" s="292" t="s">
        <v>18</v>
      </c>
      <c r="AR455" s="292" t="s">
        <v>377</v>
      </c>
      <c r="AS455" s="288" t="s">
        <v>377</v>
      </c>
      <c r="AT455" s="299" t="s">
        <v>32</v>
      </c>
      <c r="AU455" s="292" t="s">
        <v>377</v>
      </c>
      <c r="AV455" s="295" t="s">
        <v>32</v>
      </c>
      <c r="AW455" s="292" t="s">
        <v>377</v>
      </c>
      <c r="AX455" s="299" t="s">
        <v>32</v>
      </c>
      <c r="AY455" s="295" t="s">
        <v>32</v>
      </c>
      <c r="AZ455" s="299" t="s">
        <v>32</v>
      </c>
      <c r="BA455" s="292" t="s">
        <v>377</v>
      </c>
      <c r="BB455" s="288" t="s">
        <v>377</v>
      </c>
      <c r="BC455" s="289" t="s">
        <v>377</v>
      </c>
      <c r="BD455" s="287"/>
    </row>
    <row r="456" ht="12.75" customHeight="1">
      <c r="A456" s="293">
        <v>44790.4172318287</v>
      </c>
      <c r="B456" s="297" t="s">
        <v>525</v>
      </c>
      <c r="C456" s="298" t="s">
        <v>567</v>
      </c>
      <c r="D456" s="298" t="s">
        <v>16</v>
      </c>
      <c r="E456" s="285" t="s">
        <v>476</v>
      </c>
      <c r="F456" s="292" t="s">
        <v>1010</v>
      </c>
      <c r="G456" s="298" t="s">
        <v>17</v>
      </c>
      <c r="H456" s="298">
        <v>12.0</v>
      </c>
      <c r="I456" s="292" t="s">
        <v>497</v>
      </c>
      <c r="J456" s="292" t="s">
        <v>498</v>
      </c>
      <c r="K456" s="287" t="s">
        <v>508</v>
      </c>
      <c r="L456" s="292" t="s">
        <v>479</v>
      </c>
      <c r="M456" s="292" t="s">
        <v>483</v>
      </c>
      <c r="N456" s="292"/>
      <c r="O456" s="292"/>
      <c r="P456" s="292"/>
      <c r="Q456" s="299" t="s">
        <v>32</v>
      </c>
      <c r="R456" s="292" t="s">
        <v>377</v>
      </c>
      <c r="S456" s="295" t="s">
        <v>32</v>
      </c>
      <c r="T456" s="292" t="s">
        <v>18</v>
      </c>
      <c r="U456" s="299" t="s">
        <v>32</v>
      </c>
      <c r="V456" s="288" t="s">
        <v>377</v>
      </c>
      <c r="W456" s="299" t="s">
        <v>32</v>
      </c>
      <c r="X456" s="292" t="s">
        <v>18</v>
      </c>
      <c r="Y456" s="288" t="s">
        <v>377</v>
      </c>
      <c r="Z456" s="299" t="s">
        <v>32</v>
      </c>
      <c r="AA456" s="292" t="s">
        <v>18</v>
      </c>
      <c r="AB456" s="288" t="s">
        <v>377</v>
      </c>
      <c r="AC456" s="289" t="s">
        <v>377</v>
      </c>
      <c r="AD456" s="292" t="s">
        <v>377</v>
      </c>
      <c r="AE456" s="299" t="s">
        <v>32</v>
      </c>
      <c r="AF456" s="295" t="s">
        <v>32</v>
      </c>
      <c r="AG456" s="299" t="s">
        <v>32</v>
      </c>
      <c r="AH456" s="292" t="s">
        <v>377</v>
      </c>
      <c r="AI456" s="295" t="s">
        <v>32</v>
      </c>
      <c r="AJ456" s="292" t="s">
        <v>18</v>
      </c>
      <c r="AK456" s="299" t="s">
        <v>32</v>
      </c>
      <c r="AL456" s="288" t="s">
        <v>377</v>
      </c>
      <c r="AM456" s="292" t="s">
        <v>18</v>
      </c>
      <c r="AN456" s="292" t="s">
        <v>18</v>
      </c>
      <c r="AO456" s="288" t="s">
        <v>18</v>
      </c>
      <c r="AP456" s="289" t="s">
        <v>377</v>
      </c>
      <c r="AQ456" s="299" t="s">
        <v>32</v>
      </c>
      <c r="AR456" s="292" t="s">
        <v>377</v>
      </c>
      <c r="AS456" s="295" t="s">
        <v>32</v>
      </c>
      <c r="AT456" s="299" t="s">
        <v>32</v>
      </c>
      <c r="AU456" s="299" t="s">
        <v>32</v>
      </c>
      <c r="AV456" s="295" t="s">
        <v>32</v>
      </c>
      <c r="AW456" s="292" t="s">
        <v>377</v>
      </c>
      <c r="AX456" s="299" t="s">
        <v>32</v>
      </c>
      <c r="AY456" s="295" t="s">
        <v>32</v>
      </c>
      <c r="AZ456" s="299" t="s">
        <v>32</v>
      </c>
      <c r="BA456" s="292" t="s">
        <v>18</v>
      </c>
      <c r="BB456" s="295" t="s">
        <v>32</v>
      </c>
      <c r="BC456" s="296" t="s">
        <v>32</v>
      </c>
      <c r="BD456" s="287"/>
    </row>
    <row r="457" ht="12.75" customHeight="1">
      <c r="A457" s="293">
        <v>44790.42245894676</v>
      </c>
      <c r="B457" s="297" t="s">
        <v>525</v>
      </c>
      <c r="C457" s="298" t="s">
        <v>567</v>
      </c>
      <c r="D457" s="298" t="s">
        <v>16</v>
      </c>
      <c r="E457" s="285" t="s">
        <v>476</v>
      </c>
      <c r="F457" s="292" t="s">
        <v>1011</v>
      </c>
      <c r="G457" s="298" t="s">
        <v>17</v>
      </c>
      <c r="H457" s="298">
        <v>12.0</v>
      </c>
      <c r="I457" s="292" t="s">
        <v>497</v>
      </c>
      <c r="J457" s="292" t="s">
        <v>498</v>
      </c>
      <c r="K457" s="287" t="s">
        <v>508</v>
      </c>
      <c r="L457" s="292" t="s">
        <v>479</v>
      </c>
      <c r="M457" s="292" t="s">
        <v>490</v>
      </c>
      <c r="N457" s="292"/>
      <c r="O457" s="292"/>
      <c r="P457" s="292"/>
      <c r="Q457" s="292" t="s">
        <v>18</v>
      </c>
      <c r="R457" s="292" t="s">
        <v>18</v>
      </c>
      <c r="S457" s="288" t="s">
        <v>18</v>
      </c>
      <c r="T457" s="292" t="s">
        <v>18</v>
      </c>
      <c r="U457" s="292" t="s">
        <v>377</v>
      </c>
      <c r="V457" s="288" t="s">
        <v>377</v>
      </c>
      <c r="W457" s="299" t="s">
        <v>32</v>
      </c>
      <c r="X457" s="299" t="s">
        <v>32</v>
      </c>
      <c r="Y457" s="295" t="s">
        <v>32</v>
      </c>
      <c r="Z457" s="292" t="s">
        <v>18</v>
      </c>
      <c r="AA457" s="292" t="s">
        <v>18</v>
      </c>
      <c r="AB457" s="288" t="s">
        <v>18</v>
      </c>
      <c r="AC457" s="289" t="s">
        <v>377</v>
      </c>
      <c r="AD457" s="299" t="s">
        <v>32</v>
      </c>
      <c r="AE457" s="299" t="s">
        <v>32</v>
      </c>
      <c r="AF457" s="295" t="s">
        <v>32</v>
      </c>
      <c r="AG457" s="299" t="s">
        <v>32</v>
      </c>
      <c r="AH457" s="292" t="s">
        <v>377</v>
      </c>
      <c r="AI457" s="295" t="s">
        <v>32</v>
      </c>
      <c r="AJ457" s="299" t="s">
        <v>32</v>
      </c>
      <c r="AK457" s="292" t="s">
        <v>18</v>
      </c>
      <c r="AL457" s="288" t="s">
        <v>377</v>
      </c>
      <c r="AM457" s="292" t="s">
        <v>18</v>
      </c>
      <c r="AN457" s="292" t="s">
        <v>18</v>
      </c>
      <c r="AO457" s="288" t="s">
        <v>18</v>
      </c>
      <c r="AP457" s="289" t="s">
        <v>377</v>
      </c>
      <c r="AQ457" s="292" t="s">
        <v>18</v>
      </c>
      <c r="AR457" s="299" t="s">
        <v>32</v>
      </c>
      <c r="AS457" s="288" t="s">
        <v>377</v>
      </c>
      <c r="AT457" s="299" t="s">
        <v>32</v>
      </c>
      <c r="AU457" s="299" t="s">
        <v>32</v>
      </c>
      <c r="AV457" s="295" t="s">
        <v>32</v>
      </c>
      <c r="AW457" s="292" t="s">
        <v>18</v>
      </c>
      <c r="AX457" s="299" t="s">
        <v>32</v>
      </c>
      <c r="AY457" s="288" t="s">
        <v>377</v>
      </c>
      <c r="AZ457" s="299" t="s">
        <v>32</v>
      </c>
      <c r="BA457" s="299" t="s">
        <v>32</v>
      </c>
      <c r="BB457" s="295" t="s">
        <v>32</v>
      </c>
      <c r="BC457" s="296" t="s">
        <v>32</v>
      </c>
      <c r="BD457" s="287"/>
    </row>
    <row r="458" ht="12.75" customHeight="1">
      <c r="A458" s="293">
        <v>44790.42584347222</v>
      </c>
      <c r="B458" s="297" t="s">
        <v>525</v>
      </c>
      <c r="C458" s="298" t="s">
        <v>567</v>
      </c>
      <c r="D458" s="298" t="s">
        <v>16</v>
      </c>
      <c r="E458" s="285" t="s">
        <v>476</v>
      </c>
      <c r="F458" s="292" t="s">
        <v>1012</v>
      </c>
      <c r="G458" s="298" t="s">
        <v>17</v>
      </c>
      <c r="H458" s="298">
        <v>11.0</v>
      </c>
      <c r="I458" s="292" t="s">
        <v>497</v>
      </c>
      <c r="J458" s="292" t="s">
        <v>498</v>
      </c>
      <c r="K458" s="287" t="s">
        <v>508</v>
      </c>
      <c r="L458" s="292" t="s">
        <v>479</v>
      </c>
      <c r="M458" s="292" t="s">
        <v>490</v>
      </c>
      <c r="N458" s="292"/>
      <c r="O458" s="292"/>
      <c r="P458" s="292"/>
      <c r="Q458" s="299" t="s">
        <v>32</v>
      </c>
      <c r="R458" s="299" t="s">
        <v>32</v>
      </c>
      <c r="S458" s="295" t="s">
        <v>32</v>
      </c>
      <c r="T458" s="292" t="s">
        <v>18</v>
      </c>
      <c r="U458" s="299" t="s">
        <v>32</v>
      </c>
      <c r="V458" s="288" t="s">
        <v>377</v>
      </c>
      <c r="W458" s="292" t="s">
        <v>377</v>
      </c>
      <c r="X458" s="292" t="s">
        <v>18</v>
      </c>
      <c r="Y458" s="288" t="s">
        <v>377</v>
      </c>
      <c r="Z458" s="292" t="s">
        <v>18</v>
      </c>
      <c r="AA458" s="292" t="s">
        <v>18</v>
      </c>
      <c r="AB458" s="288" t="s">
        <v>18</v>
      </c>
      <c r="AC458" s="289" t="s">
        <v>377</v>
      </c>
      <c r="AD458" s="292" t="s">
        <v>377</v>
      </c>
      <c r="AE458" s="292" t="s">
        <v>377</v>
      </c>
      <c r="AF458" s="288" t="s">
        <v>377</v>
      </c>
      <c r="AG458" s="299" t="s">
        <v>32</v>
      </c>
      <c r="AH458" s="292" t="s">
        <v>377</v>
      </c>
      <c r="AI458" s="295" t="s">
        <v>32</v>
      </c>
      <c r="AJ458" s="292" t="s">
        <v>377</v>
      </c>
      <c r="AK458" s="292" t="s">
        <v>377</v>
      </c>
      <c r="AL458" s="288" t="s">
        <v>377</v>
      </c>
      <c r="AM458" s="292" t="s">
        <v>18</v>
      </c>
      <c r="AN458" s="292" t="s">
        <v>18</v>
      </c>
      <c r="AO458" s="288" t="s">
        <v>18</v>
      </c>
      <c r="AP458" s="289" t="s">
        <v>377</v>
      </c>
      <c r="AQ458" s="299" t="s">
        <v>32</v>
      </c>
      <c r="AR458" s="299" t="s">
        <v>32</v>
      </c>
      <c r="AS458" s="295" t="s">
        <v>32</v>
      </c>
      <c r="AT458" s="292" t="s">
        <v>18</v>
      </c>
      <c r="AU458" s="292" t="s">
        <v>377</v>
      </c>
      <c r="AV458" s="288" t="s">
        <v>377</v>
      </c>
      <c r="AW458" s="292" t="s">
        <v>377</v>
      </c>
      <c r="AX458" s="299" t="s">
        <v>32</v>
      </c>
      <c r="AY458" s="295" t="s">
        <v>32</v>
      </c>
      <c r="AZ458" s="299" t="s">
        <v>32</v>
      </c>
      <c r="BA458" s="299" t="s">
        <v>32</v>
      </c>
      <c r="BB458" s="295" t="s">
        <v>32</v>
      </c>
      <c r="BC458" s="296" t="s">
        <v>32</v>
      </c>
      <c r="BD458" s="287"/>
    </row>
    <row r="459" ht="12.75" customHeight="1">
      <c r="A459" s="293">
        <v>44790.42830140046</v>
      </c>
      <c r="B459" s="297" t="s">
        <v>525</v>
      </c>
      <c r="C459" s="298" t="s">
        <v>567</v>
      </c>
      <c r="D459" s="298" t="s">
        <v>16</v>
      </c>
      <c r="E459" s="285" t="s">
        <v>476</v>
      </c>
      <c r="F459" s="292" t="s">
        <v>1013</v>
      </c>
      <c r="G459" s="298" t="s">
        <v>17</v>
      </c>
      <c r="H459" s="298">
        <v>11.0</v>
      </c>
      <c r="I459" s="292" t="s">
        <v>497</v>
      </c>
      <c r="J459" s="292" t="s">
        <v>498</v>
      </c>
      <c r="K459" s="287" t="s">
        <v>508</v>
      </c>
      <c r="L459" s="292" t="s">
        <v>479</v>
      </c>
      <c r="M459" s="292" t="s">
        <v>490</v>
      </c>
      <c r="N459" s="292"/>
      <c r="O459" s="292"/>
      <c r="P459" s="292"/>
      <c r="Q459" s="299" t="s">
        <v>32</v>
      </c>
      <c r="R459" s="299" t="s">
        <v>32</v>
      </c>
      <c r="S459" s="295" t="s">
        <v>32</v>
      </c>
      <c r="T459" s="292" t="s">
        <v>18</v>
      </c>
      <c r="U459" s="299" t="s">
        <v>32</v>
      </c>
      <c r="V459" s="288" t="s">
        <v>377</v>
      </c>
      <c r="W459" s="292" t="s">
        <v>377</v>
      </c>
      <c r="X459" s="292" t="s">
        <v>18</v>
      </c>
      <c r="Y459" s="288" t="s">
        <v>377</v>
      </c>
      <c r="Z459" s="292" t="s">
        <v>18</v>
      </c>
      <c r="AA459" s="292" t="s">
        <v>18</v>
      </c>
      <c r="AB459" s="288" t="s">
        <v>18</v>
      </c>
      <c r="AC459" s="289" t="s">
        <v>377</v>
      </c>
      <c r="AD459" s="292" t="s">
        <v>377</v>
      </c>
      <c r="AE459" s="292" t="s">
        <v>377</v>
      </c>
      <c r="AF459" s="288" t="s">
        <v>377</v>
      </c>
      <c r="AG459" s="299" t="s">
        <v>32</v>
      </c>
      <c r="AH459" s="292" t="s">
        <v>377</v>
      </c>
      <c r="AI459" s="295" t="s">
        <v>32</v>
      </c>
      <c r="AJ459" s="292" t="s">
        <v>377</v>
      </c>
      <c r="AK459" s="292" t="s">
        <v>377</v>
      </c>
      <c r="AL459" s="288" t="s">
        <v>377</v>
      </c>
      <c r="AM459" s="292" t="s">
        <v>18</v>
      </c>
      <c r="AN459" s="292" t="s">
        <v>18</v>
      </c>
      <c r="AO459" s="288" t="s">
        <v>18</v>
      </c>
      <c r="AP459" s="289" t="s">
        <v>377</v>
      </c>
      <c r="AQ459" s="299" t="s">
        <v>32</v>
      </c>
      <c r="AR459" s="299" t="s">
        <v>32</v>
      </c>
      <c r="AS459" s="295" t="s">
        <v>32</v>
      </c>
      <c r="AT459" s="292" t="s">
        <v>18</v>
      </c>
      <c r="AU459" s="292" t="s">
        <v>377</v>
      </c>
      <c r="AV459" s="288" t="s">
        <v>377</v>
      </c>
      <c r="AW459" s="292" t="s">
        <v>377</v>
      </c>
      <c r="AX459" s="299" t="s">
        <v>32</v>
      </c>
      <c r="AY459" s="295" t="s">
        <v>32</v>
      </c>
      <c r="AZ459" s="299" t="s">
        <v>32</v>
      </c>
      <c r="BA459" s="299" t="s">
        <v>32</v>
      </c>
      <c r="BB459" s="295" t="s">
        <v>32</v>
      </c>
      <c r="BC459" s="296" t="s">
        <v>32</v>
      </c>
      <c r="BD459" s="287"/>
    </row>
    <row r="460" ht="12.75" customHeight="1">
      <c r="A460" s="293">
        <v>44790.43138126157</v>
      </c>
      <c r="B460" s="297" t="s">
        <v>525</v>
      </c>
      <c r="C460" s="298" t="s">
        <v>567</v>
      </c>
      <c r="D460" s="298" t="s">
        <v>16</v>
      </c>
      <c r="E460" s="285" t="s">
        <v>476</v>
      </c>
      <c r="F460" s="292" t="s">
        <v>1014</v>
      </c>
      <c r="G460" s="298" t="s">
        <v>21</v>
      </c>
      <c r="H460" s="298">
        <v>12.0</v>
      </c>
      <c r="I460" s="292" t="s">
        <v>497</v>
      </c>
      <c r="J460" s="292" t="s">
        <v>498</v>
      </c>
      <c r="K460" s="287" t="s">
        <v>508</v>
      </c>
      <c r="L460" s="292" t="s">
        <v>479</v>
      </c>
      <c r="M460" s="292" t="s">
        <v>490</v>
      </c>
      <c r="N460" s="292"/>
      <c r="O460" s="292"/>
      <c r="P460" s="292"/>
      <c r="Q460" s="299" t="s">
        <v>32</v>
      </c>
      <c r="R460" s="299" t="s">
        <v>32</v>
      </c>
      <c r="S460" s="295" t="s">
        <v>32</v>
      </c>
      <c r="T460" s="292" t="s">
        <v>18</v>
      </c>
      <c r="U460" s="299" t="s">
        <v>32</v>
      </c>
      <c r="V460" s="288" t="s">
        <v>377</v>
      </c>
      <c r="W460" s="292" t="s">
        <v>377</v>
      </c>
      <c r="X460" s="292" t="s">
        <v>18</v>
      </c>
      <c r="Y460" s="288" t="s">
        <v>377</v>
      </c>
      <c r="Z460" s="292" t="s">
        <v>18</v>
      </c>
      <c r="AA460" s="292" t="s">
        <v>18</v>
      </c>
      <c r="AB460" s="288" t="s">
        <v>18</v>
      </c>
      <c r="AC460" s="289" t="s">
        <v>377</v>
      </c>
      <c r="AD460" s="292" t="s">
        <v>377</v>
      </c>
      <c r="AE460" s="292" t="s">
        <v>377</v>
      </c>
      <c r="AF460" s="288" t="s">
        <v>377</v>
      </c>
      <c r="AG460" s="299" t="s">
        <v>32</v>
      </c>
      <c r="AH460" s="292" t="s">
        <v>377</v>
      </c>
      <c r="AI460" s="295" t="s">
        <v>32</v>
      </c>
      <c r="AJ460" s="292" t="s">
        <v>377</v>
      </c>
      <c r="AK460" s="292" t="s">
        <v>377</v>
      </c>
      <c r="AL460" s="288" t="s">
        <v>377</v>
      </c>
      <c r="AM460" s="292" t="s">
        <v>18</v>
      </c>
      <c r="AN460" s="292" t="s">
        <v>18</v>
      </c>
      <c r="AO460" s="288" t="s">
        <v>18</v>
      </c>
      <c r="AP460" s="289" t="s">
        <v>377</v>
      </c>
      <c r="AQ460" s="299" t="s">
        <v>32</v>
      </c>
      <c r="AR460" s="299" t="s">
        <v>32</v>
      </c>
      <c r="AS460" s="295" t="s">
        <v>32</v>
      </c>
      <c r="AT460" s="292" t="s">
        <v>18</v>
      </c>
      <c r="AU460" s="292" t="s">
        <v>377</v>
      </c>
      <c r="AV460" s="288" t="s">
        <v>377</v>
      </c>
      <c r="AW460" s="292" t="s">
        <v>377</v>
      </c>
      <c r="AX460" s="299" t="s">
        <v>32</v>
      </c>
      <c r="AY460" s="295" t="s">
        <v>32</v>
      </c>
      <c r="AZ460" s="299" t="s">
        <v>32</v>
      </c>
      <c r="BA460" s="299" t="s">
        <v>32</v>
      </c>
      <c r="BB460" s="295" t="s">
        <v>32</v>
      </c>
      <c r="BC460" s="296" t="s">
        <v>32</v>
      </c>
      <c r="BD460" s="287"/>
    </row>
    <row r="461" ht="12.75" customHeight="1">
      <c r="A461" s="293">
        <v>44790.44936763889</v>
      </c>
      <c r="B461" s="297" t="s">
        <v>525</v>
      </c>
      <c r="C461" s="298" t="s">
        <v>567</v>
      </c>
      <c r="D461" s="298" t="s">
        <v>16</v>
      </c>
      <c r="E461" s="285" t="s">
        <v>476</v>
      </c>
      <c r="F461" s="292" t="s">
        <v>1015</v>
      </c>
      <c r="G461" s="298" t="s">
        <v>21</v>
      </c>
      <c r="H461" s="298">
        <v>13.0</v>
      </c>
      <c r="I461" s="292" t="s">
        <v>497</v>
      </c>
      <c r="J461" s="292" t="s">
        <v>498</v>
      </c>
      <c r="K461" s="287" t="s">
        <v>508</v>
      </c>
      <c r="L461" s="292" t="s">
        <v>479</v>
      </c>
      <c r="M461" s="292" t="s">
        <v>490</v>
      </c>
      <c r="N461" s="292"/>
      <c r="O461" s="292"/>
      <c r="P461" s="292"/>
      <c r="Q461" s="299" t="s">
        <v>32</v>
      </c>
      <c r="R461" s="292" t="s">
        <v>377</v>
      </c>
      <c r="S461" s="295" t="s">
        <v>32</v>
      </c>
      <c r="T461" s="292" t="s">
        <v>18</v>
      </c>
      <c r="U461" s="299" t="s">
        <v>32</v>
      </c>
      <c r="V461" s="288" t="s">
        <v>377</v>
      </c>
      <c r="W461" s="292" t="s">
        <v>377</v>
      </c>
      <c r="X461" s="292" t="s">
        <v>18</v>
      </c>
      <c r="Y461" s="288" t="s">
        <v>377</v>
      </c>
      <c r="Z461" s="292" t="s">
        <v>18</v>
      </c>
      <c r="AA461" s="292" t="s">
        <v>18</v>
      </c>
      <c r="AB461" s="288" t="s">
        <v>18</v>
      </c>
      <c r="AC461" s="289" t="s">
        <v>377</v>
      </c>
      <c r="AD461" s="292" t="s">
        <v>377</v>
      </c>
      <c r="AE461" s="292" t="s">
        <v>377</v>
      </c>
      <c r="AF461" s="288" t="s">
        <v>377</v>
      </c>
      <c r="AG461" s="299" t="s">
        <v>32</v>
      </c>
      <c r="AH461" s="292" t="s">
        <v>377</v>
      </c>
      <c r="AI461" s="295" t="s">
        <v>32</v>
      </c>
      <c r="AJ461" s="292" t="s">
        <v>377</v>
      </c>
      <c r="AK461" s="292" t="s">
        <v>377</v>
      </c>
      <c r="AL461" s="288" t="s">
        <v>377</v>
      </c>
      <c r="AM461" s="292" t="s">
        <v>18</v>
      </c>
      <c r="AN461" s="292" t="s">
        <v>18</v>
      </c>
      <c r="AO461" s="288" t="s">
        <v>18</v>
      </c>
      <c r="AP461" s="289" t="s">
        <v>377</v>
      </c>
      <c r="AQ461" s="299" t="s">
        <v>32</v>
      </c>
      <c r="AR461" s="299" t="s">
        <v>32</v>
      </c>
      <c r="AS461" s="295" t="s">
        <v>32</v>
      </c>
      <c r="AT461" s="292" t="s">
        <v>18</v>
      </c>
      <c r="AU461" s="292" t="s">
        <v>377</v>
      </c>
      <c r="AV461" s="288" t="s">
        <v>377</v>
      </c>
      <c r="AW461" s="292" t="s">
        <v>377</v>
      </c>
      <c r="AX461" s="299" t="s">
        <v>32</v>
      </c>
      <c r="AY461" s="295" t="s">
        <v>32</v>
      </c>
      <c r="AZ461" s="299" t="s">
        <v>32</v>
      </c>
      <c r="BA461" s="299" t="s">
        <v>32</v>
      </c>
      <c r="BB461" s="295" t="s">
        <v>32</v>
      </c>
      <c r="BC461" s="289" t="s">
        <v>377</v>
      </c>
      <c r="BD461" s="287"/>
    </row>
    <row r="462" ht="12.75" customHeight="1">
      <c r="A462" s="293">
        <v>44790.45366921296</v>
      </c>
      <c r="B462" s="297" t="s">
        <v>525</v>
      </c>
      <c r="C462" s="298" t="s">
        <v>567</v>
      </c>
      <c r="D462" s="298" t="s">
        <v>16</v>
      </c>
      <c r="E462" s="285" t="s">
        <v>476</v>
      </c>
      <c r="F462" s="292" t="s">
        <v>1016</v>
      </c>
      <c r="G462" s="298" t="s">
        <v>17</v>
      </c>
      <c r="H462" s="298">
        <v>18.0</v>
      </c>
      <c r="I462" s="292" t="s">
        <v>497</v>
      </c>
      <c r="J462" s="292" t="s">
        <v>498</v>
      </c>
      <c r="K462" s="287" t="s">
        <v>508</v>
      </c>
      <c r="L462" s="292" t="s">
        <v>479</v>
      </c>
      <c r="M462" s="292" t="s">
        <v>490</v>
      </c>
      <c r="N462" s="292"/>
      <c r="O462" s="292"/>
      <c r="P462" s="292"/>
      <c r="Q462" s="299" t="s">
        <v>32</v>
      </c>
      <c r="R462" s="299" t="s">
        <v>32</v>
      </c>
      <c r="S462" s="295" t="s">
        <v>32</v>
      </c>
      <c r="T462" s="292" t="s">
        <v>18</v>
      </c>
      <c r="U462" s="299" t="s">
        <v>32</v>
      </c>
      <c r="V462" s="288" t="s">
        <v>377</v>
      </c>
      <c r="W462" s="292" t="s">
        <v>377</v>
      </c>
      <c r="X462" s="292" t="s">
        <v>18</v>
      </c>
      <c r="Y462" s="288" t="s">
        <v>377</v>
      </c>
      <c r="Z462" s="292" t="s">
        <v>18</v>
      </c>
      <c r="AA462" s="292" t="s">
        <v>18</v>
      </c>
      <c r="AB462" s="288" t="s">
        <v>18</v>
      </c>
      <c r="AC462" s="289" t="s">
        <v>377</v>
      </c>
      <c r="AD462" s="292" t="s">
        <v>377</v>
      </c>
      <c r="AE462" s="292" t="s">
        <v>377</v>
      </c>
      <c r="AF462" s="288" t="s">
        <v>377</v>
      </c>
      <c r="AG462" s="299" t="s">
        <v>32</v>
      </c>
      <c r="AH462" s="292" t="s">
        <v>377</v>
      </c>
      <c r="AI462" s="295" t="s">
        <v>32</v>
      </c>
      <c r="AJ462" s="292" t="s">
        <v>377</v>
      </c>
      <c r="AK462" s="292" t="s">
        <v>377</v>
      </c>
      <c r="AL462" s="288" t="s">
        <v>377</v>
      </c>
      <c r="AM462" s="292" t="s">
        <v>18</v>
      </c>
      <c r="AN462" s="292" t="s">
        <v>18</v>
      </c>
      <c r="AO462" s="288" t="s">
        <v>18</v>
      </c>
      <c r="AP462" s="289" t="s">
        <v>377</v>
      </c>
      <c r="AQ462" s="299" t="s">
        <v>32</v>
      </c>
      <c r="AR462" s="299" t="s">
        <v>32</v>
      </c>
      <c r="AS462" s="295" t="s">
        <v>32</v>
      </c>
      <c r="AT462" s="292" t="s">
        <v>18</v>
      </c>
      <c r="AU462" s="292" t="s">
        <v>377</v>
      </c>
      <c r="AV462" s="288" t="s">
        <v>377</v>
      </c>
      <c r="AW462" s="292" t="s">
        <v>377</v>
      </c>
      <c r="AX462" s="299" t="s">
        <v>32</v>
      </c>
      <c r="AY462" s="295" t="s">
        <v>32</v>
      </c>
      <c r="AZ462" s="299" t="s">
        <v>32</v>
      </c>
      <c r="BA462" s="299" t="s">
        <v>32</v>
      </c>
      <c r="BB462" s="295" t="s">
        <v>32</v>
      </c>
      <c r="BC462" s="296" t="s">
        <v>32</v>
      </c>
      <c r="BD462" s="287"/>
    </row>
    <row r="463" ht="12.75" customHeight="1">
      <c r="A463" s="293">
        <v>44790.46425052083</v>
      </c>
      <c r="B463" s="297" t="s">
        <v>525</v>
      </c>
      <c r="C463" s="298" t="s">
        <v>567</v>
      </c>
      <c r="D463" s="298" t="s">
        <v>16</v>
      </c>
      <c r="E463" s="285" t="s">
        <v>476</v>
      </c>
      <c r="F463" s="292" t="s">
        <v>1017</v>
      </c>
      <c r="G463" s="298" t="s">
        <v>21</v>
      </c>
      <c r="H463" s="298">
        <v>12.0</v>
      </c>
      <c r="I463" s="292" t="s">
        <v>497</v>
      </c>
      <c r="J463" s="292" t="s">
        <v>498</v>
      </c>
      <c r="K463" s="287" t="s">
        <v>508</v>
      </c>
      <c r="L463" s="292" t="s">
        <v>479</v>
      </c>
      <c r="M463" s="292" t="s">
        <v>481</v>
      </c>
      <c r="N463" s="292"/>
      <c r="O463" s="292"/>
      <c r="P463" s="292"/>
      <c r="Q463" s="299" t="s">
        <v>32</v>
      </c>
      <c r="R463" s="292" t="s">
        <v>377</v>
      </c>
      <c r="S463" s="295" t="s">
        <v>32</v>
      </c>
      <c r="T463" s="292" t="s">
        <v>18</v>
      </c>
      <c r="U463" s="299" t="s">
        <v>32</v>
      </c>
      <c r="V463" s="288" t="s">
        <v>377</v>
      </c>
      <c r="W463" s="292" t="s">
        <v>18</v>
      </c>
      <c r="X463" s="292" t="s">
        <v>377</v>
      </c>
      <c r="Y463" s="288" t="s">
        <v>377</v>
      </c>
      <c r="Z463" s="299" t="s">
        <v>32</v>
      </c>
      <c r="AA463" s="292" t="s">
        <v>18</v>
      </c>
      <c r="AB463" s="288" t="s">
        <v>377</v>
      </c>
      <c r="AC463" s="289" t="s">
        <v>377</v>
      </c>
      <c r="AD463" s="299" t="s">
        <v>32</v>
      </c>
      <c r="AE463" s="299" t="s">
        <v>32</v>
      </c>
      <c r="AF463" s="295" t="s">
        <v>32</v>
      </c>
      <c r="AG463" s="292" t="s">
        <v>18</v>
      </c>
      <c r="AH463" s="292" t="s">
        <v>18</v>
      </c>
      <c r="AI463" s="288" t="s">
        <v>18</v>
      </c>
      <c r="AJ463" s="292" t="s">
        <v>18</v>
      </c>
      <c r="AK463" s="292" t="s">
        <v>18</v>
      </c>
      <c r="AL463" s="288" t="s">
        <v>18</v>
      </c>
      <c r="AM463" s="292" t="s">
        <v>18</v>
      </c>
      <c r="AN463" s="292" t="s">
        <v>18</v>
      </c>
      <c r="AO463" s="288" t="s">
        <v>18</v>
      </c>
      <c r="AP463" s="289" t="s">
        <v>377</v>
      </c>
      <c r="AQ463" s="292" t="s">
        <v>377</v>
      </c>
      <c r="AR463" s="292" t="s">
        <v>18</v>
      </c>
      <c r="AS463" s="288" t="s">
        <v>377</v>
      </c>
      <c r="AT463" s="292" t="s">
        <v>377</v>
      </c>
      <c r="AU463" s="299" t="s">
        <v>32</v>
      </c>
      <c r="AV463" s="295" t="s">
        <v>32</v>
      </c>
      <c r="AW463" s="292" t="s">
        <v>18</v>
      </c>
      <c r="AX463" s="299" t="s">
        <v>32</v>
      </c>
      <c r="AY463" s="288" t="s">
        <v>377</v>
      </c>
      <c r="AZ463" s="292" t="s">
        <v>18</v>
      </c>
      <c r="BA463" s="292" t="s">
        <v>377</v>
      </c>
      <c r="BB463" s="288" t="s">
        <v>377</v>
      </c>
      <c r="BC463" s="289" t="s">
        <v>377</v>
      </c>
      <c r="BD463" s="287"/>
    </row>
    <row r="464" ht="12.75" customHeight="1">
      <c r="A464" s="293">
        <v>44790.46868751157</v>
      </c>
      <c r="B464" s="297" t="s">
        <v>525</v>
      </c>
      <c r="C464" s="298" t="s">
        <v>567</v>
      </c>
      <c r="D464" s="298" t="s">
        <v>16</v>
      </c>
      <c r="E464" s="285" t="s">
        <v>476</v>
      </c>
      <c r="F464" s="292" t="s">
        <v>1018</v>
      </c>
      <c r="G464" s="298" t="s">
        <v>17</v>
      </c>
      <c r="H464" s="298">
        <v>11.0</v>
      </c>
      <c r="I464" s="292" t="s">
        <v>497</v>
      </c>
      <c r="J464" s="292" t="s">
        <v>498</v>
      </c>
      <c r="K464" s="287" t="s">
        <v>508</v>
      </c>
      <c r="L464" s="292" t="s">
        <v>479</v>
      </c>
      <c r="M464" s="292" t="s">
        <v>481</v>
      </c>
      <c r="N464" s="292"/>
      <c r="O464" s="292"/>
      <c r="P464" s="292"/>
      <c r="Q464" s="299" t="s">
        <v>32</v>
      </c>
      <c r="R464" s="299" t="s">
        <v>32</v>
      </c>
      <c r="S464" s="295" t="s">
        <v>32</v>
      </c>
      <c r="T464" s="292" t="s">
        <v>18</v>
      </c>
      <c r="U464" s="299" t="s">
        <v>32</v>
      </c>
      <c r="V464" s="288" t="s">
        <v>377</v>
      </c>
      <c r="W464" s="292" t="s">
        <v>18</v>
      </c>
      <c r="X464" s="299" t="s">
        <v>32</v>
      </c>
      <c r="Y464" s="288" t="s">
        <v>377</v>
      </c>
      <c r="Z464" s="299" t="s">
        <v>32</v>
      </c>
      <c r="AA464" s="292" t="s">
        <v>18</v>
      </c>
      <c r="AB464" s="288" t="s">
        <v>377</v>
      </c>
      <c r="AC464" s="289" t="s">
        <v>377</v>
      </c>
      <c r="AD464" s="299" t="s">
        <v>32</v>
      </c>
      <c r="AE464" s="292" t="s">
        <v>18</v>
      </c>
      <c r="AF464" s="288" t="s">
        <v>377</v>
      </c>
      <c r="AG464" s="292" t="s">
        <v>18</v>
      </c>
      <c r="AH464" s="292" t="s">
        <v>18</v>
      </c>
      <c r="AI464" s="288" t="s">
        <v>18</v>
      </c>
      <c r="AJ464" s="292" t="s">
        <v>18</v>
      </c>
      <c r="AK464" s="292" t="s">
        <v>18</v>
      </c>
      <c r="AL464" s="288" t="s">
        <v>18</v>
      </c>
      <c r="AM464" s="292" t="s">
        <v>18</v>
      </c>
      <c r="AN464" s="292" t="s">
        <v>18</v>
      </c>
      <c r="AO464" s="288" t="s">
        <v>18</v>
      </c>
      <c r="AP464" s="289" t="s">
        <v>18</v>
      </c>
      <c r="AQ464" s="299" t="s">
        <v>32</v>
      </c>
      <c r="AR464" s="292" t="s">
        <v>18</v>
      </c>
      <c r="AS464" s="288" t="s">
        <v>377</v>
      </c>
      <c r="AT464" s="299" t="s">
        <v>32</v>
      </c>
      <c r="AU464" s="292" t="s">
        <v>18</v>
      </c>
      <c r="AV464" s="288" t="s">
        <v>377</v>
      </c>
      <c r="AW464" s="292" t="s">
        <v>18</v>
      </c>
      <c r="AX464" s="299" t="s">
        <v>32</v>
      </c>
      <c r="AY464" s="288" t="s">
        <v>377</v>
      </c>
      <c r="AZ464" s="292" t="s">
        <v>18</v>
      </c>
      <c r="BA464" s="299" t="s">
        <v>32</v>
      </c>
      <c r="BB464" s="288" t="s">
        <v>377</v>
      </c>
      <c r="BC464" s="289" t="s">
        <v>377</v>
      </c>
      <c r="BD464" s="287"/>
    </row>
    <row r="465" ht="12.75" customHeight="1">
      <c r="A465" s="293">
        <v>44790.479029282404</v>
      </c>
      <c r="B465" s="297" t="s">
        <v>525</v>
      </c>
      <c r="C465" s="298" t="s">
        <v>567</v>
      </c>
      <c r="D465" s="298" t="s">
        <v>16</v>
      </c>
      <c r="E465" s="285" t="s">
        <v>476</v>
      </c>
      <c r="F465" s="292" t="s">
        <v>1019</v>
      </c>
      <c r="G465" s="298" t="s">
        <v>17</v>
      </c>
      <c r="H465" s="298">
        <v>12.0</v>
      </c>
      <c r="I465" s="292" t="s">
        <v>497</v>
      </c>
      <c r="J465" s="292" t="s">
        <v>498</v>
      </c>
      <c r="K465" s="287" t="s">
        <v>508</v>
      </c>
      <c r="L465" s="292" t="s">
        <v>479</v>
      </c>
      <c r="M465" s="292" t="s">
        <v>481</v>
      </c>
      <c r="N465" s="292"/>
      <c r="O465" s="292"/>
      <c r="P465" s="292"/>
      <c r="Q465" s="299" t="s">
        <v>32</v>
      </c>
      <c r="R465" s="292" t="s">
        <v>377</v>
      </c>
      <c r="S465" s="295" t="s">
        <v>32</v>
      </c>
      <c r="T465" s="292" t="s">
        <v>18</v>
      </c>
      <c r="U465" s="299" t="s">
        <v>32</v>
      </c>
      <c r="V465" s="288" t="s">
        <v>377</v>
      </c>
      <c r="W465" s="292" t="s">
        <v>18</v>
      </c>
      <c r="X465" s="299" t="s">
        <v>32</v>
      </c>
      <c r="Y465" s="288" t="s">
        <v>377</v>
      </c>
      <c r="Z465" s="299" t="s">
        <v>32</v>
      </c>
      <c r="AA465" s="292" t="s">
        <v>377</v>
      </c>
      <c r="AB465" s="295" t="s">
        <v>32</v>
      </c>
      <c r="AC465" s="289" t="s">
        <v>377</v>
      </c>
      <c r="AD465" s="292" t="s">
        <v>377</v>
      </c>
      <c r="AE465" s="299" t="s">
        <v>32</v>
      </c>
      <c r="AF465" s="295" t="s">
        <v>32</v>
      </c>
      <c r="AG465" s="292" t="s">
        <v>18</v>
      </c>
      <c r="AH465" s="292" t="s">
        <v>18</v>
      </c>
      <c r="AI465" s="288" t="s">
        <v>18</v>
      </c>
      <c r="AJ465" s="299" t="s">
        <v>32</v>
      </c>
      <c r="AK465" s="299" t="s">
        <v>32</v>
      </c>
      <c r="AL465" s="295" t="s">
        <v>32</v>
      </c>
      <c r="AM465" s="292" t="s">
        <v>18</v>
      </c>
      <c r="AN465" s="292" t="s">
        <v>18</v>
      </c>
      <c r="AO465" s="288" t="s">
        <v>18</v>
      </c>
      <c r="AP465" s="289" t="s">
        <v>377</v>
      </c>
      <c r="AQ465" s="292" t="s">
        <v>377</v>
      </c>
      <c r="AR465" s="292" t="s">
        <v>377</v>
      </c>
      <c r="AS465" s="288" t="s">
        <v>377</v>
      </c>
      <c r="AT465" s="292" t="s">
        <v>377</v>
      </c>
      <c r="AU465" s="299" t="s">
        <v>32</v>
      </c>
      <c r="AV465" s="295" t="s">
        <v>32</v>
      </c>
      <c r="AW465" s="292" t="s">
        <v>18</v>
      </c>
      <c r="AX465" s="299" t="s">
        <v>32</v>
      </c>
      <c r="AY465" s="288" t="s">
        <v>377</v>
      </c>
      <c r="AZ465" s="292" t="s">
        <v>18</v>
      </c>
      <c r="BA465" s="299" t="s">
        <v>32</v>
      </c>
      <c r="BB465" s="295" t="s">
        <v>32</v>
      </c>
      <c r="BC465" s="296" t="s">
        <v>32</v>
      </c>
      <c r="BD465" s="287"/>
    </row>
    <row r="466" ht="12.75" customHeight="1">
      <c r="A466" s="293">
        <v>44790.4817722338</v>
      </c>
      <c r="B466" s="297" t="s">
        <v>525</v>
      </c>
      <c r="C466" s="298" t="s">
        <v>567</v>
      </c>
      <c r="D466" s="298" t="s">
        <v>16</v>
      </c>
      <c r="E466" s="285" t="s">
        <v>476</v>
      </c>
      <c r="F466" s="292" t="s">
        <v>526</v>
      </c>
      <c r="G466" s="298" t="s">
        <v>21</v>
      </c>
      <c r="H466" s="298">
        <v>11.0</v>
      </c>
      <c r="I466" s="292" t="s">
        <v>497</v>
      </c>
      <c r="J466" s="292" t="s">
        <v>498</v>
      </c>
      <c r="K466" s="287" t="s">
        <v>508</v>
      </c>
      <c r="L466" s="292" t="s">
        <v>479</v>
      </c>
      <c r="M466" s="292" t="s">
        <v>481</v>
      </c>
      <c r="N466" s="292"/>
      <c r="O466" s="292"/>
      <c r="P466" s="292"/>
      <c r="Q466" s="299" t="s">
        <v>32</v>
      </c>
      <c r="R466" s="292" t="s">
        <v>18</v>
      </c>
      <c r="S466" s="288" t="s">
        <v>377</v>
      </c>
      <c r="T466" s="292" t="s">
        <v>18</v>
      </c>
      <c r="U466" s="299" t="s">
        <v>32</v>
      </c>
      <c r="V466" s="288" t="s">
        <v>377</v>
      </c>
      <c r="W466" s="292" t="s">
        <v>18</v>
      </c>
      <c r="X466" s="299" t="s">
        <v>32</v>
      </c>
      <c r="Y466" s="288" t="s">
        <v>377</v>
      </c>
      <c r="Z466" s="299" t="s">
        <v>32</v>
      </c>
      <c r="AA466" s="292" t="s">
        <v>18</v>
      </c>
      <c r="AB466" s="288" t="s">
        <v>377</v>
      </c>
      <c r="AC466" s="289" t="s">
        <v>377</v>
      </c>
      <c r="AD466" s="299" t="s">
        <v>32</v>
      </c>
      <c r="AE466" s="299" t="s">
        <v>32</v>
      </c>
      <c r="AF466" s="295" t="s">
        <v>32</v>
      </c>
      <c r="AG466" s="292" t="s">
        <v>18</v>
      </c>
      <c r="AH466" s="292" t="s">
        <v>18</v>
      </c>
      <c r="AI466" s="288" t="s">
        <v>18</v>
      </c>
      <c r="AJ466" s="292" t="s">
        <v>18</v>
      </c>
      <c r="AK466" s="292" t="s">
        <v>18</v>
      </c>
      <c r="AL466" s="288" t="s">
        <v>18</v>
      </c>
      <c r="AM466" s="292" t="s">
        <v>18</v>
      </c>
      <c r="AN466" s="292" t="s">
        <v>18</v>
      </c>
      <c r="AO466" s="288" t="s">
        <v>18</v>
      </c>
      <c r="AP466" s="289" t="s">
        <v>377</v>
      </c>
      <c r="AQ466" s="292" t="s">
        <v>18</v>
      </c>
      <c r="AR466" s="299" t="s">
        <v>32</v>
      </c>
      <c r="AS466" s="288" t="s">
        <v>377</v>
      </c>
      <c r="AT466" s="299" t="s">
        <v>32</v>
      </c>
      <c r="AU466" s="299" t="s">
        <v>32</v>
      </c>
      <c r="AV466" s="295" t="s">
        <v>32</v>
      </c>
      <c r="AW466" s="292" t="s">
        <v>18</v>
      </c>
      <c r="AX466" s="299" t="s">
        <v>32</v>
      </c>
      <c r="AY466" s="288" t="s">
        <v>377</v>
      </c>
      <c r="AZ466" s="292" t="s">
        <v>18</v>
      </c>
      <c r="BA466" s="292" t="s">
        <v>18</v>
      </c>
      <c r="BB466" s="295" t="s">
        <v>32</v>
      </c>
      <c r="BC466" s="296" t="s">
        <v>32</v>
      </c>
      <c r="BD466" s="287"/>
    </row>
    <row r="467" ht="12.75" customHeight="1">
      <c r="A467" s="293">
        <v>44790.48444248842</v>
      </c>
      <c r="B467" s="297" t="s">
        <v>525</v>
      </c>
      <c r="C467" s="298" t="s">
        <v>567</v>
      </c>
      <c r="D467" s="298" t="s">
        <v>16</v>
      </c>
      <c r="E467" s="285" t="s">
        <v>476</v>
      </c>
      <c r="F467" s="292" t="s">
        <v>1020</v>
      </c>
      <c r="G467" s="298" t="s">
        <v>17</v>
      </c>
      <c r="H467" s="298">
        <v>12.0</v>
      </c>
      <c r="I467" s="292" t="s">
        <v>497</v>
      </c>
      <c r="J467" s="292" t="s">
        <v>498</v>
      </c>
      <c r="K467" s="287" t="s">
        <v>508</v>
      </c>
      <c r="L467" s="292" t="s">
        <v>479</v>
      </c>
      <c r="M467" s="292" t="s">
        <v>481</v>
      </c>
      <c r="N467" s="292"/>
      <c r="O467" s="292"/>
      <c r="P467" s="292"/>
      <c r="Q467" s="299" t="s">
        <v>32</v>
      </c>
      <c r="R467" s="292" t="s">
        <v>377</v>
      </c>
      <c r="S467" s="295" t="s">
        <v>32</v>
      </c>
      <c r="T467" s="299" t="s">
        <v>32</v>
      </c>
      <c r="U467" s="299" t="s">
        <v>32</v>
      </c>
      <c r="V467" s="295" t="s">
        <v>32</v>
      </c>
      <c r="W467" s="292" t="s">
        <v>18</v>
      </c>
      <c r="X467" s="299" t="s">
        <v>32</v>
      </c>
      <c r="Y467" s="288" t="s">
        <v>377</v>
      </c>
      <c r="Z467" s="299" t="s">
        <v>32</v>
      </c>
      <c r="AA467" s="292" t="s">
        <v>377</v>
      </c>
      <c r="AB467" s="295" t="s">
        <v>32</v>
      </c>
      <c r="AC467" s="296" t="s">
        <v>32</v>
      </c>
      <c r="AD467" s="299" t="s">
        <v>32</v>
      </c>
      <c r="AE467" s="299" t="s">
        <v>32</v>
      </c>
      <c r="AF467" s="295" t="s">
        <v>32</v>
      </c>
      <c r="AG467" s="292" t="s">
        <v>18</v>
      </c>
      <c r="AH467" s="292" t="s">
        <v>18</v>
      </c>
      <c r="AI467" s="288" t="s">
        <v>18</v>
      </c>
      <c r="AJ467" s="299" t="s">
        <v>32</v>
      </c>
      <c r="AK467" s="299" t="s">
        <v>32</v>
      </c>
      <c r="AL467" s="295" t="s">
        <v>32</v>
      </c>
      <c r="AM467" s="292" t="s">
        <v>18</v>
      </c>
      <c r="AN467" s="292" t="s">
        <v>18</v>
      </c>
      <c r="AO467" s="288" t="s">
        <v>18</v>
      </c>
      <c r="AP467" s="289" t="s">
        <v>377</v>
      </c>
      <c r="AQ467" s="299" t="s">
        <v>32</v>
      </c>
      <c r="AR467" s="299" t="s">
        <v>32</v>
      </c>
      <c r="AS467" s="295" t="s">
        <v>32</v>
      </c>
      <c r="AT467" s="299" t="s">
        <v>32</v>
      </c>
      <c r="AU467" s="299" t="s">
        <v>32</v>
      </c>
      <c r="AV467" s="295" t="s">
        <v>32</v>
      </c>
      <c r="AW467" s="292" t="s">
        <v>18</v>
      </c>
      <c r="AX467" s="299" t="s">
        <v>32</v>
      </c>
      <c r="AY467" s="288" t="s">
        <v>377</v>
      </c>
      <c r="AZ467" s="292" t="s">
        <v>18</v>
      </c>
      <c r="BA467" s="299" t="s">
        <v>32</v>
      </c>
      <c r="BB467" s="288" t="s">
        <v>377</v>
      </c>
      <c r="BC467" s="289" t="s">
        <v>377</v>
      </c>
      <c r="BD467" s="287"/>
    </row>
    <row r="468" ht="12.75" customHeight="1">
      <c r="A468" s="293">
        <v>44790.487743564816</v>
      </c>
      <c r="B468" s="297" t="s">
        <v>525</v>
      </c>
      <c r="C468" s="298" t="s">
        <v>567</v>
      </c>
      <c r="D468" s="298" t="s">
        <v>16</v>
      </c>
      <c r="E468" s="285" t="s">
        <v>476</v>
      </c>
      <c r="F468" s="292" t="s">
        <v>1021</v>
      </c>
      <c r="G468" s="298" t="s">
        <v>17</v>
      </c>
      <c r="H468" s="298">
        <v>11.0</v>
      </c>
      <c r="I468" s="292" t="s">
        <v>497</v>
      </c>
      <c r="J468" s="292" t="s">
        <v>498</v>
      </c>
      <c r="K468" s="287" t="s">
        <v>508</v>
      </c>
      <c r="L468" s="292" t="s">
        <v>479</v>
      </c>
      <c r="M468" s="292" t="s">
        <v>481</v>
      </c>
      <c r="N468" s="292"/>
      <c r="O468" s="292"/>
      <c r="P468" s="292"/>
      <c r="Q468" s="299" t="s">
        <v>32</v>
      </c>
      <c r="R468" s="292" t="s">
        <v>377</v>
      </c>
      <c r="S468" s="295" t="s">
        <v>32</v>
      </c>
      <c r="T468" s="292" t="s">
        <v>18</v>
      </c>
      <c r="U468" s="299" t="s">
        <v>32</v>
      </c>
      <c r="V468" s="288" t="s">
        <v>377</v>
      </c>
      <c r="W468" s="292" t="s">
        <v>18</v>
      </c>
      <c r="X468" s="299" t="s">
        <v>32</v>
      </c>
      <c r="Y468" s="288" t="s">
        <v>377</v>
      </c>
      <c r="Z468" s="299" t="s">
        <v>32</v>
      </c>
      <c r="AA468" s="292" t="s">
        <v>18</v>
      </c>
      <c r="AB468" s="288" t="s">
        <v>377</v>
      </c>
      <c r="AC468" s="289" t="s">
        <v>377</v>
      </c>
      <c r="AD468" s="299" t="s">
        <v>32</v>
      </c>
      <c r="AE468" s="299" t="s">
        <v>32</v>
      </c>
      <c r="AF468" s="295" t="s">
        <v>32</v>
      </c>
      <c r="AG468" s="292" t="s">
        <v>18</v>
      </c>
      <c r="AH468" s="292" t="s">
        <v>18</v>
      </c>
      <c r="AI468" s="288" t="s">
        <v>18</v>
      </c>
      <c r="AJ468" s="292" t="s">
        <v>18</v>
      </c>
      <c r="AK468" s="292" t="s">
        <v>18</v>
      </c>
      <c r="AL468" s="288" t="s">
        <v>18</v>
      </c>
      <c r="AM468" s="292" t="s">
        <v>18</v>
      </c>
      <c r="AN468" s="292" t="s">
        <v>18</v>
      </c>
      <c r="AO468" s="288" t="s">
        <v>18</v>
      </c>
      <c r="AP468" s="289" t="s">
        <v>377</v>
      </c>
      <c r="AQ468" s="292" t="s">
        <v>18</v>
      </c>
      <c r="AR468" s="299" t="s">
        <v>32</v>
      </c>
      <c r="AS468" s="288" t="s">
        <v>377</v>
      </c>
      <c r="AT468" s="292" t="s">
        <v>18</v>
      </c>
      <c r="AU468" s="299" t="s">
        <v>32</v>
      </c>
      <c r="AV468" s="288" t="s">
        <v>377</v>
      </c>
      <c r="AW468" s="292" t="s">
        <v>18</v>
      </c>
      <c r="AX468" s="299" t="s">
        <v>32</v>
      </c>
      <c r="AY468" s="288" t="s">
        <v>377</v>
      </c>
      <c r="AZ468" s="292" t="s">
        <v>18</v>
      </c>
      <c r="BA468" s="292" t="s">
        <v>18</v>
      </c>
      <c r="BB468" s="288" t="s">
        <v>18</v>
      </c>
      <c r="BC468" s="289" t="s">
        <v>18</v>
      </c>
      <c r="BD468" s="287"/>
    </row>
    <row r="469" ht="12.75" customHeight="1">
      <c r="A469" s="293">
        <v>44797.01038280093</v>
      </c>
      <c r="B469" s="297" t="s">
        <v>525</v>
      </c>
      <c r="C469" s="298" t="s">
        <v>567</v>
      </c>
      <c r="D469" s="298" t="s">
        <v>16</v>
      </c>
      <c r="E469" s="285" t="s">
        <v>476</v>
      </c>
      <c r="F469" s="292" t="s">
        <v>1022</v>
      </c>
      <c r="G469" s="298" t="s">
        <v>21</v>
      </c>
      <c r="H469" s="298">
        <v>12.0</v>
      </c>
      <c r="I469" s="292" t="s">
        <v>497</v>
      </c>
      <c r="J469" s="292" t="s">
        <v>498</v>
      </c>
      <c r="K469" s="287" t="s">
        <v>508</v>
      </c>
      <c r="L469" s="292" t="s">
        <v>479</v>
      </c>
      <c r="M469" s="292" t="s">
        <v>483</v>
      </c>
      <c r="N469" s="292"/>
      <c r="O469" s="292"/>
      <c r="P469" s="292"/>
      <c r="Q469" s="292" t="s">
        <v>18</v>
      </c>
      <c r="R469" s="292" t="s">
        <v>18</v>
      </c>
      <c r="S469" s="288" t="s">
        <v>18</v>
      </c>
      <c r="T469" s="292" t="s">
        <v>18</v>
      </c>
      <c r="U469" s="292" t="s">
        <v>18</v>
      </c>
      <c r="V469" s="288" t="s">
        <v>18</v>
      </c>
      <c r="W469" s="292" t="s">
        <v>18</v>
      </c>
      <c r="X469" s="292" t="s">
        <v>18</v>
      </c>
      <c r="Y469" s="288" t="s">
        <v>18</v>
      </c>
      <c r="Z469" s="292" t="s">
        <v>18</v>
      </c>
      <c r="AA469" s="292" t="s">
        <v>18</v>
      </c>
      <c r="AB469" s="288" t="s">
        <v>18</v>
      </c>
      <c r="AC469" s="289" t="s">
        <v>18</v>
      </c>
      <c r="AD469" s="292" t="s">
        <v>18</v>
      </c>
      <c r="AE469" s="292" t="s">
        <v>18</v>
      </c>
      <c r="AF469" s="288" t="s">
        <v>18</v>
      </c>
      <c r="AG469" s="292" t="s">
        <v>18</v>
      </c>
      <c r="AH469" s="292" t="s">
        <v>18</v>
      </c>
      <c r="AI469" s="288" t="s">
        <v>18</v>
      </c>
      <c r="AJ469" s="292" t="s">
        <v>18</v>
      </c>
      <c r="AK469" s="292" t="s">
        <v>18</v>
      </c>
      <c r="AL469" s="288" t="s">
        <v>18</v>
      </c>
      <c r="AM469" s="292" t="s">
        <v>18</v>
      </c>
      <c r="AN469" s="292" t="s">
        <v>18</v>
      </c>
      <c r="AO469" s="288" t="s">
        <v>18</v>
      </c>
      <c r="AP469" s="289" t="s">
        <v>18</v>
      </c>
      <c r="AQ469" s="292" t="s">
        <v>18</v>
      </c>
      <c r="AR469" s="292" t="s">
        <v>18</v>
      </c>
      <c r="AS469" s="288" t="s">
        <v>18</v>
      </c>
      <c r="AT469" s="292" t="s">
        <v>18</v>
      </c>
      <c r="AU469" s="292" t="s">
        <v>18</v>
      </c>
      <c r="AV469" s="288" t="s">
        <v>18</v>
      </c>
      <c r="AW469" s="292" t="s">
        <v>18</v>
      </c>
      <c r="AX469" s="292" t="s">
        <v>18</v>
      </c>
      <c r="AY469" s="288" t="s">
        <v>18</v>
      </c>
      <c r="AZ469" s="292" t="s">
        <v>18</v>
      </c>
      <c r="BA469" s="292" t="s">
        <v>18</v>
      </c>
      <c r="BB469" s="295" t="s">
        <v>32</v>
      </c>
      <c r="BC469" s="296" t="s">
        <v>32</v>
      </c>
      <c r="BD469" s="287"/>
    </row>
    <row r="470" ht="12.75" customHeight="1">
      <c r="A470" s="293">
        <v>44797.01289488426</v>
      </c>
      <c r="B470" s="297" t="s">
        <v>525</v>
      </c>
      <c r="C470" s="298" t="s">
        <v>567</v>
      </c>
      <c r="D470" s="298" t="s">
        <v>16</v>
      </c>
      <c r="E470" s="285" t="s">
        <v>476</v>
      </c>
      <c r="F470" s="292" t="s">
        <v>1023</v>
      </c>
      <c r="G470" s="298" t="s">
        <v>17</v>
      </c>
      <c r="H470" s="298">
        <v>12.0</v>
      </c>
      <c r="I470" s="292" t="s">
        <v>497</v>
      </c>
      <c r="J470" s="292" t="s">
        <v>498</v>
      </c>
      <c r="K470" s="287" t="s">
        <v>508</v>
      </c>
      <c r="L470" s="292" t="s">
        <v>479</v>
      </c>
      <c r="M470" s="292" t="s">
        <v>483</v>
      </c>
      <c r="N470" s="292"/>
      <c r="O470" s="292"/>
      <c r="P470" s="292"/>
      <c r="Q470" s="292" t="s">
        <v>18</v>
      </c>
      <c r="R470" s="292" t="s">
        <v>18</v>
      </c>
      <c r="S470" s="288" t="s">
        <v>18</v>
      </c>
      <c r="T470" s="292" t="s">
        <v>18</v>
      </c>
      <c r="U470" s="292" t="s">
        <v>18</v>
      </c>
      <c r="V470" s="288" t="s">
        <v>18</v>
      </c>
      <c r="W470" s="292" t="s">
        <v>18</v>
      </c>
      <c r="X470" s="292" t="s">
        <v>18</v>
      </c>
      <c r="Y470" s="288" t="s">
        <v>18</v>
      </c>
      <c r="Z470" s="292" t="s">
        <v>18</v>
      </c>
      <c r="AA470" s="292" t="s">
        <v>18</v>
      </c>
      <c r="AB470" s="288" t="s">
        <v>18</v>
      </c>
      <c r="AC470" s="289" t="s">
        <v>18</v>
      </c>
      <c r="AD470" s="292" t="s">
        <v>18</v>
      </c>
      <c r="AE470" s="292" t="s">
        <v>18</v>
      </c>
      <c r="AF470" s="288" t="s">
        <v>18</v>
      </c>
      <c r="AG470" s="292" t="s">
        <v>18</v>
      </c>
      <c r="AH470" s="292" t="s">
        <v>18</v>
      </c>
      <c r="AI470" s="288" t="s">
        <v>18</v>
      </c>
      <c r="AJ470" s="292" t="s">
        <v>18</v>
      </c>
      <c r="AK470" s="292" t="s">
        <v>18</v>
      </c>
      <c r="AL470" s="288" t="s">
        <v>18</v>
      </c>
      <c r="AM470" s="292" t="s">
        <v>18</v>
      </c>
      <c r="AN470" s="292" t="s">
        <v>18</v>
      </c>
      <c r="AO470" s="288" t="s">
        <v>18</v>
      </c>
      <c r="AP470" s="289" t="s">
        <v>18</v>
      </c>
      <c r="AQ470" s="292" t="s">
        <v>18</v>
      </c>
      <c r="AR470" s="292" t="s">
        <v>18</v>
      </c>
      <c r="AS470" s="288" t="s">
        <v>18</v>
      </c>
      <c r="AT470" s="292" t="s">
        <v>18</v>
      </c>
      <c r="AU470" s="292" t="s">
        <v>18</v>
      </c>
      <c r="AV470" s="288" t="s">
        <v>18</v>
      </c>
      <c r="AW470" s="292" t="s">
        <v>18</v>
      </c>
      <c r="AX470" s="292" t="s">
        <v>18</v>
      </c>
      <c r="AY470" s="288" t="s">
        <v>18</v>
      </c>
      <c r="AZ470" s="292" t="s">
        <v>18</v>
      </c>
      <c r="BA470" s="292" t="s">
        <v>18</v>
      </c>
      <c r="BB470" s="288" t="s">
        <v>377</v>
      </c>
      <c r="BC470" s="289" t="s">
        <v>18</v>
      </c>
      <c r="BD470" s="287"/>
    </row>
    <row r="471" ht="12.75" customHeight="1">
      <c r="A471" s="293">
        <v>44797.01510497685</v>
      </c>
      <c r="B471" s="297" t="s">
        <v>525</v>
      </c>
      <c r="C471" s="298" t="s">
        <v>567</v>
      </c>
      <c r="D471" s="298" t="s">
        <v>16</v>
      </c>
      <c r="E471" s="285" t="s">
        <v>476</v>
      </c>
      <c r="F471" s="292" t="s">
        <v>1024</v>
      </c>
      <c r="G471" s="298" t="s">
        <v>21</v>
      </c>
      <c r="H471" s="298">
        <v>11.0</v>
      </c>
      <c r="I471" s="292" t="s">
        <v>497</v>
      </c>
      <c r="J471" s="292" t="s">
        <v>498</v>
      </c>
      <c r="K471" s="287" t="s">
        <v>508</v>
      </c>
      <c r="L471" s="292" t="s">
        <v>479</v>
      </c>
      <c r="M471" s="292" t="s">
        <v>483</v>
      </c>
      <c r="N471" s="292"/>
      <c r="O471" s="292"/>
      <c r="P471" s="292"/>
      <c r="Q471" s="292" t="s">
        <v>18</v>
      </c>
      <c r="R471" s="292" t="s">
        <v>18</v>
      </c>
      <c r="S471" s="288" t="s">
        <v>18</v>
      </c>
      <c r="T471" s="292" t="s">
        <v>18</v>
      </c>
      <c r="U471" s="292" t="s">
        <v>18</v>
      </c>
      <c r="V471" s="288" t="s">
        <v>18</v>
      </c>
      <c r="W471" s="292" t="s">
        <v>18</v>
      </c>
      <c r="X471" s="292" t="s">
        <v>18</v>
      </c>
      <c r="Y471" s="288" t="s">
        <v>18</v>
      </c>
      <c r="Z471" s="292" t="s">
        <v>18</v>
      </c>
      <c r="AA471" s="292" t="s">
        <v>18</v>
      </c>
      <c r="AB471" s="288" t="s">
        <v>18</v>
      </c>
      <c r="AC471" s="289" t="s">
        <v>18</v>
      </c>
      <c r="AD471" s="292" t="s">
        <v>18</v>
      </c>
      <c r="AE471" s="292" t="s">
        <v>18</v>
      </c>
      <c r="AF471" s="288" t="s">
        <v>18</v>
      </c>
      <c r="AG471" s="292" t="s">
        <v>18</v>
      </c>
      <c r="AH471" s="292" t="s">
        <v>18</v>
      </c>
      <c r="AI471" s="288" t="s">
        <v>18</v>
      </c>
      <c r="AJ471" s="292" t="s">
        <v>18</v>
      </c>
      <c r="AK471" s="292" t="s">
        <v>18</v>
      </c>
      <c r="AL471" s="288" t="s">
        <v>18</v>
      </c>
      <c r="AM471" s="292" t="s">
        <v>18</v>
      </c>
      <c r="AN471" s="292" t="s">
        <v>18</v>
      </c>
      <c r="AO471" s="288" t="s">
        <v>18</v>
      </c>
      <c r="AP471" s="289" t="s">
        <v>18</v>
      </c>
      <c r="AQ471" s="292" t="s">
        <v>18</v>
      </c>
      <c r="AR471" s="292" t="s">
        <v>18</v>
      </c>
      <c r="AS471" s="288" t="s">
        <v>18</v>
      </c>
      <c r="AT471" s="292" t="s">
        <v>18</v>
      </c>
      <c r="AU471" s="292" t="s">
        <v>18</v>
      </c>
      <c r="AV471" s="288" t="s">
        <v>18</v>
      </c>
      <c r="AW471" s="292" t="s">
        <v>18</v>
      </c>
      <c r="AX471" s="292" t="s">
        <v>18</v>
      </c>
      <c r="AY471" s="288" t="s">
        <v>18</v>
      </c>
      <c r="AZ471" s="292" t="s">
        <v>18</v>
      </c>
      <c r="BA471" s="292" t="s">
        <v>18</v>
      </c>
      <c r="BB471" s="295" t="s">
        <v>32</v>
      </c>
      <c r="BC471" s="296" t="s">
        <v>32</v>
      </c>
      <c r="BD471" s="287"/>
    </row>
    <row r="472" ht="12.75" customHeight="1">
      <c r="A472" s="293">
        <v>44797.01795725695</v>
      </c>
      <c r="B472" s="297" t="s">
        <v>525</v>
      </c>
      <c r="C472" s="298" t="s">
        <v>567</v>
      </c>
      <c r="D472" s="298" t="s">
        <v>16</v>
      </c>
      <c r="E472" s="285" t="s">
        <v>476</v>
      </c>
      <c r="F472" s="292" t="s">
        <v>1025</v>
      </c>
      <c r="G472" s="298" t="s">
        <v>21</v>
      </c>
      <c r="H472" s="298">
        <v>12.0</v>
      </c>
      <c r="I472" s="292" t="s">
        <v>497</v>
      </c>
      <c r="J472" s="292" t="s">
        <v>498</v>
      </c>
      <c r="K472" s="287" t="s">
        <v>508</v>
      </c>
      <c r="L472" s="292" t="s">
        <v>479</v>
      </c>
      <c r="M472" s="292" t="s">
        <v>483</v>
      </c>
      <c r="N472" s="292"/>
      <c r="O472" s="292"/>
      <c r="P472" s="292"/>
      <c r="Q472" s="292" t="s">
        <v>18</v>
      </c>
      <c r="R472" s="292" t="s">
        <v>18</v>
      </c>
      <c r="S472" s="288" t="s">
        <v>18</v>
      </c>
      <c r="T472" s="292" t="s">
        <v>18</v>
      </c>
      <c r="U472" s="292" t="s">
        <v>18</v>
      </c>
      <c r="V472" s="288" t="s">
        <v>18</v>
      </c>
      <c r="W472" s="292" t="s">
        <v>18</v>
      </c>
      <c r="X472" s="292" t="s">
        <v>18</v>
      </c>
      <c r="Y472" s="288" t="s">
        <v>18</v>
      </c>
      <c r="Z472" s="292" t="s">
        <v>18</v>
      </c>
      <c r="AA472" s="292" t="s">
        <v>18</v>
      </c>
      <c r="AB472" s="288" t="s">
        <v>18</v>
      </c>
      <c r="AC472" s="289" t="s">
        <v>18</v>
      </c>
      <c r="AD472" s="292" t="s">
        <v>18</v>
      </c>
      <c r="AE472" s="292" t="s">
        <v>18</v>
      </c>
      <c r="AF472" s="288" t="s">
        <v>18</v>
      </c>
      <c r="AG472" s="292" t="s">
        <v>18</v>
      </c>
      <c r="AH472" s="292" t="s">
        <v>18</v>
      </c>
      <c r="AI472" s="288" t="s">
        <v>18</v>
      </c>
      <c r="AJ472" s="292" t="s">
        <v>18</v>
      </c>
      <c r="AK472" s="292" t="s">
        <v>18</v>
      </c>
      <c r="AL472" s="288" t="s">
        <v>18</v>
      </c>
      <c r="AM472" s="292" t="s">
        <v>18</v>
      </c>
      <c r="AN472" s="292" t="s">
        <v>18</v>
      </c>
      <c r="AO472" s="288" t="s">
        <v>18</v>
      </c>
      <c r="AP472" s="289" t="s">
        <v>18</v>
      </c>
      <c r="AQ472" s="292" t="s">
        <v>18</v>
      </c>
      <c r="AR472" s="292" t="s">
        <v>18</v>
      </c>
      <c r="AS472" s="288" t="s">
        <v>18</v>
      </c>
      <c r="AT472" s="292" t="s">
        <v>18</v>
      </c>
      <c r="AU472" s="292" t="s">
        <v>18</v>
      </c>
      <c r="AV472" s="288" t="s">
        <v>18</v>
      </c>
      <c r="AW472" s="292" t="s">
        <v>18</v>
      </c>
      <c r="AX472" s="292" t="s">
        <v>18</v>
      </c>
      <c r="AY472" s="288" t="s">
        <v>18</v>
      </c>
      <c r="AZ472" s="292" t="s">
        <v>18</v>
      </c>
      <c r="BA472" s="292" t="s">
        <v>18</v>
      </c>
      <c r="BB472" s="288" t="s">
        <v>377</v>
      </c>
      <c r="BC472" s="289" t="s">
        <v>377</v>
      </c>
      <c r="BD472" s="287"/>
    </row>
    <row r="473" ht="12.75" customHeight="1">
      <c r="A473" s="293">
        <v>44797.02093145833</v>
      </c>
      <c r="B473" s="297" t="s">
        <v>525</v>
      </c>
      <c r="C473" s="298" t="s">
        <v>567</v>
      </c>
      <c r="D473" s="298" t="s">
        <v>16</v>
      </c>
      <c r="E473" s="285" t="s">
        <v>476</v>
      </c>
      <c r="F473" s="292" t="s">
        <v>1026</v>
      </c>
      <c r="G473" s="298" t="s">
        <v>21</v>
      </c>
      <c r="H473" s="298">
        <v>12.0</v>
      </c>
      <c r="I473" s="292" t="s">
        <v>497</v>
      </c>
      <c r="J473" s="292" t="s">
        <v>498</v>
      </c>
      <c r="K473" s="287" t="s">
        <v>508</v>
      </c>
      <c r="L473" s="292" t="s">
        <v>479</v>
      </c>
      <c r="M473" s="292" t="s">
        <v>483</v>
      </c>
      <c r="N473" s="292"/>
      <c r="O473" s="292"/>
      <c r="P473" s="292"/>
      <c r="Q473" s="292" t="s">
        <v>18</v>
      </c>
      <c r="R473" s="292" t="s">
        <v>18</v>
      </c>
      <c r="S473" s="288" t="s">
        <v>18</v>
      </c>
      <c r="T473" s="292" t="s">
        <v>18</v>
      </c>
      <c r="U473" s="292" t="s">
        <v>18</v>
      </c>
      <c r="V473" s="288" t="s">
        <v>18</v>
      </c>
      <c r="W473" s="292" t="s">
        <v>18</v>
      </c>
      <c r="X473" s="292" t="s">
        <v>18</v>
      </c>
      <c r="Y473" s="288" t="s">
        <v>18</v>
      </c>
      <c r="Z473" s="292" t="s">
        <v>18</v>
      </c>
      <c r="AA473" s="292" t="s">
        <v>18</v>
      </c>
      <c r="AB473" s="288" t="s">
        <v>18</v>
      </c>
      <c r="AC473" s="289" t="s">
        <v>18</v>
      </c>
      <c r="AD473" s="292" t="s">
        <v>18</v>
      </c>
      <c r="AE473" s="292" t="s">
        <v>18</v>
      </c>
      <c r="AF473" s="288" t="s">
        <v>18</v>
      </c>
      <c r="AG473" s="292" t="s">
        <v>18</v>
      </c>
      <c r="AH473" s="292" t="s">
        <v>18</v>
      </c>
      <c r="AI473" s="288" t="s">
        <v>18</v>
      </c>
      <c r="AJ473" s="292" t="s">
        <v>18</v>
      </c>
      <c r="AK473" s="292" t="s">
        <v>18</v>
      </c>
      <c r="AL473" s="288" t="s">
        <v>18</v>
      </c>
      <c r="AM473" s="292" t="s">
        <v>18</v>
      </c>
      <c r="AN473" s="292" t="s">
        <v>18</v>
      </c>
      <c r="AO473" s="288" t="s">
        <v>18</v>
      </c>
      <c r="AP473" s="289" t="s">
        <v>18</v>
      </c>
      <c r="AQ473" s="292" t="s">
        <v>18</v>
      </c>
      <c r="AR473" s="292" t="s">
        <v>18</v>
      </c>
      <c r="AS473" s="288" t="s">
        <v>18</v>
      </c>
      <c r="AT473" s="292" t="s">
        <v>18</v>
      </c>
      <c r="AU473" s="292" t="s">
        <v>18</v>
      </c>
      <c r="AV473" s="288" t="s">
        <v>18</v>
      </c>
      <c r="AW473" s="292" t="s">
        <v>18</v>
      </c>
      <c r="AX473" s="292" t="s">
        <v>18</v>
      </c>
      <c r="AY473" s="288" t="s">
        <v>18</v>
      </c>
      <c r="AZ473" s="292" t="s">
        <v>18</v>
      </c>
      <c r="BA473" s="292" t="s">
        <v>18</v>
      </c>
      <c r="BB473" s="295" t="s">
        <v>32</v>
      </c>
      <c r="BC473" s="296" t="s">
        <v>32</v>
      </c>
      <c r="BD473" s="287"/>
    </row>
    <row r="474" ht="12.75" customHeight="1">
      <c r="A474" s="293">
        <v>44797.02402614584</v>
      </c>
      <c r="B474" s="297" t="s">
        <v>525</v>
      </c>
      <c r="C474" s="298" t="s">
        <v>567</v>
      </c>
      <c r="D474" s="298" t="s">
        <v>16</v>
      </c>
      <c r="E474" s="285" t="s">
        <v>476</v>
      </c>
      <c r="F474" s="292" t="s">
        <v>1027</v>
      </c>
      <c r="G474" s="298" t="s">
        <v>21</v>
      </c>
      <c r="H474" s="298">
        <v>12.0</v>
      </c>
      <c r="I474" s="292" t="s">
        <v>497</v>
      </c>
      <c r="J474" s="292" t="s">
        <v>498</v>
      </c>
      <c r="K474" s="287" t="s">
        <v>508</v>
      </c>
      <c r="L474" s="292" t="s">
        <v>479</v>
      </c>
      <c r="M474" s="292" t="s">
        <v>483</v>
      </c>
      <c r="N474" s="292"/>
      <c r="O474" s="292"/>
      <c r="P474" s="292"/>
      <c r="Q474" s="292" t="s">
        <v>18</v>
      </c>
      <c r="R474" s="292" t="s">
        <v>18</v>
      </c>
      <c r="S474" s="288" t="s">
        <v>18</v>
      </c>
      <c r="T474" s="292" t="s">
        <v>18</v>
      </c>
      <c r="U474" s="292" t="s">
        <v>18</v>
      </c>
      <c r="V474" s="288" t="s">
        <v>18</v>
      </c>
      <c r="W474" s="292" t="s">
        <v>18</v>
      </c>
      <c r="X474" s="292" t="s">
        <v>18</v>
      </c>
      <c r="Y474" s="288" t="s">
        <v>18</v>
      </c>
      <c r="Z474" s="292" t="s">
        <v>18</v>
      </c>
      <c r="AA474" s="292" t="s">
        <v>18</v>
      </c>
      <c r="AB474" s="288" t="s">
        <v>18</v>
      </c>
      <c r="AC474" s="289" t="s">
        <v>18</v>
      </c>
      <c r="AD474" s="292" t="s">
        <v>18</v>
      </c>
      <c r="AE474" s="292" t="s">
        <v>18</v>
      </c>
      <c r="AF474" s="288" t="s">
        <v>18</v>
      </c>
      <c r="AG474" s="292" t="s">
        <v>18</v>
      </c>
      <c r="AH474" s="292" t="s">
        <v>18</v>
      </c>
      <c r="AI474" s="288" t="s">
        <v>18</v>
      </c>
      <c r="AJ474" s="292" t="s">
        <v>18</v>
      </c>
      <c r="AK474" s="292" t="s">
        <v>18</v>
      </c>
      <c r="AL474" s="288" t="s">
        <v>18</v>
      </c>
      <c r="AM474" s="292" t="s">
        <v>18</v>
      </c>
      <c r="AN474" s="292" t="s">
        <v>18</v>
      </c>
      <c r="AO474" s="288" t="s">
        <v>18</v>
      </c>
      <c r="AP474" s="289" t="s">
        <v>18</v>
      </c>
      <c r="AQ474" s="292" t="s">
        <v>18</v>
      </c>
      <c r="AR474" s="292" t="s">
        <v>18</v>
      </c>
      <c r="AS474" s="288" t="s">
        <v>18</v>
      </c>
      <c r="AT474" s="292" t="s">
        <v>18</v>
      </c>
      <c r="AU474" s="292" t="s">
        <v>18</v>
      </c>
      <c r="AV474" s="288" t="s">
        <v>18</v>
      </c>
      <c r="AW474" s="292" t="s">
        <v>18</v>
      </c>
      <c r="AX474" s="292" t="s">
        <v>18</v>
      </c>
      <c r="AY474" s="288" t="s">
        <v>18</v>
      </c>
      <c r="AZ474" s="292" t="s">
        <v>18</v>
      </c>
      <c r="BA474" s="292" t="s">
        <v>18</v>
      </c>
      <c r="BB474" s="295" t="s">
        <v>32</v>
      </c>
      <c r="BC474" s="296" t="s">
        <v>32</v>
      </c>
      <c r="BD474" s="287"/>
    </row>
    <row r="475" ht="12.75" customHeight="1">
      <c r="A475" s="293">
        <v>44797.02817145833</v>
      </c>
      <c r="B475" s="297" t="s">
        <v>525</v>
      </c>
      <c r="C475" s="298" t="s">
        <v>567</v>
      </c>
      <c r="D475" s="298" t="s">
        <v>16</v>
      </c>
      <c r="E475" s="285" t="s">
        <v>476</v>
      </c>
      <c r="F475" s="292" t="s">
        <v>1028</v>
      </c>
      <c r="G475" s="298" t="s">
        <v>21</v>
      </c>
      <c r="H475" s="298">
        <v>12.0</v>
      </c>
      <c r="I475" s="292" t="s">
        <v>497</v>
      </c>
      <c r="J475" s="292" t="s">
        <v>498</v>
      </c>
      <c r="K475" s="287" t="s">
        <v>508</v>
      </c>
      <c r="L475" s="292" t="s">
        <v>479</v>
      </c>
      <c r="M475" s="292" t="s">
        <v>483</v>
      </c>
      <c r="N475" s="292"/>
      <c r="O475" s="292"/>
      <c r="P475" s="292"/>
      <c r="Q475" s="292" t="s">
        <v>18</v>
      </c>
      <c r="R475" s="292" t="s">
        <v>18</v>
      </c>
      <c r="S475" s="288" t="s">
        <v>18</v>
      </c>
      <c r="T475" s="292" t="s">
        <v>18</v>
      </c>
      <c r="U475" s="292" t="s">
        <v>18</v>
      </c>
      <c r="V475" s="288" t="s">
        <v>18</v>
      </c>
      <c r="W475" s="292" t="s">
        <v>18</v>
      </c>
      <c r="X475" s="292" t="s">
        <v>18</v>
      </c>
      <c r="Y475" s="288" t="s">
        <v>18</v>
      </c>
      <c r="Z475" s="292" t="s">
        <v>18</v>
      </c>
      <c r="AA475" s="292" t="s">
        <v>18</v>
      </c>
      <c r="AB475" s="288" t="s">
        <v>18</v>
      </c>
      <c r="AC475" s="289" t="s">
        <v>18</v>
      </c>
      <c r="AD475" s="292" t="s">
        <v>18</v>
      </c>
      <c r="AE475" s="292" t="s">
        <v>18</v>
      </c>
      <c r="AF475" s="288" t="s">
        <v>18</v>
      </c>
      <c r="AG475" s="292" t="s">
        <v>18</v>
      </c>
      <c r="AH475" s="292" t="s">
        <v>18</v>
      </c>
      <c r="AI475" s="288" t="s">
        <v>18</v>
      </c>
      <c r="AJ475" s="292" t="s">
        <v>18</v>
      </c>
      <c r="AK475" s="292" t="s">
        <v>18</v>
      </c>
      <c r="AL475" s="288" t="s">
        <v>18</v>
      </c>
      <c r="AM475" s="292" t="s">
        <v>18</v>
      </c>
      <c r="AN475" s="292" t="s">
        <v>18</v>
      </c>
      <c r="AO475" s="288" t="s">
        <v>18</v>
      </c>
      <c r="AP475" s="289" t="s">
        <v>18</v>
      </c>
      <c r="AQ475" s="292" t="s">
        <v>18</v>
      </c>
      <c r="AR475" s="292" t="s">
        <v>18</v>
      </c>
      <c r="AS475" s="288" t="s">
        <v>18</v>
      </c>
      <c r="AT475" s="292" t="s">
        <v>18</v>
      </c>
      <c r="AU475" s="292" t="s">
        <v>18</v>
      </c>
      <c r="AV475" s="288" t="s">
        <v>18</v>
      </c>
      <c r="AW475" s="292" t="s">
        <v>18</v>
      </c>
      <c r="AX475" s="292" t="s">
        <v>18</v>
      </c>
      <c r="AY475" s="288" t="s">
        <v>18</v>
      </c>
      <c r="AZ475" s="292" t="s">
        <v>18</v>
      </c>
      <c r="BA475" s="292" t="s">
        <v>18</v>
      </c>
      <c r="BB475" s="295" t="s">
        <v>32</v>
      </c>
      <c r="BC475" s="289" t="s">
        <v>377</v>
      </c>
      <c r="BD475" s="287"/>
    </row>
    <row r="476" ht="12.75" customHeight="1">
      <c r="A476" s="293">
        <v>44797.03013998843</v>
      </c>
      <c r="B476" s="297" t="s">
        <v>525</v>
      </c>
      <c r="C476" s="298" t="s">
        <v>567</v>
      </c>
      <c r="D476" s="298" t="s">
        <v>16</v>
      </c>
      <c r="E476" s="285" t="s">
        <v>476</v>
      </c>
      <c r="F476" s="292" t="s">
        <v>1029</v>
      </c>
      <c r="G476" s="298" t="s">
        <v>21</v>
      </c>
      <c r="H476" s="298">
        <v>12.0</v>
      </c>
      <c r="I476" s="292" t="s">
        <v>497</v>
      </c>
      <c r="J476" s="292" t="s">
        <v>498</v>
      </c>
      <c r="K476" s="287" t="s">
        <v>508</v>
      </c>
      <c r="L476" s="292" t="s">
        <v>479</v>
      </c>
      <c r="M476" s="292" t="s">
        <v>483</v>
      </c>
      <c r="N476" s="292"/>
      <c r="O476" s="292"/>
      <c r="P476" s="292"/>
      <c r="Q476" s="292" t="s">
        <v>18</v>
      </c>
      <c r="R476" s="292" t="s">
        <v>18</v>
      </c>
      <c r="S476" s="288" t="s">
        <v>18</v>
      </c>
      <c r="T476" s="292" t="s">
        <v>18</v>
      </c>
      <c r="U476" s="292" t="s">
        <v>18</v>
      </c>
      <c r="V476" s="288" t="s">
        <v>18</v>
      </c>
      <c r="W476" s="292" t="s">
        <v>18</v>
      </c>
      <c r="X476" s="292" t="s">
        <v>18</v>
      </c>
      <c r="Y476" s="288" t="s">
        <v>18</v>
      </c>
      <c r="Z476" s="292" t="s">
        <v>18</v>
      </c>
      <c r="AA476" s="292" t="s">
        <v>18</v>
      </c>
      <c r="AB476" s="288" t="s">
        <v>18</v>
      </c>
      <c r="AC476" s="289" t="s">
        <v>18</v>
      </c>
      <c r="AD476" s="292" t="s">
        <v>18</v>
      </c>
      <c r="AE476" s="292" t="s">
        <v>18</v>
      </c>
      <c r="AF476" s="288" t="s">
        <v>18</v>
      </c>
      <c r="AG476" s="292" t="s">
        <v>18</v>
      </c>
      <c r="AH476" s="292" t="s">
        <v>18</v>
      </c>
      <c r="AI476" s="288" t="s">
        <v>18</v>
      </c>
      <c r="AJ476" s="292" t="s">
        <v>18</v>
      </c>
      <c r="AK476" s="292" t="s">
        <v>18</v>
      </c>
      <c r="AL476" s="288" t="s">
        <v>18</v>
      </c>
      <c r="AM476" s="292" t="s">
        <v>18</v>
      </c>
      <c r="AN476" s="292" t="s">
        <v>18</v>
      </c>
      <c r="AO476" s="288" t="s">
        <v>18</v>
      </c>
      <c r="AP476" s="289" t="s">
        <v>18</v>
      </c>
      <c r="AQ476" s="292" t="s">
        <v>18</v>
      </c>
      <c r="AR476" s="292" t="s">
        <v>18</v>
      </c>
      <c r="AS476" s="288" t="s">
        <v>18</v>
      </c>
      <c r="AT476" s="292" t="s">
        <v>18</v>
      </c>
      <c r="AU476" s="292" t="s">
        <v>18</v>
      </c>
      <c r="AV476" s="288" t="s">
        <v>18</v>
      </c>
      <c r="AW476" s="292" t="s">
        <v>18</v>
      </c>
      <c r="AX476" s="292" t="s">
        <v>18</v>
      </c>
      <c r="AY476" s="288" t="s">
        <v>18</v>
      </c>
      <c r="AZ476" s="292" t="s">
        <v>18</v>
      </c>
      <c r="BA476" s="292" t="s">
        <v>18</v>
      </c>
      <c r="BB476" s="288" t="s">
        <v>377</v>
      </c>
      <c r="BC476" s="289" t="s">
        <v>377</v>
      </c>
      <c r="BD476" s="287"/>
    </row>
    <row r="477" ht="12.75" customHeight="1">
      <c r="A477" s="293">
        <v>44797.03186769676</v>
      </c>
      <c r="B477" s="297" t="s">
        <v>525</v>
      </c>
      <c r="C477" s="298" t="s">
        <v>567</v>
      </c>
      <c r="D477" s="298" t="s">
        <v>16</v>
      </c>
      <c r="E477" s="285" t="s">
        <v>476</v>
      </c>
      <c r="F477" s="292" t="s">
        <v>1030</v>
      </c>
      <c r="G477" s="298" t="s">
        <v>21</v>
      </c>
      <c r="H477" s="298">
        <v>12.0</v>
      </c>
      <c r="I477" s="292" t="s">
        <v>497</v>
      </c>
      <c r="J477" s="292" t="s">
        <v>498</v>
      </c>
      <c r="K477" s="287" t="s">
        <v>508</v>
      </c>
      <c r="L477" s="292" t="s">
        <v>479</v>
      </c>
      <c r="M477" s="292" t="s">
        <v>483</v>
      </c>
      <c r="N477" s="292"/>
      <c r="O477" s="292"/>
      <c r="P477" s="292"/>
      <c r="Q477" s="292" t="s">
        <v>18</v>
      </c>
      <c r="R477" s="292" t="s">
        <v>18</v>
      </c>
      <c r="S477" s="288" t="s">
        <v>18</v>
      </c>
      <c r="T477" s="292" t="s">
        <v>18</v>
      </c>
      <c r="U477" s="292" t="s">
        <v>18</v>
      </c>
      <c r="V477" s="288" t="s">
        <v>18</v>
      </c>
      <c r="W477" s="292" t="s">
        <v>18</v>
      </c>
      <c r="X477" s="292" t="s">
        <v>18</v>
      </c>
      <c r="Y477" s="288" t="s">
        <v>18</v>
      </c>
      <c r="Z477" s="292" t="s">
        <v>18</v>
      </c>
      <c r="AA477" s="292" t="s">
        <v>18</v>
      </c>
      <c r="AB477" s="288" t="s">
        <v>18</v>
      </c>
      <c r="AC477" s="289" t="s">
        <v>18</v>
      </c>
      <c r="AD477" s="292" t="s">
        <v>18</v>
      </c>
      <c r="AE477" s="292" t="s">
        <v>18</v>
      </c>
      <c r="AF477" s="288" t="s">
        <v>18</v>
      </c>
      <c r="AG477" s="292" t="s">
        <v>18</v>
      </c>
      <c r="AH477" s="292" t="s">
        <v>18</v>
      </c>
      <c r="AI477" s="288" t="s">
        <v>18</v>
      </c>
      <c r="AJ477" s="292" t="s">
        <v>18</v>
      </c>
      <c r="AK477" s="292" t="s">
        <v>18</v>
      </c>
      <c r="AL477" s="288" t="s">
        <v>18</v>
      </c>
      <c r="AM477" s="292" t="s">
        <v>18</v>
      </c>
      <c r="AN477" s="292" t="s">
        <v>18</v>
      </c>
      <c r="AO477" s="288" t="s">
        <v>18</v>
      </c>
      <c r="AP477" s="289" t="s">
        <v>18</v>
      </c>
      <c r="AQ477" s="292" t="s">
        <v>18</v>
      </c>
      <c r="AR477" s="292" t="s">
        <v>18</v>
      </c>
      <c r="AS477" s="288" t="s">
        <v>18</v>
      </c>
      <c r="AT477" s="292" t="s">
        <v>18</v>
      </c>
      <c r="AU477" s="292" t="s">
        <v>18</v>
      </c>
      <c r="AV477" s="288" t="s">
        <v>18</v>
      </c>
      <c r="AW477" s="292" t="s">
        <v>18</v>
      </c>
      <c r="AX477" s="292" t="s">
        <v>18</v>
      </c>
      <c r="AY477" s="288" t="s">
        <v>18</v>
      </c>
      <c r="AZ477" s="292" t="s">
        <v>18</v>
      </c>
      <c r="BA477" s="292" t="s">
        <v>18</v>
      </c>
      <c r="BB477" s="295" t="s">
        <v>32</v>
      </c>
      <c r="BC477" s="296" t="s">
        <v>32</v>
      </c>
      <c r="BD477" s="287"/>
    </row>
    <row r="478" ht="12.75" customHeight="1">
      <c r="A478" s="293">
        <v>44797.03346726852</v>
      </c>
      <c r="B478" s="297" t="s">
        <v>525</v>
      </c>
      <c r="C478" s="298" t="s">
        <v>567</v>
      </c>
      <c r="D478" s="298" t="s">
        <v>16</v>
      </c>
      <c r="E478" s="285" t="s">
        <v>476</v>
      </c>
      <c r="F478" s="292" t="s">
        <v>1031</v>
      </c>
      <c r="G478" s="298" t="s">
        <v>21</v>
      </c>
      <c r="H478" s="298">
        <v>12.0</v>
      </c>
      <c r="I478" s="292" t="s">
        <v>497</v>
      </c>
      <c r="J478" s="292" t="s">
        <v>498</v>
      </c>
      <c r="K478" s="287" t="s">
        <v>508</v>
      </c>
      <c r="L478" s="292" t="s">
        <v>479</v>
      </c>
      <c r="M478" s="292" t="s">
        <v>483</v>
      </c>
      <c r="N478" s="292"/>
      <c r="O478" s="292"/>
      <c r="P478" s="292"/>
      <c r="Q478" s="292" t="s">
        <v>18</v>
      </c>
      <c r="R478" s="292" t="s">
        <v>18</v>
      </c>
      <c r="S478" s="288" t="s">
        <v>18</v>
      </c>
      <c r="T478" s="292" t="s">
        <v>18</v>
      </c>
      <c r="U478" s="292" t="s">
        <v>18</v>
      </c>
      <c r="V478" s="288" t="s">
        <v>18</v>
      </c>
      <c r="W478" s="292" t="s">
        <v>18</v>
      </c>
      <c r="X478" s="292" t="s">
        <v>18</v>
      </c>
      <c r="Y478" s="288" t="s">
        <v>18</v>
      </c>
      <c r="Z478" s="292" t="s">
        <v>18</v>
      </c>
      <c r="AA478" s="292" t="s">
        <v>18</v>
      </c>
      <c r="AB478" s="288" t="s">
        <v>18</v>
      </c>
      <c r="AC478" s="289" t="s">
        <v>18</v>
      </c>
      <c r="AD478" s="292" t="s">
        <v>18</v>
      </c>
      <c r="AE478" s="292" t="s">
        <v>18</v>
      </c>
      <c r="AF478" s="288" t="s">
        <v>18</v>
      </c>
      <c r="AG478" s="292" t="s">
        <v>18</v>
      </c>
      <c r="AH478" s="292" t="s">
        <v>18</v>
      </c>
      <c r="AI478" s="288" t="s">
        <v>18</v>
      </c>
      <c r="AJ478" s="292" t="s">
        <v>18</v>
      </c>
      <c r="AK478" s="292" t="s">
        <v>18</v>
      </c>
      <c r="AL478" s="288" t="s">
        <v>18</v>
      </c>
      <c r="AM478" s="292" t="s">
        <v>18</v>
      </c>
      <c r="AN478" s="292" t="s">
        <v>18</v>
      </c>
      <c r="AO478" s="288" t="s">
        <v>18</v>
      </c>
      <c r="AP478" s="289" t="s">
        <v>18</v>
      </c>
      <c r="AQ478" s="292" t="s">
        <v>18</v>
      </c>
      <c r="AR478" s="292" t="s">
        <v>18</v>
      </c>
      <c r="AS478" s="288" t="s">
        <v>18</v>
      </c>
      <c r="AT478" s="292" t="s">
        <v>18</v>
      </c>
      <c r="AU478" s="292" t="s">
        <v>18</v>
      </c>
      <c r="AV478" s="288" t="s">
        <v>18</v>
      </c>
      <c r="AW478" s="292" t="s">
        <v>18</v>
      </c>
      <c r="AX478" s="292" t="s">
        <v>18</v>
      </c>
      <c r="AY478" s="288" t="s">
        <v>18</v>
      </c>
      <c r="AZ478" s="292" t="s">
        <v>18</v>
      </c>
      <c r="BA478" s="292" t="s">
        <v>18</v>
      </c>
      <c r="BB478" s="295" t="s">
        <v>32</v>
      </c>
      <c r="BC478" s="296" t="s">
        <v>32</v>
      </c>
      <c r="BD478" s="287"/>
    </row>
    <row r="479" ht="12.75" customHeight="1">
      <c r="A479" s="293">
        <v>45259.66178296296</v>
      </c>
      <c r="B479" s="286" t="s">
        <v>525</v>
      </c>
      <c r="C479" s="285" t="s">
        <v>559</v>
      </c>
      <c r="D479" s="285" t="s">
        <v>16</v>
      </c>
      <c r="E479" s="285" t="s">
        <v>577</v>
      </c>
      <c r="F479" s="287" t="s">
        <v>1032</v>
      </c>
      <c r="G479" s="285" t="s">
        <v>17</v>
      </c>
      <c r="H479" s="285">
        <v>16.0</v>
      </c>
      <c r="I479" s="287" t="s">
        <v>497</v>
      </c>
      <c r="J479" s="292"/>
      <c r="K479" s="287" t="s">
        <v>508</v>
      </c>
      <c r="L479" s="287" t="s">
        <v>479</v>
      </c>
      <c r="M479" s="287" t="s">
        <v>483</v>
      </c>
      <c r="N479" s="287" t="s">
        <v>483</v>
      </c>
      <c r="O479" s="285" t="s">
        <v>497</v>
      </c>
      <c r="P479" s="292"/>
      <c r="Q479" s="287" t="s">
        <v>377</v>
      </c>
      <c r="R479" s="287" t="s">
        <v>18</v>
      </c>
      <c r="S479" s="288" t="s">
        <v>377</v>
      </c>
      <c r="T479" s="287" t="s">
        <v>18</v>
      </c>
      <c r="U479" s="287" t="s">
        <v>377</v>
      </c>
      <c r="V479" s="288" t="s">
        <v>377</v>
      </c>
      <c r="W479" s="287" t="s">
        <v>377</v>
      </c>
      <c r="X479" s="287" t="s">
        <v>18</v>
      </c>
      <c r="Y479" s="288" t="s">
        <v>377</v>
      </c>
      <c r="Z479" s="287" t="s">
        <v>377</v>
      </c>
      <c r="AA479" s="287" t="s">
        <v>377</v>
      </c>
      <c r="AB479" s="288" t="s">
        <v>377</v>
      </c>
      <c r="AC479" s="289" t="s">
        <v>377</v>
      </c>
      <c r="AD479" s="287" t="s">
        <v>377</v>
      </c>
      <c r="AE479" s="287" t="s">
        <v>377</v>
      </c>
      <c r="AF479" s="288" t="s">
        <v>377</v>
      </c>
      <c r="AG479" s="287" t="s">
        <v>377</v>
      </c>
      <c r="AH479" s="287" t="s">
        <v>18</v>
      </c>
      <c r="AI479" s="288" t="s">
        <v>377</v>
      </c>
      <c r="AJ479" s="287" t="s">
        <v>377</v>
      </c>
      <c r="AK479" s="287" t="s">
        <v>377</v>
      </c>
      <c r="AL479" s="288" t="s">
        <v>377</v>
      </c>
      <c r="AM479" s="287" t="s">
        <v>18</v>
      </c>
      <c r="AN479" s="287" t="s">
        <v>18</v>
      </c>
      <c r="AO479" s="288" t="s">
        <v>18</v>
      </c>
      <c r="AP479" s="289" t="s">
        <v>377</v>
      </c>
      <c r="AQ479" s="294" t="s">
        <v>32</v>
      </c>
      <c r="AR479" s="294" t="s">
        <v>32</v>
      </c>
      <c r="AS479" s="295" t="s">
        <v>32</v>
      </c>
      <c r="AT479" s="294" t="s">
        <v>32</v>
      </c>
      <c r="AU479" s="294" t="s">
        <v>32</v>
      </c>
      <c r="AV479" s="295" t="s">
        <v>32</v>
      </c>
      <c r="AW479" s="287" t="s">
        <v>377</v>
      </c>
      <c r="AX479" s="287" t="s">
        <v>377</v>
      </c>
      <c r="AY479" s="288" t="s">
        <v>377</v>
      </c>
      <c r="AZ479" s="287" t="s">
        <v>377</v>
      </c>
      <c r="BA479" s="294" t="s">
        <v>32</v>
      </c>
      <c r="BB479" s="295" t="s">
        <v>32</v>
      </c>
      <c r="BC479" s="296" t="s">
        <v>32</v>
      </c>
      <c r="BD479" s="287"/>
    </row>
    <row r="480" ht="12.75" customHeight="1">
      <c r="A480" s="293">
        <v>45259.665461979166</v>
      </c>
      <c r="B480" s="286" t="s">
        <v>525</v>
      </c>
      <c r="C480" s="285" t="s">
        <v>559</v>
      </c>
      <c r="D480" s="285" t="s">
        <v>16</v>
      </c>
      <c r="E480" s="285" t="s">
        <v>577</v>
      </c>
      <c r="F480" s="287" t="s">
        <v>1033</v>
      </c>
      <c r="G480" s="285" t="s">
        <v>17</v>
      </c>
      <c r="H480" s="285">
        <v>16.0</v>
      </c>
      <c r="I480" s="287" t="s">
        <v>497</v>
      </c>
      <c r="J480" s="292"/>
      <c r="K480" s="287" t="s">
        <v>508</v>
      </c>
      <c r="L480" s="287" t="s">
        <v>479</v>
      </c>
      <c r="M480" s="287" t="s">
        <v>483</v>
      </c>
      <c r="N480" s="287" t="s">
        <v>483</v>
      </c>
      <c r="O480" s="285" t="s">
        <v>497</v>
      </c>
      <c r="P480" s="292"/>
      <c r="Q480" s="287" t="s">
        <v>377</v>
      </c>
      <c r="R480" s="287" t="s">
        <v>18</v>
      </c>
      <c r="S480" s="288" t="s">
        <v>377</v>
      </c>
      <c r="T480" s="287" t="s">
        <v>18</v>
      </c>
      <c r="U480" s="287" t="s">
        <v>377</v>
      </c>
      <c r="V480" s="288" t="s">
        <v>377</v>
      </c>
      <c r="W480" s="287" t="s">
        <v>377</v>
      </c>
      <c r="X480" s="287" t="s">
        <v>377</v>
      </c>
      <c r="Y480" s="288" t="s">
        <v>377</v>
      </c>
      <c r="Z480" s="287" t="s">
        <v>377</v>
      </c>
      <c r="AA480" s="287" t="s">
        <v>377</v>
      </c>
      <c r="AB480" s="288" t="s">
        <v>377</v>
      </c>
      <c r="AC480" s="289" t="s">
        <v>377</v>
      </c>
      <c r="AD480" s="287" t="s">
        <v>377</v>
      </c>
      <c r="AE480" s="287" t="s">
        <v>377</v>
      </c>
      <c r="AF480" s="288" t="s">
        <v>377</v>
      </c>
      <c r="AG480" s="287" t="s">
        <v>377</v>
      </c>
      <c r="AH480" s="287" t="s">
        <v>377</v>
      </c>
      <c r="AI480" s="288" t="s">
        <v>377</v>
      </c>
      <c r="AJ480" s="287" t="s">
        <v>377</v>
      </c>
      <c r="AK480" s="287" t="s">
        <v>377</v>
      </c>
      <c r="AL480" s="288" t="s">
        <v>377</v>
      </c>
      <c r="AM480" s="287" t="s">
        <v>18</v>
      </c>
      <c r="AN480" s="287" t="s">
        <v>18</v>
      </c>
      <c r="AO480" s="288" t="s">
        <v>18</v>
      </c>
      <c r="AP480" s="289" t="s">
        <v>377</v>
      </c>
      <c r="AQ480" s="294" t="s">
        <v>32</v>
      </c>
      <c r="AR480" s="294" t="s">
        <v>32</v>
      </c>
      <c r="AS480" s="295" t="s">
        <v>32</v>
      </c>
      <c r="AT480" s="294" t="s">
        <v>32</v>
      </c>
      <c r="AU480" s="294" t="s">
        <v>32</v>
      </c>
      <c r="AV480" s="295" t="s">
        <v>32</v>
      </c>
      <c r="AW480" s="287" t="s">
        <v>377</v>
      </c>
      <c r="AX480" s="287" t="s">
        <v>377</v>
      </c>
      <c r="AY480" s="288" t="s">
        <v>377</v>
      </c>
      <c r="AZ480" s="294" t="s">
        <v>32</v>
      </c>
      <c r="BA480" s="294" t="s">
        <v>32</v>
      </c>
      <c r="BB480" s="288" t="s">
        <v>377</v>
      </c>
      <c r="BC480" s="289" t="s">
        <v>377</v>
      </c>
      <c r="BD480" s="287"/>
    </row>
    <row r="481" ht="12.75" customHeight="1">
      <c r="A481" s="293">
        <v>45259.66977710648</v>
      </c>
      <c r="B481" s="286" t="s">
        <v>525</v>
      </c>
      <c r="C481" s="285" t="s">
        <v>559</v>
      </c>
      <c r="D481" s="285" t="s">
        <v>16</v>
      </c>
      <c r="E481" s="285" t="s">
        <v>577</v>
      </c>
      <c r="F481" s="287" t="s">
        <v>1034</v>
      </c>
      <c r="G481" s="285" t="s">
        <v>17</v>
      </c>
      <c r="H481" s="285">
        <v>17.0</v>
      </c>
      <c r="I481" s="287" t="s">
        <v>497</v>
      </c>
      <c r="J481" s="292"/>
      <c r="K481" s="287" t="s">
        <v>508</v>
      </c>
      <c r="L481" s="287" t="s">
        <v>479</v>
      </c>
      <c r="M481" s="287" t="s">
        <v>483</v>
      </c>
      <c r="N481" s="287" t="s">
        <v>483</v>
      </c>
      <c r="O481" s="285" t="s">
        <v>497</v>
      </c>
      <c r="P481" s="292"/>
      <c r="Q481" s="287" t="s">
        <v>377</v>
      </c>
      <c r="R481" s="287" t="s">
        <v>18</v>
      </c>
      <c r="S481" s="288" t="s">
        <v>377</v>
      </c>
      <c r="T481" s="287" t="s">
        <v>377</v>
      </c>
      <c r="U481" s="287" t="s">
        <v>377</v>
      </c>
      <c r="V481" s="288" t="s">
        <v>377</v>
      </c>
      <c r="W481" s="287" t="s">
        <v>377</v>
      </c>
      <c r="X481" s="287" t="s">
        <v>377</v>
      </c>
      <c r="Y481" s="288" t="s">
        <v>377</v>
      </c>
      <c r="Z481" s="287" t="s">
        <v>377</v>
      </c>
      <c r="AA481" s="287" t="s">
        <v>377</v>
      </c>
      <c r="AB481" s="288" t="s">
        <v>377</v>
      </c>
      <c r="AC481" s="289" t="s">
        <v>377</v>
      </c>
      <c r="AD481" s="287" t="s">
        <v>377</v>
      </c>
      <c r="AE481" s="287" t="s">
        <v>377</v>
      </c>
      <c r="AF481" s="288" t="s">
        <v>377</v>
      </c>
      <c r="AG481" s="287" t="s">
        <v>377</v>
      </c>
      <c r="AH481" s="287" t="s">
        <v>377</v>
      </c>
      <c r="AI481" s="288" t="s">
        <v>377</v>
      </c>
      <c r="AJ481" s="294" t="s">
        <v>32</v>
      </c>
      <c r="AK481" s="287" t="s">
        <v>377</v>
      </c>
      <c r="AL481" s="295" t="s">
        <v>32</v>
      </c>
      <c r="AM481" s="287" t="s">
        <v>18</v>
      </c>
      <c r="AN481" s="287" t="s">
        <v>377</v>
      </c>
      <c r="AO481" s="288" t="s">
        <v>377</v>
      </c>
      <c r="AP481" s="289" t="s">
        <v>377</v>
      </c>
      <c r="AQ481" s="294" t="s">
        <v>32</v>
      </c>
      <c r="AR481" s="294" t="s">
        <v>32</v>
      </c>
      <c r="AS481" s="295" t="s">
        <v>32</v>
      </c>
      <c r="AT481" s="294" t="s">
        <v>32</v>
      </c>
      <c r="AU481" s="294" t="s">
        <v>32</v>
      </c>
      <c r="AV481" s="295" t="s">
        <v>32</v>
      </c>
      <c r="AW481" s="287" t="s">
        <v>377</v>
      </c>
      <c r="AX481" s="287" t="s">
        <v>377</v>
      </c>
      <c r="AY481" s="288" t="s">
        <v>377</v>
      </c>
      <c r="AZ481" s="294" t="s">
        <v>32</v>
      </c>
      <c r="BA481" s="294" t="s">
        <v>32</v>
      </c>
      <c r="BB481" s="295" t="s">
        <v>32</v>
      </c>
      <c r="BC481" s="296" t="s">
        <v>32</v>
      </c>
      <c r="BD481" s="287"/>
    </row>
    <row r="482" ht="12.75" customHeight="1">
      <c r="A482" s="293">
        <v>45259.6797065162</v>
      </c>
      <c r="B482" s="286" t="s">
        <v>525</v>
      </c>
      <c r="C482" s="285" t="s">
        <v>559</v>
      </c>
      <c r="D482" s="285" t="s">
        <v>16</v>
      </c>
      <c r="E482" s="285" t="s">
        <v>577</v>
      </c>
      <c r="F482" s="287" t="s">
        <v>1035</v>
      </c>
      <c r="G482" s="285" t="s">
        <v>21</v>
      </c>
      <c r="H482" s="285">
        <v>16.0</v>
      </c>
      <c r="I482" s="287" t="s">
        <v>497</v>
      </c>
      <c r="J482" s="292"/>
      <c r="K482" s="287" t="s">
        <v>508</v>
      </c>
      <c r="L482" s="287" t="s">
        <v>479</v>
      </c>
      <c r="M482" s="287" t="s">
        <v>483</v>
      </c>
      <c r="N482" s="287" t="s">
        <v>483</v>
      </c>
      <c r="O482" s="285" t="s">
        <v>497</v>
      </c>
      <c r="P482" s="292"/>
      <c r="Q482" s="294" t="s">
        <v>32</v>
      </c>
      <c r="R482" s="287" t="s">
        <v>18</v>
      </c>
      <c r="S482" s="288" t="s">
        <v>377</v>
      </c>
      <c r="T482" s="287" t="s">
        <v>377</v>
      </c>
      <c r="U482" s="287" t="s">
        <v>377</v>
      </c>
      <c r="V482" s="288" t="s">
        <v>377</v>
      </c>
      <c r="W482" s="287" t="s">
        <v>377</v>
      </c>
      <c r="X482" s="294" t="s">
        <v>32</v>
      </c>
      <c r="Y482" s="295" t="s">
        <v>32</v>
      </c>
      <c r="Z482" s="294" t="s">
        <v>32</v>
      </c>
      <c r="AA482" s="287" t="s">
        <v>377</v>
      </c>
      <c r="AB482" s="295" t="s">
        <v>32</v>
      </c>
      <c r="AC482" s="289" t="s">
        <v>377</v>
      </c>
      <c r="AD482" s="287" t="s">
        <v>377</v>
      </c>
      <c r="AE482" s="294" t="s">
        <v>32</v>
      </c>
      <c r="AF482" s="295" t="s">
        <v>32</v>
      </c>
      <c r="AG482" s="287" t="s">
        <v>377</v>
      </c>
      <c r="AH482" s="294" t="s">
        <v>32</v>
      </c>
      <c r="AI482" s="295" t="s">
        <v>32</v>
      </c>
      <c r="AJ482" s="294" t="s">
        <v>32</v>
      </c>
      <c r="AK482" s="294" t="s">
        <v>32</v>
      </c>
      <c r="AL482" s="295" t="s">
        <v>32</v>
      </c>
      <c r="AM482" s="287" t="s">
        <v>377</v>
      </c>
      <c r="AN482" s="287" t="s">
        <v>377</v>
      </c>
      <c r="AO482" s="288" t="s">
        <v>377</v>
      </c>
      <c r="AP482" s="296" t="s">
        <v>32</v>
      </c>
      <c r="AQ482" s="287" t="s">
        <v>377</v>
      </c>
      <c r="AR482" s="287" t="s">
        <v>377</v>
      </c>
      <c r="AS482" s="288" t="s">
        <v>377</v>
      </c>
      <c r="AT482" s="287" t="s">
        <v>377</v>
      </c>
      <c r="AU482" s="294" t="s">
        <v>32</v>
      </c>
      <c r="AV482" s="295" t="s">
        <v>32</v>
      </c>
      <c r="AW482" s="287" t="s">
        <v>377</v>
      </c>
      <c r="AX482" s="294" t="s">
        <v>32</v>
      </c>
      <c r="AY482" s="295" t="s">
        <v>32</v>
      </c>
      <c r="AZ482" s="294" t="s">
        <v>32</v>
      </c>
      <c r="BA482" s="294" t="s">
        <v>32</v>
      </c>
      <c r="BB482" s="295" t="s">
        <v>32</v>
      </c>
      <c r="BC482" s="296" t="s">
        <v>32</v>
      </c>
      <c r="BD482" s="287"/>
    </row>
    <row r="483" ht="12.75" customHeight="1">
      <c r="A483" s="293">
        <v>45259.68331738426</v>
      </c>
      <c r="B483" s="286" t="s">
        <v>525</v>
      </c>
      <c r="C483" s="285" t="s">
        <v>559</v>
      </c>
      <c r="D483" s="285" t="s">
        <v>16</v>
      </c>
      <c r="E483" s="285" t="s">
        <v>577</v>
      </c>
      <c r="F483" s="287" t="s">
        <v>1036</v>
      </c>
      <c r="G483" s="285" t="s">
        <v>21</v>
      </c>
      <c r="H483" s="285">
        <v>17.0</v>
      </c>
      <c r="I483" s="287" t="s">
        <v>497</v>
      </c>
      <c r="J483" s="292"/>
      <c r="K483" s="287" t="s">
        <v>508</v>
      </c>
      <c r="L483" s="287" t="s">
        <v>479</v>
      </c>
      <c r="M483" s="287" t="s">
        <v>481</v>
      </c>
      <c r="N483" s="287" t="s">
        <v>625</v>
      </c>
      <c r="O483" s="285" t="s">
        <v>479</v>
      </c>
      <c r="P483" s="287" t="s">
        <v>796</v>
      </c>
      <c r="Q483" s="294" t="s">
        <v>32</v>
      </c>
      <c r="R483" s="294" t="s">
        <v>32</v>
      </c>
      <c r="S483" s="295" t="s">
        <v>32</v>
      </c>
      <c r="T483" s="287" t="s">
        <v>18</v>
      </c>
      <c r="U483" s="287" t="s">
        <v>18</v>
      </c>
      <c r="V483" s="288" t="s">
        <v>18</v>
      </c>
      <c r="W483" s="287" t="s">
        <v>18</v>
      </c>
      <c r="X483" s="294" t="s">
        <v>32</v>
      </c>
      <c r="Y483" s="288" t="s">
        <v>377</v>
      </c>
      <c r="Z483" s="287" t="s">
        <v>18</v>
      </c>
      <c r="AA483" s="287" t="s">
        <v>377</v>
      </c>
      <c r="AB483" s="288" t="s">
        <v>377</v>
      </c>
      <c r="AC483" s="289" t="s">
        <v>377</v>
      </c>
      <c r="AD483" s="294" t="s">
        <v>32</v>
      </c>
      <c r="AE483" s="287" t="s">
        <v>18</v>
      </c>
      <c r="AF483" s="288" t="s">
        <v>377</v>
      </c>
      <c r="AG483" s="287" t="s">
        <v>377</v>
      </c>
      <c r="AH483" s="294" t="s">
        <v>32</v>
      </c>
      <c r="AI483" s="295" t="s">
        <v>32</v>
      </c>
      <c r="AJ483" s="287" t="s">
        <v>18</v>
      </c>
      <c r="AK483" s="294" t="s">
        <v>32</v>
      </c>
      <c r="AL483" s="288" t="s">
        <v>377</v>
      </c>
      <c r="AM483" s="287" t="s">
        <v>377</v>
      </c>
      <c r="AN483" s="294" t="s">
        <v>32</v>
      </c>
      <c r="AO483" s="295" t="s">
        <v>32</v>
      </c>
      <c r="AP483" s="289" t="s">
        <v>377</v>
      </c>
      <c r="AQ483" s="287" t="s">
        <v>18</v>
      </c>
      <c r="AR483" s="294" t="s">
        <v>32</v>
      </c>
      <c r="AS483" s="288" t="s">
        <v>377</v>
      </c>
      <c r="AT483" s="287" t="s">
        <v>377</v>
      </c>
      <c r="AU483" s="287" t="s">
        <v>18</v>
      </c>
      <c r="AV483" s="288" t="s">
        <v>377</v>
      </c>
      <c r="AW483" s="287" t="s">
        <v>18</v>
      </c>
      <c r="AX483" s="294" t="s">
        <v>32</v>
      </c>
      <c r="AY483" s="288" t="s">
        <v>377</v>
      </c>
      <c r="AZ483" s="294" t="s">
        <v>32</v>
      </c>
      <c r="BA483" s="287" t="s">
        <v>377</v>
      </c>
      <c r="BB483" s="288" t="s">
        <v>377</v>
      </c>
      <c r="BC483" s="289" t="s">
        <v>377</v>
      </c>
      <c r="BD483" s="287"/>
    </row>
    <row r="484" ht="12.75" customHeight="1">
      <c r="A484" s="293">
        <v>45259.68656821759</v>
      </c>
      <c r="B484" s="286" t="s">
        <v>525</v>
      </c>
      <c r="C484" s="285" t="s">
        <v>559</v>
      </c>
      <c r="D484" s="285" t="s">
        <v>16</v>
      </c>
      <c r="E484" s="285" t="s">
        <v>577</v>
      </c>
      <c r="F484" s="287" t="s">
        <v>1037</v>
      </c>
      <c r="G484" s="285" t="s">
        <v>21</v>
      </c>
      <c r="H484" s="285">
        <v>16.0</v>
      </c>
      <c r="I484" s="287" t="s">
        <v>497</v>
      </c>
      <c r="J484" s="292"/>
      <c r="K484" s="287" t="s">
        <v>508</v>
      </c>
      <c r="L484" s="287" t="s">
        <v>479</v>
      </c>
      <c r="M484" s="287" t="s">
        <v>481</v>
      </c>
      <c r="N484" s="287" t="s">
        <v>500</v>
      </c>
      <c r="O484" s="285" t="s">
        <v>497</v>
      </c>
      <c r="P484" s="292"/>
      <c r="Q484" s="294" t="s">
        <v>32</v>
      </c>
      <c r="R484" s="294" t="s">
        <v>32</v>
      </c>
      <c r="S484" s="295" t="s">
        <v>32</v>
      </c>
      <c r="T484" s="294" t="s">
        <v>32</v>
      </c>
      <c r="U484" s="294" t="s">
        <v>32</v>
      </c>
      <c r="V484" s="295" t="s">
        <v>32</v>
      </c>
      <c r="W484" s="287" t="s">
        <v>377</v>
      </c>
      <c r="X484" s="287" t="s">
        <v>377</v>
      </c>
      <c r="Y484" s="288" t="s">
        <v>377</v>
      </c>
      <c r="Z484" s="294" t="s">
        <v>32</v>
      </c>
      <c r="AA484" s="287" t="s">
        <v>377</v>
      </c>
      <c r="AB484" s="295" t="s">
        <v>32</v>
      </c>
      <c r="AC484" s="296" t="s">
        <v>32</v>
      </c>
      <c r="AD484" s="287" t="s">
        <v>377</v>
      </c>
      <c r="AE484" s="287" t="s">
        <v>377</v>
      </c>
      <c r="AF484" s="288" t="s">
        <v>377</v>
      </c>
      <c r="AG484" s="287" t="s">
        <v>377</v>
      </c>
      <c r="AH484" s="287" t="s">
        <v>377</v>
      </c>
      <c r="AI484" s="288" t="s">
        <v>377</v>
      </c>
      <c r="AJ484" s="287" t="s">
        <v>377</v>
      </c>
      <c r="AK484" s="287" t="s">
        <v>377</v>
      </c>
      <c r="AL484" s="288" t="s">
        <v>377</v>
      </c>
      <c r="AM484" s="287" t="s">
        <v>377</v>
      </c>
      <c r="AN484" s="287" t="s">
        <v>377</v>
      </c>
      <c r="AO484" s="288" t="s">
        <v>377</v>
      </c>
      <c r="AP484" s="289" t="s">
        <v>377</v>
      </c>
      <c r="AQ484" s="287" t="s">
        <v>377</v>
      </c>
      <c r="AR484" s="287" t="s">
        <v>377</v>
      </c>
      <c r="AS484" s="288" t="s">
        <v>377</v>
      </c>
      <c r="AT484" s="287" t="s">
        <v>377</v>
      </c>
      <c r="AU484" s="287" t="s">
        <v>377</v>
      </c>
      <c r="AV484" s="288" t="s">
        <v>377</v>
      </c>
      <c r="AW484" s="287" t="s">
        <v>377</v>
      </c>
      <c r="AX484" s="287" t="s">
        <v>377</v>
      </c>
      <c r="AY484" s="288" t="s">
        <v>377</v>
      </c>
      <c r="AZ484" s="287" t="s">
        <v>377</v>
      </c>
      <c r="BA484" s="287" t="s">
        <v>377</v>
      </c>
      <c r="BB484" s="295" t="s">
        <v>32</v>
      </c>
      <c r="BC484" s="296" t="s">
        <v>32</v>
      </c>
      <c r="BD484" s="287"/>
    </row>
    <row r="485" ht="12.75" customHeight="1">
      <c r="A485" s="293">
        <v>45259.69075222222</v>
      </c>
      <c r="B485" s="286" t="s">
        <v>525</v>
      </c>
      <c r="C485" s="285" t="s">
        <v>559</v>
      </c>
      <c r="D485" s="285" t="s">
        <v>16</v>
      </c>
      <c r="E485" s="285" t="s">
        <v>577</v>
      </c>
      <c r="F485" s="287" t="s">
        <v>1038</v>
      </c>
      <c r="G485" s="285" t="s">
        <v>17</v>
      </c>
      <c r="H485" s="285">
        <v>16.0</v>
      </c>
      <c r="I485" s="287" t="s">
        <v>497</v>
      </c>
      <c r="J485" s="292"/>
      <c r="K485" s="287" t="s">
        <v>508</v>
      </c>
      <c r="L485" s="287" t="s">
        <v>479</v>
      </c>
      <c r="M485" s="287" t="s">
        <v>495</v>
      </c>
      <c r="N485" s="287" t="s">
        <v>625</v>
      </c>
      <c r="O485" s="285" t="s">
        <v>497</v>
      </c>
      <c r="P485" s="292"/>
      <c r="Q485" s="287" t="s">
        <v>377</v>
      </c>
      <c r="R485" s="287" t="s">
        <v>377</v>
      </c>
      <c r="S485" s="288" t="s">
        <v>377</v>
      </c>
      <c r="T485" s="287" t="s">
        <v>377</v>
      </c>
      <c r="U485" s="294" t="s">
        <v>32</v>
      </c>
      <c r="V485" s="295" t="s">
        <v>32</v>
      </c>
      <c r="W485" s="287" t="s">
        <v>377</v>
      </c>
      <c r="X485" s="294" t="s">
        <v>32</v>
      </c>
      <c r="Y485" s="295" t="s">
        <v>32</v>
      </c>
      <c r="Z485" s="287" t="s">
        <v>377</v>
      </c>
      <c r="AA485" s="294" t="s">
        <v>32</v>
      </c>
      <c r="AB485" s="295" t="s">
        <v>32</v>
      </c>
      <c r="AC485" s="289" t="s">
        <v>377</v>
      </c>
      <c r="AD485" s="287" t="s">
        <v>377</v>
      </c>
      <c r="AE485" s="294" t="s">
        <v>32</v>
      </c>
      <c r="AF485" s="295" t="s">
        <v>32</v>
      </c>
      <c r="AG485" s="287" t="s">
        <v>377</v>
      </c>
      <c r="AH485" s="287" t="s">
        <v>18</v>
      </c>
      <c r="AI485" s="288" t="s">
        <v>377</v>
      </c>
      <c r="AJ485" s="287" t="s">
        <v>377</v>
      </c>
      <c r="AK485" s="294" t="s">
        <v>32</v>
      </c>
      <c r="AL485" s="295" t="s">
        <v>32</v>
      </c>
      <c r="AM485" s="287" t="s">
        <v>18</v>
      </c>
      <c r="AN485" s="287" t="s">
        <v>377</v>
      </c>
      <c r="AO485" s="288" t="s">
        <v>377</v>
      </c>
      <c r="AP485" s="289" t="s">
        <v>377</v>
      </c>
      <c r="AQ485" s="287" t="s">
        <v>377</v>
      </c>
      <c r="AR485" s="287" t="s">
        <v>18</v>
      </c>
      <c r="AS485" s="288" t="s">
        <v>377</v>
      </c>
      <c r="AT485" s="294" t="s">
        <v>32</v>
      </c>
      <c r="AU485" s="294" t="s">
        <v>32</v>
      </c>
      <c r="AV485" s="295" t="s">
        <v>32</v>
      </c>
      <c r="AW485" s="287" t="s">
        <v>377</v>
      </c>
      <c r="AX485" s="294" t="s">
        <v>32</v>
      </c>
      <c r="AY485" s="295" t="s">
        <v>32</v>
      </c>
      <c r="AZ485" s="294" t="s">
        <v>32</v>
      </c>
      <c r="BA485" s="294" t="s">
        <v>32</v>
      </c>
      <c r="BB485" s="295" t="s">
        <v>32</v>
      </c>
      <c r="BC485" s="296" t="s">
        <v>32</v>
      </c>
      <c r="BD485" s="287"/>
    </row>
    <row r="486" ht="12.75" customHeight="1">
      <c r="A486" s="293">
        <v>45259.697277071755</v>
      </c>
      <c r="B486" s="286" t="s">
        <v>525</v>
      </c>
      <c r="C486" s="285" t="s">
        <v>559</v>
      </c>
      <c r="D486" s="285" t="s">
        <v>16</v>
      </c>
      <c r="E486" s="285" t="s">
        <v>577</v>
      </c>
      <c r="F486" s="287" t="s">
        <v>1039</v>
      </c>
      <c r="G486" s="285" t="s">
        <v>17</v>
      </c>
      <c r="H486" s="285">
        <v>15.0</v>
      </c>
      <c r="I486" s="287" t="s">
        <v>497</v>
      </c>
      <c r="J486" s="292"/>
      <c r="K486" s="287" t="s">
        <v>508</v>
      </c>
      <c r="L486" s="287" t="s">
        <v>479</v>
      </c>
      <c r="M486" s="287" t="s">
        <v>483</v>
      </c>
      <c r="N486" s="287" t="s">
        <v>483</v>
      </c>
      <c r="O486" s="285" t="s">
        <v>497</v>
      </c>
      <c r="P486" s="292"/>
      <c r="Q486" s="294" t="s">
        <v>32</v>
      </c>
      <c r="R486" s="287" t="s">
        <v>377</v>
      </c>
      <c r="S486" s="295" t="s">
        <v>32</v>
      </c>
      <c r="T486" s="287" t="s">
        <v>377</v>
      </c>
      <c r="U486" s="294" t="s">
        <v>32</v>
      </c>
      <c r="V486" s="295" t="s">
        <v>32</v>
      </c>
      <c r="W486" s="287" t="s">
        <v>377</v>
      </c>
      <c r="X486" s="287" t="s">
        <v>377</v>
      </c>
      <c r="Y486" s="288" t="s">
        <v>377</v>
      </c>
      <c r="Z486" s="294" t="s">
        <v>32</v>
      </c>
      <c r="AA486" s="294" t="s">
        <v>32</v>
      </c>
      <c r="AB486" s="295" t="s">
        <v>32</v>
      </c>
      <c r="AC486" s="296" t="s">
        <v>32</v>
      </c>
      <c r="AD486" s="294" t="s">
        <v>32</v>
      </c>
      <c r="AE486" s="287" t="s">
        <v>377</v>
      </c>
      <c r="AF486" s="295" t="s">
        <v>32</v>
      </c>
      <c r="AG486" s="287" t="s">
        <v>377</v>
      </c>
      <c r="AH486" s="287" t="s">
        <v>377</v>
      </c>
      <c r="AI486" s="288" t="s">
        <v>377</v>
      </c>
      <c r="AJ486" s="294" t="s">
        <v>32</v>
      </c>
      <c r="AK486" s="287" t="s">
        <v>377</v>
      </c>
      <c r="AL486" s="295" t="s">
        <v>32</v>
      </c>
      <c r="AM486" s="287" t="s">
        <v>377</v>
      </c>
      <c r="AN486" s="287" t="s">
        <v>377</v>
      </c>
      <c r="AO486" s="288" t="s">
        <v>377</v>
      </c>
      <c r="AP486" s="289" t="s">
        <v>377</v>
      </c>
      <c r="AQ486" s="287" t="s">
        <v>18</v>
      </c>
      <c r="AR486" s="287" t="s">
        <v>377</v>
      </c>
      <c r="AS486" s="288" t="s">
        <v>377</v>
      </c>
      <c r="AT486" s="294" t="s">
        <v>32</v>
      </c>
      <c r="AU486" s="294" t="s">
        <v>32</v>
      </c>
      <c r="AV486" s="295" t="s">
        <v>32</v>
      </c>
      <c r="AW486" s="287" t="s">
        <v>377</v>
      </c>
      <c r="AX486" s="287" t="s">
        <v>377</v>
      </c>
      <c r="AY486" s="288" t="s">
        <v>377</v>
      </c>
      <c r="AZ486" s="287" t="s">
        <v>377</v>
      </c>
      <c r="BA486" s="294" t="s">
        <v>32</v>
      </c>
      <c r="BB486" s="288" t="s">
        <v>377</v>
      </c>
      <c r="BC486" s="289" t="s">
        <v>377</v>
      </c>
      <c r="BD486" s="287"/>
    </row>
    <row r="487" ht="12.75" customHeight="1">
      <c r="A487" s="293">
        <v>45259.70844181713</v>
      </c>
      <c r="B487" s="286" t="s">
        <v>525</v>
      </c>
      <c r="C487" s="285" t="s">
        <v>559</v>
      </c>
      <c r="D487" s="285" t="s">
        <v>16</v>
      </c>
      <c r="E487" s="285" t="s">
        <v>577</v>
      </c>
      <c r="F487" s="287" t="s">
        <v>1040</v>
      </c>
      <c r="G487" s="285" t="s">
        <v>21</v>
      </c>
      <c r="H487" s="285">
        <v>16.0</v>
      </c>
      <c r="I487" s="287" t="s">
        <v>497</v>
      </c>
      <c r="J487" s="292"/>
      <c r="K487" s="287" t="s">
        <v>508</v>
      </c>
      <c r="L487" s="287" t="s">
        <v>479</v>
      </c>
      <c r="M487" s="287" t="s">
        <v>500</v>
      </c>
      <c r="N487" s="287" t="s">
        <v>500</v>
      </c>
      <c r="O487" s="285" t="s">
        <v>497</v>
      </c>
      <c r="P487" s="292"/>
      <c r="Q487" s="287" t="s">
        <v>377</v>
      </c>
      <c r="R487" s="294" t="s">
        <v>32</v>
      </c>
      <c r="S487" s="295" t="s">
        <v>32</v>
      </c>
      <c r="T487" s="287" t="s">
        <v>377</v>
      </c>
      <c r="U487" s="294" t="s">
        <v>32</v>
      </c>
      <c r="V487" s="295" t="s">
        <v>32</v>
      </c>
      <c r="W487" s="287" t="s">
        <v>377</v>
      </c>
      <c r="X487" s="287" t="s">
        <v>377</v>
      </c>
      <c r="Y487" s="288" t="s">
        <v>377</v>
      </c>
      <c r="Z487" s="294" t="s">
        <v>32</v>
      </c>
      <c r="AA487" s="287" t="s">
        <v>377</v>
      </c>
      <c r="AB487" s="295" t="s">
        <v>32</v>
      </c>
      <c r="AC487" s="289" t="s">
        <v>377</v>
      </c>
      <c r="AD487" s="287" t="s">
        <v>377</v>
      </c>
      <c r="AE487" s="294" t="s">
        <v>32</v>
      </c>
      <c r="AF487" s="295" t="s">
        <v>32</v>
      </c>
      <c r="AG487" s="287" t="s">
        <v>377</v>
      </c>
      <c r="AH487" s="294" t="s">
        <v>32</v>
      </c>
      <c r="AI487" s="295" t="s">
        <v>32</v>
      </c>
      <c r="AJ487" s="287" t="s">
        <v>377</v>
      </c>
      <c r="AK487" s="287" t="s">
        <v>377</v>
      </c>
      <c r="AL487" s="288" t="s">
        <v>377</v>
      </c>
      <c r="AM487" s="287" t="s">
        <v>377</v>
      </c>
      <c r="AN487" s="287" t="s">
        <v>377</v>
      </c>
      <c r="AO487" s="288" t="s">
        <v>377</v>
      </c>
      <c r="AP487" s="289" t="s">
        <v>377</v>
      </c>
      <c r="AQ487" s="287" t="s">
        <v>377</v>
      </c>
      <c r="AR487" s="294" t="s">
        <v>32</v>
      </c>
      <c r="AS487" s="295" t="s">
        <v>32</v>
      </c>
      <c r="AT487" s="287" t="s">
        <v>377</v>
      </c>
      <c r="AU487" s="294" t="s">
        <v>32</v>
      </c>
      <c r="AV487" s="295" t="s">
        <v>32</v>
      </c>
      <c r="AW487" s="287" t="s">
        <v>377</v>
      </c>
      <c r="AX487" s="294" t="s">
        <v>32</v>
      </c>
      <c r="AY487" s="295" t="s">
        <v>32</v>
      </c>
      <c r="AZ487" s="294" t="s">
        <v>32</v>
      </c>
      <c r="BA487" s="294" t="s">
        <v>32</v>
      </c>
      <c r="BB487" s="295" t="s">
        <v>32</v>
      </c>
      <c r="BC487" s="296" t="s">
        <v>32</v>
      </c>
      <c r="BD487" s="287"/>
    </row>
    <row r="488" ht="12.75" customHeight="1">
      <c r="A488" s="293">
        <v>45259.711922511575</v>
      </c>
      <c r="B488" s="286" t="s">
        <v>525</v>
      </c>
      <c r="C488" s="285" t="s">
        <v>559</v>
      </c>
      <c r="D488" s="285" t="s">
        <v>16</v>
      </c>
      <c r="E488" s="285" t="s">
        <v>577</v>
      </c>
      <c r="F488" s="287" t="s">
        <v>1041</v>
      </c>
      <c r="G488" s="285" t="s">
        <v>17</v>
      </c>
      <c r="H488" s="285">
        <v>15.0</v>
      </c>
      <c r="I488" s="287" t="s">
        <v>497</v>
      </c>
      <c r="J488" s="292"/>
      <c r="K488" s="287" t="s">
        <v>508</v>
      </c>
      <c r="L488" s="287" t="s">
        <v>479</v>
      </c>
      <c r="M488" s="287" t="s">
        <v>500</v>
      </c>
      <c r="N488" s="287" t="s">
        <v>500</v>
      </c>
      <c r="O488" s="285" t="s">
        <v>497</v>
      </c>
      <c r="P488" s="292"/>
      <c r="Q488" s="287" t="s">
        <v>377</v>
      </c>
      <c r="R488" s="287" t="s">
        <v>377</v>
      </c>
      <c r="S488" s="288" t="s">
        <v>377</v>
      </c>
      <c r="T488" s="287" t="s">
        <v>18</v>
      </c>
      <c r="U488" s="294" t="s">
        <v>32</v>
      </c>
      <c r="V488" s="288" t="s">
        <v>377</v>
      </c>
      <c r="W488" s="287" t="s">
        <v>377</v>
      </c>
      <c r="X488" s="287" t="s">
        <v>377</v>
      </c>
      <c r="Y488" s="288" t="s">
        <v>377</v>
      </c>
      <c r="Z488" s="287" t="s">
        <v>377</v>
      </c>
      <c r="AA488" s="294" t="s">
        <v>32</v>
      </c>
      <c r="AB488" s="295" t="s">
        <v>32</v>
      </c>
      <c r="AC488" s="289" t="s">
        <v>377</v>
      </c>
      <c r="AD488" s="287" t="s">
        <v>377</v>
      </c>
      <c r="AE488" s="294" t="s">
        <v>32</v>
      </c>
      <c r="AF488" s="295" t="s">
        <v>32</v>
      </c>
      <c r="AG488" s="287" t="s">
        <v>377</v>
      </c>
      <c r="AH488" s="287" t="s">
        <v>377</v>
      </c>
      <c r="AI488" s="288" t="s">
        <v>377</v>
      </c>
      <c r="AJ488" s="294" t="s">
        <v>32</v>
      </c>
      <c r="AK488" s="287" t="s">
        <v>377</v>
      </c>
      <c r="AL488" s="295" t="s">
        <v>32</v>
      </c>
      <c r="AM488" s="287" t="s">
        <v>377</v>
      </c>
      <c r="AN488" s="287" t="s">
        <v>377</v>
      </c>
      <c r="AO488" s="288" t="s">
        <v>377</v>
      </c>
      <c r="AP488" s="289" t="s">
        <v>377</v>
      </c>
      <c r="AQ488" s="287" t="s">
        <v>377</v>
      </c>
      <c r="AR488" s="287" t="s">
        <v>377</v>
      </c>
      <c r="AS488" s="288" t="s">
        <v>377</v>
      </c>
      <c r="AT488" s="294" t="s">
        <v>32</v>
      </c>
      <c r="AU488" s="294" t="s">
        <v>32</v>
      </c>
      <c r="AV488" s="295" t="s">
        <v>32</v>
      </c>
      <c r="AW488" s="294" t="s">
        <v>32</v>
      </c>
      <c r="AX488" s="287" t="s">
        <v>377</v>
      </c>
      <c r="AY488" s="295" t="s">
        <v>32</v>
      </c>
      <c r="AZ488" s="287" t="s">
        <v>377</v>
      </c>
      <c r="BA488" s="287" t="s">
        <v>377</v>
      </c>
      <c r="BB488" s="295" t="s">
        <v>32</v>
      </c>
      <c r="BC488" s="296" t="s">
        <v>32</v>
      </c>
      <c r="BD488" s="287"/>
    </row>
    <row r="489" ht="12.75" customHeight="1">
      <c r="A489" s="293">
        <v>45259.71491814815</v>
      </c>
      <c r="B489" s="286" t="s">
        <v>525</v>
      </c>
      <c r="C489" s="285" t="s">
        <v>559</v>
      </c>
      <c r="D489" s="285" t="s">
        <v>16</v>
      </c>
      <c r="E489" s="285" t="s">
        <v>577</v>
      </c>
      <c r="F489" s="287" t="s">
        <v>1042</v>
      </c>
      <c r="G489" s="285" t="s">
        <v>21</v>
      </c>
      <c r="H489" s="285">
        <v>17.0</v>
      </c>
      <c r="I489" s="287" t="s">
        <v>497</v>
      </c>
      <c r="J489" s="292"/>
      <c r="K489" s="287" t="s">
        <v>508</v>
      </c>
      <c r="L489" s="287" t="s">
        <v>479</v>
      </c>
      <c r="M489" s="287" t="s">
        <v>490</v>
      </c>
      <c r="N489" s="287" t="s">
        <v>483</v>
      </c>
      <c r="O489" s="285" t="s">
        <v>497</v>
      </c>
      <c r="P489" s="292"/>
      <c r="Q489" s="294" t="s">
        <v>32</v>
      </c>
      <c r="R489" s="287" t="s">
        <v>377</v>
      </c>
      <c r="S489" s="295" t="s">
        <v>32</v>
      </c>
      <c r="T489" s="287" t="s">
        <v>377</v>
      </c>
      <c r="U489" s="287" t="s">
        <v>377</v>
      </c>
      <c r="V489" s="288" t="s">
        <v>377</v>
      </c>
      <c r="W489" s="287" t="s">
        <v>377</v>
      </c>
      <c r="X489" s="287" t="s">
        <v>377</v>
      </c>
      <c r="Y489" s="288" t="s">
        <v>377</v>
      </c>
      <c r="Z489" s="287" t="s">
        <v>377</v>
      </c>
      <c r="AA489" s="287" t="s">
        <v>377</v>
      </c>
      <c r="AB489" s="288" t="s">
        <v>377</v>
      </c>
      <c r="AC489" s="289" t="s">
        <v>377</v>
      </c>
      <c r="AD489" s="287" t="s">
        <v>377</v>
      </c>
      <c r="AE489" s="294" t="s">
        <v>32</v>
      </c>
      <c r="AF489" s="295" t="s">
        <v>32</v>
      </c>
      <c r="AG489" s="287" t="s">
        <v>377</v>
      </c>
      <c r="AH489" s="294" t="s">
        <v>32</v>
      </c>
      <c r="AI489" s="295" t="s">
        <v>32</v>
      </c>
      <c r="AJ489" s="294" t="s">
        <v>32</v>
      </c>
      <c r="AK489" s="294" t="s">
        <v>32</v>
      </c>
      <c r="AL489" s="295" t="s">
        <v>32</v>
      </c>
      <c r="AM489" s="287" t="s">
        <v>377</v>
      </c>
      <c r="AN489" s="287" t="s">
        <v>377</v>
      </c>
      <c r="AO489" s="288" t="s">
        <v>377</v>
      </c>
      <c r="AP489" s="296" t="s">
        <v>32</v>
      </c>
      <c r="AQ489" s="294" t="s">
        <v>32</v>
      </c>
      <c r="AR489" s="294" t="s">
        <v>32</v>
      </c>
      <c r="AS489" s="295" t="s">
        <v>32</v>
      </c>
      <c r="AT489" s="294" t="s">
        <v>32</v>
      </c>
      <c r="AU489" s="294" t="s">
        <v>32</v>
      </c>
      <c r="AV489" s="295" t="s">
        <v>32</v>
      </c>
      <c r="AW489" s="287" t="s">
        <v>377</v>
      </c>
      <c r="AX489" s="287" t="s">
        <v>377</v>
      </c>
      <c r="AY489" s="288" t="s">
        <v>377</v>
      </c>
      <c r="AZ489" s="294" t="s">
        <v>32</v>
      </c>
      <c r="BA489" s="294" t="s">
        <v>32</v>
      </c>
      <c r="BB489" s="295" t="s">
        <v>32</v>
      </c>
      <c r="BC489" s="296" t="s">
        <v>32</v>
      </c>
      <c r="BD489" s="287"/>
    </row>
    <row r="490" ht="12.75" customHeight="1">
      <c r="A490" s="293">
        <v>45259.72096597222</v>
      </c>
      <c r="B490" s="286" t="s">
        <v>525</v>
      </c>
      <c r="C490" s="285" t="s">
        <v>559</v>
      </c>
      <c r="D490" s="285" t="s">
        <v>16</v>
      </c>
      <c r="E490" s="285" t="s">
        <v>577</v>
      </c>
      <c r="F490" s="287" t="s">
        <v>1043</v>
      </c>
      <c r="G490" s="285" t="s">
        <v>17</v>
      </c>
      <c r="H490" s="285">
        <v>16.0</v>
      </c>
      <c r="I490" s="287" t="s">
        <v>497</v>
      </c>
      <c r="J490" s="292"/>
      <c r="K490" s="287" t="s">
        <v>508</v>
      </c>
      <c r="L490" s="287" t="s">
        <v>479</v>
      </c>
      <c r="M490" s="287" t="s">
        <v>483</v>
      </c>
      <c r="N490" s="287" t="s">
        <v>483</v>
      </c>
      <c r="O490" s="285" t="s">
        <v>479</v>
      </c>
      <c r="P490" s="287" t="s">
        <v>788</v>
      </c>
      <c r="Q490" s="287" t="s">
        <v>377</v>
      </c>
      <c r="R490" s="287" t="s">
        <v>377</v>
      </c>
      <c r="S490" s="288" t="s">
        <v>377</v>
      </c>
      <c r="T490" s="287" t="s">
        <v>377</v>
      </c>
      <c r="U490" s="294" t="s">
        <v>32</v>
      </c>
      <c r="V490" s="295" t="s">
        <v>32</v>
      </c>
      <c r="W490" s="287" t="s">
        <v>377</v>
      </c>
      <c r="X490" s="294" t="s">
        <v>32</v>
      </c>
      <c r="Y490" s="295" t="s">
        <v>32</v>
      </c>
      <c r="Z490" s="287" t="s">
        <v>377</v>
      </c>
      <c r="AA490" s="287" t="s">
        <v>377</v>
      </c>
      <c r="AB490" s="288" t="s">
        <v>377</v>
      </c>
      <c r="AC490" s="289" t="s">
        <v>377</v>
      </c>
      <c r="AD490" s="287" t="s">
        <v>377</v>
      </c>
      <c r="AE490" s="294" t="s">
        <v>32</v>
      </c>
      <c r="AF490" s="295" t="s">
        <v>32</v>
      </c>
      <c r="AG490" s="294" t="s">
        <v>32</v>
      </c>
      <c r="AH490" s="294" t="s">
        <v>32</v>
      </c>
      <c r="AI490" s="295" t="s">
        <v>32</v>
      </c>
      <c r="AJ490" s="287" t="s">
        <v>377</v>
      </c>
      <c r="AK490" s="287" t="s">
        <v>377</v>
      </c>
      <c r="AL490" s="288" t="s">
        <v>377</v>
      </c>
      <c r="AM490" s="287" t="s">
        <v>377</v>
      </c>
      <c r="AN490" s="287" t="s">
        <v>377</v>
      </c>
      <c r="AO490" s="288" t="s">
        <v>377</v>
      </c>
      <c r="AP490" s="289" t="s">
        <v>377</v>
      </c>
      <c r="AQ490" s="294" t="s">
        <v>32</v>
      </c>
      <c r="AR490" s="294" t="s">
        <v>32</v>
      </c>
      <c r="AS490" s="295" t="s">
        <v>32</v>
      </c>
      <c r="AT490" s="287" t="s">
        <v>377</v>
      </c>
      <c r="AU490" s="294" t="s">
        <v>32</v>
      </c>
      <c r="AV490" s="295" t="s">
        <v>32</v>
      </c>
      <c r="AW490" s="294" t="s">
        <v>32</v>
      </c>
      <c r="AX490" s="287" t="s">
        <v>377</v>
      </c>
      <c r="AY490" s="295" t="s">
        <v>32</v>
      </c>
      <c r="AZ490" s="287" t="s">
        <v>377</v>
      </c>
      <c r="BA490" s="287" t="s">
        <v>377</v>
      </c>
      <c r="BB490" s="288" t="s">
        <v>377</v>
      </c>
      <c r="BC490" s="289" t="s">
        <v>377</v>
      </c>
      <c r="BD490" s="287"/>
    </row>
    <row r="491" ht="12.75" customHeight="1">
      <c r="A491" s="293">
        <v>45259.72400864583</v>
      </c>
      <c r="B491" s="286" t="s">
        <v>525</v>
      </c>
      <c r="C491" s="285" t="s">
        <v>559</v>
      </c>
      <c r="D491" s="285" t="s">
        <v>16</v>
      </c>
      <c r="E491" s="285" t="s">
        <v>577</v>
      </c>
      <c r="F491" s="287" t="s">
        <v>1044</v>
      </c>
      <c r="G491" s="285" t="s">
        <v>21</v>
      </c>
      <c r="H491" s="285">
        <v>15.0</v>
      </c>
      <c r="I491" s="287" t="s">
        <v>497</v>
      </c>
      <c r="J491" s="292"/>
      <c r="K491" s="287" t="s">
        <v>508</v>
      </c>
      <c r="L491" s="287" t="s">
        <v>479</v>
      </c>
      <c r="M491" s="287" t="s">
        <v>483</v>
      </c>
      <c r="N491" s="287" t="s">
        <v>483</v>
      </c>
      <c r="O491" s="285" t="s">
        <v>497</v>
      </c>
      <c r="P491" s="292"/>
      <c r="Q491" s="294" t="s">
        <v>32</v>
      </c>
      <c r="R491" s="287" t="s">
        <v>377</v>
      </c>
      <c r="S491" s="295" t="s">
        <v>32</v>
      </c>
      <c r="T491" s="287" t="s">
        <v>377</v>
      </c>
      <c r="U491" s="287" t="s">
        <v>377</v>
      </c>
      <c r="V491" s="288" t="s">
        <v>377</v>
      </c>
      <c r="W491" s="287" t="s">
        <v>377</v>
      </c>
      <c r="X491" s="287" t="s">
        <v>377</v>
      </c>
      <c r="Y491" s="288" t="s">
        <v>377</v>
      </c>
      <c r="Z491" s="287" t="s">
        <v>377</v>
      </c>
      <c r="AA491" s="287" t="s">
        <v>377</v>
      </c>
      <c r="AB491" s="288" t="s">
        <v>377</v>
      </c>
      <c r="AC491" s="289" t="s">
        <v>377</v>
      </c>
      <c r="AD491" s="287" t="s">
        <v>377</v>
      </c>
      <c r="AE491" s="287" t="s">
        <v>377</v>
      </c>
      <c r="AF491" s="288" t="s">
        <v>377</v>
      </c>
      <c r="AG491" s="287" t="s">
        <v>377</v>
      </c>
      <c r="AH491" s="287" t="s">
        <v>377</v>
      </c>
      <c r="AI491" s="288" t="s">
        <v>377</v>
      </c>
      <c r="AJ491" s="287" t="s">
        <v>377</v>
      </c>
      <c r="AK491" s="287" t="s">
        <v>377</v>
      </c>
      <c r="AL491" s="288" t="s">
        <v>377</v>
      </c>
      <c r="AM491" s="287" t="s">
        <v>377</v>
      </c>
      <c r="AN491" s="287" t="s">
        <v>377</v>
      </c>
      <c r="AO491" s="288" t="s">
        <v>377</v>
      </c>
      <c r="AP491" s="289" t="s">
        <v>377</v>
      </c>
      <c r="AQ491" s="287" t="s">
        <v>377</v>
      </c>
      <c r="AR491" s="294" t="s">
        <v>32</v>
      </c>
      <c r="AS491" s="295" t="s">
        <v>32</v>
      </c>
      <c r="AT491" s="294" t="s">
        <v>32</v>
      </c>
      <c r="AU491" s="294" t="s">
        <v>32</v>
      </c>
      <c r="AV491" s="295" t="s">
        <v>32</v>
      </c>
      <c r="AW491" s="287" t="s">
        <v>377</v>
      </c>
      <c r="AX491" s="287" t="s">
        <v>377</v>
      </c>
      <c r="AY491" s="288" t="s">
        <v>377</v>
      </c>
      <c r="AZ491" s="287" t="s">
        <v>377</v>
      </c>
      <c r="BA491" s="287" t="s">
        <v>377</v>
      </c>
      <c r="BB491" s="288" t="s">
        <v>377</v>
      </c>
      <c r="BC491" s="289" t="s">
        <v>377</v>
      </c>
      <c r="BD491" s="287"/>
    </row>
    <row r="492" ht="12.75" customHeight="1">
      <c r="A492" s="293">
        <v>45259.727352256945</v>
      </c>
      <c r="B492" s="286" t="s">
        <v>525</v>
      </c>
      <c r="C492" s="285" t="s">
        <v>559</v>
      </c>
      <c r="D492" s="285" t="s">
        <v>16</v>
      </c>
      <c r="E492" s="285" t="s">
        <v>577</v>
      </c>
      <c r="F492" s="287" t="s">
        <v>1045</v>
      </c>
      <c r="G492" s="285" t="s">
        <v>21</v>
      </c>
      <c r="H492" s="285">
        <v>16.0</v>
      </c>
      <c r="I492" s="287" t="s">
        <v>497</v>
      </c>
      <c r="J492" s="292"/>
      <c r="K492" s="287" t="s">
        <v>508</v>
      </c>
      <c r="L492" s="287" t="s">
        <v>479</v>
      </c>
      <c r="M492" s="287" t="s">
        <v>483</v>
      </c>
      <c r="N492" s="287" t="s">
        <v>483</v>
      </c>
      <c r="O492" s="285" t="s">
        <v>497</v>
      </c>
      <c r="P492" s="292"/>
      <c r="Q492" s="294" t="s">
        <v>32</v>
      </c>
      <c r="R492" s="294" t="s">
        <v>32</v>
      </c>
      <c r="S492" s="295" t="s">
        <v>32</v>
      </c>
      <c r="T492" s="294" t="s">
        <v>32</v>
      </c>
      <c r="U492" s="294" t="s">
        <v>32</v>
      </c>
      <c r="V492" s="295" t="s">
        <v>32</v>
      </c>
      <c r="W492" s="287" t="s">
        <v>377</v>
      </c>
      <c r="X492" s="294" t="s">
        <v>32</v>
      </c>
      <c r="Y492" s="295" t="s">
        <v>32</v>
      </c>
      <c r="Z492" s="294" t="s">
        <v>32</v>
      </c>
      <c r="AA492" s="287" t="s">
        <v>18</v>
      </c>
      <c r="AB492" s="288" t="s">
        <v>377</v>
      </c>
      <c r="AC492" s="296" t="s">
        <v>32</v>
      </c>
      <c r="AD492" s="287" t="s">
        <v>18</v>
      </c>
      <c r="AE492" s="294" t="s">
        <v>32</v>
      </c>
      <c r="AF492" s="288" t="s">
        <v>377</v>
      </c>
      <c r="AG492" s="287" t="s">
        <v>18</v>
      </c>
      <c r="AH492" s="287" t="s">
        <v>18</v>
      </c>
      <c r="AI492" s="288" t="s">
        <v>18</v>
      </c>
      <c r="AJ492" s="294" t="s">
        <v>32</v>
      </c>
      <c r="AK492" s="287" t="s">
        <v>18</v>
      </c>
      <c r="AL492" s="288" t="s">
        <v>377</v>
      </c>
      <c r="AM492" s="287" t="s">
        <v>377</v>
      </c>
      <c r="AN492" s="287" t="s">
        <v>18</v>
      </c>
      <c r="AO492" s="288" t="s">
        <v>377</v>
      </c>
      <c r="AP492" s="289" t="s">
        <v>377</v>
      </c>
      <c r="AQ492" s="287" t="s">
        <v>18</v>
      </c>
      <c r="AR492" s="287" t="s">
        <v>377</v>
      </c>
      <c r="AS492" s="288" t="s">
        <v>377</v>
      </c>
      <c r="AT492" s="294" t="s">
        <v>32</v>
      </c>
      <c r="AU492" s="294" t="s">
        <v>32</v>
      </c>
      <c r="AV492" s="295" t="s">
        <v>32</v>
      </c>
      <c r="AW492" s="294" t="s">
        <v>32</v>
      </c>
      <c r="AX492" s="287" t="s">
        <v>18</v>
      </c>
      <c r="AY492" s="288" t="s">
        <v>377</v>
      </c>
      <c r="AZ492" s="294" t="s">
        <v>32</v>
      </c>
      <c r="BA492" s="287" t="s">
        <v>18</v>
      </c>
      <c r="BB492" s="295" t="s">
        <v>32</v>
      </c>
      <c r="BC492" s="289" t="s">
        <v>377</v>
      </c>
      <c r="BD492" s="287"/>
    </row>
    <row r="493" ht="12.75" customHeight="1">
      <c r="A493" s="293">
        <v>45259.730318518516</v>
      </c>
      <c r="B493" s="286" t="s">
        <v>525</v>
      </c>
      <c r="C493" s="285" t="s">
        <v>559</v>
      </c>
      <c r="D493" s="285" t="s">
        <v>16</v>
      </c>
      <c r="E493" s="285" t="s">
        <v>577</v>
      </c>
      <c r="F493" s="287" t="s">
        <v>1046</v>
      </c>
      <c r="G493" s="285" t="s">
        <v>21</v>
      </c>
      <c r="H493" s="285">
        <v>16.0</v>
      </c>
      <c r="I493" s="287" t="s">
        <v>497</v>
      </c>
      <c r="J493" s="292"/>
      <c r="K493" s="287" t="s">
        <v>508</v>
      </c>
      <c r="L493" s="287" t="s">
        <v>479</v>
      </c>
      <c r="M493" s="287" t="s">
        <v>483</v>
      </c>
      <c r="N493" s="287" t="s">
        <v>483</v>
      </c>
      <c r="O493" s="285" t="s">
        <v>497</v>
      </c>
      <c r="P493" s="292"/>
      <c r="Q493" s="287" t="s">
        <v>377</v>
      </c>
      <c r="R493" s="287" t="s">
        <v>377</v>
      </c>
      <c r="S493" s="288" t="s">
        <v>377</v>
      </c>
      <c r="T493" s="294" t="s">
        <v>32</v>
      </c>
      <c r="U493" s="287" t="s">
        <v>377</v>
      </c>
      <c r="V493" s="295" t="s">
        <v>32</v>
      </c>
      <c r="W493" s="287" t="s">
        <v>377</v>
      </c>
      <c r="X493" s="287" t="s">
        <v>377</v>
      </c>
      <c r="Y493" s="288" t="s">
        <v>377</v>
      </c>
      <c r="Z493" s="294" t="s">
        <v>32</v>
      </c>
      <c r="AA493" s="287" t="s">
        <v>377</v>
      </c>
      <c r="AB493" s="295" t="s">
        <v>32</v>
      </c>
      <c r="AC493" s="289" t="s">
        <v>377</v>
      </c>
      <c r="AD493" s="287" t="s">
        <v>377</v>
      </c>
      <c r="AE493" s="287" t="s">
        <v>377</v>
      </c>
      <c r="AF493" s="288" t="s">
        <v>377</v>
      </c>
      <c r="AG493" s="287" t="s">
        <v>377</v>
      </c>
      <c r="AH493" s="287" t="s">
        <v>377</v>
      </c>
      <c r="AI493" s="288" t="s">
        <v>377</v>
      </c>
      <c r="AJ493" s="294" t="s">
        <v>32</v>
      </c>
      <c r="AK493" s="287" t="s">
        <v>377</v>
      </c>
      <c r="AL493" s="295" t="s">
        <v>32</v>
      </c>
      <c r="AM493" s="287" t="s">
        <v>377</v>
      </c>
      <c r="AN493" s="287" t="s">
        <v>377</v>
      </c>
      <c r="AO493" s="288" t="s">
        <v>377</v>
      </c>
      <c r="AP493" s="289" t="s">
        <v>377</v>
      </c>
      <c r="AQ493" s="287" t="s">
        <v>377</v>
      </c>
      <c r="AR493" s="294" t="s">
        <v>32</v>
      </c>
      <c r="AS493" s="295" t="s">
        <v>32</v>
      </c>
      <c r="AT493" s="294" t="s">
        <v>32</v>
      </c>
      <c r="AU493" s="287" t="s">
        <v>377</v>
      </c>
      <c r="AV493" s="295" t="s">
        <v>32</v>
      </c>
      <c r="AW493" s="294" t="s">
        <v>32</v>
      </c>
      <c r="AX493" s="287" t="s">
        <v>377</v>
      </c>
      <c r="AY493" s="295" t="s">
        <v>32</v>
      </c>
      <c r="AZ493" s="294" t="s">
        <v>32</v>
      </c>
      <c r="BA493" s="287" t="s">
        <v>377</v>
      </c>
      <c r="BB493" s="288" t="s">
        <v>377</v>
      </c>
      <c r="BC493" s="296" t="s">
        <v>32</v>
      </c>
      <c r="BD493" s="287"/>
    </row>
    <row r="494" ht="12.75" customHeight="1">
      <c r="A494" s="293">
        <v>45259.734191296295</v>
      </c>
      <c r="B494" s="286" t="s">
        <v>525</v>
      </c>
      <c r="C494" s="285" t="s">
        <v>559</v>
      </c>
      <c r="D494" s="285" t="s">
        <v>16</v>
      </c>
      <c r="E494" s="285" t="s">
        <v>577</v>
      </c>
      <c r="F494" s="287" t="s">
        <v>1047</v>
      </c>
      <c r="G494" s="285" t="s">
        <v>17</v>
      </c>
      <c r="H494" s="285">
        <v>16.0</v>
      </c>
      <c r="I494" s="287" t="s">
        <v>497</v>
      </c>
      <c r="J494" s="292"/>
      <c r="K494" s="287" t="s">
        <v>508</v>
      </c>
      <c r="L494" s="287" t="s">
        <v>479</v>
      </c>
      <c r="M494" s="287" t="s">
        <v>483</v>
      </c>
      <c r="N494" s="287" t="s">
        <v>483</v>
      </c>
      <c r="O494" s="285" t="s">
        <v>497</v>
      </c>
      <c r="P494" s="292"/>
      <c r="Q494" s="287" t="s">
        <v>377</v>
      </c>
      <c r="R494" s="287" t="s">
        <v>377</v>
      </c>
      <c r="S494" s="288" t="s">
        <v>377</v>
      </c>
      <c r="T494" s="287" t="s">
        <v>377</v>
      </c>
      <c r="U494" s="294" t="s">
        <v>32</v>
      </c>
      <c r="V494" s="295" t="s">
        <v>32</v>
      </c>
      <c r="W494" s="294" t="s">
        <v>32</v>
      </c>
      <c r="X494" s="294" t="s">
        <v>32</v>
      </c>
      <c r="Y494" s="295" t="s">
        <v>32</v>
      </c>
      <c r="Z494" s="287" t="s">
        <v>377</v>
      </c>
      <c r="AA494" s="294" t="s">
        <v>32</v>
      </c>
      <c r="AB494" s="295" t="s">
        <v>32</v>
      </c>
      <c r="AC494" s="296" t="s">
        <v>32</v>
      </c>
      <c r="AD494" s="294" t="s">
        <v>32</v>
      </c>
      <c r="AE494" s="287" t="s">
        <v>377</v>
      </c>
      <c r="AF494" s="295" t="s">
        <v>32</v>
      </c>
      <c r="AG494" s="287" t="s">
        <v>377</v>
      </c>
      <c r="AH494" s="287" t="s">
        <v>377</v>
      </c>
      <c r="AI494" s="288" t="s">
        <v>377</v>
      </c>
      <c r="AJ494" s="294" t="s">
        <v>32</v>
      </c>
      <c r="AK494" s="287" t="s">
        <v>377</v>
      </c>
      <c r="AL494" s="295" t="s">
        <v>32</v>
      </c>
      <c r="AM494" s="287" t="s">
        <v>377</v>
      </c>
      <c r="AN494" s="287" t="s">
        <v>377</v>
      </c>
      <c r="AO494" s="288" t="s">
        <v>377</v>
      </c>
      <c r="AP494" s="289" t="s">
        <v>377</v>
      </c>
      <c r="AQ494" s="294" t="s">
        <v>32</v>
      </c>
      <c r="AR494" s="294" t="s">
        <v>32</v>
      </c>
      <c r="AS494" s="295" t="s">
        <v>32</v>
      </c>
      <c r="AT494" s="294" t="s">
        <v>32</v>
      </c>
      <c r="AU494" s="294" t="s">
        <v>32</v>
      </c>
      <c r="AV494" s="295" t="s">
        <v>32</v>
      </c>
      <c r="AW494" s="287" t="s">
        <v>377</v>
      </c>
      <c r="AX494" s="287" t="s">
        <v>377</v>
      </c>
      <c r="AY494" s="288" t="s">
        <v>377</v>
      </c>
      <c r="AZ494" s="294" t="s">
        <v>32</v>
      </c>
      <c r="BA494" s="294" t="s">
        <v>32</v>
      </c>
      <c r="BB494" s="295" t="s">
        <v>32</v>
      </c>
      <c r="BC494" s="296" t="s">
        <v>32</v>
      </c>
      <c r="BD494" s="287"/>
    </row>
    <row r="495" ht="12.75" customHeight="1">
      <c r="A495" s="293">
        <v>45259.73892525463</v>
      </c>
      <c r="B495" s="286" t="s">
        <v>525</v>
      </c>
      <c r="C495" s="285" t="s">
        <v>559</v>
      </c>
      <c r="D495" s="285" t="s">
        <v>16</v>
      </c>
      <c r="E495" s="285" t="s">
        <v>577</v>
      </c>
      <c r="F495" s="287" t="s">
        <v>1048</v>
      </c>
      <c r="G495" s="285" t="s">
        <v>21</v>
      </c>
      <c r="H495" s="285">
        <v>15.0</v>
      </c>
      <c r="I495" s="287" t="s">
        <v>497</v>
      </c>
      <c r="J495" s="292"/>
      <c r="K495" s="287" t="s">
        <v>508</v>
      </c>
      <c r="L495" s="287" t="s">
        <v>479</v>
      </c>
      <c r="M495" s="287" t="s">
        <v>495</v>
      </c>
      <c r="N495" s="287" t="s">
        <v>625</v>
      </c>
      <c r="O495" s="285" t="s">
        <v>497</v>
      </c>
      <c r="P495" s="292"/>
      <c r="Q495" s="294" t="s">
        <v>32</v>
      </c>
      <c r="R495" s="287" t="s">
        <v>18</v>
      </c>
      <c r="S495" s="288" t="s">
        <v>377</v>
      </c>
      <c r="T495" s="287" t="s">
        <v>18</v>
      </c>
      <c r="U495" s="294" t="s">
        <v>32</v>
      </c>
      <c r="V495" s="288" t="s">
        <v>377</v>
      </c>
      <c r="W495" s="287" t="s">
        <v>377</v>
      </c>
      <c r="X495" s="287" t="s">
        <v>18</v>
      </c>
      <c r="Y495" s="288" t="s">
        <v>377</v>
      </c>
      <c r="Z495" s="287" t="s">
        <v>18</v>
      </c>
      <c r="AA495" s="287" t="s">
        <v>377</v>
      </c>
      <c r="AB495" s="288" t="s">
        <v>377</v>
      </c>
      <c r="AC495" s="289" t="s">
        <v>377</v>
      </c>
      <c r="AD495" s="287" t="s">
        <v>377</v>
      </c>
      <c r="AE495" s="294" t="s">
        <v>32</v>
      </c>
      <c r="AF495" s="295" t="s">
        <v>32</v>
      </c>
      <c r="AG495" s="287" t="s">
        <v>377</v>
      </c>
      <c r="AH495" s="294" t="s">
        <v>32</v>
      </c>
      <c r="AI495" s="295" t="s">
        <v>32</v>
      </c>
      <c r="AJ495" s="287" t="s">
        <v>377</v>
      </c>
      <c r="AK495" s="287" t="s">
        <v>377</v>
      </c>
      <c r="AL495" s="288" t="s">
        <v>377</v>
      </c>
      <c r="AM495" s="287" t="s">
        <v>18</v>
      </c>
      <c r="AN495" s="287" t="s">
        <v>377</v>
      </c>
      <c r="AO495" s="288" t="s">
        <v>377</v>
      </c>
      <c r="AP495" s="289" t="s">
        <v>377</v>
      </c>
      <c r="AQ495" s="294" t="s">
        <v>32</v>
      </c>
      <c r="AR495" s="294" t="s">
        <v>32</v>
      </c>
      <c r="AS495" s="295" t="s">
        <v>32</v>
      </c>
      <c r="AT495" s="294" t="s">
        <v>32</v>
      </c>
      <c r="AU495" s="294" t="s">
        <v>32</v>
      </c>
      <c r="AV495" s="295" t="s">
        <v>32</v>
      </c>
      <c r="AW495" s="287" t="s">
        <v>377</v>
      </c>
      <c r="AX495" s="287" t="s">
        <v>377</v>
      </c>
      <c r="AY495" s="288" t="s">
        <v>377</v>
      </c>
      <c r="AZ495" s="287" t="s">
        <v>377</v>
      </c>
      <c r="BA495" s="294" t="s">
        <v>32</v>
      </c>
      <c r="BB495" s="295" t="s">
        <v>32</v>
      </c>
      <c r="BC495" s="296" t="s">
        <v>32</v>
      </c>
      <c r="BD495" s="287"/>
    </row>
    <row r="496" ht="12.75" customHeight="1">
      <c r="A496" s="293">
        <v>45259.74306995371</v>
      </c>
      <c r="B496" s="286" t="s">
        <v>525</v>
      </c>
      <c r="C496" s="285" t="s">
        <v>559</v>
      </c>
      <c r="D496" s="285" t="s">
        <v>16</v>
      </c>
      <c r="E496" s="285" t="s">
        <v>577</v>
      </c>
      <c r="F496" s="287" t="s">
        <v>1049</v>
      </c>
      <c r="G496" s="285" t="s">
        <v>21</v>
      </c>
      <c r="H496" s="285">
        <v>15.0</v>
      </c>
      <c r="I496" s="287" t="s">
        <v>497</v>
      </c>
      <c r="J496" s="292"/>
      <c r="K496" s="287" t="s">
        <v>508</v>
      </c>
      <c r="L496" s="287" t="s">
        <v>479</v>
      </c>
      <c r="M496" s="287" t="s">
        <v>495</v>
      </c>
      <c r="N496" s="287" t="s">
        <v>625</v>
      </c>
      <c r="O496" s="285" t="s">
        <v>497</v>
      </c>
      <c r="P496" s="292"/>
      <c r="Q496" s="294" t="s">
        <v>32</v>
      </c>
      <c r="R496" s="294" t="s">
        <v>32</v>
      </c>
      <c r="S496" s="295" t="s">
        <v>32</v>
      </c>
      <c r="T496" s="294" t="s">
        <v>32</v>
      </c>
      <c r="U496" s="287" t="s">
        <v>377</v>
      </c>
      <c r="V496" s="295" t="s">
        <v>32</v>
      </c>
      <c r="W496" s="287" t="s">
        <v>377</v>
      </c>
      <c r="X496" s="294" t="s">
        <v>32</v>
      </c>
      <c r="Y496" s="295" t="s">
        <v>32</v>
      </c>
      <c r="Z496" s="287" t="s">
        <v>377</v>
      </c>
      <c r="AA496" s="294" t="s">
        <v>32</v>
      </c>
      <c r="AB496" s="295" t="s">
        <v>32</v>
      </c>
      <c r="AC496" s="296" t="s">
        <v>32</v>
      </c>
      <c r="AD496" s="287" t="s">
        <v>377</v>
      </c>
      <c r="AE496" s="294" t="s">
        <v>32</v>
      </c>
      <c r="AF496" s="295" t="s">
        <v>32</v>
      </c>
      <c r="AG496" s="294" t="s">
        <v>32</v>
      </c>
      <c r="AH496" s="287" t="s">
        <v>377</v>
      </c>
      <c r="AI496" s="295" t="s">
        <v>32</v>
      </c>
      <c r="AJ496" s="287" t="s">
        <v>377</v>
      </c>
      <c r="AK496" s="287" t="s">
        <v>377</v>
      </c>
      <c r="AL496" s="288" t="s">
        <v>377</v>
      </c>
      <c r="AM496" s="287" t="s">
        <v>377</v>
      </c>
      <c r="AN496" s="287" t="s">
        <v>377</v>
      </c>
      <c r="AO496" s="288" t="s">
        <v>377</v>
      </c>
      <c r="AP496" s="289" t="s">
        <v>377</v>
      </c>
      <c r="AQ496" s="287" t="s">
        <v>377</v>
      </c>
      <c r="AR496" s="287" t="s">
        <v>377</v>
      </c>
      <c r="AS496" s="288" t="s">
        <v>377</v>
      </c>
      <c r="AT496" s="294" t="s">
        <v>32</v>
      </c>
      <c r="AU496" s="287" t="s">
        <v>377</v>
      </c>
      <c r="AV496" s="295" t="s">
        <v>32</v>
      </c>
      <c r="AW496" s="287" t="s">
        <v>377</v>
      </c>
      <c r="AX496" s="287" t="s">
        <v>377</v>
      </c>
      <c r="AY496" s="288" t="s">
        <v>377</v>
      </c>
      <c r="AZ496" s="287" t="s">
        <v>377</v>
      </c>
      <c r="BA496" s="287" t="s">
        <v>377</v>
      </c>
      <c r="BB496" s="295" t="s">
        <v>32</v>
      </c>
      <c r="BC496" s="296" t="s">
        <v>32</v>
      </c>
      <c r="BD496" s="287"/>
    </row>
    <row r="497" ht="12.75" customHeight="1">
      <c r="A497" s="293">
        <v>45259.749668634264</v>
      </c>
      <c r="B497" s="286" t="s">
        <v>525</v>
      </c>
      <c r="C497" s="285" t="s">
        <v>559</v>
      </c>
      <c r="D497" s="285" t="s">
        <v>16</v>
      </c>
      <c r="E497" s="285" t="s">
        <v>577</v>
      </c>
      <c r="F497" s="287" t="s">
        <v>1050</v>
      </c>
      <c r="G497" s="285" t="s">
        <v>17</v>
      </c>
      <c r="H497" s="285">
        <v>16.0</v>
      </c>
      <c r="I497" s="287" t="s">
        <v>497</v>
      </c>
      <c r="J497" s="292"/>
      <c r="K497" s="287" t="s">
        <v>508</v>
      </c>
      <c r="L497" s="287" t="s">
        <v>479</v>
      </c>
      <c r="M497" s="287" t="s">
        <v>483</v>
      </c>
      <c r="N497" s="287" t="s">
        <v>483</v>
      </c>
      <c r="O497" s="285" t="s">
        <v>497</v>
      </c>
      <c r="P497" s="292"/>
      <c r="Q497" s="287" t="s">
        <v>377</v>
      </c>
      <c r="R497" s="287" t="s">
        <v>377</v>
      </c>
      <c r="S497" s="288" t="s">
        <v>377</v>
      </c>
      <c r="T497" s="287" t="s">
        <v>377</v>
      </c>
      <c r="U497" s="294" t="s">
        <v>32</v>
      </c>
      <c r="V497" s="295" t="s">
        <v>32</v>
      </c>
      <c r="W497" s="294" t="s">
        <v>32</v>
      </c>
      <c r="X497" s="294" t="s">
        <v>32</v>
      </c>
      <c r="Y497" s="295" t="s">
        <v>32</v>
      </c>
      <c r="Z497" s="287" t="s">
        <v>377</v>
      </c>
      <c r="AA497" s="294" t="s">
        <v>32</v>
      </c>
      <c r="AB497" s="295" t="s">
        <v>32</v>
      </c>
      <c r="AC497" s="296" t="s">
        <v>32</v>
      </c>
      <c r="AD497" s="294" t="s">
        <v>32</v>
      </c>
      <c r="AE497" s="287" t="s">
        <v>377</v>
      </c>
      <c r="AF497" s="295" t="s">
        <v>32</v>
      </c>
      <c r="AG497" s="287" t="s">
        <v>377</v>
      </c>
      <c r="AH497" s="287" t="s">
        <v>377</v>
      </c>
      <c r="AI497" s="288" t="s">
        <v>377</v>
      </c>
      <c r="AJ497" s="294" t="s">
        <v>32</v>
      </c>
      <c r="AK497" s="287" t="s">
        <v>377</v>
      </c>
      <c r="AL497" s="295" t="s">
        <v>32</v>
      </c>
      <c r="AM497" s="287" t="s">
        <v>377</v>
      </c>
      <c r="AN497" s="287" t="s">
        <v>377</v>
      </c>
      <c r="AO497" s="288" t="s">
        <v>377</v>
      </c>
      <c r="AP497" s="289" t="s">
        <v>377</v>
      </c>
      <c r="AQ497" s="294" t="s">
        <v>32</v>
      </c>
      <c r="AR497" s="294" t="s">
        <v>32</v>
      </c>
      <c r="AS497" s="295" t="s">
        <v>32</v>
      </c>
      <c r="AT497" s="294" t="s">
        <v>32</v>
      </c>
      <c r="AU497" s="294" t="s">
        <v>32</v>
      </c>
      <c r="AV497" s="295" t="s">
        <v>32</v>
      </c>
      <c r="AW497" s="287" t="s">
        <v>377</v>
      </c>
      <c r="AX497" s="287" t="s">
        <v>377</v>
      </c>
      <c r="AY497" s="288" t="s">
        <v>377</v>
      </c>
      <c r="AZ497" s="294" t="s">
        <v>32</v>
      </c>
      <c r="BA497" s="294" t="s">
        <v>32</v>
      </c>
      <c r="BB497" s="295" t="s">
        <v>32</v>
      </c>
      <c r="BC497" s="296" t="s">
        <v>32</v>
      </c>
      <c r="BD497" s="287"/>
    </row>
    <row r="498" ht="12.75" customHeight="1">
      <c r="A498" s="293">
        <v>45259.75367575232</v>
      </c>
      <c r="B498" s="286" t="s">
        <v>525</v>
      </c>
      <c r="C498" s="285" t="s">
        <v>559</v>
      </c>
      <c r="D498" s="285" t="s">
        <v>16</v>
      </c>
      <c r="E498" s="285" t="s">
        <v>577</v>
      </c>
      <c r="F498" s="287" t="s">
        <v>1051</v>
      </c>
      <c r="G498" s="285" t="s">
        <v>17</v>
      </c>
      <c r="H498" s="285">
        <v>15.0</v>
      </c>
      <c r="I498" s="287" t="s">
        <v>497</v>
      </c>
      <c r="J498" s="292"/>
      <c r="K498" s="287" t="s">
        <v>508</v>
      </c>
      <c r="L498" s="287" t="s">
        <v>479</v>
      </c>
      <c r="M498" s="287" t="s">
        <v>483</v>
      </c>
      <c r="N498" s="287" t="s">
        <v>483</v>
      </c>
      <c r="O498" s="285" t="s">
        <v>497</v>
      </c>
      <c r="P498" s="292"/>
      <c r="Q498" s="287" t="s">
        <v>377</v>
      </c>
      <c r="R498" s="287" t="s">
        <v>18</v>
      </c>
      <c r="S498" s="288" t="s">
        <v>377</v>
      </c>
      <c r="T498" s="287" t="s">
        <v>377</v>
      </c>
      <c r="U498" s="294" t="s">
        <v>32</v>
      </c>
      <c r="V498" s="295" t="s">
        <v>32</v>
      </c>
      <c r="W498" s="294" t="s">
        <v>32</v>
      </c>
      <c r="X498" s="287" t="s">
        <v>377</v>
      </c>
      <c r="Y498" s="295" t="s">
        <v>32</v>
      </c>
      <c r="Z498" s="294" t="s">
        <v>32</v>
      </c>
      <c r="AA498" s="294" t="s">
        <v>32</v>
      </c>
      <c r="AB498" s="295" t="s">
        <v>32</v>
      </c>
      <c r="AC498" s="289" t="s">
        <v>377</v>
      </c>
      <c r="AD498" s="287" t="s">
        <v>377</v>
      </c>
      <c r="AE498" s="287" t="s">
        <v>377</v>
      </c>
      <c r="AF498" s="288" t="s">
        <v>377</v>
      </c>
      <c r="AG498" s="294" t="s">
        <v>32</v>
      </c>
      <c r="AH498" s="294" t="s">
        <v>32</v>
      </c>
      <c r="AI498" s="295" t="s">
        <v>32</v>
      </c>
      <c r="AJ498" s="294" t="s">
        <v>32</v>
      </c>
      <c r="AK498" s="294" t="s">
        <v>32</v>
      </c>
      <c r="AL498" s="295" t="s">
        <v>32</v>
      </c>
      <c r="AM498" s="287" t="s">
        <v>18</v>
      </c>
      <c r="AN498" s="287" t="s">
        <v>377</v>
      </c>
      <c r="AO498" s="288" t="s">
        <v>377</v>
      </c>
      <c r="AP498" s="289" t="s">
        <v>377</v>
      </c>
      <c r="AQ498" s="294" t="s">
        <v>32</v>
      </c>
      <c r="AR498" s="294" t="s">
        <v>32</v>
      </c>
      <c r="AS498" s="295" t="s">
        <v>32</v>
      </c>
      <c r="AT498" s="294" t="s">
        <v>32</v>
      </c>
      <c r="AU498" s="294" t="s">
        <v>32</v>
      </c>
      <c r="AV498" s="295" t="s">
        <v>32</v>
      </c>
      <c r="AW498" s="294" t="s">
        <v>32</v>
      </c>
      <c r="AX498" s="287" t="s">
        <v>377</v>
      </c>
      <c r="AY498" s="295" t="s">
        <v>32</v>
      </c>
      <c r="AZ498" s="294" t="s">
        <v>32</v>
      </c>
      <c r="BA498" s="294" t="s">
        <v>32</v>
      </c>
      <c r="BB498" s="295" t="s">
        <v>32</v>
      </c>
      <c r="BC498" s="296" t="s">
        <v>32</v>
      </c>
      <c r="BD498" s="287"/>
    </row>
    <row r="499" ht="12.75" customHeight="1">
      <c r="A499" s="293">
        <v>45259.75689509259</v>
      </c>
      <c r="B499" s="286" t="s">
        <v>525</v>
      </c>
      <c r="C499" s="285" t="s">
        <v>559</v>
      </c>
      <c r="D499" s="285" t="s">
        <v>16</v>
      </c>
      <c r="E499" s="285" t="s">
        <v>577</v>
      </c>
      <c r="F499" s="287" t="s">
        <v>1052</v>
      </c>
      <c r="G499" s="285" t="s">
        <v>21</v>
      </c>
      <c r="H499" s="285">
        <v>16.0</v>
      </c>
      <c r="I499" s="287" t="s">
        <v>497</v>
      </c>
      <c r="J499" s="292"/>
      <c r="K499" s="287" t="s">
        <v>508</v>
      </c>
      <c r="L499" s="287" t="s">
        <v>479</v>
      </c>
      <c r="M499" s="287" t="s">
        <v>481</v>
      </c>
      <c r="N499" s="287" t="s">
        <v>561</v>
      </c>
      <c r="O499" s="285" t="s">
        <v>497</v>
      </c>
      <c r="P499" s="292"/>
      <c r="Q499" s="287" t="s">
        <v>18</v>
      </c>
      <c r="R499" s="287" t="s">
        <v>18</v>
      </c>
      <c r="S499" s="288" t="s">
        <v>18</v>
      </c>
      <c r="T499" s="287" t="s">
        <v>18</v>
      </c>
      <c r="U499" s="287" t="s">
        <v>18</v>
      </c>
      <c r="V499" s="288" t="s">
        <v>18</v>
      </c>
      <c r="W499" s="287" t="s">
        <v>18</v>
      </c>
      <c r="X499" s="287" t="s">
        <v>18</v>
      </c>
      <c r="Y499" s="288" t="s">
        <v>18</v>
      </c>
      <c r="Z499" s="287" t="s">
        <v>18</v>
      </c>
      <c r="AA499" s="287" t="s">
        <v>18</v>
      </c>
      <c r="AB499" s="288" t="s">
        <v>18</v>
      </c>
      <c r="AC499" s="289" t="s">
        <v>18</v>
      </c>
      <c r="AD499" s="287" t="s">
        <v>18</v>
      </c>
      <c r="AE499" s="287" t="s">
        <v>377</v>
      </c>
      <c r="AF499" s="288" t="s">
        <v>377</v>
      </c>
      <c r="AG499" s="287" t="s">
        <v>18</v>
      </c>
      <c r="AH499" s="287" t="s">
        <v>18</v>
      </c>
      <c r="AI499" s="288" t="s">
        <v>18</v>
      </c>
      <c r="AJ499" s="287" t="s">
        <v>377</v>
      </c>
      <c r="AK499" s="287" t="s">
        <v>377</v>
      </c>
      <c r="AL499" s="288" t="s">
        <v>377</v>
      </c>
      <c r="AM499" s="287" t="s">
        <v>377</v>
      </c>
      <c r="AN499" s="287" t="s">
        <v>377</v>
      </c>
      <c r="AO499" s="288" t="s">
        <v>377</v>
      </c>
      <c r="AP499" s="289" t="s">
        <v>377</v>
      </c>
      <c r="AQ499" s="287" t="s">
        <v>377</v>
      </c>
      <c r="AR499" s="287" t="s">
        <v>377</v>
      </c>
      <c r="AS499" s="288" t="s">
        <v>377</v>
      </c>
      <c r="AT499" s="287" t="s">
        <v>377</v>
      </c>
      <c r="AU499" s="287" t="s">
        <v>377</v>
      </c>
      <c r="AV499" s="288" t="s">
        <v>377</v>
      </c>
      <c r="AW499" s="287" t="s">
        <v>377</v>
      </c>
      <c r="AX499" s="287" t="s">
        <v>377</v>
      </c>
      <c r="AY499" s="288" t="s">
        <v>377</v>
      </c>
      <c r="AZ499" s="287" t="s">
        <v>377</v>
      </c>
      <c r="BA499" s="287" t="s">
        <v>377</v>
      </c>
      <c r="BB499" s="295" t="s">
        <v>32</v>
      </c>
      <c r="BC499" s="296" t="s">
        <v>32</v>
      </c>
      <c r="BD499" s="287"/>
    </row>
    <row r="500" ht="12.75" customHeight="1">
      <c r="A500" s="293">
        <v>45259.76349370371</v>
      </c>
      <c r="B500" s="286" t="s">
        <v>525</v>
      </c>
      <c r="C500" s="285" t="s">
        <v>559</v>
      </c>
      <c r="D500" s="285" t="s">
        <v>16</v>
      </c>
      <c r="E500" s="285" t="s">
        <v>577</v>
      </c>
      <c r="F500" s="287" t="s">
        <v>1053</v>
      </c>
      <c r="G500" s="285" t="s">
        <v>21</v>
      </c>
      <c r="H500" s="285">
        <v>16.0</v>
      </c>
      <c r="I500" s="287" t="s">
        <v>497</v>
      </c>
      <c r="J500" s="292"/>
      <c r="K500" s="287" t="s">
        <v>508</v>
      </c>
      <c r="L500" s="287" t="s">
        <v>497</v>
      </c>
      <c r="M500" s="292"/>
      <c r="N500" s="292"/>
      <c r="O500" s="285" t="s">
        <v>479</v>
      </c>
      <c r="P500" s="287" t="s">
        <v>580</v>
      </c>
      <c r="Q500" s="294" t="s">
        <v>32</v>
      </c>
      <c r="R500" s="294" t="s">
        <v>32</v>
      </c>
      <c r="S500" s="295" t="s">
        <v>32</v>
      </c>
      <c r="T500" s="287" t="s">
        <v>377</v>
      </c>
      <c r="U500" s="294" t="s">
        <v>32</v>
      </c>
      <c r="V500" s="295" t="s">
        <v>32</v>
      </c>
      <c r="W500" s="294" t="s">
        <v>32</v>
      </c>
      <c r="X500" s="287" t="s">
        <v>377</v>
      </c>
      <c r="Y500" s="295" t="s">
        <v>32</v>
      </c>
      <c r="Z500" s="294" t="s">
        <v>32</v>
      </c>
      <c r="AA500" s="294" t="s">
        <v>32</v>
      </c>
      <c r="AB500" s="295" t="s">
        <v>32</v>
      </c>
      <c r="AC500" s="296" t="s">
        <v>32</v>
      </c>
      <c r="AD500" s="287" t="s">
        <v>377</v>
      </c>
      <c r="AE500" s="287" t="s">
        <v>18</v>
      </c>
      <c r="AF500" s="288" t="s">
        <v>377</v>
      </c>
      <c r="AG500" s="287" t="s">
        <v>377</v>
      </c>
      <c r="AH500" s="294" t="s">
        <v>32</v>
      </c>
      <c r="AI500" s="295" t="s">
        <v>32</v>
      </c>
      <c r="AJ500" s="294" t="s">
        <v>32</v>
      </c>
      <c r="AK500" s="294" t="s">
        <v>32</v>
      </c>
      <c r="AL500" s="295" t="s">
        <v>32</v>
      </c>
      <c r="AM500" s="294" t="s">
        <v>32</v>
      </c>
      <c r="AN500" s="294" t="s">
        <v>32</v>
      </c>
      <c r="AO500" s="295" t="s">
        <v>32</v>
      </c>
      <c r="AP500" s="296" t="s">
        <v>32</v>
      </c>
      <c r="AQ500" s="287" t="s">
        <v>18</v>
      </c>
      <c r="AR500" s="294" t="s">
        <v>32</v>
      </c>
      <c r="AS500" s="288" t="s">
        <v>377</v>
      </c>
      <c r="AT500" s="287" t="s">
        <v>18</v>
      </c>
      <c r="AU500" s="294" t="s">
        <v>32</v>
      </c>
      <c r="AV500" s="288" t="s">
        <v>377</v>
      </c>
      <c r="AW500" s="287" t="s">
        <v>377</v>
      </c>
      <c r="AX500" s="294" t="s">
        <v>32</v>
      </c>
      <c r="AY500" s="295" t="s">
        <v>32</v>
      </c>
      <c r="AZ500" s="294" t="s">
        <v>32</v>
      </c>
      <c r="BA500" s="294" t="s">
        <v>32</v>
      </c>
      <c r="BB500" s="295" t="s">
        <v>32</v>
      </c>
      <c r="BC500" s="296" t="s">
        <v>32</v>
      </c>
      <c r="BD500" s="287"/>
    </row>
    <row r="501" ht="12.75" customHeight="1">
      <c r="A501" s="293">
        <v>45259.76740190972</v>
      </c>
      <c r="B501" s="286" t="s">
        <v>525</v>
      </c>
      <c r="C501" s="285" t="s">
        <v>559</v>
      </c>
      <c r="D501" s="285" t="s">
        <v>16</v>
      </c>
      <c r="E501" s="285" t="s">
        <v>577</v>
      </c>
      <c r="F501" s="287" t="s">
        <v>1054</v>
      </c>
      <c r="G501" s="285" t="s">
        <v>21</v>
      </c>
      <c r="H501" s="285">
        <v>15.0</v>
      </c>
      <c r="I501" s="287" t="s">
        <v>497</v>
      </c>
      <c r="J501" s="292"/>
      <c r="K501" s="287" t="s">
        <v>508</v>
      </c>
      <c r="L501" s="287" t="s">
        <v>479</v>
      </c>
      <c r="M501" s="287" t="s">
        <v>490</v>
      </c>
      <c r="N501" s="287" t="s">
        <v>483</v>
      </c>
      <c r="O501" s="285" t="s">
        <v>479</v>
      </c>
      <c r="P501" s="287" t="s">
        <v>643</v>
      </c>
      <c r="Q501" s="294" t="s">
        <v>32</v>
      </c>
      <c r="R501" s="294" t="s">
        <v>32</v>
      </c>
      <c r="S501" s="295" t="s">
        <v>32</v>
      </c>
      <c r="T501" s="287" t="s">
        <v>377</v>
      </c>
      <c r="U501" s="294" t="s">
        <v>32</v>
      </c>
      <c r="V501" s="295" t="s">
        <v>32</v>
      </c>
      <c r="W501" s="287" t="s">
        <v>377</v>
      </c>
      <c r="X501" s="287" t="s">
        <v>18</v>
      </c>
      <c r="Y501" s="288" t="s">
        <v>377</v>
      </c>
      <c r="Z501" s="287" t="s">
        <v>377</v>
      </c>
      <c r="AA501" s="287" t="s">
        <v>18</v>
      </c>
      <c r="AB501" s="288" t="s">
        <v>377</v>
      </c>
      <c r="AC501" s="289" t="s">
        <v>377</v>
      </c>
      <c r="AD501" s="287" t="s">
        <v>377</v>
      </c>
      <c r="AE501" s="287" t="s">
        <v>377</v>
      </c>
      <c r="AF501" s="288" t="s">
        <v>377</v>
      </c>
      <c r="AG501" s="287" t="s">
        <v>377</v>
      </c>
      <c r="AH501" s="287" t="s">
        <v>18</v>
      </c>
      <c r="AI501" s="288" t="s">
        <v>377</v>
      </c>
      <c r="AJ501" s="287" t="s">
        <v>377</v>
      </c>
      <c r="AK501" s="287" t="s">
        <v>377</v>
      </c>
      <c r="AL501" s="288" t="s">
        <v>377</v>
      </c>
      <c r="AM501" s="287" t="s">
        <v>18</v>
      </c>
      <c r="AN501" s="287" t="s">
        <v>18</v>
      </c>
      <c r="AO501" s="288" t="s">
        <v>18</v>
      </c>
      <c r="AP501" s="289" t="s">
        <v>377</v>
      </c>
      <c r="AQ501" s="287" t="s">
        <v>18</v>
      </c>
      <c r="AR501" s="294" t="s">
        <v>32</v>
      </c>
      <c r="AS501" s="288" t="s">
        <v>377</v>
      </c>
      <c r="AT501" s="294" t="s">
        <v>32</v>
      </c>
      <c r="AU501" s="294" t="s">
        <v>32</v>
      </c>
      <c r="AV501" s="295" t="s">
        <v>32</v>
      </c>
      <c r="AW501" s="287" t="s">
        <v>377</v>
      </c>
      <c r="AX501" s="287" t="s">
        <v>18</v>
      </c>
      <c r="AY501" s="288" t="s">
        <v>377</v>
      </c>
      <c r="AZ501" s="287" t="s">
        <v>377</v>
      </c>
      <c r="BA501" s="294" t="s">
        <v>32</v>
      </c>
      <c r="BB501" s="288" t="s">
        <v>377</v>
      </c>
      <c r="BC501" s="289" t="s">
        <v>377</v>
      </c>
      <c r="BD501" s="287"/>
    </row>
    <row r="502" ht="12.75" customHeight="1">
      <c r="A502" s="293">
        <v>45259.77049063657</v>
      </c>
      <c r="B502" s="286" t="s">
        <v>525</v>
      </c>
      <c r="C502" s="285" t="s">
        <v>559</v>
      </c>
      <c r="D502" s="285" t="s">
        <v>16</v>
      </c>
      <c r="E502" s="285" t="s">
        <v>577</v>
      </c>
      <c r="F502" s="287" t="s">
        <v>1055</v>
      </c>
      <c r="G502" s="285" t="s">
        <v>21</v>
      </c>
      <c r="H502" s="285">
        <v>18.0</v>
      </c>
      <c r="I502" s="287" t="s">
        <v>497</v>
      </c>
      <c r="J502" s="292"/>
      <c r="K502" s="287" t="s">
        <v>508</v>
      </c>
      <c r="L502" s="287" t="s">
        <v>497</v>
      </c>
      <c r="M502" s="292"/>
      <c r="N502" s="292"/>
      <c r="O502" s="285" t="s">
        <v>497</v>
      </c>
      <c r="P502" s="292"/>
      <c r="Q502" s="287" t="s">
        <v>377</v>
      </c>
      <c r="R502" s="287" t="s">
        <v>18</v>
      </c>
      <c r="S502" s="288" t="s">
        <v>377</v>
      </c>
      <c r="T502" s="287" t="s">
        <v>18</v>
      </c>
      <c r="U502" s="287" t="s">
        <v>18</v>
      </c>
      <c r="V502" s="288" t="s">
        <v>18</v>
      </c>
      <c r="W502" s="287" t="s">
        <v>18</v>
      </c>
      <c r="X502" s="294" t="s">
        <v>32</v>
      </c>
      <c r="Y502" s="288" t="s">
        <v>377</v>
      </c>
      <c r="Z502" s="287" t="s">
        <v>377</v>
      </c>
      <c r="AA502" s="294" t="s">
        <v>32</v>
      </c>
      <c r="AB502" s="295" t="s">
        <v>32</v>
      </c>
      <c r="AC502" s="289" t="s">
        <v>377</v>
      </c>
      <c r="AD502" s="294" t="s">
        <v>32</v>
      </c>
      <c r="AE502" s="287" t="s">
        <v>18</v>
      </c>
      <c r="AF502" s="288" t="s">
        <v>377</v>
      </c>
      <c r="AG502" s="287" t="s">
        <v>18</v>
      </c>
      <c r="AH502" s="287" t="s">
        <v>377</v>
      </c>
      <c r="AI502" s="288" t="s">
        <v>377</v>
      </c>
      <c r="AJ502" s="287" t="s">
        <v>18</v>
      </c>
      <c r="AK502" s="287" t="s">
        <v>18</v>
      </c>
      <c r="AL502" s="288" t="s">
        <v>18</v>
      </c>
      <c r="AM502" s="287" t="s">
        <v>18</v>
      </c>
      <c r="AN502" s="287" t="s">
        <v>18</v>
      </c>
      <c r="AO502" s="288" t="s">
        <v>18</v>
      </c>
      <c r="AP502" s="289" t="s">
        <v>18</v>
      </c>
      <c r="AQ502" s="287" t="s">
        <v>18</v>
      </c>
      <c r="AR502" s="287" t="s">
        <v>18</v>
      </c>
      <c r="AS502" s="288" t="s">
        <v>18</v>
      </c>
      <c r="AT502" s="287" t="s">
        <v>377</v>
      </c>
      <c r="AU502" s="287" t="s">
        <v>377</v>
      </c>
      <c r="AV502" s="288" t="s">
        <v>377</v>
      </c>
      <c r="AW502" s="294" t="s">
        <v>32</v>
      </c>
      <c r="AX502" s="287" t="s">
        <v>18</v>
      </c>
      <c r="AY502" s="288" t="s">
        <v>377</v>
      </c>
      <c r="AZ502" s="287" t="s">
        <v>377</v>
      </c>
      <c r="BA502" s="294" t="s">
        <v>32</v>
      </c>
      <c r="BB502" s="288" t="s">
        <v>377</v>
      </c>
      <c r="BC502" s="289" t="s">
        <v>377</v>
      </c>
      <c r="BD502" s="287"/>
    </row>
    <row r="503" ht="12.75" customHeight="1">
      <c r="A503" s="293">
        <v>45259.778874675925</v>
      </c>
      <c r="B503" s="286" t="s">
        <v>525</v>
      </c>
      <c r="C503" s="285" t="s">
        <v>559</v>
      </c>
      <c r="D503" s="285" t="s">
        <v>16</v>
      </c>
      <c r="E503" s="285" t="s">
        <v>577</v>
      </c>
      <c r="F503" s="287" t="s">
        <v>1056</v>
      </c>
      <c r="G503" s="285" t="s">
        <v>21</v>
      </c>
      <c r="H503" s="285">
        <v>16.0</v>
      </c>
      <c r="I503" s="287" t="s">
        <v>497</v>
      </c>
      <c r="J503" s="292"/>
      <c r="K503" s="287" t="s">
        <v>508</v>
      </c>
      <c r="L503" s="287" t="s">
        <v>479</v>
      </c>
      <c r="M503" s="287" t="s">
        <v>490</v>
      </c>
      <c r="N503" s="287" t="s">
        <v>490</v>
      </c>
      <c r="O503" s="285" t="s">
        <v>497</v>
      </c>
      <c r="P503" s="292"/>
      <c r="Q503" s="287" t="s">
        <v>377</v>
      </c>
      <c r="R503" s="294" t="s">
        <v>32</v>
      </c>
      <c r="S503" s="295" t="s">
        <v>32</v>
      </c>
      <c r="T503" s="287" t="s">
        <v>377</v>
      </c>
      <c r="U503" s="287" t="s">
        <v>18</v>
      </c>
      <c r="V503" s="288" t="s">
        <v>377</v>
      </c>
      <c r="W503" s="287" t="s">
        <v>377</v>
      </c>
      <c r="X503" s="287" t="s">
        <v>18</v>
      </c>
      <c r="Y503" s="288" t="s">
        <v>377</v>
      </c>
      <c r="Z503" s="287" t="s">
        <v>377</v>
      </c>
      <c r="AA503" s="287" t="s">
        <v>377</v>
      </c>
      <c r="AB503" s="288" t="s">
        <v>377</v>
      </c>
      <c r="AC503" s="289" t="s">
        <v>377</v>
      </c>
      <c r="AD503" s="287" t="s">
        <v>377</v>
      </c>
      <c r="AE503" s="287" t="s">
        <v>377</v>
      </c>
      <c r="AF503" s="288" t="s">
        <v>377</v>
      </c>
      <c r="AG503" s="294" t="s">
        <v>32</v>
      </c>
      <c r="AH503" s="287" t="s">
        <v>377</v>
      </c>
      <c r="AI503" s="295" t="s">
        <v>32</v>
      </c>
      <c r="AJ503" s="287" t="s">
        <v>377</v>
      </c>
      <c r="AK503" s="287" t="s">
        <v>377</v>
      </c>
      <c r="AL503" s="288" t="s">
        <v>377</v>
      </c>
      <c r="AM503" s="287" t="s">
        <v>18</v>
      </c>
      <c r="AN503" s="287" t="s">
        <v>377</v>
      </c>
      <c r="AO503" s="288" t="s">
        <v>377</v>
      </c>
      <c r="AP503" s="289" t="s">
        <v>377</v>
      </c>
      <c r="AQ503" s="287" t="s">
        <v>377</v>
      </c>
      <c r="AR503" s="287" t="s">
        <v>377</v>
      </c>
      <c r="AS503" s="288" t="s">
        <v>377</v>
      </c>
      <c r="AT503" s="287" t="s">
        <v>377</v>
      </c>
      <c r="AU503" s="287" t="s">
        <v>377</v>
      </c>
      <c r="AV503" s="288" t="s">
        <v>377</v>
      </c>
      <c r="AW503" s="287" t="s">
        <v>377</v>
      </c>
      <c r="AX503" s="287" t="s">
        <v>18</v>
      </c>
      <c r="AY503" s="288" t="s">
        <v>377</v>
      </c>
      <c r="AZ503" s="287" t="s">
        <v>377</v>
      </c>
      <c r="BA503" s="287" t="s">
        <v>377</v>
      </c>
      <c r="BB503" s="288" t="s">
        <v>377</v>
      </c>
      <c r="BC503" s="289" t="s">
        <v>377</v>
      </c>
      <c r="BD503" s="287"/>
    </row>
    <row r="504" ht="12.75" customHeight="1">
      <c r="A504" s="293">
        <v>45260.40835695602</v>
      </c>
      <c r="B504" s="286" t="s">
        <v>525</v>
      </c>
      <c r="C504" s="285" t="s">
        <v>559</v>
      </c>
      <c r="D504" s="285" t="s">
        <v>16</v>
      </c>
      <c r="E504" s="285" t="s">
        <v>577</v>
      </c>
      <c r="F504" s="287" t="s">
        <v>1057</v>
      </c>
      <c r="G504" s="285" t="s">
        <v>17</v>
      </c>
      <c r="H504" s="285">
        <v>16.0</v>
      </c>
      <c r="I504" s="287" t="s">
        <v>497</v>
      </c>
      <c r="J504" s="292"/>
      <c r="K504" s="287" t="s">
        <v>508</v>
      </c>
      <c r="L504" s="287" t="s">
        <v>479</v>
      </c>
      <c r="M504" s="287" t="s">
        <v>483</v>
      </c>
      <c r="N504" s="287" t="s">
        <v>483</v>
      </c>
      <c r="O504" s="285" t="s">
        <v>497</v>
      </c>
      <c r="P504" s="292"/>
      <c r="Q504" s="294" t="s">
        <v>32</v>
      </c>
      <c r="R504" s="294" t="s">
        <v>32</v>
      </c>
      <c r="S504" s="295" t="s">
        <v>32</v>
      </c>
      <c r="T504" s="294" t="s">
        <v>32</v>
      </c>
      <c r="U504" s="294" t="s">
        <v>32</v>
      </c>
      <c r="V504" s="295" t="s">
        <v>32</v>
      </c>
      <c r="W504" s="287" t="s">
        <v>377</v>
      </c>
      <c r="X504" s="287" t="s">
        <v>377</v>
      </c>
      <c r="Y504" s="288" t="s">
        <v>377</v>
      </c>
      <c r="Z504" s="294" t="s">
        <v>32</v>
      </c>
      <c r="AA504" s="294" t="s">
        <v>32</v>
      </c>
      <c r="AB504" s="295" t="s">
        <v>32</v>
      </c>
      <c r="AC504" s="296" t="s">
        <v>32</v>
      </c>
      <c r="AD504" s="287" t="s">
        <v>377</v>
      </c>
      <c r="AE504" s="287" t="s">
        <v>377</v>
      </c>
      <c r="AF504" s="288" t="s">
        <v>377</v>
      </c>
      <c r="AG504" s="287" t="s">
        <v>377</v>
      </c>
      <c r="AH504" s="287" t="s">
        <v>377</v>
      </c>
      <c r="AI504" s="288" t="s">
        <v>377</v>
      </c>
      <c r="AJ504" s="287" t="s">
        <v>377</v>
      </c>
      <c r="AK504" s="287" t="s">
        <v>377</v>
      </c>
      <c r="AL504" s="288" t="s">
        <v>377</v>
      </c>
      <c r="AM504" s="287" t="s">
        <v>377</v>
      </c>
      <c r="AN504" s="287" t="s">
        <v>18</v>
      </c>
      <c r="AO504" s="288" t="s">
        <v>377</v>
      </c>
      <c r="AP504" s="289" t="s">
        <v>377</v>
      </c>
      <c r="AQ504" s="294" t="s">
        <v>32</v>
      </c>
      <c r="AR504" s="294" t="s">
        <v>32</v>
      </c>
      <c r="AS504" s="295" t="s">
        <v>32</v>
      </c>
      <c r="AT504" s="294" t="s">
        <v>32</v>
      </c>
      <c r="AU504" s="294" t="s">
        <v>32</v>
      </c>
      <c r="AV504" s="295" t="s">
        <v>32</v>
      </c>
      <c r="AW504" s="294" t="s">
        <v>32</v>
      </c>
      <c r="AX504" s="287" t="s">
        <v>377</v>
      </c>
      <c r="AY504" s="295" t="s">
        <v>32</v>
      </c>
      <c r="AZ504" s="294" t="s">
        <v>32</v>
      </c>
      <c r="BA504" s="294" t="s">
        <v>32</v>
      </c>
      <c r="BB504" s="288" t="s">
        <v>18</v>
      </c>
      <c r="BC504" s="289" t="s">
        <v>377</v>
      </c>
      <c r="BD504" s="287"/>
    </row>
    <row r="505" ht="12.75" customHeight="1">
      <c r="A505" s="293">
        <v>45260.41062228009</v>
      </c>
      <c r="B505" s="286" t="s">
        <v>525</v>
      </c>
      <c r="C505" s="285" t="s">
        <v>559</v>
      </c>
      <c r="D505" s="285" t="s">
        <v>16</v>
      </c>
      <c r="E505" s="285" t="s">
        <v>577</v>
      </c>
      <c r="F505" s="287" t="s">
        <v>1058</v>
      </c>
      <c r="G505" s="285" t="s">
        <v>17</v>
      </c>
      <c r="H505" s="285">
        <v>16.0</v>
      </c>
      <c r="I505" s="287" t="s">
        <v>497</v>
      </c>
      <c r="J505" s="292"/>
      <c r="K505" s="287" t="s">
        <v>508</v>
      </c>
      <c r="L505" s="287" t="s">
        <v>479</v>
      </c>
      <c r="M505" s="287" t="s">
        <v>495</v>
      </c>
      <c r="N505" s="287" t="s">
        <v>625</v>
      </c>
      <c r="O505" s="285" t="s">
        <v>497</v>
      </c>
      <c r="P505" s="292"/>
      <c r="Q505" s="287" t="s">
        <v>377</v>
      </c>
      <c r="R505" s="287" t="s">
        <v>377</v>
      </c>
      <c r="S505" s="288" t="s">
        <v>377</v>
      </c>
      <c r="T505" s="287" t="s">
        <v>377</v>
      </c>
      <c r="U505" s="294" t="s">
        <v>32</v>
      </c>
      <c r="V505" s="295" t="s">
        <v>32</v>
      </c>
      <c r="W505" s="294" t="s">
        <v>32</v>
      </c>
      <c r="X505" s="287" t="s">
        <v>377</v>
      </c>
      <c r="Y505" s="295" t="s">
        <v>32</v>
      </c>
      <c r="Z505" s="287" t="s">
        <v>377</v>
      </c>
      <c r="AA505" s="294" t="s">
        <v>32</v>
      </c>
      <c r="AB505" s="295" t="s">
        <v>32</v>
      </c>
      <c r="AC505" s="289" t="s">
        <v>377</v>
      </c>
      <c r="AD505" s="287" t="s">
        <v>18</v>
      </c>
      <c r="AE505" s="287" t="s">
        <v>18</v>
      </c>
      <c r="AF505" s="288" t="s">
        <v>18</v>
      </c>
      <c r="AG505" s="287" t="s">
        <v>18</v>
      </c>
      <c r="AH505" s="287" t="s">
        <v>18</v>
      </c>
      <c r="AI505" s="288" t="s">
        <v>18</v>
      </c>
      <c r="AJ505" s="287" t="s">
        <v>377</v>
      </c>
      <c r="AK505" s="287" t="s">
        <v>377</v>
      </c>
      <c r="AL505" s="288" t="s">
        <v>377</v>
      </c>
      <c r="AM505" s="287" t="s">
        <v>18</v>
      </c>
      <c r="AN505" s="287" t="s">
        <v>18</v>
      </c>
      <c r="AO505" s="288" t="s">
        <v>18</v>
      </c>
      <c r="AP505" s="289" t="s">
        <v>18</v>
      </c>
      <c r="AQ505" s="294" t="s">
        <v>32</v>
      </c>
      <c r="AR505" s="294" t="s">
        <v>32</v>
      </c>
      <c r="AS505" s="295" t="s">
        <v>32</v>
      </c>
      <c r="AT505" s="294" t="s">
        <v>32</v>
      </c>
      <c r="AU505" s="294" t="s">
        <v>32</v>
      </c>
      <c r="AV505" s="295" t="s">
        <v>32</v>
      </c>
      <c r="AW505" s="287" t="s">
        <v>377</v>
      </c>
      <c r="AX505" s="287" t="s">
        <v>18</v>
      </c>
      <c r="AY505" s="288" t="s">
        <v>377</v>
      </c>
      <c r="AZ505" s="287" t="s">
        <v>377</v>
      </c>
      <c r="BA505" s="287" t="s">
        <v>377</v>
      </c>
      <c r="BB505" s="288" t="s">
        <v>377</v>
      </c>
      <c r="BC505" s="296" t="s">
        <v>32</v>
      </c>
      <c r="BD505" s="287"/>
    </row>
    <row r="506" ht="12.75" customHeight="1">
      <c r="A506" s="293">
        <v>45260.41535701389</v>
      </c>
      <c r="B506" s="286" t="s">
        <v>525</v>
      </c>
      <c r="C506" s="285" t="s">
        <v>559</v>
      </c>
      <c r="D506" s="285" t="s">
        <v>16</v>
      </c>
      <c r="E506" s="285" t="s">
        <v>577</v>
      </c>
      <c r="F506" s="287" t="s">
        <v>1059</v>
      </c>
      <c r="G506" s="285" t="s">
        <v>17</v>
      </c>
      <c r="H506" s="285">
        <v>16.0</v>
      </c>
      <c r="I506" s="287" t="s">
        <v>497</v>
      </c>
      <c r="J506" s="292"/>
      <c r="K506" s="287" t="s">
        <v>508</v>
      </c>
      <c r="L506" s="287" t="s">
        <v>479</v>
      </c>
      <c r="M506" s="287" t="s">
        <v>495</v>
      </c>
      <c r="N506" s="287" t="s">
        <v>625</v>
      </c>
      <c r="O506" s="285" t="s">
        <v>479</v>
      </c>
      <c r="P506" s="287" t="s">
        <v>643</v>
      </c>
      <c r="Q506" s="294" t="s">
        <v>32</v>
      </c>
      <c r="R506" s="294" t="s">
        <v>32</v>
      </c>
      <c r="S506" s="295" t="s">
        <v>32</v>
      </c>
      <c r="T506" s="294" t="s">
        <v>32</v>
      </c>
      <c r="U506" s="294" t="s">
        <v>32</v>
      </c>
      <c r="V506" s="295" t="s">
        <v>32</v>
      </c>
      <c r="W506" s="294" t="s">
        <v>32</v>
      </c>
      <c r="X506" s="294" t="s">
        <v>32</v>
      </c>
      <c r="Y506" s="295" t="s">
        <v>32</v>
      </c>
      <c r="Z506" s="287" t="s">
        <v>377</v>
      </c>
      <c r="AA506" s="294" t="s">
        <v>32</v>
      </c>
      <c r="AB506" s="295" t="s">
        <v>32</v>
      </c>
      <c r="AC506" s="296" t="s">
        <v>32</v>
      </c>
      <c r="AD506" s="287" t="s">
        <v>377</v>
      </c>
      <c r="AE506" s="287" t="s">
        <v>377</v>
      </c>
      <c r="AF506" s="288" t="s">
        <v>377</v>
      </c>
      <c r="AG506" s="287" t="s">
        <v>18</v>
      </c>
      <c r="AH506" s="294" t="s">
        <v>32</v>
      </c>
      <c r="AI506" s="288" t="s">
        <v>377</v>
      </c>
      <c r="AJ506" s="287" t="s">
        <v>377</v>
      </c>
      <c r="AK506" s="287" t="s">
        <v>18</v>
      </c>
      <c r="AL506" s="288" t="s">
        <v>377</v>
      </c>
      <c r="AM506" s="287" t="s">
        <v>18</v>
      </c>
      <c r="AN506" s="287" t="s">
        <v>18</v>
      </c>
      <c r="AO506" s="288" t="s">
        <v>18</v>
      </c>
      <c r="AP506" s="289" t="s">
        <v>377</v>
      </c>
      <c r="AQ506" s="294" t="s">
        <v>32</v>
      </c>
      <c r="AR506" s="294" t="s">
        <v>32</v>
      </c>
      <c r="AS506" s="295" t="s">
        <v>32</v>
      </c>
      <c r="AT506" s="294" t="s">
        <v>32</v>
      </c>
      <c r="AU506" s="294" t="s">
        <v>32</v>
      </c>
      <c r="AV506" s="295" t="s">
        <v>32</v>
      </c>
      <c r="AW506" s="294" t="s">
        <v>32</v>
      </c>
      <c r="AX506" s="294" t="s">
        <v>32</v>
      </c>
      <c r="AY506" s="295" t="s">
        <v>32</v>
      </c>
      <c r="AZ506" s="287" t="s">
        <v>377</v>
      </c>
      <c r="BA506" s="294" t="s">
        <v>32</v>
      </c>
      <c r="BB506" s="288" t="s">
        <v>18</v>
      </c>
      <c r="BC506" s="289" t="s">
        <v>377</v>
      </c>
      <c r="BD506" s="287"/>
    </row>
    <row r="507" ht="12.75" customHeight="1">
      <c r="A507" s="298">
        <v>1.0</v>
      </c>
      <c r="B507" s="297" t="s">
        <v>525</v>
      </c>
      <c r="C507" s="298" t="s">
        <v>567</v>
      </c>
      <c r="D507" s="298" t="s">
        <v>16</v>
      </c>
      <c r="E507" s="285" t="s">
        <v>577</v>
      </c>
      <c r="F507" s="292" t="s">
        <v>1060</v>
      </c>
      <c r="G507" s="298" t="s">
        <v>21</v>
      </c>
      <c r="H507" s="298">
        <v>15.0</v>
      </c>
      <c r="I507" s="292" t="s">
        <v>497</v>
      </c>
      <c r="J507" s="292" t="s">
        <v>498</v>
      </c>
      <c r="K507" s="287" t="s">
        <v>508</v>
      </c>
      <c r="L507" s="292" t="s">
        <v>479</v>
      </c>
      <c r="M507" s="292" t="s">
        <v>495</v>
      </c>
      <c r="N507" s="292"/>
      <c r="O507" s="298" t="s">
        <v>497</v>
      </c>
      <c r="P507" s="292" t="s">
        <v>612</v>
      </c>
      <c r="Q507" s="299" t="s">
        <v>32</v>
      </c>
      <c r="R507" s="299" t="s">
        <v>32</v>
      </c>
      <c r="S507" s="295" t="s">
        <v>32</v>
      </c>
      <c r="T507" s="292" t="s">
        <v>377</v>
      </c>
      <c r="U507" s="299" t="s">
        <v>32</v>
      </c>
      <c r="V507" s="295" t="s">
        <v>32</v>
      </c>
      <c r="W507" s="292" t="s">
        <v>377</v>
      </c>
      <c r="X507" s="299" t="s">
        <v>32</v>
      </c>
      <c r="Y507" s="295" t="s">
        <v>32</v>
      </c>
      <c r="Z507" s="292" t="s">
        <v>18</v>
      </c>
      <c r="AA507" s="292" t="s">
        <v>377</v>
      </c>
      <c r="AB507" s="288" t="s">
        <v>377</v>
      </c>
      <c r="AC507" s="289" t="s">
        <v>377</v>
      </c>
      <c r="AD507" s="292" t="s">
        <v>377</v>
      </c>
      <c r="AE507" s="292" t="s">
        <v>377</v>
      </c>
      <c r="AF507" s="288" t="s">
        <v>377</v>
      </c>
      <c r="AG507" s="292" t="s">
        <v>18</v>
      </c>
      <c r="AH507" s="292" t="s">
        <v>18</v>
      </c>
      <c r="AI507" s="288" t="s">
        <v>18</v>
      </c>
      <c r="AJ507" s="292" t="s">
        <v>18</v>
      </c>
      <c r="AK507" s="292" t="s">
        <v>18</v>
      </c>
      <c r="AL507" s="288" t="s">
        <v>18</v>
      </c>
      <c r="AM507" s="292" t="s">
        <v>377</v>
      </c>
      <c r="AN507" s="292" t="s">
        <v>18</v>
      </c>
      <c r="AO507" s="288" t="s">
        <v>377</v>
      </c>
      <c r="AP507" s="289" t="s">
        <v>18</v>
      </c>
      <c r="AQ507" s="292" t="s">
        <v>18</v>
      </c>
      <c r="AR507" s="299" t="s">
        <v>32</v>
      </c>
      <c r="AS507" s="288" t="s">
        <v>377</v>
      </c>
      <c r="AT507" s="299" t="s">
        <v>32</v>
      </c>
      <c r="AU507" s="299" t="s">
        <v>32</v>
      </c>
      <c r="AV507" s="295" t="s">
        <v>32</v>
      </c>
      <c r="AW507" s="292" t="s">
        <v>377</v>
      </c>
      <c r="AX507" s="292" t="s">
        <v>18</v>
      </c>
      <c r="AY507" s="288" t="s">
        <v>377</v>
      </c>
      <c r="AZ507" s="299" t="s">
        <v>32</v>
      </c>
      <c r="BA507" s="299" t="s">
        <v>32</v>
      </c>
      <c r="BB507" s="288" t="s">
        <v>377</v>
      </c>
      <c r="BC507" s="289" t="s">
        <v>377</v>
      </c>
      <c r="BD507" s="287"/>
    </row>
    <row r="508" ht="12.75" customHeight="1">
      <c r="A508" s="298">
        <v>2.0</v>
      </c>
      <c r="B508" s="297" t="s">
        <v>525</v>
      </c>
      <c r="C508" s="298" t="s">
        <v>567</v>
      </c>
      <c r="D508" s="298" t="s">
        <v>16</v>
      </c>
      <c r="E508" s="285" t="s">
        <v>577</v>
      </c>
      <c r="F508" s="292" t="s">
        <v>1061</v>
      </c>
      <c r="G508" s="298" t="s">
        <v>17</v>
      </c>
      <c r="H508" s="298">
        <v>15.0</v>
      </c>
      <c r="I508" s="292" t="s">
        <v>497</v>
      </c>
      <c r="J508" s="292" t="s">
        <v>498</v>
      </c>
      <c r="K508" s="287" t="s">
        <v>508</v>
      </c>
      <c r="L508" s="292" t="s">
        <v>479</v>
      </c>
      <c r="M508" s="292" t="s">
        <v>495</v>
      </c>
      <c r="N508" s="292"/>
      <c r="O508" s="298" t="s">
        <v>497</v>
      </c>
      <c r="P508" s="292" t="s">
        <v>612</v>
      </c>
      <c r="Q508" s="299" t="s">
        <v>32</v>
      </c>
      <c r="R508" s="292" t="s">
        <v>18</v>
      </c>
      <c r="S508" s="288" t="s">
        <v>377</v>
      </c>
      <c r="T508" s="292" t="s">
        <v>377</v>
      </c>
      <c r="U508" s="299" t="s">
        <v>32</v>
      </c>
      <c r="V508" s="295" t="s">
        <v>32</v>
      </c>
      <c r="W508" s="292" t="s">
        <v>18</v>
      </c>
      <c r="X508" s="292" t="s">
        <v>18</v>
      </c>
      <c r="Y508" s="288" t="s">
        <v>18</v>
      </c>
      <c r="Z508" s="299" t="s">
        <v>32</v>
      </c>
      <c r="AA508" s="299" t="s">
        <v>32</v>
      </c>
      <c r="AB508" s="295" t="s">
        <v>32</v>
      </c>
      <c r="AC508" s="289" t="s">
        <v>377</v>
      </c>
      <c r="AD508" s="292" t="s">
        <v>377</v>
      </c>
      <c r="AE508" s="292" t="s">
        <v>377</v>
      </c>
      <c r="AF508" s="288" t="s">
        <v>377</v>
      </c>
      <c r="AG508" s="292" t="s">
        <v>18</v>
      </c>
      <c r="AH508" s="292" t="s">
        <v>18</v>
      </c>
      <c r="AI508" s="288" t="s">
        <v>18</v>
      </c>
      <c r="AJ508" s="292" t="s">
        <v>18</v>
      </c>
      <c r="AK508" s="292" t="s">
        <v>18</v>
      </c>
      <c r="AL508" s="288" t="s">
        <v>18</v>
      </c>
      <c r="AM508" s="292" t="s">
        <v>377</v>
      </c>
      <c r="AN508" s="292" t="s">
        <v>18</v>
      </c>
      <c r="AO508" s="288" t="s">
        <v>377</v>
      </c>
      <c r="AP508" s="289" t="s">
        <v>18</v>
      </c>
      <c r="AQ508" s="292" t="s">
        <v>18</v>
      </c>
      <c r="AR508" s="299" t="s">
        <v>32</v>
      </c>
      <c r="AS508" s="288" t="s">
        <v>377</v>
      </c>
      <c r="AT508" s="299" t="s">
        <v>32</v>
      </c>
      <c r="AU508" s="299" t="s">
        <v>32</v>
      </c>
      <c r="AV508" s="295" t="s">
        <v>32</v>
      </c>
      <c r="AW508" s="292" t="s">
        <v>377</v>
      </c>
      <c r="AX508" s="292" t="s">
        <v>18</v>
      </c>
      <c r="AY508" s="288" t="s">
        <v>377</v>
      </c>
      <c r="AZ508" s="299" t="s">
        <v>32</v>
      </c>
      <c r="BA508" s="299" t="s">
        <v>32</v>
      </c>
      <c r="BB508" s="295" t="s">
        <v>32</v>
      </c>
      <c r="BC508" s="296" t="s">
        <v>32</v>
      </c>
      <c r="BD508" s="287"/>
    </row>
    <row r="509" ht="12.75" customHeight="1">
      <c r="A509" s="298">
        <v>3.0</v>
      </c>
      <c r="B509" s="297" t="s">
        <v>525</v>
      </c>
      <c r="C509" s="298" t="s">
        <v>567</v>
      </c>
      <c r="D509" s="298" t="s">
        <v>16</v>
      </c>
      <c r="E509" s="285" t="s">
        <v>577</v>
      </c>
      <c r="F509" s="292" t="s">
        <v>1062</v>
      </c>
      <c r="G509" s="298" t="s">
        <v>17</v>
      </c>
      <c r="H509" s="298">
        <v>15.0</v>
      </c>
      <c r="I509" s="292" t="s">
        <v>497</v>
      </c>
      <c r="J509" s="292" t="s">
        <v>498</v>
      </c>
      <c r="K509" s="287" t="s">
        <v>508</v>
      </c>
      <c r="L509" s="292" t="s">
        <v>479</v>
      </c>
      <c r="M509" s="292" t="s">
        <v>495</v>
      </c>
      <c r="N509" s="292"/>
      <c r="O509" s="298" t="s">
        <v>479</v>
      </c>
      <c r="P509" s="292" t="s">
        <v>643</v>
      </c>
      <c r="Q509" s="292" t="s">
        <v>377</v>
      </c>
      <c r="R509" s="299" t="s">
        <v>32</v>
      </c>
      <c r="S509" s="295" t="s">
        <v>32</v>
      </c>
      <c r="T509" s="292" t="s">
        <v>377</v>
      </c>
      <c r="U509" s="292" t="s">
        <v>377</v>
      </c>
      <c r="V509" s="288" t="s">
        <v>377</v>
      </c>
      <c r="W509" s="292" t="s">
        <v>377</v>
      </c>
      <c r="X509" s="292" t="s">
        <v>377</v>
      </c>
      <c r="Y509" s="288" t="s">
        <v>377</v>
      </c>
      <c r="Z509" s="299" t="s">
        <v>32</v>
      </c>
      <c r="AA509" s="292" t="s">
        <v>377</v>
      </c>
      <c r="AB509" s="295" t="s">
        <v>32</v>
      </c>
      <c r="AC509" s="289" t="s">
        <v>377</v>
      </c>
      <c r="AD509" s="292" t="s">
        <v>377</v>
      </c>
      <c r="AE509" s="292" t="s">
        <v>377</v>
      </c>
      <c r="AF509" s="288" t="s">
        <v>377</v>
      </c>
      <c r="AG509" s="292" t="s">
        <v>377</v>
      </c>
      <c r="AH509" s="292" t="s">
        <v>377</v>
      </c>
      <c r="AI509" s="288" t="s">
        <v>377</v>
      </c>
      <c r="AJ509" s="292" t="s">
        <v>377</v>
      </c>
      <c r="AK509" s="292" t="s">
        <v>377</v>
      </c>
      <c r="AL509" s="288" t="s">
        <v>377</v>
      </c>
      <c r="AM509" s="292" t="s">
        <v>377</v>
      </c>
      <c r="AN509" s="292" t="s">
        <v>377</v>
      </c>
      <c r="AO509" s="288" t="s">
        <v>377</v>
      </c>
      <c r="AP509" s="289" t="s">
        <v>377</v>
      </c>
      <c r="AQ509" s="299" t="s">
        <v>32</v>
      </c>
      <c r="AR509" s="299" t="s">
        <v>32</v>
      </c>
      <c r="AS509" s="295" t="s">
        <v>32</v>
      </c>
      <c r="AT509" s="299" t="s">
        <v>32</v>
      </c>
      <c r="AU509" s="299" t="s">
        <v>32</v>
      </c>
      <c r="AV509" s="295" t="s">
        <v>32</v>
      </c>
      <c r="AW509" s="292" t="s">
        <v>377</v>
      </c>
      <c r="AX509" s="292" t="s">
        <v>377</v>
      </c>
      <c r="AY509" s="288" t="s">
        <v>377</v>
      </c>
      <c r="AZ509" s="299" t="s">
        <v>32</v>
      </c>
      <c r="BA509" s="299" t="s">
        <v>32</v>
      </c>
      <c r="BB509" s="288" t="s">
        <v>18</v>
      </c>
      <c r="BC509" s="289" t="s">
        <v>18</v>
      </c>
      <c r="BD509" s="287"/>
    </row>
    <row r="510" ht="12.75" customHeight="1">
      <c r="A510" s="298">
        <v>5.0</v>
      </c>
      <c r="B510" s="297" t="s">
        <v>525</v>
      </c>
      <c r="C510" s="298" t="s">
        <v>567</v>
      </c>
      <c r="D510" s="298" t="s">
        <v>16</v>
      </c>
      <c r="E510" s="285" t="s">
        <v>577</v>
      </c>
      <c r="F510" s="292" t="s">
        <v>1063</v>
      </c>
      <c r="G510" s="298" t="s">
        <v>21</v>
      </c>
      <c r="H510" s="298">
        <v>16.0</v>
      </c>
      <c r="I510" s="292" t="s">
        <v>497</v>
      </c>
      <c r="J510" s="292" t="s">
        <v>498</v>
      </c>
      <c r="K510" s="287" t="s">
        <v>508</v>
      </c>
      <c r="L510" s="292" t="s">
        <v>479</v>
      </c>
      <c r="M510" s="292" t="s">
        <v>481</v>
      </c>
      <c r="N510" s="292"/>
      <c r="O510" s="298" t="s">
        <v>497</v>
      </c>
      <c r="P510" s="292" t="s">
        <v>612</v>
      </c>
      <c r="Q510" s="299" t="s">
        <v>32</v>
      </c>
      <c r="R510" s="292" t="s">
        <v>18</v>
      </c>
      <c r="S510" s="288" t="s">
        <v>377</v>
      </c>
      <c r="T510" s="292" t="s">
        <v>18</v>
      </c>
      <c r="U510" s="292" t="s">
        <v>18</v>
      </c>
      <c r="V510" s="288" t="s">
        <v>18</v>
      </c>
      <c r="W510" s="299" t="s">
        <v>32</v>
      </c>
      <c r="X510" s="299" t="s">
        <v>32</v>
      </c>
      <c r="Y510" s="295" t="s">
        <v>32</v>
      </c>
      <c r="Z510" s="299" t="s">
        <v>32</v>
      </c>
      <c r="AA510" s="299" t="s">
        <v>32</v>
      </c>
      <c r="AB510" s="295" t="s">
        <v>32</v>
      </c>
      <c r="AC510" s="289" t="s">
        <v>377</v>
      </c>
      <c r="AD510" s="299" t="s">
        <v>32</v>
      </c>
      <c r="AE510" s="299" t="s">
        <v>32</v>
      </c>
      <c r="AF510" s="295" t="s">
        <v>32</v>
      </c>
      <c r="AG510" s="299" t="s">
        <v>32</v>
      </c>
      <c r="AH510" s="299" t="s">
        <v>32</v>
      </c>
      <c r="AI510" s="295" t="s">
        <v>32</v>
      </c>
      <c r="AJ510" s="299" t="s">
        <v>32</v>
      </c>
      <c r="AK510" s="299" t="s">
        <v>32</v>
      </c>
      <c r="AL510" s="295" t="s">
        <v>32</v>
      </c>
      <c r="AM510" s="299" t="s">
        <v>32</v>
      </c>
      <c r="AN510" s="292" t="s">
        <v>18</v>
      </c>
      <c r="AO510" s="288" t="s">
        <v>377</v>
      </c>
      <c r="AP510" s="296" t="s">
        <v>32</v>
      </c>
      <c r="AQ510" s="292" t="s">
        <v>18</v>
      </c>
      <c r="AR510" s="292" t="s">
        <v>18</v>
      </c>
      <c r="AS510" s="288" t="s">
        <v>18</v>
      </c>
      <c r="AT510" s="299" t="s">
        <v>32</v>
      </c>
      <c r="AU510" s="299" t="s">
        <v>32</v>
      </c>
      <c r="AV510" s="295" t="s">
        <v>32</v>
      </c>
      <c r="AW510" s="299" t="s">
        <v>32</v>
      </c>
      <c r="AX510" s="299" t="s">
        <v>32</v>
      </c>
      <c r="AY510" s="295" t="s">
        <v>32</v>
      </c>
      <c r="AZ510" s="299" t="s">
        <v>32</v>
      </c>
      <c r="BA510" s="299" t="s">
        <v>32</v>
      </c>
      <c r="BB510" s="288" t="s">
        <v>18</v>
      </c>
      <c r="BC510" s="289" t="s">
        <v>18</v>
      </c>
      <c r="BD510" s="287"/>
    </row>
    <row r="511" ht="12.75" customHeight="1">
      <c r="A511" s="298">
        <v>6.0</v>
      </c>
      <c r="B511" s="297" t="s">
        <v>525</v>
      </c>
      <c r="C511" s="298" t="s">
        <v>567</v>
      </c>
      <c r="D511" s="298" t="s">
        <v>16</v>
      </c>
      <c r="E511" s="285" t="s">
        <v>577</v>
      </c>
      <c r="F511" s="292" t="s">
        <v>1064</v>
      </c>
      <c r="G511" s="298" t="s">
        <v>21</v>
      </c>
      <c r="H511" s="298">
        <v>15.0</v>
      </c>
      <c r="I511" s="292" t="s">
        <v>497</v>
      </c>
      <c r="J511" s="292" t="s">
        <v>498</v>
      </c>
      <c r="K511" s="287" t="s">
        <v>508</v>
      </c>
      <c r="L511" s="292" t="s">
        <v>479</v>
      </c>
      <c r="M511" s="292" t="s">
        <v>490</v>
      </c>
      <c r="N511" s="292"/>
      <c r="O511" s="298" t="s">
        <v>497</v>
      </c>
      <c r="P511" s="292" t="s">
        <v>612</v>
      </c>
      <c r="Q511" s="299" t="s">
        <v>32</v>
      </c>
      <c r="R511" s="299" t="s">
        <v>32</v>
      </c>
      <c r="S511" s="295" t="s">
        <v>32</v>
      </c>
      <c r="T511" s="299" t="s">
        <v>32</v>
      </c>
      <c r="U511" s="299" t="s">
        <v>32</v>
      </c>
      <c r="V511" s="295" t="s">
        <v>32</v>
      </c>
      <c r="W511" s="299" t="s">
        <v>32</v>
      </c>
      <c r="X511" s="299" t="s">
        <v>32</v>
      </c>
      <c r="Y511" s="295" t="s">
        <v>32</v>
      </c>
      <c r="Z511" s="299" t="s">
        <v>32</v>
      </c>
      <c r="AA511" s="299" t="s">
        <v>32</v>
      </c>
      <c r="AB511" s="295" t="s">
        <v>32</v>
      </c>
      <c r="AC511" s="296" t="s">
        <v>32</v>
      </c>
      <c r="AD511" s="299" t="s">
        <v>32</v>
      </c>
      <c r="AE511" s="299" t="s">
        <v>32</v>
      </c>
      <c r="AF511" s="295" t="s">
        <v>32</v>
      </c>
      <c r="AG511" s="299" t="s">
        <v>32</v>
      </c>
      <c r="AH511" s="299" t="s">
        <v>32</v>
      </c>
      <c r="AI511" s="295" t="s">
        <v>32</v>
      </c>
      <c r="AJ511" s="299" t="s">
        <v>32</v>
      </c>
      <c r="AK511" s="299" t="s">
        <v>32</v>
      </c>
      <c r="AL511" s="295" t="s">
        <v>32</v>
      </c>
      <c r="AM511" s="292" t="s">
        <v>377</v>
      </c>
      <c r="AN511" s="292" t="s">
        <v>377</v>
      </c>
      <c r="AO511" s="288" t="s">
        <v>377</v>
      </c>
      <c r="AP511" s="296" t="s">
        <v>32</v>
      </c>
      <c r="AQ511" s="299" t="s">
        <v>32</v>
      </c>
      <c r="AR511" s="299" t="s">
        <v>32</v>
      </c>
      <c r="AS511" s="295" t="s">
        <v>32</v>
      </c>
      <c r="AT511" s="292" t="s">
        <v>18</v>
      </c>
      <c r="AU511" s="299" t="s">
        <v>32</v>
      </c>
      <c r="AV511" s="288" t="s">
        <v>377</v>
      </c>
      <c r="AW511" s="299" t="s">
        <v>32</v>
      </c>
      <c r="AX511" s="299" t="s">
        <v>32</v>
      </c>
      <c r="AY511" s="295" t="s">
        <v>32</v>
      </c>
      <c r="AZ511" s="299" t="s">
        <v>32</v>
      </c>
      <c r="BA511" s="299" t="s">
        <v>32</v>
      </c>
      <c r="BB511" s="288" t="s">
        <v>18</v>
      </c>
      <c r="BC511" s="289" t="s">
        <v>18</v>
      </c>
      <c r="BD511" s="287"/>
    </row>
    <row r="512" ht="12.75" customHeight="1">
      <c r="A512" s="298">
        <v>7.0</v>
      </c>
      <c r="B512" s="297" t="s">
        <v>525</v>
      </c>
      <c r="C512" s="298" t="s">
        <v>567</v>
      </c>
      <c r="D512" s="298" t="s">
        <v>16</v>
      </c>
      <c r="E512" s="285" t="s">
        <v>577</v>
      </c>
      <c r="F512" s="292" t="s">
        <v>1065</v>
      </c>
      <c r="G512" s="298" t="s">
        <v>21</v>
      </c>
      <c r="H512" s="298">
        <v>15.0</v>
      </c>
      <c r="I512" s="292" t="s">
        <v>497</v>
      </c>
      <c r="J512" s="292" t="s">
        <v>498</v>
      </c>
      <c r="K512" s="287" t="s">
        <v>508</v>
      </c>
      <c r="L512" s="292" t="s">
        <v>479</v>
      </c>
      <c r="M512" s="292" t="s">
        <v>490</v>
      </c>
      <c r="N512" s="292"/>
      <c r="O512" s="298" t="s">
        <v>497</v>
      </c>
      <c r="P512" s="292" t="s">
        <v>612</v>
      </c>
      <c r="Q512" s="299" t="s">
        <v>32</v>
      </c>
      <c r="R512" s="299" t="s">
        <v>32</v>
      </c>
      <c r="S512" s="295" t="s">
        <v>32</v>
      </c>
      <c r="T512" s="299" t="s">
        <v>32</v>
      </c>
      <c r="U512" s="299" t="s">
        <v>32</v>
      </c>
      <c r="V512" s="295" t="s">
        <v>32</v>
      </c>
      <c r="W512" s="299" t="s">
        <v>32</v>
      </c>
      <c r="X512" s="299" t="s">
        <v>32</v>
      </c>
      <c r="Y512" s="295" t="s">
        <v>32</v>
      </c>
      <c r="Z512" s="299" t="s">
        <v>32</v>
      </c>
      <c r="AA512" s="299" t="s">
        <v>32</v>
      </c>
      <c r="AB512" s="295" t="s">
        <v>32</v>
      </c>
      <c r="AC512" s="296" t="s">
        <v>32</v>
      </c>
      <c r="AD512" s="299" t="s">
        <v>32</v>
      </c>
      <c r="AE512" s="299" t="s">
        <v>32</v>
      </c>
      <c r="AF512" s="295" t="s">
        <v>32</v>
      </c>
      <c r="AG512" s="292" t="s">
        <v>377</v>
      </c>
      <c r="AH512" s="299" t="s">
        <v>32</v>
      </c>
      <c r="AI512" s="295" t="s">
        <v>32</v>
      </c>
      <c r="AJ512" s="292" t="s">
        <v>377</v>
      </c>
      <c r="AK512" s="299" t="s">
        <v>32</v>
      </c>
      <c r="AL512" s="295" t="s">
        <v>32</v>
      </c>
      <c r="AM512" s="299" t="s">
        <v>32</v>
      </c>
      <c r="AN512" s="292" t="s">
        <v>377</v>
      </c>
      <c r="AO512" s="295" t="s">
        <v>32</v>
      </c>
      <c r="AP512" s="296" t="s">
        <v>32</v>
      </c>
      <c r="AQ512" s="299" t="s">
        <v>32</v>
      </c>
      <c r="AR512" s="299" t="s">
        <v>32</v>
      </c>
      <c r="AS512" s="295" t="s">
        <v>32</v>
      </c>
      <c r="AT512" s="299" t="s">
        <v>32</v>
      </c>
      <c r="AU512" s="299" t="s">
        <v>32</v>
      </c>
      <c r="AV512" s="295" t="s">
        <v>32</v>
      </c>
      <c r="AW512" s="292" t="s">
        <v>18</v>
      </c>
      <c r="AX512" s="299" t="s">
        <v>32</v>
      </c>
      <c r="AY512" s="288" t="s">
        <v>377</v>
      </c>
      <c r="AZ512" s="299" t="s">
        <v>32</v>
      </c>
      <c r="BA512" s="299" t="s">
        <v>32</v>
      </c>
      <c r="BB512" s="288" t="s">
        <v>18</v>
      </c>
      <c r="BC512" s="289" t="s">
        <v>18</v>
      </c>
      <c r="BD512" s="287"/>
    </row>
    <row r="513" ht="12.75" customHeight="1">
      <c r="A513" s="298">
        <v>8.0</v>
      </c>
      <c r="B513" s="297" t="s">
        <v>525</v>
      </c>
      <c r="C513" s="298" t="s">
        <v>567</v>
      </c>
      <c r="D513" s="298" t="s">
        <v>16</v>
      </c>
      <c r="E513" s="285" t="s">
        <v>577</v>
      </c>
      <c r="F513" s="292" t="s">
        <v>1066</v>
      </c>
      <c r="G513" s="298" t="s">
        <v>21</v>
      </c>
      <c r="H513" s="298">
        <v>17.0</v>
      </c>
      <c r="I513" s="292" t="s">
        <v>497</v>
      </c>
      <c r="J513" s="292" t="s">
        <v>498</v>
      </c>
      <c r="K513" s="287" t="s">
        <v>508</v>
      </c>
      <c r="L513" s="292" t="s">
        <v>479</v>
      </c>
      <c r="M513" s="292" t="s">
        <v>490</v>
      </c>
      <c r="N513" s="292"/>
      <c r="O513" s="298" t="s">
        <v>497</v>
      </c>
      <c r="P513" s="292" t="s">
        <v>612</v>
      </c>
      <c r="Q513" s="299" t="s">
        <v>32</v>
      </c>
      <c r="R513" s="299" t="s">
        <v>32</v>
      </c>
      <c r="S513" s="295" t="s">
        <v>32</v>
      </c>
      <c r="T513" s="299" t="s">
        <v>32</v>
      </c>
      <c r="U513" s="299" t="s">
        <v>32</v>
      </c>
      <c r="V513" s="295" t="s">
        <v>32</v>
      </c>
      <c r="W513" s="299" t="s">
        <v>32</v>
      </c>
      <c r="X513" s="299" t="s">
        <v>32</v>
      </c>
      <c r="Y513" s="295" t="s">
        <v>32</v>
      </c>
      <c r="Z513" s="299" t="s">
        <v>32</v>
      </c>
      <c r="AA513" s="299" t="s">
        <v>32</v>
      </c>
      <c r="AB513" s="295" t="s">
        <v>32</v>
      </c>
      <c r="AC513" s="296" t="s">
        <v>32</v>
      </c>
      <c r="AD513" s="299" t="s">
        <v>32</v>
      </c>
      <c r="AE513" s="299" t="s">
        <v>32</v>
      </c>
      <c r="AF513" s="295" t="s">
        <v>32</v>
      </c>
      <c r="AG513" s="299" t="s">
        <v>32</v>
      </c>
      <c r="AH513" s="299" t="s">
        <v>32</v>
      </c>
      <c r="AI513" s="295" t="s">
        <v>32</v>
      </c>
      <c r="AJ513" s="299" t="s">
        <v>32</v>
      </c>
      <c r="AK513" s="299" t="s">
        <v>32</v>
      </c>
      <c r="AL513" s="295" t="s">
        <v>32</v>
      </c>
      <c r="AM513" s="299" t="s">
        <v>32</v>
      </c>
      <c r="AN513" s="299" t="s">
        <v>32</v>
      </c>
      <c r="AO513" s="295" t="s">
        <v>32</v>
      </c>
      <c r="AP513" s="296" t="s">
        <v>32</v>
      </c>
      <c r="AQ513" s="299" t="s">
        <v>32</v>
      </c>
      <c r="AR513" s="299" t="s">
        <v>32</v>
      </c>
      <c r="AS513" s="295" t="s">
        <v>32</v>
      </c>
      <c r="AT513" s="299" t="s">
        <v>32</v>
      </c>
      <c r="AU513" s="299" t="s">
        <v>32</v>
      </c>
      <c r="AV513" s="295" t="s">
        <v>32</v>
      </c>
      <c r="AW513" s="299" t="s">
        <v>32</v>
      </c>
      <c r="AX513" s="299" t="s">
        <v>32</v>
      </c>
      <c r="AY513" s="295" t="s">
        <v>32</v>
      </c>
      <c r="AZ513" s="299" t="s">
        <v>32</v>
      </c>
      <c r="BA513" s="299" t="s">
        <v>32</v>
      </c>
      <c r="BB513" s="288" t="s">
        <v>18</v>
      </c>
      <c r="BC513" s="289" t="s">
        <v>18</v>
      </c>
      <c r="BD513" s="287"/>
    </row>
    <row r="514" ht="12.75" customHeight="1">
      <c r="A514" s="298">
        <v>9.0</v>
      </c>
      <c r="B514" s="297" t="s">
        <v>525</v>
      </c>
      <c r="C514" s="298" t="s">
        <v>567</v>
      </c>
      <c r="D514" s="298" t="s">
        <v>16</v>
      </c>
      <c r="E514" s="285" t="s">
        <v>577</v>
      </c>
      <c r="F514" s="292" t="s">
        <v>1067</v>
      </c>
      <c r="G514" s="298" t="s">
        <v>21</v>
      </c>
      <c r="H514" s="298">
        <v>15.0</v>
      </c>
      <c r="I514" s="292" t="s">
        <v>497</v>
      </c>
      <c r="J514" s="292" t="s">
        <v>498</v>
      </c>
      <c r="K514" s="287" t="s">
        <v>508</v>
      </c>
      <c r="L514" s="292" t="s">
        <v>479</v>
      </c>
      <c r="M514" s="292" t="s">
        <v>495</v>
      </c>
      <c r="N514" s="292"/>
      <c r="O514" s="298" t="s">
        <v>497</v>
      </c>
      <c r="P514" s="292" t="s">
        <v>612</v>
      </c>
      <c r="Q514" s="299" t="s">
        <v>32</v>
      </c>
      <c r="R514" s="299" t="s">
        <v>32</v>
      </c>
      <c r="S514" s="295" t="s">
        <v>32</v>
      </c>
      <c r="T514" s="299" t="s">
        <v>32</v>
      </c>
      <c r="U514" s="299" t="s">
        <v>32</v>
      </c>
      <c r="V514" s="295" t="s">
        <v>32</v>
      </c>
      <c r="W514" s="299" t="s">
        <v>32</v>
      </c>
      <c r="X514" s="299" t="s">
        <v>32</v>
      </c>
      <c r="Y514" s="295" t="s">
        <v>32</v>
      </c>
      <c r="Z514" s="299" t="s">
        <v>32</v>
      </c>
      <c r="AA514" s="299" t="s">
        <v>32</v>
      </c>
      <c r="AB514" s="295" t="s">
        <v>32</v>
      </c>
      <c r="AC514" s="296" t="s">
        <v>32</v>
      </c>
      <c r="AD514" s="299" t="s">
        <v>32</v>
      </c>
      <c r="AE514" s="299" t="s">
        <v>32</v>
      </c>
      <c r="AF514" s="295" t="s">
        <v>32</v>
      </c>
      <c r="AG514" s="299" t="s">
        <v>32</v>
      </c>
      <c r="AH514" s="299" t="s">
        <v>32</v>
      </c>
      <c r="AI514" s="295" t="s">
        <v>32</v>
      </c>
      <c r="AJ514" s="299" t="s">
        <v>32</v>
      </c>
      <c r="AK514" s="299" t="s">
        <v>32</v>
      </c>
      <c r="AL514" s="295" t="s">
        <v>32</v>
      </c>
      <c r="AM514" s="299" t="s">
        <v>32</v>
      </c>
      <c r="AN514" s="299" t="s">
        <v>32</v>
      </c>
      <c r="AO514" s="295" t="s">
        <v>32</v>
      </c>
      <c r="AP514" s="296" t="s">
        <v>32</v>
      </c>
      <c r="AQ514" s="299" t="s">
        <v>32</v>
      </c>
      <c r="AR514" s="292" t="s">
        <v>18</v>
      </c>
      <c r="AS514" s="288" t="s">
        <v>377</v>
      </c>
      <c r="AT514" s="299" t="s">
        <v>32</v>
      </c>
      <c r="AU514" s="299" t="s">
        <v>32</v>
      </c>
      <c r="AV514" s="295" t="s">
        <v>32</v>
      </c>
      <c r="AW514" s="299" t="s">
        <v>32</v>
      </c>
      <c r="AX514" s="299" t="s">
        <v>32</v>
      </c>
      <c r="AY514" s="295" t="s">
        <v>32</v>
      </c>
      <c r="AZ514" s="299" t="s">
        <v>32</v>
      </c>
      <c r="BA514" s="299" t="s">
        <v>32</v>
      </c>
      <c r="BB514" s="288" t="s">
        <v>18</v>
      </c>
      <c r="BC514" s="289" t="s">
        <v>18</v>
      </c>
      <c r="BD514" s="287"/>
    </row>
    <row r="515" ht="12.75" customHeight="1">
      <c r="A515" s="298">
        <v>10.0</v>
      </c>
      <c r="B515" s="297" t="s">
        <v>525</v>
      </c>
      <c r="C515" s="298" t="s">
        <v>567</v>
      </c>
      <c r="D515" s="298" t="s">
        <v>16</v>
      </c>
      <c r="E515" s="285" t="s">
        <v>577</v>
      </c>
      <c r="F515" s="292" t="s">
        <v>1068</v>
      </c>
      <c r="G515" s="298" t="s">
        <v>17</v>
      </c>
      <c r="H515" s="298">
        <v>15.0</v>
      </c>
      <c r="I515" s="292" t="s">
        <v>497</v>
      </c>
      <c r="J515" s="292" t="s">
        <v>498</v>
      </c>
      <c r="K515" s="287" t="s">
        <v>508</v>
      </c>
      <c r="L515" s="292" t="s">
        <v>479</v>
      </c>
      <c r="M515" s="292" t="s">
        <v>495</v>
      </c>
      <c r="N515" s="292"/>
      <c r="O515" s="298" t="s">
        <v>479</v>
      </c>
      <c r="P515" s="292" t="s">
        <v>796</v>
      </c>
      <c r="Q515" s="299" t="s">
        <v>32</v>
      </c>
      <c r="R515" s="299" t="s">
        <v>32</v>
      </c>
      <c r="S515" s="295" t="s">
        <v>32</v>
      </c>
      <c r="T515" s="299" t="s">
        <v>32</v>
      </c>
      <c r="U515" s="299" t="s">
        <v>32</v>
      </c>
      <c r="V515" s="295" t="s">
        <v>32</v>
      </c>
      <c r="W515" s="299" t="s">
        <v>32</v>
      </c>
      <c r="X515" s="299" t="s">
        <v>32</v>
      </c>
      <c r="Y515" s="295" t="s">
        <v>32</v>
      </c>
      <c r="Z515" s="299" t="s">
        <v>32</v>
      </c>
      <c r="AA515" s="299" t="s">
        <v>32</v>
      </c>
      <c r="AB515" s="295" t="s">
        <v>32</v>
      </c>
      <c r="AC515" s="296" t="s">
        <v>32</v>
      </c>
      <c r="AD515" s="292" t="s">
        <v>377</v>
      </c>
      <c r="AE515" s="292" t="s">
        <v>377</v>
      </c>
      <c r="AF515" s="288" t="s">
        <v>377</v>
      </c>
      <c r="AG515" s="299" t="s">
        <v>32</v>
      </c>
      <c r="AH515" s="292" t="s">
        <v>377</v>
      </c>
      <c r="AI515" s="295" t="s">
        <v>32</v>
      </c>
      <c r="AJ515" s="299" t="s">
        <v>32</v>
      </c>
      <c r="AK515" s="299" t="s">
        <v>32</v>
      </c>
      <c r="AL515" s="295" t="s">
        <v>32</v>
      </c>
      <c r="AM515" s="299" t="s">
        <v>32</v>
      </c>
      <c r="AN515" s="299" t="s">
        <v>32</v>
      </c>
      <c r="AO515" s="295" t="s">
        <v>32</v>
      </c>
      <c r="AP515" s="296" t="s">
        <v>32</v>
      </c>
      <c r="AQ515" s="299" t="s">
        <v>32</v>
      </c>
      <c r="AR515" s="299" t="s">
        <v>32</v>
      </c>
      <c r="AS515" s="295" t="s">
        <v>32</v>
      </c>
      <c r="AT515" s="299" t="s">
        <v>32</v>
      </c>
      <c r="AU515" s="299" t="s">
        <v>32</v>
      </c>
      <c r="AV515" s="295" t="s">
        <v>32</v>
      </c>
      <c r="AW515" s="299" t="s">
        <v>32</v>
      </c>
      <c r="AX515" s="299" t="s">
        <v>32</v>
      </c>
      <c r="AY515" s="295" t="s">
        <v>32</v>
      </c>
      <c r="AZ515" s="299" t="s">
        <v>32</v>
      </c>
      <c r="BA515" s="299" t="s">
        <v>32</v>
      </c>
      <c r="BB515" s="288" t="s">
        <v>18</v>
      </c>
      <c r="BC515" s="289" t="s">
        <v>18</v>
      </c>
      <c r="BD515" s="287"/>
    </row>
    <row r="516" ht="12.75" customHeight="1">
      <c r="A516" s="298">
        <v>12.0</v>
      </c>
      <c r="B516" s="297" t="s">
        <v>525</v>
      </c>
      <c r="C516" s="298" t="s">
        <v>567</v>
      </c>
      <c r="D516" s="298" t="s">
        <v>16</v>
      </c>
      <c r="E516" s="285" t="s">
        <v>577</v>
      </c>
      <c r="F516" s="292" t="s">
        <v>1069</v>
      </c>
      <c r="G516" s="298" t="s">
        <v>21</v>
      </c>
      <c r="H516" s="298">
        <v>15.0</v>
      </c>
      <c r="I516" s="292" t="s">
        <v>497</v>
      </c>
      <c r="J516" s="292" t="s">
        <v>498</v>
      </c>
      <c r="K516" s="287" t="s">
        <v>508</v>
      </c>
      <c r="L516" s="292" t="s">
        <v>479</v>
      </c>
      <c r="M516" s="292" t="s">
        <v>483</v>
      </c>
      <c r="N516" s="292"/>
      <c r="O516" s="298" t="s">
        <v>497</v>
      </c>
      <c r="P516" s="292" t="s">
        <v>612</v>
      </c>
      <c r="Q516" s="299" t="s">
        <v>32</v>
      </c>
      <c r="R516" s="299" t="s">
        <v>32</v>
      </c>
      <c r="S516" s="295" t="s">
        <v>32</v>
      </c>
      <c r="T516" s="292" t="s">
        <v>377</v>
      </c>
      <c r="U516" s="299" t="s">
        <v>32</v>
      </c>
      <c r="V516" s="295" t="s">
        <v>32</v>
      </c>
      <c r="W516" s="299" t="s">
        <v>32</v>
      </c>
      <c r="X516" s="299" t="s">
        <v>32</v>
      </c>
      <c r="Y516" s="295" t="s">
        <v>32</v>
      </c>
      <c r="Z516" s="299" t="s">
        <v>32</v>
      </c>
      <c r="AA516" s="299" t="s">
        <v>32</v>
      </c>
      <c r="AB516" s="295" t="s">
        <v>32</v>
      </c>
      <c r="AC516" s="296" t="s">
        <v>32</v>
      </c>
      <c r="AD516" s="299" t="s">
        <v>32</v>
      </c>
      <c r="AE516" s="299" t="s">
        <v>32</v>
      </c>
      <c r="AF516" s="295" t="s">
        <v>32</v>
      </c>
      <c r="AG516" s="299" t="s">
        <v>32</v>
      </c>
      <c r="AH516" s="292" t="s">
        <v>377</v>
      </c>
      <c r="AI516" s="295" t="s">
        <v>32</v>
      </c>
      <c r="AJ516" s="292" t="s">
        <v>377</v>
      </c>
      <c r="AK516" s="292" t="s">
        <v>377</v>
      </c>
      <c r="AL516" s="288" t="s">
        <v>377</v>
      </c>
      <c r="AM516" s="292" t="s">
        <v>377</v>
      </c>
      <c r="AN516" s="292" t="s">
        <v>377</v>
      </c>
      <c r="AO516" s="288" t="s">
        <v>377</v>
      </c>
      <c r="AP516" s="289" t="s">
        <v>377</v>
      </c>
      <c r="AQ516" s="292" t="s">
        <v>377</v>
      </c>
      <c r="AR516" s="292" t="s">
        <v>377</v>
      </c>
      <c r="AS516" s="288" t="s">
        <v>377</v>
      </c>
      <c r="AT516" s="292" t="s">
        <v>377</v>
      </c>
      <c r="AU516" s="299" t="s">
        <v>32</v>
      </c>
      <c r="AV516" s="295" t="s">
        <v>32</v>
      </c>
      <c r="AW516" s="292" t="s">
        <v>377</v>
      </c>
      <c r="AX516" s="292" t="s">
        <v>377</v>
      </c>
      <c r="AY516" s="288" t="s">
        <v>377</v>
      </c>
      <c r="AZ516" s="292" t="s">
        <v>377</v>
      </c>
      <c r="BA516" s="292" t="s">
        <v>377</v>
      </c>
      <c r="BB516" s="288" t="s">
        <v>18</v>
      </c>
      <c r="BC516" s="289" t="s">
        <v>18</v>
      </c>
      <c r="BD516" s="287"/>
    </row>
    <row r="517" ht="12.75" customHeight="1">
      <c r="A517" s="298">
        <v>15.0</v>
      </c>
      <c r="B517" s="297" t="s">
        <v>525</v>
      </c>
      <c r="C517" s="298" t="s">
        <v>567</v>
      </c>
      <c r="D517" s="298" t="s">
        <v>16</v>
      </c>
      <c r="E517" s="285" t="s">
        <v>577</v>
      </c>
      <c r="F517" s="292" t="s">
        <v>1070</v>
      </c>
      <c r="G517" s="298" t="s">
        <v>17</v>
      </c>
      <c r="H517" s="298">
        <v>15.0</v>
      </c>
      <c r="I517" s="292" t="s">
        <v>497</v>
      </c>
      <c r="J517" s="292" t="s">
        <v>498</v>
      </c>
      <c r="K517" s="287" t="s">
        <v>508</v>
      </c>
      <c r="L517" s="292" t="s">
        <v>479</v>
      </c>
      <c r="M517" s="292" t="s">
        <v>490</v>
      </c>
      <c r="N517" s="292"/>
      <c r="O517" s="298" t="s">
        <v>497</v>
      </c>
      <c r="P517" s="292" t="s">
        <v>612</v>
      </c>
      <c r="Q517" s="299" t="s">
        <v>32</v>
      </c>
      <c r="R517" s="299" t="s">
        <v>32</v>
      </c>
      <c r="S517" s="295" t="s">
        <v>32</v>
      </c>
      <c r="T517" s="299" t="s">
        <v>32</v>
      </c>
      <c r="U517" s="299" t="s">
        <v>32</v>
      </c>
      <c r="V517" s="295" t="s">
        <v>32</v>
      </c>
      <c r="W517" s="292" t="s">
        <v>377</v>
      </c>
      <c r="X517" s="299" t="s">
        <v>32</v>
      </c>
      <c r="Y517" s="295" t="s">
        <v>32</v>
      </c>
      <c r="Z517" s="299" t="s">
        <v>32</v>
      </c>
      <c r="AA517" s="292" t="s">
        <v>377</v>
      </c>
      <c r="AB517" s="295" t="s">
        <v>32</v>
      </c>
      <c r="AC517" s="296" t="s">
        <v>32</v>
      </c>
      <c r="AD517" s="292" t="s">
        <v>377</v>
      </c>
      <c r="AE517" s="299" t="s">
        <v>32</v>
      </c>
      <c r="AF517" s="295" t="s">
        <v>32</v>
      </c>
      <c r="AG517" s="299" t="s">
        <v>32</v>
      </c>
      <c r="AH517" s="292" t="s">
        <v>377</v>
      </c>
      <c r="AI517" s="295" t="s">
        <v>32</v>
      </c>
      <c r="AJ517" s="299" t="s">
        <v>32</v>
      </c>
      <c r="AK517" s="292" t="s">
        <v>377</v>
      </c>
      <c r="AL517" s="295" t="s">
        <v>32</v>
      </c>
      <c r="AM517" s="292" t="s">
        <v>377</v>
      </c>
      <c r="AN517" s="292" t="s">
        <v>377</v>
      </c>
      <c r="AO517" s="288" t="s">
        <v>377</v>
      </c>
      <c r="AP517" s="289" t="s">
        <v>377</v>
      </c>
      <c r="AQ517" s="299" t="s">
        <v>32</v>
      </c>
      <c r="AR517" s="299" t="s">
        <v>32</v>
      </c>
      <c r="AS517" s="295" t="s">
        <v>32</v>
      </c>
      <c r="AT517" s="299" t="s">
        <v>32</v>
      </c>
      <c r="AU517" s="299" t="s">
        <v>32</v>
      </c>
      <c r="AV517" s="295" t="s">
        <v>32</v>
      </c>
      <c r="AW517" s="292" t="s">
        <v>377</v>
      </c>
      <c r="AX517" s="299" t="s">
        <v>32</v>
      </c>
      <c r="AY517" s="295" t="s">
        <v>32</v>
      </c>
      <c r="AZ517" s="299" t="s">
        <v>32</v>
      </c>
      <c r="BA517" s="299" t="s">
        <v>32</v>
      </c>
      <c r="BB517" s="288" t="s">
        <v>18</v>
      </c>
      <c r="BC517" s="289" t="s">
        <v>18</v>
      </c>
      <c r="BD517" s="287"/>
    </row>
    <row r="518" ht="12.75" customHeight="1">
      <c r="A518" s="298">
        <v>16.0</v>
      </c>
      <c r="B518" s="297" t="s">
        <v>525</v>
      </c>
      <c r="C518" s="298" t="s">
        <v>567</v>
      </c>
      <c r="D518" s="298" t="s">
        <v>16</v>
      </c>
      <c r="E518" s="285" t="s">
        <v>577</v>
      </c>
      <c r="F518" s="292" t="s">
        <v>1071</v>
      </c>
      <c r="G518" s="298" t="s">
        <v>17</v>
      </c>
      <c r="H518" s="298">
        <v>15.0</v>
      </c>
      <c r="I518" s="292" t="s">
        <v>497</v>
      </c>
      <c r="J518" s="292" t="s">
        <v>498</v>
      </c>
      <c r="K518" s="287" t="s">
        <v>508</v>
      </c>
      <c r="L518" s="292" t="s">
        <v>479</v>
      </c>
      <c r="M518" s="292" t="s">
        <v>483</v>
      </c>
      <c r="N518" s="292"/>
      <c r="O518" s="298" t="s">
        <v>497</v>
      </c>
      <c r="P518" s="292" t="s">
        <v>612</v>
      </c>
      <c r="Q518" s="299" t="s">
        <v>32</v>
      </c>
      <c r="R518" s="299" t="s">
        <v>32</v>
      </c>
      <c r="S518" s="295" t="s">
        <v>32</v>
      </c>
      <c r="T518" s="299" t="s">
        <v>32</v>
      </c>
      <c r="U518" s="299" t="s">
        <v>32</v>
      </c>
      <c r="V518" s="295" t="s">
        <v>32</v>
      </c>
      <c r="W518" s="292" t="s">
        <v>18</v>
      </c>
      <c r="X518" s="299" t="s">
        <v>32</v>
      </c>
      <c r="Y518" s="288" t="s">
        <v>377</v>
      </c>
      <c r="Z518" s="299" t="s">
        <v>32</v>
      </c>
      <c r="AA518" s="299" t="s">
        <v>32</v>
      </c>
      <c r="AB518" s="295" t="s">
        <v>32</v>
      </c>
      <c r="AC518" s="296" t="s">
        <v>32</v>
      </c>
      <c r="AD518" s="292" t="s">
        <v>377</v>
      </c>
      <c r="AE518" s="292" t="s">
        <v>377</v>
      </c>
      <c r="AF518" s="288" t="s">
        <v>377</v>
      </c>
      <c r="AG518" s="299" t="s">
        <v>32</v>
      </c>
      <c r="AH518" s="299" t="s">
        <v>32</v>
      </c>
      <c r="AI518" s="295" t="s">
        <v>32</v>
      </c>
      <c r="AJ518" s="299" t="s">
        <v>32</v>
      </c>
      <c r="AK518" s="292" t="s">
        <v>377</v>
      </c>
      <c r="AL518" s="295" t="s">
        <v>32</v>
      </c>
      <c r="AM518" s="292" t="s">
        <v>18</v>
      </c>
      <c r="AN518" s="292" t="s">
        <v>377</v>
      </c>
      <c r="AO518" s="288" t="s">
        <v>377</v>
      </c>
      <c r="AP518" s="289" t="s">
        <v>377</v>
      </c>
      <c r="AQ518" s="299" t="s">
        <v>32</v>
      </c>
      <c r="AR518" s="299" t="s">
        <v>32</v>
      </c>
      <c r="AS518" s="295" t="s">
        <v>32</v>
      </c>
      <c r="AT518" s="292" t="s">
        <v>377</v>
      </c>
      <c r="AU518" s="299" t="s">
        <v>32</v>
      </c>
      <c r="AV518" s="295" t="s">
        <v>32</v>
      </c>
      <c r="AW518" s="299" t="s">
        <v>32</v>
      </c>
      <c r="AX518" s="299" t="s">
        <v>32</v>
      </c>
      <c r="AY518" s="295" t="s">
        <v>32</v>
      </c>
      <c r="AZ518" s="299" t="s">
        <v>32</v>
      </c>
      <c r="BA518" s="299" t="s">
        <v>32</v>
      </c>
      <c r="BB518" s="288" t="s">
        <v>18</v>
      </c>
      <c r="BC518" s="289" t="s">
        <v>18</v>
      </c>
      <c r="BD518" s="287"/>
    </row>
    <row r="519" ht="12.75" customHeight="1">
      <c r="A519" s="298">
        <v>17.0</v>
      </c>
      <c r="B519" s="297" t="s">
        <v>525</v>
      </c>
      <c r="C519" s="298" t="s">
        <v>567</v>
      </c>
      <c r="D519" s="298" t="s">
        <v>16</v>
      </c>
      <c r="E519" s="285" t="s">
        <v>577</v>
      </c>
      <c r="F519" s="292" t="s">
        <v>1072</v>
      </c>
      <c r="G519" s="298" t="s">
        <v>17</v>
      </c>
      <c r="H519" s="298">
        <v>16.0</v>
      </c>
      <c r="I519" s="292" t="s">
        <v>497</v>
      </c>
      <c r="J519" s="292" t="s">
        <v>498</v>
      </c>
      <c r="K519" s="287" t="s">
        <v>508</v>
      </c>
      <c r="L519" s="292" t="s">
        <v>479</v>
      </c>
      <c r="M519" s="292" t="s">
        <v>483</v>
      </c>
      <c r="N519" s="292"/>
      <c r="O519" s="298" t="s">
        <v>497</v>
      </c>
      <c r="P519" s="292" t="s">
        <v>612</v>
      </c>
      <c r="Q519" s="299" t="s">
        <v>32</v>
      </c>
      <c r="R519" s="299" t="s">
        <v>32</v>
      </c>
      <c r="S519" s="295" t="s">
        <v>32</v>
      </c>
      <c r="T519" s="299" t="s">
        <v>32</v>
      </c>
      <c r="U519" s="299" t="s">
        <v>32</v>
      </c>
      <c r="V519" s="295" t="s">
        <v>32</v>
      </c>
      <c r="W519" s="299" t="s">
        <v>32</v>
      </c>
      <c r="X519" s="299" t="s">
        <v>32</v>
      </c>
      <c r="Y519" s="295" t="s">
        <v>32</v>
      </c>
      <c r="Z519" s="299" t="s">
        <v>32</v>
      </c>
      <c r="AA519" s="299" t="s">
        <v>32</v>
      </c>
      <c r="AB519" s="295" t="s">
        <v>32</v>
      </c>
      <c r="AC519" s="296" t="s">
        <v>32</v>
      </c>
      <c r="AD519" s="292" t="s">
        <v>377</v>
      </c>
      <c r="AE519" s="292" t="s">
        <v>377</v>
      </c>
      <c r="AF519" s="288" t="s">
        <v>377</v>
      </c>
      <c r="AG519" s="292" t="s">
        <v>377</v>
      </c>
      <c r="AH519" s="292" t="s">
        <v>377</v>
      </c>
      <c r="AI519" s="288" t="s">
        <v>377</v>
      </c>
      <c r="AJ519" s="299" t="s">
        <v>32</v>
      </c>
      <c r="AK519" s="299" t="s">
        <v>32</v>
      </c>
      <c r="AL519" s="295" t="s">
        <v>32</v>
      </c>
      <c r="AM519" s="299" t="s">
        <v>32</v>
      </c>
      <c r="AN519" s="292" t="s">
        <v>377</v>
      </c>
      <c r="AO519" s="295" t="s">
        <v>32</v>
      </c>
      <c r="AP519" s="289" t="s">
        <v>377</v>
      </c>
      <c r="AQ519" s="299" t="s">
        <v>32</v>
      </c>
      <c r="AR519" s="299" t="s">
        <v>32</v>
      </c>
      <c r="AS519" s="295" t="s">
        <v>32</v>
      </c>
      <c r="AT519" s="299" t="s">
        <v>32</v>
      </c>
      <c r="AU519" s="299" t="s">
        <v>32</v>
      </c>
      <c r="AV519" s="295" t="s">
        <v>32</v>
      </c>
      <c r="AW519" s="299" t="s">
        <v>32</v>
      </c>
      <c r="AX519" s="299" t="s">
        <v>32</v>
      </c>
      <c r="AY519" s="295" t="s">
        <v>32</v>
      </c>
      <c r="AZ519" s="299" t="s">
        <v>32</v>
      </c>
      <c r="BA519" s="299" t="s">
        <v>32</v>
      </c>
      <c r="BB519" s="288" t="s">
        <v>377</v>
      </c>
      <c r="BC519" s="289" t="s">
        <v>377</v>
      </c>
      <c r="BD519" s="287"/>
    </row>
    <row r="520" ht="12.75" customHeight="1">
      <c r="A520" s="298">
        <v>25.0</v>
      </c>
      <c r="B520" s="297" t="s">
        <v>525</v>
      </c>
      <c r="C520" s="298" t="s">
        <v>567</v>
      </c>
      <c r="D520" s="298" t="s">
        <v>16</v>
      </c>
      <c r="E520" s="285" t="s">
        <v>577</v>
      </c>
      <c r="F520" s="292" t="s">
        <v>1073</v>
      </c>
      <c r="G520" s="298" t="s">
        <v>17</v>
      </c>
      <c r="H520" s="298">
        <v>16.0</v>
      </c>
      <c r="I520" s="292" t="s">
        <v>497</v>
      </c>
      <c r="J520" s="292" t="s">
        <v>498</v>
      </c>
      <c r="K520" s="287" t="s">
        <v>508</v>
      </c>
      <c r="L520" s="292" t="s">
        <v>479</v>
      </c>
      <c r="M520" s="292" t="s">
        <v>483</v>
      </c>
      <c r="N520" s="292"/>
      <c r="O520" s="298" t="s">
        <v>497</v>
      </c>
      <c r="P520" s="292" t="s">
        <v>612</v>
      </c>
      <c r="Q520" s="299" t="s">
        <v>32</v>
      </c>
      <c r="R520" s="299" t="s">
        <v>32</v>
      </c>
      <c r="S520" s="295" t="s">
        <v>32</v>
      </c>
      <c r="T520" s="299" t="s">
        <v>32</v>
      </c>
      <c r="U520" s="299" t="s">
        <v>32</v>
      </c>
      <c r="V520" s="295" t="s">
        <v>32</v>
      </c>
      <c r="W520" s="299" t="s">
        <v>32</v>
      </c>
      <c r="X520" s="299" t="s">
        <v>32</v>
      </c>
      <c r="Y520" s="295" t="s">
        <v>32</v>
      </c>
      <c r="Z520" s="299" t="s">
        <v>32</v>
      </c>
      <c r="AA520" s="299" t="s">
        <v>32</v>
      </c>
      <c r="AB520" s="295" t="s">
        <v>32</v>
      </c>
      <c r="AC520" s="296" t="s">
        <v>32</v>
      </c>
      <c r="AD520" s="292" t="s">
        <v>377</v>
      </c>
      <c r="AE520" s="299" t="s">
        <v>32</v>
      </c>
      <c r="AF520" s="295" t="s">
        <v>32</v>
      </c>
      <c r="AG520" s="292" t="s">
        <v>377</v>
      </c>
      <c r="AH520" s="299" t="s">
        <v>32</v>
      </c>
      <c r="AI520" s="295" t="s">
        <v>32</v>
      </c>
      <c r="AJ520" s="299" t="s">
        <v>32</v>
      </c>
      <c r="AK520" s="292" t="s">
        <v>377</v>
      </c>
      <c r="AL520" s="295" t="s">
        <v>32</v>
      </c>
      <c r="AM520" s="292" t="s">
        <v>377</v>
      </c>
      <c r="AN520" s="292" t="s">
        <v>377</v>
      </c>
      <c r="AO520" s="288" t="s">
        <v>377</v>
      </c>
      <c r="AP520" s="289" t="s">
        <v>377</v>
      </c>
      <c r="AQ520" s="299" t="s">
        <v>32</v>
      </c>
      <c r="AR520" s="292" t="s">
        <v>377</v>
      </c>
      <c r="AS520" s="295" t="s">
        <v>32</v>
      </c>
      <c r="AT520" s="299" t="s">
        <v>32</v>
      </c>
      <c r="AU520" s="299" t="s">
        <v>32</v>
      </c>
      <c r="AV520" s="295" t="s">
        <v>32</v>
      </c>
      <c r="AW520" s="292" t="s">
        <v>18</v>
      </c>
      <c r="AX520" s="292" t="s">
        <v>18</v>
      </c>
      <c r="AY520" s="288" t="s">
        <v>18</v>
      </c>
      <c r="AZ520" s="299" t="s">
        <v>32</v>
      </c>
      <c r="BA520" s="292" t="s">
        <v>18</v>
      </c>
      <c r="BB520" s="288" t="s">
        <v>377</v>
      </c>
      <c r="BC520" s="289" t="s">
        <v>377</v>
      </c>
      <c r="BD520" s="287"/>
    </row>
    <row r="521" ht="12.75" customHeight="1">
      <c r="A521" s="298">
        <v>26.0</v>
      </c>
      <c r="B521" s="297" t="s">
        <v>525</v>
      </c>
      <c r="C521" s="298" t="s">
        <v>567</v>
      </c>
      <c r="D521" s="298" t="s">
        <v>16</v>
      </c>
      <c r="E521" s="285" t="s">
        <v>577</v>
      </c>
      <c r="F521" s="292" t="s">
        <v>1074</v>
      </c>
      <c r="G521" s="298" t="s">
        <v>21</v>
      </c>
      <c r="H521" s="298">
        <v>15.0</v>
      </c>
      <c r="I521" s="292" t="s">
        <v>497</v>
      </c>
      <c r="J521" s="292" t="s">
        <v>498</v>
      </c>
      <c r="K521" s="287" t="s">
        <v>508</v>
      </c>
      <c r="L521" s="292" t="s">
        <v>479</v>
      </c>
      <c r="M521" s="292" t="s">
        <v>483</v>
      </c>
      <c r="N521" s="292"/>
      <c r="O521" s="298" t="s">
        <v>497</v>
      </c>
      <c r="P521" s="292" t="s">
        <v>612</v>
      </c>
      <c r="Q521" s="299" t="s">
        <v>32</v>
      </c>
      <c r="R521" s="299" t="s">
        <v>32</v>
      </c>
      <c r="S521" s="295" t="s">
        <v>32</v>
      </c>
      <c r="T521" s="299" t="s">
        <v>32</v>
      </c>
      <c r="U521" s="299" t="s">
        <v>32</v>
      </c>
      <c r="V521" s="295" t="s">
        <v>32</v>
      </c>
      <c r="W521" s="292" t="s">
        <v>377</v>
      </c>
      <c r="X521" s="292" t="s">
        <v>377</v>
      </c>
      <c r="Y521" s="288" t="s">
        <v>377</v>
      </c>
      <c r="Z521" s="299" t="s">
        <v>32</v>
      </c>
      <c r="AA521" s="299" t="s">
        <v>32</v>
      </c>
      <c r="AB521" s="295" t="s">
        <v>32</v>
      </c>
      <c r="AC521" s="296" t="s">
        <v>32</v>
      </c>
      <c r="AD521" s="299" t="s">
        <v>32</v>
      </c>
      <c r="AE521" s="299" t="s">
        <v>32</v>
      </c>
      <c r="AF521" s="295" t="s">
        <v>32</v>
      </c>
      <c r="AG521" s="292" t="s">
        <v>18</v>
      </c>
      <c r="AH521" s="292" t="s">
        <v>18</v>
      </c>
      <c r="AI521" s="288" t="s">
        <v>18</v>
      </c>
      <c r="AJ521" s="299" t="s">
        <v>32</v>
      </c>
      <c r="AK521" s="292" t="s">
        <v>377</v>
      </c>
      <c r="AL521" s="295" t="s">
        <v>32</v>
      </c>
      <c r="AM521" s="292" t="s">
        <v>18</v>
      </c>
      <c r="AN521" s="292" t="s">
        <v>18</v>
      </c>
      <c r="AO521" s="288" t="s">
        <v>18</v>
      </c>
      <c r="AP521" s="289" t="s">
        <v>377</v>
      </c>
      <c r="AQ521" s="292" t="s">
        <v>18</v>
      </c>
      <c r="AR521" s="299" t="s">
        <v>32</v>
      </c>
      <c r="AS521" s="288" t="s">
        <v>377</v>
      </c>
      <c r="AT521" s="299" t="s">
        <v>32</v>
      </c>
      <c r="AU521" s="299" t="s">
        <v>32</v>
      </c>
      <c r="AV521" s="295" t="s">
        <v>32</v>
      </c>
      <c r="AW521" s="292" t="s">
        <v>18</v>
      </c>
      <c r="AX521" s="292" t="s">
        <v>18</v>
      </c>
      <c r="AY521" s="288" t="s">
        <v>18</v>
      </c>
      <c r="AZ521" s="299" t="s">
        <v>32</v>
      </c>
      <c r="BA521" s="292" t="s">
        <v>18</v>
      </c>
      <c r="BB521" s="288" t="s">
        <v>377</v>
      </c>
      <c r="BC521" s="289" t="s">
        <v>377</v>
      </c>
      <c r="BD521" s="287"/>
    </row>
    <row r="522" ht="12.75" customHeight="1">
      <c r="A522" s="298">
        <v>27.0</v>
      </c>
      <c r="B522" s="297" t="s">
        <v>525</v>
      </c>
      <c r="C522" s="298" t="s">
        <v>567</v>
      </c>
      <c r="D522" s="298" t="s">
        <v>16</v>
      </c>
      <c r="E522" s="285" t="s">
        <v>577</v>
      </c>
      <c r="F522" s="292" t="s">
        <v>1075</v>
      </c>
      <c r="G522" s="298" t="s">
        <v>21</v>
      </c>
      <c r="H522" s="298">
        <v>15.0</v>
      </c>
      <c r="I522" s="292" t="s">
        <v>497</v>
      </c>
      <c r="J522" s="292" t="s">
        <v>498</v>
      </c>
      <c r="K522" s="287" t="s">
        <v>508</v>
      </c>
      <c r="L522" s="292" t="s">
        <v>479</v>
      </c>
      <c r="M522" s="292" t="s">
        <v>483</v>
      </c>
      <c r="N522" s="292"/>
      <c r="O522" s="298" t="s">
        <v>497</v>
      </c>
      <c r="P522" s="292" t="s">
        <v>612</v>
      </c>
      <c r="Q522" s="299" t="s">
        <v>32</v>
      </c>
      <c r="R522" s="299" t="s">
        <v>32</v>
      </c>
      <c r="S522" s="295" t="s">
        <v>32</v>
      </c>
      <c r="T522" s="299" t="s">
        <v>32</v>
      </c>
      <c r="U522" s="299" t="s">
        <v>32</v>
      </c>
      <c r="V522" s="295" t="s">
        <v>32</v>
      </c>
      <c r="W522" s="292" t="s">
        <v>18</v>
      </c>
      <c r="X522" s="292" t="s">
        <v>18</v>
      </c>
      <c r="Y522" s="288" t="s">
        <v>18</v>
      </c>
      <c r="Z522" s="299" t="s">
        <v>32</v>
      </c>
      <c r="AA522" s="299" t="s">
        <v>32</v>
      </c>
      <c r="AB522" s="295" t="s">
        <v>32</v>
      </c>
      <c r="AC522" s="296" t="s">
        <v>32</v>
      </c>
      <c r="AD522" s="292" t="s">
        <v>377</v>
      </c>
      <c r="AE522" s="292" t="s">
        <v>377</v>
      </c>
      <c r="AF522" s="288" t="s">
        <v>377</v>
      </c>
      <c r="AG522" s="292" t="s">
        <v>18</v>
      </c>
      <c r="AH522" s="292" t="s">
        <v>377</v>
      </c>
      <c r="AI522" s="288" t="s">
        <v>377</v>
      </c>
      <c r="AJ522" s="299" t="s">
        <v>32</v>
      </c>
      <c r="AK522" s="292" t="s">
        <v>377</v>
      </c>
      <c r="AL522" s="295" t="s">
        <v>32</v>
      </c>
      <c r="AM522" s="292" t="s">
        <v>18</v>
      </c>
      <c r="AN522" s="292" t="s">
        <v>18</v>
      </c>
      <c r="AO522" s="288" t="s">
        <v>18</v>
      </c>
      <c r="AP522" s="289" t="s">
        <v>377</v>
      </c>
      <c r="AQ522" s="299" t="s">
        <v>32</v>
      </c>
      <c r="AR522" s="299" t="s">
        <v>32</v>
      </c>
      <c r="AS522" s="295" t="s">
        <v>32</v>
      </c>
      <c r="AT522" s="299" t="s">
        <v>32</v>
      </c>
      <c r="AU522" s="299" t="s">
        <v>32</v>
      </c>
      <c r="AV522" s="295" t="s">
        <v>32</v>
      </c>
      <c r="AW522" s="292" t="s">
        <v>18</v>
      </c>
      <c r="AX522" s="299" t="s">
        <v>32</v>
      </c>
      <c r="AY522" s="288" t="s">
        <v>377</v>
      </c>
      <c r="AZ522" s="299" t="s">
        <v>32</v>
      </c>
      <c r="BA522" s="299" t="s">
        <v>32</v>
      </c>
      <c r="BB522" s="288" t="s">
        <v>377</v>
      </c>
      <c r="BC522" s="289" t="s">
        <v>377</v>
      </c>
      <c r="BD522" s="287"/>
    </row>
    <row r="523" ht="12.75" customHeight="1">
      <c r="A523" s="298">
        <v>28.0</v>
      </c>
      <c r="B523" s="297" t="s">
        <v>525</v>
      </c>
      <c r="C523" s="298" t="s">
        <v>567</v>
      </c>
      <c r="D523" s="298" t="s">
        <v>16</v>
      </c>
      <c r="E523" s="285" t="s">
        <v>577</v>
      </c>
      <c r="F523" s="292" t="s">
        <v>1076</v>
      </c>
      <c r="G523" s="298" t="s">
        <v>17</v>
      </c>
      <c r="H523" s="298">
        <v>15.0</v>
      </c>
      <c r="I523" s="292" t="s">
        <v>497</v>
      </c>
      <c r="J523" s="292" t="s">
        <v>498</v>
      </c>
      <c r="K523" s="287" t="s">
        <v>508</v>
      </c>
      <c r="L523" s="292" t="s">
        <v>479</v>
      </c>
      <c r="M523" s="292" t="s">
        <v>490</v>
      </c>
      <c r="N523" s="292"/>
      <c r="O523" s="298" t="s">
        <v>497</v>
      </c>
      <c r="P523" s="292" t="s">
        <v>612</v>
      </c>
      <c r="Q523" s="299" t="s">
        <v>32</v>
      </c>
      <c r="R523" s="299" t="s">
        <v>32</v>
      </c>
      <c r="S523" s="295" t="s">
        <v>32</v>
      </c>
      <c r="T523" s="292" t="s">
        <v>377</v>
      </c>
      <c r="U523" s="299" t="s">
        <v>32</v>
      </c>
      <c r="V523" s="295" t="s">
        <v>32</v>
      </c>
      <c r="W523" s="299" t="s">
        <v>32</v>
      </c>
      <c r="X523" s="292" t="s">
        <v>377</v>
      </c>
      <c r="Y523" s="295" t="s">
        <v>32</v>
      </c>
      <c r="Z523" s="292" t="s">
        <v>377</v>
      </c>
      <c r="AA523" s="299" t="s">
        <v>32</v>
      </c>
      <c r="AB523" s="295" t="s">
        <v>32</v>
      </c>
      <c r="AC523" s="296" t="s">
        <v>32</v>
      </c>
      <c r="AD523" s="299" t="s">
        <v>32</v>
      </c>
      <c r="AE523" s="292" t="s">
        <v>377</v>
      </c>
      <c r="AF523" s="295" t="s">
        <v>32</v>
      </c>
      <c r="AG523" s="292" t="s">
        <v>377</v>
      </c>
      <c r="AH523" s="292" t="s">
        <v>18</v>
      </c>
      <c r="AI523" s="288" t="s">
        <v>377</v>
      </c>
      <c r="AJ523" s="299" t="s">
        <v>32</v>
      </c>
      <c r="AK523" s="292" t="s">
        <v>18</v>
      </c>
      <c r="AL523" s="288" t="s">
        <v>377</v>
      </c>
      <c r="AM523" s="299" t="s">
        <v>32</v>
      </c>
      <c r="AN523" s="292" t="s">
        <v>18</v>
      </c>
      <c r="AO523" s="288" t="s">
        <v>377</v>
      </c>
      <c r="AP523" s="289" t="s">
        <v>377</v>
      </c>
      <c r="AQ523" s="299" t="s">
        <v>32</v>
      </c>
      <c r="AR523" s="299" t="s">
        <v>32</v>
      </c>
      <c r="AS523" s="295" t="s">
        <v>32</v>
      </c>
      <c r="AT523" s="299" t="s">
        <v>32</v>
      </c>
      <c r="AU523" s="299" t="s">
        <v>32</v>
      </c>
      <c r="AV523" s="295" t="s">
        <v>32</v>
      </c>
      <c r="AW523" s="292" t="s">
        <v>18</v>
      </c>
      <c r="AX523" s="292" t="s">
        <v>18</v>
      </c>
      <c r="AY523" s="288" t="s">
        <v>18</v>
      </c>
      <c r="AZ523" s="292" t="s">
        <v>18</v>
      </c>
      <c r="BA523" s="299" t="s">
        <v>32</v>
      </c>
      <c r="BB523" s="288" t="s">
        <v>377</v>
      </c>
      <c r="BC523" s="289" t="s">
        <v>377</v>
      </c>
      <c r="BD523" s="287"/>
    </row>
    <row r="524" ht="12.75" customHeight="1">
      <c r="A524" s="298">
        <v>29.0</v>
      </c>
      <c r="B524" s="297" t="s">
        <v>525</v>
      </c>
      <c r="C524" s="298" t="s">
        <v>567</v>
      </c>
      <c r="D524" s="298" t="s">
        <v>16</v>
      </c>
      <c r="E524" s="285" t="s">
        <v>577</v>
      </c>
      <c r="F524" s="292" t="s">
        <v>1077</v>
      </c>
      <c r="G524" s="298" t="s">
        <v>17</v>
      </c>
      <c r="H524" s="298">
        <v>16.0</v>
      </c>
      <c r="I524" s="292" t="s">
        <v>497</v>
      </c>
      <c r="J524" s="292" t="s">
        <v>498</v>
      </c>
      <c r="K524" s="287" t="s">
        <v>508</v>
      </c>
      <c r="L524" s="292" t="s">
        <v>479</v>
      </c>
      <c r="M524" s="292" t="s">
        <v>483</v>
      </c>
      <c r="N524" s="292"/>
      <c r="O524" s="298" t="s">
        <v>497</v>
      </c>
      <c r="P524" s="292" t="s">
        <v>612</v>
      </c>
      <c r="Q524" s="299" t="s">
        <v>32</v>
      </c>
      <c r="R524" s="299" t="s">
        <v>32</v>
      </c>
      <c r="S524" s="295" t="s">
        <v>32</v>
      </c>
      <c r="T524" s="299" t="s">
        <v>32</v>
      </c>
      <c r="U524" s="299" t="s">
        <v>32</v>
      </c>
      <c r="V524" s="295" t="s">
        <v>32</v>
      </c>
      <c r="W524" s="299" t="s">
        <v>32</v>
      </c>
      <c r="X524" s="299" t="s">
        <v>32</v>
      </c>
      <c r="Y524" s="295" t="s">
        <v>32</v>
      </c>
      <c r="Z524" s="299" t="s">
        <v>32</v>
      </c>
      <c r="AA524" s="299" t="s">
        <v>32</v>
      </c>
      <c r="AB524" s="295" t="s">
        <v>32</v>
      </c>
      <c r="AC524" s="296" t="s">
        <v>32</v>
      </c>
      <c r="AD524" s="299" t="s">
        <v>32</v>
      </c>
      <c r="AE524" s="299" t="s">
        <v>32</v>
      </c>
      <c r="AF524" s="295" t="s">
        <v>32</v>
      </c>
      <c r="AG524" s="292" t="s">
        <v>18</v>
      </c>
      <c r="AH524" s="292" t="s">
        <v>18</v>
      </c>
      <c r="AI524" s="288" t="s">
        <v>18</v>
      </c>
      <c r="AJ524" s="299" t="s">
        <v>32</v>
      </c>
      <c r="AK524" s="292" t="s">
        <v>377</v>
      </c>
      <c r="AL524" s="295" t="s">
        <v>32</v>
      </c>
      <c r="AM524" s="292" t="s">
        <v>18</v>
      </c>
      <c r="AN524" s="292" t="s">
        <v>18</v>
      </c>
      <c r="AO524" s="288" t="s">
        <v>18</v>
      </c>
      <c r="AP524" s="289" t="s">
        <v>377</v>
      </c>
      <c r="AQ524" s="299" t="s">
        <v>32</v>
      </c>
      <c r="AR524" s="299" t="s">
        <v>32</v>
      </c>
      <c r="AS524" s="295" t="s">
        <v>32</v>
      </c>
      <c r="AT524" s="299" t="s">
        <v>32</v>
      </c>
      <c r="AU524" s="299" t="s">
        <v>32</v>
      </c>
      <c r="AV524" s="295" t="s">
        <v>32</v>
      </c>
      <c r="AW524" s="292" t="s">
        <v>18</v>
      </c>
      <c r="AX524" s="292" t="s">
        <v>18</v>
      </c>
      <c r="AY524" s="288" t="s">
        <v>18</v>
      </c>
      <c r="AZ524" s="299" t="s">
        <v>32</v>
      </c>
      <c r="BA524" s="299" t="s">
        <v>32</v>
      </c>
      <c r="BB524" s="288" t="s">
        <v>377</v>
      </c>
      <c r="BC524" s="289" t="s">
        <v>377</v>
      </c>
      <c r="BD524" s="287"/>
    </row>
    <row r="525" ht="12.75" customHeight="1">
      <c r="A525" s="298">
        <v>30.0</v>
      </c>
      <c r="B525" s="297" t="s">
        <v>525</v>
      </c>
      <c r="C525" s="298" t="s">
        <v>567</v>
      </c>
      <c r="D525" s="298" t="s">
        <v>16</v>
      </c>
      <c r="E525" s="285" t="s">
        <v>577</v>
      </c>
      <c r="F525" s="292" t="s">
        <v>1078</v>
      </c>
      <c r="G525" s="298" t="s">
        <v>17</v>
      </c>
      <c r="H525" s="298">
        <v>16.0</v>
      </c>
      <c r="I525" s="292" t="s">
        <v>497</v>
      </c>
      <c r="J525" s="292" t="s">
        <v>498</v>
      </c>
      <c r="K525" s="287" t="s">
        <v>508</v>
      </c>
      <c r="L525" s="292" t="s">
        <v>479</v>
      </c>
      <c r="M525" s="292" t="s">
        <v>490</v>
      </c>
      <c r="N525" s="292"/>
      <c r="O525" s="298" t="s">
        <v>497</v>
      </c>
      <c r="P525" s="292" t="s">
        <v>612</v>
      </c>
      <c r="Q525" s="299" t="s">
        <v>32</v>
      </c>
      <c r="R525" s="299" t="s">
        <v>32</v>
      </c>
      <c r="S525" s="295" t="s">
        <v>32</v>
      </c>
      <c r="T525" s="299" t="s">
        <v>32</v>
      </c>
      <c r="U525" s="299" t="s">
        <v>32</v>
      </c>
      <c r="V525" s="295" t="s">
        <v>32</v>
      </c>
      <c r="W525" s="299" t="s">
        <v>32</v>
      </c>
      <c r="X525" s="299" t="s">
        <v>32</v>
      </c>
      <c r="Y525" s="295" t="s">
        <v>32</v>
      </c>
      <c r="Z525" s="299" t="s">
        <v>32</v>
      </c>
      <c r="AA525" s="299" t="s">
        <v>32</v>
      </c>
      <c r="AB525" s="295" t="s">
        <v>32</v>
      </c>
      <c r="AC525" s="296" t="s">
        <v>32</v>
      </c>
      <c r="AD525" s="292" t="s">
        <v>377</v>
      </c>
      <c r="AE525" s="292" t="s">
        <v>18</v>
      </c>
      <c r="AF525" s="288" t="s">
        <v>377</v>
      </c>
      <c r="AG525" s="292" t="s">
        <v>18</v>
      </c>
      <c r="AH525" s="292" t="s">
        <v>18</v>
      </c>
      <c r="AI525" s="288" t="s">
        <v>18</v>
      </c>
      <c r="AJ525" s="299" t="s">
        <v>32</v>
      </c>
      <c r="AK525" s="292" t="s">
        <v>377</v>
      </c>
      <c r="AL525" s="295" t="s">
        <v>32</v>
      </c>
      <c r="AM525" s="292" t="s">
        <v>18</v>
      </c>
      <c r="AN525" s="292" t="s">
        <v>18</v>
      </c>
      <c r="AO525" s="288" t="s">
        <v>18</v>
      </c>
      <c r="AP525" s="289" t="s">
        <v>377</v>
      </c>
      <c r="AQ525" s="299" t="s">
        <v>32</v>
      </c>
      <c r="AR525" s="292" t="s">
        <v>18</v>
      </c>
      <c r="AS525" s="288" t="s">
        <v>377</v>
      </c>
      <c r="AT525" s="299" t="s">
        <v>32</v>
      </c>
      <c r="AU525" s="299" t="s">
        <v>32</v>
      </c>
      <c r="AV525" s="295" t="s">
        <v>32</v>
      </c>
      <c r="AW525" s="292" t="s">
        <v>18</v>
      </c>
      <c r="AX525" s="292" t="s">
        <v>18</v>
      </c>
      <c r="AY525" s="288" t="s">
        <v>18</v>
      </c>
      <c r="AZ525" s="299" t="s">
        <v>32</v>
      </c>
      <c r="BA525" s="299" t="s">
        <v>32</v>
      </c>
      <c r="BB525" s="288" t="s">
        <v>377</v>
      </c>
      <c r="BC525" s="289" t="s">
        <v>377</v>
      </c>
      <c r="BD525" s="287"/>
    </row>
    <row r="526" ht="12.75" customHeight="1">
      <c r="A526" s="298">
        <v>31.0</v>
      </c>
      <c r="B526" s="297" t="s">
        <v>525</v>
      </c>
      <c r="C526" s="298" t="s">
        <v>567</v>
      </c>
      <c r="D526" s="298" t="s">
        <v>16</v>
      </c>
      <c r="E526" s="285" t="s">
        <v>577</v>
      </c>
      <c r="F526" s="292" t="s">
        <v>1079</v>
      </c>
      <c r="G526" s="298" t="s">
        <v>17</v>
      </c>
      <c r="H526" s="298">
        <v>16.0</v>
      </c>
      <c r="I526" s="292" t="s">
        <v>497</v>
      </c>
      <c r="J526" s="292" t="s">
        <v>498</v>
      </c>
      <c r="K526" s="287" t="s">
        <v>508</v>
      </c>
      <c r="L526" s="292" t="s">
        <v>479</v>
      </c>
      <c r="M526" s="292" t="s">
        <v>483</v>
      </c>
      <c r="N526" s="292"/>
      <c r="O526" s="298" t="s">
        <v>497</v>
      </c>
      <c r="P526" s="292" t="s">
        <v>612</v>
      </c>
      <c r="Q526" s="299" t="s">
        <v>32</v>
      </c>
      <c r="R526" s="299" t="s">
        <v>32</v>
      </c>
      <c r="S526" s="295" t="s">
        <v>32</v>
      </c>
      <c r="T526" s="299" t="s">
        <v>32</v>
      </c>
      <c r="U526" s="299" t="s">
        <v>32</v>
      </c>
      <c r="V526" s="295" t="s">
        <v>32</v>
      </c>
      <c r="W526" s="299" t="s">
        <v>32</v>
      </c>
      <c r="X526" s="299" t="s">
        <v>32</v>
      </c>
      <c r="Y526" s="295" t="s">
        <v>32</v>
      </c>
      <c r="Z526" s="299" t="s">
        <v>32</v>
      </c>
      <c r="AA526" s="299" t="s">
        <v>32</v>
      </c>
      <c r="AB526" s="295" t="s">
        <v>32</v>
      </c>
      <c r="AC526" s="296" t="s">
        <v>32</v>
      </c>
      <c r="AD526" s="299" t="s">
        <v>32</v>
      </c>
      <c r="AE526" s="299" t="s">
        <v>32</v>
      </c>
      <c r="AF526" s="295" t="s">
        <v>32</v>
      </c>
      <c r="AG526" s="292" t="s">
        <v>18</v>
      </c>
      <c r="AH526" s="292" t="s">
        <v>18</v>
      </c>
      <c r="AI526" s="288" t="s">
        <v>18</v>
      </c>
      <c r="AJ526" s="299" t="s">
        <v>32</v>
      </c>
      <c r="AK526" s="292" t="s">
        <v>377</v>
      </c>
      <c r="AL526" s="295" t="s">
        <v>32</v>
      </c>
      <c r="AM526" s="292" t="s">
        <v>18</v>
      </c>
      <c r="AN526" s="292" t="s">
        <v>18</v>
      </c>
      <c r="AO526" s="288" t="s">
        <v>18</v>
      </c>
      <c r="AP526" s="289" t="s">
        <v>377</v>
      </c>
      <c r="AQ526" s="299" t="s">
        <v>32</v>
      </c>
      <c r="AR526" s="299" t="s">
        <v>32</v>
      </c>
      <c r="AS526" s="295" t="s">
        <v>32</v>
      </c>
      <c r="AT526" s="299" t="s">
        <v>32</v>
      </c>
      <c r="AU526" s="299" t="s">
        <v>32</v>
      </c>
      <c r="AV526" s="295" t="s">
        <v>32</v>
      </c>
      <c r="AW526" s="292" t="s">
        <v>18</v>
      </c>
      <c r="AX526" s="292" t="s">
        <v>18</v>
      </c>
      <c r="AY526" s="288" t="s">
        <v>18</v>
      </c>
      <c r="AZ526" s="292" t="s">
        <v>18</v>
      </c>
      <c r="BA526" s="299" t="s">
        <v>32</v>
      </c>
      <c r="BB526" s="288" t="s">
        <v>377</v>
      </c>
      <c r="BC526" s="289" t="s">
        <v>377</v>
      </c>
      <c r="BD526" s="287"/>
    </row>
    <row r="527" ht="12.75" customHeight="1">
      <c r="A527" s="298">
        <v>32.0</v>
      </c>
      <c r="B527" s="297" t="s">
        <v>525</v>
      </c>
      <c r="C527" s="298" t="s">
        <v>567</v>
      </c>
      <c r="D527" s="298" t="s">
        <v>16</v>
      </c>
      <c r="E527" s="285" t="s">
        <v>577</v>
      </c>
      <c r="F527" s="292" t="s">
        <v>1080</v>
      </c>
      <c r="G527" s="298" t="s">
        <v>17</v>
      </c>
      <c r="H527" s="298">
        <v>15.0</v>
      </c>
      <c r="I527" s="292" t="s">
        <v>497</v>
      </c>
      <c r="J527" s="292" t="s">
        <v>498</v>
      </c>
      <c r="K527" s="287" t="s">
        <v>508</v>
      </c>
      <c r="L527" s="292" t="s">
        <v>479</v>
      </c>
      <c r="M527" s="292" t="s">
        <v>483</v>
      </c>
      <c r="N527" s="292"/>
      <c r="O527" s="298" t="s">
        <v>497</v>
      </c>
      <c r="P527" s="292" t="s">
        <v>612</v>
      </c>
      <c r="Q527" s="299" t="s">
        <v>32</v>
      </c>
      <c r="R527" s="292" t="s">
        <v>377</v>
      </c>
      <c r="S527" s="295" t="s">
        <v>32</v>
      </c>
      <c r="T527" s="292" t="s">
        <v>377</v>
      </c>
      <c r="U527" s="299" t="s">
        <v>32</v>
      </c>
      <c r="V527" s="295" t="s">
        <v>32</v>
      </c>
      <c r="W527" s="299" t="s">
        <v>32</v>
      </c>
      <c r="X527" s="292" t="s">
        <v>377</v>
      </c>
      <c r="Y527" s="295" t="s">
        <v>32</v>
      </c>
      <c r="Z527" s="299" t="s">
        <v>32</v>
      </c>
      <c r="AA527" s="299" t="s">
        <v>32</v>
      </c>
      <c r="AB527" s="295" t="s">
        <v>32</v>
      </c>
      <c r="AC527" s="296" t="s">
        <v>32</v>
      </c>
      <c r="AD527" s="299" t="s">
        <v>32</v>
      </c>
      <c r="AE527" s="299" t="s">
        <v>32</v>
      </c>
      <c r="AF527" s="295" t="s">
        <v>32</v>
      </c>
      <c r="AG527" s="292" t="s">
        <v>18</v>
      </c>
      <c r="AH527" s="292" t="s">
        <v>18</v>
      </c>
      <c r="AI527" s="288" t="s">
        <v>18</v>
      </c>
      <c r="AJ527" s="299" t="s">
        <v>32</v>
      </c>
      <c r="AK527" s="292" t="s">
        <v>377</v>
      </c>
      <c r="AL527" s="295" t="s">
        <v>32</v>
      </c>
      <c r="AM527" s="292" t="s">
        <v>18</v>
      </c>
      <c r="AN527" s="292" t="s">
        <v>18</v>
      </c>
      <c r="AO527" s="288" t="s">
        <v>18</v>
      </c>
      <c r="AP527" s="289" t="s">
        <v>377</v>
      </c>
      <c r="AQ527" s="299" t="s">
        <v>32</v>
      </c>
      <c r="AR527" s="299" t="s">
        <v>32</v>
      </c>
      <c r="AS527" s="295" t="s">
        <v>32</v>
      </c>
      <c r="AT527" s="299" t="s">
        <v>32</v>
      </c>
      <c r="AU527" s="299" t="s">
        <v>32</v>
      </c>
      <c r="AV527" s="295" t="s">
        <v>32</v>
      </c>
      <c r="AW527" s="292" t="s">
        <v>18</v>
      </c>
      <c r="AX527" s="292" t="s">
        <v>18</v>
      </c>
      <c r="AY527" s="288" t="s">
        <v>18</v>
      </c>
      <c r="AZ527" s="299" t="s">
        <v>32</v>
      </c>
      <c r="BA527" s="299" t="s">
        <v>32</v>
      </c>
      <c r="BB527" s="288" t="s">
        <v>377</v>
      </c>
      <c r="BC527" s="289" t="s">
        <v>377</v>
      </c>
      <c r="BD527" s="287"/>
    </row>
    <row r="528" ht="12.75" customHeight="1">
      <c r="A528" s="298">
        <v>33.0</v>
      </c>
      <c r="B528" s="297" t="s">
        <v>525</v>
      </c>
      <c r="C528" s="298" t="s">
        <v>567</v>
      </c>
      <c r="D528" s="298" t="s">
        <v>16</v>
      </c>
      <c r="E528" s="285" t="s">
        <v>577</v>
      </c>
      <c r="F528" s="292" t="s">
        <v>1081</v>
      </c>
      <c r="G528" s="298" t="s">
        <v>21</v>
      </c>
      <c r="H528" s="298">
        <v>16.0</v>
      </c>
      <c r="I528" s="292" t="s">
        <v>497</v>
      </c>
      <c r="J528" s="292" t="s">
        <v>498</v>
      </c>
      <c r="K528" s="287" t="s">
        <v>508</v>
      </c>
      <c r="L528" s="292" t="s">
        <v>479</v>
      </c>
      <c r="M528" s="292" t="s">
        <v>483</v>
      </c>
      <c r="N528" s="292"/>
      <c r="O528" s="298" t="s">
        <v>497</v>
      </c>
      <c r="P528" s="292" t="s">
        <v>612</v>
      </c>
      <c r="Q528" s="299" t="s">
        <v>32</v>
      </c>
      <c r="R528" s="299" t="s">
        <v>32</v>
      </c>
      <c r="S528" s="295" t="s">
        <v>32</v>
      </c>
      <c r="T528" s="292" t="s">
        <v>18</v>
      </c>
      <c r="U528" s="299" t="s">
        <v>32</v>
      </c>
      <c r="V528" s="288" t="s">
        <v>377</v>
      </c>
      <c r="W528" s="292" t="s">
        <v>377</v>
      </c>
      <c r="X528" s="299" t="s">
        <v>32</v>
      </c>
      <c r="Y528" s="295" t="s">
        <v>32</v>
      </c>
      <c r="Z528" s="299" t="s">
        <v>32</v>
      </c>
      <c r="AA528" s="299" t="s">
        <v>32</v>
      </c>
      <c r="AB528" s="295" t="s">
        <v>32</v>
      </c>
      <c r="AC528" s="296" t="s">
        <v>32</v>
      </c>
      <c r="AD528" s="299" t="s">
        <v>32</v>
      </c>
      <c r="AE528" s="292" t="s">
        <v>377</v>
      </c>
      <c r="AF528" s="295" t="s">
        <v>32</v>
      </c>
      <c r="AG528" s="292" t="s">
        <v>377</v>
      </c>
      <c r="AH528" s="299" t="s">
        <v>32</v>
      </c>
      <c r="AI528" s="295" t="s">
        <v>32</v>
      </c>
      <c r="AJ528" s="299" t="s">
        <v>32</v>
      </c>
      <c r="AK528" s="292" t="s">
        <v>377</v>
      </c>
      <c r="AL528" s="295" t="s">
        <v>32</v>
      </c>
      <c r="AM528" s="292" t="s">
        <v>18</v>
      </c>
      <c r="AN528" s="292" t="s">
        <v>18</v>
      </c>
      <c r="AO528" s="288" t="s">
        <v>18</v>
      </c>
      <c r="AP528" s="289" t="s">
        <v>377</v>
      </c>
      <c r="AQ528" s="299" t="s">
        <v>32</v>
      </c>
      <c r="AR528" s="299" t="s">
        <v>32</v>
      </c>
      <c r="AS528" s="295" t="s">
        <v>32</v>
      </c>
      <c r="AT528" s="299" t="s">
        <v>32</v>
      </c>
      <c r="AU528" s="299" t="s">
        <v>32</v>
      </c>
      <c r="AV528" s="295" t="s">
        <v>32</v>
      </c>
      <c r="AW528" s="299" t="s">
        <v>32</v>
      </c>
      <c r="AX528" s="292" t="s">
        <v>18</v>
      </c>
      <c r="AY528" s="288" t="s">
        <v>377</v>
      </c>
      <c r="AZ528" s="299" t="s">
        <v>32</v>
      </c>
      <c r="BA528" s="299" t="s">
        <v>32</v>
      </c>
      <c r="BB528" s="295" t="s">
        <v>32</v>
      </c>
      <c r="BC528" s="296" t="s">
        <v>32</v>
      </c>
      <c r="BD528" s="287"/>
    </row>
    <row r="529" ht="12.75" customHeight="1">
      <c r="A529" s="298">
        <v>34.0</v>
      </c>
      <c r="B529" s="297" t="s">
        <v>525</v>
      </c>
      <c r="C529" s="298" t="s">
        <v>567</v>
      </c>
      <c r="D529" s="298" t="s">
        <v>16</v>
      </c>
      <c r="E529" s="285" t="s">
        <v>577</v>
      </c>
      <c r="F529" s="292" t="s">
        <v>1082</v>
      </c>
      <c r="G529" s="298" t="s">
        <v>21</v>
      </c>
      <c r="H529" s="298">
        <v>15.0</v>
      </c>
      <c r="I529" s="292" t="s">
        <v>497</v>
      </c>
      <c r="J529" s="292" t="s">
        <v>498</v>
      </c>
      <c r="K529" s="287" t="s">
        <v>508</v>
      </c>
      <c r="L529" s="292" t="s">
        <v>479</v>
      </c>
      <c r="M529" s="292" t="s">
        <v>483</v>
      </c>
      <c r="N529" s="292"/>
      <c r="O529" s="298" t="s">
        <v>497</v>
      </c>
      <c r="P529" s="292" t="s">
        <v>612</v>
      </c>
      <c r="Q529" s="299" t="s">
        <v>32</v>
      </c>
      <c r="R529" s="299" t="s">
        <v>32</v>
      </c>
      <c r="S529" s="295" t="s">
        <v>32</v>
      </c>
      <c r="T529" s="292" t="s">
        <v>18</v>
      </c>
      <c r="U529" s="299" t="s">
        <v>32</v>
      </c>
      <c r="V529" s="288" t="s">
        <v>377</v>
      </c>
      <c r="W529" s="292" t="s">
        <v>377</v>
      </c>
      <c r="X529" s="299" t="s">
        <v>32</v>
      </c>
      <c r="Y529" s="295" t="s">
        <v>32</v>
      </c>
      <c r="Z529" s="299" t="s">
        <v>32</v>
      </c>
      <c r="AA529" s="299" t="s">
        <v>32</v>
      </c>
      <c r="AB529" s="295" t="s">
        <v>32</v>
      </c>
      <c r="AC529" s="296" t="s">
        <v>32</v>
      </c>
      <c r="AD529" s="299" t="s">
        <v>32</v>
      </c>
      <c r="AE529" s="292" t="s">
        <v>377</v>
      </c>
      <c r="AF529" s="295" t="s">
        <v>32</v>
      </c>
      <c r="AG529" s="292" t="s">
        <v>377</v>
      </c>
      <c r="AH529" s="299" t="s">
        <v>32</v>
      </c>
      <c r="AI529" s="295" t="s">
        <v>32</v>
      </c>
      <c r="AJ529" s="299" t="s">
        <v>32</v>
      </c>
      <c r="AK529" s="292" t="s">
        <v>377</v>
      </c>
      <c r="AL529" s="295" t="s">
        <v>32</v>
      </c>
      <c r="AM529" s="292" t="s">
        <v>18</v>
      </c>
      <c r="AN529" s="292" t="s">
        <v>18</v>
      </c>
      <c r="AO529" s="288" t="s">
        <v>18</v>
      </c>
      <c r="AP529" s="289" t="s">
        <v>377</v>
      </c>
      <c r="AQ529" s="292" t="s">
        <v>18</v>
      </c>
      <c r="AR529" s="299" t="s">
        <v>32</v>
      </c>
      <c r="AS529" s="288" t="s">
        <v>377</v>
      </c>
      <c r="AT529" s="299" t="s">
        <v>32</v>
      </c>
      <c r="AU529" s="299" t="s">
        <v>32</v>
      </c>
      <c r="AV529" s="295" t="s">
        <v>32</v>
      </c>
      <c r="AW529" s="299" t="s">
        <v>32</v>
      </c>
      <c r="AX529" s="292" t="s">
        <v>18</v>
      </c>
      <c r="AY529" s="288" t="s">
        <v>377</v>
      </c>
      <c r="AZ529" s="299" t="s">
        <v>32</v>
      </c>
      <c r="BA529" s="299" t="s">
        <v>32</v>
      </c>
      <c r="BB529" s="288" t="s">
        <v>377</v>
      </c>
      <c r="BC529" s="296" t="s">
        <v>32</v>
      </c>
      <c r="BD529" s="287"/>
    </row>
    <row r="530" ht="12.75" customHeight="1">
      <c r="A530" s="298">
        <v>35.0</v>
      </c>
      <c r="B530" s="297" t="s">
        <v>525</v>
      </c>
      <c r="C530" s="298" t="s">
        <v>567</v>
      </c>
      <c r="D530" s="298" t="s">
        <v>16</v>
      </c>
      <c r="E530" s="285" t="s">
        <v>577</v>
      </c>
      <c r="F530" s="292" t="s">
        <v>1083</v>
      </c>
      <c r="G530" s="298" t="s">
        <v>21</v>
      </c>
      <c r="H530" s="298">
        <v>15.0</v>
      </c>
      <c r="I530" s="292" t="s">
        <v>497</v>
      </c>
      <c r="J530" s="292" t="s">
        <v>498</v>
      </c>
      <c r="K530" s="287" t="s">
        <v>508</v>
      </c>
      <c r="L530" s="292" t="s">
        <v>479</v>
      </c>
      <c r="M530" s="292" t="s">
        <v>483</v>
      </c>
      <c r="N530" s="292"/>
      <c r="O530" s="298" t="s">
        <v>479</v>
      </c>
      <c r="P530" s="292" t="s">
        <v>643</v>
      </c>
      <c r="Q530" s="299" t="s">
        <v>32</v>
      </c>
      <c r="R530" s="299" t="s">
        <v>32</v>
      </c>
      <c r="S530" s="295" t="s">
        <v>32</v>
      </c>
      <c r="T530" s="292" t="s">
        <v>377</v>
      </c>
      <c r="U530" s="299" t="s">
        <v>32</v>
      </c>
      <c r="V530" s="295" t="s">
        <v>32</v>
      </c>
      <c r="W530" s="299" t="s">
        <v>32</v>
      </c>
      <c r="X530" s="299" t="s">
        <v>32</v>
      </c>
      <c r="Y530" s="295" t="s">
        <v>32</v>
      </c>
      <c r="Z530" s="299" t="s">
        <v>32</v>
      </c>
      <c r="AA530" s="299" t="s">
        <v>32</v>
      </c>
      <c r="AB530" s="295" t="s">
        <v>32</v>
      </c>
      <c r="AC530" s="296" t="s">
        <v>32</v>
      </c>
      <c r="AD530" s="299" t="s">
        <v>32</v>
      </c>
      <c r="AE530" s="292" t="s">
        <v>377</v>
      </c>
      <c r="AF530" s="295" t="s">
        <v>32</v>
      </c>
      <c r="AG530" s="292" t="s">
        <v>18</v>
      </c>
      <c r="AH530" s="299" t="s">
        <v>32</v>
      </c>
      <c r="AI530" s="288" t="s">
        <v>377</v>
      </c>
      <c r="AJ530" s="299" t="s">
        <v>32</v>
      </c>
      <c r="AK530" s="292" t="s">
        <v>377</v>
      </c>
      <c r="AL530" s="295" t="s">
        <v>32</v>
      </c>
      <c r="AM530" s="292" t="s">
        <v>18</v>
      </c>
      <c r="AN530" s="292" t="s">
        <v>18</v>
      </c>
      <c r="AO530" s="288" t="s">
        <v>18</v>
      </c>
      <c r="AP530" s="289" t="s">
        <v>377</v>
      </c>
      <c r="AQ530" s="299" t="s">
        <v>32</v>
      </c>
      <c r="AR530" s="299" t="s">
        <v>32</v>
      </c>
      <c r="AS530" s="295" t="s">
        <v>32</v>
      </c>
      <c r="AT530" s="299" t="s">
        <v>32</v>
      </c>
      <c r="AU530" s="299" t="s">
        <v>32</v>
      </c>
      <c r="AV530" s="295" t="s">
        <v>32</v>
      </c>
      <c r="AW530" s="299" t="s">
        <v>32</v>
      </c>
      <c r="AX530" s="292" t="s">
        <v>18</v>
      </c>
      <c r="AY530" s="288" t="s">
        <v>377</v>
      </c>
      <c r="AZ530" s="299" t="s">
        <v>32</v>
      </c>
      <c r="BA530" s="299" t="s">
        <v>32</v>
      </c>
      <c r="BB530" s="295" t="s">
        <v>32</v>
      </c>
      <c r="BC530" s="296" t="s">
        <v>32</v>
      </c>
      <c r="BD530" s="287"/>
    </row>
    <row r="531" ht="12.75" customHeight="1">
      <c r="A531" s="298">
        <v>37.0</v>
      </c>
      <c r="B531" s="297" t="s">
        <v>525</v>
      </c>
      <c r="C531" s="298" t="s">
        <v>567</v>
      </c>
      <c r="D531" s="298" t="s">
        <v>16</v>
      </c>
      <c r="E531" s="285" t="s">
        <v>577</v>
      </c>
      <c r="F531" s="292" t="s">
        <v>1084</v>
      </c>
      <c r="G531" s="298" t="s">
        <v>17</v>
      </c>
      <c r="H531" s="298">
        <v>15.0</v>
      </c>
      <c r="I531" s="292" t="s">
        <v>497</v>
      </c>
      <c r="J531" s="292" t="s">
        <v>498</v>
      </c>
      <c r="K531" s="287" t="s">
        <v>508</v>
      </c>
      <c r="L531" s="292" t="s">
        <v>479</v>
      </c>
      <c r="M531" s="292" t="s">
        <v>483</v>
      </c>
      <c r="N531" s="292"/>
      <c r="O531" s="298" t="s">
        <v>479</v>
      </c>
      <c r="P531" s="292" t="s">
        <v>580</v>
      </c>
      <c r="Q531" s="292" t="s">
        <v>18</v>
      </c>
      <c r="R531" s="292" t="s">
        <v>377</v>
      </c>
      <c r="S531" s="288" t="s">
        <v>377</v>
      </c>
      <c r="T531" s="292" t="s">
        <v>377</v>
      </c>
      <c r="U531" s="292" t="s">
        <v>377</v>
      </c>
      <c r="V531" s="288" t="s">
        <v>377</v>
      </c>
      <c r="W531" s="292" t="s">
        <v>377</v>
      </c>
      <c r="X531" s="292" t="s">
        <v>377</v>
      </c>
      <c r="Y531" s="288" t="s">
        <v>377</v>
      </c>
      <c r="Z531" s="292" t="s">
        <v>377</v>
      </c>
      <c r="AA531" s="292" t="s">
        <v>377</v>
      </c>
      <c r="AB531" s="288" t="s">
        <v>377</v>
      </c>
      <c r="AC531" s="289" t="s">
        <v>377</v>
      </c>
      <c r="AD531" s="292" t="s">
        <v>377</v>
      </c>
      <c r="AE531" s="292" t="s">
        <v>377</v>
      </c>
      <c r="AF531" s="288" t="s">
        <v>377</v>
      </c>
      <c r="AG531" s="292" t="s">
        <v>377</v>
      </c>
      <c r="AH531" s="292" t="s">
        <v>377</v>
      </c>
      <c r="AI531" s="288" t="s">
        <v>377</v>
      </c>
      <c r="AJ531" s="292" t="s">
        <v>377</v>
      </c>
      <c r="AK531" s="299" t="s">
        <v>32</v>
      </c>
      <c r="AL531" s="295" t="s">
        <v>32</v>
      </c>
      <c r="AM531" s="292" t="s">
        <v>377</v>
      </c>
      <c r="AN531" s="292" t="s">
        <v>377</v>
      </c>
      <c r="AO531" s="288" t="s">
        <v>377</v>
      </c>
      <c r="AP531" s="289" t="s">
        <v>377</v>
      </c>
      <c r="AQ531" s="292" t="s">
        <v>377</v>
      </c>
      <c r="AR531" s="292" t="s">
        <v>377</v>
      </c>
      <c r="AS531" s="288" t="s">
        <v>377</v>
      </c>
      <c r="AT531" s="292" t="s">
        <v>18</v>
      </c>
      <c r="AU531" s="299" t="s">
        <v>32</v>
      </c>
      <c r="AV531" s="288" t="s">
        <v>377</v>
      </c>
      <c r="AW531" s="292" t="s">
        <v>377</v>
      </c>
      <c r="AX531" s="292" t="s">
        <v>377</v>
      </c>
      <c r="AY531" s="288" t="s">
        <v>377</v>
      </c>
      <c r="AZ531" s="299" t="s">
        <v>32</v>
      </c>
      <c r="BA531" s="299" t="s">
        <v>32</v>
      </c>
      <c r="BB531" s="295" t="s">
        <v>32</v>
      </c>
      <c r="BC531" s="296" t="s">
        <v>32</v>
      </c>
      <c r="BD531" s="287"/>
    </row>
    <row r="532" ht="12.75" customHeight="1">
      <c r="A532" s="298">
        <v>38.0</v>
      </c>
      <c r="B532" s="297" t="s">
        <v>525</v>
      </c>
      <c r="C532" s="298" t="s">
        <v>567</v>
      </c>
      <c r="D532" s="298" t="s">
        <v>16</v>
      </c>
      <c r="E532" s="285" t="s">
        <v>577</v>
      </c>
      <c r="F532" s="292" t="s">
        <v>1085</v>
      </c>
      <c r="G532" s="298" t="s">
        <v>21</v>
      </c>
      <c r="H532" s="298">
        <v>15.0</v>
      </c>
      <c r="I532" s="292" t="s">
        <v>497</v>
      </c>
      <c r="J532" s="292" t="s">
        <v>498</v>
      </c>
      <c r="K532" s="287" t="s">
        <v>508</v>
      </c>
      <c r="L532" s="292" t="s">
        <v>479</v>
      </c>
      <c r="M532" s="292" t="s">
        <v>483</v>
      </c>
      <c r="N532" s="292"/>
      <c r="O532" s="298" t="s">
        <v>497</v>
      </c>
      <c r="P532" s="292" t="s">
        <v>612</v>
      </c>
      <c r="Q532" s="292" t="s">
        <v>18</v>
      </c>
      <c r="R532" s="292" t="s">
        <v>377</v>
      </c>
      <c r="S532" s="288" t="s">
        <v>377</v>
      </c>
      <c r="T532" s="292" t="s">
        <v>377</v>
      </c>
      <c r="U532" s="292" t="s">
        <v>377</v>
      </c>
      <c r="V532" s="288" t="s">
        <v>377</v>
      </c>
      <c r="W532" s="299" t="s">
        <v>32</v>
      </c>
      <c r="X532" s="292" t="s">
        <v>377</v>
      </c>
      <c r="Y532" s="295" t="s">
        <v>32</v>
      </c>
      <c r="Z532" s="292" t="s">
        <v>18</v>
      </c>
      <c r="AA532" s="292" t="s">
        <v>377</v>
      </c>
      <c r="AB532" s="288" t="s">
        <v>377</v>
      </c>
      <c r="AC532" s="289" t="s">
        <v>377</v>
      </c>
      <c r="AD532" s="292" t="s">
        <v>18</v>
      </c>
      <c r="AE532" s="292" t="s">
        <v>377</v>
      </c>
      <c r="AF532" s="288" t="s">
        <v>377</v>
      </c>
      <c r="AG532" s="292" t="s">
        <v>18</v>
      </c>
      <c r="AH532" s="292" t="s">
        <v>377</v>
      </c>
      <c r="AI532" s="288" t="s">
        <v>377</v>
      </c>
      <c r="AJ532" s="292" t="s">
        <v>377</v>
      </c>
      <c r="AK532" s="292" t="s">
        <v>377</v>
      </c>
      <c r="AL532" s="288" t="s">
        <v>377</v>
      </c>
      <c r="AM532" s="292" t="s">
        <v>377</v>
      </c>
      <c r="AN532" s="292" t="s">
        <v>18</v>
      </c>
      <c r="AO532" s="288" t="s">
        <v>377</v>
      </c>
      <c r="AP532" s="289" t="s">
        <v>377</v>
      </c>
      <c r="AQ532" s="292" t="s">
        <v>377</v>
      </c>
      <c r="AR532" s="292" t="s">
        <v>377</v>
      </c>
      <c r="AS532" s="288" t="s">
        <v>377</v>
      </c>
      <c r="AT532" s="292" t="s">
        <v>18</v>
      </c>
      <c r="AU532" s="299" t="s">
        <v>32</v>
      </c>
      <c r="AV532" s="288" t="s">
        <v>377</v>
      </c>
      <c r="AW532" s="292" t="s">
        <v>377</v>
      </c>
      <c r="AX532" s="292" t="s">
        <v>377</v>
      </c>
      <c r="AY532" s="288" t="s">
        <v>377</v>
      </c>
      <c r="AZ532" s="299" t="s">
        <v>32</v>
      </c>
      <c r="BA532" s="299" t="s">
        <v>32</v>
      </c>
      <c r="BB532" s="295" t="s">
        <v>32</v>
      </c>
      <c r="BC532" s="296" t="s">
        <v>32</v>
      </c>
      <c r="BD532" s="287"/>
    </row>
    <row r="533" ht="12.75" customHeight="1">
      <c r="A533" s="298">
        <v>39.0</v>
      </c>
      <c r="B533" s="297" t="s">
        <v>525</v>
      </c>
      <c r="C533" s="298" t="s">
        <v>567</v>
      </c>
      <c r="D533" s="298" t="s">
        <v>16</v>
      </c>
      <c r="E533" s="285" t="s">
        <v>577</v>
      </c>
      <c r="F533" s="292" t="s">
        <v>1086</v>
      </c>
      <c r="G533" s="298" t="s">
        <v>17</v>
      </c>
      <c r="H533" s="298">
        <v>17.0</v>
      </c>
      <c r="I533" s="292" t="s">
        <v>497</v>
      </c>
      <c r="J533" s="292" t="s">
        <v>498</v>
      </c>
      <c r="K533" s="287" t="s">
        <v>508</v>
      </c>
      <c r="L533" s="292" t="s">
        <v>479</v>
      </c>
      <c r="M533" s="292" t="s">
        <v>483</v>
      </c>
      <c r="N533" s="292"/>
      <c r="O533" s="298" t="s">
        <v>497</v>
      </c>
      <c r="P533" s="292" t="s">
        <v>612</v>
      </c>
      <c r="Q533" s="299" t="s">
        <v>32</v>
      </c>
      <c r="R533" s="299" t="s">
        <v>32</v>
      </c>
      <c r="S533" s="295" t="s">
        <v>32</v>
      </c>
      <c r="T533" s="299" t="s">
        <v>32</v>
      </c>
      <c r="U533" s="299" t="s">
        <v>32</v>
      </c>
      <c r="V533" s="295" t="s">
        <v>32</v>
      </c>
      <c r="W533" s="299" t="s">
        <v>32</v>
      </c>
      <c r="X533" s="292" t="s">
        <v>377</v>
      </c>
      <c r="Y533" s="295" t="s">
        <v>32</v>
      </c>
      <c r="Z533" s="292" t="s">
        <v>377</v>
      </c>
      <c r="AA533" s="299" t="s">
        <v>32</v>
      </c>
      <c r="AB533" s="295" t="s">
        <v>32</v>
      </c>
      <c r="AC533" s="296" t="s">
        <v>32</v>
      </c>
      <c r="AD533" s="292" t="s">
        <v>377</v>
      </c>
      <c r="AE533" s="292" t="s">
        <v>377</v>
      </c>
      <c r="AF533" s="288" t="s">
        <v>377</v>
      </c>
      <c r="AG533" s="292" t="s">
        <v>377</v>
      </c>
      <c r="AH533" s="292" t="s">
        <v>377</v>
      </c>
      <c r="AI533" s="288" t="s">
        <v>377</v>
      </c>
      <c r="AJ533" s="292" t="s">
        <v>377</v>
      </c>
      <c r="AK533" s="292" t="s">
        <v>377</v>
      </c>
      <c r="AL533" s="288" t="s">
        <v>377</v>
      </c>
      <c r="AM533" s="292" t="s">
        <v>377</v>
      </c>
      <c r="AN533" s="292" t="s">
        <v>377</v>
      </c>
      <c r="AO533" s="288" t="s">
        <v>377</v>
      </c>
      <c r="AP533" s="289" t="s">
        <v>377</v>
      </c>
      <c r="AQ533" s="292" t="s">
        <v>377</v>
      </c>
      <c r="AR533" s="292" t="s">
        <v>377</v>
      </c>
      <c r="AS533" s="288" t="s">
        <v>377</v>
      </c>
      <c r="AT533" s="292" t="s">
        <v>377</v>
      </c>
      <c r="AU533" s="299" t="s">
        <v>32</v>
      </c>
      <c r="AV533" s="295" t="s">
        <v>32</v>
      </c>
      <c r="AW533" s="299" t="s">
        <v>32</v>
      </c>
      <c r="AX533" s="292" t="s">
        <v>377</v>
      </c>
      <c r="AY533" s="295" t="s">
        <v>32</v>
      </c>
      <c r="AZ533" s="292" t="s">
        <v>377</v>
      </c>
      <c r="BA533" s="292" t="s">
        <v>377</v>
      </c>
      <c r="BB533" s="288" t="s">
        <v>377</v>
      </c>
      <c r="BC533" s="296" t="s">
        <v>32</v>
      </c>
      <c r="BD533" s="287"/>
    </row>
    <row r="534" ht="12.75" customHeight="1">
      <c r="A534" s="298">
        <v>40.0</v>
      </c>
      <c r="B534" s="297" t="s">
        <v>525</v>
      </c>
      <c r="C534" s="298" t="s">
        <v>567</v>
      </c>
      <c r="D534" s="298" t="s">
        <v>16</v>
      </c>
      <c r="E534" s="285" t="s">
        <v>577</v>
      </c>
      <c r="F534" s="292" t="s">
        <v>1087</v>
      </c>
      <c r="G534" s="298" t="s">
        <v>21</v>
      </c>
      <c r="H534" s="298">
        <v>16.0</v>
      </c>
      <c r="I534" s="292" t="s">
        <v>497</v>
      </c>
      <c r="J534" s="292" t="s">
        <v>498</v>
      </c>
      <c r="K534" s="287" t="s">
        <v>508</v>
      </c>
      <c r="L534" s="292" t="s">
        <v>479</v>
      </c>
      <c r="M534" s="292" t="s">
        <v>483</v>
      </c>
      <c r="N534" s="292"/>
      <c r="O534" s="298" t="s">
        <v>497</v>
      </c>
      <c r="P534" s="292" t="s">
        <v>612</v>
      </c>
      <c r="Q534" s="292" t="s">
        <v>18</v>
      </c>
      <c r="R534" s="292" t="s">
        <v>377</v>
      </c>
      <c r="S534" s="288" t="s">
        <v>377</v>
      </c>
      <c r="T534" s="292" t="s">
        <v>377</v>
      </c>
      <c r="U534" s="292" t="s">
        <v>377</v>
      </c>
      <c r="V534" s="288" t="s">
        <v>377</v>
      </c>
      <c r="W534" s="292" t="s">
        <v>377</v>
      </c>
      <c r="X534" s="299" t="s">
        <v>32</v>
      </c>
      <c r="Y534" s="295" t="s">
        <v>32</v>
      </c>
      <c r="Z534" s="299" t="s">
        <v>32</v>
      </c>
      <c r="AA534" s="299" t="s">
        <v>32</v>
      </c>
      <c r="AB534" s="295" t="s">
        <v>32</v>
      </c>
      <c r="AC534" s="289" t="s">
        <v>377</v>
      </c>
      <c r="AD534" s="292" t="s">
        <v>377</v>
      </c>
      <c r="AE534" s="292" t="s">
        <v>377</v>
      </c>
      <c r="AF534" s="288" t="s">
        <v>377</v>
      </c>
      <c r="AG534" s="292" t="s">
        <v>377</v>
      </c>
      <c r="AH534" s="299" t="s">
        <v>32</v>
      </c>
      <c r="AI534" s="295" t="s">
        <v>32</v>
      </c>
      <c r="AJ534" s="299" t="s">
        <v>32</v>
      </c>
      <c r="AK534" s="292" t="s">
        <v>377</v>
      </c>
      <c r="AL534" s="295" t="s">
        <v>32</v>
      </c>
      <c r="AM534" s="292" t="s">
        <v>377</v>
      </c>
      <c r="AN534" s="292" t="s">
        <v>377</v>
      </c>
      <c r="AO534" s="288" t="s">
        <v>377</v>
      </c>
      <c r="AP534" s="289" t="s">
        <v>377</v>
      </c>
      <c r="AQ534" s="299" t="s">
        <v>32</v>
      </c>
      <c r="AR534" s="292" t="s">
        <v>377</v>
      </c>
      <c r="AS534" s="295" t="s">
        <v>32</v>
      </c>
      <c r="AT534" s="299" t="s">
        <v>32</v>
      </c>
      <c r="AU534" s="299" t="s">
        <v>32</v>
      </c>
      <c r="AV534" s="295" t="s">
        <v>32</v>
      </c>
      <c r="AW534" s="292" t="s">
        <v>377</v>
      </c>
      <c r="AX534" s="299" t="s">
        <v>32</v>
      </c>
      <c r="AY534" s="295" t="s">
        <v>32</v>
      </c>
      <c r="AZ534" s="299" t="s">
        <v>32</v>
      </c>
      <c r="BA534" s="292" t="s">
        <v>377</v>
      </c>
      <c r="BB534" s="295" t="s">
        <v>32</v>
      </c>
      <c r="BC534" s="289" t="s">
        <v>377</v>
      </c>
      <c r="BD534" s="287"/>
    </row>
    <row r="535" ht="12.75" customHeight="1">
      <c r="A535" s="298">
        <v>41.0</v>
      </c>
      <c r="B535" s="297" t="s">
        <v>525</v>
      </c>
      <c r="C535" s="298" t="s">
        <v>567</v>
      </c>
      <c r="D535" s="298" t="s">
        <v>16</v>
      </c>
      <c r="E535" s="285" t="s">
        <v>577</v>
      </c>
      <c r="F535" s="292" t="s">
        <v>1088</v>
      </c>
      <c r="G535" s="298" t="s">
        <v>17</v>
      </c>
      <c r="H535" s="298">
        <v>15.0</v>
      </c>
      <c r="I535" s="292" t="s">
        <v>497</v>
      </c>
      <c r="J535" s="292" t="s">
        <v>498</v>
      </c>
      <c r="K535" s="287" t="s">
        <v>508</v>
      </c>
      <c r="L535" s="292" t="s">
        <v>479</v>
      </c>
      <c r="M535" s="292" t="s">
        <v>483</v>
      </c>
      <c r="N535" s="292"/>
      <c r="O535" s="298" t="s">
        <v>479</v>
      </c>
      <c r="P535" s="292" t="s">
        <v>580</v>
      </c>
      <c r="Q535" s="292" t="s">
        <v>377</v>
      </c>
      <c r="R535" s="292" t="s">
        <v>18</v>
      </c>
      <c r="S535" s="288" t="s">
        <v>377</v>
      </c>
      <c r="T535" s="292" t="s">
        <v>377</v>
      </c>
      <c r="U535" s="292" t="s">
        <v>377</v>
      </c>
      <c r="V535" s="288" t="s">
        <v>377</v>
      </c>
      <c r="W535" s="292" t="s">
        <v>18</v>
      </c>
      <c r="X535" s="292" t="s">
        <v>377</v>
      </c>
      <c r="Y535" s="288" t="s">
        <v>377</v>
      </c>
      <c r="Z535" s="292" t="s">
        <v>18</v>
      </c>
      <c r="AA535" s="292" t="s">
        <v>377</v>
      </c>
      <c r="AB535" s="288" t="s">
        <v>377</v>
      </c>
      <c r="AC535" s="289" t="s">
        <v>377</v>
      </c>
      <c r="AD535" s="292" t="s">
        <v>18</v>
      </c>
      <c r="AE535" s="292" t="s">
        <v>377</v>
      </c>
      <c r="AF535" s="288" t="s">
        <v>377</v>
      </c>
      <c r="AG535" s="292" t="s">
        <v>18</v>
      </c>
      <c r="AH535" s="292" t="s">
        <v>377</v>
      </c>
      <c r="AI535" s="288" t="s">
        <v>377</v>
      </c>
      <c r="AJ535" s="292" t="s">
        <v>377</v>
      </c>
      <c r="AK535" s="292" t="s">
        <v>377</v>
      </c>
      <c r="AL535" s="288" t="s">
        <v>377</v>
      </c>
      <c r="AM535" s="292" t="s">
        <v>18</v>
      </c>
      <c r="AN535" s="292" t="s">
        <v>18</v>
      </c>
      <c r="AO535" s="288" t="s">
        <v>18</v>
      </c>
      <c r="AP535" s="289" t="s">
        <v>377</v>
      </c>
      <c r="AQ535" s="292" t="s">
        <v>377</v>
      </c>
      <c r="AR535" s="292" t="s">
        <v>377</v>
      </c>
      <c r="AS535" s="288" t="s">
        <v>377</v>
      </c>
      <c r="AT535" s="299" t="s">
        <v>32</v>
      </c>
      <c r="AU535" s="299" t="s">
        <v>32</v>
      </c>
      <c r="AV535" s="295" t="s">
        <v>32</v>
      </c>
      <c r="AW535" s="299" t="s">
        <v>32</v>
      </c>
      <c r="AX535" s="292" t="s">
        <v>18</v>
      </c>
      <c r="AY535" s="288" t="s">
        <v>377</v>
      </c>
      <c r="AZ535" s="292" t="s">
        <v>377</v>
      </c>
      <c r="BA535" s="299" t="s">
        <v>32</v>
      </c>
      <c r="BB535" s="288" t="s">
        <v>377</v>
      </c>
      <c r="BC535" s="289" t="s">
        <v>377</v>
      </c>
      <c r="BD535" s="287"/>
    </row>
    <row r="536" ht="12.75" customHeight="1">
      <c r="A536" s="298">
        <v>42.0</v>
      </c>
      <c r="B536" s="297" t="s">
        <v>525</v>
      </c>
      <c r="C536" s="298" t="s">
        <v>567</v>
      </c>
      <c r="D536" s="298" t="s">
        <v>16</v>
      </c>
      <c r="E536" s="285" t="s">
        <v>577</v>
      </c>
      <c r="F536" s="292" t="s">
        <v>1089</v>
      </c>
      <c r="G536" s="298" t="s">
        <v>17</v>
      </c>
      <c r="H536" s="298">
        <v>16.0</v>
      </c>
      <c r="I536" s="292" t="s">
        <v>497</v>
      </c>
      <c r="J536" s="292" t="s">
        <v>498</v>
      </c>
      <c r="K536" s="287" t="s">
        <v>508</v>
      </c>
      <c r="L536" s="292" t="s">
        <v>479</v>
      </c>
      <c r="M536" s="292" t="s">
        <v>483</v>
      </c>
      <c r="N536" s="292"/>
      <c r="O536" s="298" t="s">
        <v>479</v>
      </c>
      <c r="P536" s="292" t="s">
        <v>580</v>
      </c>
      <c r="Q536" s="292" t="s">
        <v>377</v>
      </c>
      <c r="R536" s="292" t="s">
        <v>18</v>
      </c>
      <c r="S536" s="288" t="s">
        <v>377</v>
      </c>
      <c r="T536" s="299" t="s">
        <v>32</v>
      </c>
      <c r="U536" s="292" t="s">
        <v>377</v>
      </c>
      <c r="V536" s="295" t="s">
        <v>32</v>
      </c>
      <c r="W536" s="292" t="s">
        <v>377</v>
      </c>
      <c r="X536" s="299" t="s">
        <v>32</v>
      </c>
      <c r="Y536" s="295" t="s">
        <v>32</v>
      </c>
      <c r="Z536" s="299" t="s">
        <v>32</v>
      </c>
      <c r="AA536" s="299" t="s">
        <v>32</v>
      </c>
      <c r="AB536" s="295" t="s">
        <v>32</v>
      </c>
      <c r="AC536" s="289" t="s">
        <v>377</v>
      </c>
      <c r="AD536" s="299" t="s">
        <v>32</v>
      </c>
      <c r="AE536" s="292" t="s">
        <v>18</v>
      </c>
      <c r="AF536" s="288" t="s">
        <v>377</v>
      </c>
      <c r="AG536" s="292" t="s">
        <v>377</v>
      </c>
      <c r="AH536" s="292" t="s">
        <v>377</v>
      </c>
      <c r="AI536" s="288" t="s">
        <v>377</v>
      </c>
      <c r="AJ536" s="292" t="s">
        <v>18</v>
      </c>
      <c r="AK536" s="292" t="s">
        <v>18</v>
      </c>
      <c r="AL536" s="288" t="s">
        <v>18</v>
      </c>
      <c r="AM536" s="292" t="s">
        <v>18</v>
      </c>
      <c r="AN536" s="292" t="s">
        <v>18</v>
      </c>
      <c r="AO536" s="288" t="s">
        <v>18</v>
      </c>
      <c r="AP536" s="289" t="s">
        <v>377</v>
      </c>
      <c r="AQ536" s="292" t="s">
        <v>18</v>
      </c>
      <c r="AR536" s="292" t="s">
        <v>377</v>
      </c>
      <c r="AS536" s="288" t="s">
        <v>377</v>
      </c>
      <c r="AT536" s="299" t="s">
        <v>32</v>
      </c>
      <c r="AU536" s="299" t="s">
        <v>32</v>
      </c>
      <c r="AV536" s="295" t="s">
        <v>32</v>
      </c>
      <c r="AW536" s="292" t="s">
        <v>377</v>
      </c>
      <c r="AX536" s="292" t="s">
        <v>18</v>
      </c>
      <c r="AY536" s="288" t="s">
        <v>377</v>
      </c>
      <c r="AZ536" s="292" t="s">
        <v>18</v>
      </c>
      <c r="BA536" s="292" t="s">
        <v>18</v>
      </c>
      <c r="BB536" s="295" t="s">
        <v>32</v>
      </c>
      <c r="BC536" s="289" t="s">
        <v>377</v>
      </c>
      <c r="BD536" s="287"/>
    </row>
    <row r="537" ht="12.75" customHeight="1">
      <c r="A537" s="298">
        <v>44.0</v>
      </c>
      <c r="B537" s="297" t="s">
        <v>525</v>
      </c>
      <c r="C537" s="298" t="s">
        <v>567</v>
      </c>
      <c r="D537" s="298" t="s">
        <v>16</v>
      </c>
      <c r="E537" s="285" t="s">
        <v>577</v>
      </c>
      <c r="F537" s="292" t="s">
        <v>1090</v>
      </c>
      <c r="G537" s="298" t="s">
        <v>21</v>
      </c>
      <c r="H537" s="298">
        <v>15.0</v>
      </c>
      <c r="I537" s="292" t="s">
        <v>497</v>
      </c>
      <c r="J537" s="292" t="s">
        <v>498</v>
      </c>
      <c r="K537" s="287" t="s">
        <v>508</v>
      </c>
      <c r="L537" s="292" t="s">
        <v>479</v>
      </c>
      <c r="M537" s="292" t="s">
        <v>483</v>
      </c>
      <c r="N537" s="292"/>
      <c r="O537" s="298" t="s">
        <v>497</v>
      </c>
      <c r="P537" s="292" t="s">
        <v>612</v>
      </c>
      <c r="Q537" s="292" t="s">
        <v>377</v>
      </c>
      <c r="R537" s="292" t="s">
        <v>377</v>
      </c>
      <c r="S537" s="288" t="s">
        <v>377</v>
      </c>
      <c r="T537" s="299" t="s">
        <v>32</v>
      </c>
      <c r="U537" s="299" t="s">
        <v>32</v>
      </c>
      <c r="V537" s="295" t="s">
        <v>32</v>
      </c>
      <c r="W537" s="292" t="s">
        <v>377</v>
      </c>
      <c r="X537" s="292" t="s">
        <v>377</v>
      </c>
      <c r="Y537" s="288" t="s">
        <v>377</v>
      </c>
      <c r="Z537" s="299" t="s">
        <v>32</v>
      </c>
      <c r="AA537" s="292" t="s">
        <v>18</v>
      </c>
      <c r="AB537" s="288" t="s">
        <v>377</v>
      </c>
      <c r="AC537" s="289" t="s">
        <v>377</v>
      </c>
      <c r="AD537" s="292" t="s">
        <v>377</v>
      </c>
      <c r="AE537" s="292" t="s">
        <v>377</v>
      </c>
      <c r="AF537" s="288" t="s">
        <v>377</v>
      </c>
      <c r="AG537" s="292" t="s">
        <v>18</v>
      </c>
      <c r="AH537" s="292" t="s">
        <v>377</v>
      </c>
      <c r="AI537" s="288" t="s">
        <v>377</v>
      </c>
      <c r="AJ537" s="292" t="s">
        <v>377</v>
      </c>
      <c r="AK537" s="292" t="s">
        <v>18</v>
      </c>
      <c r="AL537" s="288" t="s">
        <v>377</v>
      </c>
      <c r="AM537" s="292" t="s">
        <v>377</v>
      </c>
      <c r="AN537" s="292" t="s">
        <v>18</v>
      </c>
      <c r="AO537" s="288" t="s">
        <v>377</v>
      </c>
      <c r="AP537" s="289" t="s">
        <v>377</v>
      </c>
      <c r="AQ537" s="299" t="s">
        <v>32</v>
      </c>
      <c r="AR537" s="299" t="s">
        <v>32</v>
      </c>
      <c r="AS537" s="295" t="s">
        <v>32</v>
      </c>
      <c r="AT537" s="299" t="s">
        <v>32</v>
      </c>
      <c r="AU537" s="299" t="s">
        <v>32</v>
      </c>
      <c r="AV537" s="295" t="s">
        <v>32</v>
      </c>
      <c r="AW537" s="292" t="s">
        <v>377</v>
      </c>
      <c r="AX537" s="292" t="s">
        <v>377</v>
      </c>
      <c r="AY537" s="288" t="s">
        <v>377</v>
      </c>
      <c r="AZ537" s="299" t="s">
        <v>32</v>
      </c>
      <c r="BA537" s="299" t="s">
        <v>32</v>
      </c>
      <c r="BB537" s="295" t="s">
        <v>32</v>
      </c>
      <c r="BC537" s="289" t="s">
        <v>377</v>
      </c>
      <c r="BD537" s="287"/>
    </row>
    <row r="538" ht="12.75" customHeight="1">
      <c r="A538" s="298">
        <v>45.0</v>
      </c>
      <c r="B538" s="297" t="s">
        <v>525</v>
      </c>
      <c r="C538" s="298" t="s">
        <v>567</v>
      </c>
      <c r="D538" s="298" t="s">
        <v>16</v>
      </c>
      <c r="E538" s="285" t="s">
        <v>577</v>
      </c>
      <c r="F538" s="292" t="s">
        <v>1091</v>
      </c>
      <c r="G538" s="298" t="s">
        <v>17</v>
      </c>
      <c r="H538" s="298">
        <v>16.0</v>
      </c>
      <c r="I538" s="292" t="s">
        <v>497</v>
      </c>
      <c r="J538" s="292" t="s">
        <v>498</v>
      </c>
      <c r="K538" s="287" t="s">
        <v>508</v>
      </c>
      <c r="L538" s="292" t="s">
        <v>479</v>
      </c>
      <c r="M538" s="292" t="s">
        <v>483</v>
      </c>
      <c r="N538" s="292"/>
      <c r="O538" s="298" t="s">
        <v>497</v>
      </c>
      <c r="P538" s="292" t="s">
        <v>612</v>
      </c>
      <c r="Q538" s="299" t="s">
        <v>32</v>
      </c>
      <c r="R538" s="299" t="s">
        <v>32</v>
      </c>
      <c r="S538" s="295" t="s">
        <v>32</v>
      </c>
      <c r="T538" s="299" t="s">
        <v>32</v>
      </c>
      <c r="U538" s="299" t="s">
        <v>32</v>
      </c>
      <c r="V538" s="295" t="s">
        <v>32</v>
      </c>
      <c r="W538" s="292" t="s">
        <v>377</v>
      </c>
      <c r="X538" s="292" t="s">
        <v>377</v>
      </c>
      <c r="Y538" s="288" t="s">
        <v>377</v>
      </c>
      <c r="Z538" s="292" t="s">
        <v>377</v>
      </c>
      <c r="AA538" s="299" t="s">
        <v>32</v>
      </c>
      <c r="AB538" s="295" t="s">
        <v>32</v>
      </c>
      <c r="AC538" s="296" t="s">
        <v>32</v>
      </c>
      <c r="AD538" s="292" t="s">
        <v>377</v>
      </c>
      <c r="AE538" s="292" t="s">
        <v>377</v>
      </c>
      <c r="AF538" s="288" t="s">
        <v>377</v>
      </c>
      <c r="AG538" s="292" t="s">
        <v>18</v>
      </c>
      <c r="AH538" s="292" t="s">
        <v>377</v>
      </c>
      <c r="AI538" s="288" t="s">
        <v>377</v>
      </c>
      <c r="AJ538" s="299" t="s">
        <v>32</v>
      </c>
      <c r="AK538" s="292" t="s">
        <v>377</v>
      </c>
      <c r="AL538" s="295" t="s">
        <v>32</v>
      </c>
      <c r="AM538" s="292" t="s">
        <v>377</v>
      </c>
      <c r="AN538" s="299" t="s">
        <v>32</v>
      </c>
      <c r="AO538" s="295" t="s">
        <v>32</v>
      </c>
      <c r="AP538" s="289" t="s">
        <v>377</v>
      </c>
      <c r="AQ538" s="299" t="s">
        <v>32</v>
      </c>
      <c r="AR538" s="299" t="s">
        <v>32</v>
      </c>
      <c r="AS538" s="295" t="s">
        <v>32</v>
      </c>
      <c r="AT538" s="299" t="s">
        <v>32</v>
      </c>
      <c r="AU538" s="292" t="s">
        <v>377</v>
      </c>
      <c r="AV538" s="295" t="s">
        <v>32</v>
      </c>
      <c r="AW538" s="299" t="s">
        <v>32</v>
      </c>
      <c r="AX538" s="292" t="s">
        <v>377</v>
      </c>
      <c r="AY538" s="295" t="s">
        <v>32</v>
      </c>
      <c r="AZ538" s="299" t="s">
        <v>32</v>
      </c>
      <c r="BA538" s="299" t="s">
        <v>32</v>
      </c>
      <c r="BB538" s="288" t="s">
        <v>377</v>
      </c>
      <c r="BC538" s="289" t="s">
        <v>377</v>
      </c>
      <c r="BD538" s="287"/>
    </row>
    <row r="539" ht="12.75" customHeight="1">
      <c r="A539" s="298">
        <v>46.0</v>
      </c>
      <c r="B539" s="297" t="s">
        <v>525</v>
      </c>
      <c r="C539" s="298" t="s">
        <v>567</v>
      </c>
      <c r="D539" s="298" t="s">
        <v>16</v>
      </c>
      <c r="E539" s="285" t="s">
        <v>577</v>
      </c>
      <c r="F539" s="292" t="s">
        <v>1092</v>
      </c>
      <c r="G539" s="298" t="s">
        <v>17</v>
      </c>
      <c r="H539" s="298">
        <v>16.0</v>
      </c>
      <c r="I539" s="292" t="s">
        <v>497</v>
      </c>
      <c r="J539" s="292" t="s">
        <v>498</v>
      </c>
      <c r="K539" s="287" t="s">
        <v>508</v>
      </c>
      <c r="L539" s="292" t="s">
        <v>479</v>
      </c>
      <c r="M539" s="292" t="s">
        <v>483</v>
      </c>
      <c r="N539" s="292"/>
      <c r="O539" s="298" t="s">
        <v>497</v>
      </c>
      <c r="P539" s="292" t="s">
        <v>612</v>
      </c>
      <c r="Q539" s="299" t="s">
        <v>32</v>
      </c>
      <c r="R539" s="292" t="s">
        <v>18</v>
      </c>
      <c r="S539" s="288" t="s">
        <v>377</v>
      </c>
      <c r="T539" s="292" t="s">
        <v>18</v>
      </c>
      <c r="U539" s="299" t="s">
        <v>32</v>
      </c>
      <c r="V539" s="288" t="s">
        <v>377</v>
      </c>
      <c r="W539" s="292" t="s">
        <v>18</v>
      </c>
      <c r="X539" s="299" t="s">
        <v>32</v>
      </c>
      <c r="Y539" s="288" t="s">
        <v>377</v>
      </c>
      <c r="Z539" s="299" t="s">
        <v>32</v>
      </c>
      <c r="AA539" s="292" t="s">
        <v>18</v>
      </c>
      <c r="AB539" s="288" t="s">
        <v>377</v>
      </c>
      <c r="AC539" s="289" t="s">
        <v>377</v>
      </c>
      <c r="AD539" s="299" t="s">
        <v>32</v>
      </c>
      <c r="AE539" s="299" t="s">
        <v>32</v>
      </c>
      <c r="AF539" s="295" t="s">
        <v>32</v>
      </c>
      <c r="AG539" s="292" t="s">
        <v>18</v>
      </c>
      <c r="AH539" s="299" t="s">
        <v>32</v>
      </c>
      <c r="AI539" s="288" t="s">
        <v>377</v>
      </c>
      <c r="AJ539" s="299" t="s">
        <v>32</v>
      </c>
      <c r="AK539" s="292" t="s">
        <v>18</v>
      </c>
      <c r="AL539" s="288" t="s">
        <v>377</v>
      </c>
      <c r="AM539" s="292" t="s">
        <v>377</v>
      </c>
      <c r="AN539" s="292" t="s">
        <v>18</v>
      </c>
      <c r="AO539" s="288" t="s">
        <v>377</v>
      </c>
      <c r="AP539" s="289" t="s">
        <v>377</v>
      </c>
      <c r="AQ539" s="292" t="s">
        <v>18</v>
      </c>
      <c r="AR539" s="292" t="s">
        <v>377</v>
      </c>
      <c r="AS539" s="288" t="s">
        <v>377</v>
      </c>
      <c r="AT539" s="299" t="s">
        <v>32</v>
      </c>
      <c r="AU539" s="299" t="s">
        <v>32</v>
      </c>
      <c r="AV539" s="295" t="s">
        <v>32</v>
      </c>
      <c r="AW539" s="292" t="s">
        <v>18</v>
      </c>
      <c r="AX539" s="292" t="s">
        <v>18</v>
      </c>
      <c r="AY539" s="288" t="s">
        <v>18</v>
      </c>
      <c r="AZ539" s="299" t="s">
        <v>32</v>
      </c>
      <c r="BA539" s="299" t="s">
        <v>32</v>
      </c>
      <c r="BB539" s="295" t="s">
        <v>32</v>
      </c>
      <c r="BC539" s="296" t="s">
        <v>32</v>
      </c>
      <c r="BD539" s="287"/>
    </row>
    <row r="540" ht="12.75" customHeight="1">
      <c r="A540" s="293">
        <v>45257.35844131945</v>
      </c>
      <c r="B540" s="286" t="s">
        <v>375</v>
      </c>
      <c r="C540" s="287" t="s">
        <v>559</v>
      </c>
      <c r="D540" s="285" t="s">
        <v>16</v>
      </c>
      <c r="E540" s="285" t="s">
        <v>476</v>
      </c>
      <c r="F540" s="287" t="s">
        <v>1093</v>
      </c>
      <c r="G540" s="285" t="s">
        <v>21</v>
      </c>
      <c r="H540" s="285">
        <v>12.0</v>
      </c>
      <c r="I540" s="287" t="s">
        <v>497</v>
      </c>
      <c r="J540" s="292"/>
      <c r="K540" s="287" t="s">
        <v>508</v>
      </c>
      <c r="L540" s="287" t="s">
        <v>479</v>
      </c>
      <c r="M540" s="287" t="s">
        <v>500</v>
      </c>
      <c r="N540" s="287" t="s">
        <v>500</v>
      </c>
      <c r="O540" s="287"/>
      <c r="P540" s="287"/>
      <c r="Q540" s="294" t="s">
        <v>32</v>
      </c>
      <c r="R540" s="294" t="s">
        <v>32</v>
      </c>
      <c r="S540" s="295" t="s">
        <v>32</v>
      </c>
      <c r="T540" s="287" t="s">
        <v>377</v>
      </c>
      <c r="U540" s="294" t="s">
        <v>32</v>
      </c>
      <c r="V540" s="295" t="s">
        <v>32</v>
      </c>
      <c r="W540" s="287" t="s">
        <v>377</v>
      </c>
      <c r="X540" s="287" t="s">
        <v>18</v>
      </c>
      <c r="Y540" s="288" t="s">
        <v>377</v>
      </c>
      <c r="Z540" s="287" t="s">
        <v>377</v>
      </c>
      <c r="AA540" s="294" t="s">
        <v>32</v>
      </c>
      <c r="AB540" s="295" t="s">
        <v>32</v>
      </c>
      <c r="AC540" s="289" t="s">
        <v>377</v>
      </c>
      <c r="AD540" s="287" t="s">
        <v>377</v>
      </c>
      <c r="AE540" s="294" t="s">
        <v>32</v>
      </c>
      <c r="AF540" s="295" t="s">
        <v>32</v>
      </c>
      <c r="AG540" s="294" t="s">
        <v>32</v>
      </c>
      <c r="AH540" s="287" t="s">
        <v>377</v>
      </c>
      <c r="AI540" s="295" t="s">
        <v>32</v>
      </c>
      <c r="AJ540" s="287" t="s">
        <v>18</v>
      </c>
      <c r="AK540" s="294" t="s">
        <v>32</v>
      </c>
      <c r="AL540" s="288" t="s">
        <v>377</v>
      </c>
      <c r="AM540" s="294" t="s">
        <v>32</v>
      </c>
      <c r="AN540" s="287" t="s">
        <v>18</v>
      </c>
      <c r="AO540" s="288" t="s">
        <v>377</v>
      </c>
      <c r="AP540" s="289" t="s">
        <v>377</v>
      </c>
      <c r="AQ540" s="294" t="s">
        <v>32</v>
      </c>
      <c r="AR540" s="287" t="s">
        <v>377</v>
      </c>
      <c r="AS540" s="295" t="s">
        <v>32</v>
      </c>
      <c r="AT540" s="294" t="s">
        <v>32</v>
      </c>
      <c r="AU540" s="294" t="s">
        <v>32</v>
      </c>
      <c r="AV540" s="295" t="s">
        <v>32</v>
      </c>
      <c r="AW540" s="287" t="s">
        <v>18</v>
      </c>
      <c r="AX540" s="287" t="s">
        <v>377</v>
      </c>
      <c r="AY540" s="288" t="s">
        <v>377</v>
      </c>
      <c r="AZ540" s="294" t="s">
        <v>32</v>
      </c>
      <c r="BA540" s="287" t="s">
        <v>18</v>
      </c>
      <c r="BB540" s="295" t="s">
        <v>32</v>
      </c>
      <c r="BC540" s="296" t="s">
        <v>32</v>
      </c>
      <c r="BD540" s="287"/>
    </row>
    <row r="541" ht="12.75" customHeight="1">
      <c r="A541" s="300">
        <v>44796.95090797453</v>
      </c>
      <c r="B541" s="297" t="s">
        <v>506</v>
      </c>
      <c r="C541" s="298" t="s">
        <v>567</v>
      </c>
      <c r="D541" s="298" t="s">
        <v>16</v>
      </c>
      <c r="E541" s="285" t="s">
        <v>476</v>
      </c>
      <c r="F541" s="292" t="s">
        <v>1094</v>
      </c>
      <c r="G541" s="298" t="s">
        <v>17</v>
      </c>
      <c r="H541" s="298">
        <v>12.0</v>
      </c>
      <c r="I541" s="292" t="s">
        <v>479</v>
      </c>
      <c r="J541" s="292" t="s">
        <v>508</v>
      </c>
      <c r="K541" s="287" t="s">
        <v>508</v>
      </c>
      <c r="L541" s="292" t="s">
        <v>497</v>
      </c>
      <c r="M541" s="292" t="s">
        <v>586</v>
      </c>
      <c r="N541" s="292"/>
      <c r="O541" s="292"/>
      <c r="P541" s="292"/>
      <c r="Q541" s="292" t="s">
        <v>377</v>
      </c>
      <c r="R541" s="299" t="s">
        <v>32</v>
      </c>
      <c r="S541" s="295" t="s">
        <v>32</v>
      </c>
      <c r="T541" s="292" t="s">
        <v>18</v>
      </c>
      <c r="U541" s="292" t="s">
        <v>18</v>
      </c>
      <c r="V541" s="288" t="s">
        <v>18</v>
      </c>
      <c r="W541" s="292" t="s">
        <v>18</v>
      </c>
      <c r="X541" s="292" t="s">
        <v>18</v>
      </c>
      <c r="Y541" s="288" t="s">
        <v>18</v>
      </c>
      <c r="Z541" s="292" t="s">
        <v>377</v>
      </c>
      <c r="AA541" s="292" t="s">
        <v>377</v>
      </c>
      <c r="AB541" s="288" t="s">
        <v>377</v>
      </c>
      <c r="AC541" s="289" t="s">
        <v>377</v>
      </c>
      <c r="AD541" s="292" t="s">
        <v>18</v>
      </c>
      <c r="AE541" s="292" t="s">
        <v>377</v>
      </c>
      <c r="AF541" s="288" t="s">
        <v>377</v>
      </c>
      <c r="AG541" s="292" t="s">
        <v>377</v>
      </c>
      <c r="AH541" s="292" t="s">
        <v>18</v>
      </c>
      <c r="AI541" s="288" t="s">
        <v>377</v>
      </c>
      <c r="AJ541" s="292" t="s">
        <v>18</v>
      </c>
      <c r="AK541" s="292" t="s">
        <v>18</v>
      </c>
      <c r="AL541" s="288" t="s">
        <v>18</v>
      </c>
      <c r="AM541" s="292" t="s">
        <v>18</v>
      </c>
      <c r="AN541" s="292" t="s">
        <v>18</v>
      </c>
      <c r="AO541" s="288" t="s">
        <v>18</v>
      </c>
      <c r="AP541" s="289" t="s">
        <v>18</v>
      </c>
      <c r="AQ541" s="292" t="s">
        <v>18</v>
      </c>
      <c r="AR541" s="292" t="s">
        <v>377</v>
      </c>
      <c r="AS541" s="288" t="s">
        <v>377</v>
      </c>
      <c r="AT541" s="292" t="s">
        <v>377</v>
      </c>
      <c r="AU541" s="292" t="s">
        <v>18</v>
      </c>
      <c r="AV541" s="288" t="s">
        <v>377</v>
      </c>
      <c r="AW541" s="292" t="s">
        <v>18</v>
      </c>
      <c r="AX541" s="292" t="s">
        <v>377</v>
      </c>
      <c r="AY541" s="288" t="s">
        <v>377</v>
      </c>
      <c r="AZ541" s="292" t="s">
        <v>18</v>
      </c>
      <c r="BA541" s="292" t="s">
        <v>18</v>
      </c>
      <c r="BB541" s="288" t="s">
        <v>377</v>
      </c>
      <c r="BC541" s="289" t="s">
        <v>377</v>
      </c>
      <c r="BD541" s="287"/>
    </row>
    <row r="542" ht="12.75" customHeight="1">
      <c r="A542" s="300">
        <v>44796.953110104165</v>
      </c>
      <c r="B542" s="297" t="s">
        <v>506</v>
      </c>
      <c r="C542" s="298" t="s">
        <v>567</v>
      </c>
      <c r="D542" s="298" t="s">
        <v>16</v>
      </c>
      <c r="E542" s="285" t="s">
        <v>476</v>
      </c>
      <c r="F542" s="292" t="s">
        <v>1095</v>
      </c>
      <c r="G542" s="298" t="s">
        <v>21</v>
      </c>
      <c r="H542" s="298">
        <v>12.0</v>
      </c>
      <c r="I542" s="292" t="s">
        <v>479</v>
      </c>
      <c r="J542" s="292" t="s">
        <v>508</v>
      </c>
      <c r="K542" s="287" t="s">
        <v>508</v>
      </c>
      <c r="L542" s="292" t="s">
        <v>497</v>
      </c>
      <c r="M542" s="292" t="s">
        <v>586</v>
      </c>
      <c r="N542" s="292"/>
      <c r="O542" s="292"/>
      <c r="P542" s="292"/>
      <c r="Q542" s="299" t="s">
        <v>32</v>
      </c>
      <c r="R542" s="292" t="s">
        <v>377</v>
      </c>
      <c r="S542" s="295" t="s">
        <v>32</v>
      </c>
      <c r="T542" s="292" t="s">
        <v>377</v>
      </c>
      <c r="U542" s="299" t="s">
        <v>32</v>
      </c>
      <c r="V542" s="295" t="s">
        <v>32</v>
      </c>
      <c r="W542" s="292" t="s">
        <v>377</v>
      </c>
      <c r="X542" s="292" t="s">
        <v>377</v>
      </c>
      <c r="Y542" s="288" t="s">
        <v>377</v>
      </c>
      <c r="Z542" s="292" t="s">
        <v>377</v>
      </c>
      <c r="AA542" s="292" t="s">
        <v>377</v>
      </c>
      <c r="AB542" s="288" t="s">
        <v>377</v>
      </c>
      <c r="AC542" s="289" t="s">
        <v>377</v>
      </c>
      <c r="AD542" s="292" t="s">
        <v>377</v>
      </c>
      <c r="AE542" s="299" t="s">
        <v>32</v>
      </c>
      <c r="AF542" s="295" t="s">
        <v>32</v>
      </c>
      <c r="AG542" s="292" t="s">
        <v>377</v>
      </c>
      <c r="AH542" s="292" t="s">
        <v>377</v>
      </c>
      <c r="AI542" s="288" t="s">
        <v>377</v>
      </c>
      <c r="AJ542" s="292" t="s">
        <v>377</v>
      </c>
      <c r="AK542" s="292" t="s">
        <v>377</v>
      </c>
      <c r="AL542" s="288" t="s">
        <v>377</v>
      </c>
      <c r="AM542" s="292" t="s">
        <v>377</v>
      </c>
      <c r="AN542" s="292" t="s">
        <v>377</v>
      </c>
      <c r="AO542" s="288" t="s">
        <v>377</v>
      </c>
      <c r="AP542" s="289" t="s">
        <v>377</v>
      </c>
      <c r="AQ542" s="292" t="s">
        <v>377</v>
      </c>
      <c r="AR542" s="292" t="s">
        <v>377</v>
      </c>
      <c r="AS542" s="288" t="s">
        <v>377</v>
      </c>
      <c r="AT542" s="292" t="s">
        <v>377</v>
      </c>
      <c r="AU542" s="292" t="s">
        <v>377</v>
      </c>
      <c r="AV542" s="288" t="s">
        <v>377</v>
      </c>
      <c r="AW542" s="292" t="s">
        <v>18</v>
      </c>
      <c r="AX542" s="292" t="s">
        <v>377</v>
      </c>
      <c r="AY542" s="288" t="s">
        <v>377</v>
      </c>
      <c r="AZ542" s="292" t="s">
        <v>377</v>
      </c>
      <c r="BA542" s="292" t="s">
        <v>377</v>
      </c>
      <c r="BB542" s="295" t="s">
        <v>32</v>
      </c>
      <c r="BC542" s="296" t="s">
        <v>32</v>
      </c>
      <c r="BD542" s="287"/>
    </row>
    <row r="543" ht="12.75" customHeight="1">
      <c r="A543" s="300">
        <v>44796.95530998842</v>
      </c>
      <c r="B543" s="297" t="s">
        <v>506</v>
      </c>
      <c r="C543" s="298" t="s">
        <v>567</v>
      </c>
      <c r="D543" s="298" t="s">
        <v>16</v>
      </c>
      <c r="E543" s="285" t="s">
        <v>476</v>
      </c>
      <c r="F543" s="292" t="s">
        <v>527</v>
      </c>
      <c r="G543" s="298" t="s">
        <v>17</v>
      </c>
      <c r="H543" s="298">
        <v>11.0</v>
      </c>
      <c r="I543" s="292" t="s">
        <v>479</v>
      </c>
      <c r="J543" s="292" t="s">
        <v>508</v>
      </c>
      <c r="K543" s="287" t="s">
        <v>508</v>
      </c>
      <c r="L543" s="292" t="s">
        <v>497</v>
      </c>
      <c r="M543" s="292" t="s">
        <v>586</v>
      </c>
      <c r="N543" s="292"/>
      <c r="O543" s="292"/>
      <c r="P543" s="292"/>
      <c r="Q543" s="292" t="s">
        <v>377</v>
      </c>
      <c r="R543" s="292" t="s">
        <v>377</v>
      </c>
      <c r="S543" s="288" t="s">
        <v>377</v>
      </c>
      <c r="T543" s="292" t="s">
        <v>18</v>
      </c>
      <c r="U543" s="292" t="s">
        <v>377</v>
      </c>
      <c r="V543" s="288" t="s">
        <v>377</v>
      </c>
      <c r="W543" s="292" t="s">
        <v>377</v>
      </c>
      <c r="X543" s="292" t="s">
        <v>18</v>
      </c>
      <c r="Y543" s="288" t="s">
        <v>377</v>
      </c>
      <c r="Z543" s="292" t="s">
        <v>377</v>
      </c>
      <c r="AA543" s="299" t="s">
        <v>32</v>
      </c>
      <c r="AB543" s="295" t="s">
        <v>32</v>
      </c>
      <c r="AC543" s="289" t="s">
        <v>377</v>
      </c>
      <c r="AD543" s="292" t="s">
        <v>18</v>
      </c>
      <c r="AE543" s="292" t="s">
        <v>377</v>
      </c>
      <c r="AF543" s="288" t="s">
        <v>377</v>
      </c>
      <c r="AG543" s="292" t="s">
        <v>377</v>
      </c>
      <c r="AH543" s="292" t="s">
        <v>18</v>
      </c>
      <c r="AI543" s="288" t="s">
        <v>377</v>
      </c>
      <c r="AJ543" s="292" t="s">
        <v>377</v>
      </c>
      <c r="AK543" s="292" t="s">
        <v>18</v>
      </c>
      <c r="AL543" s="288" t="s">
        <v>377</v>
      </c>
      <c r="AM543" s="292" t="s">
        <v>18</v>
      </c>
      <c r="AN543" s="292" t="s">
        <v>18</v>
      </c>
      <c r="AO543" s="288" t="s">
        <v>18</v>
      </c>
      <c r="AP543" s="289" t="s">
        <v>18</v>
      </c>
      <c r="AQ543" s="292" t="s">
        <v>18</v>
      </c>
      <c r="AR543" s="292" t="s">
        <v>18</v>
      </c>
      <c r="AS543" s="288" t="s">
        <v>18</v>
      </c>
      <c r="AT543" s="292" t="s">
        <v>377</v>
      </c>
      <c r="AU543" s="292" t="s">
        <v>377</v>
      </c>
      <c r="AV543" s="288" t="s">
        <v>377</v>
      </c>
      <c r="AW543" s="292" t="s">
        <v>18</v>
      </c>
      <c r="AX543" s="292" t="s">
        <v>377</v>
      </c>
      <c r="AY543" s="288" t="s">
        <v>377</v>
      </c>
      <c r="AZ543" s="292" t="s">
        <v>18</v>
      </c>
      <c r="BA543" s="292" t="s">
        <v>377</v>
      </c>
      <c r="BB543" s="295" t="s">
        <v>32</v>
      </c>
      <c r="BC543" s="296" t="s">
        <v>32</v>
      </c>
      <c r="BD543" s="292"/>
    </row>
    <row r="544" ht="12.75" customHeight="1">
      <c r="A544" s="300">
        <v>44796.9577425</v>
      </c>
      <c r="B544" s="297" t="s">
        <v>506</v>
      </c>
      <c r="C544" s="298" t="s">
        <v>567</v>
      </c>
      <c r="D544" s="298" t="s">
        <v>16</v>
      </c>
      <c r="E544" s="285" t="s">
        <v>476</v>
      </c>
      <c r="F544" s="292" t="s">
        <v>528</v>
      </c>
      <c r="G544" s="298" t="s">
        <v>21</v>
      </c>
      <c r="H544" s="298">
        <v>12.0</v>
      </c>
      <c r="I544" s="292" t="s">
        <v>479</v>
      </c>
      <c r="J544" s="292" t="s">
        <v>508</v>
      </c>
      <c r="K544" s="287" t="s">
        <v>508</v>
      </c>
      <c r="L544" s="292" t="s">
        <v>497</v>
      </c>
      <c r="M544" s="292" t="s">
        <v>586</v>
      </c>
      <c r="N544" s="292"/>
      <c r="O544" s="292"/>
      <c r="P544" s="292"/>
      <c r="Q544" s="292" t="s">
        <v>377</v>
      </c>
      <c r="R544" s="292" t="s">
        <v>18</v>
      </c>
      <c r="S544" s="288" t="s">
        <v>377</v>
      </c>
      <c r="T544" s="292" t="s">
        <v>18</v>
      </c>
      <c r="U544" s="292" t="s">
        <v>377</v>
      </c>
      <c r="V544" s="288" t="s">
        <v>377</v>
      </c>
      <c r="W544" s="292" t="s">
        <v>18</v>
      </c>
      <c r="X544" s="292" t="s">
        <v>18</v>
      </c>
      <c r="Y544" s="288" t="s">
        <v>18</v>
      </c>
      <c r="Z544" s="292" t="s">
        <v>18</v>
      </c>
      <c r="AA544" s="292" t="s">
        <v>18</v>
      </c>
      <c r="AB544" s="288" t="s">
        <v>18</v>
      </c>
      <c r="AC544" s="289" t="s">
        <v>18</v>
      </c>
      <c r="AD544" s="292" t="s">
        <v>377</v>
      </c>
      <c r="AE544" s="292" t="s">
        <v>18</v>
      </c>
      <c r="AF544" s="288" t="s">
        <v>377</v>
      </c>
      <c r="AG544" s="292" t="s">
        <v>18</v>
      </c>
      <c r="AH544" s="292" t="s">
        <v>18</v>
      </c>
      <c r="AI544" s="288" t="s">
        <v>18</v>
      </c>
      <c r="AJ544" s="292" t="s">
        <v>18</v>
      </c>
      <c r="AK544" s="292" t="s">
        <v>18</v>
      </c>
      <c r="AL544" s="288" t="s">
        <v>18</v>
      </c>
      <c r="AM544" s="292" t="s">
        <v>18</v>
      </c>
      <c r="AN544" s="292" t="s">
        <v>18</v>
      </c>
      <c r="AO544" s="288" t="s">
        <v>18</v>
      </c>
      <c r="AP544" s="289" t="s">
        <v>18</v>
      </c>
      <c r="AQ544" s="292" t="s">
        <v>18</v>
      </c>
      <c r="AR544" s="292" t="s">
        <v>18</v>
      </c>
      <c r="AS544" s="288" t="s">
        <v>18</v>
      </c>
      <c r="AT544" s="292" t="s">
        <v>18</v>
      </c>
      <c r="AU544" s="292" t="s">
        <v>377</v>
      </c>
      <c r="AV544" s="288" t="s">
        <v>377</v>
      </c>
      <c r="AW544" s="292" t="s">
        <v>18</v>
      </c>
      <c r="AX544" s="292" t="s">
        <v>18</v>
      </c>
      <c r="AY544" s="288" t="s">
        <v>18</v>
      </c>
      <c r="AZ544" s="292" t="s">
        <v>377</v>
      </c>
      <c r="BA544" s="292" t="s">
        <v>18</v>
      </c>
      <c r="BB544" s="295" t="s">
        <v>32</v>
      </c>
      <c r="BC544" s="289" t="s">
        <v>377</v>
      </c>
      <c r="BD544" s="292"/>
    </row>
    <row r="545" ht="12.75" customHeight="1">
      <c r="A545" s="300">
        <v>44796.96399842593</v>
      </c>
      <c r="B545" s="297" t="s">
        <v>506</v>
      </c>
      <c r="C545" s="298" t="s">
        <v>567</v>
      </c>
      <c r="D545" s="298" t="s">
        <v>16</v>
      </c>
      <c r="E545" s="285" t="s">
        <v>476</v>
      </c>
      <c r="F545" s="292" t="s">
        <v>529</v>
      </c>
      <c r="G545" s="298" t="s">
        <v>21</v>
      </c>
      <c r="H545" s="298">
        <v>13.0</v>
      </c>
      <c r="I545" s="292" t="s">
        <v>479</v>
      </c>
      <c r="J545" s="292" t="s">
        <v>508</v>
      </c>
      <c r="K545" s="287" t="s">
        <v>508</v>
      </c>
      <c r="L545" s="292" t="s">
        <v>497</v>
      </c>
      <c r="M545" s="292" t="s">
        <v>586</v>
      </c>
      <c r="N545" s="292"/>
      <c r="O545" s="292"/>
      <c r="P545" s="292"/>
      <c r="Q545" s="292" t="s">
        <v>377</v>
      </c>
      <c r="R545" s="292" t="s">
        <v>18</v>
      </c>
      <c r="S545" s="288" t="s">
        <v>377</v>
      </c>
      <c r="T545" s="292" t="s">
        <v>18</v>
      </c>
      <c r="U545" s="292" t="s">
        <v>377</v>
      </c>
      <c r="V545" s="288" t="s">
        <v>377</v>
      </c>
      <c r="W545" s="292" t="s">
        <v>18</v>
      </c>
      <c r="X545" s="292" t="s">
        <v>18</v>
      </c>
      <c r="Y545" s="288" t="s">
        <v>18</v>
      </c>
      <c r="Z545" s="292" t="s">
        <v>18</v>
      </c>
      <c r="AA545" s="292" t="s">
        <v>18</v>
      </c>
      <c r="AB545" s="288" t="s">
        <v>18</v>
      </c>
      <c r="AC545" s="289" t="s">
        <v>18</v>
      </c>
      <c r="AD545" s="292" t="s">
        <v>18</v>
      </c>
      <c r="AE545" s="292" t="s">
        <v>377</v>
      </c>
      <c r="AF545" s="288" t="s">
        <v>377</v>
      </c>
      <c r="AG545" s="292" t="s">
        <v>377</v>
      </c>
      <c r="AH545" s="292" t="s">
        <v>18</v>
      </c>
      <c r="AI545" s="288" t="s">
        <v>377</v>
      </c>
      <c r="AJ545" s="292" t="s">
        <v>377</v>
      </c>
      <c r="AK545" s="292" t="s">
        <v>377</v>
      </c>
      <c r="AL545" s="288" t="s">
        <v>377</v>
      </c>
      <c r="AM545" s="292" t="s">
        <v>18</v>
      </c>
      <c r="AN545" s="292" t="s">
        <v>18</v>
      </c>
      <c r="AO545" s="288" t="s">
        <v>18</v>
      </c>
      <c r="AP545" s="289" t="s">
        <v>377</v>
      </c>
      <c r="AQ545" s="292" t="s">
        <v>377</v>
      </c>
      <c r="AR545" s="292" t="s">
        <v>18</v>
      </c>
      <c r="AS545" s="288" t="s">
        <v>377</v>
      </c>
      <c r="AT545" s="292" t="s">
        <v>18</v>
      </c>
      <c r="AU545" s="292" t="s">
        <v>18</v>
      </c>
      <c r="AV545" s="288" t="s">
        <v>18</v>
      </c>
      <c r="AW545" s="292" t="s">
        <v>18</v>
      </c>
      <c r="AX545" s="292" t="s">
        <v>18</v>
      </c>
      <c r="AY545" s="288" t="s">
        <v>18</v>
      </c>
      <c r="AZ545" s="292" t="s">
        <v>377</v>
      </c>
      <c r="BA545" s="292" t="s">
        <v>18</v>
      </c>
      <c r="BB545" s="295" t="s">
        <v>32</v>
      </c>
      <c r="BC545" s="289" t="s">
        <v>377</v>
      </c>
      <c r="BD545" s="292"/>
    </row>
    <row r="546" ht="12.75" customHeight="1">
      <c r="A546" s="300">
        <v>44796.96796891204</v>
      </c>
      <c r="B546" s="297" t="s">
        <v>506</v>
      </c>
      <c r="C546" s="298" t="s">
        <v>567</v>
      </c>
      <c r="D546" s="298" t="s">
        <v>16</v>
      </c>
      <c r="E546" s="285" t="s">
        <v>476</v>
      </c>
      <c r="F546" s="292" t="s">
        <v>530</v>
      </c>
      <c r="G546" s="298" t="s">
        <v>17</v>
      </c>
      <c r="H546" s="298">
        <v>12.0</v>
      </c>
      <c r="I546" s="292" t="s">
        <v>479</v>
      </c>
      <c r="J546" s="292" t="s">
        <v>508</v>
      </c>
      <c r="K546" s="287" t="s">
        <v>508</v>
      </c>
      <c r="L546" s="292" t="s">
        <v>497</v>
      </c>
      <c r="M546" s="292" t="s">
        <v>586</v>
      </c>
      <c r="N546" s="292"/>
      <c r="O546" s="292"/>
      <c r="P546" s="292"/>
      <c r="Q546" s="292" t="s">
        <v>377</v>
      </c>
      <c r="R546" s="292" t="s">
        <v>18</v>
      </c>
      <c r="S546" s="288" t="s">
        <v>377</v>
      </c>
      <c r="T546" s="292" t="s">
        <v>18</v>
      </c>
      <c r="U546" s="292" t="s">
        <v>18</v>
      </c>
      <c r="V546" s="288" t="s">
        <v>18</v>
      </c>
      <c r="W546" s="292" t="s">
        <v>377</v>
      </c>
      <c r="X546" s="292" t="s">
        <v>18</v>
      </c>
      <c r="Y546" s="288" t="s">
        <v>377</v>
      </c>
      <c r="Z546" s="292" t="s">
        <v>377</v>
      </c>
      <c r="AA546" s="292" t="s">
        <v>377</v>
      </c>
      <c r="AB546" s="288" t="s">
        <v>377</v>
      </c>
      <c r="AC546" s="289" t="s">
        <v>377</v>
      </c>
      <c r="AD546" s="292" t="s">
        <v>377</v>
      </c>
      <c r="AE546" s="292" t="s">
        <v>377</v>
      </c>
      <c r="AF546" s="288" t="s">
        <v>377</v>
      </c>
      <c r="AG546" s="292" t="s">
        <v>18</v>
      </c>
      <c r="AH546" s="292" t="s">
        <v>377</v>
      </c>
      <c r="AI546" s="288" t="s">
        <v>377</v>
      </c>
      <c r="AJ546" s="292" t="s">
        <v>18</v>
      </c>
      <c r="AK546" s="292" t="s">
        <v>377</v>
      </c>
      <c r="AL546" s="288" t="s">
        <v>377</v>
      </c>
      <c r="AM546" s="292" t="s">
        <v>377</v>
      </c>
      <c r="AN546" s="292" t="s">
        <v>18</v>
      </c>
      <c r="AO546" s="288" t="s">
        <v>377</v>
      </c>
      <c r="AP546" s="289" t="s">
        <v>377</v>
      </c>
      <c r="AQ546" s="292" t="s">
        <v>377</v>
      </c>
      <c r="AR546" s="292" t="s">
        <v>377</v>
      </c>
      <c r="AS546" s="288" t="s">
        <v>377</v>
      </c>
      <c r="AT546" s="292" t="s">
        <v>377</v>
      </c>
      <c r="AU546" s="292" t="s">
        <v>377</v>
      </c>
      <c r="AV546" s="288" t="s">
        <v>377</v>
      </c>
      <c r="AW546" s="292" t="s">
        <v>18</v>
      </c>
      <c r="AX546" s="292" t="s">
        <v>377</v>
      </c>
      <c r="AY546" s="288" t="s">
        <v>377</v>
      </c>
      <c r="AZ546" s="292" t="s">
        <v>377</v>
      </c>
      <c r="BA546" s="292" t="s">
        <v>377</v>
      </c>
      <c r="BB546" s="288" t="s">
        <v>377</v>
      </c>
      <c r="BC546" s="289" t="s">
        <v>377</v>
      </c>
      <c r="BD546" s="292"/>
    </row>
    <row r="547" ht="12.75" customHeight="1">
      <c r="A547" s="293">
        <v>44785.48866883102</v>
      </c>
      <c r="B547" s="297" t="s">
        <v>504</v>
      </c>
      <c r="C547" s="298" t="s">
        <v>567</v>
      </c>
      <c r="D547" s="298" t="s">
        <v>16</v>
      </c>
      <c r="E547" s="285" t="s">
        <v>476</v>
      </c>
      <c r="F547" s="292" t="s">
        <v>1096</v>
      </c>
      <c r="G547" s="298" t="s">
        <v>21</v>
      </c>
      <c r="H547" s="298">
        <v>11.0</v>
      </c>
      <c r="I547" s="292" t="s">
        <v>479</v>
      </c>
      <c r="J547" s="292" t="s">
        <v>498</v>
      </c>
      <c r="K547" s="287" t="s">
        <v>508</v>
      </c>
      <c r="L547" s="292" t="s">
        <v>479</v>
      </c>
      <c r="M547" s="292" t="s">
        <v>481</v>
      </c>
      <c r="N547" s="292"/>
      <c r="O547" s="292"/>
      <c r="P547" s="292"/>
      <c r="Q547" s="299" t="s">
        <v>32</v>
      </c>
      <c r="R547" s="292" t="s">
        <v>377</v>
      </c>
      <c r="S547" s="295" t="s">
        <v>32</v>
      </c>
      <c r="T547" s="299" t="s">
        <v>32</v>
      </c>
      <c r="U547" s="299" t="s">
        <v>32</v>
      </c>
      <c r="V547" s="295" t="s">
        <v>32</v>
      </c>
      <c r="W547" s="299" t="s">
        <v>32</v>
      </c>
      <c r="X547" s="292" t="s">
        <v>18</v>
      </c>
      <c r="Y547" s="288" t="s">
        <v>377</v>
      </c>
      <c r="Z547" s="299" t="s">
        <v>32</v>
      </c>
      <c r="AA547" s="299" t="s">
        <v>32</v>
      </c>
      <c r="AB547" s="295" t="s">
        <v>32</v>
      </c>
      <c r="AC547" s="296" t="s">
        <v>32</v>
      </c>
      <c r="AD547" s="292" t="s">
        <v>377</v>
      </c>
      <c r="AE547" s="292" t="s">
        <v>377</v>
      </c>
      <c r="AF547" s="288" t="s">
        <v>377</v>
      </c>
      <c r="AG547" s="292" t="s">
        <v>18</v>
      </c>
      <c r="AH547" s="292" t="s">
        <v>18</v>
      </c>
      <c r="AI547" s="288" t="s">
        <v>18</v>
      </c>
      <c r="AJ547" s="292" t="s">
        <v>18</v>
      </c>
      <c r="AK547" s="292" t="s">
        <v>18</v>
      </c>
      <c r="AL547" s="288" t="s">
        <v>18</v>
      </c>
      <c r="AM547" s="292" t="s">
        <v>18</v>
      </c>
      <c r="AN547" s="292" t="s">
        <v>18</v>
      </c>
      <c r="AO547" s="288" t="s">
        <v>18</v>
      </c>
      <c r="AP547" s="289" t="s">
        <v>18</v>
      </c>
      <c r="AQ547" s="299" t="s">
        <v>32</v>
      </c>
      <c r="AR547" s="292" t="s">
        <v>18</v>
      </c>
      <c r="AS547" s="288" t="s">
        <v>377</v>
      </c>
      <c r="AT547" s="299" t="s">
        <v>32</v>
      </c>
      <c r="AU547" s="299" t="s">
        <v>32</v>
      </c>
      <c r="AV547" s="295" t="s">
        <v>32</v>
      </c>
      <c r="AW547" s="292" t="s">
        <v>18</v>
      </c>
      <c r="AX547" s="299" t="s">
        <v>32</v>
      </c>
      <c r="AY547" s="288" t="s">
        <v>377</v>
      </c>
      <c r="AZ547" s="299" t="s">
        <v>32</v>
      </c>
      <c r="BA547" s="299" t="s">
        <v>32</v>
      </c>
      <c r="BB547" s="295" t="s">
        <v>32</v>
      </c>
      <c r="BC547" s="296" t="s">
        <v>32</v>
      </c>
      <c r="BD547" s="292"/>
    </row>
    <row r="548" ht="12.75" customHeight="1">
      <c r="A548" s="293">
        <v>45257.35058208334</v>
      </c>
      <c r="B548" s="286" t="s">
        <v>375</v>
      </c>
      <c r="C548" s="287" t="s">
        <v>559</v>
      </c>
      <c r="D548" s="285" t="s">
        <v>16</v>
      </c>
      <c r="E548" s="285" t="s">
        <v>476</v>
      </c>
      <c r="F548" s="287" t="s">
        <v>1097</v>
      </c>
      <c r="G548" s="285" t="s">
        <v>21</v>
      </c>
      <c r="H548" s="285">
        <v>12.0</v>
      </c>
      <c r="I548" s="287" t="s">
        <v>479</v>
      </c>
      <c r="J548" s="287" t="s">
        <v>532</v>
      </c>
      <c r="K548" s="287" t="s">
        <v>532</v>
      </c>
      <c r="L548" s="287" t="s">
        <v>479</v>
      </c>
      <c r="M548" s="287" t="s">
        <v>500</v>
      </c>
      <c r="N548" s="287" t="s">
        <v>500</v>
      </c>
      <c r="O548" s="287"/>
      <c r="P548" s="287"/>
      <c r="Q548" s="294" t="s">
        <v>32</v>
      </c>
      <c r="R548" s="294" t="s">
        <v>32</v>
      </c>
      <c r="S548" s="295" t="s">
        <v>32</v>
      </c>
      <c r="T548" s="294" t="s">
        <v>32</v>
      </c>
      <c r="U548" s="294" t="s">
        <v>32</v>
      </c>
      <c r="V548" s="295" t="s">
        <v>32</v>
      </c>
      <c r="W548" s="294" t="s">
        <v>32</v>
      </c>
      <c r="X548" s="294" t="s">
        <v>32</v>
      </c>
      <c r="Y548" s="295" t="s">
        <v>32</v>
      </c>
      <c r="Z548" s="294" t="s">
        <v>32</v>
      </c>
      <c r="AA548" s="294" t="s">
        <v>32</v>
      </c>
      <c r="AB548" s="295" t="s">
        <v>32</v>
      </c>
      <c r="AC548" s="296" t="s">
        <v>32</v>
      </c>
      <c r="AD548" s="294" t="s">
        <v>32</v>
      </c>
      <c r="AE548" s="294" t="s">
        <v>32</v>
      </c>
      <c r="AF548" s="295" t="s">
        <v>32</v>
      </c>
      <c r="AG548" s="287" t="s">
        <v>377</v>
      </c>
      <c r="AH548" s="294" t="s">
        <v>32</v>
      </c>
      <c r="AI548" s="295" t="s">
        <v>32</v>
      </c>
      <c r="AJ548" s="287" t="s">
        <v>377</v>
      </c>
      <c r="AK548" s="294" t="s">
        <v>32</v>
      </c>
      <c r="AL548" s="295" t="s">
        <v>32</v>
      </c>
      <c r="AM548" s="287" t="s">
        <v>377</v>
      </c>
      <c r="AN548" s="287" t="s">
        <v>18</v>
      </c>
      <c r="AO548" s="288" t="s">
        <v>377</v>
      </c>
      <c r="AP548" s="289" t="s">
        <v>377</v>
      </c>
      <c r="AQ548" s="287" t="s">
        <v>18</v>
      </c>
      <c r="AR548" s="294" t="s">
        <v>32</v>
      </c>
      <c r="AS548" s="288" t="s">
        <v>377</v>
      </c>
      <c r="AT548" s="294" t="s">
        <v>32</v>
      </c>
      <c r="AU548" s="287" t="s">
        <v>377</v>
      </c>
      <c r="AV548" s="295" t="s">
        <v>32</v>
      </c>
      <c r="AW548" s="287" t="s">
        <v>18</v>
      </c>
      <c r="AX548" s="294" t="s">
        <v>32</v>
      </c>
      <c r="AY548" s="288" t="s">
        <v>377</v>
      </c>
      <c r="AZ548" s="294" t="s">
        <v>32</v>
      </c>
      <c r="BA548" s="287" t="s">
        <v>18</v>
      </c>
      <c r="BB548" s="288" t="s">
        <v>377</v>
      </c>
      <c r="BC548" s="289" t="s">
        <v>377</v>
      </c>
      <c r="BD548" s="292"/>
    </row>
    <row r="549" ht="12.75" customHeight="1">
      <c r="A549" s="293">
        <v>45257.36322480324</v>
      </c>
      <c r="B549" s="286" t="s">
        <v>375</v>
      </c>
      <c r="C549" s="287" t="s">
        <v>559</v>
      </c>
      <c r="D549" s="285" t="s">
        <v>16</v>
      </c>
      <c r="E549" s="285" t="s">
        <v>476</v>
      </c>
      <c r="F549" s="287" t="s">
        <v>1098</v>
      </c>
      <c r="G549" s="285" t="s">
        <v>17</v>
      </c>
      <c r="H549" s="285">
        <v>11.0</v>
      </c>
      <c r="I549" s="287" t="s">
        <v>479</v>
      </c>
      <c r="J549" s="287" t="s">
        <v>532</v>
      </c>
      <c r="K549" s="287" t="s">
        <v>532</v>
      </c>
      <c r="L549" s="287" t="s">
        <v>479</v>
      </c>
      <c r="M549" s="287" t="s">
        <v>481</v>
      </c>
      <c r="N549" s="287" t="s">
        <v>561</v>
      </c>
      <c r="O549" s="287"/>
      <c r="P549" s="287"/>
      <c r="Q549" s="294" t="s">
        <v>32</v>
      </c>
      <c r="R549" s="294" t="s">
        <v>32</v>
      </c>
      <c r="S549" s="295" t="s">
        <v>32</v>
      </c>
      <c r="T549" s="287" t="s">
        <v>18</v>
      </c>
      <c r="U549" s="294" t="s">
        <v>32</v>
      </c>
      <c r="V549" s="288" t="s">
        <v>377</v>
      </c>
      <c r="W549" s="287" t="s">
        <v>18</v>
      </c>
      <c r="X549" s="287" t="s">
        <v>18</v>
      </c>
      <c r="Y549" s="288" t="s">
        <v>18</v>
      </c>
      <c r="Z549" s="287" t="s">
        <v>18</v>
      </c>
      <c r="AA549" s="287" t="s">
        <v>18</v>
      </c>
      <c r="AB549" s="288" t="s">
        <v>18</v>
      </c>
      <c r="AC549" s="289" t="s">
        <v>377</v>
      </c>
      <c r="AD549" s="294" t="s">
        <v>32</v>
      </c>
      <c r="AE549" s="294" t="s">
        <v>32</v>
      </c>
      <c r="AF549" s="295" t="s">
        <v>32</v>
      </c>
      <c r="AG549" s="287" t="s">
        <v>18</v>
      </c>
      <c r="AH549" s="287" t="s">
        <v>18</v>
      </c>
      <c r="AI549" s="288" t="s">
        <v>18</v>
      </c>
      <c r="AJ549" s="287" t="s">
        <v>18</v>
      </c>
      <c r="AK549" s="287" t="s">
        <v>18</v>
      </c>
      <c r="AL549" s="288" t="s">
        <v>18</v>
      </c>
      <c r="AM549" s="287" t="s">
        <v>18</v>
      </c>
      <c r="AN549" s="287" t="s">
        <v>18</v>
      </c>
      <c r="AO549" s="288" t="s">
        <v>18</v>
      </c>
      <c r="AP549" s="289" t="s">
        <v>377</v>
      </c>
      <c r="AQ549" s="287" t="s">
        <v>18</v>
      </c>
      <c r="AR549" s="287" t="s">
        <v>18</v>
      </c>
      <c r="AS549" s="288" t="s">
        <v>18</v>
      </c>
      <c r="AT549" s="294" t="s">
        <v>32</v>
      </c>
      <c r="AU549" s="294" t="s">
        <v>32</v>
      </c>
      <c r="AV549" s="295" t="s">
        <v>32</v>
      </c>
      <c r="AW549" s="294" t="s">
        <v>32</v>
      </c>
      <c r="AX549" s="287" t="s">
        <v>18</v>
      </c>
      <c r="AY549" s="288" t="s">
        <v>377</v>
      </c>
      <c r="AZ549" s="287" t="s">
        <v>18</v>
      </c>
      <c r="BA549" s="287" t="s">
        <v>18</v>
      </c>
      <c r="BB549" s="295" t="s">
        <v>32</v>
      </c>
      <c r="BC549" s="296" t="s">
        <v>32</v>
      </c>
      <c r="BD549" s="292"/>
    </row>
    <row r="550" ht="12.75" customHeight="1">
      <c r="A550" s="293">
        <v>45257.36692326389</v>
      </c>
      <c r="B550" s="286" t="s">
        <v>375</v>
      </c>
      <c r="C550" s="287" t="s">
        <v>559</v>
      </c>
      <c r="D550" s="285" t="s">
        <v>16</v>
      </c>
      <c r="E550" s="285" t="s">
        <v>476</v>
      </c>
      <c r="F550" s="287" t="s">
        <v>1099</v>
      </c>
      <c r="G550" s="285" t="s">
        <v>21</v>
      </c>
      <c r="H550" s="285">
        <v>12.0</v>
      </c>
      <c r="I550" s="287" t="s">
        <v>479</v>
      </c>
      <c r="J550" s="287" t="s">
        <v>532</v>
      </c>
      <c r="K550" s="287" t="s">
        <v>532</v>
      </c>
      <c r="L550" s="287" t="s">
        <v>479</v>
      </c>
      <c r="M550" s="287" t="s">
        <v>481</v>
      </c>
      <c r="N550" s="287" t="s">
        <v>561</v>
      </c>
      <c r="O550" s="287"/>
      <c r="P550" s="287"/>
      <c r="Q550" s="287" t="s">
        <v>377</v>
      </c>
      <c r="R550" s="294" t="s">
        <v>32</v>
      </c>
      <c r="S550" s="295" t="s">
        <v>32</v>
      </c>
      <c r="T550" s="287" t="s">
        <v>377</v>
      </c>
      <c r="U550" s="287" t="s">
        <v>377</v>
      </c>
      <c r="V550" s="288" t="s">
        <v>377</v>
      </c>
      <c r="W550" s="287" t="s">
        <v>377</v>
      </c>
      <c r="X550" s="287" t="s">
        <v>377</v>
      </c>
      <c r="Y550" s="288" t="s">
        <v>377</v>
      </c>
      <c r="Z550" s="287" t="s">
        <v>377</v>
      </c>
      <c r="AA550" s="287" t="s">
        <v>377</v>
      </c>
      <c r="AB550" s="288" t="s">
        <v>377</v>
      </c>
      <c r="AC550" s="289" t="s">
        <v>377</v>
      </c>
      <c r="AD550" s="287" t="s">
        <v>377</v>
      </c>
      <c r="AE550" s="294" t="s">
        <v>32</v>
      </c>
      <c r="AF550" s="295" t="s">
        <v>32</v>
      </c>
      <c r="AG550" s="287" t="s">
        <v>377</v>
      </c>
      <c r="AH550" s="287" t="s">
        <v>377</v>
      </c>
      <c r="AI550" s="288" t="s">
        <v>377</v>
      </c>
      <c r="AJ550" s="294" t="s">
        <v>32</v>
      </c>
      <c r="AK550" s="287" t="s">
        <v>377</v>
      </c>
      <c r="AL550" s="295" t="s">
        <v>32</v>
      </c>
      <c r="AM550" s="287" t="s">
        <v>377</v>
      </c>
      <c r="AN550" s="287" t="s">
        <v>377</v>
      </c>
      <c r="AO550" s="288" t="s">
        <v>377</v>
      </c>
      <c r="AP550" s="289" t="s">
        <v>377</v>
      </c>
      <c r="AQ550" s="287" t="s">
        <v>377</v>
      </c>
      <c r="AR550" s="287" t="s">
        <v>377</v>
      </c>
      <c r="AS550" s="288" t="s">
        <v>377</v>
      </c>
      <c r="AT550" s="294" t="s">
        <v>32</v>
      </c>
      <c r="AU550" s="294" t="s">
        <v>32</v>
      </c>
      <c r="AV550" s="295" t="s">
        <v>32</v>
      </c>
      <c r="AW550" s="287" t="s">
        <v>377</v>
      </c>
      <c r="AX550" s="287" t="s">
        <v>377</v>
      </c>
      <c r="AY550" s="288" t="s">
        <v>377</v>
      </c>
      <c r="AZ550" s="294" t="s">
        <v>32</v>
      </c>
      <c r="BA550" s="287" t="s">
        <v>377</v>
      </c>
      <c r="BB550" s="295" t="s">
        <v>32</v>
      </c>
      <c r="BC550" s="296" t="s">
        <v>32</v>
      </c>
      <c r="BD550" s="292"/>
    </row>
    <row r="551" ht="12.75" customHeight="1">
      <c r="A551" s="293">
        <v>45257.368720451384</v>
      </c>
      <c r="B551" s="286" t="s">
        <v>375</v>
      </c>
      <c r="C551" s="287" t="s">
        <v>559</v>
      </c>
      <c r="D551" s="285" t="s">
        <v>16</v>
      </c>
      <c r="E551" s="285" t="s">
        <v>476</v>
      </c>
      <c r="F551" s="287" t="s">
        <v>1100</v>
      </c>
      <c r="G551" s="285" t="s">
        <v>21</v>
      </c>
      <c r="H551" s="285">
        <v>13.0</v>
      </c>
      <c r="I551" s="287" t="s">
        <v>479</v>
      </c>
      <c r="J551" s="287" t="s">
        <v>532</v>
      </c>
      <c r="K551" s="287" t="s">
        <v>532</v>
      </c>
      <c r="L551" s="287" t="s">
        <v>479</v>
      </c>
      <c r="M551" s="287" t="s">
        <v>500</v>
      </c>
      <c r="N551" s="287" t="s">
        <v>561</v>
      </c>
      <c r="O551" s="287"/>
      <c r="P551" s="287"/>
      <c r="Q551" s="294" t="s">
        <v>32</v>
      </c>
      <c r="R551" s="287" t="s">
        <v>18</v>
      </c>
      <c r="S551" s="288" t="s">
        <v>377</v>
      </c>
      <c r="T551" s="287" t="s">
        <v>377</v>
      </c>
      <c r="U551" s="287" t="s">
        <v>377</v>
      </c>
      <c r="V551" s="288" t="s">
        <v>377</v>
      </c>
      <c r="W551" s="287" t="s">
        <v>377</v>
      </c>
      <c r="X551" s="287" t="s">
        <v>377</v>
      </c>
      <c r="Y551" s="288" t="s">
        <v>377</v>
      </c>
      <c r="Z551" s="287" t="s">
        <v>377</v>
      </c>
      <c r="AA551" s="287" t="s">
        <v>377</v>
      </c>
      <c r="AB551" s="288" t="s">
        <v>377</v>
      </c>
      <c r="AC551" s="289" t="s">
        <v>377</v>
      </c>
      <c r="AD551" s="294" t="s">
        <v>32</v>
      </c>
      <c r="AE551" s="287" t="s">
        <v>377</v>
      </c>
      <c r="AF551" s="295" t="s">
        <v>32</v>
      </c>
      <c r="AG551" s="294" t="s">
        <v>32</v>
      </c>
      <c r="AH551" s="287" t="s">
        <v>18</v>
      </c>
      <c r="AI551" s="288" t="s">
        <v>377</v>
      </c>
      <c r="AJ551" s="287" t="s">
        <v>18</v>
      </c>
      <c r="AK551" s="287" t="s">
        <v>18</v>
      </c>
      <c r="AL551" s="288" t="s">
        <v>18</v>
      </c>
      <c r="AM551" s="287" t="s">
        <v>18</v>
      </c>
      <c r="AN551" s="287" t="s">
        <v>377</v>
      </c>
      <c r="AO551" s="288" t="s">
        <v>377</v>
      </c>
      <c r="AP551" s="289" t="s">
        <v>377</v>
      </c>
      <c r="AQ551" s="287" t="s">
        <v>18</v>
      </c>
      <c r="AR551" s="287" t="s">
        <v>377</v>
      </c>
      <c r="AS551" s="288" t="s">
        <v>377</v>
      </c>
      <c r="AT551" s="287" t="s">
        <v>377</v>
      </c>
      <c r="AU551" s="287" t="s">
        <v>377</v>
      </c>
      <c r="AV551" s="288" t="s">
        <v>377</v>
      </c>
      <c r="AW551" s="287" t="s">
        <v>377</v>
      </c>
      <c r="AX551" s="287" t="s">
        <v>377</v>
      </c>
      <c r="AY551" s="288" t="s">
        <v>377</v>
      </c>
      <c r="AZ551" s="287" t="s">
        <v>377</v>
      </c>
      <c r="BA551" s="294" t="s">
        <v>32</v>
      </c>
      <c r="BB551" s="295" t="s">
        <v>32</v>
      </c>
      <c r="BC551" s="296" t="s">
        <v>32</v>
      </c>
      <c r="BD551" s="292"/>
    </row>
    <row r="552" ht="12.75" customHeight="1">
      <c r="A552" s="293">
        <v>45257.37178659722</v>
      </c>
      <c r="B552" s="286" t="s">
        <v>375</v>
      </c>
      <c r="C552" s="287" t="s">
        <v>559</v>
      </c>
      <c r="D552" s="285" t="s">
        <v>16</v>
      </c>
      <c r="E552" s="285" t="s">
        <v>476</v>
      </c>
      <c r="F552" s="287" t="s">
        <v>1101</v>
      </c>
      <c r="G552" s="285" t="s">
        <v>21</v>
      </c>
      <c r="H552" s="285">
        <v>12.0</v>
      </c>
      <c r="I552" s="287" t="s">
        <v>479</v>
      </c>
      <c r="J552" s="287" t="s">
        <v>532</v>
      </c>
      <c r="K552" s="287" t="s">
        <v>532</v>
      </c>
      <c r="L552" s="287" t="s">
        <v>479</v>
      </c>
      <c r="M552" s="287" t="s">
        <v>481</v>
      </c>
      <c r="N552" s="287" t="s">
        <v>561</v>
      </c>
      <c r="O552" s="287"/>
      <c r="P552" s="287"/>
      <c r="Q552" s="294" t="s">
        <v>32</v>
      </c>
      <c r="R552" s="294" t="s">
        <v>32</v>
      </c>
      <c r="S552" s="295" t="s">
        <v>32</v>
      </c>
      <c r="T552" s="294" t="s">
        <v>32</v>
      </c>
      <c r="U552" s="294" t="s">
        <v>32</v>
      </c>
      <c r="V552" s="295" t="s">
        <v>32</v>
      </c>
      <c r="W552" s="294" t="s">
        <v>32</v>
      </c>
      <c r="X552" s="287" t="s">
        <v>377</v>
      </c>
      <c r="Y552" s="295" t="s">
        <v>32</v>
      </c>
      <c r="Z552" s="294" t="s">
        <v>32</v>
      </c>
      <c r="AA552" s="294" t="s">
        <v>32</v>
      </c>
      <c r="AB552" s="295" t="s">
        <v>32</v>
      </c>
      <c r="AC552" s="296" t="s">
        <v>32</v>
      </c>
      <c r="AD552" s="294" t="s">
        <v>32</v>
      </c>
      <c r="AE552" s="294" t="s">
        <v>32</v>
      </c>
      <c r="AF552" s="295" t="s">
        <v>32</v>
      </c>
      <c r="AG552" s="294" t="s">
        <v>32</v>
      </c>
      <c r="AH552" s="287" t="s">
        <v>377</v>
      </c>
      <c r="AI552" s="295" t="s">
        <v>32</v>
      </c>
      <c r="AJ552" s="287" t="s">
        <v>377</v>
      </c>
      <c r="AK552" s="287" t="s">
        <v>377</v>
      </c>
      <c r="AL552" s="288" t="s">
        <v>377</v>
      </c>
      <c r="AM552" s="287" t="s">
        <v>377</v>
      </c>
      <c r="AN552" s="287" t="s">
        <v>377</v>
      </c>
      <c r="AO552" s="288" t="s">
        <v>377</v>
      </c>
      <c r="AP552" s="289" t="s">
        <v>377</v>
      </c>
      <c r="AQ552" s="294" t="s">
        <v>32</v>
      </c>
      <c r="AR552" s="287" t="s">
        <v>377</v>
      </c>
      <c r="AS552" s="295" t="s">
        <v>32</v>
      </c>
      <c r="AT552" s="294" t="s">
        <v>32</v>
      </c>
      <c r="AU552" s="294" t="s">
        <v>32</v>
      </c>
      <c r="AV552" s="295" t="s">
        <v>32</v>
      </c>
      <c r="AW552" s="287" t="s">
        <v>377</v>
      </c>
      <c r="AX552" s="294" t="s">
        <v>32</v>
      </c>
      <c r="AY552" s="295" t="s">
        <v>32</v>
      </c>
      <c r="AZ552" s="294" t="s">
        <v>32</v>
      </c>
      <c r="BA552" s="294" t="s">
        <v>32</v>
      </c>
      <c r="BB552" s="295" t="s">
        <v>32</v>
      </c>
      <c r="BC552" s="296" t="s">
        <v>32</v>
      </c>
      <c r="BD552" s="292"/>
    </row>
    <row r="553" ht="12.75" customHeight="1">
      <c r="A553" s="293">
        <v>45257.37719439815</v>
      </c>
      <c r="B553" s="286" t="s">
        <v>375</v>
      </c>
      <c r="C553" s="287" t="s">
        <v>559</v>
      </c>
      <c r="D553" s="285" t="s">
        <v>16</v>
      </c>
      <c r="E553" s="285" t="s">
        <v>476</v>
      </c>
      <c r="F553" s="287" t="s">
        <v>1102</v>
      </c>
      <c r="G553" s="285" t="s">
        <v>21</v>
      </c>
      <c r="H553" s="285">
        <v>11.0</v>
      </c>
      <c r="I553" s="287" t="s">
        <v>479</v>
      </c>
      <c r="J553" s="287" t="s">
        <v>532</v>
      </c>
      <c r="K553" s="287" t="s">
        <v>532</v>
      </c>
      <c r="L553" s="287" t="s">
        <v>479</v>
      </c>
      <c r="M553" s="287" t="s">
        <v>500</v>
      </c>
      <c r="N553" s="287" t="s">
        <v>561</v>
      </c>
      <c r="O553" s="287"/>
      <c r="P553" s="287"/>
      <c r="Q553" s="294" t="s">
        <v>32</v>
      </c>
      <c r="R553" s="294" t="s">
        <v>32</v>
      </c>
      <c r="S553" s="295" t="s">
        <v>32</v>
      </c>
      <c r="T553" s="294" t="s">
        <v>32</v>
      </c>
      <c r="U553" s="294" t="s">
        <v>32</v>
      </c>
      <c r="V553" s="295" t="s">
        <v>32</v>
      </c>
      <c r="W553" s="294" t="s">
        <v>32</v>
      </c>
      <c r="X553" s="294" t="s">
        <v>32</v>
      </c>
      <c r="Y553" s="295" t="s">
        <v>32</v>
      </c>
      <c r="Z553" s="294" t="s">
        <v>32</v>
      </c>
      <c r="AA553" s="294" t="s">
        <v>32</v>
      </c>
      <c r="AB553" s="295" t="s">
        <v>32</v>
      </c>
      <c r="AC553" s="296" t="s">
        <v>32</v>
      </c>
      <c r="AD553" s="287" t="s">
        <v>377</v>
      </c>
      <c r="AE553" s="294" t="s">
        <v>32</v>
      </c>
      <c r="AF553" s="295" t="s">
        <v>32</v>
      </c>
      <c r="AG553" s="294" t="s">
        <v>32</v>
      </c>
      <c r="AH553" s="294" t="s">
        <v>32</v>
      </c>
      <c r="AI553" s="295" t="s">
        <v>32</v>
      </c>
      <c r="AJ553" s="294" t="s">
        <v>32</v>
      </c>
      <c r="AK553" s="287" t="s">
        <v>377</v>
      </c>
      <c r="AL553" s="295" t="s">
        <v>32</v>
      </c>
      <c r="AM553" s="294" t="s">
        <v>32</v>
      </c>
      <c r="AN553" s="294" t="s">
        <v>32</v>
      </c>
      <c r="AO553" s="295" t="s">
        <v>32</v>
      </c>
      <c r="AP553" s="296" t="s">
        <v>32</v>
      </c>
      <c r="AQ553" s="294" t="s">
        <v>32</v>
      </c>
      <c r="AR553" s="294" t="s">
        <v>32</v>
      </c>
      <c r="AS553" s="295" t="s">
        <v>32</v>
      </c>
      <c r="AT553" s="294" t="s">
        <v>32</v>
      </c>
      <c r="AU553" s="294" t="s">
        <v>32</v>
      </c>
      <c r="AV553" s="295" t="s">
        <v>32</v>
      </c>
      <c r="AW553" s="294" t="s">
        <v>32</v>
      </c>
      <c r="AX553" s="294" t="s">
        <v>32</v>
      </c>
      <c r="AY553" s="295" t="s">
        <v>32</v>
      </c>
      <c r="AZ553" s="287" t="s">
        <v>377</v>
      </c>
      <c r="BA553" s="294" t="s">
        <v>32</v>
      </c>
      <c r="BB553" s="295" t="s">
        <v>32</v>
      </c>
      <c r="BC553" s="296" t="s">
        <v>32</v>
      </c>
      <c r="BD553" s="292"/>
    </row>
    <row r="554" ht="12.75" customHeight="1">
      <c r="A554" s="293">
        <v>45257.3787915162</v>
      </c>
      <c r="B554" s="286" t="s">
        <v>375</v>
      </c>
      <c r="C554" s="287" t="s">
        <v>559</v>
      </c>
      <c r="D554" s="285" t="s">
        <v>16</v>
      </c>
      <c r="E554" s="285" t="s">
        <v>476</v>
      </c>
      <c r="F554" s="287" t="s">
        <v>1103</v>
      </c>
      <c r="G554" s="285" t="s">
        <v>17</v>
      </c>
      <c r="H554" s="285">
        <v>11.0</v>
      </c>
      <c r="I554" s="287" t="s">
        <v>479</v>
      </c>
      <c r="J554" s="287" t="s">
        <v>532</v>
      </c>
      <c r="K554" s="287" t="s">
        <v>532</v>
      </c>
      <c r="L554" s="287" t="s">
        <v>479</v>
      </c>
      <c r="M554" s="287" t="s">
        <v>495</v>
      </c>
      <c r="N554" s="287" t="s">
        <v>561</v>
      </c>
      <c r="O554" s="287"/>
      <c r="P554" s="287"/>
      <c r="Q554" s="294" t="s">
        <v>32</v>
      </c>
      <c r="R554" s="294" t="s">
        <v>32</v>
      </c>
      <c r="S554" s="295" t="s">
        <v>32</v>
      </c>
      <c r="T554" s="287" t="s">
        <v>377</v>
      </c>
      <c r="U554" s="287" t="s">
        <v>377</v>
      </c>
      <c r="V554" s="288" t="s">
        <v>377</v>
      </c>
      <c r="W554" s="287" t="s">
        <v>377</v>
      </c>
      <c r="X554" s="287" t="s">
        <v>377</v>
      </c>
      <c r="Y554" s="288" t="s">
        <v>377</v>
      </c>
      <c r="Z554" s="294" t="s">
        <v>32</v>
      </c>
      <c r="AA554" s="294" t="s">
        <v>32</v>
      </c>
      <c r="AB554" s="295" t="s">
        <v>32</v>
      </c>
      <c r="AC554" s="296" t="s">
        <v>32</v>
      </c>
      <c r="AD554" s="294" t="s">
        <v>32</v>
      </c>
      <c r="AE554" s="294" t="s">
        <v>32</v>
      </c>
      <c r="AF554" s="295" t="s">
        <v>32</v>
      </c>
      <c r="AG554" s="294" t="s">
        <v>32</v>
      </c>
      <c r="AH554" s="287" t="s">
        <v>377</v>
      </c>
      <c r="AI554" s="295" t="s">
        <v>32</v>
      </c>
      <c r="AJ554" s="294" t="s">
        <v>32</v>
      </c>
      <c r="AK554" s="294" t="s">
        <v>32</v>
      </c>
      <c r="AL554" s="295" t="s">
        <v>32</v>
      </c>
      <c r="AM554" s="287" t="s">
        <v>377</v>
      </c>
      <c r="AN554" s="287" t="s">
        <v>377</v>
      </c>
      <c r="AO554" s="288" t="s">
        <v>377</v>
      </c>
      <c r="AP554" s="296" t="s">
        <v>32</v>
      </c>
      <c r="AQ554" s="294" t="s">
        <v>32</v>
      </c>
      <c r="AR554" s="294" t="s">
        <v>32</v>
      </c>
      <c r="AS554" s="295" t="s">
        <v>32</v>
      </c>
      <c r="AT554" s="294" t="s">
        <v>32</v>
      </c>
      <c r="AU554" s="294" t="s">
        <v>32</v>
      </c>
      <c r="AV554" s="295" t="s">
        <v>32</v>
      </c>
      <c r="AW554" s="294" t="s">
        <v>32</v>
      </c>
      <c r="AX554" s="294" t="s">
        <v>32</v>
      </c>
      <c r="AY554" s="295" t="s">
        <v>32</v>
      </c>
      <c r="AZ554" s="294" t="s">
        <v>32</v>
      </c>
      <c r="BA554" s="294" t="s">
        <v>32</v>
      </c>
      <c r="BB554" s="295" t="s">
        <v>32</v>
      </c>
      <c r="BC554" s="296" t="s">
        <v>32</v>
      </c>
      <c r="BD554" s="292"/>
    </row>
    <row r="555" ht="12.75" customHeight="1">
      <c r="A555" s="293">
        <v>45257.379150312496</v>
      </c>
      <c r="B555" s="286" t="s">
        <v>375</v>
      </c>
      <c r="C555" s="287" t="s">
        <v>559</v>
      </c>
      <c r="D555" s="285" t="s">
        <v>16</v>
      </c>
      <c r="E555" s="285" t="s">
        <v>476</v>
      </c>
      <c r="F555" s="287" t="s">
        <v>1104</v>
      </c>
      <c r="G555" s="285" t="s">
        <v>21</v>
      </c>
      <c r="H555" s="285">
        <v>11.0</v>
      </c>
      <c r="I555" s="287" t="s">
        <v>479</v>
      </c>
      <c r="J555" s="287" t="s">
        <v>532</v>
      </c>
      <c r="K555" s="287" t="s">
        <v>532</v>
      </c>
      <c r="L555" s="287" t="s">
        <v>479</v>
      </c>
      <c r="M555" s="287" t="s">
        <v>481</v>
      </c>
      <c r="N555" s="287" t="s">
        <v>561</v>
      </c>
      <c r="O555" s="287"/>
      <c r="P555" s="287"/>
      <c r="Q555" s="294" t="s">
        <v>32</v>
      </c>
      <c r="R555" s="294" t="s">
        <v>32</v>
      </c>
      <c r="S555" s="295" t="s">
        <v>32</v>
      </c>
      <c r="T555" s="287" t="s">
        <v>18</v>
      </c>
      <c r="U555" s="294" t="s">
        <v>32</v>
      </c>
      <c r="V555" s="288" t="s">
        <v>377</v>
      </c>
      <c r="W555" s="294" t="s">
        <v>32</v>
      </c>
      <c r="X555" s="294" t="s">
        <v>32</v>
      </c>
      <c r="Y555" s="295" t="s">
        <v>32</v>
      </c>
      <c r="Z555" s="294" t="s">
        <v>32</v>
      </c>
      <c r="AA555" s="287" t="s">
        <v>18</v>
      </c>
      <c r="AB555" s="288" t="s">
        <v>377</v>
      </c>
      <c r="AC555" s="296" t="s">
        <v>32</v>
      </c>
      <c r="AD555" s="294" t="s">
        <v>32</v>
      </c>
      <c r="AE555" s="294" t="s">
        <v>32</v>
      </c>
      <c r="AF555" s="295" t="s">
        <v>32</v>
      </c>
      <c r="AG555" s="287" t="s">
        <v>377</v>
      </c>
      <c r="AH555" s="287" t="s">
        <v>377</v>
      </c>
      <c r="AI555" s="288" t="s">
        <v>377</v>
      </c>
      <c r="AJ555" s="294" t="s">
        <v>32</v>
      </c>
      <c r="AK555" s="294" t="s">
        <v>32</v>
      </c>
      <c r="AL555" s="295" t="s">
        <v>32</v>
      </c>
      <c r="AM555" s="294" t="s">
        <v>32</v>
      </c>
      <c r="AN555" s="294" t="s">
        <v>32</v>
      </c>
      <c r="AO555" s="295" t="s">
        <v>32</v>
      </c>
      <c r="AP555" s="296" t="s">
        <v>32</v>
      </c>
      <c r="AQ555" s="294" t="s">
        <v>32</v>
      </c>
      <c r="AR555" s="294" t="s">
        <v>32</v>
      </c>
      <c r="AS555" s="295" t="s">
        <v>32</v>
      </c>
      <c r="AT555" s="287" t="s">
        <v>18</v>
      </c>
      <c r="AU555" s="287" t="s">
        <v>377</v>
      </c>
      <c r="AV555" s="288" t="s">
        <v>377</v>
      </c>
      <c r="AW555" s="294" t="s">
        <v>32</v>
      </c>
      <c r="AX555" s="294" t="s">
        <v>32</v>
      </c>
      <c r="AY555" s="295" t="s">
        <v>32</v>
      </c>
      <c r="AZ555" s="294" t="s">
        <v>32</v>
      </c>
      <c r="BA555" s="294" t="s">
        <v>32</v>
      </c>
      <c r="BB555" s="295" t="s">
        <v>32</v>
      </c>
      <c r="BC555" s="289" t="s">
        <v>377</v>
      </c>
      <c r="BD555" s="292"/>
    </row>
    <row r="556" ht="12.75" customHeight="1">
      <c r="A556" s="293">
        <v>45257.38034238426</v>
      </c>
      <c r="B556" s="286" t="s">
        <v>375</v>
      </c>
      <c r="C556" s="287" t="s">
        <v>559</v>
      </c>
      <c r="D556" s="285" t="s">
        <v>16</v>
      </c>
      <c r="E556" s="285" t="s">
        <v>476</v>
      </c>
      <c r="F556" s="287" t="s">
        <v>1105</v>
      </c>
      <c r="G556" s="285" t="s">
        <v>21</v>
      </c>
      <c r="H556" s="285">
        <v>12.0</v>
      </c>
      <c r="I556" s="287" t="s">
        <v>479</v>
      </c>
      <c r="J556" s="287" t="s">
        <v>532</v>
      </c>
      <c r="K556" s="287" t="s">
        <v>532</v>
      </c>
      <c r="L556" s="287" t="s">
        <v>479</v>
      </c>
      <c r="M556" s="287" t="s">
        <v>481</v>
      </c>
      <c r="N556" s="287" t="s">
        <v>561</v>
      </c>
      <c r="O556" s="287"/>
      <c r="P556" s="287"/>
      <c r="Q556" s="287" t="s">
        <v>377</v>
      </c>
      <c r="R556" s="294" t="s">
        <v>32</v>
      </c>
      <c r="S556" s="295" t="s">
        <v>32</v>
      </c>
      <c r="T556" s="294" t="s">
        <v>32</v>
      </c>
      <c r="U556" s="294" t="s">
        <v>32</v>
      </c>
      <c r="V556" s="295" t="s">
        <v>32</v>
      </c>
      <c r="W556" s="287" t="s">
        <v>18</v>
      </c>
      <c r="X556" s="287" t="s">
        <v>18</v>
      </c>
      <c r="Y556" s="288" t="s">
        <v>18</v>
      </c>
      <c r="Z556" s="287" t="s">
        <v>377</v>
      </c>
      <c r="AA556" s="294" t="s">
        <v>32</v>
      </c>
      <c r="AB556" s="295" t="s">
        <v>32</v>
      </c>
      <c r="AC556" s="289" t="s">
        <v>377</v>
      </c>
      <c r="AD556" s="294" t="s">
        <v>32</v>
      </c>
      <c r="AE556" s="294" t="s">
        <v>32</v>
      </c>
      <c r="AF556" s="295" t="s">
        <v>32</v>
      </c>
      <c r="AG556" s="287" t="s">
        <v>377</v>
      </c>
      <c r="AH556" s="294" t="s">
        <v>32</v>
      </c>
      <c r="AI556" s="295" t="s">
        <v>32</v>
      </c>
      <c r="AJ556" s="287" t="s">
        <v>377</v>
      </c>
      <c r="AK556" s="294" t="s">
        <v>32</v>
      </c>
      <c r="AL556" s="295" t="s">
        <v>32</v>
      </c>
      <c r="AM556" s="287" t="s">
        <v>377</v>
      </c>
      <c r="AN556" s="287" t="s">
        <v>377</v>
      </c>
      <c r="AO556" s="288" t="s">
        <v>377</v>
      </c>
      <c r="AP556" s="296" t="s">
        <v>32</v>
      </c>
      <c r="AQ556" s="294" t="s">
        <v>32</v>
      </c>
      <c r="AR556" s="294" t="s">
        <v>32</v>
      </c>
      <c r="AS556" s="295" t="s">
        <v>32</v>
      </c>
      <c r="AT556" s="294" t="s">
        <v>32</v>
      </c>
      <c r="AU556" s="287" t="s">
        <v>18</v>
      </c>
      <c r="AV556" s="288" t="s">
        <v>377</v>
      </c>
      <c r="AW556" s="294" t="s">
        <v>32</v>
      </c>
      <c r="AX556" s="287" t="s">
        <v>377</v>
      </c>
      <c r="AY556" s="295" t="s">
        <v>32</v>
      </c>
      <c r="AZ556" s="287" t="s">
        <v>377</v>
      </c>
      <c r="BA556" s="294" t="s">
        <v>32</v>
      </c>
      <c r="BB556" s="288" t="s">
        <v>377</v>
      </c>
      <c r="BC556" s="296" t="s">
        <v>32</v>
      </c>
      <c r="BD556" s="292"/>
    </row>
    <row r="557" ht="12.75" customHeight="1">
      <c r="A557" s="293">
        <v>45257.38196667824</v>
      </c>
      <c r="B557" s="286" t="s">
        <v>375</v>
      </c>
      <c r="C557" s="287" t="s">
        <v>559</v>
      </c>
      <c r="D557" s="285" t="s">
        <v>16</v>
      </c>
      <c r="E557" s="285" t="s">
        <v>476</v>
      </c>
      <c r="F557" s="287" t="s">
        <v>1106</v>
      </c>
      <c r="G557" s="285" t="s">
        <v>21</v>
      </c>
      <c r="H557" s="285">
        <v>12.0</v>
      </c>
      <c r="I557" s="287" t="s">
        <v>479</v>
      </c>
      <c r="J557" s="287" t="s">
        <v>532</v>
      </c>
      <c r="K557" s="287" t="s">
        <v>532</v>
      </c>
      <c r="L557" s="287" t="s">
        <v>497</v>
      </c>
      <c r="M557" s="292"/>
      <c r="N557" s="292"/>
      <c r="O557" s="292"/>
      <c r="P557" s="292"/>
      <c r="Q557" s="294" t="s">
        <v>32</v>
      </c>
      <c r="R557" s="287" t="s">
        <v>377</v>
      </c>
      <c r="S557" s="295" t="s">
        <v>32</v>
      </c>
      <c r="T557" s="287" t="s">
        <v>18</v>
      </c>
      <c r="U557" s="294" t="s">
        <v>32</v>
      </c>
      <c r="V557" s="288" t="s">
        <v>377</v>
      </c>
      <c r="W557" s="294" t="s">
        <v>32</v>
      </c>
      <c r="X557" s="287" t="s">
        <v>377</v>
      </c>
      <c r="Y557" s="295" t="s">
        <v>32</v>
      </c>
      <c r="Z557" s="294" t="s">
        <v>32</v>
      </c>
      <c r="AA557" s="287" t="s">
        <v>377</v>
      </c>
      <c r="AB557" s="295" t="s">
        <v>32</v>
      </c>
      <c r="AC557" s="289" t="s">
        <v>377</v>
      </c>
      <c r="AD557" s="287" t="s">
        <v>377</v>
      </c>
      <c r="AE557" s="294" t="s">
        <v>32</v>
      </c>
      <c r="AF557" s="295" t="s">
        <v>32</v>
      </c>
      <c r="AG557" s="287" t="s">
        <v>377</v>
      </c>
      <c r="AH557" s="287" t="s">
        <v>18</v>
      </c>
      <c r="AI557" s="288" t="s">
        <v>377</v>
      </c>
      <c r="AJ557" s="294" t="s">
        <v>32</v>
      </c>
      <c r="AK557" s="287" t="s">
        <v>18</v>
      </c>
      <c r="AL557" s="288" t="s">
        <v>377</v>
      </c>
      <c r="AM557" s="287" t="s">
        <v>18</v>
      </c>
      <c r="AN557" s="287" t="s">
        <v>18</v>
      </c>
      <c r="AO557" s="288" t="s">
        <v>18</v>
      </c>
      <c r="AP557" s="289" t="s">
        <v>377</v>
      </c>
      <c r="AQ557" s="287" t="s">
        <v>18</v>
      </c>
      <c r="AR557" s="294" t="s">
        <v>32</v>
      </c>
      <c r="AS557" s="288" t="s">
        <v>377</v>
      </c>
      <c r="AT557" s="294" t="s">
        <v>32</v>
      </c>
      <c r="AU557" s="294" t="s">
        <v>32</v>
      </c>
      <c r="AV557" s="295" t="s">
        <v>32</v>
      </c>
      <c r="AW557" s="294" t="s">
        <v>32</v>
      </c>
      <c r="AX557" s="287" t="s">
        <v>377</v>
      </c>
      <c r="AY557" s="295" t="s">
        <v>32</v>
      </c>
      <c r="AZ557" s="294" t="s">
        <v>32</v>
      </c>
      <c r="BA557" s="287" t="s">
        <v>377</v>
      </c>
      <c r="BB557" s="295" t="s">
        <v>32</v>
      </c>
      <c r="BC557" s="296" t="s">
        <v>32</v>
      </c>
      <c r="BD557" s="292"/>
    </row>
    <row r="558" ht="12.75" customHeight="1">
      <c r="A558" s="293">
        <v>45257.38718203704</v>
      </c>
      <c r="B558" s="286" t="s">
        <v>375</v>
      </c>
      <c r="C558" s="287" t="s">
        <v>559</v>
      </c>
      <c r="D558" s="285" t="s">
        <v>16</v>
      </c>
      <c r="E558" s="285" t="s">
        <v>476</v>
      </c>
      <c r="F558" s="287" t="s">
        <v>1107</v>
      </c>
      <c r="G558" s="285" t="s">
        <v>21</v>
      </c>
      <c r="H558" s="285">
        <v>11.0</v>
      </c>
      <c r="I558" s="287" t="s">
        <v>479</v>
      </c>
      <c r="J558" s="287" t="s">
        <v>532</v>
      </c>
      <c r="K558" s="287" t="s">
        <v>532</v>
      </c>
      <c r="L558" s="287" t="s">
        <v>479</v>
      </c>
      <c r="M558" s="287" t="s">
        <v>481</v>
      </c>
      <c r="N558" s="287" t="s">
        <v>561</v>
      </c>
      <c r="O558" s="287"/>
      <c r="P558" s="287"/>
      <c r="Q558" s="294" t="s">
        <v>32</v>
      </c>
      <c r="R558" s="294" t="s">
        <v>32</v>
      </c>
      <c r="S558" s="295" t="s">
        <v>32</v>
      </c>
      <c r="T558" s="294" t="s">
        <v>32</v>
      </c>
      <c r="U558" s="294" t="s">
        <v>32</v>
      </c>
      <c r="V558" s="295" t="s">
        <v>32</v>
      </c>
      <c r="W558" s="294" t="s">
        <v>32</v>
      </c>
      <c r="X558" s="294" t="s">
        <v>32</v>
      </c>
      <c r="Y558" s="295" t="s">
        <v>32</v>
      </c>
      <c r="Z558" s="287" t="s">
        <v>377</v>
      </c>
      <c r="AA558" s="294" t="s">
        <v>32</v>
      </c>
      <c r="AB558" s="295" t="s">
        <v>32</v>
      </c>
      <c r="AC558" s="296" t="s">
        <v>32</v>
      </c>
      <c r="AD558" s="287" t="s">
        <v>377</v>
      </c>
      <c r="AE558" s="294" t="s">
        <v>32</v>
      </c>
      <c r="AF558" s="295" t="s">
        <v>32</v>
      </c>
      <c r="AG558" s="287" t="s">
        <v>377</v>
      </c>
      <c r="AH558" s="287" t="s">
        <v>18</v>
      </c>
      <c r="AI558" s="288" t="s">
        <v>377</v>
      </c>
      <c r="AJ558" s="287" t="s">
        <v>377</v>
      </c>
      <c r="AK558" s="294" t="s">
        <v>32</v>
      </c>
      <c r="AL558" s="295" t="s">
        <v>32</v>
      </c>
      <c r="AM558" s="287" t="s">
        <v>18</v>
      </c>
      <c r="AN558" s="287" t="s">
        <v>18</v>
      </c>
      <c r="AO558" s="288" t="s">
        <v>18</v>
      </c>
      <c r="AP558" s="289" t="s">
        <v>377</v>
      </c>
      <c r="AQ558" s="294" t="s">
        <v>32</v>
      </c>
      <c r="AR558" s="287" t="s">
        <v>18</v>
      </c>
      <c r="AS558" s="288" t="s">
        <v>377</v>
      </c>
      <c r="AT558" s="294" t="s">
        <v>32</v>
      </c>
      <c r="AU558" s="287" t="s">
        <v>377</v>
      </c>
      <c r="AV558" s="295" t="s">
        <v>32</v>
      </c>
      <c r="AW558" s="294" t="s">
        <v>32</v>
      </c>
      <c r="AX558" s="294" t="s">
        <v>32</v>
      </c>
      <c r="AY558" s="295" t="s">
        <v>32</v>
      </c>
      <c r="AZ558" s="287" t="s">
        <v>377</v>
      </c>
      <c r="BA558" s="294" t="s">
        <v>32</v>
      </c>
      <c r="BB558" s="295" t="s">
        <v>32</v>
      </c>
      <c r="BC558" s="296" t="s">
        <v>32</v>
      </c>
      <c r="BD558" s="292"/>
    </row>
    <row r="559" ht="12.75" customHeight="1">
      <c r="A559" s="293">
        <v>45257.388416863425</v>
      </c>
      <c r="B559" s="286" t="s">
        <v>375</v>
      </c>
      <c r="C559" s="287" t="s">
        <v>559</v>
      </c>
      <c r="D559" s="285" t="s">
        <v>16</v>
      </c>
      <c r="E559" s="285" t="s">
        <v>476</v>
      </c>
      <c r="F559" s="287" t="s">
        <v>1108</v>
      </c>
      <c r="G559" s="285" t="s">
        <v>17</v>
      </c>
      <c r="H559" s="285">
        <v>12.0</v>
      </c>
      <c r="I559" s="287" t="s">
        <v>479</v>
      </c>
      <c r="J559" s="287" t="s">
        <v>532</v>
      </c>
      <c r="K559" s="287" t="s">
        <v>532</v>
      </c>
      <c r="L559" s="287" t="s">
        <v>497</v>
      </c>
      <c r="M559" s="292"/>
      <c r="N559" s="292"/>
      <c r="O559" s="292"/>
      <c r="P559" s="292"/>
      <c r="Q559" s="294" t="s">
        <v>32</v>
      </c>
      <c r="R559" s="294" t="s">
        <v>32</v>
      </c>
      <c r="S559" s="295" t="s">
        <v>32</v>
      </c>
      <c r="T559" s="287" t="s">
        <v>377</v>
      </c>
      <c r="U559" s="287" t="s">
        <v>377</v>
      </c>
      <c r="V559" s="288" t="s">
        <v>377</v>
      </c>
      <c r="W559" s="294" t="s">
        <v>32</v>
      </c>
      <c r="X559" s="294" t="s">
        <v>32</v>
      </c>
      <c r="Y559" s="295" t="s">
        <v>32</v>
      </c>
      <c r="Z559" s="294" t="s">
        <v>32</v>
      </c>
      <c r="AA559" s="294" t="s">
        <v>32</v>
      </c>
      <c r="AB559" s="295" t="s">
        <v>32</v>
      </c>
      <c r="AC559" s="296" t="s">
        <v>32</v>
      </c>
      <c r="AD559" s="294" t="s">
        <v>32</v>
      </c>
      <c r="AE559" s="294" t="s">
        <v>32</v>
      </c>
      <c r="AF559" s="295" t="s">
        <v>32</v>
      </c>
      <c r="AG559" s="294" t="s">
        <v>32</v>
      </c>
      <c r="AH559" s="287" t="s">
        <v>18</v>
      </c>
      <c r="AI559" s="288" t="s">
        <v>377</v>
      </c>
      <c r="AJ559" s="287" t="s">
        <v>18</v>
      </c>
      <c r="AK559" s="294" t="s">
        <v>32</v>
      </c>
      <c r="AL559" s="288" t="s">
        <v>377</v>
      </c>
      <c r="AM559" s="287" t="s">
        <v>18</v>
      </c>
      <c r="AN559" s="287" t="s">
        <v>377</v>
      </c>
      <c r="AO559" s="288" t="s">
        <v>377</v>
      </c>
      <c r="AP559" s="289" t="s">
        <v>377</v>
      </c>
      <c r="AQ559" s="294" t="s">
        <v>32</v>
      </c>
      <c r="AR559" s="294" t="s">
        <v>32</v>
      </c>
      <c r="AS559" s="295" t="s">
        <v>32</v>
      </c>
      <c r="AT559" s="294" t="s">
        <v>32</v>
      </c>
      <c r="AU559" s="287" t="s">
        <v>18</v>
      </c>
      <c r="AV559" s="288" t="s">
        <v>377</v>
      </c>
      <c r="AW559" s="294" t="s">
        <v>32</v>
      </c>
      <c r="AX559" s="294" t="s">
        <v>32</v>
      </c>
      <c r="AY559" s="295" t="s">
        <v>32</v>
      </c>
      <c r="AZ559" s="294" t="s">
        <v>32</v>
      </c>
      <c r="BA559" s="287" t="s">
        <v>377</v>
      </c>
      <c r="BB559" s="295" t="s">
        <v>32</v>
      </c>
      <c r="BC559" s="296" t="s">
        <v>32</v>
      </c>
      <c r="BD559" s="292"/>
    </row>
    <row r="560" ht="12.75" customHeight="1">
      <c r="A560" s="293">
        <v>45257.389717893515</v>
      </c>
      <c r="B560" s="286" t="s">
        <v>375</v>
      </c>
      <c r="C560" s="287" t="s">
        <v>559</v>
      </c>
      <c r="D560" s="285" t="s">
        <v>16</v>
      </c>
      <c r="E560" s="285" t="s">
        <v>476</v>
      </c>
      <c r="F560" s="287" t="s">
        <v>1109</v>
      </c>
      <c r="G560" s="285" t="s">
        <v>17</v>
      </c>
      <c r="H560" s="285">
        <v>13.0</v>
      </c>
      <c r="I560" s="287" t="s">
        <v>479</v>
      </c>
      <c r="J560" s="287" t="s">
        <v>532</v>
      </c>
      <c r="K560" s="287" t="s">
        <v>532</v>
      </c>
      <c r="L560" s="287" t="s">
        <v>497</v>
      </c>
      <c r="M560" s="292"/>
      <c r="N560" s="292"/>
      <c r="O560" s="292"/>
      <c r="P560" s="292"/>
      <c r="Q560" s="294" t="s">
        <v>32</v>
      </c>
      <c r="R560" s="294" t="s">
        <v>32</v>
      </c>
      <c r="S560" s="295" t="s">
        <v>32</v>
      </c>
      <c r="T560" s="294" t="s">
        <v>32</v>
      </c>
      <c r="U560" s="294" t="s">
        <v>32</v>
      </c>
      <c r="V560" s="295" t="s">
        <v>32</v>
      </c>
      <c r="W560" s="294" t="s">
        <v>32</v>
      </c>
      <c r="X560" s="294" t="s">
        <v>32</v>
      </c>
      <c r="Y560" s="295" t="s">
        <v>32</v>
      </c>
      <c r="Z560" s="294" t="s">
        <v>32</v>
      </c>
      <c r="AA560" s="294" t="s">
        <v>32</v>
      </c>
      <c r="AB560" s="295" t="s">
        <v>32</v>
      </c>
      <c r="AC560" s="296" t="s">
        <v>32</v>
      </c>
      <c r="AD560" s="294" t="s">
        <v>32</v>
      </c>
      <c r="AE560" s="294" t="s">
        <v>32</v>
      </c>
      <c r="AF560" s="295" t="s">
        <v>32</v>
      </c>
      <c r="AG560" s="294" t="s">
        <v>32</v>
      </c>
      <c r="AH560" s="287" t="s">
        <v>18</v>
      </c>
      <c r="AI560" s="288" t="s">
        <v>377</v>
      </c>
      <c r="AJ560" s="287" t="s">
        <v>18</v>
      </c>
      <c r="AK560" s="294" t="s">
        <v>32</v>
      </c>
      <c r="AL560" s="288" t="s">
        <v>377</v>
      </c>
      <c r="AM560" s="287" t="s">
        <v>18</v>
      </c>
      <c r="AN560" s="287" t="s">
        <v>18</v>
      </c>
      <c r="AO560" s="288" t="s">
        <v>18</v>
      </c>
      <c r="AP560" s="289" t="s">
        <v>377</v>
      </c>
      <c r="AQ560" s="294" t="s">
        <v>32</v>
      </c>
      <c r="AR560" s="294" t="s">
        <v>32</v>
      </c>
      <c r="AS560" s="295" t="s">
        <v>32</v>
      </c>
      <c r="AT560" s="294" t="s">
        <v>32</v>
      </c>
      <c r="AU560" s="287" t="s">
        <v>18</v>
      </c>
      <c r="AV560" s="288" t="s">
        <v>377</v>
      </c>
      <c r="AW560" s="294" t="s">
        <v>32</v>
      </c>
      <c r="AX560" s="294" t="s">
        <v>32</v>
      </c>
      <c r="AY560" s="295" t="s">
        <v>32</v>
      </c>
      <c r="AZ560" s="294" t="s">
        <v>32</v>
      </c>
      <c r="BA560" s="294" t="s">
        <v>32</v>
      </c>
      <c r="BB560" s="295" t="s">
        <v>32</v>
      </c>
      <c r="BC560" s="289" t="s">
        <v>377</v>
      </c>
      <c r="BD560" s="292"/>
    </row>
    <row r="561" ht="12.75" customHeight="1">
      <c r="A561" s="293">
        <v>45257.39138238426</v>
      </c>
      <c r="B561" s="286" t="s">
        <v>375</v>
      </c>
      <c r="C561" s="287" t="s">
        <v>559</v>
      </c>
      <c r="D561" s="285" t="s">
        <v>16</v>
      </c>
      <c r="E561" s="285" t="s">
        <v>476</v>
      </c>
      <c r="F561" s="287" t="s">
        <v>1110</v>
      </c>
      <c r="G561" s="285" t="s">
        <v>17</v>
      </c>
      <c r="H561" s="285">
        <v>12.0</v>
      </c>
      <c r="I561" s="287" t="s">
        <v>479</v>
      </c>
      <c r="J561" s="287" t="s">
        <v>532</v>
      </c>
      <c r="K561" s="287" t="s">
        <v>532</v>
      </c>
      <c r="L561" s="287" t="s">
        <v>497</v>
      </c>
      <c r="M561" s="292"/>
      <c r="N561" s="292"/>
      <c r="O561" s="292"/>
      <c r="P561" s="292"/>
      <c r="Q561" s="294" t="s">
        <v>32</v>
      </c>
      <c r="R561" s="294" t="s">
        <v>32</v>
      </c>
      <c r="S561" s="295" t="s">
        <v>32</v>
      </c>
      <c r="T561" s="287" t="s">
        <v>377</v>
      </c>
      <c r="U561" s="294" t="s">
        <v>32</v>
      </c>
      <c r="V561" s="295" t="s">
        <v>32</v>
      </c>
      <c r="W561" s="287" t="s">
        <v>18</v>
      </c>
      <c r="X561" s="294" t="s">
        <v>32</v>
      </c>
      <c r="Y561" s="288" t="s">
        <v>377</v>
      </c>
      <c r="Z561" s="294" t="s">
        <v>32</v>
      </c>
      <c r="AA561" s="294" t="s">
        <v>32</v>
      </c>
      <c r="AB561" s="295" t="s">
        <v>32</v>
      </c>
      <c r="AC561" s="296" t="s">
        <v>32</v>
      </c>
      <c r="AD561" s="294" t="s">
        <v>32</v>
      </c>
      <c r="AE561" s="287" t="s">
        <v>377</v>
      </c>
      <c r="AF561" s="295" t="s">
        <v>32</v>
      </c>
      <c r="AG561" s="287" t="s">
        <v>18</v>
      </c>
      <c r="AH561" s="287" t="s">
        <v>18</v>
      </c>
      <c r="AI561" s="288" t="s">
        <v>18</v>
      </c>
      <c r="AJ561" s="287" t="s">
        <v>18</v>
      </c>
      <c r="AK561" s="294" t="s">
        <v>32</v>
      </c>
      <c r="AL561" s="288" t="s">
        <v>377</v>
      </c>
      <c r="AM561" s="287" t="s">
        <v>18</v>
      </c>
      <c r="AN561" s="287" t="s">
        <v>18</v>
      </c>
      <c r="AO561" s="288" t="s">
        <v>18</v>
      </c>
      <c r="AP561" s="289" t="s">
        <v>377</v>
      </c>
      <c r="AQ561" s="294" t="s">
        <v>32</v>
      </c>
      <c r="AR561" s="287" t="s">
        <v>377</v>
      </c>
      <c r="AS561" s="295" t="s">
        <v>32</v>
      </c>
      <c r="AT561" s="287" t="s">
        <v>18</v>
      </c>
      <c r="AU561" s="294" t="s">
        <v>32</v>
      </c>
      <c r="AV561" s="288" t="s">
        <v>377</v>
      </c>
      <c r="AW561" s="287" t="s">
        <v>377</v>
      </c>
      <c r="AX561" s="294" t="s">
        <v>32</v>
      </c>
      <c r="AY561" s="295" t="s">
        <v>32</v>
      </c>
      <c r="AZ561" s="287" t="s">
        <v>18</v>
      </c>
      <c r="BA561" s="294" t="s">
        <v>32</v>
      </c>
      <c r="BB561" s="288" t="s">
        <v>377</v>
      </c>
      <c r="BC561" s="289" t="s">
        <v>377</v>
      </c>
      <c r="BD561" s="292"/>
    </row>
    <row r="562" ht="12.75" customHeight="1">
      <c r="A562" s="293">
        <v>45257.394910717594</v>
      </c>
      <c r="B562" s="286" t="s">
        <v>375</v>
      </c>
      <c r="C562" s="287" t="s">
        <v>559</v>
      </c>
      <c r="D562" s="285" t="s">
        <v>16</v>
      </c>
      <c r="E562" s="285" t="s">
        <v>476</v>
      </c>
      <c r="F562" s="287" t="s">
        <v>1111</v>
      </c>
      <c r="G562" s="285" t="s">
        <v>17</v>
      </c>
      <c r="H562" s="285">
        <v>11.0</v>
      </c>
      <c r="I562" s="287" t="s">
        <v>479</v>
      </c>
      <c r="J562" s="287" t="s">
        <v>532</v>
      </c>
      <c r="K562" s="287" t="s">
        <v>532</v>
      </c>
      <c r="L562" s="287" t="s">
        <v>479</v>
      </c>
      <c r="M562" s="287" t="s">
        <v>481</v>
      </c>
      <c r="N562" s="287" t="s">
        <v>561</v>
      </c>
      <c r="O562" s="287"/>
      <c r="P562" s="287"/>
      <c r="Q562" s="287" t="s">
        <v>377</v>
      </c>
      <c r="R562" s="287" t="s">
        <v>18</v>
      </c>
      <c r="S562" s="288" t="s">
        <v>377</v>
      </c>
      <c r="T562" s="287" t="s">
        <v>377</v>
      </c>
      <c r="U562" s="287" t="s">
        <v>377</v>
      </c>
      <c r="V562" s="288" t="s">
        <v>377</v>
      </c>
      <c r="W562" s="287" t="s">
        <v>18</v>
      </c>
      <c r="X562" s="287" t="s">
        <v>18</v>
      </c>
      <c r="Y562" s="288" t="s">
        <v>18</v>
      </c>
      <c r="Z562" s="287" t="s">
        <v>377</v>
      </c>
      <c r="AA562" s="287" t="s">
        <v>377</v>
      </c>
      <c r="AB562" s="288" t="s">
        <v>377</v>
      </c>
      <c r="AC562" s="289" t="s">
        <v>377</v>
      </c>
      <c r="AD562" s="287" t="s">
        <v>377</v>
      </c>
      <c r="AE562" s="287" t="s">
        <v>377</v>
      </c>
      <c r="AF562" s="288" t="s">
        <v>377</v>
      </c>
      <c r="AG562" s="287" t="s">
        <v>377</v>
      </c>
      <c r="AH562" s="287" t="s">
        <v>18</v>
      </c>
      <c r="AI562" s="288" t="s">
        <v>377</v>
      </c>
      <c r="AJ562" s="287" t="s">
        <v>377</v>
      </c>
      <c r="AK562" s="287" t="s">
        <v>377</v>
      </c>
      <c r="AL562" s="288" t="s">
        <v>377</v>
      </c>
      <c r="AM562" s="287" t="s">
        <v>18</v>
      </c>
      <c r="AN562" s="287" t="s">
        <v>18</v>
      </c>
      <c r="AO562" s="288" t="s">
        <v>18</v>
      </c>
      <c r="AP562" s="289" t="s">
        <v>377</v>
      </c>
      <c r="AQ562" s="287" t="s">
        <v>18</v>
      </c>
      <c r="AR562" s="287" t="s">
        <v>377</v>
      </c>
      <c r="AS562" s="288" t="s">
        <v>377</v>
      </c>
      <c r="AT562" s="287" t="s">
        <v>377</v>
      </c>
      <c r="AU562" s="287" t="s">
        <v>377</v>
      </c>
      <c r="AV562" s="288" t="s">
        <v>377</v>
      </c>
      <c r="AW562" s="287" t="s">
        <v>18</v>
      </c>
      <c r="AX562" s="287" t="s">
        <v>377</v>
      </c>
      <c r="AY562" s="288" t="s">
        <v>377</v>
      </c>
      <c r="AZ562" s="287" t="s">
        <v>377</v>
      </c>
      <c r="BA562" s="287" t="s">
        <v>377</v>
      </c>
      <c r="BB562" s="295" t="s">
        <v>32</v>
      </c>
      <c r="BC562" s="296" t="s">
        <v>32</v>
      </c>
      <c r="BD562" s="292"/>
    </row>
    <row r="563" ht="12.75" customHeight="1">
      <c r="A563" s="293">
        <v>45257.39587050926</v>
      </c>
      <c r="B563" s="286" t="s">
        <v>375</v>
      </c>
      <c r="C563" s="287" t="s">
        <v>559</v>
      </c>
      <c r="D563" s="285" t="s">
        <v>16</v>
      </c>
      <c r="E563" s="285" t="s">
        <v>476</v>
      </c>
      <c r="F563" s="287" t="s">
        <v>1112</v>
      </c>
      <c r="G563" s="285" t="s">
        <v>21</v>
      </c>
      <c r="H563" s="285">
        <v>11.0</v>
      </c>
      <c r="I563" s="287" t="s">
        <v>479</v>
      </c>
      <c r="J563" s="287" t="s">
        <v>532</v>
      </c>
      <c r="K563" s="287" t="s">
        <v>532</v>
      </c>
      <c r="L563" s="287" t="s">
        <v>479</v>
      </c>
      <c r="M563" s="287" t="s">
        <v>495</v>
      </c>
      <c r="N563" s="287" t="s">
        <v>561</v>
      </c>
      <c r="O563" s="287"/>
      <c r="P563" s="287"/>
      <c r="Q563" s="287" t="s">
        <v>377</v>
      </c>
      <c r="R563" s="294" t="s">
        <v>32</v>
      </c>
      <c r="S563" s="295" t="s">
        <v>32</v>
      </c>
      <c r="T563" s="294" t="s">
        <v>32</v>
      </c>
      <c r="U563" s="294" t="s">
        <v>32</v>
      </c>
      <c r="V563" s="295" t="s">
        <v>32</v>
      </c>
      <c r="W563" s="287" t="s">
        <v>377</v>
      </c>
      <c r="X563" s="294" t="s">
        <v>32</v>
      </c>
      <c r="Y563" s="295" t="s">
        <v>32</v>
      </c>
      <c r="Z563" s="294" t="s">
        <v>32</v>
      </c>
      <c r="AA563" s="287" t="s">
        <v>377</v>
      </c>
      <c r="AB563" s="295" t="s">
        <v>32</v>
      </c>
      <c r="AC563" s="296" t="s">
        <v>32</v>
      </c>
      <c r="AD563" s="287" t="s">
        <v>377</v>
      </c>
      <c r="AE563" s="294" t="s">
        <v>32</v>
      </c>
      <c r="AF563" s="295" t="s">
        <v>32</v>
      </c>
      <c r="AG563" s="287" t="s">
        <v>377</v>
      </c>
      <c r="AH563" s="287" t="s">
        <v>377</v>
      </c>
      <c r="AI563" s="288" t="s">
        <v>377</v>
      </c>
      <c r="AJ563" s="294" t="s">
        <v>32</v>
      </c>
      <c r="AK563" s="287" t="s">
        <v>377</v>
      </c>
      <c r="AL563" s="295" t="s">
        <v>32</v>
      </c>
      <c r="AM563" s="294" t="s">
        <v>32</v>
      </c>
      <c r="AN563" s="287" t="s">
        <v>18</v>
      </c>
      <c r="AO563" s="288" t="s">
        <v>377</v>
      </c>
      <c r="AP563" s="289" t="s">
        <v>377</v>
      </c>
      <c r="AQ563" s="287" t="s">
        <v>377</v>
      </c>
      <c r="AR563" s="294" t="s">
        <v>32</v>
      </c>
      <c r="AS563" s="295" t="s">
        <v>32</v>
      </c>
      <c r="AT563" s="287" t="s">
        <v>377</v>
      </c>
      <c r="AU563" s="294" t="s">
        <v>32</v>
      </c>
      <c r="AV563" s="295" t="s">
        <v>32</v>
      </c>
      <c r="AW563" s="287" t="s">
        <v>377</v>
      </c>
      <c r="AX563" s="287" t="s">
        <v>377</v>
      </c>
      <c r="AY563" s="288" t="s">
        <v>377</v>
      </c>
      <c r="AZ563" s="287" t="s">
        <v>377</v>
      </c>
      <c r="BA563" s="287" t="s">
        <v>377</v>
      </c>
      <c r="BB563" s="295" t="s">
        <v>32</v>
      </c>
      <c r="BC563" s="296" t="s">
        <v>32</v>
      </c>
      <c r="BD563" s="292"/>
    </row>
    <row r="564" ht="12.75" customHeight="1">
      <c r="A564" s="293">
        <v>45257.39700571759</v>
      </c>
      <c r="B564" s="286" t="s">
        <v>375</v>
      </c>
      <c r="C564" s="287" t="s">
        <v>559</v>
      </c>
      <c r="D564" s="285" t="s">
        <v>16</v>
      </c>
      <c r="E564" s="285" t="s">
        <v>476</v>
      </c>
      <c r="F564" s="287" t="s">
        <v>1113</v>
      </c>
      <c r="G564" s="285" t="s">
        <v>17</v>
      </c>
      <c r="H564" s="285">
        <v>12.0</v>
      </c>
      <c r="I564" s="287" t="s">
        <v>479</v>
      </c>
      <c r="J564" s="287" t="s">
        <v>532</v>
      </c>
      <c r="K564" s="287" t="s">
        <v>532</v>
      </c>
      <c r="L564" s="287" t="s">
        <v>479</v>
      </c>
      <c r="M564" s="287" t="s">
        <v>481</v>
      </c>
      <c r="N564" s="287" t="s">
        <v>561</v>
      </c>
      <c r="O564" s="287"/>
      <c r="P564" s="287"/>
      <c r="Q564" s="294" t="s">
        <v>32</v>
      </c>
      <c r="R564" s="287" t="s">
        <v>18</v>
      </c>
      <c r="S564" s="288" t="s">
        <v>377</v>
      </c>
      <c r="T564" s="287" t="s">
        <v>18</v>
      </c>
      <c r="U564" s="294" t="s">
        <v>32</v>
      </c>
      <c r="V564" s="288" t="s">
        <v>377</v>
      </c>
      <c r="W564" s="287" t="s">
        <v>18</v>
      </c>
      <c r="X564" s="294" t="s">
        <v>32</v>
      </c>
      <c r="Y564" s="288" t="s">
        <v>377</v>
      </c>
      <c r="Z564" s="287" t="s">
        <v>377</v>
      </c>
      <c r="AA564" s="294" t="s">
        <v>32</v>
      </c>
      <c r="AB564" s="295" t="s">
        <v>32</v>
      </c>
      <c r="AC564" s="289" t="s">
        <v>377</v>
      </c>
      <c r="AD564" s="287" t="s">
        <v>377</v>
      </c>
      <c r="AE564" s="294" t="s">
        <v>32</v>
      </c>
      <c r="AF564" s="295" t="s">
        <v>32</v>
      </c>
      <c r="AG564" s="287" t="s">
        <v>18</v>
      </c>
      <c r="AH564" s="287" t="s">
        <v>377</v>
      </c>
      <c r="AI564" s="288" t="s">
        <v>377</v>
      </c>
      <c r="AJ564" s="287" t="s">
        <v>18</v>
      </c>
      <c r="AK564" s="287" t="s">
        <v>377</v>
      </c>
      <c r="AL564" s="288" t="s">
        <v>377</v>
      </c>
      <c r="AM564" s="287" t="s">
        <v>18</v>
      </c>
      <c r="AN564" s="287" t="s">
        <v>377</v>
      </c>
      <c r="AO564" s="288" t="s">
        <v>377</v>
      </c>
      <c r="AP564" s="289" t="s">
        <v>377</v>
      </c>
      <c r="AQ564" s="294" t="s">
        <v>32</v>
      </c>
      <c r="AR564" s="294" t="s">
        <v>32</v>
      </c>
      <c r="AS564" s="295" t="s">
        <v>32</v>
      </c>
      <c r="AT564" s="294" t="s">
        <v>32</v>
      </c>
      <c r="AU564" s="294" t="s">
        <v>32</v>
      </c>
      <c r="AV564" s="295" t="s">
        <v>32</v>
      </c>
      <c r="AW564" s="287" t="s">
        <v>18</v>
      </c>
      <c r="AX564" s="287" t="s">
        <v>18</v>
      </c>
      <c r="AY564" s="288" t="s">
        <v>18</v>
      </c>
      <c r="AZ564" s="287" t="s">
        <v>18</v>
      </c>
      <c r="BA564" s="287" t="s">
        <v>18</v>
      </c>
      <c r="BB564" s="295" t="s">
        <v>32</v>
      </c>
      <c r="BC564" s="296" t="s">
        <v>32</v>
      </c>
      <c r="BD564" s="292"/>
    </row>
    <row r="565" ht="12.75" customHeight="1">
      <c r="A565" s="293">
        <v>45257.39841916667</v>
      </c>
      <c r="B565" s="286" t="s">
        <v>375</v>
      </c>
      <c r="C565" s="287" t="s">
        <v>559</v>
      </c>
      <c r="D565" s="285" t="s">
        <v>16</v>
      </c>
      <c r="E565" s="285" t="s">
        <v>476</v>
      </c>
      <c r="F565" s="287" t="s">
        <v>1114</v>
      </c>
      <c r="G565" s="285" t="s">
        <v>17</v>
      </c>
      <c r="H565" s="285">
        <v>11.0</v>
      </c>
      <c r="I565" s="287" t="s">
        <v>479</v>
      </c>
      <c r="J565" s="287" t="s">
        <v>532</v>
      </c>
      <c r="K565" s="287" t="s">
        <v>532</v>
      </c>
      <c r="L565" s="287" t="s">
        <v>479</v>
      </c>
      <c r="M565" s="287" t="s">
        <v>481</v>
      </c>
      <c r="N565" s="287" t="s">
        <v>561</v>
      </c>
      <c r="O565" s="287"/>
      <c r="P565" s="287"/>
      <c r="Q565" s="294" t="s">
        <v>32</v>
      </c>
      <c r="R565" s="287" t="s">
        <v>377</v>
      </c>
      <c r="S565" s="295" t="s">
        <v>32</v>
      </c>
      <c r="T565" s="287" t="s">
        <v>18</v>
      </c>
      <c r="U565" s="294" t="s">
        <v>32</v>
      </c>
      <c r="V565" s="288" t="s">
        <v>377</v>
      </c>
      <c r="W565" s="287" t="s">
        <v>377</v>
      </c>
      <c r="X565" s="294" t="s">
        <v>32</v>
      </c>
      <c r="Y565" s="295" t="s">
        <v>32</v>
      </c>
      <c r="Z565" s="294" t="s">
        <v>32</v>
      </c>
      <c r="AA565" s="287" t="s">
        <v>377</v>
      </c>
      <c r="AB565" s="295" t="s">
        <v>32</v>
      </c>
      <c r="AC565" s="289" t="s">
        <v>377</v>
      </c>
      <c r="AD565" s="287" t="s">
        <v>377</v>
      </c>
      <c r="AE565" s="294" t="s">
        <v>32</v>
      </c>
      <c r="AF565" s="295" t="s">
        <v>32</v>
      </c>
      <c r="AG565" s="287" t="s">
        <v>18</v>
      </c>
      <c r="AH565" s="287" t="s">
        <v>377</v>
      </c>
      <c r="AI565" s="288" t="s">
        <v>377</v>
      </c>
      <c r="AJ565" s="294" t="s">
        <v>32</v>
      </c>
      <c r="AK565" s="287" t="s">
        <v>377</v>
      </c>
      <c r="AL565" s="295" t="s">
        <v>32</v>
      </c>
      <c r="AM565" s="287" t="s">
        <v>377</v>
      </c>
      <c r="AN565" s="287" t="s">
        <v>377</v>
      </c>
      <c r="AO565" s="288" t="s">
        <v>377</v>
      </c>
      <c r="AP565" s="289" t="s">
        <v>377</v>
      </c>
      <c r="AQ565" s="294" t="s">
        <v>32</v>
      </c>
      <c r="AR565" s="294" t="s">
        <v>32</v>
      </c>
      <c r="AS565" s="295" t="s">
        <v>32</v>
      </c>
      <c r="AT565" s="294" t="s">
        <v>32</v>
      </c>
      <c r="AU565" s="294" t="s">
        <v>32</v>
      </c>
      <c r="AV565" s="295" t="s">
        <v>32</v>
      </c>
      <c r="AW565" s="287" t="s">
        <v>377</v>
      </c>
      <c r="AX565" s="294" t="s">
        <v>32</v>
      </c>
      <c r="AY565" s="295" t="s">
        <v>32</v>
      </c>
      <c r="AZ565" s="287" t="s">
        <v>18</v>
      </c>
      <c r="BA565" s="294" t="s">
        <v>32</v>
      </c>
      <c r="BB565" s="295" t="s">
        <v>32</v>
      </c>
      <c r="BC565" s="296" t="s">
        <v>32</v>
      </c>
      <c r="BD565" s="292"/>
    </row>
    <row r="566" ht="12.75" customHeight="1">
      <c r="A566" s="293">
        <v>45257.40361497685</v>
      </c>
      <c r="B566" s="286" t="s">
        <v>375</v>
      </c>
      <c r="C566" s="287" t="s">
        <v>559</v>
      </c>
      <c r="D566" s="285" t="s">
        <v>16</v>
      </c>
      <c r="E566" s="285" t="s">
        <v>476</v>
      </c>
      <c r="F566" s="287" t="s">
        <v>1115</v>
      </c>
      <c r="G566" s="285" t="s">
        <v>21</v>
      </c>
      <c r="H566" s="285">
        <v>11.0</v>
      </c>
      <c r="I566" s="287" t="s">
        <v>479</v>
      </c>
      <c r="J566" s="287" t="s">
        <v>532</v>
      </c>
      <c r="K566" s="287" t="s">
        <v>532</v>
      </c>
      <c r="L566" s="287" t="s">
        <v>479</v>
      </c>
      <c r="M566" s="287" t="s">
        <v>500</v>
      </c>
      <c r="N566" s="287" t="s">
        <v>561</v>
      </c>
      <c r="O566" s="287"/>
      <c r="P566" s="287"/>
      <c r="Q566" s="294" t="s">
        <v>32</v>
      </c>
      <c r="R566" s="287" t="s">
        <v>377</v>
      </c>
      <c r="S566" s="295" t="s">
        <v>32</v>
      </c>
      <c r="T566" s="287" t="s">
        <v>18</v>
      </c>
      <c r="U566" s="294" t="s">
        <v>32</v>
      </c>
      <c r="V566" s="288" t="s">
        <v>377</v>
      </c>
      <c r="W566" s="287" t="s">
        <v>377</v>
      </c>
      <c r="X566" s="294" t="s">
        <v>32</v>
      </c>
      <c r="Y566" s="295" t="s">
        <v>32</v>
      </c>
      <c r="Z566" s="294" t="s">
        <v>32</v>
      </c>
      <c r="AA566" s="294" t="s">
        <v>32</v>
      </c>
      <c r="AB566" s="295" t="s">
        <v>32</v>
      </c>
      <c r="AC566" s="296" t="s">
        <v>32</v>
      </c>
      <c r="AD566" s="287" t="s">
        <v>377</v>
      </c>
      <c r="AE566" s="294" t="s">
        <v>32</v>
      </c>
      <c r="AF566" s="295" t="s">
        <v>32</v>
      </c>
      <c r="AG566" s="287" t="s">
        <v>18</v>
      </c>
      <c r="AH566" s="287" t="s">
        <v>18</v>
      </c>
      <c r="AI566" s="288" t="s">
        <v>18</v>
      </c>
      <c r="AJ566" s="287" t="s">
        <v>18</v>
      </c>
      <c r="AK566" s="294" t="s">
        <v>32</v>
      </c>
      <c r="AL566" s="288" t="s">
        <v>377</v>
      </c>
      <c r="AM566" s="287" t="s">
        <v>377</v>
      </c>
      <c r="AN566" s="287" t="s">
        <v>18</v>
      </c>
      <c r="AO566" s="288" t="s">
        <v>377</v>
      </c>
      <c r="AP566" s="289" t="s">
        <v>377</v>
      </c>
      <c r="AQ566" s="294" t="s">
        <v>32</v>
      </c>
      <c r="AR566" s="294" t="s">
        <v>32</v>
      </c>
      <c r="AS566" s="295" t="s">
        <v>32</v>
      </c>
      <c r="AT566" s="294" t="s">
        <v>32</v>
      </c>
      <c r="AU566" s="294" t="s">
        <v>32</v>
      </c>
      <c r="AV566" s="295" t="s">
        <v>32</v>
      </c>
      <c r="AW566" s="294" t="s">
        <v>32</v>
      </c>
      <c r="AX566" s="294" t="s">
        <v>32</v>
      </c>
      <c r="AY566" s="295" t="s">
        <v>32</v>
      </c>
      <c r="AZ566" s="294" t="s">
        <v>32</v>
      </c>
      <c r="BA566" s="294" t="s">
        <v>32</v>
      </c>
      <c r="BB566" s="295" t="s">
        <v>32</v>
      </c>
      <c r="BC566" s="296" t="s">
        <v>32</v>
      </c>
      <c r="BD566" s="292"/>
    </row>
    <row r="567" ht="12.75" customHeight="1">
      <c r="A567" s="293">
        <v>45257.4045649537</v>
      </c>
      <c r="B567" s="286" t="s">
        <v>375</v>
      </c>
      <c r="C567" s="287" t="s">
        <v>559</v>
      </c>
      <c r="D567" s="285" t="s">
        <v>16</v>
      </c>
      <c r="E567" s="285" t="s">
        <v>476</v>
      </c>
      <c r="F567" s="287" t="s">
        <v>1116</v>
      </c>
      <c r="G567" s="285" t="s">
        <v>21</v>
      </c>
      <c r="H567" s="285">
        <v>12.0</v>
      </c>
      <c r="I567" s="287" t="s">
        <v>479</v>
      </c>
      <c r="J567" s="287" t="s">
        <v>532</v>
      </c>
      <c r="K567" s="287" t="s">
        <v>532</v>
      </c>
      <c r="L567" s="287" t="s">
        <v>479</v>
      </c>
      <c r="M567" s="287" t="s">
        <v>483</v>
      </c>
      <c r="N567" s="287" t="s">
        <v>561</v>
      </c>
      <c r="O567" s="287"/>
      <c r="P567" s="287"/>
      <c r="Q567" s="294" t="s">
        <v>32</v>
      </c>
      <c r="R567" s="294" t="s">
        <v>32</v>
      </c>
      <c r="S567" s="295" t="s">
        <v>32</v>
      </c>
      <c r="T567" s="287" t="s">
        <v>18</v>
      </c>
      <c r="U567" s="294" t="s">
        <v>32</v>
      </c>
      <c r="V567" s="288" t="s">
        <v>377</v>
      </c>
      <c r="W567" s="287" t="s">
        <v>18</v>
      </c>
      <c r="X567" s="287" t="s">
        <v>18</v>
      </c>
      <c r="Y567" s="288" t="s">
        <v>18</v>
      </c>
      <c r="Z567" s="294" t="s">
        <v>32</v>
      </c>
      <c r="AA567" s="294" t="s">
        <v>32</v>
      </c>
      <c r="AB567" s="295" t="s">
        <v>32</v>
      </c>
      <c r="AC567" s="289" t="s">
        <v>377</v>
      </c>
      <c r="AD567" s="294" t="s">
        <v>32</v>
      </c>
      <c r="AE567" s="294" t="s">
        <v>32</v>
      </c>
      <c r="AF567" s="295" t="s">
        <v>32</v>
      </c>
      <c r="AG567" s="287" t="s">
        <v>18</v>
      </c>
      <c r="AH567" s="287" t="s">
        <v>18</v>
      </c>
      <c r="AI567" s="288" t="s">
        <v>18</v>
      </c>
      <c r="AJ567" s="294" t="s">
        <v>32</v>
      </c>
      <c r="AK567" s="287" t="s">
        <v>18</v>
      </c>
      <c r="AL567" s="288" t="s">
        <v>377</v>
      </c>
      <c r="AM567" s="287" t="s">
        <v>18</v>
      </c>
      <c r="AN567" s="287" t="s">
        <v>18</v>
      </c>
      <c r="AO567" s="288" t="s">
        <v>18</v>
      </c>
      <c r="AP567" s="289" t="s">
        <v>377</v>
      </c>
      <c r="AQ567" s="287" t="s">
        <v>377</v>
      </c>
      <c r="AR567" s="287" t="s">
        <v>377</v>
      </c>
      <c r="AS567" s="288" t="s">
        <v>377</v>
      </c>
      <c r="AT567" s="294" t="s">
        <v>32</v>
      </c>
      <c r="AU567" s="287" t="s">
        <v>377</v>
      </c>
      <c r="AV567" s="295" t="s">
        <v>32</v>
      </c>
      <c r="AW567" s="294" t="s">
        <v>32</v>
      </c>
      <c r="AX567" s="287" t="s">
        <v>377</v>
      </c>
      <c r="AY567" s="295" t="s">
        <v>32</v>
      </c>
      <c r="AZ567" s="294" t="s">
        <v>32</v>
      </c>
      <c r="BA567" s="287" t="s">
        <v>377</v>
      </c>
      <c r="BB567" s="295" t="s">
        <v>32</v>
      </c>
      <c r="BC567" s="296" t="s">
        <v>32</v>
      </c>
      <c r="BD567" s="292"/>
    </row>
    <row r="568" ht="12.75" customHeight="1">
      <c r="A568" s="293">
        <v>45257.408396307874</v>
      </c>
      <c r="B568" s="286" t="s">
        <v>375</v>
      </c>
      <c r="C568" s="287" t="s">
        <v>559</v>
      </c>
      <c r="D568" s="285" t="s">
        <v>16</v>
      </c>
      <c r="E568" s="285" t="s">
        <v>476</v>
      </c>
      <c r="F568" s="287" t="s">
        <v>1117</v>
      </c>
      <c r="G568" s="285" t="s">
        <v>17</v>
      </c>
      <c r="H568" s="285">
        <v>12.0</v>
      </c>
      <c r="I568" s="287" t="s">
        <v>479</v>
      </c>
      <c r="J568" s="287" t="s">
        <v>532</v>
      </c>
      <c r="K568" s="287" t="s">
        <v>532</v>
      </c>
      <c r="L568" s="287" t="s">
        <v>479</v>
      </c>
      <c r="M568" s="287" t="s">
        <v>495</v>
      </c>
      <c r="N568" s="287" t="s">
        <v>561</v>
      </c>
      <c r="O568" s="287"/>
      <c r="P568" s="287"/>
      <c r="Q568" s="287" t="s">
        <v>377</v>
      </c>
      <c r="R568" s="287" t="s">
        <v>377</v>
      </c>
      <c r="S568" s="288" t="s">
        <v>377</v>
      </c>
      <c r="T568" s="287" t="s">
        <v>377</v>
      </c>
      <c r="U568" s="287" t="s">
        <v>377</v>
      </c>
      <c r="V568" s="288" t="s">
        <v>377</v>
      </c>
      <c r="W568" s="294" t="s">
        <v>32</v>
      </c>
      <c r="X568" s="294" t="s">
        <v>32</v>
      </c>
      <c r="Y568" s="295" t="s">
        <v>32</v>
      </c>
      <c r="Z568" s="287" t="s">
        <v>377</v>
      </c>
      <c r="AA568" s="294" t="s">
        <v>32</v>
      </c>
      <c r="AB568" s="295" t="s">
        <v>32</v>
      </c>
      <c r="AC568" s="289" t="s">
        <v>377</v>
      </c>
      <c r="AD568" s="294" t="s">
        <v>32</v>
      </c>
      <c r="AE568" s="287" t="s">
        <v>377</v>
      </c>
      <c r="AF568" s="295" t="s">
        <v>32</v>
      </c>
      <c r="AG568" s="287" t="s">
        <v>377</v>
      </c>
      <c r="AH568" s="294" t="s">
        <v>32</v>
      </c>
      <c r="AI568" s="295" t="s">
        <v>32</v>
      </c>
      <c r="AJ568" s="294" t="s">
        <v>32</v>
      </c>
      <c r="AK568" s="294" t="s">
        <v>32</v>
      </c>
      <c r="AL568" s="295" t="s">
        <v>32</v>
      </c>
      <c r="AM568" s="287" t="s">
        <v>377</v>
      </c>
      <c r="AN568" s="287" t="s">
        <v>377</v>
      </c>
      <c r="AO568" s="288" t="s">
        <v>377</v>
      </c>
      <c r="AP568" s="296" t="s">
        <v>32</v>
      </c>
      <c r="AQ568" s="287" t="s">
        <v>18</v>
      </c>
      <c r="AR568" s="287" t="s">
        <v>18</v>
      </c>
      <c r="AS568" s="288" t="s">
        <v>18</v>
      </c>
      <c r="AT568" s="294" t="s">
        <v>32</v>
      </c>
      <c r="AU568" s="294" t="s">
        <v>32</v>
      </c>
      <c r="AV568" s="295" t="s">
        <v>32</v>
      </c>
      <c r="AW568" s="287" t="s">
        <v>377</v>
      </c>
      <c r="AX568" s="287" t="s">
        <v>377</v>
      </c>
      <c r="AY568" s="288" t="s">
        <v>377</v>
      </c>
      <c r="AZ568" s="294" t="s">
        <v>32</v>
      </c>
      <c r="BA568" s="287" t="s">
        <v>377</v>
      </c>
      <c r="BB568" s="288" t="s">
        <v>377</v>
      </c>
      <c r="BC568" s="289" t="s">
        <v>377</v>
      </c>
      <c r="BD568" s="292"/>
    </row>
    <row r="569" ht="12.75" customHeight="1">
      <c r="A569" s="293">
        <v>45257.41065320602</v>
      </c>
      <c r="B569" s="286" t="s">
        <v>375</v>
      </c>
      <c r="C569" s="287" t="s">
        <v>559</v>
      </c>
      <c r="D569" s="285" t="s">
        <v>16</v>
      </c>
      <c r="E569" s="285" t="s">
        <v>476</v>
      </c>
      <c r="F569" s="287" t="s">
        <v>1118</v>
      </c>
      <c r="G569" s="285" t="s">
        <v>17</v>
      </c>
      <c r="H569" s="285">
        <v>12.0</v>
      </c>
      <c r="I569" s="287" t="s">
        <v>479</v>
      </c>
      <c r="J569" s="287" t="s">
        <v>532</v>
      </c>
      <c r="K569" s="287" t="s">
        <v>532</v>
      </c>
      <c r="L569" s="287" t="s">
        <v>479</v>
      </c>
      <c r="M569" s="287" t="s">
        <v>495</v>
      </c>
      <c r="N569" s="287" t="s">
        <v>561</v>
      </c>
      <c r="O569" s="287"/>
      <c r="P569" s="287"/>
      <c r="Q569" s="294" t="s">
        <v>32</v>
      </c>
      <c r="R569" s="294" t="s">
        <v>32</v>
      </c>
      <c r="S569" s="295" t="s">
        <v>32</v>
      </c>
      <c r="T569" s="294" t="s">
        <v>32</v>
      </c>
      <c r="U569" s="294" t="s">
        <v>32</v>
      </c>
      <c r="V569" s="295" t="s">
        <v>32</v>
      </c>
      <c r="W569" s="294" t="s">
        <v>32</v>
      </c>
      <c r="X569" s="294" t="s">
        <v>32</v>
      </c>
      <c r="Y569" s="295" t="s">
        <v>32</v>
      </c>
      <c r="Z569" s="294" t="s">
        <v>32</v>
      </c>
      <c r="AA569" s="294" t="s">
        <v>32</v>
      </c>
      <c r="AB569" s="295" t="s">
        <v>32</v>
      </c>
      <c r="AC569" s="296" t="s">
        <v>32</v>
      </c>
      <c r="AD569" s="294" t="s">
        <v>32</v>
      </c>
      <c r="AE569" s="294" t="s">
        <v>32</v>
      </c>
      <c r="AF569" s="295" t="s">
        <v>32</v>
      </c>
      <c r="AG569" s="294" t="s">
        <v>32</v>
      </c>
      <c r="AH569" s="294" t="s">
        <v>32</v>
      </c>
      <c r="AI569" s="295" t="s">
        <v>32</v>
      </c>
      <c r="AJ569" s="294" t="s">
        <v>32</v>
      </c>
      <c r="AK569" s="294" t="s">
        <v>32</v>
      </c>
      <c r="AL569" s="295" t="s">
        <v>32</v>
      </c>
      <c r="AM569" s="294" t="s">
        <v>32</v>
      </c>
      <c r="AN569" s="294" t="s">
        <v>32</v>
      </c>
      <c r="AO569" s="295" t="s">
        <v>32</v>
      </c>
      <c r="AP569" s="296" t="s">
        <v>32</v>
      </c>
      <c r="AQ569" s="294" t="s">
        <v>32</v>
      </c>
      <c r="AR569" s="294" t="s">
        <v>32</v>
      </c>
      <c r="AS569" s="295" t="s">
        <v>32</v>
      </c>
      <c r="AT569" s="294" t="s">
        <v>32</v>
      </c>
      <c r="AU569" s="294" t="s">
        <v>32</v>
      </c>
      <c r="AV569" s="295" t="s">
        <v>32</v>
      </c>
      <c r="AW569" s="294" t="s">
        <v>32</v>
      </c>
      <c r="AX569" s="294" t="s">
        <v>32</v>
      </c>
      <c r="AY569" s="295" t="s">
        <v>32</v>
      </c>
      <c r="AZ569" s="294" t="s">
        <v>32</v>
      </c>
      <c r="BA569" s="294" t="s">
        <v>32</v>
      </c>
      <c r="BB569" s="288" t="s">
        <v>18</v>
      </c>
      <c r="BC569" s="289" t="s">
        <v>18</v>
      </c>
      <c r="BD569" s="292"/>
    </row>
    <row r="570" ht="12.75" customHeight="1">
      <c r="A570" s="293">
        <v>45257.41084556713</v>
      </c>
      <c r="B570" s="286" t="s">
        <v>375</v>
      </c>
      <c r="C570" s="287" t="s">
        <v>559</v>
      </c>
      <c r="D570" s="285" t="s">
        <v>16</v>
      </c>
      <c r="E570" s="285" t="s">
        <v>476</v>
      </c>
      <c r="F570" s="287" t="s">
        <v>1119</v>
      </c>
      <c r="G570" s="285" t="s">
        <v>17</v>
      </c>
      <c r="H570" s="285">
        <v>12.0</v>
      </c>
      <c r="I570" s="287" t="s">
        <v>479</v>
      </c>
      <c r="J570" s="287" t="s">
        <v>532</v>
      </c>
      <c r="K570" s="287" t="s">
        <v>532</v>
      </c>
      <c r="L570" s="287" t="s">
        <v>479</v>
      </c>
      <c r="M570" s="287" t="s">
        <v>481</v>
      </c>
      <c r="N570" s="287" t="s">
        <v>561</v>
      </c>
      <c r="O570" s="287"/>
      <c r="P570" s="287"/>
      <c r="Q570" s="294" t="s">
        <v>32</v>
      </c>
      <c r="R570" s="294" t="s">
        <v>32</v>
      </c>
      <c r="S570" s="295" t="s">
        <v>32</v>
      </c>
      <c r="T570" s="294" t="s">
        <v>32</v>
      </c>
      <c r="U570" s="287" t="s">
        <v>18</v>
      </c>
      <c r="V570" s="288" t="s">
        <v>377</v>
      </c>
      <c r="W570" s="287" t="s">
        <v>377</v>
      </c>
      <c r="X570" s="287" t="s">
        <v>377</v>
      </c>
      <c r="Y570" s="288" t="s">
        <v>377</v>
      </c>
      <c r="Z570" s="294" t="s">
        <v>32</v>
      </c>
      <c r="AA570" s="294" t="s">
        <v>32</v>
      </c>
      <c r="AB570" s="295" t="s">
        <v>32</v>
      </c>
      <c r="AC570" s="296" t="s">
        <v>32</v>
      </c>
      <c r="AD570" s="287" t="s">
        <v>377</v>
      </c>
      <c r="AE570" s="287" t="s">
        <v>377</v>
      </c>
      <c r="AF570" s="288" t="s">
        <v>377</v>
      </c>
      <c r="AG570" s="287" t="s">
        <v>18</v>
      </c>
      <c r="AH570" s="287" t="s">
        <v>18</v>
      </c>
      <c r="AI570" s="288" t="s">
        <v>18</v>
      </c>
      <c r="AJ570" s="294" t="s">
        <v>32</v>
      </c>
      <c r="AK570" s="287" t="s">
        <v>18</v>
      </c>
      <c r="AL570" s="288" t="s">
        <v>377</v>
      </c>
      <c r="AM570" s="287" t="s">
        <v>18</v>
      </c>
      <c r="AN570" s="287" t="s">
        <v>377</v>
      </c>
      <c r="AO570" s="288" t="s">
        <v>377</v>
      </c>
      <c r="AP570" s="289" t="s">
        <v>377</v>
      </c>
      <c r="AQ570" s="287" t="s">
        <v>18</v>
      </c>
      <c r="AR570" s="287" t="s">
        <v>377</v>
      </c>
      <c r="AS570" s="288" t="s">
        <v>377</v>
      </c>
      <c r="AT570" s="294" t="s">
        <v>32</v>
      </c>
      <c r="AU570" s="287" t="s">
        <v>377</v>
      </c>
      <c r="AV570" s="295" t="s">
        <v>32</v>
      </c>
      <c r="AW570" s="287" t="s">
        <v>377</v>
      </c>
      <c r="AX570" s="287" t="s">
        <v>377</v>
      </c>
      <c r="AY570" s="288" t="s">
        <v>377</v>
      </c>
      <c r="AZ570" s="294" t="s">
        <v>32</v>
      </c>
      <c r="BA570" s="287" t="s">
        <v>377</v>
      </c>
      <c r="BB570" s="295" t="s">
        <v>32</v>
      </c>
      <c r="BC570" s="289" t="s">
        <v>377</v>
      </c>
      <c r="BD570" s="292"/>
    </row>
    <row r="571" ht="12.75" customHeight="1">
      <c r="A571" s="293">
        <v>45257.41288582176</v>
      </c>
      <c r="B571" s="286" t="s">
        <v>375</v>
      </c>
      <c r="C571" s="287" t="s">
        <v>559</v>
      </c>
      <c r="D571" s="285" t="s">
        <v>16</v>
      </c>
      <c r="E571" s="285" t="s">
        <v>476</v>
      </c>
      <c r="F571" s="287" t="s">
        <v>1120</v>
      </c>
      <c r="G571" s="285" t="s">
        <v>21</v>
      </c>
      <c r="H571" s="285">
        <v>11.0</v>
      </c>
      <c r="I571" s="287" t="s">
        <v>479</v>
      </c>
      <c r="J571" s="287" t="s">
        <v>532</v>
      </c>
      <c r="K571" s="287" t="s">
        <v>532</v>
      </c>
      <c r="L571" s="287" t="s">
        <v>479</v>
      </c>
      <c r="M571" s="287" t="s">
        <v>483</v>
      </c>
      <c r="N571" s="287" t="s">
        <v>561</v>
      </c>
      <c r="O571" s="287"/>
      <c r="P571" s="287"/>
      <c r="Q571" s="294" t="s">
        <v>32</v>
      </c>
      <c r="R571" s="294" t="s">
        <v>32</v>
      </c>
      <c r="S571" s="295" t="s">
        <v>32</v>
      </c>
      <c r="T571" s="294" t="s">
        <v>32</v>
      </c>
      <c r="U571" s="287" t="s">
        <v>377</v>
      </c>
      <c r="V571" s="295" t="s">
        <v>32</v>
      </c>
      <c r="W571" s="294" t="s">
        <v>32</v>
      </c>
      <c r="X571" s="287" t="s">
        <v>377</v>
      </c>
      <c r="Y571" s="295" t="s">
        <v>32</v>
      </c>
      <c r="Z571" s="287" t="s">
        <v>377</v>
      </c>
      <c r="AA571" s="294" t="s">
        <v>32</v>
      </c>
      <c r="AB571" s="295" t="s">
        <v>32</v>
      </c>
      <c r="AC571" s="296" t="s">
        <v>32</v>
      </c>
      <c r="AD571" s="287" t="s">
        <v>377</v>
      </c>
      <c r="AE571" s="287" t="s">
        <v>377</v>
      </c>
      <c r="AF571" s="288" t="s">
        <v>377</v>
      </c>
      <c r="AG571" s="294" t="s">
        <v>32</v>
      </c>
      <c r="AH571" s="287" t="s">
        <v>377</v>
      </c>
      <c r="AI571" s="295" t="s">
        <v>32</v>
      </c>
      <c r="AJ571" s="287" t="s">
        <v>377</v>
      </c>
      <c r="AK571" s="287" t="s">
        <v>377</v>
      </c>
      <c r="AL571" s="288" t="s">
        <v>377</v>
      </c>
      <c r="AM571" s="294" t="s">
        <v>32</v>
      </c>
      <c r="AN571" s="287" t="s">
        <v>377</v>
      </c>
      <c r="AO571" s="295" t="s">
        <v>32</v>
      </c>
      <c r="AP571" s="289" t="s">
        <v>377</v>
      </c>
      <c r="AQ571" s="294" t="s">
        <v>32</v>
      </c>
      <c r="AR571" s="287" t="s">
        <v>18</v>
      </c>
      <c r="AS571" s="288" t="s">
        <v>377</v>
      </c>
      <c r="AT571" s="287" t="s">
        <v>18</v>
      </c>
      <c r="AU571" s="294" t="s">
        <v>32</v>
      </c>
      <c r="AV571" s="288" t="s">
        <v>377</v>
      </c>
      <c r="AW571" s="287" t="s">
        <v>18</v>
      </c>
      <c r="AX571" s="294" t="s">
        <v>32</v>
      </c>
      <c r="AY571" s="288" t="s">
        <v>377</v>
      </c>
      <c r="AZ571" s="287" t="s">
        <v>377</v>
      </c>
      <c r="BA571" s="287" t="s">
        <v>18</v>
      </c>
      <c r="BB571" s="288" t="s">
        <v>377</v>
      </c>
      <c r="BC571" s="289" t="s">
        <v>377</v>
      </c>
      <c r="BD571" s="292"/>
    </row>
    <row r="572" ht="12.75" customHeight="1">
      <c r="A572" s="293">
        <v>45257.41307513889</v>
      </c>
      <c r="B572" s="286" t="s">
        <v>375</v>
      </c>
      <c r="C572" s="287" t="s">
        <v>559</v>
      </c>
      <c r="D572" s="285" t="s">
        <v>16</v>
      </c>
      <c r="E572" s="285" t="s">
        <v>476</v>
      </c>
      <c r="F572" s="287" t="s">
        <v>1121</v>
      </c>
      <c r="G572" s="285" t="s">
        <v>21</v>
      </c>
      <c r="H572" s="285">
        <v>12.0</v>
      </c>
      <c r="I572" s="287" t="s">
        <v>479</v>
      </c>
      <c r="J572" s="287" t="s">
        <v>532</v>
      </c>
      <c r="K572" s="287" t="s">
        <v>532</v>
      </c>
      <c r="L572" s="287" t="s">
        <v>479</v>
      </c>
      <c r="M572" s="287" t="s">
        <v>481</v>
      </c>
      <c r="N572" s="287" t="s">
        <v>561</v>
      </c>
      <c r="O572" s="287"/>
      <c r="P572" s="287"/>
      <c r="Q572" s="294" t="s">
        <v>32</v>
      </c>
      <c r="R572" s="287" t="s">
        <v>377</v>
      </c>
      <c r="S572" s="295" t="s">
        <v>32</v>
      </c>
      <c r="T572" s="287" t="s">
        <v>18</v>
      </c>
      <c r="U572" s="287" t="s">
        <v>377</v>
      </c>
      <c r="V572" s="288" t="s">
        <v>377</v>
      </c>
      <c r="W572" s="294" t="s">
        <v>32</v>
      </c>
      <c r="X572" s="287" t="s">
        <v>377</v>
      </c>
      <c r="Y572" s="295" t="s">
        <v>32</v>
      </c>
      <c r="Z572" s="294" t="s">
        <v>32</v>
      </c>
      <c r="AA572" s="287" t="s">
        <v>377</v>
      </c>
      <c r="AB572" s="295" t="s">
        <v>32</v>
      </c>
      <c r="AC572" s="289" t="s">
        <v>377</v>
      </c>
      <c r="AD572" s="287" t="s">
        <v>377</v>
      </c>
      <c r="AE572" s="287" t="s">
        <v>377</v>
      </c>
      <c r="AF572" s="288" t="s">
        <v>377</v>
      </c>
      <c r="AG572" s="294" t="s">
        <v>32</v>
      </c>
      <c r="AH572" s="287" t="s">
        <v>18</v>
      </c>
      <c r="AI572" s="288" t="s">
        <v>377</v>
      </c>
      <c r="AJ572" s="287" t="s">
        <v>377</v>
      </c>
      <c r="AK572" s="287" t="s">
        <v>377</v>
      </c>
      <c r="AL572" s="288" t="s">
        <v>377</v>
      </c>
      <c r="AM572" s="287" t="s">
        <v>18</v>
      </c>
      <c r="AN572" s="287" t="s">
        <v>18</v>
      </c>
      <c r="AO572" s="288" t="s">
        <v>18</v>
      </c>
      <c r="AP572" s="289" t="s">
        <v>377</v>
      </c>
      <c r="AQ572" s="294" t="s">
        <v>32</v>
      </c>
      <c r="AR572" s="287" t="s">
        <v>377</v>
      </c>
      <c r="AS572" s="295" t="s">
        <v>32</v>
      </c>
      <c r="AT572" s="294" t="s">
        <v>32</v>
      </c>
      <c r="AU572" s="287" t="s">
        <v>377</v>
      </c>
      <c r="AV572" s="295" t="s">
        <v>32</v>
      </c>
      <c r="AW572" s="287" t="s">
        <v>377</v>
      </c>
      <c r="AX572" s="294" t="s">
        <v>32</v>
      </c>
      <c r="AY572" s="295" t="s">
        <v>32</v>
      </c>
      <c r="AZ572" s="287" t="s">
        <v>377</v>
      </c>
      <c r="BA572" s="287" t="s">
        <v>377</v>
      </c>
      <c r="BB572" s="295" t="s">
        <v>32</v>
      </c>
      <c r="BC572" s="296" t="s">
        <v>32</v>
      </c>
      <c r="BD572" s="292"/>
    </row>
    <row r="573" ht="12.75" customHeight="1">
      <c r="A573" s="293">
        <v>45257.4159496412</v>
      </c>
      <c r="B573" s="286" t="s">
        <v>375</v>
      </c>
      <c r="C573" s="287" t="s">
        <v>559</v>
      </c>
      <c r="D573" s="285" t="s">
        <v>16</v>
      </c>
      <c r="E573" s="285" t="s">
        <v>476</v>
      </c>
      <c r="F573" s="287" t="s">
        <v>1122</v>
      </c>
      <c r="G573" s="285" t="s">
        <v>17</v>
      </c>
      <c r="H573" s="285">
        <v>12.0</v>
      </c>
      <c r="I573" s="287" t="s">
        <v>479</v>
      </c>
      <c r="J573" s="287" t="s">
        <v>532</v>
      </c>
      <c r="K573" s="287" t="s">
        <v>532</v>
      </c>
      <c r="L573" s="287" t="s">
        <v>479</v>
      </c>
      <c r="M573" s="287" t="s">
        <v>481</v>
      </c>
      <c r="N573" s="287" t="s">
        <v>561</v>
      </c>
      <c r="O573" s="287"/>
      <c r="P573" s="287"/>
      <c r="Q573" s="294" t="s">
        <v>32</v>
      </c>
      <c r="R573" s="287" t="s">
        <v>377</v>
      </c>
      <c r="S573" s="295" t="s">
        <v>32</v>
      </c>
      <c r="T573" s="287" t="s">
        <v>18</v>
      </c>
      <c r="U573" s="294" t="s">
        <v>32</v>
      </c>
      <c r="V573" s="288" t="s">
        <v>377</v>
      </c>
      <c r="W573" s="294" t="s">
        <v>32</v>
      </c>
      <c r="X573" s="287" t="s">
        <v>18</v>
      </c>
      <c r="Y573" s="288" t="s">
        <v>377</v>
      </c>
      <c r="Z573" s="287" t="s">
        <v>377</v>
      </c>
      <c r="AA573" s="287" t="s">
        <v>18</v>
      </c>
      <c r="AB573" s="288" t="s">
        <v>377</v>
      </c>
      <c r="AC573" s="289" t="s">
        <v>377</v>
      </c>
      <c r="AD573" s="294" t="s">
        <v>32</v>
      </c>
      <c r="AE573" s="294" t="s">
        <v>32</v>
      </c>
      <c r="AF573" s="295" t="s">
        <v>32</v>
      </c>
      <c r="AG573" s="294" t="s">
        <v>32</v>
      </c>
      <c r="AH573" s="287" t="s">
        <v>377</v>
      </c>
      <c r="AI573" s="295" t="s">
        <v>32</v>
      </c>
      <c r="AJ573" s="287" t="s">
        <v>377</v>
      </c>
      <c r="AK573" s="287" t="s">
        <v>377</v>
      </c>
      <c r="AL573" s="288" t="s">
        <v>377</v>
      </c>
      <c r="AM573" s="287" t="s">
        <v>18</v>
      </c>
      <c r="AN573" s="287" t="s">
        <v>377</v>
      </c>
      <c r="AO573" s="288" t="s">
        <v>377</v>
      </c>
      <c r="AP573" s="289" t="s">
        <v>377</v>
      </c>
      <c r="AQ573" s="294" t="s">
        <v>32</v>
      </c>
      <c r="AR573" s="287" t="s">
        <v>377</v>
      </c>
      <c r="AS573" s="295" t="s">
        <v>32</v>
      </c>
      <c r="AT573" s="287" t="s">
        <v>377</v>
      </c>
      <c r="AU573" s="287" t="s">
        <v>377</v>
      </c>
      <c r="AV573" s="288" t="s">
        <v>377</v>
      </c>
      <c r="AW573" s="287" t="s">
        <v>377</v>
      </c>
      <c r="AX573" s="287" t="s">
        <v>377</v>
      </c>
      <c r="AY573" s="288" t="s">
        <v>377</v>
      </c>
      <c r="AZ573" s="287" t="s">
        <v>18</v>
      </c>
      <c r="BA573" s="287" t="s">
        <v>377</v>
      </c>
      <c r="BB573" s="288" t="s">
        <v>377</v>
      </c>
      <c r="BC573" s="289" t="s">
        <v>377</v>
      </c>
      <c r="BD573" s="292"/>
    </row>
    <row r="574" ht="12.75" customHeight="1">
      <c r="A574" s="293">
        <v>45257.421175219904</v>
      </c>
      <c r="B574" s="286" t="s">
        <v>375</v>
      </c>
      <c r="C574" s="287" t="s">
        <v>559</v>
      </c>
      <c r="D574" s="285" t="s">
        <v>16</v>
      </c>
      <c r="E574" s="285" t="s">
        <v>476</v>
      </c>
      <c r="F574" s="287" t="s">
        <v>1123</v>
      </c>
      <c r="G574" s="285" t="s">
        <v>17</v>
      </c>
      <c r="H574" s="285">
        <v>12.0</v>
      </c>
      <c r="I574" s="287" t="s">
        <v>479</v>
      </c>
      <c r="J574" s="287" t="s">
        <v>532</v>
      </c>
      <c r="K574" s="287" t="s">
        <v>532</v>
      </c>
      <c r="L574" s="287" t="s">
        <v>497</v>
      </c>
      <c r="M574" s="292"/>
      <c r="N574" s="292"/>
      <c r="O574" s="292"/>
      <c r="P574" s="292"/>
      <c r="Q574" s="294" t="s">
        <v>32</v>
      </c>
      <c r="R574" s="287" t="s">
        <v>377</v>
      </c>
      <c r="S574" s="295" t="s">
        <v>32</v>
      </c>
      <c r="T574" s="287" t="s">
        <v>18</v>
      </c>
      <c r="U574" s="294" t="s">
        <v>32</v>
      </c>
      <c r="V574" s="288" t="s">
        <v>377</v>
      </c>
      <c r="W574" s="294" t="s">
        <v>32</v>
      </c>
      <c r="X574" s="287" t="s">
        <v>18</v>
      </c>
      <c r="Y574" s="288" t="s">
        <v>377</v>
      </c>
      <c r="Z574" s="294" t="s">
        <v>32</v>
      </c>
      <c r="AA574" s="294" t="s">
        <v>32</v>
      </c>
      <c r="AB574" s="295" t="s">
        <v>32</v>
      </c>
      <c r="AC574" s="289" t="s">
        <v>377</v>
      </c>
      <c r="AD574" s="294" t="s">
        <v>32</v>
      </c>
      <c r="AE574" s="294" t="s">
        <v>32</v>
      </c>
      <c r="AF574" s="295" t="s">
        <v>32</v>
      </c>
      <c r="AG574" s="294" t="s">
        <v>32</v>
      </c>
      <c r="AH574" s="287" t="s">
        <v>18</v>
      </c>
      <c r="AI574" s="288" t="s">
        <v>377</v>
      </c>
      <c r="AJ574" s="294" t="s">
        <v>32</v>
      </c>
      <c r="AK574" s="294" t="s">
        <v>32</v>
      </c>
      <c r="AL574" s="295" t="s">
        <v>32</v>
      </c>
      <c r="AM574" s="287" t="s">
        <v>18</v>
      </c>
      <c r="AN574" s="287" t="s">
        <v>18</v>
      </c>
      <c r="AO574" s="288" t="s">
        <v>18</v>
      </c>
      <c r="AP574" s="289" t="s">
        <v>377</v>
      </c>
      <c r="AQ574" s="294" t="s">
        <v>32</v>
      </c>
      <c r="AR574" s="294" t="s">
        <v>32</v>
      </c>
      <c r="AS574" s="295" t="s">
        <v>32</v>
      </c>
      <c r="AT574" s="294" t="s">
        <v>32</v>
      </c>
      <c r="AU574" s="294" t="s">
        <v>32</v>
      </c>
      <c r="AV574" s="295" t="s">
        <v>32</v>
      </c>
      <c r="AW574" s="294" t="s">
        <v>32</v>
      </c>
      <c r="AX574" s="287" t="s">
        <v>377</v>
      </c>
      <c r="AY574" s="295" t="s">
        <v>32</v>
      </c>
      <c r="AZ574" s="287" t="s">
        <v>18</v>
      </c>
      <c r="BA574" s="287" t="s">
        <v>18</v>
      </c>
      <c r="BB574" s="295" t="s">
        <v>32</v>
      </c>
      <c r="BC574" s="296" t="s">
        <v>32</v>
      </c>
      <c r="BD574" s="292"/>
    </row>
    <row r="575" ht="12.75" customHeight="1">
      <c r="A575" s="293">
        <v>45257.42473402778</v>
      </c>
      <c r="B575" s="286" t="s">
        <v>375</v>
      </c>
      <c r="C575" s="287" t="s">
        <v>559</v>
      </c>
      <c r="D575" s="285" t="s">
        <v>16</v>
      </c>
      <c r="E575" s="285" t="s">
        <v>476</v>
      </c>
      <c r="F575" s="287" t="s">
        <v>1124</v>
      </c>
      <c r="G575" s="285" t="s">
        <v>17</v>
      </c>
      <c r="H575" s="285">
        <v>12.0</v>
      </c>
      <c r="I575" s="287" t="s">
        <v>479</v>
      </c>
      <c r="J575" s="287" t="s">
        <v>532</v>
      </c>
      <c r="K575" s="287" t="s">
        <v>532</v>
      </c>
      <c r="L575" s="287" t="s">
        <v>497</v>
      </c>
      <c r="M575" s="292"/>
      <c r="N575" s="292"/>
      <c r="O575" s="292"/>
      <c r="P575" s="292"/>
      <c r="Q575" s="294" t="s">
        <v>32</v>
      </c>
      <c r="R575" s="287" t="s">
        <v>377</v>
      </c>
      <c r="S575" s="295" t="s">
        <v>32</v>
      </c>
      <c r="T575" s="287" t="s">
        <v>377</v>
      </c>
      <c r="U575" s="294" t="s">
        <v>32</v>
      </c>
      <c r="V575" s="295" t="s">
        <v>32</v>
      </c>
      <c r="W575" s="294" t="s">
        <v>32</v>
      </c>
      <c r="X575" s="287" t="s">
        <v>377</v>
      </c>
      <c r="Y575" s="295" t="s">
        <v>32</v>
      </c>
      <c r="Z575" s="294" t="s">
        <v>32</v>
      </c>
      <c r="AA575" s="287" t="s">
        <v>377</v>
      </c>
      <c r="AB575" s="295" t="s">
        <v>32</v>
      </c>
      <c r="AC575" s="296" t="s">
        <v>32</v>
      </c>
      <c r="AD575" s="287" t="s">
        <v>377</v>
      </c>
      <c r="AE575" s="287" t="s">
        <v>377</v>
      </c>
      <c r="AF575" s="288" t="s">
        <v>377</v>
      </c>
      <c r="AG575" s="294" t="s">
        <v>32</v>
      </c>
      <c r="AH575" s="294" t="s">
        <v>32</v>
      </c>
      <c r="AI575" s="295" t="s">
        <v>32</v>
      </c>
      <c r="AJ575" s="287" t="s">
        <v>377</v>
      </c>
      <c r="AK575" s="287" t="s">
        <v>377</v>
      </c>
      <c r="AL575" s="288" t="s">
        <v>377</v>
      </c>
      <c r="AM575" s="287" t="s">
        <v>18</v>
      </c>
      <c r="AN575" s="287" t="s">
        <v>377</v>
      </c>
      <c r="AO575" s="288" t="s">
        <v>377</v>
      </c>
      <c r="AP575" s="289" t="s">
        <v>377</v>
      </c>
      <c r="AQ575" s="287" t="s">
        <v>377</v>
      </c>
      <c r="AR575" s="287" t="s">
        <v>18</v>
      </c>
      <c r="AS575" s="288" t="s">
        <v>377</v>
      </c>
      <c r="AT575" s="294" t="s">
        <v>32</v>
      </c>
      <c r="AU575" s="294" t="s">
        <v>32</v>
      </c>
      <c r="AV575" s="295" t="s">
        <v>32</v>
      </c>
      <c r="AW575" s="287" t="s">
        <v>377</v>
      </c>
      <c r="AX575" s="287" t="s">
        <v>377</v>
      </c>
      <c r="AY575" s="288" t="s">
        <v>377</v>
      </c>
      <c r="AZ575" s="294" t="s">
        <v>32</v>
      </c>
      <c r="BA575" s="294" t="s">
        <v>32</v>
      </c>
      <c r="BB575" s="295" t="s">
        <v>32</v>
      </c>
      <c r="BC575" s="289" t="s">
        <v>377</v>
      </c>
      <c r="BD575" s="292"/>
    </row>
    <row r="576" ht="12.75" customHeight="1">
      <c r="A576" s="293">
        <v>45257.43278634259</v>
      </c>
      <c r="B576" s="286" t="s">
        <v>375</v>
      </c>
      <c r="C576" s="287" t="s">
        <v>559</v>
      </c>
      <c r="D576" s="285" t="s">
        <v>16</v>
      </c>
      <c r="E576" s="285" t="s">
        <v>476</v>
      </c>
      <c r="F576" s="287" t="s">
        <v>1125</v>
      </c>
      <c r="G576" s="285" t="s">
        <v>17</v>
      </c>
      <c r="H576" s="285">
        <v>12.0</v>
      </c>
      <c r="I576" s="287" t="s">
        <v>479</v>
      </c>
      <c r="J576" s="287" t="s">
        <v>532</v>
      </c>
      <c r="K576" s="287" t="s">
        <v>532</v>
      </c>
      <c r="L576" s="287" t="s">
        <v>479</v>
      </c>
      <c r="M576" s="287" t="s">
        <v>495</v>
      </c>
      <c r="N576" s="287" t="s">
        <v>561</v>
      </c>
      <c r="O576" s="287"/>
      <c r="P576" s="287"/>
      <c r="Q576" s="287" t="s">
        <v>377</v>
      </c>
      <c r="R576" s="287" t="s">
        <v>18</v>
      </c>
      <c r="S576" s="288" t="s">
        <v>377</v>
      </c>
      <c r="T576" s="287" t="s">
        <v>18</v>
      </c>
      <c r="U576" s="287" t="s">
        <v>18</v>
      </c>
      <c r="V576" s="288" t="s">
        <v>18</v>
      </c>
      <c r="W576" s="287" t="s">
        <v>377</v>
      </c>
      <c r="X576" s="287" t="s">
        <v>18</v>
      </c>
      <c r="Y576" s="288" t="s">
        <v>377</v>
      </c>
      <c r="Z576" s="287" t="s">
        <v>18</v>
      </c>
      <c r="AA576" s="287" t="s">
        <v>377</v>
      </c>
      <c r="AB576" s="288" t="s">
        <v>377</v>
      </c>
      <c r="AC576" s="289" t="s">
        <v>18</v>
      </c>
      <c r="AD576" s="287" t="s">
        <v>18</v>
      </c>
      <c r="AE576" s="287" t="s">
        <v>18</v>
      </c>
      <c r="AF576" s="288" t="s">
        <v>18</v>
      </c>
      <c r="AG576" s="287" t="s">
        <v>377</v>
      </c>
      <c r="AH576" s="287" t="s">
        <v>18</v>
      </c>
      <c r="AI576" s="288" t="s">
        <v>377</v>
      </c>
      <c r="AJ576" s="287" t="s">
        <v>18</v>
      </c>
      <c r="AK576" s="287" t="s">
        <v>18</v>
      </c>
      <c r="AL576" s="288" t="s">
        <v>18</v>
      </c>
      <c r="AM576" s="287" t="s">
        <v>377</v>
      </c>
      <c r="AN576" s="287" t="s">
        <v>18</v>
      </c>
      <c r="AO576" s="288" t="s">
        <v>377</v>
      </c>
      <c r="AP576" s="289" t="s">
        <v>18</v>
      </c>
      <c r="AQ576" s="287" t="s">
        <v>377</v>
      </c>
      <c r="AR576" s="287" t="s">
        <v>18</v>
      </c>
      <c r="AS576" s="288" t="s">
        <v>377</v>
      </c>
      <c r="AT576" s="287" t="s">
        <v>18</v>
      </c>
      <c r="AU576" s="294" t="s">
        <v>32</v>
      </c>
      <c r="AV576" s="288" t="s">
        <v>377</v>
      </c>
      <c r="AW576" s="287" t="s">
        <v>377</v>
      </c>
      <c r="AX576" s="287" t="s">
        <v>18</v>
      </c>
      <c r="AY576" s="288" t="s">
        <v>377</v>
      </c>
      <c r="AZ576" s="287" t="s">
        <v>377</v>
      </c>
      <c r="BA576" s="287" t="s">
        <v>377</v>
      </c>
      <c r="BB576" s="295" t="s">
        <v>32</v>
      </c>
      <c r="BC576" s="296" t="s">
        <v>32</v>
      </c>
      <c r="BD576" s="292"/>
    </row>
    <row r="577" ht="12.75" customHeight="1">
      <c r="A577" s="293">
        <v>45257.43875288195</v>
      </c>
      <c r="B577" s="286" t="s">
        <v>375</v>
      </c>
      <c r="C577" s="287" t="s">
        <v>559</v>
      </c>
      <c r="D577" s="285" t="s">
        <v>16</v>
      </c>
      <c r="E577" s="285" t="s">
        <v>476</v>
      </c>
      <c r="F577" s="287" t="s">
        <v>1126</v>
      </c>
      <c r="G577" s="285" t="s">
        <v>17</v>
      </c>
      <c r="H577" s="285">
        <v>12.0</v>
      </c>
      <c r="I577" s="287" t="s">
        <v>479</v>
      </c>
      <c r="J577" s="287" t="s">
        <v>532</v>
      </c>
      <c r="K577" s="287" t="s">
        <v>532</v>
      </c>
      <c r="L577" s="287" t="s">
        <v>497</v>
      </c>
      <c r="M577" s="292"/>
      <c r="N577" s="292"/>
      <c r="O577" s="292"/>
      <c r="P577" s="292"/>
      <c r="Q577" s="294" t="s">
        <v>32</v>
      </c>
      <c r="R577" s="294" t="s">
        <v>32</v>
      </c>
      <c r="S577" s="295" t="s">
        <v>32</v>
      </c>
      <c r="T577" s="294" t="s">
        <v>32</v>
      </c>
      <c r="U577" s="294" t="s">
        <v>32</v>
      </c>
      <c r="V577" s="295" t="s">
        <v>32</v>
      </c>
      <c r="W577" s="287" t="s">
        <v>377</v>
      </c>
      <c r="X577" s="287" t="s">
        <v>377</v>
      </c>
      <c r="Y577" s="288" t="s">
        <v>377</v>
      </c>
      <c r="Z577" s="294" t="s">
        <v>32</v>
      </c>
      <c r="AA577" s="294" t="s">
        <v>32</v>
      </c>
      <c r="AB577" s="295" t="s">
        <v>32</v>
      </c>
      <c r="AC577" s="296" t="s">
        <v>32</v>
      </c>
      <c r="AD577" s="294" t="s">
        <v>32</v>
      </c>
      <c r="AE577" s="294" t="s">
        <v>32</v>
      </c>
      <c r="AF577" s="295" t="s">
        <v>32</v>
      </c>
      <c r="AG577" s="294" t="s">
        <v>32</v>
      </c>
      <c r="AH577" s="287" t="s">
        <v>18</v>
      </c>
      <c r="AI577" s="288" t="s">
        <v>377</v>
      </c>
      <c r="AJ577" s="294" t="s">
        <v>32</v>
      </c>
      <c r="AK577" s="287" t="s">
        <v>377</v>
      </c>
      <c r="AL577" s="295" t="s">
        <v>32</v>
      </c>
      <c r="AM577" s="287" t="s">
        <v>18</v>
      </c>
      <c r="AN577" s="287" t="s">
        <v>18</v>
      </c>
      <c r="AO577" s="288" t="s">
        <v>18</v>
      </c>
      <c r="AP577" s="289" t="s">
        <v>377</v>
      </c>
      <c r="AQ577" s="287" t="s">
        <v>377</v>
      </c>
      <c r="AR577" s="294" t="s">
        <v>32</v>
      </c>
      <c r="AS577" s="295" t="s">
        <v>32</v>
      </c>
      <c r="AT577" s="294" t="s">
        <v>32</v>
      </c>
      <c r="AU577" s="294" t="s">
        <v>32</v>
      </c>
      <c r="AV577" s="295" t="s">
        <v>32</v>
      </c>
      <c r="AW577" s="294" t="s">
        <v>32</v>
      </c>
      <c r="AX577" s="294" t="s">
        <v>32</v>
      </c>
      <c r="AY577" s="295" t="s">
        <v>32</v>
      </c>
      <c r="AZ577" s="294" t="s">
        <v>32</v>
      </c>
      <c r="BA577" s="294" t="s">
        <v>32</v>
      </c>
      <c r="BB577" s="295" t="s">
        <v>32</v>
      </c>
      <c r="BC577" s="289" t="s">
        <v>377</v>
      </c>
      <c r="BD577" s="292"/>
    </row>
    <row r="578" ht="12.75" customHeight="1">
      <c r="A578" s="293">
        <v>45257.44912092593</v>
      </c>
      <c r="B578" s="286" t="s">
        <v>375</v>
      </c>
      <c r="C578" s="287" t="s">
        <v>559</v>
      </c>
      <c r="D578" s="285" t="s">
        <v>16</v>
      </c>
      <c r="E578" s="285" t="s">
        <v>476</v>
      </c>
      <c r="F578" s="287" t="s">
        <v>1127</v>
      </c>
      <c r="G578" s="285" t="s">
        <v>21</v>
      </c>
      <c r="H578" s="285">
        <v>12.0</v>
      </c>
      <c r="I578" s="287" t="s">
        <v>479</v>
      </c>
      <c r="J578" s="287" t="s">
        <v>532</v>
      </c>
      <c r="K578" s="287" t="s">
        <v>532</v>
      </c>
      <c r="L578" s="287" t="s">
        <v>479</v>
      </c>
      <c r="M578" s="287" t="s">
        <v>481</v>
      </c>
      <c r="N578" s="287" t="s">
        <v>561</v>
      </c>
      <c r="O578" s="287"/>
      <c r="P578" s="287"/>
      <c r="Q578" s="294" t="s">
        <v>32</v>
      </c>
      <c r="R578" s="294" t="s">
        <v>32</v>
      </c>
      <c r="S578" s="295" t="s">
        <v>32</v>
      </c>
      <c r="T578" s="287" t="s">
        <v>377</v>
      </c>
      <c r="U578" s="294" t="s">
        <v>32</v>
      </c>
      <c r="V578" s="295" t="s">
        <v>32</v>
      </c>
      <c r="W578" s="294" t="s">
        <v>32</v>
      </c>
      <c r="X578" s="287" t="s">
        <v>18</v>
      </c>
      <c r="Y578" s="288" t="s">
        <v>377</v>
      </c>
      <c r="Z578" s="294" t="s">
        <v>32</v>
      </c>
      <c r="AA578" s="287" t="s">
        <v>377</v>
      </c>
      <c r="AB578" s="295" t="s">
        <v>32</v>
      </c>
      <c r="AC578" s="296" t="s">
        <v>32</v>
      </c>
      <c r="AD578" s="294" t="s">
        <v>32</v>
      </c>
      <c r="AE578" s="294" t="s">
        <v>32</v>
      </c>
      <c r="AF578" s="295" t="s">
        <v>32</v>
      </c>
      <c r="AG578" s="287" t="s">
        <v>18</v>
      </c>
      <c r="AH578" s="287" t="s">
        <v>18</v>
      </c>
      <c r="AI578" s="288" t="s">
        <v>18</v>
      </c>
      <c r="AJ578" s="294" t="s">
        <v>32</v>
      </c>
      <c r="AK578" s="287" t="s">
        <v>18</v>
      </c>
      <c r="AL578" s="288" t="s">
        <v>377</v>
      </c>
      <c r="AM578" s="287" t="s">
        <v>18</v>
      </c>
      <c r="AN578" s="287" t="s">
        <v>377</v>
      </c>
      <c r="AO578" s="288" t="s">
        <v>377</v>
      </c>
      <c r="AP578" s="289" t="s">
        <v>377</v>
      </c>
      <c r="AQ578" s="294" t="s">
        <v>32</v>
      </c>
      <c r="AR578" s="294" t="s">
        <v>32</v>
      </c>
      <c r="AS578" s="295" t="s">
        <v>32</v>
      </c>
      <c r="AT578" s="287" t="s">
        <v>377</v>
      </c>
      <c r="AU578" s="287" t="s">
        <v>377</v>
      </c>
      <c r="AV578" s="288" t="s">
        <v>377</v>
      </c>
      <c r="AW578" s="294" t="s">
        <v>32</v>
      </c>
      <c r="AX578" s="287" t="s">
        <v>377</v>
      </c>
      <c r="AY578" s="295" t="s">
        <v>32</v>
      </c>
      <c r="AZ578" s="294" t="s">
        <v>32</v>
      </c>
      <c r="BA578" s="294" t="s">
        <v>32</v>
      </c>
      <c r="BB578" s="295" t="s">
        <v>32</v>
      </c>
      <c r="BC578" s="296" t="s">
        <v>32</v>
      </c>
      <c r="BD578" s="292"/>
    </row>
    <row r="579" ht="12.75" customHeight="1">
      <c r="A579" s="293">
        <v>45257.4511655324</v>
      </c>
      <c r="B579" s="286" t="s">
        <v>375</v>
      </c>
      <c r="C579" s="287" t="s">
        <v>559</v>
      </c>
      <c r="D579" s="285" t="s">
        <v>16</v>
      </c>
      <c r="E579" s="285" t="s">
        <v>476</v>
      </c>
      <c r="F579" s="287" t="s">
        <v>1128</v>
      </c>
      <c r="G579" s="285" t="s">
        <v>17</v>
      </c>
      <c r="H579" s="285">
        <v>12.0</v>
      </c>
      <c r="I579" s="287" t="s">
        <v>479</v>
      </c>
      <c r="J579" s="287" t="s">
        <v>532</v>
      </c>
      <c r="K579" s="287" t="s">
        <v>532</v>
      </c>
      <c r="L579" s="287" t="s">
        <v>479</v>
      </c>
      <c r="M579" s="287" t="s">
        <v>481</v>
      </c>
      <c r="N579" s="287" t="s">
        <v>561</v>
      </c>
      <c r="O579" s="287"/>
      <c r="P579" s="287"/>
      <c r="Q579" s="294" t="s">
        <v>32</v>
      </c>
      <c r="R579" s="287" t="s">
        <v>18</v>
      </c>
      <c r="S579" s="288" t="s">
        <v>377</v>
      </c>
      <c r="T579" s="294" t="s">
        <v>32</v>
      </c>
      <c r="U579" s="294" t="s">
        <v>32</v>
      </c>
      <c r="V579" s="295" t="s">
        <v>32</v>
      </c>
      <c r="W579" s="294" t="s">
        <v>32</v>
      </c>
      <c r="X579" s="287" t="s">
        <v>18</v>
      </c>
      <c r="Y579" s="288" t="s">
        <v>377</v>
      </c>
      <c r="Z579" s="287" t="s">
        <v>377</v>
      </c>
      <c r="AA579" s="287" t="s">
        <v>18</v>
      </c>
      <c r="AB579" s="288" t="s">
        <v>377</v>
      </c>
      <c r="AC579" s="289" t="s">
        <v>377</v>
      </c>
      <c r="AD579" s="294" t="s">
        <v>32</v>
      </c>
      <c r="AE579" s="294" t="s">
        <v>32</v>
      </c>
      <c r="AF579" s="295" t="s">
        <v>32</v>
      </c>
      <c r="AG579" s="287" t="s">
        <v>377</v>
      </c>
      <c r="AH579" s="287" t="s">
        <v>18</v>
      </c>
      <c r="AI579" s="288" t="s">
        <v>377</v>
      </c>
      <c r="AJ579" s="287" t="s">
        <v>18</v>
      </c>
      <c r="AK579" s="287" t="s">
        <v>18</v>
      </c>
      <c r="AL579" s="288" t="s">
        <v>18</v>
      </c>
      <c r="AM579" s="287" t="s">
        <v>18</v>
      </c>
      <c r="AN579" s="287" t="s">
        <v>377</v>
      </c>
      <c r="AO579" s="288" t="s">
        <v>377</v>
      </c>
      <c r="AP579" s="289" t="s">
        <v>377</v>
      </c>
      <c r="AQ579" s="294" t="s">
        <v>32</v>
      </c>
      <c r="AR579" s="287" t="s">
        <v>377</v>
      </c>
      <c r="AS579" s="295" t="s">
        <v>32</v>
      </c>
      <c r="AT579" s="294" t="s">
        <v>32</v>
      </c>
      <c r="AU579" s="294" t="s">
        <v>32</v>
      </c>
      <c r="AV579" s="295" t="s">
        <v>32</v>
      </c>
      <c r="AW579" s="294" t="s">
        <v>32</v>
      </c>
      <c r="AX579" s="287" t="s">
        <v>18</v>
      </c>
      <c r="AY579" s="288" t="s">
        <v>377</v>
      </c>
      <c r="AZ579" s="287" t="s">
        <v>18</v>
      </c>
      <c r="BA579" s="287" t="s">
        <v>377</v>
      </c>
      <c r="BB579" s="295" t="s">
        <v>32</v>
      </c>
      <c r="BC579" s="296" t="s">
        <v>32</v>
      </c>
      <c r="BD579" s="292"/>
    </row>
    <row r="580" ht="12.75" customHeight="1">
      <c r="A580" s="293">
        <v>45257.457731331015</v>
      </c>
      <c r="B580" s="286" t="s">
        <v>375</v>
      </c>
      <c r="C580" s="287" t="s">
        <v>559</v>
      </c>
      <c r="D580" s="285" t="s">
        <v>16</v>
      </c>
      <c r="E580" s="285" t="s">
        <v>476</v>
      </c>
      <c r="F580" s="287" t="s">
        <v>1129</v>
      </c>
      <c r="G580" s="285" t="s">
        <v>17</v>
      </c>
      <c r="H580" s="285">
        <v>12.0</v>
      </c>
      <c r="I580" s="287" t="s">
        <v>479</v>
      </c>
      <c r="J580" s="287" t="s">
        <v>532</v>
      </c>
      <c r="K580" s="287" t="s">
        <v>532</v>
      </c>
      <c r="L580" s="287" t="s">
        <v>479</v>
      </c>
      <c r="M580" s="287" t="s">
        <v>483</v>
      </c>
      <c r="N580" s="287" t="s">
        <v>561</v>
      </c>
      <c r="O580" s="287"/>
      <c r="P580" s="287"/>
      <c r="Q580" s="287" t="s">
        <v>377</v>
      </c>
      <c r="R580" s="294" t="s">
        <v>32</v>
      </c>
      <c r="S580" s="295" t="s">
        <v>32</v>
      </c>
      <c r="T580" s="287" t="s">
        <v>377</v>
      </c>
      <c r="U580" s="287" t="s">
        <v>377</v>
      </c>
      <c r="V580" s="288" t="s">
        <v>377</v>
      </c>
      <c r="W580" s="287" t="s">
        <v>377</v>
      </c>
      <c r="X580" s="287" t="s">
        <v>18</v>
      </c>
      <c r="Y580" s="288" t="s">
        <v>377</v>
      </c>
      <c r="Z580" s="287" t="s">
        <v>377</v>
      </c>
      <c r="AA580" s="287" t="s">
        <v>377</v>
      </c>
      <c r="AB580" s="288" t="s">
        <v>377</v>
      </c>
      <c r="AC580" s="289" t="s">
        <v>377</v>
      </c>
      <c r="AD580" s="287" t="s">
        <v>377</v>
      </c>
      <c r="AE580" s="287" t="s">
        <v>18</v>
      </c>
      <c r="AF580" s="288" t="s">
        <v>377</v>
      </c>
      <c r="AG580" s="287" t="s">
        <v>18</v>
      </c>
      <c r="AH580" s="287" t="s">
        <v>377</v>
      </c>
      <c r="AI580" s="288" t="s">
        <v>377</v>
      </c>
      <c r="AJ580" s="287" t="s">
        <v>377</v>
      </c>
      <c r="AK580" s="287" t="s">
        <v>18</v>
      </c>
      <c r="AL580" s="288" t="s">
        <v>377</v>
      </c>
      <c r="AM580" s="287" t="s">
        <v>377</v>
      </c>
      <c r="AN580" s="287" t="s">
        <v>18</v>
      </c>
      <c r="AO580" s="288" t="s">
        <v>377</v>
      </c>
      <c r="AP580" s="289" t="s">
        <v>377</v>
      </c>
      <c r="AQ580" s="287" t="s">
        <v>377</v>
      </c>
      <c r="AR580" s="287" t="s">
        <v>377</v>
      </c>
      <c r="AS580" s="288" t="s">
        <v>377</v>
      </c>
      <c r="AT580" s="294" t="s">
        <v>32</v>
      </c>
      <c r="AU580" s="294" t="s">
        <v>32</v>
      </c>
      <c r="AV580" s="295" t="s">
        <v>32</v>
      </c>
      <c r="AW580" s="287" t="s">
        <v>377</v>
      </c>
      <c r="AX580" s="294" t="s">
        <v>32</v>
      </c>
      <c r="AY580" s="295" t="s">
        <v>32</v>
      </c>
      <c r="AZ580" s="294" t="s">
        <v>32</v>
      </c>
      <c r="BA580" s="287" t="s">
        <v>377</v>
      </c>
      <c r="BB580" s="288" t="s">
        <v>377</v>
      </c>
      <c r="BC580" s="296" t="s">
        <v>32</v>
      </c>
      <c r="BD580" s="292"/>
    </row>
    <row r="581" ht="12.75" customHeight="1">
      <c r="A581" s="293">
        <v>45257.45845024305</v>
      </c>
      <c r="B581" s="286" t="s">
        <v>375</v>
      </c>
      <c r="C581" s="287" t="s">
        <v>559</v>
      </c>
      <c r="D581" s="285" t="s">
        <v>16</v>
      </c>
      <c r="E581" s="285" t="s">
        <v>476</v>
      </c>
      <c r="F581" s="287" t="s">
        <v>1130</v>
      </c>
      <c r="G581" s="285" t="s">
        <v>17</v>
      </c>
      <c r="H581" s="285">
        <v>12.0</v>
      </c>
      <c r="I581" s="287" t="s">
        <v>479</v>
      </c>
      <c r="J581" s="287" t="s">
        <v>532</v>
      </c>
      <c r="K581" s="287" t="s">
        <v>532</v>
      </c>
      <c r="L581" s="287" t="s">
        <v>479</v>
      </c>
      <c r="M581" s="287" t="s">
        <v>495</v>
      </c>
      <c r="N581" s="287" t="s">
        <v>561</v>
      </c>
      <c r="O581" s="287"/>
      <c r="P581" s="287"/>
      <c r="Q581" s="287" t="s">
        <v>377</v>
      </c>
      <c r="R581" s="287" t="s">
        <v>377</v>
      </c>
      <c r="S581" s="288" t="s">
        <v>377</v>
      </c>
      <c r="T581" s="287" t="s">
        <v>18</v>
      </c>
      <c r="U581" s="287" t="s">
        <v>18</v>
      </c>
      <c r="V581" s="288" t="s">
        <v>18</v>
      </c>
      <c r="W581" s="287" t="s">
        <v>18</v>
      </c>
      <c r="X581" s="287" t="s">
        <v>18</v>
      </c>
      <c r="Y581" s="288" t="s">
        <v>18</v>
      </c>
      <c r="Z581" s="287" t="s">
        <v>18</v>
      </c>
      <c r="AA581" s="287" t="s">
        <v>18</v>
      </c>
      <c r="AB581" s="288" t="s">
        <v>18</v>
      </c>
      <c r="AC581" s="289" t="s">
        <v>18</v>
      </c>
      <c r="AD581" s="287" t="s">
        <v>18</v>
      </c>
      <c r="AE581" s="287" t="s">
        <v>18</v>
      </c>
      <c r="AF581" s="288" t="s">
        <v>18</v>
      </c>
      <c r="AG581" s="287" t="s">
        <v>18</v>
      </c>
      <c r="AH581" s="287" t="s">
        <v>18</v>
      </c>
      <c r="AI581" s="288" t="s">
        <v>18</v>
      </c>
      <c r="AJ581" s="287" t="s">
        <v>18</v>
      </c>
      <c r="AK581" s="287" t="s">
        <v>18</v>
      </c>
      <c r="AL581" s="288" t="s">
        <v>18</v>
      </c>
      <c r="AM581" s="287" t="s">
        <v>18</v>
      </c>
      <c r="AN581" s="287" t="s">
        <v>18</v>
      </c>
      <c r="AO581" s="288" t="s">
        <v>18</v>
      </c>
      <c r="AP581" s="289" t="s">
        <v>18</v>
      </c>
      <c r="AQ581" s="287" t="s">
        <v>18</v>
      </c>
      <c r="AR581" s="287" t="s">
        <v>18</v>
      </c>
      <c r="AS581" s="288" t="s">
        <v>18</v>
      </c>
      <c r="AT581" s="287" t="s">
        <v>18</v>
      </c>
      <c r="AU581" s="287" t="s">
        <v>18</v>
      </c>
      <c r="AV581" s="288" t="s">
        <v>18</v>
      </c>
      <c r="AW581" s="287" t="s">
        <v>18</v>
      </c>
      <c r="AX581" s="287" t="s">
        <v>18</v>
      </c>
      <c r="AY581" s="288" t="s">
        <v>18</v>
      </c>
      <c r="AZ581" s="287" t="s">
        <v>18</v>
      </c>
      <c r="BA581" s="287" t="s">
        <v>18</v>
      </c>
      <c r="BB581" s="295" t="s">
        <v>32</v>
      </c>
      <c r="BC581" s="296" t="s">
        <v>32</v>
      </c>
      <c r="BD581" s="292"/>
    </row>
    <row r="582" ht="12.75" customHeight="1">
      <c r="A582" s="293">
        <v>45257.45889708333</v>
      </c>
      <c r="B582" s="286" t="s">
        <v>375</v>
      </c>
      <c r="C582" s="287" t="s">
        <v>559</v>
      </c>
      <c r="D582" s="285" t="s">
        <v>16</v>
      </c>
      <c r="E582" s="285" t="s">
        <v>476</v>
      </c>
      <c r="F582" s="287" t="s">
        <v>1131</v>
      </c>
      <c r="G582" s="285" t="s">
        <v>17</v>
      </c>
      <c r="H582" s="285">
        <v>12.0</v>
      </c>
      <c r="I582" s="287" t="s">
        <v>479</v>
      </c>
      <c r="J582" s="287" t="s">
        <v>532</v>
      </c>
      <c r="K582" s="287" t="s">
        <v>532</v>
      </c>
      <c r="L582" s="287" t="s">
        <v>497</v>
      </c>
      <c r="M582" s="292"/>
      <c r="N582" s="292"/>
      <c r="O582" s="292"/>
      <c r="P582" s="292"/>
      <c r="Q582" s="294" t="s">
        <v>32</v>
      </c>
      <c r="R582" s="294" t="s">
        <v>32</v>
      </c>
      <c r="S582" s="295" t="s">
        <v>32</v>
      </c>
      <c r="T582" s="294" t="s">
        <v>32</v>
      </c>
      <c r="U582" s="294" t="s">
        <v>32</v>
      </c>
      <c r="V582" s="295" t="s">
        <v>32</v>
      </c>
      <c r="W582" s="294" t="s">
        <v>32</v>
      </c>
      <c r="X582" s="287" t="s">
        <v>377</v>
      </c>
      <c r="Y582" s="295" t="s">
        <v>32</v>
      </c>
      <c r="Z582" s="294" t="s">
        <v>32</v>
      </c>
      <c r="AA582" s="294" t="s">
        <v>32</v>
      </c>
      <c r="AB582" s="295" t="s">
        <v>32</v>
      </c>
      <c r="AC582" s="296" t="s">
        <v>32</v>
      </c>
      <c r="AD582" s="287" t="s">
        <v>377</v>
      </c>
      <c r="AE582" s="294" t="s">
        <v>32</v>
      </c>
      <c r="AF582" s="295" t="s">
        <v>32</v>
      </c>
      <c r="AG582" s="287" t="s">
        <v>377</v>
      </c>
      <c r="AH582" s="287" t="s">
        <v>377</v>
      </c>
      <c r="AI582" s="288" t="s">
        <v>377</v>
      </c>
      <c r="AJ582" s="287" t="s">
        <v>377</v>
      </c>
      <c r="AK582" s="294" t="s">
        <v>32</v>
      </c>
      <c r="AL582" s="295" t="s">
        <v>32</v>
      </c>
      <c r="AM582" s="287" t="s">
        <v>377</v>
      </c>
      <c r="AN582" s="287" t="s">
        <v>377</v>
      </c>
      <c r="AO582" s="288" t="s">
        <v>377</v>
      </c>
      <c r="AP582" s="289" t="s">
        <v>377</v>
      </c>
      <c r="AQ582" s="294" t="s">
        <v>32</v>
      </c>
      <c r="AR582" s="294" t="s">
        <v>32</v>
      </c>
      <c r="AS582" s="295" t="s">
        <v>32</v>
      </c>
      <c r="AT582" s="287" t="s">
        <v>377</v>
      </c>
      <c r="AU582" s="294" t="s">
        <v>32</v>
      </c>
      <c r="AV582" s="295" t="s">
        <v>32</v>
      </c>
      <c r="AW582" s="294" t="s">
        <v>32</v>
      </c>
      <c r="AX582" s="294" t="s">
        <v>32</v>
      </c>
      <c r="AY582" s="295" t="s">
        <v>32</v>
      </c>
      <c r="AZ582" s="294" t="s">
        <v>32</v>
      </c>
      <c r="BA582" s="294" t="s">
        <v>32</v>
      </c>
      <c r="BB582" s="295" t="s">
        <v>32</v>
      </c>
      <c r="BC582" s="296" t="s">
        <v>32</v>
      </c>
      <c r="BD582" s="292"/>
    </row>
    <row r="583" ht="12.75" customHeight="1">
      <c r="A583" s="293">
        <v>45257.46245155093</v>
      </c>
      <c r="B583" s="286" t="s">
        <v>375</v>
      </c>
      <c r="C583" s="287" t="s">
        <v>559</v>
      </c>
      <c r="D583" s="285" t="s">
        <v>16</v>
      </c>
      <c r="E583" s="285" t="s">
        <v>476</v>
      </c>
      <c r="F583" s="287" t="s">
        <v>1132</v>
      </c>
      <c r="G583" s="285" t="s">
        <v>17</v>
      </c>
      <c r="H583" s="285">
        <v>12.0</v>
      </c>
      <c r="I583" s="287" t="s">
        <v>479</v>
      </c>
      <c r="J583" s="287" t="s">
        <v>532</v>
      </c>
      <c r="K583" s="287" t="s">
        <v>532</v>
      </c>
      <c r="L583" s="287" t="s">
        <v>479</v>
      </c>
      <c r="M583" s="287" t="s">
        <v>483</v>
      </c>
      <c r="N583" s="287" t="s">
        <v>561</v>
      </c>
      <c r="O583" s="287"/>
      <c r="P583" s="287"/>
      <c r="Q583" s="294" t="s">
        <v>32</v>
      </c>
      <c r="R583" s="294" t="s">
        <v>32</v>
      </c>
      <c r="S583" s="295" t="s">
        <v>32</v>
      </c>
      <c r="T583" s="294" t="s">
        <v>32</v>
      </c>
      <c r="U583" s="294" t="s">
        <v>32</v>
      </c>
      <c r="V583" s="295" t="s">
        <v>32</v>
      </c>
      <c r="W583" s="287" t="s">
        <v>377</v>
      </c>
      <c r="X583" s="294" t="s">
        <v>32</v>
      </c>
      <c r="Y583" s="295" t="s">
        <v>32</v>
      </c>
      <c r="Z583" s="294" t="s">
        <v>32</v>
      </c>
      <c r="AA583" s="294" t="s">
        <v>32</v>
      </c>
      <c r="AB583" s="295" t="s">
        <v>32</v>
      </c>
      <c r="AC583" s="296" t="s">
        <v>32</v>
      </c>
      <c r="AD583" s="287" t="s">
        <v>377</v>
      </c>
      <c r="AE583" s="294" t="s">
        <v>32</v>
      </c>
      <c r="AF583" s="295" t="s">
        <v>32</v>
      </c>
      <c r="AG583" s="287" t="s">
        <v>377</v>
      </c>
      <c r="AH583" s="287" t="s">
        <v>377</v>
      </c>
      <c r="AI583" s="288" t="s">
        <v>377</v>
      </c>
      <c r="AJ583" s="294" t="s">
        <v>32</v>
      </c>
      <c r="AK583" s="294" t="s">
        <v>32</v>
      </c>
      <c r="AL583" s="295" t="s">
        <v>32</v>
      </c>
      <c r="AM583" s="294" t="s">
        <v>32</v>
      </c>
      <c r="AN583" s="294" t="s">
        <v>32</v>
      </c>
      <c r="AO583" s="295" t="s">
        <v>32</v>
      </c>
      <c r="AP583" s="296" t="s">
        <v>32</v>
      </c>
      <c r="AQ583" s="294" t="s">
        <v>32</v>
      </c>
      <c r="AR583" s="294" t="s">
        <v>32</v>
      </c>
      <c r="AS583" s="295" t="s">
        <v>32</v>
      </c>
      <c r="AT583" s="294" t="s">
        <v>32</v>
      </c>
      <c r="AU583" s="287" t="s">
        <v>377</v>
      </c>
      <c r="AV583" s="295" t="s">
        <v>32</v>
      </c>
      <c r="AW583" s="294" t="s">
        <v>32</v>
      </c>
      <c r="AX583" s="294" t="s">
        <v>32</v>
      </c>
      <c r="AY583" s="295" t="s">
        <v>32</v>
      </c>
      <c r="AZ583" s="294" t="s">
        <v>32</v>
      </c>
      <c r="BA583" s="294" t="s">
        <v>32</v>
      </c>
      <c r="BB583" s="295" t="s">
        <v>32</v>
      </c>
      <c r="BC583" s="296" t="s">
        <v>32</v>
      </c>
      <c r="BD583" s="292"/>
    </row>
    <row r="584" ht="12.75" customHeight="1">
      <c r="A584" s="293">
        <v>45257.46354868056</v>
      </c>
      <c r="B584" s="286" t="s">
        <v>375</v>
      </c>
      <c r="C584" s="287" t="s">
        <v>559</v>
      </c>
      <c r="D584" s="285" t="s">
        <v>16</v>
      </c>
      <c r="E584" s="285" t="s">
        <v>476</v>
      </c>
      <c r="F584" s="287" t="s">
        <v>1133</v>
      </c>
      <c r="G584" s="285" t="s">
        <v>17</v>
      </c>
      <c r="H584" s="285">
        <v>11.0</v>
      </c>
      <c r="I584" s="287" t="s">
        <v>479</v>
      </c>
      <c r="J584" s="287" t="s">
        <v>532</v>
      </c>
      <c r="K584" s="287" t="s">
        <v>532</v>
      </c>
      <c r="L584" s="287" t="s">
        <v>479</v>
      </c>
      <c r="M584" s="287" t="s">
        <v>495</v>
      </c>
      <c r="N584" s="287" t="s">
        <v>561</v>
      </c>
      <c r="O584" s="287"/>
      <c r="P584" s="287"/>
      <c r="Q584" s="294" t="s">
        <v>32</v>
      </c>
      <c r="R584" s="287" t="s">
        <v>377</v>
      </c>
      <c r="S584" s="295" t="s">
        <v>32</v>
      </c>
      <c r="T584" s="287" t="s">
        <v>377</v>
      </c>
      <c r="U584" s="294" t="s">
        <v>32</v>
      </c>
      <c r="V584" s="295" t="s">
        <v>32</v>
      </c>
      <c r="W584" s="287" t="s">
        <v>377</v>
      </c>
      <c r="X584" s="287" t="s">
        <v>377</v>
      </c>
      <c r="Y584" s="288" t="s">
        <v>377</v>
      </c>
      <c r="Z584" s="287" t="s">
        <v>377</v>
      </c>
      <c r="AA584" s="294" t="s">
        <v>32</v>
      </c>
      <c r="AB584" s="295" t="s">
        <v>32</v>
      </c>
      <c r="AC584" s="289" t="s">
        <v>377</v>
      </c>
      <c r="AD584" s="294" t="s">
        <v>32</v>
      </c>
      <c r="AE584" s="294" t="s">
        <v>32</v>
      </c>
      <c r="AF584" s="295" t="s">
        <v>32</v>
      </c>
      <c r="AG584" s="287" t="s">
        <v>377</v>
      </c>
      <c r="AH584" s="294" t="s">
        <v>32</v>
      </c>
      <c r="AI584" s="295" t="s">
        <v>32</v>
      </c>
      <c r="AJ584" s="287" t="s">
        <v>377</v>
      </c>
      <c r="AK584" s="294" t="s">
        <v>32</v>
      </c>
      <c r="AL584" s="295" t="s">
        <v>32</v>
      </c>
      <c r="AM584" s="287" t="s">
        <v>18</v>
      </c>
      <c r="AN584" s="287" t="s">
        <v>377</v>
      </c>
      <c r="AO584" s="288" t="s">
        <v>377</v>
      </c>
      <c r="AP584" s="289" t="s">
        <v>377</v>
      </c>
      <c r="AQ584" s="294" t="s">
        <v>32</v>
      </c>
      <c r="AR584" s="287" t="s">
        <v>377</v>
      </c>
      <c r="AS584" s="295" t="s">
        <v>32</v>
      </c>
      <c r="AT584" s="287" t="s">
        <v>377</v>
      </c>
      <c r="AU584" s="287" t="s">
        <v>377</v>
      </c>
      <c r="AV584" s="288" t="s">
        <v>377</v>
      </c>
      <c r="AW584" s="294" t="s">
        <v>32</v>
      </c>
      <c r="AX584" s="287" t="s">
        <v>377</v>
      </c>
      <c r="AY584" s="295" t="s">
        <v>32</v>
      </c>
      <c r="AZ584" s="287" t="s">
        <v>377</v>
      </c>
      <c r="BA584" s="294" t="s">
        <v>32</v>
      </c>
      <c r="BB584" s="295" t="s">
        <v>32</v>
      </c>
      <c r="BC584" s="296" t="s">
        <v>32</v>
      </c>
      <c r="BD584" s="292"/>
    </row>
    <row r="585" ht="12.75" customHeight="1">
      <c r="A585" s="293">
        <v>45257.485088518515</v>
      </c>
      <c r="B585" s="286" t="s">
        <v>375</v>
      </c>
      <c r="C585" s="287" t="s">
        <v>559</v>
      </c>
      <c r="D585" s="285" t="s">
        <v>16</v>
      </c>
      <c r="E585" s="285" t="s">
        <v>476</v>
      </c>
      <c r="F585" s="287" t="s">
        <v>1134</v>
      </c>
      <c r="G585" s="285" t="s">
        <v>21</v>
      </c>
      <c r="H585" s="285">
        <v>12.0</v>
      </c>
      <c r="I585" s="287" t="s">
        <v>479</v>
      </c>
      <c r="J585" s="287" t="s">
        <v>532</v>
      </c>
      <c r="K585" s="287" t="s">
        <v>532</v>
      </c>
      <c r="L585" s="287" t="s">
        <v>479</v>
      </c>
      <c r="M585" s="287" t="s">
        <v>495</v>
      </c>
      <c r="N585" s="287" t="s">
        <v>561</v>
      </c>
      <c r="O585" s="287"/>
      <c r="P585" s="287"/>
      <c r="Q585" s="287" t="s">
        <v>18</v>
      </c>
      <c r="R585" s="294" t="s">
        <v>32</v>
      </c>
      <c r="S585" s="288" t="s">
        <v>377</v>
      </c>
      <c r="T585" s="287" t="s">
        <v>377</v>
      </c>
      <c r="U585" s="294" t="s">
        <v>32</v>
      </c>
      <c r="V585" s="295" t="s">
        <v>32</v>
      </c>
      <c r="W585" s="287" t="s">
        <v>18</v>
      </c>
      <c r="X585" s="287" t="s">
        <v>18</v>
      </c>
      <c r="Y585" s="288" t="s">
        <v>18</v>
      </c>
      <c r="Z585" s="287" t="s">
        <v>18</v>
      </c>
      <c r="AA585" s="287" t="s">
        <v>18</v>
      </c>
      <c r="AB585" s="288" t="s">
        <v>18</v>
      </c>
      <c r="AC585" s="289" t="s">
        <v>377</v>
      </c>
      <c r="AD585" s="287" t="s">
        <v>18</v>
      </c>
      <c r="AE585" s="287" t="s">
        <v>18</v>
      </c>
      <c r="AF585" s="288" t="s">
        <v>18</v>
      </c>
      <c r="AG585" s="287" t="s">
        <v>18</v>
      </c>
      <c r="AH585" s="287" t="s">
        <v>18</v>
      </c>
      <c r="AI585" s="288" t="s">
        <v>18</v>
      </c>
      <c r="AJ585" s="287" t="s">
        <v>18</v>
      </c>
      <c r="AK585" s="287" t="s">
        <v>18</v>
      </c>
      <c r="AL585" s="288" t="s">
        <v>18</v>
      </c>
      <c r="AM585" s="287" t="s">
        <v>18</v>
      </c>
      <c r="AN585" s="287" t="s">
        <v>18</v>
      </c>
      <c r="AO585" s="288" t="s">
        <v>18</v>
      </c>
      <c r="AP585" s="289" t="s">
        <v>18</v>
      </c>
      <c r="AQ585" s="287" t="s">
        <v>18</v>
      </c>
      <c r="AR585" s="287" t="s">
        <v>18</v>
      </c>
      <c r="AS585" s="288" t="s">
        <v>18</v>
      </c>
      <c r="AT585" s="287" t="s">
        <v>18</v>
      </c>
      <c r="AU585" s="287" t="s">
        <v>18</v>
      </c>
      <c r="AV585" s="288" t="s">
        <v>18</v>
      </c>
      <c r="AW585" s="287" t="s">
        <v>18</v>
      </c>
      <c r="AX585" s="287" t="s">
        <v>18</v>
      </c>
      <c r="AY585" s="288" t="s">
        <v>18</v>
      </c>
      <c r="AZ585" s="287" t="s">
        <v>18</v>
      </c>
      <c r="BA585" s="287" t="s">
        <v>18</v>
      </c>
      <c r="BB585" s="295" t="s">
        <v>32</v>
      </c>
      <c r="BC585" s="296" t="s">
        <v>32</v>
      </c>
      <c r="BD585" s="292"/>
    </row>
    <row r="586" ht="12.75" customHeight="1">
      <c r="A586" s="293">
        <v>45257.49661760416</v>
      </c>
      <c r="B586" s="286" t="s">
        <v>375</v>
      </c>
      <c r="C586" s="287" t="s">
        <v>559</v>
      </c>
      <c r="D586" s="285" t="s">
        <v>16</v>
      </c>
      <c r="E586" s="285" t="s">
        <v>476</v>
      </c>
      <c r="F586" s="287" t="s">
        <v>1135</v>
      </c>
      <c r="G586" s="285" t="s">
        <v>21</v>
      </c>
      <c r="H586" s="285">
        <v>12.0</v>
      </c>
      <c r="I586" s="287" t="s">
        <v>479</v>
      </c>
      <c r="J586" s="287" t="s">
        <v>532</v>
      </c>
      <c r="K586" s="287" t="s">
        <v>532</v>
      </c>
      <c r="L586" s="287" t="s">
        <v>479</v>
      </c>
      <c r="M586" s="287" t="s">
        <v>495</v>
      </c>
      <c r="N586" s="287" t="s">
        <v>561</v>
      </c>
      <c r="O586" s="287"/>
      <c r="P586" s="287"/>
      <c r="Q586" s="294" t="s">
        <v>32</v>
      </c>
      <c r="R586" s="294" t="s">
        <v>32</v>
      </c>
      <c r="S586" s="295" t="s">
        <v>32</v>
      </c>
      <c r="T586" s="287" t="s">
        <v>377</v>
      </c>
      <c r="U586" s="294" t="s">
        <v>32</v>
      </c>
      <c r="V586" s="295" t="s">
        <v>32</v>
      </c>
      <c r="W586" s="294" t="s">
        <v>32</v>
      </c>
      <c r="X586" s="287" t="s">
        <v>18</v>
      </c>
      <c r="Y586" s="288" t="s">
        <v>377</v>
      </c>
      <c r="Z586" s="287" t="s">
        <v>377</v>
      </c>
      <c r="AA586" s="294" t="s">
        <v>32</v>
      </c>
      <c r="AB586" s="295" t="s">
        <v>32</v>
      </c>
      <c r="AC586" s="296" t="s">
        <v>32</v>
      </c>
      <c r="AD586" s="287" t="s">
        <v>377</v>
      </c>
      <c r="AE586" s="294" t="s">
        <v>32</v>
      </c>
      <c r="AF586" s="295" t="s">
        <v>32</v>
      </c>
      <c r="AG586" s="287" t="s">
        <v>377</v>
      </c>
      <c r="AH586" s="287" t="s">
        <v>377</v>
      </c>
      <c r="AI586" s="288" t="s">
        <v>377</v>
      </c>
      <c r="AJ586" s="294" t="s">
        <v>32</v>
      </c>
      <c r="AK586" s="294" t="s">
        <v>32</v>
      </c>
      <c r="AL586" s="295" t="s">
        <v>32</v>
      </c>
      <c r="AM586" s="287" t="s">
        <v>18</v>
      </c>
      <c r="AN586" s="287" t="s">
        <v>18</v>
      </c>
      <c r="AO586" s="288" t="s">
        <v>18</v>
      </c>
      <c r="AP586" s="289" t="s">
        <v>377</v>
      </c>
      <c r="AQ586" s="294" t="s">
        <v>32</v>
      </c>
      <c r="AR586" s="294" t="s">
        <v>32</v>
      </c>
      <c r="AS586" s="295" t="s">
        <v>32</v>
      </c>
      <c r="AT586" s="294" t="s">
        <v>32</v>
      </c>
      <c r="AU586" s="294" t="s">
        <v>32</v>
      </c>
      <c r="AV586" s="295" t="s">
        <v>32</v>
      </c>
      <c r="AW586" s="294" t="s">
        <v>32</v>
      </c>
      <c r="AX586" s="287" t="s">
        <v>377</v>
      </c>
      <c r="AY586" s="295" t="s">
        <v>32</v>
      </c>
      <c r="AZ586" s="294" t="s">
        <v>32</v>
      </c>
      <c r="BA586" s="294" t="s">
        <v>32</v>
      </c>
      <c r="BB586" s="295" t="s">
        <v>32</v>
      </c>
      <c r="BC586" s="296" t="s">
        <v>32</v>
      </c>
      <c r="BD586" s="292"/>
    </row>
    <row r="587" ht="12.75" customHeight="1">
      <c r="A587" s="293">
        <v>45257.49862331018</v>
      </c>
      <c r="B587" s="286" t="s">
        <v>375</v>
      </c>
      <c r="C587" s="287" t="s">
        <v>559</v>
      </c>
      <c r="D587" s="285" t="s">
        <v>16</v>
      </c>
      <c r="E587" s="285" t="s">
        <v>476</v>
      </c>
      <c r="F587" s="287" t="s">
        <v>1136</v>
      </c>
      <c r="G587" s="285" t="s">
        <v>21</v>
      </c>
      <c r="H587" s="285">
        <v>12.0</v>
      </c>
      <c r="I587" s="287" t="s">
        <v>479</v>
      </c>
      <c r="J587" s="287" t="s">
        <v>532</v>
      </c>
      <c r="K587" s="287" t="s">
        <v>532</v>
      </c>
      <c r="L587" s="287" t="s">
        <v>479</v>
      </c>
      <c r="M587" s="287" t="s">
        <v>481</v>
      </c>
      <c r="N587" s="287" t="s">
        <v>561</v>
      </c>
      <c r="O587" s="287"/>
      <c r="P587" s="287"/>
      <c r="Q587" s="294" t="s">
        <v>32</v>
      </c>
      <c r="R587" s="294" t="s">
        <v>32</v>
      </c>
      <c r="S587" s="295" t="s">
        <v>32</v>
      </c>
      <c r="T587" s="287" t="s">
        <v>377</v>
      </c>
      <c r="U587" s="294" t="s">
        <v>32</v>
      </c>
      <c r="V587" s="295" t="s">
        <v>32</v>
      </c>
      <c r="W587" s="294" t="s">
        <v>32</v>
      </c>
      <c r="X587" s="287" t="s">
        <v>377</v>
      </c>
      <c r="Y587" s="295" t="s">
        <v>32</v>
      </c>
      <c r="Z587" s="287" t="s">
        <v>377</v>
      </c>
      <c r="AA587" s="294" t="s">
        <v>32</v>
      </c>
      <c r="AB587" s="295" t="s">
        <v>32</v>
      </c>
      <c r="AC587" s="296" t="s">
        <v>32</v>
      </c>
      <c r="AD587" s="287" t="s">
        <v>377</v>
      </c>
      <c r="AE587" s="287" t="s">
        <v>377</v>
      </c>
      <c r="AF587" s="288" t="s">
        <v>377</v>
      </c>
      <c r="AG587" s="287" t="s">
        <v>377</v>
      </c>
      <c r="AH587" s="287" t="s">
        <v>18</v>
      </c>
      <c r="AI587" s="288" t="s">
        <v>377</v>
      </c>
      <c r="AJ587" s="287" t="s">
        <v>377</v>
      </c>
      <c r="AK587" s="287" t="s">
        <v>377</v>
      </c>
      <c r="AL587" s="288" t="s">
        <v>377</v>
      </c>
      <c r="AM587" s="287" t="s">
        <v>18</v>
      </c>
      <c r="AN587" s="287" t="s">
        <v>18</v>
      </c>
      <c r="AO587" s="288" t="s">
        <v>18</v>
      </c>
      <c r="AP587" s="289" t="s">
        <v>377</v>
      </c>
      <c r="AQ587" s="294" t="s">
        <v>32</v>
      </c>
      <c r="AR587" s="287" t="s">
        <v>377</v>
      </c>
      <c r="AS587" s="295" t="s">
        <v>32</v>
      </c>
      <c r="AT587" s="294" t="s">
        <v>32</v>
      </c>
      <c r="AU587" s="294" t="s">
        <v>32</v>
      </c>
      <c r="AV587" s="295" t="s">
        <v>32</v>
      </c>
      <c r="AW587" s="294" t="s">
        <v>32</v>
      </c>
      <c r="AX587" s="294" t="s">
        <v>32</v>
      </c>
      <c r="AY587" s="295" t="s">
        <v>32</v>
      </c>
      <c r="AZ587" s="294" t="s">
        <v>32</v>
      </c>
      <c r="BA587" s="294" t="s">
        <v>32</v>
      </c>
      <c r="BB587" s="295" t="s">
        <v>32</v>
      </c>
      <c r="BC587" s="296" t="s">
        <v>32</v>
      </c>
      <c r="BD587" s="292"/>
    </row>
    <row r="588" ht="12.75" customHeight="1">
      <c r="A588" s="293">
        <v>45257.499647766206</v>
      </c>
      <c r="B588" s="286" t="s">
        <v>375</v>
      </c>
      <c r="C588" s="287" t="s">
        <v>559</v>
      </c>
      <c r="D588" s="285" t="s">
        <v>16</v>
      </c>
      <c r="E588" s="285" t="s">
        <v>476</v>
      </c>
      <c r="F588" s="287" t="s">
        <v>1137</v>
      </c>
      <c r="G588" s="285" t="s">
        <v>21</v>
      </c>
      <c r="H588" s="285">
        <v>11.0</v>
      </c>
      <c r="I588" s="287" t="s">
        <v>479</v>
      </c>
      <c r="J588" s="287" t="s">
        <v>532</v>
      </c>
      <c r="K588" s="287" t="s">
        <v>532</v>
      </c>
      <c r="L588" s="287" t="s">
        <v>479</v>
      </c>
      <c r="M588" s="287" t="s">
        <v>481</v>
      </c>
      <c r="N588" s="287" t="s">
        <v>561</v>
      </c>
      <c r="O588" s="287"/>
      <c r="P588" s="287"/>
      <c r="Q588" s="294" t="s">
        <v>32</v>
      </c>
      <c r="R588" s="294" t="s">
        <v>32</v>
      </c>
      <c r="S588" s="295" t="s">
        <v>32</v>
      </c>
      <c r="T588" s="287" t="s">
        <v>377</v>
      </c>
      <c r="U588" s="294" t="s">
        <v>32</v>
      </c>
      <c r="V588" s="295" t="s">
        <v>32</v>
      </c>
      <c r="W588" s="287" t="s">
        <v>377</v>
      </c>
      <c r="X588" s="287" t="s">
        <v>377</v>
      </c>
      <c r="Y588" s="288" t="s">
        <v>377</v>
      </c>
      <c r="Z588" s="294" t="s">
        <v>32</v>
      </c>
      <c r="AA588" s="294" t="s">
        <v>32</v>
      </c>
      <c r="AB588" s="295" t="s">
        <v>32</v>
      </c>
      <c r="AC588" s="296" t="s">
        <v>32</v>
      </c>
      <c r="AD588" s="287" t="s">
        <v>377</v>
      </c>
      <c r="AE588" s="294" t="s">
        <v>32</v>
      </c>
      <c r="AF588" s="295" t="s">
        <v>32</v>
      </c>
      <c r="AG588" s="287" t="s">
        <v>377</v>
      </c>
      <c r="AH588" s="287" t="s">
        <v>377</v>
      </c>
      <c r="AI588" s="288" t="s">
        <v>377</v>
      </c>
      <c r="AJ588" s="294" t="s">
        <v>32</v>
      </c>
      <c r="AK588" s="287" t="s">
        <v>377</v>
      </c>
      <c r="AL588" s="295" t="s">
        <v>32</v>
      </c>
      <c r="AM588" s="287" t="s">
        <v>377</v>
      </c>
      <c r="AN588" s="294" t="s">
        <v>32</v>
      </c>
      <c r="AO588" s="295" t="s">
        <v>32</v>
      </c>
      <c r="AP588" s="289" t="s">
        <v>377</v>
      </c>
      <c r="AQ588" s="294" t="s">
        <v>32</v>
      </c>
      <c r="AR588" s="294" t="s">
        <v>32</v>
      </c>
      <c r="AS588" s="295" t="s">
        <v>32</v>
      </c>
      <c r="AT588" s="294" t="s">
        <v>32</v>
      </c>
      <c r="AU588" s="294" t="s">
        <v>32</v>
      </c>
      <c r="AV588" s="295" t="s">
        <v>32</v>
      </c>
      <c r="AW588" s="294" t="s">
        <v>32</v>
      </c>
      <c r="AX588" s="294" t="s">
        <v>32</v>
      </c>
      <c r="AY588" s="295" t="s">
        <v>32</v>
      </c>
      <c r="AZ588" s="294" t="s">
        <v>32</v>
      </c>
      <c r="BA588" s="294" t="s">
        <v>32</v>
      </c>
      <c r="BB588" s="295" t="s">
        <v>32</v>
      </c>
      <c r="BC588" s="296" t="s">
        <v>32</v>
      </c>
      <c r="BD588" s="292"/>
    </row>
    <row r="589" ht="12.75" customHeight="1">
      <c r="A589" s="293">
        <v>45257.49989310185</v>
      </c>
      <c r="B589" s="286" t="s">
        <v>375</v>
      </c>
      <c r="C589" s="287" t="s">
        <v>559</v>
      </c>
      <c r="D589" s="285" t="s">
        <v>16</v>
      </c>
      <c r="E589" s="285" t="s">
        <v>476</v>
      </c>
      <c r="F589" s="287" t="s">
        <v>1138</v>
      </c>
      <c r="G589" s="285" t="s">
        <v>21</v>
      </c>
      <c r="H589" s="285">
        <v>11.0</v>
      </c>
      <c r="I589" s="287" t="s">
        <v>479</v>
      </c>
      <c r="J589" s="287" t="s">
        <v>532</v>
      </c>
      <c r="K589" s="287" t="s">
        <v>532</v>
      </c>
      <c r="L589" s="287" t="s">
        <v>479</v>
      </c>
      <c r="M589" s="287" t="s">
        <v>483</v>
      </c>
      <c r="N589" s="287" t="s">
        <v>561</v>
      </c>
      <c r="O589" s="287"/>
      <c r="P589" s="287"/>
      <c r="Q589" s="287" t="s">
        <v>18</v>
      </c>
      <c r="R589" s="294" t="s">
        <v>32</v>
      </c>
      <c r="S589" s="288" t="s">
        <v>377</v>
      </c>
      <c r="T589" s="287" t="s">
        <v>377</v>
      </c>
      <c r="U589" s="294" t="s">
        <v>32</v>
      </c>
      <c r="V589" s="295" t="s">
        <v>32</v>
      </c>
      <c r="W589" s="287" t="s">
        <v>18</v>
      </c>
      <c r="X589" s="287" t="s">
        <v>18</v>
      </c>
      <c r="Y589" s="288" t="s">
        <v>18</v>
      </c>
      <c r="Z589" s="287" t="s">
        <v>18</v>
      </c>
      <c r="AA589" s="287" t="s">
        <v>18</v>
      </c>
      <c r="AB589" s="288" t="s">
        <v>18</v>
      </c>
      <c r="AC589" s="289" t="s">
        <v>377</v>
      </c>
      <c r="AD589" s="287" t="s">
        <v>18</v>
      </c>
      <c r="AE589" s="287" t="s">
        <v>18</v>
      </c>
      <c r="AF589" s="288" t="s">
        <v>18</v>
      </c>
      <c r="AG589" s="287" t="s">
        <v>18</v>
      </c>
      <c r="AH589" s="287" t="s">
        <v>18</v>
      </c>
      <c r="AI589" s="288" t="s">
        <v>18</v>
      </c>
      <c r="AJ589" s="287" t="s">
        <v>18</v>
      </c>
      <c r="AK589" s="287" t="s">
        <v>18</v>
      </c>
      <c r="AL589" s="288" t="s">
        <v>18</v>
      </c>
      <c r="AM589" s="287" t="s">
        <v>18</v>
      </c>
      <c r="AN589" s="287" t="s">
        <v>18</v>
      </c>
      <c r="AO589" s="288" t="s">
        <v>18</v>
      </c>
      <c r="AP589" s="289" t="s">
        <v>18</v>
      </c>
      <c r="AQ589" s="287" t="s">
        <v>18</v>
      </c>
      <c r="AR589" s="287" t="s">
        <v>18</v>
      </c>
      <c r="AS589" s="288" t="s">
        <v>18</v>
      </c>
      <c r="AT589" s="287" t="s">
        <v>18</v>
      </c>
      <c r="AU589" s="287" t="s">
        <v>18</v>
      </c>
      <c r="AV589" s="288" t="s">
        <v>18</v>
      </c>
      <c r="AW589" s="287" t="s">
        <v>18</v>
      </c>
      <c r="AX589" s="287" t="s">
        <v>18</v>
      </c>
      <c r="AY589" s="288" t="s">
        <v>18</v>
      </c>
      <c r="AZ589" s="287" t="s">
        <v>18</v>
      </c>
      <c r="BA589" s="287" t="s">
        <v>18</v>
      </c>
      <c r="BB589" s="288" t="s">
        <v>377</v>
      </c>
      <c r="BC589" s="296" t="s">
        <v>32</v>
      </c>
      <c r="BD589" s="292"/>
    </row>
    <row r="590" ht="12.75" customHeight="1">
      <c r="A590" s="293">
        <v>45257.50078947916</v>
      </c>
      <c r="B590" s="286" t="s">
        <v>375</v>
      </c>
      <c r="C590" s="287" t="s">
        <v>559</v>
      </c>
      <c r="D590" s="285" t="s">
        <v>16</v>
      </c>
      <c r="E590" s="285" t="s">
        <v>476</v>
      </c>
      <c r="F590" s="287" t="s">
        <v>1139</v>
      </c>
      <c r="G590" s="285" t="s">
        <v>17</v>
      </c>
      <c r="H590" s="285">
        <v>11.0</v>
      </c>
      <c r="I590" s="287" t="s">
        <v>479</v>
      </c>
      <c r="J590" s="287" t="s">
        <v>532</v>
      </c>
      <c r="K590" s="287" t="s">
        <v>532</v>
      </c>
      <c r="L590" s="287" t="s">
        <v>479</v>
      </c>
      <c r="M590" s="287" t="s">
        <v>495</v>
      </c>
      <c r="N590" s="287" t="s">
        <v>561</v>
      </c>
      <c r="O590" s="287"/>
      <c r="P590" s="287"/>
      <c r="Q590" s="294" t="s">
        <v>32</v>
      </c>
      <c r="R590" s="287" t="s">
        <v>377</v>
      </c>
      <c r="S590" s="295" t="s">
        <v>32</v>
      </c>
      <c r="T590" s="287" t="s">
        <v>377</v>
      </c>
      <c r="U590" s="294" t="s">
        <v>32</v>
      </c>
      <c r="V590" s="295" t="s">
        <v>32</v>
      </c>
      <c r="W590" s="294" t="s">
        <v>32</v>
      </c>
      <c r="X590" s="294" t="s">
        <v>32</v>
      </c>
      <c r="Y590" s="295" t="s">
        <v>32</v>
      </c>
      <c r="Z590" s="287" t="s">
        <v>377</v>
      </c>
      <c r="AA590" s="287" t="s">
        <v>18</v>
      </c>
      <c r="AB590" s="288" t="s">
        <v>377</v>
      </c>
      <c r="AC590" s="289" t="s">
        <v>377</v>
      </c>
      <c r="AD590" s="287" t="s">
        <v>377</v>
      </c>
      <c r="AE590" s="294" t="s">
        <v>32</v>
      </c>
      <c r="AF590" s="295" t="s">
        <v>32</v>
      </c>
      <c r="AG590" s="294" t="s">
        <v>32</v>
      </c>
      <c r="AH590" s="287" t="s">
        <v>377</v>
      </c>
      <c r="AI590" s="295" t="s">
        <v>32</v>
      </c>
      <c r="AJ590" s="287" t="s">
        <v>377</v>
      </c>
      <c r="AK590" s="287" t="s">
        <v>377</v>
      </c>
      <c r="AL590" s="288" t="s">
        <v>377</v>
      </c>
      <c r="AM590" s="287" t="s">
        <v>377</v>
      </c>
      <c r="AN590" s="287" t="s">
        <v>18</v>
      </c>
      <c r="AO590" s="288" t="s">
        <v>377</v>
      </c>
      <c r="AP590" s="289" t="s">
        <v>377</v>
      </c>
      <c r="AQ590" s="294" t="s">
        <v>32</v>
      </c>
      <c r="AR590" s="294" t="s">
        <v>32</v>
      </c>
      <c r="AS590" s="295" t="s">
        <v>32</v>
      </c>
      <c r="AT590" s="294" t="s">
        <v>32</v>
      </c>
      <c r="AU590" s="294" t="s">
        <v>32</v>
      </c>
      <c r="AV590" s="295" t="s">
        <v>32</v>
      </c>
      <c r="AW590" s="294" t="s">
        <v>32</v>
      </c>
      <c r="AX590" s="294" t="s">
        <v>32</v>
      </c>
      <c r="AY590" s="295" t="s">
        <v>32</v>
      </c>
      <c r="AZ590" s="294" t="s">
        <v>32</v>
      </c>
      <c r="BA590" s="294" t="s">
        <v>32</v>
      </c>
      <c r="BB590" s="288" t="s">
        <v>377</v>
      </c>
      <c r="BC590" s="296" t="s">
        <v>32</v>
      </c>
      <c r="BD590" s="292"/>
    </row>
    <row r="591" ht="12.75" customHeight="1">
      <c r="A591" s="293">
        <v>45257.50202303241</v>
      </c>
      <c r="B591" s="286" t="s">
        <v>375</v>
      </c>
      <c r="C591" s="287" t="s">
        <v>559</v>
      </c>
      <c r="D591" s="285" t="s">
        <v>16</v>
      </c>
      <c r="E591" s="285" t="s">
        <v>476</v>
      </c>
      <c r="F591" s="287" t="s">
        <v>1140</v>
      </c>
      <c r="G591" s="285" t="s">
        <v>17</v>
      </c>
      <c r="H591" s="285">
        <v>12.0</v>
      </c>
      <c r="I591" s="287" t="s">
        <v>479</v>
      </c>
      <c r="J591" s="287" t="s">
        <v>532</v>
      </c>
      <c r="K591" s="287" t="s">
        <v>532</v>
      </c>
      <c r="L591" s="287" t="s">
        <v>479</v>
      </c>
      <c r="M591" s="287" t="s">
        <v>483</v>
      </c>
      <c r="N591" s="287" t="s">
        <v>561</v>
      </c>
      <c r="O591" s="287"/>
      <c r="P591" s="287"/>
      <c r="Q591" s="294" t="s">
        <v>32</v>
      </c>
      <c r="R591" s="287" t="s">
        <v>377</v>
      </c>
      <c r="S591" s="295" t="s">
        <v>32</v>
      </c>
      <c r="T591" s="287" t="s">
        <v>18</v>
      </c>
      <c r="U591" s="287" t="s">
        <v>18</v>
      </c>
      <c r="V591" s="288" t="s">
        <v>18</v>
      </c>
      <c r="W591" s="287" t="s">
        <v>377</v>
      </c>
      <c r="X591" s="287" t="s">
        <v>377</v>
      </c>
      <c r="Y591" s="288" t="s">
        <v>377</v>
      </c>
      <c r="Z591" s="287" t="s">
        <v>18</v>
      </c>
      <c r="AA591" s="287" t="s">
        <v>18</v>
      </c>
      <c r="AB591" s="288" t="s">
        <v>18</v>
      </c>
      <c r="AC591" s="289" t="s">
        <v>377</v>
      </c>
      <c r="AD591" s="287" t="s">
        <v>18</v>
      </c>
      <c r="AE591" s="287" t="s">
        <v>18</v>
      </c>
      <c r="AF591" s="288" t="s">
        <v>18</v>
      </c>
      <c r="AG591" s="287" t="s">
        <v>377</v>
      </c>
      <c r="AH591" s="287" t="s">
        <v>18</v>
      </c>
      <c r="AI591" s="288" t="s">
        <v>377</v>
      </c>
      <c r="AJ591" s="287" t="s">
        <v>377</v>
      </c>
      <c r="AK591" s="287" t="s">
        <v>377</v>
      </c>
      <c r="AL591" s="288" t="s">
        <v>377</v>
      </c>
      <c r="AM591" s="287" t="s">
        <v>377</v>
      </c>
      <c r="AN591" s="287" t="s">
        <v>377</v>
      </c>
      <c r="AO591" s="288" t="s">
        <v>377</v>
      </c>
      <c r="AP591" s="289" t="s">
        <v>377</v>
      </c>
      <c r="AQ591" s="287" t="s">
        <v>377</v>
      </c>
      <c r="AR591" s="287" t="s">
        <v>377</v>
      </c>
      <c r="AS591" s="288" t="s">
        <v>377</v>
      </c>
      <c r="AT591" s="294" t="s">
        <v>32</v>
      </c>
      <c r="AU591" s="287" t="s">
        <v>18</v>
      </c>
      <c r="AV591" s="288" t="s">
        <v>377</v>
      </c>
      <c r="AW591" s="287" t="s">
        <v>18</v>
      </c>
      <c r="AX591" s="287" t="s">
        <v>377</v>
      </c>
      <c r="AY591" s="288" t="s">
        <v>377</v>
      </c>
      <c r="AZ591" s="287" t="s">
        <v>377</v>
      </c>
      <c r="BA591" s="287" t="s">
        <v>18</v>
      </c>
      <c r="BB591" s="288" t="s">
        <v>377</v>
      </c>
      <c r="BC591" s="289" t="s">
        <v>377</v>
      </c>
      <c r="BD591" s="292"/>
    </row>
    <row r="592" ht="12.75" customHeight="1">
      <c r="A592" s="293">
        <v>45257.50322018519</v>
      </c>
      <c r="B592" s="286" t="s">
        <v>375</v>
      </c>
      <c r="C592" s="287" t="s">
        <v>559</v>
      </c>
      <c r="D592" s="285" t="s">
        <v>16</v>
      </c>
      <c r="E592" s="285" t="s">
        <v>476</v>
      </c>
      <c r="F592" s="287" t="s">
        <v>1141</v>
      </c>
      <c r="G592" s="285" t="s">
        <v>17</v>
      </c>
      <c r="H592" s="285">
        <v>12.0</v>
      </c>
      <c r="I592" s="287" t="s">
        <v>479</v>
      </c>
      <c r="J592" s="287" t="s">
        <v>532</v>
      </c>
      <c r="K592" s="287" t="s">
        <v>532</v>
      </c>
      <c r="L592" s="287" t="s">
        <v>479</v>
      </c>
      <c r="M592" s="287" t="s">
        <v>495</v>
      </c>
      <c r="N592" s="287" t="s">
        <v>561</v>
      </c>
      <c r="O592" s="287"/>
      <c r="P592" s="287"/>
      <c r="Q592" s="294" t="s">
        <v>32</v>
      </c>
      <c r="R592" s="294" t="s">
        <v>32</v>
      </c>
      <c r="S592" s="295" t="s">
        <v>32</v>
      </c>
      <c r="T592" s="287" t="s">
        <v>377</v>
      </c>
      <c r="U592" s="294" t="s">
        <v>32</v>
      </c>
      <c r="V592" s="295" t="s">
        <v>32</v>
      </c>
      <c r="W592" s="287" t="s">
        <v>18</v>
      </c>
      <c r="X592" s="287" t="s">
        <v>18</v>
      </c>
      <c r="Y592" s="288" t="s">
        <v>18</v>
      </c>
      <c r="Z592" s="287" t="s">
        <v>377</v>
      </c>
      <c r="AA592" s="294" t="s">
        <v>32</v>
      </c>
      <c r="AB592" s="295" t="s">
        <v>32</v>
      </c>
      <c r="AC592" s="289" t="s">
        <v>377</v>
      </c>
      <c r="AD592" s="287" t="s">
        <v>377</v>
      </c>
      <c r="AE592" s="287" t="s">
        <v>377</v>
      </c>
      <c r="AF592" s="288" t="s">
        <v>377</v>
      </c>
      <c r="AG592" s="294" t="s">
        <v>32</v>
      </c>
      <c r="AH592" s="287" t="s">
        <v>18</v>
      </c>
      <c r="AI592" s="288" t="s">
        <v>377</v>
      </c>
      <c r="AJ592" s="287" t="s">
        <v>377</v>
      </c>
      <c r="AK592" s="287" t="s">
        <v>377</v>
      </c>
      <c r="AL592" s="288" t="s">
        <v>377</v>
      </c>
      <c r="AM592" s="287" t="s">
        <v>18</v>
      </c>
      <c r="AN592" s="287" t="s">
        <v>18</v>
      </c>
      <c r="AO592" s="288" t="s">
        <v>18</v>
      </c>
      <c r="AP592" s="289" t="s">
        <v>377</v>
      </c>
      <c r="AQ592" s="294" t="s">
        <v>32</v>
      </c>
      <c r="AR592" s="287" t="s">
        <v>377</v>
      </c>
      <c r="AS592" s="295" t="s">
        <v>32</v>
      </c>
      <c r="AT592" s="294" t="s">
        <v>32</v>
      </c>
      <c r="AU592" s="294" t="s">
        <v>32</v>
      </c>
      <c r="AV592" s="295" t="s">
        <v>32</v>
      </c>
      <c r="AW592" s="287" t="s">
        <v>377</v>
      </c>
      <c r="AX592" s="294" t="s">
        <v>32</v>
      </c>
      <c r="AY592" s="295" t="s">
        <v>32</v>
      </c>
      <c r="AZ592" s="287" t="s">
        <v>377</v>
      </c>
      <c r="BA592" s="294" t="s">
        <v>32</v>
      </c>
      <c r="BB592" s="295" t="s">
        <v>32</v>
      </c>
      <c r="BC592" s="289" t="s">
        <v>377</v>
      </c>
      <c r="BD592" s="292"/>
    </row>
    <row r="593" ht="12.75" customHeight="1">
      <c r="A593" s="293">
        <v>45257.504535995366</v>
      </c>
      <c r="B593" s="286" t="s">
        <v>375</v>
      </c>
      <c r="C593" s="287" t="s">
        <v>559</v>
      </c>
      <c r="D593" s="285" t="s">
        <v>16</v>
      </c>
      <c r="E593" s="285" t="s">
        <v>476</v>
      </c>
      <c r="F593" s="287" t="s">
        <v>1142</v>
      </c>
      <c r="G593" s="285" t="s">
        <v>21</v>
      </c>
      <c r="H593" s="285">
        <v>13.0</v>
      </c>
      <c r="I593" s="287" t="s">
        <v>479</v>
      </c>
      <c r="J593" s="287" t="s">
        <v>532</v>
      </c>
      <c r="K593" s="287" t="s">
        <v>532</v>
      </c>
      <c r="L593" s="287" t="s">
        <v>479</v>
      </c>
      <c r="M593" s="287" t="s">
        <v>490</v>
      </c>
      <c r="N593" s="287" t="s">
        <v>561</v>
      </c>
      <c r="O593" s="287"/>
      <c r="P593" s="287"/>
      <c r="Q593" s="294" t="s">
        <v>32</v>
      </c>
      <c r="R593" s="294" t="s">
        <v>32</v>
      </c>
      <c r="S593" s="295" t="s">
        <v>32</v>
      </c>
      <c r="T593" s="294" t="s">
        <v>32</v>
      </c>
      <c r="U593" s="287" t="s">
        <v>377</v>
      </c>
      <c r="V593" s="295" t="s">
        <v>32</v>
      </c>
      <c r="W593" s="294" t="s">
        <v>32</v>
      </c>
      <c r="X593" s="294" t="s">
        <v>32</v>
      </c>
      <c r="Y593" s="295" t="s">
        <v>32</v>
      </c>
      <c r="Z593" s="294" t="s">
        <v>32</v>
      </c>
      <c r="AA593" s="294" t="s">
        <v>32</v>
      </c>
      <c r="AB593" s="295" t="s">
        <v>32</v>
      </c>
      <c r="AC593" s="296" t="s">
        <v>32</v>
      </c>
      <c r="AD593" s="287" t="s">
        <v>377</v>
      </c>
      <c r="AE593" s="287" t="s">
        <v>377</v>
      </c>
      <c r="AF593" s="288" t="s">
        <v>377</v>
      </c>
      <c r="AG593" s="294" t="s">
        <v>32</v>
      </c>
      <c r="AH593" s="294" t="s">
        <v>32</v>
      </c>
      <c r="AI593" s="295" t="s">
        <v>32</v>
      </c>
      <c r="AJ593" s="287" t="s">
        <v>18</v>
      </c>
      <c r="AK593" s="287" t="s">
        <v>377</v>
      </c>
      <c r="AL593" s="288" t="s">
        <v>377</v>
      </c>
      <c r="AM593" s="287" t="s">
        <v>377</v>
      </c>
      <c r="AN593" s="287" t="s">
        <v>377</v>
      </c>
      <c r="AO593" s="288" t="s">
        <v>377</v>
      </c>
      <c r="AP593" s="289" t="s">
        <v>377</v>
      </c>
      <c r="AQ593" s="294" t="s">
        <v>32</v>
      </c>
      <c r="AR593" s="294" t="s">
        <v>32</v>
      </c>
      <c r="AS593" s="295" t="s">
        <v>32</v>
      </c>
      <c r="AT593" s="294" t="s">
        <v>32</v>
      </c>
      <c r="AU593" s="287" t="s">
        <v>377</v>
      </c>
      <c r="AV593" s="295" t="s">
        <v>32</v>
      </c>
      <c r="AW593" s="294" t="s">
        <v>32</v>
      </c>
      <c r="AX593" s="294" t="s">
        <v>32</v>
      </c>
      <c r="AY593" s="295" t="s">
        <v>32</v>
      </c>
      <c r="AZ593" s="294" t="s">
        <v>32</v>
      </c>
      <c r="BA593" s="294" t="s">
        <v>32</v>
      </c>
      <c r="BB593" s="295" t="s">
        <v>32</v>
      </c>
      <c r="BC593" s="296" t="s">
        <v>32</v>
      </c>
      <c r="BD593" s="292"/>
    </row>
    <row r="594" ht="12.75" customHeight="1">
      <c r="A594" s="293">
        <v>45257.505530462964</v>
      </c>
      <c r="B594" s="286" t="s">
        <v>375</v>
      </c>
      <c r="C594" s="287" t="s">
        <v>559</v>
      </c>
      <c r="D594" s="285" t="s">
        <v>16</v>
      </c>
      <c r="E594" s="285" t="s">
        <v>476</v>
      </c>
      <c r="F594" s="287" t="s">
        <v>1143</v>
      </c>
      <c r="G594" s="285" t="s">
        <v>21</v>
      </c>
      <c r="H594" s="285">
        <v>11.0</v>
      </c>
      <c r="I594" s="287" t="s">
        <v>479</v>
      </c>
      <c r="J594" s="287" t="s">
        <v>532</v>
      </c>
      <c r="K594" s="287" t="s">
        <v>532</v>
      </c>
      <c r="L594" s="287" t="s">
        <v>479</v>
      </c>
      <c r="M594" s="287" t="s">
        <v>500</v>
      </c>
      <c r="N594" s="287" t="s">
        <v>561</v>
      </c>
      <c r="O594" s="287"/>
      <c r="P594" s="287"/>
      <c r="Q594" s="287" t="s">
        <v>377</v>
      </c>
      <c r="R594" s="287" t="s">
        <v>377</v>
      </c>
      <c r="S594" s="288" t="s">
        <v>377</v>
      </c>
      <c r="T594" s="287" t="s">
        <v>377</v>
      </c>
      <c r="U594" s="287" t="s">
        <v>18</v>
      </c>
      <c r="V594" s="288" t="s">
        <v>377</v>
      </c>
      <c r="W594" s="287" t="s">
        <v>377</v>
      </c>
      <c r="X594" s="287" t="s">
        <v>377</v>
      </c>
      <c r="Y594" s="288" t="s">
        <v>377</v>
      </c>
      <c r="Z594" s="287" t="s">
        <v>18</v>
      </c>
      <c r="AA594" s="287" t="s">
        <v>18</v>
      </c>
      <c r="AB594" s="288" t="s">
        <v>18</v>
      </c>
      <c r="AC594" s="289" t="s">
        <v>377</v>
      </c>
      <c r="AD594" s="287" t="s">
        <v>18</v>
      </c>
      <c r="AE594" s="287" t="s">
        <v>377</v>
      </c>
      <c r="AF594" s="288" t="s">
        <v>377</v>
      </c>
      <c r="AG594" s="287" t="s">
        <v>377</v>
      </c>
      <c r="AH594" s="287" t="s">
        <v>18</v>
      </c>
      <c r="AI594" s="288" t="s">
        <v>377</v>
      </c>
      <c r="AJ594" s="287" t="s">
        <v>377</v>
      </c>
      <c r="AK594" s="287" t="s">
        <v>377</v>
      </c>
      <c r="AL594" s="288" t="s">
        <v>377</v>
      </c>
      <c r="AM594" s="287" t="s">
        <v>377</v>
      </c>
      <c r="AN594" s="287" t="s">
        <v>377</v>
      </c>
      <c r="AO594" s="288" t="s">
        <v>377</v>
      </c>
      <c r="AP594" s="289" t="s">
        <v>377</v>
      </c>
      <c r="AQ594" s="287" t="s">
        <v>377</v>
      </c>
      <c r="AR594" s="287" t="s">
        <v>18</v>
      </c>
      <c r="AS594" s="288" t="s">
        <v>377</v>
      </c>
      <c r="AT594" s="294" t="s">
        <v>32</v>
      </c>
      <c r="AU594" s="287" t="s">
        <v>18</v>
      </c>
      <c r="AV594" s="288" t="s">
        <v>377</v>
      </c>
      <c r="AW594" s="287" t="s">
        <v>377</v>
      </c>
      <c r="AX594" s="287" t="s">
        <v>377</v>
      </c>
      <c r="AY594" s="288" t="s">
        <v>377</v>
      </c>
      <c r="AZ594" s="287" t="s">
        <v>18</v>
      </c>
      <c r="BA594" s="287" t="s">
        <v>377</v>
      </c>
      <c r="BB594" s="295" t="s">
        <v>32</v>
      </c>
      <c r="BC594" s="296" t="s">
        <v>32</v>
      </c>
      <c r="BD594" s="292"/>
    </row>
    <row r="595" ht="12.75" customHeight="1">
      <c r="A595" s="293">
        <v>45257.50786288195</v>
      </c>
      <c r="B595" s="286" t="s">
        <v>375</v>
      </c>
      <c r="C595" s="287" t="s">
        <v>559</v>
      </c>
      <c r="D595" s="285" t="s">
        <v>16</v>
      </c>
      <c r="E595" s="285" t="s">
        <v>476</v>
      </c>
      <c r="F595" s="287" t="s">
        <v>1144</v>
      </c>
      <c r="G595" s="285" t="s">
        <v>21</v>
      </c>
      <c r="H595" s="285">
        <v>11.0</v>
      </c>
      <c r="I595" s="287" t="s">
        <v>479</v>
      </c>
      <c r="J595" s="287" t="s">
        <v>532</v>
      </c>
      <c r="K595" s="287" t="s">
        <v>532</v>
      </c>
      <c r="L595" s="287" t="s">
        <v>497</v>
      </c>
      <c r="M595" s="292"/>
      <c r="N595" s="292"/>
      <c r="O595" s="292"/>
      <c r="P595" s="292"/>
      <c r="Q595" s="294" t="s">
        <v>32</v>
      </c>
      <c r="R595" s="294" t="s">
        <v>32</v>
      </c>
      <c r="S595" s="295" t="s">
        <v>32</v>
      </c>
      <c r="T595" s="287" t="s">
        <v>377</v>
      </c>
      <c r="U595" s="294" t="s">
        <v>32</v>
      </c>
      <c r="V595" s="295" t="s">
        <v>32</v>
      </c>
      <c r="W595" s="294" t="s">
        <v>32</v>
      </c>
      <c r="X595" s="287" t="s">
        <v>18</v>
      </c>
      <c r="Y595" s="288" t="s">
        <v>377</v>
      </c>
      <c r="Z595" s="287" t="s">
        <v>377</v>
      </c>
      <c r="AA595" s="287" t="s">
        <v>18</v>
      </c>
      <c r="AB595" s="288" t="s">
        <v>377</v>
      </c>
      <c r="AC595" s="289" t="s">
        <v>377</v>
      </c>
      <c r="AD595" s="294" t="s">
        <v>32</v>
      </c>
      <c r="AE595" s="287" t="s">
        <v>377</v>
      </c>
      <c r="AF595" s="295" t="s">
        <v>32</v>
      </c>
      <c r="AG595" s="294" t="s">
        <v>32</v>
      </c>
      <c r="AH595" s="287" t="s">
        <v>377</v>
      </c>
      <c r="AI595" s="295" t="s">
        <v>32</v>
      </c>
      <c r="AJ595" s="294" t="s">
        <v>32</v>
      </c>
      <c r="AK595" s="287" t="s">
        <v>18</v>
      </c>
      <c r="AL595" s="288" t="s">
        <v>377</v>
      </c>
      <c r="AM595" s="287" t="s">
        <v>18</v>
      </c>
      <c r="AN595" s="287" t="s">
        <v>18</v>
      </c>
      <c r="AO595" s="288" t="s">
        <v>18</v>
      </c>
      <c r="AP595" s="289" t="s">
        <v>377</v>
      </c>
      <c r="AQ595" s="287" t="s">
        <v>18</v>
      </c>
      <c r="AR595" s="287" t="s">
        <v>18</v>
      </c>
      <c r="AS595" s="288" t="s">
        <v>18</v>
      </c>
      <c r="AT595" s="294" t="s">
        <v>32</v>
      </c>
      <c r="AU595" s="294" t="s">
        <v>32</v>
      </c>
      <c r="AV595" s="295" t="s">
        <v>32</v>
      </c>
      <c r="AW595" s="294" t="s">
        <v>32</v>
      </c>
      <c r="AX595" s="294" t="s">
        <v>32</v>
      </c>
      <c r="AY595" s="295" t="s">
        <v>32</v>
      </c>
      <c r="AZ595" s="287" t="s">
        <v>18</v>
      </c>
      <c r="BA595" s="294" t="s">
        <v>32</v>
      </c>
      <c r="BB595" s="288" t="s">
        <v>377</v>
      </c>
      <c r="BC595" s="289" t="s">
        <v>377</v>
      </c>
      <c r="BD595" s="292"/>
    </row>
    <row r="596" ht="12.75" customHeight="1">
      <c r="A596" s="293">
        <v>45257.50893686342</v>
      </c>
      <c r="B596" s="286" t="s">
        <v>375</v>
      </c>
      <c r="C596" s="287" t="s">
        <v>559</v>
      </c>
      <c r="D596" s="285" t="s">
        <v>16</v>
      </c>
      <c r="E596" s="285" t="s">
        <v>476</v>
      </c>
      <c r="F596" s="287" t="s">
        <v>1145</v>
      </c>
      <c r="G596" s="285" t="s">
        <v>21</v>
      </c>
      <c r="H596" s="285">
        <v>12.0</v>
      </c>
      <c r="I596" s="287" t="s">
        <v>479</v>
      </c>
      <c r="J596" s="287" t="s">
        <v>532</v>
      </c>
      <c r="K596" s="287" t="s">
        <v>532</v>
      </c>
      <c r="L596" s="287" t="s">
        <v>497</v>
      </c>
      <c r="M596" s="292"/>
      <c r="N596" s="292"/>
      <c r="O596" s="292"/>
      <c r="P596" s="292"/>
      <c r="Q596" s="294" t="s">
        <v>32</v>
      </c>
      <c r="R596" s="294" t="s">
        <v>32</v>
      </c>
      <c r="S596" s="295" t="s">
        <v>32</v>
      </c>
      <c r="T596" s="294" t="s">
        <v>32</v>
      </c>
      <c r="U596" s="294" t="s">
        <v>32</v>
      </c>
      <c r="V596" s="295" t="s">
        <v>32</v>
      </c>
      <c r="W596" s="294" t="s">
        <v>32</v>
      </c>
      <c r="X596" s="294" t="s">
        <v>32</v>
      </c>
      <c r="Y596" s="295" t="s">
        <v>32</v>
      </c>
      <c r="Z596" s="287" t="s">
        <v>377</v>
      </c>
      <c r="AA596" s="287" t="s">
        <v>377</v>
      </c>
      <c r="AB596" s="288" t="s">
        <v>377</v>
      </c>
      <c r="AC596" s="296" t="s">
        <v>32</v>
      </c>
      <c r="AD596" s="287" t="s">
        <v>377</v>
      </c>
      <c r="AE596" s="287" t="s">
        <v>377</v>
      </c>
      <c r="AF596" s="288" t="s">
        <v>377</v>
      </c>
      <c r="AG596" s="287" t="s">
        <v>377</v>
      </c>
      <c r="AH596" s="287" t="s">
        <v>377</v>
      </c>
      <c r="AI596" s="288" t="s">
        <v>377</v>
      </c>
      <c r="AJ596" s="294" t="s">
        <v>32</v>
      </c>
      <c r="AK596" s="294" t="s">
        <v>32</v>
      </c>
      <c r="AL596" s="295" t="s">
        <v>32</v>
      </c>
      <c r="AM596" s="287" t="s">
        <v>377</v>
      </c>
      <c r="AN596" s="287" t="s">
        <v>377</v>
      </c>
      <c r="AO596" s="288" t="s">
        <v>377</v>
      </c>
      <c r="AP596" s="289" t="s">
        <v>377</v>
      </c>
      <c r="AQ596" s="294" t="s">
        <v>32</v>
      </c>
      <c r="AR596" s="287" t="s">
        <v>377</v>
      </c>
      <c r="AS596" s="295" t="s">
        <v>32</v>
      </c>
      <c r="AT596" s="294" t="s">
        <v>32</v>
      </c>
      <c r="AU596" s="294" t="s">
        <v>32</v>
      </c>
      <c r="AV596" s="295" t="s">
        <v>32</v>
      </c>
      <c r="AW596" s="294" t="s">
        <v>32</v>
      </c>
      <c r="AX596" s="294" t="s">
        <v>32</v>
      </c>
      <c r="AY596" s="295" t="s">
        <v>32</v>
      </c>
      <c r="AZ596" s="287" t="s">
        <v>377</v>
      </c>
      <c r="BA596" s="294" t="s">
        <v>32</v>
      </c>
      <c r="BB596" s="295" t="s">
        <v>32</v>
      </c>
      <c r="BC596" s="289" t="s">
        <v>377</v>
      </c>
      <c r="BD596" s="292"/>
    </row>
    <row r="597" ht="12.75" customHeight="1">
      <c r="A597" s="293">
        <v>45257.51212068287</v>
      </c>
      <c r="B597" s="286" t="s">
        <v>375</v>
      </c>
      <c r="C597" s="287" t="s">
        <v>559</v>
      </c>
      <c r="D597" s="285" t="s">
        <v>16</v>
      </c>
      <c r="E597" s="285" t="s">
        <v>476</v>
      </c>
      <c r="F597" s="287" t="s">
        <v>1146</v>
      </c>
      <c r="G597" s="285" t="s">
        <v>21</v>
      </c>
      <c r="H597" s="285">
        <v>12.0</v>
      </c>
      <c r="I597" s="287" t="s">
        <v>479</v>
      </c>
      <c r="J597" s="287" t="s">
        <v>532</v>
      </c>
      <c r="K597" s="287" t="s">
        <v>532</v>
      </c>
      <c r="L597" s="287" t="s">
        <v>479</v>
      </c>
      <c r="M597" s="287" t="s">
        <v>495</v>
      </c>
      <c r="N597" s="287" t="s">
        <v>561</v>
      </c>
      <c r="O597" s="287"/>
      <c r="P597" s="287"/>
      <c r="Q597" s="294" t="s">
        <v>32</v>
      </c>
      <c r="R597" s="287" t="s">
        <v>18</v>
      </c>
      <c r="S597" s="288" t="s">
        <v>377</v>
      </c>
      <c r="T597" s="287" t="s">
        <v>18</v>
      </c>
      <c r="U597" s="294" t="s">
        <v>32</v>
      </c>
      <c r="V597" s="288" t="s">
        <v>377</v>
      </c>
      <c r="W597" s="294" t="s">
        <v>32</v>
      </c>
      <c r="X597" s="287" t="s">
        <v>18</v>
      </c>
      <c r="Y597" s="288" t="s">
        <v>377</v>
      </c>
      <c r="Z597" s="287" t="s">
        <v>18</v>
      </c>
      <c r="AA597" s="287" t="s">
        <v>18</v>
      </c>
      <c r="AB597" s="288" t="s">
        <v>18</v>
      </c>
      <c r="AC597" s="289" t="s">
        <v>377</v>
      </c>
      <c r="AD597" s="294" t="s">
        <v>32</v>
      </c>
      <c r="AE597" s="287" t="s">
        <v>18</v>
      </c>
      <c r="AF597" s="288" t="s">
        <v>377</v>
      </c>
      <c r="AG597" s="294" t="s">
        <v>32</v>
      </c>
      <c r="AH597" s="287" t="s">
        <v>18</v>
      </c>
      <c r="AI597" s="288" t="s">
        <v>377</v>
      </c>
      <c r="AJ597" s="287" t="s">
        <v>18</v>
      </c>
      <c r="AK597" s="294" t="s">
        <v>32</v>
      </c>
      <c r="AL597" s="288" t="s">
        <v>377</v>
      </c>
      <c r="AM597" s="287" t="s">
        <v>18</v>
      </c>
      <c r="AN597" s="287" t="s">
        <v>18</v>
      </c>
      <c r="AO597" s="288" t="s">
        <v>18</v>
      </c>
      <c r="AP597" s="289" t="s">
        <v>377</v>
      </c>
      <c r="AQ597" s="294" t="s">
        <v>32</v>
      </c>
      <c r="AR597" s="287" t="s">
        <v>18</v>
      </c>
      <c r="AS597" s="288" t="s">
        <v>377</v>
      </c>
      <c r="AT597" s="294" t="s">
        <v>32</v>
      </c>
      <c r="AU597" s="294" t="s">
        <v>32</v>
      </c>
      <c r="AV597" s="295" t="s">
        <v>32</v>
      </c>
      <c r="AW597" s="294" t="s">
        <v>32</v>
      </c>
      <c r="AX597" s="287" t="s">
        <v>377</v>
      </c>
      <c r="AY597" s="295" t="s">
        <v>32</v>
      </c>
      <c r="AZ597" s="287" t="s">
        <v>377</v>
      </c>
      <c r="BA597" s="294" t="s">
        <v>32</v>
      </c>
      <c r="BB597" s="295" t="s">
        <v>32</v>
      </c>
      <c r="BC597" s="296" t="s">
        <v>32</v>
      </c>
      <c r="BD597" s="292"/>
    </row>
    <row r="598" ht="12.75" customHeight="1">
      <c r="A598" s="293">
        <v>44797.44342354167</v>
      </c>
      <c r="B598" s="297" t="s">
        <v>375</v>
      </c>
      <c r="C598" s="298" t="s">
        <v>567</v>
      </c>
      <c r="D598" s="298" t="s">
        <v>16</v>
      </c>
      <c r="E598" s="285" t="s">
        <v>476</v>
      </c>
      <c r="F598" s="292" t="s">
        <v>1147</v>
      </c>
      <c r="G598" s="298" t="s">
        <v>17</v>
      </c>
      <c r="H598" s="298">
        <v>12.0</v>
      </c>
      <c r="I598" s="292" t="s">
        <v>479</v>
      </c>
      <c r="J598" s="292" t="s">
        <v>532</v>
      </c>
      <c r="K598" s="287" t="s">
        <v>532</v>
      </c>
      <c r="L598" s="292" t="s">
        <v>479</v>
      </c>
      <c r="M598" s="292" t="s">
        <v>483</v>
      </c>
      <c r="N598" s="292"/>
      <c r="O598" s="292"/>
      <c r="P598" s="292"/>
      <c r="Q598" s="299" t="s">
        <v>32</v>
      </c>
      <c r="R598" s="292" t="s">
        <v>377</v>
      </c>
      <c r="S598" s="295" t="s">
        <v>32</v>
      </c>
      <c r="T598" s="292" t="s">
        <v>377</v>
      </c>
      <c r="U598" s="299" t="s">
        <v>32</v>
      </c>
      <c r="V598" s="295" t="s">
        <v>32</v>
      </c>
      <c r="W598" s="299" t="s">
        <v>32</v>
      </c>
      <c r="X598" s="299" t="s">
        <v>32</v>
      </c>
      <c r="Y598" s="295" t="s">
        <v>32</v>
      </c>
      <c r="Z598" s="292" t="s">
        <v>18</v>
      </c>
      <c r="AA598" s="299" t="s">
        <v>32</v>
      </c>
      <c r="AB598" s="288" t="s">
        <v>377</v>
      </c>
      <c r="AC598" s="296" t="s">
        <v>32</v>
      </c>
      <c r="AD598" s="292" t="s">
        <v>377</v>
      </c>
      <c r="AE598" s="299" t="s">
        <v>32</v>
      </c>
      <c r="AF598" s="295" t="s">
        <v>32</v>
      </c>
      <c r="AG598" s="292" t="s">
        <v>377</v>
      </c>
      <c r="AH598" s="292" t="s">
        <v>377</v>
      </c>
      <c r="AI598" s="288" t="s">
        <v>377</v>
      </c>
      <c r="AJ598" s="292" t="s">
        <v>377</v>
      </c>
      <c r="AK598" s="292" t="s">
        <v>377</v>
      </c>
      <c r="AL598" s="288" t="s">
        <v>377</v>
      </c>
      <c r="AM598" s="292" t="s">
        <v>377</v>
      </c>
      <c r="AN598" s="292" t="s">
        <v>377</v>
      </c>
      <c r="AO598" s="288" t="s">
        <v>377</v>
      </c>
      <c r="AP598" s="289" t="s">
        <v>377</v>
      </c>
      <c r="AQ598" s="299" t="s">
        <v>32</v>
      </c>
      <c r="AR598" s="299" t="s">
        <v>32</v>
      </c>
      <c r="AS598" s="295" t="s">
        <v>32</v>
      </c>
      <c r="AT598" s="292" t="s">
        <v>377</v>
      </c>
      <c r="AU598" s="292" t="s">
        <v>377</v>
      </c>
      <c r="AV598" s="288" t="s">
        <v>377</v>
      </c>
      <c r="AW598" s="292" t="s">
        <v>377</v>
      </c>
      <c r="AX598" s="292" t="s">
        <v>18</v>
      </c>
      <c r="AY598" s="288" t="s">
        <v>377</v>
      </c>
      <c r="AZ598" s="292" t="s">
        <v>377</v>
      </c>
      <c r="BA598" s="292" t="s">
        <v>18</v>
      </c>
      <c r="BB598" s="288" t="s">
        <v>377</v>
      </c>
      <c r="BC598" s="289" t="s">
        <v>377</v>
      </c>
      <c r="BD598" s="292"/>
    </row>
    <row r="599" ht="12.75" customHeight="1">
      <c r="A599" s="293">
        <v>44797.452113692125</v>
      </c>
      <c r="B599" s="297" t="s">
        <v>375</v>
      </c>
      <c r="C599" s="298" t="s">
        <v>567</v>
      </c>
      <c r="D599" s="298" t="s">
        <v>16</v>
      </c>
      <c r="E599" s="285" t="s">
        <v>476</v>
      </c>
      <c r="F599" s="292" t="s">
        <v>531</v>
      </c>
      <c r="G599" s="298" t="s">
        <v>17</v>
      </c>
      <c r="H599" s="298">
        <v>12.0</v>
      </c>
      <c r="I599" s="292" t="s">
        <v>479</v>
      </c>
      <c r="J599" s="292" t="s">
        <v>532</v>
      </c>
      <c r="K599" s="287" t="s">
        <v>532</v>
      </c>
      <c r="L599" s="292" t="s">
        <v>479</v>
      </c>
      <c r="M599" s="292" t="s">
        <v>483</v>
      </c>
      <c r="N599" s="292"/>
      <c r="O599" s="292"/>
      <c r="P599" s="292"/>
      <c r="Q599" s="292" t="s">
        <v>18</v>
      </c>
      <c r="R599" s="299" t="s">
        <v>32</v>
      </c>
      <c r="S599" s="288" t="s">
        <v>377</v>
      </c>
      <c r="T599" s="292" t="s">
        <v>18</v>
      </c>
      <c r="U599" s="299" t="s">
        <v>32</v>
      </c>
      <c r="V599" s="288" t="s">
        <v>377</v>
      </c>
      <c r="W599" s="299" t="s">
        <v>32</v>
      </c>
      <c r="X599" s="299" t="s">
        <v>32</v>
      </c>
      <c r="Y599" s="295" t="s">
        <v>32</v>
      </c>
      <c r="Z599" s="292" t="s">
        <v>18</v>
      </c>
      <c r="AA599" s="299" t="s">
        <v>32</v>
      </c>
      <c r="AB599" s="288" t="s">
        <v>377</v>
      </c>
      <c r="AC599" s="289" t="s">
        <v>377</v>
      </c>
      <c r="AD599" s="292" t="s">
        <v>377</v>
      </c>
      <c r="AE599" s="299" t="s">
        <v>32</v>
      </c>
      <c r="AF599" s="295" t="s">
        <v>32</v>
      </c>
      <c r="AG599" s="292" t="s">
        <v>377</v>
      </c>
      <c r="AH599" s="292" t="s">
        <v>18</v>
      </c>
      <c r="AI599" s="288" t="s">
        <v>377</v>
      </c>
      <c r="AJ599" s="292" t="s">
        <v>377</v>
      </c>
      <c r="AK599" s="292" t="s">
        <v>18</v>
      </c>
      <c r="AL599" s="288" t="s">
        <v>377</v>
      </c>
      <c r="AM599" s="292" t="s">
        <v>18</v>
      </c>
      <c r="AN599" s="292" t="s">
        <v>18</v>
      </c>
      <c r="AO599" s="288" t="s">
        <v>18</v>
      </c>
      <c r="AP599" s="289" t="s">
        <v>377</v>
      </c>
      <c r="AQ599" s="299" t="s">
        <v>32</v>
      </c>
      <c r="AR599" s="299" t="s">
        <v>32</v>
      </c>
      <c r="AS599" s="295" t="s">
        <v>32</v>
      </c>
      <c r="AT599" s="292" t="s">
        <v>377</v>
      </c>
      <c r="AU599" s="299" t="s">
        <v>32</v>
      </c>
      <c r="AV599" s="295" t="s">
        <v>32</v>
      </c>
      <c r="AW599" s="292" t="s">
        <v>18</v>
      </c>
      <c r="AX599" s="292" t="s">
        <v>18</v>
      </c>
      <c r="AY599" s="288" t="s">
        <v>18</v>
      </c>
      <c r="AZ599" s="292" t="s">
        <v>377</v>
      </c>
      <c r="BA599" s="292" t="s">
        <v>18</v>
      </c>
      <c r="BB599" s="288" t="s">
        <v>377</v>
      </c>
      <c r="BC599" s="289" t="s">
        <v>377</v>
      </c>
      <c r="BD599" s="292"/>
    </row>
    <row r="600" ht="12.75" customHeight="1">
      <c r="A600" s="293">
        <v>44797.46253645833</v>
      </c>
      <c r="B600" s="297" t="s">
        <v>375</v>
      </c>
      <c r="C600" s="298" t="s">
        <v>567</v>
      </c>
      <c r="D600" s="298" t="s">
        <v>16</v>
      </c>
      <c r="E600" s="285" t="s">
        <v>476</v>
      </c>
      <c r="F600" s="292" t="s">
        <v>1148</v>
      </c>
      <c r="G600" s="298" t="s">
        <v>21</v>
      </c>
      <c r="H600" s="298">
        <v>12.0</v>
      </c>
      <c r="I600" s="292" t="s">
        <v>479</v>
      </c>
      <c r="J600" s="292" t="s">
        <v>532</v>
      </c>
      <c r="K600" s="287" t="s">
        <v>532</v>
      </c>
      <c r="L600" s="292" t="s">
        <v>479</v>
      </c>
      <c r="M600" s="292" t="s">
        <v>483</v>
      </c>
      <c r="N600" s="292"/>
      <c r="O600" s="292"/>
      <c r="P600" s="292"/>
      <c r="Q600" s="299" t="s">
        <v>32</v>
      </c>
      <c r="R600" s="299" t="s">
        <v>32</v>
      </c>
      <c r="S600" s="295" t="s">
        <v>32</v>
      </c>
      <c r="T600" s="292" t="s">
        <v>18</v>
      </c>
      <c r="U600" s="299" t="s">
        <v>32</v>
      </c>
      <c r="V600" s="288" t="s">
        <v>377</v>
      </c>
      <c r="W600" s="299" t="s">
        <v>32</v>
      </c>
      <c r="X600" s="299" t="s">
        <v>32</v>
      </c>
      <c r="Y600" s="295" t="s">
        <v>32</v>
      </c>
      <c r="Z600" s="292" t="s">
        <v>18</v>
      </c>
      <c r="AA600" s="299" t="s">
        <v>32</v>
      </c>
      <c r="AB600" s="288" t="s">
        <v>377</v>
      </c>
      <c r="AC600" s="296" t="s">
        <v>32</v>
      </c>
      <c r="AD600" s="292" t="s">
        <v>377</v>
      </c>
      <c r="AE600" s="292" t="s">
        <v>377</v>
      </c>
      <c r="AF600" s="288" t="s">
        <v>377</v>
      </c>
      <c r="AG600" s="292" t="s">
        <v>18</v>
      </c>
      <c r="AH600" s="292" t="s">
        <v>18</v>
      </c>
      <c r="AI600" s="288" t="s">
        <v>18</v>
      </c>
      <c r="AJ600" s="292" t="s">
        <v>18</v>
      </c>
      <c r="AK600" s="292" t="s">
        <v>18</v>
      </c>
      <c r="AL600" s="288" t="s">
        <v>18</v>
      </c>
      <c r="AM600" s="292" t="s">
        <v>18</v>
      </c>
      <c r="AN600" s="292" t="s">
        <v>18</v>
      </c>
      <c r="AO600" s="288" t="s">
        <v>18</v>
      </c>
      <c r="AP600" s="289" t="s">
        <v>18</v>
      </c>
      <c r="AQ600" s="292" t="s">
        <v>377</v>
      </c>
      <c r="AR600" s="299" t="s">
        <v>32</v>
      </c>
      <c r="AS600" s="295" t="s">
        <v>32</v>
      </c>
      <c r="AT600" s="292" t="s">
        <v>377</v>
      </c>
      <c r="AU600" s="299" t="s">
        <v>32</v>
      </c>
      <c r="AV600" s="295" t="s">
        <v>32</v>
      </c>
      <c r="AW600" s="292" t="s">
        <v>18</v>
      </c>
      <c r="AX600" s="292" t="s">
        <v>18</v>
      </c>
      <c r="AY600" s="288" t="s">
        <v>18</v>
      </c>
      <c r="AZ600" s="292" t="s">
        <v>377</v>
      </c>
      <c r="BA600" s="292" t="s">
        <v>18</v>
      </c>
      <c r="BB600" s="288" t="s">
        <v>377</v>
      </c>
      <c r="BC600" s="296" t="s">
        <v>32</v>
      </c>
      <c r="BD600" s="292"/>
    </row>
    <row r="601" ht="12.75" customHeight="1">
      <c r="A601" s="293">
        <v>44797.46398042824</v>
      </c>
      <c r="B601" s="297" t="s">
        <v>375</v>
      </c>
      <c r="C601" s="298" t="s">
        <v>567</v>
      </c>
      <c r="D601" s="298" t="s">
        <v>16</v>
      </c>
      <c r="E601" s="285" t="s">
        <v>476</v>
      </c>
      <c r="F601" s="292" t="s">
        <v>1149</v>
      </c>
      <c r="G601" s="298" t="s">
        <v>17</v>
      </c>
      <c r="H601" s="298">
        <v>13.0</v>
      </c>
      <c r="I601" s="292" t="s">
        <v>479</v>
      </c>
      <c r="J601" s="292" t="s">
        <v>532</v>
      </c>
      <c r="K601" s="287" t="s">
        <v>532</v>
      </c>
      <c r="L601" s="292" t="s">
        <v>479</v>
      </c>
      <c r="M601" s="292" t="s">
        <v>483</v>
      </c>
      <c r="N601" s="292"/>
      <c r="O601" s="292"/>
      <c r="P601" s="292"/>
      <c r="Q601" s="299" t="s">
        <v>32</v>
      </c>
      <c r="R601" s="299" t="s">
        <v>32</v>
      </c>
      <c r="S601" s="295" t="s">
        <v>32</v>
      </c>
      <c r="T601" s="299" t="s">
        <v>32</v>
      </c>
      <c r="U601" s="299" t="s">
        <v>32</v>
      </c>
      <c r="V601" s="295" t="s">
        <v>32</v>
      </c>
      <c r="W601" s="299" t="s">
        <v>32</v>
      </c>
      <c r="X601" s="299" t="s">
        <v>32</v>
      </c>
      <c r="Y601" s="295" t="s">
        <v>32</v>
      </c>
      <c r="Z601" s="299" t="s">
        <v>32</v>
      </c>
      <c r="AA601" s="299" t="s">
        <v>32</v>
      </c>
      <c r="AB601" s="295" t="s">
        <v>32</v>
      </c>
      <c r="AC601" s="296" t="s">
        <v>32</v>
      </c>
      <c r="AD601" s="299" t="s">
        <v>32</v>
      </c>
      <c r="AE601" s="299" t="s">
        <v>32</v>
      </c>
      <c r="AF601" s="295" t="s">
        <v>32</v>
      </c>
      <c r="AG601" s="299" t="s">
        <v>32</v>
      </c>
      <c r="AH601" s="299" t="s">
        <v>32</v>
      </c>
      <c r="AI601" s="295" t="s">
        <v>32</v>
      </c>
      <c r="AJ601" s="299" t="s">
        <v>32</v>
      </c>
      <c r="AK601" s="299" t="s">
        <v>32</v>
      </c>
      <c r="AL601" s="295" t="s">
        <v>32</v>
      </c>
      <c r="AM601" s="299" t="s">
        <v>32</v>
      </c>
      <c r="AN601" s="299" t="s">
        <v>32</v>
      </c>
      <c r="AO601" s="295" t="s">
        <v>32</v>
      </c>
      <c r="AP601" s="296" t="s">
        <v>32</v>
      </c>
      <c r="AQ601" s="299" t="s">
        <v>32</v>
      </c>
      <c r="AR601" s="299" t="s">
        <v>32</v>
      </c>
      <c r="AS601" s="295" t="s">
        <v>32</v>
      </c>
      <c r="AT601" s="299" t="s">
        <v>32</v>
      </c>
      <c r="AU601" s="299" t="s">
        <v>32</v>
      </c>
      <c r="AV601" s="295" t="s">
        <v>32</v>
      </c>
      <c r="AW601" s="299" t="s">
        <v>32</v>
      </c>
      <c r="AX601" s="299" t="s">
        <v>32</v>
      </c>
      <c r="AY601" s="295" t="s">
        <v>32</v>
      </c>
      <c r="AZ601" s="299" t="s">
        <v>32</v>
      </c>
      <c r="BA601" s="299" t="s">
        <v>32</v>
      </c>
      <c r="BB601" s="295" t="s">
        <v>32</v>
      </c>
      <c r="BC601" s="296" t="s">
        <v>32</v>
      </c>
      <c r="BD601" s="292"/>
    </row>
    <row r="602" ht="12.75" customHeight="1">
      <c r="A602" s="293">
        <v>44797.475990844905</v>
      </c>
      <c r="B602" s="297" t="s">
        <v>375</v>
      </c>
      <c r="C602" s="298" t="s">
        <v>567</v>
      </c>
      <c r="D602" s="298" t="s">
        <v>16</v>
      </c>
      <c r="E602" s="285" t="s">
        <v>476</v>
      </c>
      <c r="F602" s="292" t="s">
        <v>1150</v>
      </c>
      <c r="G602" s="298" t="s">
        <v>21</v>
      </c>
      <c r="H602" s="298">
        <v>13.0</v>
      </c>
      <c r="I602" s="292" t="s">
        <v>479</v>
      </c>
      <c r="J602" s="292" t="s">
        <v>532</v>
      </c>
      <c r="K602" s="287" t="s">
        <v>532</v>
      </c>
      <c r="L602" s="292" t="s">
        <v>479</v>
      </c>
      <c r="M602" s="292" t="s">
        <v>490</v>
      </c>
      <c r="N602" s="292"/>
      <c r="O602" s="292"/>
      <c r="P602" s="292"/>
      <c r="Q602" s="299" t="s">
        <v>32</v>
      </c>
      <c r="R602" s="299" t="s">
        <v>32</v>
      </c>
      <c r="S602" s="295" t="s">
        <v>32</v>
      </c>
      <c r="T602" s="292" t="s">
        <v>377</v>
      </c>
      <c r="U602" s="299" t="s">
        <v>32</v>
      </c>
      <c r="V602" s="295" t="s">
        <v>32</v>
      </c>
      <c r="W602" s="299" t="s">
        <v>32</v>
      </c>
      <c r="X602" s="299" t="s">
        <v>32</v>
      </c>
      <c r="Y602" s="295" t="s">
        <v>32</v>
      </c>
      <c r="Z602" s="292" t="s">
        <v>377</v>
      </c>
      <c r="AA602" s="299" t="s">
        <v>32</v>
      </c>
      <c r="AB602" s="295" t="s">
        <v>32</v>
      </c>
      <c r="AC602" s="296" t="s">
        <v>32</v>
      </c>
      <c r="AD602" s="292" t="s">
        <v>377</v>
      </c>
      <c r="AE602" s="292" t="s">
        <v>377</v>
      </c>
      <c r="AF602" s="288" t="s">
        <v>377</v>
      </c>
      <c r="AG602" s="299" t="s">
        <v>32</v>
      </c>
      <c r="AH602" s="299" t="s">
        <v>32</v>
      </c>
      <c r="AI602" s="295" t="s">
        <v>32</v>
      </c>
      <c r="AJ602" s="299" t="s">
        <v>32</v>
      </c>
      <c r="AK602" s="292" t="s">
        <v>377</v>
      </c>
      <c r="AL602" s="295" t="s">
        <v>32</v>
      </c>
      <c r="AM602" s="299" t="s">
        <v>32</v>
      </c>
      <c r="AN602" s="292" t="s">
        <v>377</v>
      </c>
      <c r="AO602" s="295" t="s">
        <v>32</v>
      </c>
      <c r="AP602" s="296" t="s">
        <v>32</v>
      </c>
      <c r="AQ602" s="299" t="s">
        <v>32</v>
      </c>
      <c r="AR602" s="299" t="s">
        <v>32</v>
      </c>
      <c r="AS602" s="295" t="s">
        <v>32</v>
      </c>
      <c r="AT602" s="299" t="s">
        <v>32</v>
      </c>
      <c r="AU602" s="292" t="s">
        <v>377</v>
      </c>
      <c r="AV602" s="295" t="s">
        <v>32</v>
      </c>
      <c r="AW602" s="299" t="s">
        <v>32</v>
      </c>
      <c r="AX602" s="292" t="s">
        <v>377</v>
      </c>
      <c r="AY602" s="295" t="s">
        <v>32</v>
      </c>
      <c r="AZ602" s="299" t="s">
        <v>32</v>
      </c>
      <c r="BA602" s="299" t="s">
        <v>32</v>
      </c>
      <c r="BB602" s="288" t="s">
        <v>377</v>
      </c>
      <c r="BC602" s="289" t="s">
        <v>377</v>
      </c>
      <c r="BD602" s="292"/>
    </row>
    <row r="603" ht="12.75" customHeight="1">
      <c r="A603" s="293">
        <v>44797.671221041666</v>
      </c>
      <c r="B603" s="297" t="s">
        <v>375</v>
      </c>
      <c r="C603" s="298" t="s">
        <v>567</v>
      </c>
      <c r="D603" s="298" t="s">
        <v>16</v>
      </c>
      <c r="E603" s="285" t="s">
        <v>476</v>
      </c>
      <c r="F603" s="292" t="s">
        <v>1151</v>
      </c>
      <c r="G603" s="298" t="s">
        <v>17</v>
      </c>
      <c r="H603" s="298">
        <v>11.0</v>
      </c>
      <c r="I603" s="292" t="s">
        <v>479</v>
      </c>
      <c r="J603" s="292" t="s">
        <v>532</v>
      </c>
      <c r="K603" s="287" t="s">
        <v>532</v>
      </c>
      <c r="L603" s="292" t="s">
        <v>479</v>
      </c>
      <c r="M603" s="292" t="s">
        <v>483</v>
      </c>
      <c r="N603" s="292"/>
      <c r="O603" s="292"/>
      <c r="P603" s="292"/>
      <c r="Q603" s="299" t="s">
        <v>32</v>
      </c>
      <c r="R603" s="292" t="s">
        <v>377</v>
      </c>
      <c r="S603" s="295" t="s">
        <v>32</v>
      </c>
      <c r="T603" s="292" t="s">
        <v>377</v>
      </c>
      <c r="U603" s="299" t="s">
        <v>32</v>
      </c>
      <c r="V603" s="295" t="s">
        <v>32</v>
      </c>
      <c r="W603" s="299" t="s">
        <v>32</v>
      </c>
      <c r="X603" s="292" t="s">
        <v>377</v>
      </c>
      <c r="Y603" s="295" t="s">
        <v>32</v>
      </c>
      <c r="Z603" s="299" t="s">
        <v>32</v>
      </c>
      <c r="AA603" s="299" t="s">
        <v>32</v>
      </c>
      <c r="AB603" s="295" t="s">
        <v>32</v>
      </c>
      <c r="AC603" s="296" t="s">
        <v>32</v>
      </c>
      <c r="AD603" s="292" t="s">
        <v>377</v>
      </c>
      <c r="AE603" s="299" t="s">
        <v>32</v>
      </c>
      <c r="AF603" s="295" t="s">
        <v>32</v>
      </c>
      <c r="AG603" s="299" t="s">
        <v>32</v>
      </c>
      <c r="AH603" s="292" t="s">
        <v>377</v>
      </c>
      <c r="AI603" s="295" t="s">
        <v>32</v>
      </c>
      <c r="AJ603" s="292" t="s">
        <v>377</v>
      </c>
      <c r="AK603" s="292" t="s">
        <v>377</v>
      </c>
      <c r="AL603" s="288" t="s">
        <v>377</v>
      </c>
      <c r="AM603" s="292" t="s">
        <v>377</v>
      </c>
      <c r="AN603" s="299" t="s">
        <v>32</v>
      </c>
      <c r="AO603" s="295" t="s">
        <v>32</v>
      </c>
      <c r="AP603" s="289" t="s">
        <v>377</v>
      </c>
      <c r="AQ603" s="299" t="s">
        <v>32</v>
      </c>
      <c r="AR603" s="299" t="s">
        <v>32</v>
      </c>
      <c r="AS603" s="295" t="s">
        <v>32</v>
      </c>
      <c r="AT603" s="299" t="s">
        <v>32</v>
      </c>
      <c r="AU603" s="299" t="s">
        <v>32</v>
      </c>
      <c r="AV603" s="295" t="s">
        <v>32</v>
      </c>
      <c r="AW603" s="299" t="s">
        <v>32</v>
      </c>
      <c r="AX603" s="299" t="s">
        <v>32</v>
      </c>
      <c r="AY603" s="295" t="s">
        <v>32</v>
      </c>
      <c r="AZ603" s="292" t="s">
        <v>377</v>
      </c>
      <c r="BA603" s="299" t="s">
        <v>32</v>
      </c>
      <c r="BB603" s="288" t="s">
        <v>377</v>
      </c>
      <c r="BC603" s="289" t="s">
        <v>377</v>
      </c>
      <c r="BD603" s="292"/>
    </row>
    <row r="604" ht="12.75" customHeight="1">
      <c r="A604" s="293">
        <v>44797.741719537036</v>
      </c>
      <c r="B604" s="297" t="s">
        <v>375</v>
      </c>
      <c r="C604" s="298" t="s">
        <v>567</v>
      </c>
      <c r="D604" s="298" t="s">
        <v>16</v>
      </c>
      <c r="E604" s="285" t="s">
        <v>476</v>
      </c>
      <c r="F604" s="292" t="s">
        <v>1152</v>
      </c>
      <c r="G604" s="298" t="s">
        <v>17</v>
      </c>
      <c r="H604" s="298">
        <v>12.0</v>
      </c>
      <c r="I604" s="292" t="s">
        <v>479</v>
      </c>
      <c r="J604" s="292" t="s">
        <v>532</v>
      </c>
      <c r="K604" s="287" t="s">
        <v>532</v>
      </c>
      <c r="L604" s="292" t="s">
        <v>479</v>
      </c>
      <c r="M604" s="292" t="s">
        <v>500</v>
      </c>
      <c r="N604" s="292"/>
      <c r="O604" s="292"/>
      <c r="P604" s="292"/>
      <c r="Q604" s="299" t="s">
        <v>32</v>
      </c>
      <c r="R604" s="299" t="s">
        <v>32</v>
      </c>
      <c r="S604" s="295" t="s">
        <v>32</v>
      </c>
      <c r="T604" s="292" t="s">
        <v>377</v>
      </c>
      <c r="U604" s="299" t="s">
        <v>32</v>
      </c>
      <c r="V604" s="295" t="s">
        <v>32</v>
      </c>
      <c r="W604" s="299" t="s">
        <v>32</v>
      </c>
      <c r="X604" s="292" t="s">
        <v>18</v>
      </c>
      <c r="Y604" s="288" t="s">
        <v>377</v>
      </c>
      <c r="Z604" s="299" t="s">
        <v>32</v>
      </c>
      <c r="AA604" s="292" t="s">
        <v>377</v>
      </c>
      <c r="AB604" s="295" t="s">
        <v>32</v>
      </c>
      <c r="AC604" s="296" t="s">
        <v>32</v>
      </c>
      <c r="AD604" s="299" t="s">
        <v>32</v>
      </c>
      <c r="AE604" s="299" t="s">
        <v>32</v>
      </c>
      <c r="AF604" s="295" t="s">
        <v>32</v>
      </c>
      <c r="AG604" s="292" t="s">
        <v>377</v>
      </c>
      <c r="AH604" s="292" t="s">
        <v>18</v>
      </c>
      <c r="AI604" s="288" t="s">
        <v>377</v>
      </c>
      <c r="AJ604" s="292" t="s">
        <v>18</v>
      </c>
      <c r="AK604" s="292" t="s">
        <v>377</v>
      </c>
      <c r="AL604" s="288" t="s">
        <v>377</v>
      </c>
      <c r="AM604" s="292" t="s">
        <v>18</v>
      </c>
      <c r="AN604" s="292" t="s">
        <v>377</v>
      </c>
      <c r="AO604" s="288" t="s">
        <v>377</v>
      </c>
      <c r="AP604" s="289" t="s">
        <v>377</v>
      </c>
      <c r="AQ604" s="292" t="s">
        <v>377</v>
      </c>
      <c r="AR604" s="299" t="s">
        <v>32</v>
      </c>
      <c r="AS604" s="295" t="s">
        <v>32</v>
      </c>
      <c r="AT604" s="299" t="s">
        <v>32</v>
      </c>
      <c r="AU604" s="292" t="s">
        <v>377</v>
      </c>
      <c r="AV604" s="295" t="s">
        <v>32</v>
      </c>
      <c r="AW604" s="299" t="s">
        <v>32</v>
      </c>
      <c r="AX604" s="299" t="s">
        <v>32</v>
      </c>
      <c r="AY604" s="295" t="s">
        <v>32</v>
      </c>
      <c r="AZ604" s="292" t="s">
        <v>377</v>
      </c>
      <c r="BA604" s="299" t="s">
        <v>32</v>
      </c>
      <c r="BB604" s="295" t="s">
        <v>32</v>
      </c>
      <c r="BC604" s="296" t="s">
        <v>32</v>
      </c>
      <c r="BD604" s="292"/>
    </row>
    <row r="605" ht="12.75" customHeight="1">
      <c r="A605" s="293">
        <v>44797.75207800926</v>
      </c>
      <c r="B605" s="297" t="s">
        <v>375</v>
      </c>
      <c r="C605" s="298" t="s">
        <v>567</v>
      </c>
      <c r="D605" s="298" t="s">
        <v>16</v>
      </c>
      <c r="E605" s="285" t="s">
        <v>476</v>
      </c>
      <c r="F605" s="292" t="s">
        <v>1153</v>
      </c>
      <c r="G605" s="298" t="s">
        <v>21</v>
      </c>
      <c r="H605" s="298">
        <v>12.0</v>
      </c>
      <c r="I605" s="292" t="s">
        <v>479</v>
      </c>
      <c r="J605" s="292" t="s">
        <v>532</v>
      </c>
      <c r="K605" s="287" t="s">
        <v>532</v>
      </c>
      <c r="L605" s="292" t="s">
        <v>479</v>
      </c>
      <c r="M605" s="292" t="s">
        <v>481</v>
      </c>
      <c r="N605" s="292"/>
      <c r="O605" s="292"/>
      <c r="P605" s="292"/>
      <c r="Q605" s="299" t="s">
        <v>32</v>
      </c>
      <c r="R605" s="299" t="s">
        <v>32</v>
      </c>
      <c r="S605" s="295" t="s">
        <v>32</v>
      </c>
      <c r="T605" s="299" t="s">
        <v>32</v>
      </c>
      <c r="U605" s="299" t="s">
        <v>32</v>
      </c>
      <c r="V605" s="295" t="s">
        <v>32</v>
      </c>
      <c r="W605" s="292" t="s">
        <v>377</v>
      </c>
      <c r="X605" s="292" t="s">
        <v>377</v>
      </c>
      <c r="Y605" s="288" t="s">
        <v>377</v>
      </c>
      <c r="Z605" s="299" t="s">
        <v>32</v>
      </c>
      <c r="AA605" s="292" t="s">
        <v>377</v>
      </c>
      <c r="AB605" s="295" t="s">
        <v>32</v>
      </c>
      <c r="AC605" s="296" t="s">
        <v>32</v>
      </c>
      <c r="AD605" s="299" t="s">
        <v>32</v>
      </c>
      <c r="AE605" s="299" t="s">
        <v>32</v>
      </c>
      <c r="AF605" s="295" t="s">
        <v>32</v>
      </c>
      <c r="AG605" s="299" t="s">
        <v>32</v>
      </c>
      <c r="AH605" s="292" t="s">
        <v>377</v>
      </c>
      <c r="AI605" s="295" t="s">
        <v>32</v>
      </c>
      <c r="AJ605" s="299" t="s">
        <v>32</v>
      </c>
      <c r="AK605" s="299" t="s">
        <v>32</v>
      </c>
      <c r="AL605" s="295" t="s">
        <v>32</v>
      </c>
      <c r="AM605" s="299" t="s">
        <v>32</v>
      </c>
      <c r="AN605" s="299" t="s">
        <v>32</v>
      </c>
      <c r="AO605" s="295" t="s">
        <v>32</v>
      </c>
      <c r="AP605" s="296" t="s">
        <v>32</v>
      </c>
      <c r="AQ605" s="299" t="s">
        <v>32</v>
      </c>
      <c r="AR605" s="299" t="s">
        <v>32</v>
      </c>
      <c r="AS605" s="295" t="s">
        <v>32</v>
      </c>
      <c r="AT605" s="299" t="s">
        <v>32</v>
      </c>
      <c r="AU605" s="299" t="s">
        <v>32</v>
      </c>
      <c r="AV605" s="295" t="s">
        <v>32</v>
      </c>
      <c r="AW605" s="299" t="s">
        <v>32</v>
      </c>
      <c r="AX605" s="299" t="s">
        <v>32</v>
      </c>
      <c r="AY605" s="295" t="s">
        <v>32</v>
      </c>
      <c r="AZ605" s="299" t="s">
        <v>32</v>
      </c>
      <c r="BA605" s="299" t="s">
        <v>32</v>
      </c>
      <c r="BB605" s="295" t="s">
        <v>32</v>
      </c>
      <c r="BC605" s="296" t="s">
        <v>32</v>
      </c>
      <c r="BD605" s="292"/>
    </row>
    <row r="606" ht="12.75" customHeight="1">
      <c r="A606" s="293">
        <v>44797.762456666664</v>
      </c>
      <c r="B606" s="297" t="s">
        <v>375</v>
      </c>
      <c r="C606" s="298" t="s">
        <v>567</v>
      </c>
      <c r="D606" s="298" t="s">
        <v>16</v>
      </c>
      <c r="E606" s="285" t="s">
        <v>476</v>
      </c>
      <c r="F606" s="292" t="s">
        <v>533</v>
      </c>
      <c r="G606" s="298" t="s">
        <v>17</v>
      </c>
      <c r="H606" s="298">
        <v>11.0</v>
      </c>
      <c r="I606" s="292" t="s">
        <v>479</v>
      </c>
      <c r="J606" s="292" t="s">
        <v>532</v>
      </c>
      <c r="K606" s="287" t="s">
        <v>532</v>
      </c>
      <c r="L606" s="292" t="s">
        <v>479</v>
      </c>
      <c r="M606" s="292" t="s">
        <v>483</v>
      </c>
      <c r="N606" s="292"/>
      <c r="O606" s="292"/>
      <c r="P606" s="292"/>
      <c r="Q606" s="299" t="s">
        <v>32</v>
      </c>
      <c r="R606" s="292" t="s">
        <v>18</v>
      </c>
      <c r="S606" s="288" t="s">
        <v>377</v>
      </c>
      <c r="T606" s="292" t="s">
        <v>377</v>
      </c>
      <c r="U606" s="299" t="s">
        <v>32</v>
      </c>
      <c r="V606" s="295" t="s">
        <v>32</v>
      </c>
      <c r="W606" s="299" t="s">
        <v>32</v>
      </c>
      <c r="X606" s="292" t="s">
        <v>377</v>
      </c>
      <c r="Y606" s="295" t="s">
        <v>32</v>
      </c>
      <c r="Z606" s="292" t="s">
        <v>377</v>
      </c>
      <c r="AA606" s="292" t="s">
        <v>18</v>
      </c>
      <c r="AB606" s="288" t="s">
        <v>377</v>
      </c>
      <c r="AC606" s="289" t="s">
        <v>377</v>
      </c>
      <c r="AD606" s="299" t="s">
        <v>32</v>
      </c>
      <c r="AE606" s="299" t="s">
        <v>32</v>
      </c>
      <c r="AF606" s="295" t="s">
        <v>32</v>
      </c>
      <c r="AG606" s="292" t="s">
        <v>377</v>
      </c>
      <c r="AH606" s="292" t="s">
        <v>377</v>
      </c>
      <c r="AI606" s="288" t="s">
        <v>377</v>
      </c>
      <c r="AJ606" s="292" t="s">
        <v>377</v>
      </c>
      <c r="AK606" s="292" t="s">
        <v>377</v>
      </c>
      <c r="AL606" s="288" t="s">
        <v>377</v>
      </c>
      <c r="AM606" s="292" t="s">
        <v>18</v>
      </c>
      <c r="AN606" s="292" t="s">
        <v>18</v>
      </c>
      <c r="AO606" s="288" t="s">
        <v>18</v>
      </c>
      <c r="AP606" s="289" t="s">
        <v>377</v>
      </c>
      <c r="AQ606" s="292" t="s">
        <v>377</v>
      </c>
      <c r="AR606" s="292" t="s">
        <v>377</v>
      </c>
      <c r="AS606" s="288" t="s">
        <v>377</v>
      </c>
      <c r="AT606" s="299" t="s">
        <v>32</v>
      </c>
      <c r="AU606" s="299" t="s">
        <v>32</v>
      </c>
      <c r="AV606" s="295" t="s">
        <v>32</v>
      </c>
      <c r="AW606" s="292" t="s">
        <v>377</v>
      </c>
      <c r="AX606" s="292" t="s">
        <v>377</v>
      </c>
      <c r="AY606" s="288" t="s">
        <v>377</v>
      </c>
      <c r="AZ606" s="292" t="s">
        <v>377</v>
      </c>
      <c r="BA606" s="299" t="s">
        <v>32</v>
      </c>
      <c r="BB606" s="288" t="s">
        <v>377</v>
      </c>
      <c r="BC606" s="289" t="s">
        <v>377</v>
      </c>
      <c r="BD606" s="292"/>
    </row>
    <row r="607" ht="12.75" customHeight="1">
      <c r="A607" s="293">
        <v>44797.7692746875</v>
      </c>
      <c r="B607" s="297" t="s">
        <v>375</v>
      </c>
      <c r="C607" s="298" t="s">
        <v>567</v>
      </c>
      <c r="D607" s="298" t="s">
        <v>16</v>
      </c>
      <c r="E607" s="285" t="s">
        <v>476</v>
      </c>
      <c r="F607" s="292" t="s">
        <v>1154</v>
      </c>
      <c r="G607" s="298" t="s">
        <v>17</v>
      </c>
      <c r="H607" s="298">
        <v>11.0</v>
      </c>
      <c r="I607" s="292" t="s">
        <v>479</v>
      </c>
      <c r="J607" s="292" t="s">
        <v>532</v>
      </c>
      <c r="K607" s="287" t="s">
        <v>532</v>
      </c>
      <c r="L607" s="292" t="s">
        <v>479</v>
      </c>
      <c r="M607" s="292" t="s">
        <v>483</v>
      </c>
      <c r="N607" s="292"/>
      <c r="O607" s="292"/>
      <c r="P607" s="292"/>
      <c r="Q607" s="299" t="s">
        <v>32</v>
      </c>
      <c r="R607" s="299" t="s">
        <v>32</v>
      </c>
      <c r="S607" s="295" t="s">
        <v>32</v>
      </c>
      <c r="T607" s="299" t="s">
        <v>32</v>
      </c>
      <c r="U607" s="299" t="s">
        <v>32</v>
      </c>
      <c r="V607" s="295" t="s">
        <v>32</v>
      </c>
      <c r="W607" s="292" t="s">
        <v>377</v>
      </c>
      <c r="X607" s="292" t="s">
        <v>377</v>
      </c>
      <c r="Y607" s="288" t="s">
        <v>377</v>
      </c>
      <c r="Z607" s="299" t="s">
        <v>32</v>
      </c>
      <c r="AA607" s="292" t="s">
        <v>377</v>
      </c>
      <c r="AB607" s="295" t="s">
        <v>32</v>
      </c>
      <c r="AC607" s="296" t="s">
        <v>32</v>
      </c>
      <c r="AD607" s="299" t="s">
        <v>32</v>
      </c>
      <c r="AE607" s="292" t="s">
        <v>377</v>
      </c>
      <c r="AF607" s="295" t="s">
        <v>32</v>
      </c>
      <c r="AG607" s="292" t="s">
        <v>377</v>
      </c>
      <c r="AH607" s="292" t="s">
        <v>377</v>
      </c>
      <c r="AI607" s="288" t="s">
        <v>377</v>
      </c>
      <c r="AJ607" s="292" t="s">
        <v>377</v>
      </c>
      <c r="AK607" s="292" t="s">
        <v>377</v>
      </c>
      <c r="AL607" s="288" t="s">
        <v>377</v>
      </c>
      <c r="AM607" s="292" t="s">
        <v>18</v>
      </c>
      <c r="AN607" s="292" t="s">
        <v>18</v>
      </c>
      <c r="AO607" s="288" t="s">
        <v>18</v>
      </c>
      <c r="AP607" s="289" t="s">
        <v>377</v>
      </c>
      <c r="AQ607" s="299" t="s">
        <v>32</v>
      </c>
      <c r="AR607" s="299" t="s">
        <v>32</v>
      </c>
      <c r="AS607" s="295" t="s">
        <v>32</v>
      </c>
      <c r="AT607" s="299" t="s">
        <v>32</v>
      </c>
      <c r="AU607" s="299" t="s">
        <v>32</v>
      </c>
      <c r="AV607" s="295" t="s">
        <v>32</v>
      </c>
      <c r="AW607" s="299" t="s">
        <v>32</v>
      </c>
      <c r="AX607" s="299" t="s">
        <v>32</v>
      </c>
      <c r="AY607" s="295" t="s">
        <v>32</v>
      </c>
      <c r="AZ607" s="299" t="s">
        <v>32</v>
      </c>
      <c r="BA607" s="299" t="s">
        <v>32</v>
      </c>
      <c r="BB607" s="288" t="s">
        <v>377</v>
      </c>
      <c r="BC607" s="289" t="s">
        <v>377</v>
      </c>
      <c r="BD607" s="292"/>
    </row>
    <row r="608" ht="12.75" customHeight="1">
      <c r="A608" s="293">
        <v>44797.78842571759</v>
      </c>
      <c r="B608" s="297" t="s">
        <v>375</v>
      </c>
      <c r="C608" s="298" t="s">
        <v>567</v>
      </c>
      <c r="D608" s="298" t="s">
        <v>16</v>
      </c>
      <c r="E608" s="285" t="s">
        <v>476</v>
      </c>
      <c r="F608" s="292" t="s">
        <v>1155</v>
      </c>
      <c r="G608" s="298" t="s">
        <v>17</v>
      </c>
      <c r="H608" s="298">
        <v>12.0</v>
      </c>
      <c r="I608" s="292" t="s">
        <v>479</v>
      </c>
      <c r="J608" s="292" t="s">
        <v>532</v>
      </c>
      <c r="K608" s="287" t="s">
        <v>532</v>
      </c>
      <c r="L608" s="292" t="s">
        <v>479</v>
      </c>
      <c r="M608" s="292" t="s">
        <v>481</v>
      </c>
      <c r="N608" s="292"/>
      <c r="O608" s="292"/>
      <c r="P608" s="292"/>
      <c r="Q608" s="299" t="s">
        <v>32</v>
      </c>
      <c r="R608" s="299" t="s">
        <v>32</v>
      </c>
      <c r="S608" s="295" t="s">
        <v>32</v>
      </c>
      <c r="T608" s="292" t="s">
        <v>18</v>
      </c>
      <c r="U608" s="299" t="s">
        <v>32</v>
      </c>
      <c r="V608" s="288" t="s">
        <v>377</v>
      </c>
      <c r="W608" s="299" t="s">
        <v>32</v>
      </c>
      <c r="X608" s="292" t="s">
        <v>18</v>
      </c>
      <c r="Y608" s="288" t="s">
        <v>377</v>
      </c>
      <c r="Z608" s="299" t="s">
        <v>32</v>
      </c>
      <c r="AA608" s="299" t="s">
        <v>32</v>
      </c>
      <c r="AB608" s="295" t="s">
        <v>32</v>
      </c>
      <c r="AC608" s="296" t="s">
        <v>32</v>
      </c>
      <c r="AD608" s="299" t="s">
        <v>32</v>
      </c>
      <c r="AE608" s="299" t="s">
        <v>32</v>
      </c>
      <c r="AF608" s="295" t="s">
        <v>32</v>
      </c>
      <c r="AG608" s="292" t="s">
        <v>377</v>
      </c>
      <c r="AH608" s="292" t="s">
        <v>18</v>
      </c>
      <c r="AI608" s="288" t="s">
        <v>377</v>
      </c>
      <c r="AJ608" s="292" t="s">
        <v>18</v>
      </c>
      <c r="AK608" s="292" t="s">
        <v>18</v>
      </c>
      <c r="AL608" s="288" t="s">
        <v>18</v>
      </c>
      <c r="AM608" s="292" t="s">
        <v>18</v>
      </c>
      <c r="AN608" s="292" t="s">
        <v>18</v>
      </c>
      <c r="AO608" s="288" t="s">
        <v>18</v>
      </c>
      <c r="AP608" s="289" t="s">
        <v>377</v>
      </c>
      <c r="AQ608" s="299" t="s">
        <v>32</v>
      </c>
      <c r="AR608" s="292" t="s">
        <v>377</v>
      </c>
      <c r="AS608" s="295" t="s">
        <v>32</v>
      </c>
      <c r="AT608" s="299" t="s">
        <v>32</v>
      </c>
      <c r="AU608" s="299" t="s">
        <v>32</v>
      </c>
      <c r="AV608" s="295" t="s">
        <v>32</v>
      </c>
      <c r="AW608" s="299" t="s">
        <v>32</v>
      </c>
      <c r="AX608" s="292" t="s">
        <v>377</v>
      </c>
      <c r="AY608" s="295" t="s">
        <v>32</v>
      </c>
      <c r="AZ608" s="299" t="s">
        <v>32</v>
      </c>
      <c r="BA608" s="299" t="s">
        <v>32</v>
      </c>
      <c r="BB608" s="295" t="s">
        <v>32</v>
      </c>
      <c r="BC608" s="296" t="s">
        <v>32</v>
      </c>
      <c r="BD608" s="292"/>
    </row>
    <row r="609" ht="12.75" customHeight="1">
      <c r="A609" s="293">
        <v>44797.79924466435</v>
      </c>
      <c r="B609" s="297" t="s">
        <v>375</v>
      </c>
      <c r="C609" s="298" t="s">
        <v>567</v>
      </c>
      <c r="D609" s="298" t="s">
        <v>16</v>
      </c>
      <c r="E609" s="285" t="s">
        <v>476</v>
      </c>
      <c r="F609" s="292" t="s">
        <v>1156</v>
      </c>
      <c r="G609" s="298" t="s">
        <v>17</v>
      </c>
      <c r="H609" s="298">
        <v>11.0</v>
      </c>
      <c r="I609" s="292" t="s">
        <v>479</v>
      </c>
      <c r="J609" s="292" t="s">
        <v>532</v>
      </c>
      <c r="K609" s="287" t="s">
        <v>532</v>
      </c>
      <c r="L609" s="292" t="s">
        <v>479</v>
      </c>
      <c r="M609" s="292" t="s">
        <v>481</v>
      </c>
      <c r="N609" s="292"/>
      <c r="O609" s="292"/>
      <c r="P609" s="292"/>
      <c r="Q609" s="299" t="s">
        <v>32</v>
      </c>
      <c r="R609" s="292" t="s">
        <v>377</v>
      </c>
      <c r="S609" s="295" t="s">
        <v>32</v>
      </c>
      <c r="T609" s="292" t="s">
        <v>377</v>
      </c>
      <c r="U609" s="299" t="s">
        <v>32</v>
      </c>
      <c r="V609" s="295" t="s">
        <v>32</v>
      </c>
      <c r="W609" s="292" t="s">
        <v>18</v>
      </c>
      <c r="X609" s="292" t="s">
        <v>377</v>
      </c>
      <c r="Y609" s="288" t="s">
        <v>377</v>
      </c>
      <c r="Z609" s="299" t="s">
        <v>32</v>
      </c>
      <c r="AA609" s="299" t="s">
        <v>32</v>
      </c>
      <c r="AB609" s="295" t="s">
        <v>32</v>
      </c>
      <c r="AC609" s="289" t="s">
        <v>377</v>
      </c>
      <c r="AD609" s="299" t="s">
        <v>32</v>
      </c>
      <c r="AE609" s="299" t="s">
        <v>32</v>
      </c>
      <c r="AF609" s="295" t="s">
        <v>32</v>
      </c>
      <c r="AG609" s="292" t="s">
        <v>377</v>
      </c>
      <c r="AH609" s="292" t="s">
        <v>18</v>
      </c>
      <c r="AI609" s="288" t="s">
        <v>377</v>
      </c>
      <c r="AJ609" s="299" t="s">
        <v>32</v>
      </c>
      <c r="AK609" s="292" t="s">
        <v>377</v>
      </c>
      <c r="AL609" s="295" t="s">
        <v>32</v>
      </c>
      <c r="AM609" s="292" t="s">
        <v>18</v>
      </c>
      <c r="AN609" s="292" t="s">
        <v>18</v>
      </c>
      <c r="AO609" s="288" t="s">
        <v>18</v>
      </c>
      <c r="AP609" s="289" t="s">
        <v>377</v>
      </c>
      <c r="AQ609" s="299" t="s">
        <v>32</v>
      </c>
      <c r="AR609" s="299" t="s">
        <v>32</v>
      </c>
      <c r="AS609" s="295" t="s">
        <v>32</v>
      </c>
      <c r="AT609" s="299" t="s">
        <v>32</v>
      </c>
      <c r="AU609" s="292" t="s">
        <v>377</v>
      </c>
      <c r="AV609" s="295" t="s">
        <v>32</v>
      </c>
      <c r="AW609" s="299" t="s">
        <v>32</v>
      </c>
      <c r="AX609" s="299" t="s">
        <v>32</v>
      </c>
      <c r="AY609" s="295" t="s">
        <v>32</v>
      </c>
      <c r="AZ609" s="299" t="s">
        <v>32</v>
      </c>
      <c r="BA609" s="299" t="s">
        <v>32</v>
      </c>
      <c r="BB609" s="288" t="s">
        <v>377</v>
      </c>
      <c r="BC609" s="289" t="s">
        <v>377</v>
      </c>
      <c r="BD609" s="292"/>
    </row>
    <row r="610" ht="12.75" customHeight="1">
      <c r="A610" s="293">
        <v>44797.882173668986</v>
      </c>
      <c r="B610" s="297" t="s">
        <v>375</v>
      </c>
      <c r="C610" s="298" t="s">
        <v>567</v>
      </c>
      <c r="D610" s="298" t="s">
        <v>16</v>
      </c>
      <c r="E610" s="285" t="s">
        <v>476</v>
      </c>
      <c r="F610" s="292" t="s">
        <v>1157</v>
      </c>
      <c r="G610" s="298" t="s">
        <v>21</v>
      </c>
      <c r="H610" s="298">
        <v>11.0</v>
      </c>
      <c r="I610" s="292" t="s">
        <v>479</v>
      </c>
      <c r="J610" s="292" t="s">
        <v>532</v>
      </c>
      <c r="K610" s="287" t="s">
        <v>532</v>
      </c>
      <c r="L610" s="292" t="s">
        <v>479</v>
      </c>
      <c r="M610" s="292" t="s">
        <v>481</v>
      </c>
      <c r="N610" s="292"/>
      <c r="O610" s="292"/>
      <c r="P610" s="292"/>
      <c r="Q610" s="299" t="s">
        <v>32</v>
      </c>
      <c r="R610" s="292" t="s">
        <v>377</v>
      </c>
      <c r="S610" s="295" t="s">
        <v>32</v>
      </c>
      <c r="T610" s="292" t="s">
        <v>377</v>
      </c>
      <c r="U610" s="292" t="s">
        <v>18</v>
      </c>
      <c r="V610" s="288" t="s">
        <v>377</v>
      </c>
      <c r="W610" s="292" t="s">
        <v>18</v>
      </c>
      <c r="X610" s="292" t="s">
        <v>18</v>
      </c>
      <c r="Y610" s="288" t="s">
        <v>18</v>
      </c>
      <c r="Z610" s="299" t="s">
        <v>32</v>
      </c>
      <c r="AA610" s="292" t="s">
        <v>18</v>
      </c>
      <c r="AB610" s="288" t="s">
        <v>377</v>
      </c>
      <c r="AC610" s="289" t="s">
        <v>377</v>
      </c>
      <c r="AD610" s="299" t="s">
        <v>32</v>
      </c>
      <c r="AE610" s="292" t="s">
        <v>377</v>
      </c>
      <c r="AF610" s="295" t="s">
        <v>32</v>
      </c>
      <c r="AG610" s="292" t="s">
        <v>18</v>
      </c>
      <c r="AH610" s="292" t="s">
        <v>18</v>
      </c>
      <c r="AI610" s="288" t="s">
        <v>18</v>
      </c>
      <c r="AJ610" s="292" t="s">
        <v>18</v>
      </c>
      <c r="AK610" s="292" t="s">
        <v>377</v>
      </c>
      <c r="AL610" s="288" t="s">
        <v>377</v>
      </c>
      <c r="AM610" s="292" t="s">
        <v>377</v>
      </c>
      <c r="AN610" s="292" t="s">
        <v>18</v>
      </c>
      <c r="AO610" s="288" t="s">
        <v>377</v>
      </c>
      <c r="AP610" s="289" t="s">
        <v>377</v>
      </c>
      <c r="AQ610" s="292" t="s">
        <v>18</v>
      </c>
      <c r="AR610" s="292" t="s">
        <v>377</v>
      </c>
      <c r="AS610" s="288" t="s">
        <v>377</v>
      </c>
      <c r="AT610" s="299" t="s">
        <v>32</v>
      </c>
      <c r="AU610" s="292" t="s">
        <v>18</v>
      </c>
      <c r="AV610" s="288" t="s">
        <v>377</v>
      </c>
      <c r="AW610" s="299" t="s">
        <v>32</v>
      </c>
      <c r="AX610" s="292" t="s">
        <v>377</v>
      </c>
      <c r="AY610" s="295" t="s">
        <v>32</v>
      </c>
      <c r="AZ610" s="299" t="s">
        <v>32</v>
      </c>
      <c r="BA610" s="292" t="s">
        <v>377</v>
      </c>
      <c r="BB610" s="295" t="s">
        <v>32</v>
      </c>
      <c r="BC610" s="296" t="s">
        <v>32</v>
      </c>
      <c r="BD610" s="292"/>
    </row>
    <row r="611" ht="12.75" customHeight="1">
      <c r="A611" s="293">
        <v>44797.88523856481</v>
      </c>
      <c r="B611" s="297" t="s">
        <v>375</v>
      </c>
      <c r="C611" s="298" t="s">
        <v>567</v>
      </c>
      <c r="D611" s="298" t="s">
        <v>16</v>
      </c>
      <c r="E611" s="285" t="s">
        <v>476</v>
      </c>
      <c r="F611" s="292" t="s">
        <v>1158</v>
      </c>
      <c r="G611" s="298" t="s">
        <v>21</v>
      </c>
      <c r="H611" s="298">
        <v>11.0</v>
      </c>
      <c r="I611" s="292" t="s">
        <v>479</v>
      </c>
      <c r="J611" s="292" t="s">
        <v>532</v>
      </c>
      <c r="K611" s="287" t="s">
        <v>532</v>
      </c>
      <c r="L611" s="292" t="s">
        <v>479</v>
      </c>
      <c r="M611" s="292" t="s">
        <v>483</v>
      </c>
      <c r="N611" s="292"/>
      <c r="O611" s="292"/>
      <c r="P611" s="292"/>
      <c r="Q611" s="299" t="s">
        <v>32</v>
      </c>
      <c r="R611" s="292" t="s">
        <v>377</v>
      </c>
      <c r="S611" s="295" t="s">
        <v>32</v>
      </c>
      <c r="T611" s="292" t="s">
        <v>377</v>
      </c>
      <c r="U611" s="299" t="s">
        <v>32</v>
      </c>
      <c r="V611" s="295" t="s">
        <v>32</v>
      </c>
      <c r="W611" s="299" t="s">
        <v>32</v>
      </c>
      <c r="X611" s="299" t="s">
        <v>32</v>
      </c>
      <c r="Y611" s="295" t="s">
        <v>32</v>
      </c>
      <c r="Z611" s="292" t="s">
        <v>377</v>
      </c>
      <c r="AA611" s="292" t="s">
        <v>18</v>
      </c>
      <c r="AB611" s="288" t="s">
        <v>377</v>
      </c>
      <c r="AC611" s="289" t="s">
        <v>377</v>
      </c>
      <c r="AD611" s="299" t="s">
        <v>32</v>
      </c>
      <c r="AE611" s="299" t="s">
        <v>32</v>
      </c>
      <c r="AF611" s="295" t="s">
        <v>32</v>
      </c>
      <c r="AG611" s="292" t="s">
        <v>377</v>
      </c>
      <c r="AH611" s="292" t="s">
        <v>377</v>
      </c>
      <c r="AI611" s="288" t="s">
        <v>377</v>
      </c>
      <c r="AJ611" s="299" t="s">
        <v>32</v>
      </c>
      <c r="AK611" s="299" t="s">
        <v>32</v>
      </c>
      <c r="AL611" s="295" t="s">
        <v>32</v>
      </c>
      <c r="AM611" s="292" t="s">
        <v>377</v>
      </c>
      <c r="AN611" s="292" t="s">
        <v>377</v>
      </c>
      <c r="AO611" s="288" t="s">
        <v>377</v>
      </c>
      <c r="AP611" s="296" t="s">
        <v>32</v>
      </c>
      <c r="AQ611" s="299" t="s">
        <v>32</v>
      </c>
      <c r="AR611" s="299" t="s">
        <v>32</v>
      </c>
      <c r="AS611" s="295" t="s">
        <v>32</v>
      </c>
      <c r="AT611" s="299" t="s">
        <v>32</v>
      </c>
      <c r="AU611" s="292" t="s">
        <v>377</v>
      </c>
      <c r="AV611" s="295" t="s">
        <v>32</v>
      </c>
      <c r="AW611" s="292" t="s">
        <v>377</v>
      </c>
      <c r="AX611" s="299" t="s">
        <v>32</v>
      </c>
      <c r="AY611" s="295" t="s">
        <v>32</v>
      </c>
      <c r="AZ611" s="292" t="s">
        <v>377</v>
      </c>
      <c r="BA611" s="299" t="s">
        <v>32</v>
      </c>
      <c r="BB611" s="288" t="s">
        <v>377</v>
      </c>
      <c r="BC611" s="289" t="s">
        <v>377</v>
      </c>
      <c r="BD611" s="292"/>
    </row>
    <row r="612" ht="12.75" customHeight="1">
      <c r="A612" s="293">
        <v>44797.89367157407</v>
      </c>
      <c r="B612" s="297" t="s">
        <v>375</v>
      </c>
      <c r="C612" s="298" t="s">
        <v>567</v>
      </c>
      <c r="D612" s="298" t="s">
        <v>16</v>
      </c>
      <c r="E612" s="285" t="s">
        <v>476</v>
      </c>
      <c r="F612" s="292" t="s">
        <v>1159</v>
      </c>
      <c r="G612" s="298" t="s">
        <v>21</v>
      </c>
      <c r="H612" s="298">
        <v>11.0</v>
      </c>
      <c r="I612" s="292" t="s">
        <v>479</v>
      </c>
      <c r="J612" s="292" t="s">
        <v>532</v>
      </c>
      <c r="K612" s="287" t="s">
        <v>532</v>
      </c>
      <c r="L612" s="292" t="s">
        <v>479</v>
      </c>
      <c r="M612" s="292" t="s">
        <v>483</v>
      </c>
      <c r="N612" s="292"/>
      <c r="O612" s="292"/>
      <c r="P612" s="292"/>
      <c r="Q612" s="299" t="s">
        <v>32</v>
      </c>
      <c r="R612" s="299" t="s">
        <v>32</v>
      </c>
      <c r="S612" s="295" t="s">
        <v>32</v>
      </c>
      <c r="T612" s="292" t="s">
        <v>377</v>
      </c>
      <c r="U612" s="299" t="s">
        <v>32</v>
      </c>
      <c r="V612" s="295" t="s">
        <v>32</v>
      </c>
      <c r="W612" s="292" t="s">
        <v>377</v>
      </c>
      <c r="X612" s="292" t="s">
        <v>377</v>
      </c>
      <c r="Y612" s="288" t="s">
        <v>377</v>
      </c>
      <c r="Z612" s="292" t="s">
        <v>18</v>
      </c>
      <c r="AA612" s="299" t="s">
        <v>32</v>
      </c>
      <c r="AB612" s="288" t="s">
        <v>377</v>
      </c>
      <c r="AC612" s="289" t="s">
        <v>377</v>
      </c>
      <c r="AD612" s="292" t="s">
        <v>18</v>
      </c>
      <c r="AE612" s="292" t="s">
        <v>377</v>
      </c>
      <c r="AF612" s="288" t="s">
        <v>377</v>
      </c>
      <c r="AG612" s="292" t="s">
        <v>377</v>
      </c>
      <c r="AH612" s="292" t="s">
        <v>377</v>
      </c>
      <c r="AI612" s="288" t="s">
        <v>377</v>
      </c>
      <c r="AJ612" s="299" t="s">
        <v>32</v>
      </c>
      <c r="AK612" s="292" t="s">
        <v>377</v>
      </c>
      <c r="AL612" s="295" t="s">
        <v>32</v>
      </c>
      <c r="AM612" s="292" t="s">
        <v>18</v>
      </c>
      <c r="AN612" s="292" t="s">
        <v>377</v>
      </c>
      <c r="AO612" s="288" t="s">
        <v>377</v>
      </c>
      <c r="AP612" s="289" t="s">
        <v>377</v>
      </c>
      <c r="AQ612" s="299" t="s">
        <v>32</v>
      </c>
      <c r="AR612" s="292" t="s">
        <v>377</v>
      </c>
      <c r="AS612" s="295" t="s">
        <v>32</v>
      </c>
      <c r="AT612" s="299" t="s">
        <v>32</v>
      </c>
      <c r="AU612" s="292" t="s">
        <v>18</v>
      </c>
      <c r="AV612" s="288" t="s">
        <v>377</v>
      </c>
      <c r="AW612" s="292" t="s">
        <v>18</v>
      </c>
      <c r="AX612" s="292" t="s">
        <v>377</v>
      </c>
      <c r="AY612" s="288" t="s">
        <v>377</v>
      </c>
      <c r="AZ612" s="299" t="s">
        <v>32</v>
      </c>
      <c r="BA612" s="299" t="s">
        <v>32</v>
      </c>
      <c r="BB612" s="295" t="s">
        <v>32</v>
      </c>
      <c r="BC612" s="296" t="s">
        <v>32</v>
      </c>
      <c r="BD612" s="292"/>
    </row>
    <row r="613" ht="12.75" customHeight="1">
      <c r="A613" s="293">
        <v>44797.89719603009</v>
      </c>
      <c r="B613" s="297" t="s">
        <v>375</v>
      </c>
      <c r="C613" s="298" t="s">
        <v>567</v>
      </c>
      <c r="D613" s="298" t="s">
        <v>16</v>
      </c>
      <c r="E613" s="285" t="s">
        <v>476</v>
      </c>
      <c r="F613" s="292" t="s">
        <v>1160</v>
      </c>
      <c r="G613" s="298" t="s">
        <v>21</v>
      </c>
      <c r="H613" s="298">
        <v>12.0</v>
      </c>
      <c r="I613" s="292" t="s">
        <v>479</v>
      </c>
      <c r="J613" s="292" t="s">
        <v>532</v>
      </c>
      <c r="K613" s="287" t="s">
        <v>532</v>
      </c>
      <c r="L613" s="292" t="s">
        <v>479</v>
      </c>
      <c r="M613" s="292" t="s">
        <v>500</v>
      </c>
      <c r="N613" s="292"/>
      <c r="O613" s="292"/>
      <c r="P613" s="292"/>
      <c r="Q613" s="299" t="s">
        <v>32</v>
      </c>
      <c r="R613" s="299" t="s">
        <v>32</v>
      </c>
      <c r="S613" s="295" t="s">
        <v>32</v>
      </c>
      <c r="T613" s="299" t="s">
        <v>32</v>
      </c>
      <c r="U613" s="299" t="s">
        <v>32</v>
      </c>
      <c r="V613" s="295" t="s">
        <v>32</v>
      </c>
      <c r="W613" s="299" t="s">
        <v>32</v>
      </c>
      <c r="X613" s="299" t="s">
        <v>32</v>
      </c>
      <c r="Y613" s="295" t="s">
        <v>32</v>
      </c>
      <c r="Z613" s="299" t="s">
        <v>32</v>
      </c>
      <c r="AA613" s="299" t="s">
        <v>32</v>
      </c>
      <c r="AB613" s="295" t="s">
        <v>32</v>
      </c>
      <c r="AC613" s="296" t="s">
        <v>32</v>
      </c>
      <c r="AD613" s="299" t="s">
        <v>32</v>
      </c>
      <c r="AE613" s="299" t="s">
        <v>32</v>
      </c>
      <c r="AF613" s="295" t="s">
        <v>32</v>
      </c>
      <c r="AG613" s="299" t="s">
        <v>32</v>
      </c>
      <c r="AH613" s="292" t="s">
        <v>18</v>
      </c>
      <c r="AI613" s="288" t="s">
        <v>377</v>
      </c>
      <c r="AJ613" s="299" t="s">
        <v>32</v>
      </c>
      <c r="AK613" s="299" t="s">
        <v>32</v>
      </c>
      <c r="AL613" s="295" t="s">
        <v>32</v>
      </c>
      <c r="AM613" s="299" t="s">
        <v>32</v>
      </c>
      <c r="AN613" s="299" t="s">
        <v>32</v>
      </c>
      <c r="AO613" s="295" t="s">
        <v>32</v>
      </c>
      <c r="AP613" s="296" t="s">
        <v>32</v>
      </c>
      <c r="AQ613" s="292" t="s">
        <v>18</v>
      </c>
      <c r="AR613" s="299" t="s">
        <v>32</v>
      </c>
      <c r="AS613" s="288" t="s">
        <v>377</v>
      </c>
      <c r="AT613" s="299" t="s">
        <v>32</v>
      </c>
      <c r="AU613" s="299" t="s">
        <v>32</v>
      </c>
      <c r="AV613" s="295" t="s">
        <v>32</v>
      </c>
      <c r="AW613" s="299" t="s">
        <v>32</v>
      </c>
      <c r="AX613" s="299" t="s">
        <v>32</v>
      </c>
      <c r="AY613" s="295" t="s">
        <v>32</v>
      </c>
      <c r="AZ613" s="299" t="s">
        <v>32</v>
      </c>
      <c r="BA613" s="299" t="s">
        <v>32</v>
      </c>
      <c r="BB613" s="288" t="s">
        <v>377</v>
      </c>
      <c r="BC613" s="289" t="s">
        <v>377</v>
      </c>
      <c r="BD613" s="292"/>
    </row>
    <row r="614" ht="12.75" customHeight="1">
      <c r="A614" s="293">
        <v>44797.90018237269</v>
      </c>
      <c r="B614" s="297" t="s">
        <v>375</v>
      </c>
      <c r="C614" s="298" t="s">
        <v>567</v>
      </c>
      <c r="D614" s="298" t="s">
        <v>16</v>
      </c>
      <c r="E614" s="285" t="s">
        <v>476</v>
      </c>
      <c r="F614" s="292" t="s">
        <v>1161</v>
      </c>
      <c r="G614" s="298" t="s">
        <v>21</v>
      </c>
      <c r="H614" s="298">
        <v>11.0</v>
      </c>
      <c r="I614" s="292" t="s">
        <v>479</v>
      </c>
      <c r="J614" s="292" t="s">
        <v>532</v>
      </c>
      <c r="K614" s="287" t="s">
        <v>532</v>
      </c>
      <c r="L614" s="292" t="s">
        <v>479</v>
      </c>
      <c r="M614" s="292" t="s">
        <v>483</v>
      </c>
      <c r="N614" s="292"/>
      <c r="O614" s="292"/>
      <c r="P614" s="292"/>
      <c r="Q614" s="299" t="s">
        <v>32</v>
      </c>
      <c r="R614" s="299" t="s">
        <v>32</v>
      </c>
      <c r="S614" s="295" t="s">
        <v>32</v>
      </c>
      <c r="T614" s="292" t="s">
        <v>18</v>
      </c>
      <c r="U614" s="299" t="s">
        <v>32</v>
      </c>
      <c r="V614" s="288" t="s">
        <v>377</v>
      </c>
      <c r="W614" s="292" t="s">
        <v>18</v>
      </c>
      <c r="X614" s="292" t="s">
        <v>18</v>
      </c>
      <c r="Y614" s="288" t="s">
        <v>18</v>
      </c>
      <c r="Z614" s="299" t="s">
        <v>32</v>
      </c>
      <c r="AA614" s="292" t="s">
        <v>377</v>
      </c>
      <c r="AB614" s="295" t="s">
        <v>32</v>
      </c>
      <c r="AC614" s="289" t="s">
        <v>377</v>
      </c>
      <c r="AD614" s="299" t="s">
        <v>32</v>
      </c>
      <c r="AE614" s="299" t="s">
        <v>32</v>
      </c>
      <c r="AF614" s="295" t="s">
        <v>32</v>
      </c>
      <c r="AG614" s="292" t="s">
        <v>377</v>
      </c>
      <c r="AH614" s="292" t="s">
        <v>377</v>
      </c>
      <c r="AI614" s="288" t="s">
        <v>377</v>
      </c>
      <c r="AJ614" s="299" t="s">
        <v>32</v>
      </c>
      <c r="AK614" s="292" t="s">
        <v>377</v>
      </c>
      <c r="AL614" s="295" t="s">
        <v>32</v>
      </c>
      <c r="AM614" s="292" t="s">
        <v>18</v>
      </c>
      <c r="AN614" s="292" t="s">
        <v>18</v>
      </c>
      <c r="AO614" s="288" t="s">
        <v>18</v>
      </c>
      <c r="AP614" s="289" t="s">
        <v>377</v>
      </c>
      <c r="AQ614" s="292" t="s">
        <v>18</v>
      </c>
      <c r="AR614" s="299" t="s">
        <v>32</v>
      </c>
      <c r="AS614" s="288" t="s">
        <v>377</v>
      </c>
      <c r="AT614" s="299" t="s">
        <v>32</v>
      </c>
      <c r="AU614" s="299" t="s">
        <v>32</v>
      </c>
      <c r="AV614" s="295" t="s">
        <v>32</v>
      </c>
      <c r="AW614" s="299" t="s">
        <v>32</v>
      </c>
      <c r="AX614" s="299" t="s">
        <v>32</v>
      </c>
      <c r="AY614" s="295" t="s">
        <v>32</v>
      </c>
      <c r="AZ614" s="299" t="s">
        <v>32</v>
      </c>
      <c r="BA614" s="299" t="s">
        <v>32</v>
      </c>
      <c r="BB614" s="288" t="s">
        <v>377</v>
      </c>
      <c r="BC614" s="289" t="s">
        <v>377</v>
      </c>
      <c r="BD614" s="292"/>
    </row>
    <row r="615" ht="12.75" customHeight="1">
      <c r="A615" s="293">
        <v>44797.9162241088</v>
      </c>
      <c r="B615" s="297" t="s">
        <v>375</v>
      </c>
      <c r="C615" s="298" t="s">
        <v>567</v>
      </c>
      <c r="D615" s="298" t="s">
        <v>16</v>
      </c>
      <c r="E615" s="285" t="s">
        <v>476</v>
      </c>
      <c r="F615" s="292" t="s">
        <v>1162</v>
      </c>
      <c r="G615" s="298" t="s">
        <v>21</v>
      </c>
      <c r="H615" s="298">
        <v>12.0</v>
      </c>
      <c r="I615" s="292" t="s">
        <v>479</v>
      </c>
      <c r="J615" s="292" t="s">
        <v>532</v>
      </c>
      <c r="K615" s="287" t="s">
        <v>532</v>
      </c>
      <c r="L615" s="292" t="s">
        <v>479</v>
      </c>
      <c r="M615" s="292" t="s">
        <v>481</v>
      </c>
      <c r="N615" s="292"/>
      <c r="O615" s="292"/>
      <c r="P615" s="292"/>
      <c r="Q615" s="299" t="s">
        <v>32</v>
      </c>
      <c r="R615" s="299" t="s">
        <v>32</v>
      </c>
      <c r="S615" s="295" t="s">
        <v>32</v>
      </c>
      <c r="T615" s="299" t="s">
        <v>32</v>
      </c>
      <c r="U615" s="299" t="s">
        <v>32</v>
      </c>
      <c r="V615" s="295" t="s">
        <v>32</v>
      </c>
      <c r="W615" s="299" t="s">
        <v>32</v>
      </c>
      <c r="X615" s="292" t="s">
        <v>18</v>
      </c>
      <c r="Y615" s="288" t="s">
        <v>377</v>
      </c>
      <c r="Z615" s="299" t="s">
        <v>32</v>
      </c>
      <c r="AA615" s="299" t="s">
        <v>32</v>
      </c>
      <c r="AB615" s="295" t="s">
        <v>32</v>
      </c>
      <c r="AC615" s="296" t="s">
        <v>32</v>
      </c>
      <c r="AD615" s="292" t="s">
        <v>377</v>
      </c>
      <c r="AE615" s="299" t="s">
        <v>32</v>
      </c>
      <c r="AF615" s="295" t="s">
        <v>32</v>
      </c>
      <c r="AG615" s="292" t="s">
        <v>377</v>
      </c>
      <c r="AH615" s="292" t="s">
        <v>377</v>
      </c>
      <c r="AI615" s="288" t="s">
        <v>377</v>
      </c>
      <c r="AJ615" s="299" t="s">
        <v>32</v>
      </c>
      <c r="AK615" s="292" t="s">
        <v>377</v>
      </c>
      <c r="AL615" s="295" t="s">
        <v>32</v>
      </c>
      <c r="AM615" s="292" t="s">
        <v>377</v>
      </c>
      <c r="AN615" s="292" t="s">
        <v>377</v>
      </c>
      <c r="AO615" s="288" t="s">
        <v>377</v>
      </c>
      <c r="AP615" s="289" t="s">
        <v>377</v>
      </c>
      <c r="AQ615" s="299" t="s">
        <v>32</v>
      </c>
      <c r="AR615" s="299" t="s">
        <v>32</v>
      </c>
      <c r="AS615" s="295" t="s">
        <v>32</v>
      </c>
      <c r="AT615" s="292" t="s">
        <v>377</v>
      </c>
      <c r="AU615" s="292" t="s">
        <v>377</v>
      </c>
      <c r="AV615" s="288" t="s">
        <v>377</v>
      </c>
      <c r="AW615" s="292" t="s">
        <v>18</v>
      </c>
      <c r="AX615" s="299" t="s">
        <v>32</v>
      </c>
      <c r="AY615" s="288" t="s">
        <v>377</v>
      </c>
      <c r="AZ615" s="299" t="s">
        <v>32</v>
      </c>
      <c r="BA615" s="299" t="s">
        <v>32</v>
      </c>
      <c r="BB615" s="295" t="s">
        <v>32</v>
      </c>
      <c r="BC615" s="296" t="s">
        <v>32</v>
      </c>
      <c r="BD615" s="292"/>
    </row>
    <row r="616" ht="12.75" customHeight="1">
      <c r="A616" s="293">
        <v>44797.93748929398</v>
      </c>
      <c r="B616" s="297" t="s">
        <v>375</v>
      </c>
      <c r="C616" s="298" t="s">
        <v>567</v>
      </c>
      <c r="D616" s="298" t="s">
        <v>16</v>
      </c>
      <c r="E616" s="285" t="s">
        <v>476</v>
      </c>
      <c r="F616" s="292" t="s">
        <v>1163</v>
      </c>
      <c r="G616" s="298" t="s">
        <v>21</v>
      </c>
      <c r="H616" s="298">
        <v>11.0</v>
      </c>
      <c r="I616" s="292" t="s">
        <v>479</v>
      </c>
      <c r="J616" s="292" t="s">
        <v>532</v>
      </c>
      <c r="K616" s="287" t="s">
        <v>532</v>
      </c>
      <c r="L616" s="292" t="s">
        <v>479</v>
      </c>
      <c r="M616" s="292" t="s">
        <v>483</v>
      </c>
      <c r="N616" s="292"/>
      <c r="O616" s="292"/>
      <c r="P616" s="292"/>
      <c r="Q616" s="299" t="s">
        <v>32</v>
      </c>
      <c r="R616" s="299" t="s">
        <v>32</v>
      </c>
      <c r="S616" s="295" t="s">
        <v>32</v>
      </c>
      <c r="T616" s="292" t="s">
        <v>18</v>
      </c>
      <c r="U616" s="299" t="s">
        <v>32</v>
      </c>
      <c r="V616" s="288" t="s">
        <v>377</v>
      </c>
      <c r="W616" s="292" t="s">
        <v>18</v>
      </c>
      <c r="X616" s="292" t="s">
        <v>18</v>
      </c>
      <c r="Y616" s="288" t="s">
        <v>18</v>
      </c>
      <c r="Z616" s="292" t="s">
        <v>377</v>
      </c>
      <c r="AA616" s="292" t="s">
        <v>18</v>
      </c>
      <c r="AB616" s="288" t="s">
        <v>377</v>
      </c>
      <c r="AC616" s="289" t="s">
        <v>377</v>
      </c>
      <c r="AD616" s="292" t="s">
        <v>377</v>
      </c>
      <c r="AE616" s="292" t="s">
        <v>377</v>
      </c>
      <c r="AF616" s="288" t="s">
        <v>377</v>
      </c>
      <c r="AG616" s="292" t="s">
        <v>18</v>
      </c>
      <c r="AH616" s="292" t="s">
        <v>18</v>
      </c>
      <c r="AI616" s="288" t="s">
        <v>18</v>
      </c>
      <c r="AJ616" s="292" t="s">
        <v>377</v>
      </c>
      <c r="AK616" s="292" t="s">
        <v>377</v>
      </c>
      <c r="AL616" s="288" t="s">
        <v>377</v>
      </c>
      <c r="AM616" s="292" t="s">
        <v>18</v>
      </c>
      <c r="AN616" s="292" t="s">
        <v>18</v>
      </c>
      <c r="AO616" s="288" t="s">
        <v>18</v>
      </c>
      <c r="AP616" s="289" t="s">
        <v>377</v>
      </c>
      <c r="AQ616" s="299" t="s">
        <v>32</v>
      </c>
      <c r="AR616" s="292" t="s">
        <v>18</v>
      </c>
      <c r="AS616" s="288" t="s">
        <v>377</v>
      </c>
      <c r="AT616" s="299" t="s">
        <v>32</v>
      </c>
      <c r="AU616" s="299" t="s">
        <v>32</v>
      </c>
      <c r="AV616" s="295" t="s">
        <v>32</v>
      </c>
      <c r="AW616" s="299" t="s">
        <v>32</v>
      </c>
      <c r="AX616" s="292" t="s">
        <v>377</v>
      </c>
      <c r="AY616" s="295" t="s">
        <v>32</v>
      </c>
      <c r="AZ616" s="299" t="s">
        <v>32</v>
      </c>
      <c r="BA616" s="299" t="s">
        <v>32</v>
      </c>
      <c r="BB616" s="295" t="s">
        <v>32</v>
      </c>
      <c r="BC616" s="296" t="s">
        <v>32</v>
      </c>
      <c r="BD616" s="292"/>
    </row>
    <row r="617" ht="12.75" customHeight="1">
      <c r="A617" s="293">
        <v>44797.95897771991</v>
      </c>
      <c r="B617" s="297" t="s">
        <v>375</v>
      </c>
      <c r="C617" s="298" t="s">
        <v>567</v>
      </c>
      <c r="D617" s="298" t="s">
        <v>16</v>
      </c>
      <c r="E617" s="285" t="s">
        <v>476</v>
      </c>
      <c r="F617" s="292" t="s">
        <v>1164</v>
      </c>
      <c r="G617" s="298" t="s">
        <v>21</v>
      </c>
      <c r="H617" s="298">
        <v>12.0</v>
      </c>
      <c r="I617" s="292" t="s">
        <v>479</v>
      </c>
      <c r="J617" s="292" t="s">
        <v>532</v>
      </c>
      <c r="K617" s="287" t="s">
        <v>532</v>
      </c>
      <c r="L617" s="292" t="s">
        <v>479</v>
      </c>
      <c r="M617" s="292" t="s">
        <v>483</v>
      </c>
      <c r="N617" s="292"/>
      <c r="O617" s="292"/>
      <c r="P617" s="292"/>
      <c r="Q617" s="299" t="s">
        <v>32</v>
      </c>
      <c r="R617" s="292" t="s">
        <v>377</v>
      </c>
      <c r="S617" s="295" t="s">
        <v>32</v>
      </c>
      <c r="T617" s="292" t="s">
        <v>377</v>
      </c>
      <c r="U617" s="292" t="s">
        <v>18</v>
      </c>
      <c r="V617" s="288" t="s">
        <v>377</v>
      </c>
      <c r="W617" s="292" t="s">
        <v>18</v>
      </c>
      <c r="X617" s="292" t="s">
        <v>377</v>
      </c>
      <c r="Y617" s="288" t="s">
        <v>377</v>
      </c>
      <c r="Z617" s="299" t="s">
        <v>32</v>
      </c>
      <c r="AA617" s="292" t="s">
        <v>377</v>
      </c>
      <c r="AB617" s="295" t="s">
        <v>32</v>
      </c>
      <c r="AC617" s="289" t="s">
        <v>377</v>
      </c>
      <c r="AD617" s="292" t="s">
        <v>18</v>
      </c>
      <c r="AE617" s="292" t="s">
        <v>377</v>
      </c>
      <c r="AF617" s="288" t="s">
        <v>377</v>
      </c>
      <c r="AG617" s="292" t="s">
        <v>18</v>
      </c>
      <c r="AH617" s="292" t="s">
        <v>377</v>
      </c>
      <c r="AI617" s="288" t="s">
        <v>377</v>
      </c>
      <c r="AJ617" s="299" t="s">
        <v>32</v>
      </c>
      <c r="AK617" s="299" t="s">
        <v>32</v>
      </c>
      <c r="AL617" s="295" t="s">
        <v>32</v>
      </c>
      <c r="AM617" s="292" t="s">
        <v>18</v>
      </c>
      <c r="AN617" s="292" t="s">
        <v>377</v>
      </c>
      <c r="AO617" s="288" t="s">
        <v>377</v>
      </c>
      <c r="AP617" s="289" t="s">
        <v>377</v>
      </c>
      <c r="AQ617" s="299" t="s">
        <v>32</v>
      </c>
      <c r="AR617" s="299" t="s">
        <v>32</v>
      </c>
      <c r="AS617" s="295" t="s">
        <v>32</v>
      </c>
      <c r="AT617" s="299" t="s">
        <v>32</v>
      </c>
      <c r="AU617" s="299" t="s">
        <v>32</v>
      </c>
      <c r="AV617" s="295" t="s">
        <v>32</v>
      </c>
      <c r="AW617" s="299" t="s">
        <v>32</v>
      </c>
      <c r="AX617" s="292" t="s">
        <v>377</v>
      </c>
      <c r="AY617" s="295" t="s">
        <v>32</v>
      </c>
      <c r="AZ617" s="292" t="s">
        <v>18</v>
      </c>
      <c r="BA617" s="299" t="s">
        <v>32</v>
      </c>
      <c r="BB617" s="295" t="s">
        <v>32</v>
      </c>
      <c r="BC617" s="296" t="s">
        <v>32</v>
      </c>
      <c r="BD617" s="292"/>
    </row>
    <row r="618" ht="12.75" customHeight="1">
      <c r="A618" s="293">
        <v>44797.961641030095</v>
      </c>
      <c r="B618" s="297" t="s">
        <v>375</v>
      </c>
      <c r="C618" s="298" t="s">
        <v>567</v>
      </c>
      <c r="D618" s="298" t="s">
        <v>16</v>
      </c>
      <c r="E618" s="285" t="s">
        <v>476</v>
      </c>
      <c r="F618" s="292" t="s">
        <v>1165</v>
      </c>
      <c r="G618" s="298" t="s">
        <v>21</v>
      </c>
      <c r="H618" s="298">
        <v>11.0</v>
      </c>
      <c r="I618" s="292" t="s">
        <v>479</v>
      </c>
      <c r="J618" s="292" t="s">
        <v>532</v>
      </c>
      <c r="K618" s="287" t="s">
        <v>532</v>
      </c>
      <c r="L618" s="292" t="s">
        <v>479</v>
      </c>
      <c r="M618" s="292" t="s">
        <v>483</v>
      </c>
      <c r="N618" s="292"/>
      <c r="O618" s="292"/>
      <c r="P618" s="292"/>
      <c r="Q618" s="299" t="s">
        <v>32</v>
      </c>
      <c r="R618" s="299" t="s">
        <v>32</v>
      </c>
      <c r="S618" s="295" t="s">
        <v>32</v>
      </c>
      <c r="T618" s="299" t="s">
        <v>32</v>
      </c>
      <c r="U618" s="299" t="s">
        <v>32</v>
      </c>
      <c r="V618" s="295" t="s">
        <v>32</v>
      </c>
      <c r="W618" s="299" t="s">
        <v>32</v>
      </c>
      <c r="X618" s="292" t="s">
        <v>18</v>
      </c>
      <c r="Y618" s="288" t="s">
        <v>377</v>
      </c>
      <c r="Z618" s="299" t="s">
        <v>32</v>
      </c>
      <c r="AA618" s="292" t="s">
        <v>18</v>
      </c>
      <c r="AB618" s="288" t="s">
        <v>377</v>
      </c>
      <c r="AC618" s="296" t="s">
        <v>32</v>
      </c>
      <c r="AD618" s="299" t="s">
        <v>32</v>
      </c>
      <c r="AE618" s="299" t="s">
        <v>32</v>
      </c>
      <c r="AF618" s="295" t="s">
        <v>32</v>
      </c>
      <c r="AG618" s="299" t="s">
        <v>32</v>
      </c>
      <c r="AH618" s="292" t="s">
        <v>18</v>
      </c>
      <c r="AI618" s="288" t="s">
        <v>377</v>
      </c>
      <c r="AJ618" s="299" t="s">
        <v>32</v>
      </c>
      <c r="AK618" s="292" t="s">
        <v>18</v>
      </c>
      <c r="AL618" s="288" t="s">
        <v>377</v>
      </c>
      <c r="AM618" s="292" t="s">
        <v>18</v>
      </c>
      <c r="AN618" s="292" t="s">
        <v>18</v>
      </c>
      <c r="AO618" s="288" t="s">
        <v>18</v>
      </c>
      <c r="AP618" s="289" t="s">
        <v>377</v>
      </c>
      <c r="AQ618" s="299" t="s">
        <v>32</v>
      </c>
      <c r="AR618" s="299" t="s">
        <v>32</v>
      </c>
      <c r="AS618" s="295" t="s">
        <v>32</v>
      </c>
      <c r="AT618" s="292" t="s">
        <v>18</v>
      </c>
      <c r="AU618" s="299" t="s">
        <v>32</v>
      </c>
      <c r="AV618" s="288" t="s">
        <v>377</v>
      </c>
      <c r="AW618" s="299" t="s">
        <v>32</v>
      </c>
      <c r="AX618" s="299" t="s">
        <v>32</v>
      </c>
      <c r="AY618" s="295" t="s">
        <v>32</v>
      </c>
      <c r="AZ618" s="292" t="s">
        <v>18</v>
      </c>
      <c r="BA618" s="299" t="s">
        <v>32</v>
      </c>
      <c r="BB618" s="288" t="s">
        <v>18</v>
      </c>
      <c r="BC618" s="289" t="s">
        <v>18</v>
      </c>
      <c r="BD618" s="292"/>
    </row>
    <row r="619" ht="12.75" customHeight="1">
      <c r="A619" s="293">
        <v>44797.965020937496</v>
      </c>
      <c r="B619" s="297" t="s">
        <v>375</v>
      </c>
      <c r="C619" s="298" t="s">
        <v>567</v>
      </c>
      <c r="D619" s="298" t="s">
        <v>16</v>
      </c>
      <c r="E619" s="285" t="s">
        <v>476</v>
      </c>
      <c r="F619" s="292" t="s">
        <v>1166</v>
      </c>
      <c r="G619" s="298" t="s">
        <v>21</v>
      </c>
      <c r="H619" s="298">
        <v>12.0</v>
      </c>
      <c r="I619" s="292" t="s">
        <v>479</v>
      </c>
      <c r="J619" s="292" t="s">
        <v>532</v>
      </c>
      <c r="K619" s="287" t="s">
        <v>532</v>
      </c>
      <c r="L619" s="292" t="s">
        <v>479</v>
      </c>
      <c r="M619" s="292" t="s">
        <v>481</v>
      </c>
      <c r="N619" s="292"/>
      <c r="O619" s="292"/>
      <c r="P619" s="292"/>
      <c r="Q619" s="299" t="s">
        <v>32</v>
      </c>
      <c r="R619" s="299" t="s">
        <v>32</v>
      </c>
      <c r="S619" s="295" t="s">
        <v>32</v>
      </c>
      <c r="T619" s="292" t="s">
        <v>18</v>
      </c>
      <c r="U619" s="299" t="s">
        <v>32</v>
      </c>
      <c r="V619" s="288" t="s">
        <v>377</v>
      </c>
      <c r="W619" s="292" t="s">
        <v>18</v>
      </c>
      <c r="X619" s="299" t="s">
        <v>32</v>
      </c>
      <c r="Y619" s="288" t="s">
        <v>377</v>
      </c>
      <c r="Z619" s="292" t="s">
        <v>18</v>
      </c>
      <c r="AA619" s="299" t="s">
        <v>32</v>
      </c>
      <c r="AB619" s="288" t="s">
        <v>377</v>
      </c>
      <c r="AC619" s="289" t="s">
        <v>377</v>
      </c>
      <c r="AD619" s="292" t="s">
        <v>18</v>
      </c>
      <c r="AE619" s="292" t="s">
        <v>18</v>
      </c>
      <c r="AF619" s="288" t="s">
        <v>18</v>
      </c>
      <c r="AG619" s="292" t="s">
        <v>18</v>
      </c>
      <c r="AH619" s="292" t="s">
        <v>18</v>
      </c>
      <c r="AI619" s="288" t="s">
        <v>18</v>
      </c>
      <c r="AJ619" s="292" t="s">
        <v>18</v>
      </c>
      <c r="AK619" s="292" t="s">
        <v>18</v>
      </c>
      <c r="AL619" s="288" t="s">
        <v>18</v>
      </c>
      <c r="AM619" s="292" t="s">
        <v>18</v>
      </c>
      <c r="AN619" s="292" t="s">
        <v>18</v>
      </c>
      <c r="AO619" s="288" t="s">
        <v>18</v>
      </c>
      <c r="AP619" s="289" t="s">
        <v>18</v>
      </c>
      <c r="AQ619" s="292" t="s">
        <v>18</v>
      </c>
      <c r="AR619" s="292" t="s">
        <v>18</v>
      </c>
      <c r="AS619" s="288" t="s">
        <v>18</v>
      </c>
      <c r="AT619" s="292" t="s">
        <v>18</v>
      </c>
      <c r="AU619" s="299" t="s">
        <v>32</v>
      </c>
      <c r="AV619" s="288" t="s">
        <v>377</v>
      </c>
      <c r="AW619" s="292" t="s">
        <v>18</v>
      </c>
      <c r="AX619" s="292" t="s">
        <v>377</v>
      </c>
      <c r="AY619" s="288" t="s">
        <v>377</v>
      </c>
      <c r="AZ619" s="292" t="s">
        <v>18</v>
      </c>
      <c r="BA619" s="299" t="s">
        <v>32</v>
      </c>
      <c r="BB619" s="295" t="s">
        <v>32</v>
      </c>
      <c r="BC619" s="289" t="s">
        <v>377</v>
      </c>
      <c r="BD619" s="292"/>
    </row>
    <row r="620" ht="12.75" customHeight="1">
      <c r="A620" s="293">
        <v>44797.9680156713</v>
      </c>
      <c r="B620" s="297" t="s">
        <v>375</v>
      </c>
      <c r="C620" s="298" t="s">
        <v>567</v>
      </c>
      <c r="D620" s="298" t="s">
        <v>16</v>
      </c>
      <c r="E620" s="285" t="s">
        <v>476</v>
      </c>
      <c r="F620" s="292" t="s">
        <v>1167</v>
      </c>
      <c r="G620" s="298" t="s">
        <v>17</v>
      </c>
      <c r="H620" s="298">
        <v>11.0</v>
      </c>
      <c r="I620" s="292" t="s">
        <v>479</v>
      </c>
      <c r="J620" s="292" t="s">
        <v>532</v>
      </c>
      <c r="K620" s="287" t="s">
        <v>532</v>
      </c>
      <c r="L620" s="292" t="s">
        <v>479</v>
      </c>
      <c r="M620" s="292" t="s">
        <v>481</v>
      </c>
      <c r="N620" s="292"/>
      <c r="O620" s="292"/>
      <c r="P620" s="292"/>
      <c r="Q620" s="299" t="s">
        <v>32</v>
      </c>
      <c r="R620" s="299" t="s">
        <v>32</v>
      </c>
      <c r="S620" s="295" t="s">
        <v>32</v>
      </c>
      <c r="T620" s="292" t="s">
        <v>18</v>
      </c>
      <c r="U620" s="299" t="s">
        <v>32</v>
      </c>
      <c r="V620" s="288" t="s">
        <v>377</v>
      </c>
      <c r="W620" s="292" t="s">
        <v>377</v>
      </c>
      <c r="X620" s="299" t="s">
        <v>32</v>
      </c>
      <c r="Y620" s="295" t="s">
        <v>32</v>
      </c>
      <c r="Z620" s="299" t="s">
        <v>32</v>
      </c>
      <c r="AA620" s="292" t="s">
        <v>18</v>
      </c>
      <c r="AB620" s="288" t="s">
        <v>377</v>
      </c>
      <c r="AC620" s="289" t="s">
        <v>377</v>
      </c>
      <c r="AD620" s="292" t="s">
        <v>377</v>
      </c>
      <c r="AE620" s="292" t="s">
        <v>377</v>
      </c>
      <c r="AF620" s="288" t="s">
        <v>377</v>
      </c>
      <c r="AG620" s="292" t="s">
        <v>377</v>
      </c>
      <c r="AH620" s="292" t="s">
        <v>18</v>
      </c>
      <c r="AI620" s="288" t="s">
        <v>377</v>
      </c>
      <c r="AJ620" s="292" t="s">
        <v>377</v>
      </c>
      <c r="AK620" s="292" t="s">
        <v>18</v>
      </c>
      <c r="AL620" s="288" t="s">
        <v>377</v>
      </c>
      <c r="AM620" s="292" t="s">
        <v>18</v>
      </c>
      <c r="AN620" s="292" t="s">
        <v>18</v>
      </c>
      <c r="AO620" s="288" t="s">
        <v>18</v>
      </c>
      <c r="AP620" s="289" t="s">
        <v>377</v>
      </c>
      <c r="AQ620" s="292" t="s">
        <v>18</v>
      </c>
      <c r="AR620" s="292" t="s">
        <v>377</v>
      </c>
      <c r="AS620" s="288" t="s">
        <v>377</v>
      </c>
      <c r="AT620" s="299" t="s">
        <v>32</v>
      </c>
      <c r="AU620" s="299" t="s">
        <v>32</v>
      </c>
      <c r="AV620" s="295" t="s">
        <v>32</v>
      </c>
      <c r="AW620" s="292" t="s">
        <v>18</v>
      </c>
      <c r="AX620" s="292" t="s">
        <v>377</v>
      </c>
      <c r="AY620" s="288" t="s">
        <v>377</v>
      </c>
      <c r="AZ620" s="299" t="s">
        <v>32</v>
      </c>
      <c r="BA620" s="299" t="s">
        <v>32</v>
      </c>
      <c r="BB620" s="295" t="s">
        <v>32</v>
      </c>
      <c r="BC620" s="289" t="s">
        <v>377</v>
      </c>
      <c r="BD620" s="292"/>
    </row>
    <row r="621" ht="12.75" customHeight="1">
      <c r="A621" s="293">
        <v>44798.03360494213</v>
      </c>
      <c r="B621" s="297" t="s">
        <v>375</v>
      </c>
      <c r="C621" s="298" t="s">
        <v>567</v>
      </c>
      <c r="D621" s="298" t="s">
        <v>16</v>
      </c>
      <c r="E621" s="285" t="s">
        <v>476</v>
      </c>
      <c r="F621" s="292" t="s">
        <v>1168</v>
      </c>
      <c r="G621" s="298" t="s">
        <v>21</v>
      </c>
      <c r="H621" s="298">
        <v>11.0</v>
      </c>
      <c r="I621" s="292" t="s">
        <v>479</v>
      </c>
      <c r="J621" s="292" t="s">
        <v>532</v>
      </c>
      <c r="K621" s="287" t="s">
        <v>532</v>
      </c>
      <c r="L621" s="292" t="s">
        <v>479</v>
      </c>
      <c r="M621" s="292" t="s">
        <v>481</v>
      </c>
      <c r="N621" s="292"/>
      <c r="O621" s="292"/>
      <c r="P621" s="292"/>
      <c r="Q621" s="299" t="s">
        <v>32</v>
      </c>
      <c r="R621" s="299" t="s">
        <v>32</v>
      </c>
      <c r="S621" s="295" t="s">
        <v>32</v>
      </c>
      <c r="T621" s="292" t="s">
        <v>18</v>
      </c>
      <c r="U621" s="299" t="s">
        <v>32</v>
      </c>
      <c r="V621" s="288" t="s">
        <v>377</v>
      </c>
      <c r="W621" s="299" t="s">
        <v>32</v>
      </c>
      <c r="X621" s="292" t="s">
        <v>377</v>
      </c>
      <c r="Y621" s="295" t="s">
        <v>32</v>
      </c>
      <c r="Z621" s="299" t="s">
        <v>32</v>
      </c>
      <c r="AA621" s="299" t="s">
        <v>32</v>
      </c>
      <c r="AB621" s="295" t="s">
        <v>32</v>
      </c>
      <c r="AC621" s="296" t="s">
        <v>32</v>
      </c>
      <c r="AD621" s="292" t="s">
        <v>377</v>
      </c>
      <c r="AE621" s="299" t="s">
        <v>32</v>
      </c>
      <c r="AF621" s="295" t="s">
        <v>32</v>
      </c>
      <c r="AG621" s="299" t="s">
        <v>32</v>
      </c>
      <c r="AH621" s="299" t="s">
        <v>32</v>
      </c>
      <c r="AI621" s="295" t="s">
        <v>32</v>
      </c>
      <c r="AJ621" s="299" t="s">
        <v>32</v>
      </c>
      <c r="AK621" s="299" t="s">
        <v>32</v>
      </c>
      <c r="AL621" s="295" t="s">
        <v>32</v>
      </c>
      <c r="AM621" s="292" t="s">
        <v>377</v>
      </c>
      <c r="AN621" s="292" t="s">
        <v>18</v>
      </c>
      <c r="AO621" s="288" t="s">
        <v>377</v>
      </c>
      <c r="AP621" s="296" t="s">
        <v>32</v>
      </c>
      <c r="AQ621" s="299" t="s">
        <v>32</v>
      </c>
      <c r="AR621" s="292" t="s">
        <v>377</v>
      </c>
      <c r="AS621" s="295" t="s">
        <v>32</v>
      </c>
      <c r="AT621" s="299" t="s">
        <v>32</v>
      </c>
      <c r="AU621" s="299" t="s">
        <v>32</v>
      </c>
      <c r="AV621" s="295" t="s">
        <v>32</v>
      </c>
      <c r="AW621" s="292" t="s">
        <v>18</v>
      </c>
      <c r="AX621" s="292" t="s">
        <v>377</v>
      </c>
      <c r="AY621" s="288" t="s">
        <v>377</v>
      </c>
      <c r="AZ621" s="299" t="s">
        <v>32</v>
      </c>
      <c r="BA621" s="299" t="s">
        <v>32</v>
      </c>
      <c r="BB621" s="295" t="s">
        <v>32</v>
      </c>
      <c r="BC621" s="296" t="s">
        <v>32</v>
      </c>
      <c r="BD621" s="292"/>
    </row>
    <row r="622" ht="12.75" customHeight="1">
      <c r="A622" s="293">
        <v>44798.03656472222</v>
      </c>
      <c r="B622" s="297" t="s">
        <v>375</v>
      </c>
      <c r="C622" s="298" t="s">
        <v>567</v>
      </c>
      <c r="D622" s="298" t="s">
        <v>16</v>
      </c>
      <c r="E622" s="285" t="s">
        <v>476</v>
      </c>
      <c r="F622" s="292" t="s">
        <v>1169</v>
      </c>
      <c r="G622" s="298" t="s">
        <v>21</v>
      </c>
      <c r="H622" s="298">
        <v>11.0</v>
      </c>
      <c r="I622" s="292" t="s">
        <v>479</v>
      </c>
      <c r="J622" s="292" t="s">
        <v>532</v>
      </c>
      <c r="K622" s="287" t="s">
        <v>532</v>
      </c>
      <c r="L622" s="292" t="s">
        <v>479</v>
      </c>
      <c r="M622" s="292" t="s">
        <v>481</v>
      </c>
      <c r="N622" s="292"/>
      <c r="O622" s="292"/>
      <c r="P622" s="292"/>
      <c r="Q622" s="299" t="s">
        <v>32</v>
      </c>
      <c r="R622" s="292" t="s">
        <v>377</v>
      </c>
      <c r="S622" s="295" t="s">
        <v>32</v>
      </c>
      <c r="T622" s="292" t="s">
        <v>18</v>
      </c>
      <c r="U622" s="299" t="s">
        <v>32</v>
      </c>
      <c r="V622" s="288" t="s">
        <v>377</v>
      </c>
      <c r="W622" s="292" t="s">
        <v>377</v>
      </c>
      <c r="X622" s="292" t="s">
        <v>18</v>
      </c>
      <c r="Y622" s="288" t="s">
        <v>377</v>
      </c>
      <c r="Z622" s="292" t="s">
        <v>377</v>
      </c>
      <c r="AA622" s="292" t="s">
        <v>18</v>
      </c>
      <c r="AB622" s="288" t="s">
        <v>377</v>
      </c>
      <c r="AC622" s="289" t="s">
        <v>377</v>
      </c>
      <c r="AD622" s="292" t="s">
        <v>377</v>
      </c>
      <c r="AE622" s="299" t="s">
        <v>32</v>
      </c>
      <c r="AF622" s="295" t="s">
        <v>32</v>
      </c>
      <c r="AG622" s="292" t="s">
        <v>377</v>
      </c>
      <c r="AH622" s="292" t="s">
        <v>18</v>
      </c>
      <c r="AI622" s="288" t="s">
        <v>377</v>
      </c>
      <c r="AJ622" s="299" t="s">
        <v>32</v>
      </c>
      <c r="AK622" s="292" t="s">
        <v>377</v>
      </c>
      <c r="AL622" s="295" t="s">
        <v>32</v>
      </c>
      <c r="AM622" s="292" t="s">
        <v>18</v>
      </c>
      <c r="AN622" s="292" t="s">
        <v>18</v>
      </c>
      <c r="AO622" s="288" t="s">
        <v>18</v>
      </c>
      <c r="AP622" s="289" t="s">
        <v>377</v>
      </c>
      <c r="AQ622" s="299" t="s">
        <v>32</v>
      </c>
      <c r="AR622" s="292" t="s">
        <v>18</v>
      </c>
      <c r="AS622" s="288" t="s">
        <v>377</v>
      </c>
      <c r="AT622" s="299" t="s">
        <v>32</v>
      </c>
      <c r="AU622" s="299" t="s">
        <v>32</v>
      </c>
      <c r="AV622" s="295" t="s">
        <v>32</v>
      </c>
      <c r="AW622" s="292" t="s">
        <v>18</v>
      </c>
      <c r="AX622" s="292" t="s">
        <v>377</v>
      </c>
      <c r="AY622" s="288" t="s">
        <v>377</v>
      </c>
      <c r="AZ622" s="299" t="s">
        <v>32</v>
      </c>
      <c r="BA622" s="292" t="s">
        <v>18</v>
      </c>
      <c r="BB622" s="288" t="s">
        <v>377</v>
      </c>
      <c r="BC622" s="296" t="s">
        <v>32</v>
      </c>
      <c r="BD622" s="292"/>
    </row>
    <row r="623" ht="12.75" customHeight="1">
      <c r="A623" s="293">
        <v>44798.03925469908</v>
      </c>
      <c r="B623" s="297" t="s">
        <v>375</v>
      </c>
      <c r="C623" s="298" t="s">
        <v>567</v>
      </c>
      <c r="D623" s="298" t="s">
        <v>16</v>
      </c>
      <c r="E623" s="285" t="s">
        <v>476</v>
      </c>
      <c r="F623" s="292" t="s">
        <v>1170</v>
      </c>
      <c r="G623" s="298" t="s">
        <v>21</v>
      </c>
      <c r="H623" s="298">
        <v>12.0</v>
      </c>
      <c r="I623" s="292" t="s">
        <v>479</v>
      </c>
      <c r="J623" s="292" t="s">
        <v>532</v>
      </c>
      <c r="K623" s="287" t="s">
        <v>532</v>
      </c>
      <c r="L623" s="292" t="s">
        <v>479</v>
      </c>
      <c r="M623" s="292" t="s">
        <v>481</v>
      </c>
      <c r="N623" s="292"/>
      <c r="O623" s="292"/>
      <c r="P623" s="292"/>
      <c r="Q623" s="299" t="s">
        <v>32</v>
      </c>
      <c r="R623" s="299" t="s">
        <v>32</v>
      </c>
      <c r="S623" s="295" t="s">
        <v>32</v>
      </c>
      <c r="T623" s="292" t="s">
        <v>18</v>
      </c>
      <c r="U623" s="299" t="s">
        <v>32</v>
      </c>
      <c r="V623" s="288" t="s">
        <v>377</v>
      </c>
      <c r="W623" s="299" t="s">
        <v>32</v>
      </c>
      <c r="X623" s="299" t="s">
        <v>32</v>
      </c>
      <c r="Y623" s="295" t="s">
        <v>32</v>
      </c>
      <c r="Z623" s="299" t="s">
        <v>32</v>
      </c>
      <c r="AA623" s="292" t="s">
        <v>18</v>
      </c>
      <c r="AB623" s="288" t="s">
        <v>377</v>
      </c>
      <c r="AC623" s="296" t="s">
        <v>32</v>
      </c>
      <c r="AD623" s="292" t="s">
        <v>377</v>
      </c>
      <c r="AE623" s="292" t="s">
        <v>377</v>
      </c>
      <c r="AF623" s="288" t="s">
        <v>377</v>
      </c>
      <c r="AG623" s="299" t="s">
        <v>32</v>
      </c>
      <c r="AH623" s="292" t="s">
        <v>18</v>
      </c>
      <c r="AI623" s="288" t="s">
        <v>377</v>
      </c>
      <c r="AJ623" s="292" t="s">
        <v>377</v>
      </c>
      <c r="AK623" s="292" t="s">
        <v>377</v>
      </c>
      <c r="AL623" s="288" t="s">
        <v>377</v>
      </c>
      <c r="AM623" s="292" t="s">
        <v>377</v>
      </c>
      <c r="AN623" s="292" t="s">
        <v>377</v>
      </c>
      <c r="AO623" s="288" t="s">
        <v>377</v>
      </c>
      <c r="AP623" s="289" t="s">
        <v>377</v>
      </c>
      <c r="AQ623" s="299" t="s">
        <v>32</v>
      </c>
      <c r="AR623" s="292" t="s">
        <v>18</v>
      </c>
      <c r="AS623" s="288" t="s">
        <v>377</v>
      </c>
      <c r="AT623" s="299" t="s">
        <v>32</v>
      </c>
      <c r="AU623" s="299" t="s">
        <v>32</v>
      </c>
      <c r="AV623" s="295" t="s">
        <v>32</v>
      </c>
      <c r="AW623" s="292" t="s">
        <v>18</v>
      </c>
      <c r="AX623" s="292" t="s">
        <v>377</v>
      </c>
      <c r="AY623" s="288" t="s">
        <v>377</v>
      </c>
      <c r="AZ623" s="299" t="s">
        <v>32</v>
      </c>
      <c r="BA623" s="299" t="s">
        <v>32</v>
      </c>
      <c r="BB623" s="288" t="s">
        <v>377</v>
      </c>
      <c r="BC623" s="296" t="s">
        <v>32</v>
      </c>
      <c r="BD623" s="292"/>
    </row>
    <row r="624" ht="12.75" customHeight="1">
      <c r="A624" s="293">
        <v>44798.06771707176</v>
      </c>
      <c r="B624" s="297" t="s">
        <v>375</v>
      </c>
      <c r="C624" s="298" t="s">
        <v>567</v>
      </c>
      <c r="D624" s="298" t="s">
        <v>16</v>
      </c>
      <c r="E624" s="285" t="s">
        <v>476</v>
      </c>
      <c r="F624" s="292" t="s">
        <v>1171</v>
      </c>
      <c r="G624" s="298" t="s">
        <v>21</v>
      </c>
      <c r="H624" s="298">
        <v>11.0</v>
      </c>
      <c r="I624" s="292" t="s">
        <v>479</v>
      </c>
      <c r="J624" s="292" t="s">
        <v>532</v>
      </c>
      <c r="K624" s="287" t="s">
        <v>532</v>
      </c>
      <c r="L624" s="292" t="s">
        <v>479</v>
      </c>
      <c r="M624" s="292" t="s">
        <v>483</v>
      </c>
      <c r="N624" s="292"/>
      <c r="O624" s="292"/>
      <c r="P624" s="292"/>
      <c r="Q624" s="299" t="s">
        <v>32</v>
      </c>
      <c r="R624" s="299" t="s">
        <v>32</v>
      </c>
      <c r="S624" s="295" t="s">
        <v>32</v>
      </c>
      <c r="T624" s="299" t="s">
        <v>32</v>
      </c>
      <c r="U624" s="299" t="s">
        <v>32</v>
      </c>
      <c r="V624" s="295" t="s">
        <v>32</v>
      </c>
      <c r="W624" s="299" t="s">
        <v>32</v>
      </c>
      <c r="X624" s="299" t="s">
        <v>32</v>
      </c>
      <c r="Y624" s="295" t="s">
        <v>32</v>
      </c>
      <c r="Z624" s="299" t="s">
        <v>32</v>
      </c>
      <c r="AA624" s="299" t="s">
        <v>32</v>
      </c>
      <c r="AB624" s="295" t="s">
        <v>32</v>
      </c>
      <c r="AC624" s="296" t="s">
        <v>32</v>
      </c>
      <c r="AD624" s="299" t="s">
        <v>32</v>
      </c>
      <c r="AE624" s="299" t="s">
        <v>32</v>
      </c>
      <c r="AF624" s="295" t="s">
        <v>32</v>
      </c>
      <c r="AG624" s="299" t="s">
        <v>32</v>
      </c>
      <c r="AH624" s="299" t="s">
        <v>32</v>
      </c>
      <c r="AI624" s="295" t="s">
        <v>32</v>
      </c>
      <c r="AJ624" s="299" t="s">
        <v>32</v>
      </c>
      <c r="AK624" s="299" t="s">
        <v>32</v>
      </c>
      <c r="AL624" s="295" t="s">
        <v>32</v>
      </c>
      <c r="AM624" s="299" t="s">
        <v>32</v>
      </c>
      <c r="AN624" s="299" t="s">
        <v>32</v>
      </c>
      <c r="AO624" s="295" t="s">
        <v>32</v>
      </c>
      <c r="AP624" s="296" t="s">
        <v>32</v>
      </c>
      <c r="AQ624" s="299" t="s">
        <v>32</v>
      </c>
      <c r="AR624" s="299" t="s">
        <v>32</v>
      </c>
      <c r="AS624" s="295" t="s">
        <v>32</v>
      </c>
      <c r="AT624" s="299" t="s">
        <v>32</v>
      </c>
      <c r="AU624" s="292" t="s">
        <v>377</v>
      </c>
      <c r="AV624" s="295" t="s">
        <v>32</v>
      </c>
      <c r="AW624" s="292" t="s">
        <v>377</v>
      </c>
      <c r="AX624" s="299" t="s">
        <v>32</v>
      </c>
      <c r="AY624" s="295" t="s">
        <v>32</v>
      </c>
      <c r="AZ624" s="299" t="s">
        <v>32</v>
      </c>
      <c r="BA624" s="292" t="s">
        <v>18</v>
      </c>
      <c r="BB624" s="295" t="s">
        <v>32</v>
      </c>
      <c r="BC624" s="296" t="s">
        <v>32</v>
      </c>
      <c r="BD624" s="292"/>
    </row>
    <row r="625" ht="12.75" customHeight="1">
      <c r="A625" s="293">
        <v>44798.094158506945</v>
      </c>
      <c r="B625" s="297" t="s">
        <v>375</v>
      </c>
      <c r="C625" s="298" t="s">
        <v>567</v>
      </c>
      <c r="D625" s="298" t="s">
        <v>16</v>
      </c>
      <c r="E625" s="285" t="s">
        <v>476</v>
      </c>
      <c r="F625" s="292" t="s">
        <v>1172</v>
      </c>
      <c r="G625" s="298" t="s">
        <v>21</v>
      </c>
      <c r="H625" s="298">
        <v>12.0</v>
      </c>
      <c r="I625" s="292" t="s">
        <v>479</v>
      </c>
      <c r="J625" s="292" t="s">
        <v>532</v>
      </c>
      <c r="K625" s="287" t="s">
        <v>532</v>
      </c>
      <c r="L625" s="292" t="s">
        <v>479</v>
      </c>
      <c r="M625" s="292" t="s">
        <v>483</v>
      </c>
      <c r="N625" s="292"/>
      <c r="O625" s="292"/>
      <c r="P625" s="292"/>
      <c r="Q625" s="299" t="s">
        <v>32</v>
      </c>
      <c r="R625" s="299" t="s">
        <v>32</v>
      </c>
      <c r="S625" s="295" t="s">
        <v>32</v>
      </c>
      <c r="T625" s="292" t="s">
        <v>377</v>
      </c>
      <c r="U625" s="299" t="s">
        <v>32</v>
      </c>
      <c r="V625" s="295" t="s">
        <v>32</v>
      </c>
      <c r="W625" s="299" t="s">
        <v>32</v>
      </c>
      <c r="X625" s="299" t="s">
        <v>32</v>
      </c>
      <c r="Y625" s="295" t="s">
        <v>32</v>
      </c>
      <c r="Z625" s="299" t="s">
        <v>32</v>
      </c>
      <c r="AA625" s="299" t="s">
        <v>32</v>
      </c>
      <c r="AB625" s="295" t="s">
        <v>32</v>
      </c>
      <c r="AC625" s="296" t="s">
        <v>32</v>
      </c>
      <c r="AD625" s="299" t="s">
        <v>32</v>
      </c>
      <c r="AE625" s="292" t="s">
        <v>377</v>
      </c>
      <c r="AF625" s="295" t="s">
        <v>32</v>
      </c>
      <c r="AG625" s="299" t="s">
        <v>32</v>
      </c>
      <c r="AH625" s="292" t="s">
        <v>377</v>
      </c>
      <c r="AI625" s="295" t="s">
        <v>32</v>
      </c>
      <c r="AJ625" s="299" t="s">
        <v>32</v>
      </c>
      <c r="AK625" s="299" t="s">
        <v>32</v>
      </c>
      <c r="AL625" s="295" t="s">
        <v>32</v>
      </c>
      <c r="AM625" s="299" t="s">
        <v>32</v>
      </c>
      <c r="AN625" s="292" t="s">
        <v>377</v>
      </c>
      <c r="AO625" s="295" t="s">
        <v>32</v>
      </c>
      <c r="AP625" s="296" t="s">
        <v>32</v>
      </c>
      <c r="AQ625" s="292" t="s">
        <v>377</v>
      </c>
      <c r="AR625" s="299" t="s">
        <v>32</v>
      </c>
      <c r="AS625" s="295" t="s">
        <v>32</v>
      </c>
      <c r="AT625" s="299" t="s">
        <v>32</v>
      </c>
      <c r="AU625" s="299" t="s">
        <v>32</v>
      </c>
      <c r="AV625" s="295" t="s">
        <v>32</v>
      </c>
      <c r="AW625" s="292" t="s">
        <v>377</v>
      </c>
      <c r="AX625" s="299" t="s">
        <v>32</v>
      </c>
      <c r="AY625" s="295" t="s">
        <v>32</v>
      </c>
      <c r="AZ625" s="299" t="s">
        <v>32</v>
      </c>
      <c r="BA625" s="292" t="s">
        <v>377</v>
      </c>
      <c r="BB625" s="288" t="s">
        <v>18</v>
      </c>
      <c r="BC625" s="289" t="s">
        <v>377</v>
      </c>
      <c r="BD625" s="292"/>
    </row>
    <row r="626" ht="12.75" customHeight="1">
      <c r="A626" s="293">
        <v>44798.09678790509</v>
      </c>
      <c r="B626" s="297" t="s">
        <v>375</v>
      </c>
      <c r="C626" s="298" t="s">
        <v>567</v>
      </c>
      <c r="D626" s="298" t="s">
        <v>16</v>
      </c>
      <c r="E626" s="285" t="s">
        <v>476</v>
      </c>
      <c r="F626" s="292" t="s">
        <v>1173</v>
      </c>
      <c r="G626" s="298" t="s">
        <v>17</v>
      </c>
      <c r="H626" s="298">
        <v>12.0</v>
      </c>
      <c r="I626" s="292" t="s">
        <v>479</v>
      </c>
      <c r="J626" s="292" t="s">
        <v>532</v>
      </c>
      <c r="K626" s="287" t="s">
        <v>532</v>
      </c>
      <c r="L626" s="292" t="s">
        <v>479</v>
      </c>
      <c r="M626" s="292" t="s">
        <v>483</v>
      </c>
      <c r="N626" s="292"/>
      <c r="O626" s="292"/>
      <c r="P626" s="292"/>
      <c r="Q626" s="292" t="s">
        <v>377</v>
      </c>
      <c r="R626" s="299" t="s">
        <v>32</v>
      </c>
      <c r="S626" s="295" t="s">
        <v>32</v>
      </c>
      <c r="T626" s="292" t="s">
        <v>18</v>
      </c>
      <c r="U626" s="292" t="s">
        <v>18</v>
      </c>
      <c r="V626" s="288" t="s">
        <v>18</v>
      </c>
      <c r="W626" s="299" t="s">
        <v>32</v>
      </c>
      <c r="X626" s="292" t="s">
        <v>377</v>
      </c>
      <c r="Y626" s="295" t="s">
        <v>32</v>
      </c>
      <c r="Z626" s="292" t="s">
        <v>377</v>
      </c>
      <c r="AA626" s="299" t="s">
        <v>32</v>
      </c>
      <c r="AB626" s="295" t="s">
        <v>32</v>
      </c>
      <c r="AC626" s="289" t="s">
        <v>377</v>
      </c>
      <c r="AD626" s="292" t="s">
        <v>18</v>
      </c>
      <c r="AE626" s="292" t="s">
        <v>377</v>
      </c>
      <c r="AF626" s="288" t="s">
        <v>377</v>
      </c>
      <c r="AG626" s="292" t="s">
        <v>377</v>
      </c>
      <c r="AH626" s="292" t="s">
        <v>18</v>
      </c>
      <c r="AI626" s="288" t="s">
        <v>377</v>
      </c>
      <c r="AJ626" s="292" t="s">
        <v>18</v>
      </c>
      <c r="AK626" s="299" t="s">
        <v>32</v>
      </c>
      <c r="AL626" s="288" t="s">
        <v>377</v>
      </c>
      <c r="AM626" s="292" t="s">
        <v>18</v>
      </c>
      <c r="AN626" s="292" t="s">
        <v>18</v>
      </c>
      <c r="AO626" s="288" t="s">
        <v>18</v>
      </c>
      <c r="AP626" s="289" t="s">
        <v>377</v>
      </c>
      <c r="AQ626" s="292" t="s">
        <v>18</v>
      </c>
      <c r="AR626" s="292" t="s">
        <v>18</v>
      </c>
      <c r="AS626" s="288" t="s">
        <v>18</v>
      </c>
      <c r="AT626" s="292" t="s">
        <v>18</v>
      </c>
      <c r="AU626" s="299" t="s">
        <v>32</v>
      </c>
      <c r="AV626" s="288" t="s">
        <v>377</v>
      </c>
      <c r="AW626" s="292" t="s">
        <v>18</v>
      </c>
      <c r="AX626" s="292" t="s">
        <v>377</v>
      </c>
      <c r="AY626" s="288" t="s">
        <v>377</v>
      </c>
      <c r="AZ626" s="299" t="s">
        <v>32</v>
      </c>
      <c r="BA626" s="292" t="s">
        <v>18</v>
      </c>
      <c r="BB626" s="295" t="s">
        <v>32</v>
      </c>
      <c r="BC626" s="296" t="s">
        <v>32</v>
      </c>
      <c r="BD626" s="292"/>
    </row>
    <row r="627" ht="12.75" customHeight="1">
      <c r="A627" s="293">
        <v>44798.31637690972</v>
      </c>
      <c r="B627" s="297" t="s">
        <v>375</v>
      </c>
      <c r="C627" s="298" t="s">
        <v>567</v>
      </c>
      <c r="D627" s="298" t="s">
        <v>16</v>
      </c>
      <c r="E627" s="285" t="s">
        <v>476</v>
      </c>
      <c r="F627" s="292" t="s">
        <v>1174</v>
      </c>
      <c r="G627" s="298" t="s">
        <v>17</v>
      </c>
      <c r="H627" s="298">
        <v>13.0</v>
      </c>
      <c r="I627" s="292" t="s">
        <v>479</v>
      </c>
      <c r="J627" s="292" t="s">
        <v>532</v>
      </c>
      <c r="K627" s="287" t="s">
        <v>532</v>
      </c>
      <c r="L627" s="292" t="s">
        <v>479</v>
      </c>
      <c r="M627" s="292" t="s">
        <v>500</v>
      </c>
      <c r="N627" s="292"/>
      <c r="O627" s="292"/>
      <c r="P627" s="292"/>
      <c r="Q627" s="299" t="s">
        <v>32</v>
      </c>
      <c r="R627" s="299" t="s">
        <v>32</v>
      </c>
      <c r="S627" s="295" t="s">
        <v>32</v>
      </c>
      <c r="T627" s="299" t="s">
        <v>32</v>
      </c>
      <c r="U627" s="299" t="s">
        <v>32</v>
      </c>
      <c r="V627" s="295" t="s">
        <v>32</v>
      </c>
      <c r="W627" s="299" t="s">
        <v>32</v>
      </c>
      <c r="X627" s="292" t="s">
        <v>377</v>
      </c>
      <c r="Y627" s="295" t="s">
        <v>32</v>
      </c>
      <c r="Z627" s="292" t="s">
        <v>377</v>
      </c>
      <c r="AA627" s="292" t="s">
        <v>377</v>
      </c>
      <c r="AB627" s="288" t="s">
        <v>377</v>
      </c>
      <c r="AC627" s="296" t="s">
        <v>32</v>
      </c>
      <c r="AD627" s="292" t="s">
        <v>377</v>
      </c>
      <c r="AE627" s="292" t="s">
        <v>377</v>
      </c>
      <c r="AF627" s="288" t="s">
        <v>377</v>
      </c>
      <c r="AG627" s="292" t="s">
        <v>377</v>
      </c>
      <c r="AH627" s="292" t="s">
        <v>377</v>
      </c>
      <c r="AI627" s="288" t="s">
        <v>377</v>
      </c>
      <c r="AJ627" s="292" t="s">
        <v>377</v>
      </c>
      <c r="AK627" s="292" t="s">
        <v>377</v>
      </c>
      <c r="AL627" s="288" t="s">
        <v>377</v>
      </c>
      <c r="AM627" s="292" t="s">
        <v>377</v>
      </c>
      <c r="AN627" s="292" t="s">
        <v>377</v>
      </c>
      <c r="AO627" s="288" t="s">
        <v>377</v>
      </c>
      <c r="AP627" s="289" t="s">
        <v>377</v>
      </c>
      <c r="AQ627" s="292" t="s">
        <v>377</v>
      </c>
      <c r="AR627" s="292" t="s">
        <v>377</v>
      </c>
      <c r="AS627" s="288" t="s">
        <v>377</v>
      </c>
      <c r="AT627" s="292" t="s">
        <v>377</v>
      </c>
      <c r="AU627" s="292" t="s">
        <v>377</v>
      </c>
      <c r="AV627" s="288" t="s">
        <v>377</v>
      </c>
      <c r="AW627" s="292" t="s">
        <v>377</v>
      </c>
      <c r="AX627" s="292" t="s">
        <v>377</v>
      </c>
      <c r="AY627" s="288" t="s">
        <v>377</v>
      </c>
      <c r="AZ627" s="292" t="s">
        <v>377</v>
      </c>
      <c r="BA627" s="292" t="s">
        <v>377</v>
      </c>
      <c r="BB627" s="295" t="s">
        <v>32</v>
      </c>
      <c r="BC627" s="296" t="s">
        <v>32</v>
      </c>
      <c r="BD627" s="292"/>
    </row>
    <row r="628" ht="12.75" customHeight="1">
      <c r="A628" s="293">
        <v>44798.32492834491</v>
      </c>
      <c r="B628" s="297" t="s">
        <v>375</v>
      </c>
      <c r="C628" s="298" t="s">
        <v>567</v>
      </c>
      <c r="D628" s="298" t="s">
        <v>16</v>
      </c>
      <c r="E628" s="285" t="s">
        <v>476</v>
      </c>
      <c r="F628" s="292" t="s">
        <v>534</v>
      </c>
      <c r="G628" s="298" t="s">
        <v>17</v>
      </c>
      <c r="H628" s="298">
        <v>12.0</v>
      </c>
      <c r="I628" s="292" t="s">
        <v>479</v>
      </c>
      <c r="J628" s="292" t="s">
        <v>532</v>
      </c>
      <c r="K628" s="287" t="s">
        <v>532</v>
      </c>
      <c r="L628" s="292" t="s">
        <v>479</v>
      </c>
      <c r="M628" s="292" t="s">
        <v>490</v>
      </c>
      <c r="N628" s="292"/>
      <c r="O628" s="292"/>
      <c r="P628" s="292"/>
      <c r="Q628" s="292" t="s">
        <v>377</v>
      </c>
      <c r="R628" s="292" t="s">
        <v>18</v>
      </c>
      <c r="S628" s="288" t="s">
        <v>377</v>
      </c>
      <c r="T628" s="299" t="s">
        <v>32</v>
      </c>
      <c r="U628" s="299" t="s">
        <v>32</v>
      </c>
      <c r="V628" s="295" t="s">
        <v>32</v>
      </c>
      <c r="W628" s="299" t="s">
        <v>32</v>
      </c>
      <c r="X628" s="292" t="s">
        <v>18</v>
      </c>
      <c r="Y628" s="288" t="s">
        <v>377</v>
      </c>
      <c r="Z628" s="292" t="s">
        <v>377</v>
      </c>
      <c r="AA628" s="299" t="s">
        <v>32</v>
      </c>
      <c r="AB628" s="295" t="s">
        <v>32</v>
      </c>
      <c r="AC628" s="289" t="s">
        <v>377</v>
      </c>
      <c r="AD628" s="292" t="s">
        <v>377</v>
      </c>
      <c r="AE628" s="299" t="s">
        <v>32</v>
      </c>
      <c r="AF628" s="295" t="s">
        <v>32</v>
      </c>
      <c r="AG628" s="292" t="s">
        <v>377</v>
      </c>
      <c r="AH628" s="292" t="s">
        <v>377</v>
      </c>
      <c r="AI628" s="288" t="s">
        <v>377</v>
      </c>
      <c r="AJ628" s="299" t="s">
        <v>32</v>
      </c>
      <c r="AK628" s="292" t="s">
        <v>377</v>
      </c>
      <c r="AL628" s="295" t="s">
        <v>32</v>
      </c>
      <c r="AM628" s="292" t="s">
        <v>18</v>
      </c>
      <c r="AN628" s="292" t="s">
        <v>377</v>
      </c>
      <c r="AO628" s="288" t="s">
        <v>377</v>
      </c>
      <c r="AP628" s="289" t="s">
        <v>377</v>
      </c>
      <c r="AQ628" s="299" t="s">
        <v>32</v>
      </c>
      <c r="AR628" s="292" t="s">
        <v>18</v>
      </c>
      <c r="AS628" s="288" t="s">
        <v>377</v>
      </c>
      <c r="AT628" s="299" t="s">
        <v>32</v>
      </c>
      <c r="AU628" s="299" t="s">
        <v>32</v>
      </c>
      <c r="AV628" s="295" t="s">
        <v>32</v>
      </c>
      <c r="AW628" s="292" t="s">
        <v>377</v>
      </c>
      <c r="AX628" s="299" t="s">
        <v>32</v>
      </c>
      <c r="AY628" s="295" t="s">
        <v>32</v>
      </c>
      <c r="AZ628" s="299" t="s">
        <v>32</v>
      </c>
      <c r="BA628" s="292" t="s">
        <v>377</v>
      </c>
      <c r="BB628" s="288" t="s">
        <v>377</v>
      </c>
      <c r="BC628" s="296" t="s">
        <v>32</v>
      </c>
      <c r="BD628" s="292"/>
    </row>
    <row r="629" ht="12.75" customHeight="1">
      <c r="A629" s="293">
        <v>44798.32721184028</v>
      </c>
      <c r="B629" s="297" t="s">
        <v>375</v>
      </c>
      <c r="C629" s="298" t="s">
        <v>567</v>
      </c>
      <c r="D629" s="298" t="s">
        <v>16</v>
      </c>
      <c r="E629" s="285" t="s">
        <v>476</v>
      </c>
      <c r="F629" s="292" t="s">
        <v>1175</v>
      </c>
      <c r="G629" s="298" t="s">
        <v>17</v>
      </c>
      <c r="H629" s="298">
        <v>12.0</v>
      </c>
      <c r="I629" s="292" t="s">
        <v>479</v>
      </c>
      <c r="J629" s="292" t="s">
        <v>532</v>
      </c>
      <c r="K629" s="287" t="s">
        <v>532</v>
      </c>
      <c r="L629" s="292" t="s">
        <v>479</v>
      </c>
      <c r="M629" s="292" t="s">
        <v>490</v>
      </c>
      <c r="N629" s="292"/>
      <c r="O629" s="292"/>
      <c r="P629" s="292"/>
      <c r="Q629" s="299" t="s">
        <v>32</v>
      </c>
      <c r="R629" s="299" t="s">
        <v>32</v>
      </c>
      <c r="S629" s="295" t="s">
        <v>32</v>
      </c>
      <c r="T629" s="292" t="s">
        <v>377</v>
      </c>
      <c r="U629" s="292" t="s">
        <v>377</v>
      </c>
      <c r="V629" s="288" t="s">
        <v>377</v>
      </c>
      <c r="W629" s="292" t="s">
        <v>18</v>
      </c>
      <c r="X629" s="299" t="s">
        <v>32</v>
      </c>
      <c r="Y629" s="288" t="s">
        <v>377</v>
      </c>
      <c r="Z629" s="299" t="s">
        <v>32</v>
      </c>
      <c r="AA629" s="292" t="s">
        <v>377</v>
      </c>
      <c r="AB629" s="295" t="s">
        <v>32</v>
      </c>
      <c r="AC629" s="289" t="s">
        <v>377</v>
      </c>
      <c r="AD629" s="292" t="s">
        <v>377</v>
      </c>
      <c r="AE629" s="292" t="s">
        <v>18</v>
      </c>
      <c r="AF629" s="288" t="s">
        <v>377</v>
      </c>
      <c r="AG629" s="292" t="s">
        <v>377</v>
      </c>
      <c r="AH629" s="299" t="s">
        <v>32</v>
      </c>
      <c r="AI629" s="295" t="s">
        <v>32</v>
      </c>
      <c r="AJ629" s="292" t="s">
        <v>18</v>
      </c>
      <c r="AK629" s="299" t="s">
        <v>32</v>
      </c>
      <c r="AL629" s="288" t="s">
        <v>377</v>
      </c>
      <c r="AM629" s="292" t="s">
        <v>18</v>
      </c>
      <c r="AN629" s="292" t="s">
        <v>18</v>
      </c>
      <c r="AO629" s="288" t="s">
        <v>18</v>
      </c>
      <c r="AP629" s="289" t="s">
        <v>377</v>
      </c>
      <c r="AQ629" s="292" t="s">
        <v>18</v>
      </c>
      <c r="AR629" s="299" t="s">
        <v>32</v>
      </c>
      <c r="AS629" s="288" t="s">
        <v>377</v>
      </c>
      <c r="AT629" s="299" t="s">
        <v>32</v>
      </c>
      <c r="AU629" s="292" t="s">
        <v>377</v>
      </c>
      <c r="AV629" s="295" t="s">
        <v>32</v>
      </c>
      <c r="AW629" s="292" t="s">
        <v>18</v>
      </c>
      <c r="AX629" s="299" t="s">
        <v>32</v>
      </c>
      <c r="AY629" s="288" t="s">
        <v>377</v>
      </c>
      <c r="AZ629" s="292" t="s">
        <v>377</v>
      </c>
      <c r="BA629" s="292" t="s">
        <v>377</v>
      </c>
      <c r="BB629" s="288" t="s">
        <v>377</v>
      </c>
      <c r="BC629" s="289" t="s">
        <v>377</v>
      </c>
      <c r="BD629" s="292"/>
    </row>
    <row r="630" ht="12.75" customHeight="1">
      <c r="A630" s="293">
        <v>44798.331187222226</v>
      </c>
      <c r="B630" s="297" t="s">
        <v>375</v>
      </c>
      <c r="C630" s="298" t="s">
        <v>567</v>
      </c>
      <c r="D630" s="298" t="s">
        <v>16</v>
      </c>
      <c r="E630" s="285" t="s">
        <v>476</v>
      </c>
      <c r="F630" s="292" t="s">
        <v>1176</v>
      </c>
      <c r="G630" s="298" t="s">
        <v>17</v>
      </c>
      <c r="H630" s="298">
        <v>12.0</v>
      </c>
      <c r="I630" s="292" t="s">
        <v>479</v>
      </c>
      <c r="J630" s="292" t="s">
        <v>532</v>
      </c>
      <c r="K630" s="287" t="s">
        <v>532</v>
      </c>
      <c r="L630" s="292" t="s">
        <v>479</v>
      </c>
      <c r="M630" s="292" t="s">
        <v>490</v>
      </c>
      <c r="N630" s="292"/>
      <c r="O630" s="292"/>
      <c r="P630" s="292"/>
      <c r="Q630" s="299" t="s">
        <v>32</v>
      </c>
      <c r="R630" s="299" t="s">
        <v>32</v>
      </c>
      <c r="S630" s="295" t="s">
        <v>32</v>
      </c>
      <c r="T630" s="292" t="s">
        <v>377</v>
      </c>
      <c r="U630" s="299" t="s">
        <v>32</v>
      </c>
      <c r="V630" s="295" t="s">
        <v>32</v>
      </c>
      <c r="W630" s="292" t="s">
        <v>377</v>
      </c>
      <c r="X630" s="292" t="s">
        <v>377</v>
      </c>
      <c r="Y630" s="288" t="s">
        <v>377</v>
      </c>
      <c r="Z630" s="299" t="s">
        <v>32</v>
      </c>
      <c r="AA630" s="299" t="s">
        <v>32</v>
      </c>
      <c r="AB630" s="295" t="s">
        <v>32</v>
      </c>
      <c r="AC630" s="296" t="s">
        <v>32</v>
      </c>
      <c r="AD630" s="292" t="s">
        <v>377</v>
      </c>
      <c r="AE630" s="299" t="s">
        <v>32</v>
      </c>
      <c r="AF630" s="295" t="s">
        <v>32</v>
      </c>
      <c r="AG630" s="292" t="s">
        <v>377</v>
      </c>
      <c r="AH630" s="292" t="s">
        <v>18</v>
      </c>
      <c r="AI630" s="288" t="s">
        <v>377</v>
      </c>
      <c r="AJ630" s="292" t="s">
        <v>377</v>
      </c>
      <c r="AK630" s="299" t="s">
        <v>32</v>
      </c>
      <c r="AL630" s="295" t="s">
        <v>32</v>
      </c>
      <c r="AM630" s="292" t="s">
        <v>377</v>
      </c>
      <c r="AN630" s="292" t="s">
        <v>377</v>
      </c>
      <c r="AO630" s="288" t="s">
        <v>377</v>
      </c>
      <c r="AP630" s="289" t="s">
        <v>377</v>
      </c>
      <c r="AQ630" s="299" t="s">
        <v>32</v>
      </c>
      <c r="AR630" s="292" t="s">
        <v>377</v>
      </c>
      <c r="AS630" s="295" t="s">
        <v>32</v>
      </c>
      <c r="AT630" s="299" t="s">
        <v>32</v>
      </c>
      <c r="AU630" s="292" t="s">
        <v>377</v>
      </c>
      <c r="AV630" s="295" t="s">
        <v>32</v>
      </c>
      <c r="AW630" s="292" t="s">
        <v>377</v>
      </c>
      <c r="AX630" s="299" t="s">
        <v>32</v>
      </c>
      <c r="AY630" s="295" t="s">
        <v>32</v>
      </c>
      <c r="AZ630" s="299" t="s">
        <v>32</v>
      </c>
      <c r="BA630" s="299" t="s">
        <v>32</v>
      </c>
      <c r="BB630" s="288" t="s">
        <v>377</v>
      </c>
      <c r="BC630" s="289" t="s">
        <v>377</v>
      </c>
      <c r="BD630" s="292"/>
    </row>
    <row r="631" ht="12.75" customHeight="1">
      <c r="A631" s="293">
        <v>44798.37850172454</v>
      </c>
      <c r="B631" s="297" t="s">
        <v>375</v>
      </c>
      <c r="C631" s="298" t="s">
        <v>567</v>
      </c>
      <c r="D631" s="298" t="s">
        <v>16</v>
      </c>
      <c r="E631" s="285" t="s">
        <v>476</v>
      </c>
      <c r="F631" s="292" t="s">
        <v>1177</v>
      </c>
      <c r="G631" s="298" t="s">
        <v>21</v>
      </c>
      <c r="H631" s="298">
        <v>11.0</v>
      </c>
      <c r="I631" s="292" t="s">
        <v>479</v>
      </c>
      <c r="J631" s="292" t="s">
        <v>532</v>
      </c>
      <c r="K631" s="287" t="s">
        <v>532</v>
      </c>
      <c r="L631" s="292" t="s">
        <v>479</v>
      </c>
      <c r="M631" s="292" t="s">
        <v>483</v>
      </c>
      <c r="N631" s="292"/>
      <c r="O631" s="292"/>
      <c r="P631" s="292"/>
      <c r="Q631" s="299" t="s">
        <v>32</v>
      </c>
      <c r="R631" s="299" t="s">
        <v>32</v>
      </c>
      <c r="S631" s="295" t="s">
        <v>32</v>
      </c>
      <c r="T631" s="299" t="s">
        <v>32</v>
      </c>
      <c r="U631" s="299" t="s">
        <v>32</v>
      </c>
      <c r="V631" s="295" t="s">
        <v>32</v>
      </c>
      <c r="W631" s="299" t="s">
        <v>32</v>
      </c>
      <c r="X631" s="299" t="s">
        <v>32</v>
      </c>
      <c r="Y631" s="295" t="s">
        <v>32</v>
      </c>
      <c r="Z631" s="292" t="s">
        <v>377</v>
      </c>
      <c r="AA631" s="299" t="s">
        <v>32</v>
      </c>
      <c r="AB631" s="295" t="s">
        <v>32</v>
      </c>
      <c r="AC631" s="296" t="s">
        <v>32</v>
      </c>
      <c r="AD631" s="299" t="s">
        <v>32</v>
      </c>
      <c r="AE631" s="299" t="s">
        <v>32</v>
      </c>
      <c r="AF631" s="295" t="s">
        <v>32</v>
      </c>
      <c r="AG631" s="292" t="s">
        <v>377</v>
      </c>
      <c r="AH631" s="299" t="s">
        <v>32</v>
      </c>
      <c r="AI631" s="295" t="s">
        <v>32</v>
      </c>
      <c r="AJ631" s="299" t="s">
        <v>32</v>
      </c>
      <c r="AK631" s="299" t="s">
        <v>32</v>
      </c>
      <c r="AL631" s="295" t="s">
        <v>32</v>
      </c>
      <c r="AM631" s="292" t="s">
        <v>377</v>
      </c>
      <c r="AN631" s="292" t="s">
        <v>377</v>
      </c>
      <c r="AO631" s="288" t="s">
        <v>377</v>
      </c>
      <c r="AP631" s="296" t="s">
        <v>32</v>
      </c>
      <c r="AQ631" s="292" t="s">
        <v>377</v>
      </c>
      <c r="AR631" s="299" t="s">
        <v>32</v>
      </c>
      <c r="AS631" s="295" t="s">
        <v>32</v>
      </c>
      <c r="AT631" s="299" t="s">
        <v>32</v>
      </c>
      <c r="AU631" s="292" t="s">
        <v>377</v>
      </c>
      <c r="AV631" s="295" t="s">
        <v>32</v>
      </c>
      <c r="AW631" s="299" t="s">
        <v>32</v>
      </c>
      <c r="AX631" s="299" t="s">
        <v>32</v>
      </c>
      <c r="AY631" s="295" t="s">
        <v>32</v>
      </c>
      <c r="AZ631" s="292" t="s">
        <v>377</v>
      </c>
      <c r="BA631" s="299" t="s">
        <v>32</v>
      </c>
      <c r="BB631" s="288" t="s">
        <v>377</v>
      </c>
      <c r="BC631" s="289" t="s">
        <v>377</v>
      </c>
      <c r="BD631" s="292"/>
    </row>
    <row r="632" ht="12.75" customHeight="1">
      <c r="A632" s="293">
        <v>44798.38127881945</v>
      </c>
      <c r="B632" s="297" t="s">
        <v>375</v>
      </c>
      <c r="C632" s="298" t="s">
        <v>567</v>
      </c>
      <c r="D632" s="298" t="s">
        <v>16</v>
      </c>
      <c r="E632" s="285" t="s">
        <v>476</v>
      </c>
      <c r="F632" s="292" t="s">
        <v>1178</v>
      </c>
      <c r="G632" s="298" t="s">
        <v>21</v>
      </c>
      <c r="H632" s="298">
        <v>11.0</v>
      </c>
      <c r="I632" s="292" t="s">
        <v>479</v>
      </c>
      <c r="J632" s="292" t="s">
        <v>532</v>
      </c>
      <c r="K632" s="287" t="s">
        <v>532</v>
      </c>
      <c r="L632" s="292" t="s">
        <v>479</v>
      </c>
      <c r="M632" s="292" t="s">
        <v>481</v>
      </c>
      <c r="N632" s="292"/>
      <c r="O632" s="292"/>
      <c r="P632" s="292"/>
      <c r="Q632" s="299" t="s">
        <v>32</v>
      </c>
      <c r="R632" s="299" t="s">
        <v>32</v>
      </c>
      <c r="S632" s="295" t="s">
        <v>32</v>
      </c>
      <c r="T632" s="292" t="s">
        <v>377</v>
      </c>
      <c r="U632" s="299" t="s">
        <v>32</v>
      </c>
      <c r="V632" s="295" t="s">
        <v>32</v>
      </c>
      <c r="W632" s="299" t="s">
        <v>32</v>
      </c>
      <c r="X632" s="292" t="s">
        <v>18</v>
      </c>
      <c r="Y632" s="288" t="s">
        <v>377</v>
      </c>
      <c r="Z632" s="299" t="s">
        <v>32</v>
      </c>
      <c r="AA632" s="292" t="s">
        <v>18</v>
      </c>
      <c r="AB632" s="288" t="s">
        <v>377</v>
      </c>
      <c r="AC632" s="289" t="s">
        <v>377</v>
      </c>
      <c r="AD632" s="299" t="s">
        <v>32</v>
      </c>
      <c r="AE632" s="299" t="s">
        <v>32</v>
      </c>
      <c r="AF632" s="295" t="s">
        <v>32</v>
      </c>
      <c r="AG632" s="299" t="s">
        <v>32</v>
      </c>
      <c r="AH632" s="292" t="s">
        <v>18</v>
      </c>
      <c r="AI632" s="288" t="s">
        <v>377</v>
      </c>
      <c r="AJ632" s="292" t="s">
        <v>18</v>
      </c>
      <c r="AK632" s="299" t="s">
        <v>32</v>
      </c>
      <c r="AL632" s="288" t="s">
        <v>377</v>
      </c>
      <c r="AM632" s="292" t="s">
        <v>18</v>
      </c>
      <c r="AN632" s="292" t="s">
        <v>18</v>
      </c>
      <c r="AO632" s="288" t="s">
        <v>18</v>
      </c>
      <c r="AP632" s="289" t="s">
        <v>377</v>
      </c>
      <c r="AQ632" s="299" t="s">
        <v>32</v>
      </c>
      <c r="AR632" s="292" t="s">
        <v>18</v>
      </c>
      <c r="AS632" s="288" t="s">
        <v>377</v>
      </c>
      <c r="AT632" s="299" t="s">
        <v>32</v>
      </c>
      <c r="AU632" s="299" t="s">
        <v>32</v>
      </c>
      <c r="AV632" s="295" t="s">
        <v>32</v>
      </c>
      <c r="AW632" s="292" t="s">
        <v>18</v>
      </c>
      <c r="AX632" s="299" t="s">
        <v>32</v>
      </c>
      <c r="AY632" s="288" t="s">
        <v>377</v>
      </c>
      <c r="AZ632" s="292" t="s">
        <v>18</v>
      </c>
      <c r="BA632" s="299" t="s">
        <v>32</v>
      </c>
      <c r="BB632" s="295" t="s">
        <v>32</v>
      </c>
      <c r="BC632" s="296" t="s">
        <v>32</v>
      </c>
      <c r="BD632" s="292"/>
    </row>
    <row r="633" ht="12.75" customHeight="1">
      <c r="A633" s="293">
        <v>44798.38350846065</v>
      </c>
      <c r="B633" s="297" t="s">
        <v>375</v>
      </c>
      <c r="C633" s="298" t="s">
        <v>567</v>
      </c>
      <c r="D633" s="298" t="s">
        <v>16</v>
      </c>
      <c r="E633" s="285" t="s">
        <v>476</v>
      </c>
      <c r="F633" s="292" t="s">
        <v>535</v>
      </c>
      <c r="G633" s="298" t="s">
        <v>21</v>
      </c>
      <c r="H633" s="298">
        <v>12.0</v>
      </c>
      <c r="I633" s="292" t="s">
        <v>479</v>
      </c>
      <c r="J633" s="292" t="s">
        <v>532</v>
      </c>
      <c r="K633" s="287" t="s">
        <v>532</v>
      </c>
      <c r="L633" s="292" t="s">
        <v>479</v>
      </c>
      <c r="M633" s="292" t="s">
        <v>483</v>
      </c>
      <c r="N633" s="292"/>
      <c r="O633" s="292"/>
      <c r="P633" s="292"/>
      <c r="Q633" s="292" t="s">
        <v>18</v>
      </c>
      <c r="R633" s="299" t="s">
        <v>32</v>
      </c>
      <c r="S633" s="288" t="s">
        <v>377</v>
      </c>
      <c r="T633" s="299" t="s">
        <v>32</v>
      </c>
      <c r="U633" s="299" t="s">
        <v>32</v>
      </c>
      <c r="V633" s="295" t="s">
        <v>32</v>
      </c>
      <c r="W633" s="299" t="s">
        <v>32</v>
      </c>
      <c r="X633" s="299" t="s">
        <v>32</v>
      </c>
      <c r="Y633" s="295" t="s">
        <v>32</v>
      </c>
      <c r="Z633" s="299" t="s">
        <v>32</v>
      </c>
      <c r="AA633" s="299" t="s">
        <v>32</v>
      </c>
      <c r="AB633" s="295" t="s">
        <v>32</v>
      </c>
      <c r="AC633" s="296" t="s">
        <v>32</v>
      </c>
      <c r="AD633" s="299" t="s">
        <v>32</v>
      </c>
      <c r="AE633" s="299" t="s">
        <v>32</v>
      </c>
      <c r="AF633" s="295" t="s">
        <v>32</v>
      </c>
      <c r="AG633" s="292" t="s">
        <v>377</v>
      </c>
      <c r="AH633" s="299" t="s">
        <v>32</v>
      </c>
      <c r="AI633" s="295" t="s">
        <v>32</v>
      </c>
      <c r="AJ633" s="299" t="s">
        <v>32</v>
      </c>
      <c r="AK633" s="299" t="s">
        <v>32</v>
      </c>
      <c r="AL633" s="295" t="s">
        <v>32</v>
      </c>
      <c r="AM633" s="292" t="s">
        <v>377</v>
      </c>
      <c r="AN633" s="292" t="s">
        <v>377</v>
      </c>
      <c r="AO633" s="288" t="s">
        <v>377</v>
      </c>
      <c r="AP633" s="296" t="s">
        <v>32</v>
      </c>
      <c r="AQ633" s="292" t="s">
        <v>377</v>
      </c>
      <c r="AR633" s="299" t="s">
        <v>32</v>
      </c>
      <c r="AS633" s="295" t="s">
        <v>32</v>
      </c>
      <c r="AT633" s="299" t="s">
        <v>32</v>
      </c>
      <c r="AU633" s="292" t="s">
        <v>377</v>
      </c>
      <c r="AV633" s="295" t="s">
        <v>32</v>
      </c>
      <c r="AW633" s="299" t="s">
        <v>32</v>
      </c>
      <c r="AX633" s="299" t="s">
        <v>32</v>
      </c>
      <c r="AY633" s="295" t="s">
        <v>32</v>
      </c>
      <c r="AZ633" s="292" t="s">
        <v>377</v>
      </c>
      <c r="BA633" s="299" t="s">
        <v>32</v>
      </c>
      <c r="BB633" s="295" t="s">
        <v>32</v>
      </c>
      <c r="BC633" s="289" t="s">
        <v>377</v>
      </c>
      <c r="BD633" s="292"/>
    </row>
    <row r="634" ht="12.75" customHeight="1">
      <c r="A634" s="293">
        <v>44798.38684568287</v>
      </c>
      <c r="B634" s="297" t="s">
        <v>375</v>
      </c>
      <c r="C634" s="298" t="s">
        <v>567</v>
      </c>
      <c r="D634" s="298" t="s">
        <v>16</v>
      </c>
      <c r="E634" s="285" t="s">
        <v>476</v>
      </c>
      <c r="F634" s="292" t="s">
        <v>536</v>
      </c>
      <c r="G634" s="298" t="s">
        <v>17</v>
      </c>
      <c r="H634" s="298">
        <v>11.0</v>
      </c>
      <c r="I634" s="292" t="s">
        <v>479</v>
      </c>
      <c r="J634" s="292" t="s">
        <v>532</v>
      </c>
      <c r="K634" s="287" t="s">
        <v>532</v>
      </c>
      <c r="L634" s="292" t="s">
        <v>479</v>
      </c>
      <c r="M634" s="292" t="s">
        <v>481</v>
      </c>
      <c r="N634" s="292"/>
      <c r="O634" s="292"/>
      <c r="P634" s="292"/>
      <c r="Q634" s="292" t="s">
        <v>18</v>
      </c>
      <c r="R634" s="299" t="s">
        <v>32</v>
      </c>
      <c r="S634" s="288" t="s">
        <v>377</v>
      </c>
      <c r="T634" s="292" t="s">
        <v>377</v>
      </c>
      <c r="U634" s="299" t="s">
        <v>32</v>
      </c>
      <c r="V634" s="295" t="s">
        <v>32</v>
      </c>
      <c r="W634" s="299" t="s">
        <v>32</v>
      </c>
      <c r="X634" s="292" t="s">
        <v>18</v>
      </c>
      <c r="Y634" s="288" t="s">
        <v>377</v>
      </c>
      <c r="Z634" s="292" t="s">
        <v>377</v>
      </c>
      <c r="AA634" s="292" t="s">
        <v>18</v>
      </c>
      <c r="AB634" s="288" t="s">
        <v>377</v>
      </c>
      <c r="AC634" s="289" t="s">
        <v>377</v>
      </c>
      <c r="AD634" s="292" t="s">
        <v>377</v>
      </c>
      <c r="AE634" s="292" t="s">
        <v>377</v>
      </c>
      <c r="AF634" s="288" t="s">
        <v>377</v>
      </c>
      <c r="AG634" s="299" t="s">
        <v>32</v>
      </c>
      <c r="AH634" s="299" t="s">
        <v>32</v>
      </c>
      <c r="AI634" s="295" t="s">
        <v>32</v>
      </c>
      <c r="AJ634" s="292" t="s">
        <v>18</v>
      </c>
      <c r="AK634" s="292" t="s">
        <v>18</v>
      </c>
      <c r="AL634" s="288" t="s">
        <v>18</v>
      </c>
      <c r="AM634" s="299" t="s">
        <v>32</v>
      </c>
      <c r="AN634" s="292" t="s">
        <v>18</v>
      </c>
      <c r="AO634" s="288" t="s">
        <v>377</v>
      </c>
      <c r="AP634" s="289" t="s">
        <v>377</v>
      </c>
      <c r="AQ634" s="292" t="s">
        <v>18</v>
      </c>
      <c r="AR634" s="299" t="s">
        <v>32</v>
      </c>
      <c r="AS634" s="288" t="s">
        <v>377</v>
      </c>
      <c r="AT634" s="292" t="s">
        <v>18</v>
      </c>
      <c r="AU634" s="299" t="s">
        <v>32</v>
      </c>
      <c r="AV634" s="288" t="s">
        <v>377</v>
      </c>
      <c r="AW634" s="299" t="s">
        <v>32</v>
      </c>
      <c r="AX634" s="292" t="s">
        <v>18</v>
      </c>
      <c r="AY634" s="288" t="s">
        <v>377</v>
      </c>
      <c r="AZ634" s="299" t="s">
        <v>32</v>
      </c>
      <c r="BA634" s="292" t="s">
        <v>18</v>
      </c>
      <c r="BB634" s="288" t="s">
        <v>377</v>
      </c>
      <c r="BC634" s="289" t="s">
        <v>377</v>
      </c>
      <c r="BD634" s="292"/>
    </row>
    <row r="635" ht="12.75" customHeight="1">
      <c r="A635" s="293">
        <v>44798.427067488425</v>
      </c>
      <c r="B635" s="297" t="s">
        <v>375</v>
      </c>
      <c r="C635" s="298" t="s">
        <v>567</v>
      </c>
      <c r="D635" s="298" t="s">
        <v>16</v>
      </c>
      <c r="E635" s="285" t="s">
        <v>476</v>
      </c>
      <c r="F635" s="292" t="s">
        <v>1179</v>
      </c>
      <c r="G635" s="298" t="s">
        <v>21</v>
      </c>
      <c r="H635" s="298">
        <v>11.0</v>
      </c>
      <c r="I635" s="292" t="s">
        <v>479</v>
      </c>
      <c r="J635" s="292" t="s">
        <v>532</v>
      </c>
      <c r="K635" s="287" t="s">
        <v>532</v>
      </c>
      <c r="L635" s="292" t="s">
        <v>479</v>
      </c>
      <c r="M635" s="292" t="s">
        <v>495</v>
      </c>
      <c r="N635" s="292"/>
      <c r="O635" s="292"/>
      <c r="P635" s="292"/>
      <c r="Q635" s="299" t="s">
        <v>32</v>
      </c>
      <c r="R635" s="299" t="s">
        <v>32</v>
      </c>
      <c r="S635" s="295" t="s">
        <v>32</v>
      </c>
      <c r="T635" s="292" t="s">
        <v>18</v>
      </c>
      <c r="U635" s="299" t="s">
        <v>32</v>
      </c>
      <c r="V635" s="288" t="s">
        <v>377</v>
      </c>
      <c r="W635" s="292" t="s">
        <v>18</v>
      </c>
      <c r="X635" s="292" t="s">
        <v>18</v>
      </c>
      <c r="Y635" s="288" t="s">
        <v>18</v>
      </c>
      <c r="Z635" s="292" t="s">
        <v>377</v>
      </c>
      <c r="AA635" s="292" t="s">
        <v>18</v>
      </c>
      <c r="AB635" s="288" t="s">
        <v>377</v>
      </c>
      <c r="AC635" s="289" t="s">
        <v>377</v>
      </c>
      <c r="AD635" s="292" t="s">
        <v>377</v>
      </c>
      <c r="AE635" s="292" t="s">
        <v>377</v>
      </c>
      <c r="AF635" s="288" t="s">
        <v>377</v>
      </c>
      <c r="AG635" s="292" t="s">
        <v>377</v>
      </c>
      <c r="AH635" s="292" t="s">
        <v>377</v>
      </c>
      <c r="AI635" s="288" t="s">
        <v>377</v>
      </c>
      <c r="AJ635" s="292" t="s">
        <v>18</v>
      </c>
      <c r="AK635" s="292" t="s">
        <v>18</v>
      </c>
      <c r="AL635" s="288" t="s">
        <v>18</v>
      </c>
      <c r="AM635" s="292" t="s">
        <v>18</v>
      </c>
      <c r="AN635" s="292" t="s">
        <v>18</v>
      </c>
      <c r="AO635" s="288" t="s">
        <v>18</v>
      </c>
      <c r="AP635" s="289" t="s">
        <v>377</v>
      </c>
      <c r="AQ635" s="292" t="s">
        <v>377</v>
      </c>
      <c r="AR635" s="299" t="s">
        <v>32</v>
      </c>
      <c r="AS635" s="295" t="s">
        <v>32</v>
      </c>
      <c r="AT635" s="299" t="s">
        <v>32</v>
      </c>
      <c r="AU635" s="292" t="s">
        <v>377</v>
      </c>
      <c r="AV635" s="295" t="s">
        <v>32</v>
      </c>
      <c r="AW635" s="299" t="s">
        <v>32</v>
      </c>
      <c r="AX635" s="299" t="s">
        <v>32</v>
      </c>
      <c r="AY635" s="295" t="s">
        <v>32</v>
      </c>
      <c r="AZ635" s="299" t="s">
        <v>32</v>
      </c>
      <c r="BA635" s="292" t="s">
        <v>18</v>
      </c>
      <c r="BB635" s="295" t="s">
        <v>32</v>
      </c>
      <c r="BC635" s="289" t="s">
        <v>377</v>
      </c>
      <c r="BD635" s="292"/>
    </row>
    <row r="636" ht="12.75" customHeight="1">
      <c r="A636" s="293">
        <v>44798.43004811343</v>
      </c>
      <c r="B636" s="297" t="s">
        <v>375</v>
      </c>
      <c r="C636" s="298" t="s">
        <v>567</v>
      </c>
      <c r="D636" s="298" t="s">
        <v>16</v>
      </c>
      <c r="E636" s="285" t="s">
        <v>476</v>
      </c>
      <c r="F636" s="292" t="s">
        <v>1180</v>
      </c>
      <c r="G636" s="298" t="s">
        <v>21</v>
      </c>
      <c r="H636" s="298">
        <v>11.0</v>
      </c>
      <c r="I636" s="292" t="s">
        <v>479</v>
      </c>
      <c r="J636" s="292" t="s">
        <v>532</v>
      </c>
      <c r="K636" s="287" t="s">
        <v>532</v>
      </c>
      <c r="L636" s="292" t="s">
        <v>479</v>
      </c>
      <c r="M636" s="292" t="s">
        <v>481</v>
      </c>
      <c r="N636" s="292"/>
      <c r="O636" s="292"/>
      <c r="P636" s="292"/>
      <c r="Q636" s="299" t="s">
        <v>32</v>
      </c>
      <c r="R636" s="299" t="s">
        <v>32</v>
      </c>
      <c r="S636" s="295" t="s">
        <v>32</v>
      </c>
      <c r="T636" s="292" t="s">
        <v>377</v>
      </c>
      <c r="U636" s="299" t="s">
        <v>32</v>
      </c>
      <c r="V636" s="295" t="s">
        <v>32</v>
      </c>
      <c r="W636" s="292" t="s">
        <v>377</v>
      </c>
      <c r="X636" s="292" t="s">
        <v>377</v>
      </c>
      <c r="Y636" s="288" t="s">
        <v>377</v>
      </c>
      <c r="Z636" s="299" t="s">
        <v>32</v>
      </c>
      <c r="AA636" s="299" t="s">
        <v>32</v>
      </c>
      <c r="AB636" s="295" t="s">
        <v>32</v>
      </c>
      <c r="AC636" s="296" t="s">
        <v>32</v>
      </c>
      <c r="AD636" s="299" t="s">
        <v>32</v>
      </c>
      <c r="AE636" s="299" t="s">
        <v>32</v>
      </c>
      <c r="AF636" s="295" t="s">
        <v>32</v>
      </c>
      <c r="AG636" s="299" t="s">
        <v>32</v>
      </c>
      <c r="AH636" s="292" t="s">
        <v>377</v>
      </c>
      <c r="AI636" s="295" t="s">
        <v>32</v>
      </c>
      <c r="AJ636" s="292" t="s">
        <v>18</v>
      </c>
      <c r="AK636" s="299" t="s">
        <v>32</v>
      </c>
      <c r="AL636" s="288" t="s">
        <v>377</v>
      </c>
      <c r="AM636" s="292" t="s">
        <v>377</v>
      </c>
      <c r="AN636" s="292" t="s">
        <v>377</v>
      </c>
      <c r="AO636" s="288" t="s">
        <v>377</v>
      </c>
      <c r="AP636" s="289" t="s">
        <v>377</v>
      </c>
      <c r="AQ636" s="299" t="s">
        <v>32</v>
      </c>
      <c r="AR636" s="299" t="s">
        <v>32</v>
      </c>
      <c r="AS636" s="295" t="s">
        <v>32</v>
      </c>
      <c r="AT636" s="299" t="s">
        <v>32</v>
      </c>
      <c r="AU636" s="292" t="s">
        <v>377</v>
      </c>
      <c r="AV636" s="295" t="s">
        <v>32</v>
      </c>
      <c r="AW636" s="299" t="s">
        <v>32</v>
      </c>
      <c r="AX636" s="299" t="s">
        <v>32</v>
      </c>
      <c r="AY636" s="295" t="s">
        <v>32</v>
      </c>
      <c r="AZ636" s="292" t="s">
        <v>377</v>
      </c>
      <c r="BA636" s="292" t="s">
        <v>377</v>
      </c>
      <c r="BB636" s="295" t="s">
        <v>32</v>
      </c>
      <c r="BC636" s="296" t="s">
        <v>32</v>
      </c>
      <c r="BD636" s="292"/>
    </row>
    <row r="637" ht="12.75" customHeight="1">
      <c r="A637" s="293">
        <v>44798.44094380787</v>
      </c>
      <c r="B637" s="297" t="s">
        <v>375</v>
      </c>
      <c r="C637" s="298" t="s">
        <v>567</v>
      </c>
      <c r="D637" s="298" t="s">
        <v>16</v>
      </c>
      <c r="E637" s="285" t="s">
        <v>476</v>
      </c>
      <c r="F637" s="292" t="s">
        <v>537</v>
      </c>
      <c r="G637" s="298" t="s">
        <v>17</v>
      </c>
      <c r="H637" s="298">
        <v>11.0</v>
      </c>
      <c r="I637" s="292" t="s">
        <v>479</v>
      </c>
      <c r="J637" s="292" t="s">
        <v>532</v>
      </c>
      <c r="K637" s="287" t="s">
        <v>532</v>
      </c>
      <c r="L637" s="292" t="s">
        <v>479</v>
      </c>
      <c r="M637" s="292" t="s">
        <v>481</v>
      </c>
      <c r="N637" s="292"/>
      <c r="O637" s="292"/>
      <c r="P637" s="292"/>
      <c r="Q637" s="292" t="s">
        <v>377</v>
      </c>
      <c r="R637" s="292" t="s">
        <v>377</v>
      </c>
      <c r="S637" s="288" t="s">
        <v>377</v>
      </c>
      <c r="T637" s="292" t="s">
        <v>18</v>
      </c>
      <c r="U637" s="299" t="s">
        <v>32</v>
      </c>
      <c r="V637" s="288" t="s">
        <v>377</v>
      </c>
      <c r="W637" s="292" t="s">
        <v>377</v>
      </c>
      <c r="X637" s="292" t="s">
        <v>18</v>
      </c>
      <c r="Y637" s="288" t="s">
        <v>377</v>
      </c>
      <c r="Z637" s="292" t="s">
        <v>18</v>
      </c>
      <c r="AA637" s="292" t="s">
        <v>377</v>
      </c>
      <c r="AB637" s="288" t="s">
        <v>377</v>
      </c>
      <c r="AC637" s="289" t="s">
        <v>377</v>
      </c>
      <c r="AD637" s="292" t="s">
        <v>377</v>
      </c>
      <c r="AE637" s="292" t="s">
        <v>377</v>
      </c>
      <c r="AF637" s="288" t="s">
        <v>377</v>
      </c>
      <c r="AG637" s="299" t="s">
        <v>32</v>
      </c>
      <c r="AH637" s="292" t="s">
        <v>377</v>
      </c>
      <c r="AI637" s="295" t="s">
        <v>32</v>
      </c>
      <c r="AJ637" s="299" t="s">
        <v>32</v>
      </c>
      <c r="AK637" s="292" t="s">
        <v>377</v>
      </c>
      <c r="AL637" s="295" t="s">
        <v>32</v>
      </c>
      <c r="AM637" s="292" t="s">
        <v>18</v>
      </c>
      <c r="AN637" s="292" t="s">
        <v>377</v>
      </c>
      <c r="AO637" s="288" t="s">
        <v>377</v>
      </c>
      <c r="AP637" s="289" t="s">
        <v>377</v>
      </c>
      <c r="AQ637" s="292" t="s">
        <v>18</v>
      </c>
      <c r="AR637" s="299" t="s">
        <v>32</v>
      </c>
      <c r="AS637" s="288" t="s">
        <v>377</v>
      </c>
      <c r="AT637" s="299" t="s">
        <v>32</v>
      </c>
      <c r="AU637" s="299" t="s">
        <v>32</v>
      </c>
      <c r="AV637" s="295" t="s">
        <v>32</v>
      </c>
      <c r="AW637" s="292" t="s">
        <v>377</v>
      </c>
      <c r="AX637" s="299" t="s">
        <v>32</v>
      </c>
      <c r="AY637" s="295" t="s">
        <v>32</v>
      </c>
      <c r="AZ637" s="292" t="s">
        <v>18</v>
      </c>
      <c r="BA637" s="292" t="s">
        <v>18</v>
      </c>
      <c r="BB637" s="295" t="s">
        <v>32</v>
      </c>
      <c r="BC637" s="296" t="s">
        <v>32</v>
      </c>
      <c r="BD637" s="292"/>
    </row>
    <row r="638" ht="12.75" customHeight="1">
      <c r="A638" s="293">
        <v>44798.44763920139</v>
      </c>
      <c r="B638" s="297" t="s">
        <v>375</v>
      </c>
      <c r="C638" s="298" t="s">
        <v>567</v>
      </c>
      <c r="D638" s="298" t="s">
        <v>16</v>
      </c>
      <c r="E638" s="285" t="s">
        <v>476</v>
      </c>
      <c r="F638" s="292" t="s">
        <v>1181</v>
      </c>
      <c r="G638" s="298" t="s">
        <v>21</v>
      </c>
      <c r="H638" s="298">
        <v>12.0</v>
      </c>
      <c r="I638" s="292" t="s">
        <v>479</v>
      </c>
      <c r="J638" s="292" t="s">
        <v>532</v>
      </c>
      <c r="K638" s="287" t="s">
        <v>532</v>
      </c>
      <c r="L638" s="292" t="s">
        <v>479</v>
      </c>
      <c r="M638" s="292" t="s">
        <v>483</v>
      </c>
      <c r="N638" s="292"/>
      <c r="O638" s="292"/>
      <c r="P638" s="292"/>
      <c r="Q638" s="299" t="s">
        <v>32</v>
      </c>
      <c r="R638" s="299" t="s">
        <v>32</v>
      </c>
      <c r="S638" s="295" t="s">
        <v>32</v>
      </c>
      <c r="T638" s="299" t="s">
        <v>32</v>
      </c>
      <c r="U638" s="299" t="s">
        <v>32</v>
      </c>
      <c r="V638" s="295" t="s">
        <v>32</v>
      </c>
      <c r="W638" s="292" t="s">
        <v>377</v>
      </c>
      <c r="X638" s="292" t="s">
        <v>377</v>
      </c>
      <c r="Y638" s="288" t="s">
        <v>377</v>
      </c>
      <c r="Z638" s="292" t="s">
        <v>377</v>
      </c>
      <c r="AA638" s="292" t="s">
        <v>377</v>
      </c>
      <c r="AB638" s="288" t="s">
        <v>377</v>
      </c>
      <c r="AC638" s="296" t="s">
        <v>32</v>
      </c>
      <c r="AD638" s="292" t="s">
        <v>377</v>
      </c>
      <c r="AE638" s="292" t="s">
        <v>377</v>
      </c>
      <c r="AF638" s="288" t="s">
        <v>377</v>
      </c>
      <c r="AG638" s="292" t="s">
        <v>377</v>
      </c>
      <c r="AH638" s="299" t="s">
        <v>32</v>
      </c>
      <c r="AI638" s="295" t="s">
        <v>32</v>
      </c>
      <c r="AJ638" s="292" t="s">
        <v>377</v>
      </c>
      <c r="AK638" s="299" t="s">
        <v>32</v>
      </c>
      <c r="AL638" s="295" t="s">
        <v>32</v>
      </c>
      <c r="AM638" s="299" t="s">
        <v>32</v>
      </c>
      <c r="AN638" s="299" t="s">
        <v>32</v>
      </c>
      <c r="AO638" s="295" t="s">
        <v>32</v>
      </c>
      <c r="AP638" s="296" t="s">
        <v>32</v>
      </c>
      <c r="AQ638" s="299" t="s">
        <v>32</v>
      </c>
      <c r="AR638" s="299" t="s">
        <v>32</v>
      </c>
      <c r="AS638" s="295" t="s">
        <v>32</v>
      </c>
      <c r="AT638" s="299" t="s">
        <v>32</v>
      </c>
      <c r="AU638" s="299" t="s">
        <v>32</v>
      </c>
      <c r="AV638" s="295" t="s">
        <v>32</v>
      </c>
      <c r="AW638" s="299" t="s">
        <v>32</v>
      </c>
      <c r="AX638" s="292" t="s">
        <v>377</v>
      </c>
      <c r="AY638" s="295" t="s">
        <v>32</v>
      </c>
      <c r="AZ638" s="299" t="s">
        <v>32</v>
      </c>
      <c r="BA638" s="292" t="s">
        <v>18</v>
      </c>
      <c r="BB638" s="295" t="s">
        <v>32</v>
      </c>
      <c r="BC638" s="296" t="s">
        <v>32</v>
      </c>
      <c r="BD638" s="292"/>
    </row>
    <row r="639" ht="12.75" customHeight="1">
      <c r="A639" s="293">
        <v>45264.735014942125</v>
      </c>
      <c r="B639" s="286" t="s">
        <v>486</v>
      </c>
      <c r="C639" s="287" t="s">
        <v>559</v>
      </c>
      <c r="D639" s="285" t="s">
        <v>16</v>
      </c>
      <c r="E639" s="285" t="s">
        <v>476</v>
      </c>
      <c r="F639" s="287" t="s">
        <v>1182</v>
      </c>
      <c r="G639" s="285" t="s">
        <v>17</v>
      </c>
      <c r="H639" s="285">
        <v>11.0</v>
      </c>
      <c r="I639" s="287" t="s">
        <v>479</v>
      </c>
      <c r="J639" s="287" t="s">
        <v>532</v>
      </c>
      <c r="K639" s="287" t="s">
        <v>532</v>
      </c>
      <c r="L639" s="287" t="s">
        <v>497</v>
      </c>
      <c r="M639" s="292"/>
      <c r="N639" s="292"/>
      <c r="O639" s="292"/>
      <c r="P639" s="292"/>
      <c r="Q639" s="294" t="s">
        <v>32</v>
      </c>
      <c r="R639" s="287" t="s">
        <v>377</v>
      </c>
      <c r="S639" s="295" t="s">
        <v>32</v>
      </c>
      <c r="T639" s="287" t="s">
        <v>377</v>
      </c>
      <c r="U639" s="287" t="s">
        <v>377</v>
      </c>
      <c r="V639" s="288" t="s">
        <v>377</v>
      </c>
      <c r="W639" s="287" t="s">
        <v>377</v>
      </c>
      <c r="X639" s="287" t="s">
        <v>377</v>
      </c>
      <c r="Y639" s="288" t="s">
        <v>377</v>
      </c>
      <c r="Z639" s="287" t="s">
        <v>377</v>
      </c>
      <c r="AA639" s="287" t="s">
        <v>377</v>
      </c>
      <c r="AB639" s="288" t="s">
        <v>377</v>
      </c>
      <c r="AC639" s="289" t="s">
        <v>377</v>
      </c>
      <c r="AD639" s="287" t="s">
        <v>377</v>
      </c>
      <c r="AE639" s="287" t="s">
        <v>377</v>
      </c>
      <c r="AF639" s="288" t="s">
        <v>377</v>
      </c>
      <c r="AG639" s="287" t="s">
        <v>377</v>
      </c>
      <c r="AH639" s="287" t="s">
        <v>377</v>
      </c>
      <c r="AI639" s="288" t="s">
        <v>377</v>
      </c>
      <c r="AJ639" s="287" t="s">
        <v>377</v>
      </c>
      <c r="AK639" s="287" t="s">
        <v>377</v>
      </c>
      <c r="AL639" s="288" t="s">
        <v>377</v>
      </c>
      <c r="AM639" s="287" t="s">
        <v>377</v>
      </c>
      <c r="AN639" s="287" t="s">
        <v>18</v>
      </c>
      <c r="AO639" s="288" t="s">
        <v>377</v>
      </c>
      <c r="AP639" s="289" t="s">
        <v>377</v>
      </c>
      <c r="AQ639" s="287" t="s">
        <v>18</v>
      </c>
      <c r="AR639" s="294" t="s">
        <v>32</v>
      </c>
      <c r="AS639" s="288" t="s">
        <v>377</v>
      </c>
      <c r="AT639" s="287" t="s">
        <v>18</v>
      </c>
      <c r="AU639" s="287" t="s">
        <v>18</v>
      </c>
      <c r="AV639" s="288" t="s">
        <v>18</v>
      </c>
      <c r="AW639" s="287" t="s">
        <v>18</v>
      </c>
      <c r="AX639" s="287" t="s">
        <v>18</v>
      </c>
      <c r="AY639" s="288" t="s">
        <v>18</v>
      </c>
      <c r="AZ639" s="287" t="s">
        <v>18</v>
      </c>
      <c r="BA639" s="294" t="s">
        <v>32</v>
      </c>
      <c r="BB639" s="295" t="s">
        <v>32</v>
      </c>
      <c r="BC639" s="289" t="s">
        <v>377</v>
      </c>
      <c r="BD639" s="292"/>
    </row>
    <row r="640" ht="12.75" customHeight="1">
      <c r="A640" s="293">
        <v>45264.75122600695</v>
      </c>
      <c r="B640" s="286" t="s">
        <v>486</v>
      </c>
      <c r="C640" s="287" t="s">
        <v>559</v>
      </c>
      <c r="D640" s="285" t="s">
        <v>16</v>
      </c>
      <c r="E640" s="285" t="s">
        <v>476</v>
      </c>
      <c r="F640" s="287" t="s">
        <v>1183</v>
      </c>
      <c r="G640" s="285" t="s">
        <v>17</v>
      </c>
      <c r="H640" s="285">
        <v>12.0</v>
      </c>
      <c r="I640" s="287" t="s">
        <v>479</v>
      </c>
      <c r="J640" s="287" t="s">
        <v>532</v>
      </c>
      <c r="K640" s="287" t="s">
        <v>532</v>
      </c>
      <c r="L640" s="287" t="s">
        <v>497</v>
      </c>
      <c r="M640" s="292"/>
      <c r="N640" s="292"/>
      <c r="O640" s="292"/>
      <c r="P640" s="292"/>
      <c r="Q640" s="294" t="s">
        <v>32</v>
      </c>
      <c r="R640" s="294" t="s">
        <v>32</v>
      </c>
      <c r="S640" s="295" t="s">
        <v>32</v>
      </c>
      <c r="T640" s="294" t="s">
        <v>32</v>
      </c>
      <c r="U640" s="294" t="s">
        <v>32</v>
      </c>
      <c r="V640" s="295" t="s">
        <v>32</v>
      </c>
      <c r="W640" s="287" t="s">
        <v>18</v>
      </c>
      <c r="X640" s="294" t="s">
        <v>32</v>
      </c>
      <c r="Y640" s="288" t="s">
        <v>377</v>
      </c>
      <c r="Z640" s="294" t="s">
        <v>32</v>
      </c>
      <c r="AA640" s="294" t="s">
        <v>32</v>
      </c>
      <c r="AB640" s="295" t="s">
        <v>32</v>
      </c>
      <c r="AC640" s="296" t="s">
        <v>32</v>
      </c>
      <c r="AD640" s="287" t="s">
        <v>18</v>
      </c>
      <c r="AE640" s="287" t="s">
        <v>18</v>
      </c>
      <c r="AF640" s="288" t="s">
        <v>18</v>
      </c>
      <c r="AG640" s="287" t="s">
        <v>18</v>
      </c>
      <c r="AH640" s="287" t="s">
        <v>18</v>
      </c>
      <c r="AI640" s="288" t="s">
        <v>18</v>
      </c>
      <c r="AJ640" s="287" t="s">
        <v>18</v>
      </c>
      <c r="AK640" s="287" t="s">
        <v>18</v>
      </c>
      <c r="AL640" s="288" t="s">
        <v>18</v>
      </c>
      <c r="AM640" s="287" t="s">
        <v>18</v>
      </c>
      <c r="AN640" s="287" t="s">
        <v>18</v>
      </c>
      <c r="AO640" s="288" t="s">
        <v>18</v>
      </c>
      <c r="AP640" s="289" t="s">
        <v>18</v>
      </c>
      <c r="AQ640" s="287" t="s">
        <v>18</v>
      </c>
      <c r="AR640" s="294" t="s">
        <v>32</v>
      </c>
      <c r="AS640" s="288" t="s">
        <v>377</v>
      </c>
      <c r="AT640" s="287" t="s">
        <v>18</v>
      </c>
      <c r="AU640" s="287" t="s">
        <v>18</v>
      </c>
      <c r="AV640" s="288" t="s">
        <v>18</v>
      </c>
      <c r="AW640" s="287" t="s">
        <v>18</v>
      </c>
      <c r="AX640" s="287" t="s">
        <v>18</v>
      </c>
      <c r="AY640" s="288" t="s">
        <v>18</v>
      </c>
      <c r="AZ640" s="287" t="s">
        <v>18</v>
      </c>
      <c r="BA640" s="294" t="s">
        <v>32</v>
      </c>
      <c r="BB640" s="295" t="s">
        <v>32</v>
      </c>
      <c r="BC640" s="289" t="s">
        <v>377</v>
      </c>
      <c r="BD640" s="292"/>
    </row>
    <row r="641" ht="12.75" customHeight="1">
      <c r="A641" s="293">
        <v>45264.76583337963</v>
      </c>
      <c r="B641" s="286" t="s">
        <v>486</v>
      </c>
      <c r="C641" s="287" t="s">
        <v>559</v>
      </c>
      <c r="D641" s="285" t="s">
        <v>16</v>
      </c>
      <c r="E641" s="285" t="s">
        <v>476</v>
      </c>
      <c r="F641" s="287" t="s">
        <v>1184</v>
      </c>
      <c r="G641" s="285" t="s">
        <v>21</v>
      </c>
      <c r="H641" s="285">
        <v>12.0</v>
      </c>
      <c r="I641" s="287" t="s">
        <v>479</v>
      </c>
      <c r="J641" s="287" t="s">
        <v>532</v>
      </c>
      <c r="K641" s="287" t="s">
        <v>532</v>
      </c>
      <c r="L641" s="287" t="s">
        <v>497</v>
      </c>
      <c r="M641" s="292"/>
      <c r="N641" s="292"/>
      <c r="O641" s="292"/>
      <c r="P641" s="292"/>
      <c r="Q641" s="294" t="s">
        <v>32</v>
      </c>
      <c r="R641" s="294" t="s">
        <v>32</v>
      </c>
      <c r="S641" s="295" t="s">
        <v>32</v>
      </c>
      <c r="T641" s="287" t="s">
        <v>377</v>
      </c>
      <c r="U641" s="294" t="s">
        <v>32</v>
      </c>
      <c r="V641" s="295" t="s">
        <v>32</v>
      </c>
      <c r="W641" s="294" t="s">
        <v>32</v>
      </c>
      <c r="X641" s="294" t="s">
        <v>32</v>
      </c>
      <c r="Y641" s="295" t="s">
        <v>32</v>
      </c>
      <c r="Z641" s="294" t="s">
        <v>32</v>
      </c>
      <c r="AA641" s="294" t="s">
        <v>32</v>
      </c>
      <c r="AB641" s="295" t="s">
        <v>32</v>
      </c>
      <c r="AC641" s="296" t="s">
        <v>32</v>
      </c>
      <c r="AD641" s="287" t="s">
        <v>377</v>
      </c>
      <c r="AE641" s="294" t="s">
        <v>32</v>
      </c>
      <c r="AF641" s="295" t="s">
        <v>32</v>
      </c>
      <c r="AG641" s="294" t="s">
        <v>32</v>
      </c>
      <c r="AH641" s="287" t="s">
        <v>377</v>
      </c>
      <c r="AI641" s="295" t="s">
        <v>32</v>
      </c>
      <c r="AJ641" s="294" t="s">
        <v>32</v>
      </c>
      <c r="AK641" s="294" t="s">
        <v>32</v>
      </c>
      <c r="AL641" s="295" t="s">
        <v>32</v>
      </c>
      <c r="AM641" s="294" t="s">
        <v>32</v>
      </c>
      <c r="AN641" s="294" t="s">
        <v>32</v>
      </c>
      <c r="AO641" s="295" t="s">
        <v>32</v>
      </c>
      <c r="AP641" s="296" t="s">
        <v>32</v>
      </c>
      <c r="AQ641" s="294" t="s">
        <v>32</v>
      </c>
      <c r="AR641" s="294" t="s">
        <v>32</v>
      </c>
      <c r="AS641" s="295" t="s">
        <v>32</v>
      </c>
      <c r="AT641" s="294" t="s">
        <v>32</v>
      </c>
      <c r="AU641" s="287" t="s">
        <v>377</v>
      </c>
      <c r="AV641" s="295" t="s">
        <v>32</v>
      </c>
      <c r="AW641" s="287" t="s">
        <v>377</v>
      </c>
      <c r="AX641" s="287" t="s">
        <v>377</v>
      </c>
      <c r="AY641" s="288" t="s">
        <v>377</v>
      </c>
      <c r="AZ641" s="287" t="s">
        <v>377</v>
      </c>
      <c r="BA641" s="294" t="s">
        <v>32</v>
      </c>
      <c r="BB641" s="295" t="s">
        <v>32</v>
      </c>
      <c r="BC641" s="296" t="s">
        <v>32</v>
      </c>
      <c r="BD641" s="292"/>
    </row>
    <row r="642" ht="12.75" customHeight="1">
      <c r="A642" s="293">
        <v>45264.93325340278</v>
      </c>
      <c r="B642" s="286" t="s">
        <v>486</v>
      </c>
      <c r="C642" s="287" t="s">
        <v>559</v>
      </c>
      <c r="D642" s="285" t="s">
        <v>16</v>
      </c>
      <c r="E642" s="285" t="s">
        <v>476</v>
      </c>
      <c r="F642" s="287" t="s">
        <v>1185</v>
      </c>
      <c r="G642" s="285" t="s">
        <v>17</v>
      </c>
      <c r="H642" s="285">
        <v>12.0</v>
      </c>
      <c r="I642" s="287" t="s">
        <v>479</v>
      </c>
      <c r="J642" s="287" t="s">
        <v>532</v>
      </c>
      <c r="K642" s="287" t="s">
        <v>532</v>
      </c>
      <c r="L642" s="287" t="s">
        <v>497</v>
      </c>
      <c r="M642" s="292"/>
      <c r="N642" s="292"/>
      <c r="O642" s="292"/>
      <c r="P642" s="292"/>
      <c r="Q642" s="294" t="s">
        <v>32</v>
      </c>
      <c r="R642" s="294" t="s">
        <v>32</v>
      </c>
      <c r="S642" s="295" t="s">
        <v>32</v>
      </c>
      <c r="T642" s="287" t="s">
        <v>377</v>
      </c>
      <c r="U642" s="287" t="s">
        <v>377</v>
      </c>
      <c r="V642" s="288" t="s">
        <v>377</v>
      </c>
      <c r="W642" s="287" t="s">
        <v>377</v>
      </c>
      <c r="X642" s="287" t="s">
        <v>377</v>
      </c>
      <c r="Y642" s="288" t="s">
        <v>377</v>
      </c>
      <c r="Z642" s="294" t="s">
        <v>32</v>
      </c>
      <c r="AA642" s="287" t="s">
        <v>377</v>
      </c>
      <c r="AB642" s="295" t="s">
        <v>32</v>
      </c>
      <c r="AC642" s="289" t="s">
        <v>377</v>
      </c>
      <c r="AD642" s="294" t="s">
        <v>32</v>
      </c>
      <c r="AE642" s="294" t="s">
        <v>32</v>
      </c>
      <c r="AF642" s="295" t="s">
        <v>32</v>
      </c>
      <c r="AG642" s="294" t="s">
        <v>32</v>
      </c>
      <c r="AH642" s="287" t="s">
        <v>377</v>
      </c>
      <c r="AI642" s="295" t="s">
        <v>32</v>
      </c>
      <c r="AJ642" s="294" t="s">
        <v>32</v>
      </c>
      <c r="AK642" s="287" t="s">
        <v>377</v>
      </c>
      <c r="AL642" s="295" t="s">
        <v>32</v>
      </c>
      <c r="AM642" s="287" t="s">
        <v>377</v>
      </c>
      <c r="AN642" s="287" t="s">
        <v>377</v>
      </c>
      <c r="AO642" s="288" t="s">
        <v>377</v>
      </c>
      <c r="AP642" s="296" t="s">
        <v>32</v>
      </c>
      <c r="AQ642" s="294" t="s">
        <v>32</v>
      </c>
      <c r="AR642" s="294" t="s">
        <v>32</v>
      </c>
      <c r="AS642" s="295" t="s">
        <v>32</v>
      </c>
      <c r="AT642" s="294" t="s">
        <v>32</v>
      </c>
      <c r="AU642" s="294" t="s">
        <v>32</v>
      </c>
      <c r="AV642" s="295" t="s">
        <v>32</v>
      </c>
      <c r="AW642" s="294" t="s">
        <v>32</v>
      </c>
      <c r="AX642" s="287" t="s">
        <v>377</v>
      </c>
      <c r="AY642" s="295" t="s">
        <v>32</v>
      </c>
      <c r="AZ642" s="287" t="s">
        <v>377</v>
      </c>
      <c r="BA642" s="287" t="s">
        <v>377</v>
      </c>
      <c r="BB642" s="288" t="s">
        <v>377</v>
      </c>
      <c r="BC642" s="296" t="s">
        <v>32</v>
      </c>
      <c r="BD642" s="292"/>
    </row>
    <row r="643" ht="12.75" customHeight="1">
      <c r="A643" s="293">
        <v>45265.40877578704</v>
      </c>
      <c r="B643" s="286" t="s">
        <v>486</v>
      </c>
      <c r="C643" s="287" t="s">
        <v>559</v>
      </c>
      <c r="D643" s="285" t="s">
        <v>16</v>
      </c>
      <c r="E643" s="285" t="s">
        <v>476</v>
      </c>
      <c r="F643" s="287" t="s">
        <v>1186</v>
      </c>
      <c r="G643" s="285" t="s">
        <v>21</v>
      </c>
      <c r="H643" s="285">
        <v>13.0</v>
      </c>
      <c r="I643" s="287" t="s">
        <v>479</v>
      </c>
      <c r="J643" s="287" t="s">
        <v>532</v>
      </c>
      <c r="K643" s="287" t="s">
        <v>532</v>
      </c>
      <c r="L643" s="287" t="s">
        <v>479</v>
      </c>
      <c r="M643" s="287" t="s">
        <v>481</v>
      </c>
      <c r="N643" s="287" t="s">
        <v>561</v>
      </c>
      <c r="O643" s="287"/>
      <c r="P643" s="287"/>
      <c r="Q643" s="294" t="s">
        <v>32</v>
      </c>
      <c r="R643" s="294" t="s">
        <v>32</v>
      </c>
      <c r="S643" s="295" t="s">
        <v>32</v>
      </c>
      <c r="T643" s="287" t="s">
        <v>377</v>
      </c>
      <c r="U643" s="287" t="s">
        <v>377</v>
      </c>
      <c r="V643" s="288" t="s">
        <v>377</v>
      </c>
      <c r="W643" s="287" t="s">
        <v>377</v>
      </c>
      <c r="X643" s="294" t="s">
        <v>32</v>
      </c>
      <c r="Y643" s="295" t="s">
        <v>32</v>
      </c>
      <c r="Z643" s="294" t="s">
        <v>32</v>
      </c>
      <c r="AA643" s="287" t="s">
        <v>377</v>
      </c>
      <c r="AB643" s="295" t="s">
        <v>32</v>
      </c>
      <c r="AC643" s="296" t="s">
        <v>32</v>
      </c>
      <c r="AD643" s="287" t="s">
        <v>377</v>
      </c>
      <c r="AE643" s="294" t="s">
        <v>32</v>
      </c>
      <c r="AF643" s="295" t="s">
        <v>32</v>
      </c>
      <c r="AG643" s="287" t="s">
        <v>377</v>
      </c>
      <c r="AH643" s="287" t="s">
        <v>377</v>
      </c>
      <c r="AI643" s="288" t="s">
        <v>377</v>
      </c>
      <c r="AJ643" s="294" t="s">
        <v>32</v>
      </c>
      <c r="AK643" s="287" t="s">
        <v>377</v>
      </c>
      <c r="AL643" s="295" t="s">
        <v>32</v>
      </c>
      <c r="AM643" s="287" t="s">
        <v>18</v>
      </c>
      <c r="AN643" s="294" t="s">
        <v>32</v>
      </c>
      <c r="AO643" s="288" t="s">
        <v>377</v>
      </c>
      <c r="AP643" s="289" t="s">
        <v>377</v>
      </c>
      <c r="AQ643" s="287" t="s">
        <v>377</v>
      </c>
      <c r="AR643" s="287" t="s">
        <v>377</v>
      </c>
      <c r="AS643" s="288" t="s">
        <v>377</v>
      </c>
      <c r="AT643" s="294" t="s">
        <v>32</v>
      </c>
      <c r="AU643" s="294" t="s">
        <v>32</v>
      </c>
      <c r="AV643" s="295" t="s">
        <v>32</v>
      </c>
      <c r="AW643" s="287" t="s">
        <v>18</v>
      </c>
      <c r="AX643" s="287" t="s">
        <v>377</v>
      </c>
      <c r="AY643" s="288" t="s">
        <v>377</v>
      </c>
      <c r="AZ643" s="294" t="s">
        <v>32</v>
      </c>
      <c r="BA643" s="287" t="s">
        <v>377</v>
      </c>
      <c r="BB643" s="295" t="s">
        <v>32</v>
      </c>
      <c r="BC643" s="289" t="s">
        <v>377</v>
      </c>
      <c r="BD643" s="292"/>
    </row>
    <row r="644" ht="12.75" customHeight="1">
      <c r="A644" s="293">
        <v>45265.415543599534</v>
      </c>
      <c r="B644" s="286" t="s">
        <v>486</v>
      </c>
      <c r="C644" s="287" t="s">
        <v>559</v>
      </c>
      <c r="D644" s="285" t="s">
        <v>16</v>
      </c>
      <c r="E644" s="285" t="s">
        <v>476</v>
      </c>
      <c r="F644" s="287" t="s">
        <v>1187</v>
      </c>
      <c r="G644" s="285" t="s">
        <v>21</v>
      </c>
      <c r="H644" s="285">
        <v>12.0</v>
      </c>
      <c r="I644" s="287" t="s">
        <v>479</v>
      </c>
      <c r="J644" s="287" t="s">
        <v>532</v>
      </c>
      <c r="K644" s="287" t="s">
        <v>532</v>
      </c>
      <c r="L644" s="287" t="s">
        <v>497</v>
      </c>
      <c r="M644" s="292"/>
      <c r="N644" s="292"/>
      <c r="O644" s="292"/>
      <c r="P644" s="292"/>
      <c r="Q644" s="287" t="s">
        <v>18</v>
      </c>
      <c r="R644" s="287" t="s">
        <v>18</v>
      </c>
      <c r="S644" s="288" t="s">
        <v>18</v>
      </c>
      <c r="T644" s="287" t="s">
        <v>18</v>
      </c>
      <c r="U644" s="287" t="s">
        <v>18</v>
      </c>
      <c r="V644" s="288" t="s">
        <v>18</v>
      </c>
      <c r="W644" s="287" t="s">
        <v>18</v>
      </c>
      <c r="X644" s="287" t="s">
        <v>18</v>
      </c>
      <c r="Y644" s="288" t="s">
        <v>18</v>
      </c>
      <c r="Z644" s="287" t="s">
        <v>18</v>
      </c>
      <c r="AA644" s="287" t="s">
        <v>18</v>
      </c>
      <c r="AB644" s="288" t="s">
        <v>18</v>
      </c>
      <c r="AC644" s="289" t="s">
        <v>18</v>
      </c>
      <c r="AD644" s="287" t="s">
        <v>18</v>
      </c>
      <c r="AE644" s="287" t="s">
        <v>18</v>
      </c>
      <c r="AF644" s="288" t="s">
        <v>18</v>
      </c>
      <c r="AG644" s="287" t="s">
        <v>18</v>
      </c>
      <c r="AH644" s="287" t="s">
        <v>18</v>
      </c>
      <c r="AI644" s="288" t="s">
        <v>18</v>
      </c>
      <c r="AJ644" s="287" t="s">
        <v>18</v>
      </c>
      <c r="AK644" s="287" t="s">
        <v>18</v>
      </c>
      <c r="AL644" s="288" t="s">
        <v>18</v>
      </c>
      <c r="AM644" s="287" t="s">
        <v>18</v>
      </c>
      <c r="AN644" s="287" t="s">
        <v>18</v>
      </c>
      <c r="AO644" s="288" t="s">
        <v>18</v>
      </c>
      <c r="AP644" s="289" t="s">
        <v>18</v>
      </c>
      <c r="AQ644" s="287" t="s">
        <v>18</v>
      </c>
      <c r="AR644" s="287" t="s">
        <v>18</v>
      </c>
      <c r="AS644" s="288" t="s">
        <v>18</v>
      </c>
      <c r="AT644" s="287" t="s">
        <v>18</v>
      </c>
      <c r="AU644" s="294" t="s">
        <v>32</v>
      </c>
      <c r="AV644" s="288" t="s">
        <v>377</v>
      </c>
      <c r="AW644" s="294" t="s">
        <v>32</v>
      </c>
      <c r="AX644" s="287" t="s">
        <v>18</v>
      </c>
      <c r="AY644" s="288" t="s">
        <v>377</v>
      </c>
      <c r="AZ644" s="287" t="s">
        <v>18</v>
      </c>
      <c r="BA644" s="294" t="s">
        <v>32</v>
      </c>
      <c r="BB644" s="295" t="s">
        <v>32</v>
      </c>
      <c r="BC644" s="296" t="s">
        <v>32</v>
      </c>
      <c r="BD644" s="292"/>
    </row>
    <row r="645" ht="12.75" customHeight="1">
      <c r="A645" s="293">
        <v>45265.4178103125</v>
      </c>
      <c r="B645" s="286" t="s">
        <v>486</v>
      </c>
      <c r="C645" s="287" t="s">
        <v>559</v>
      </c>
      <c r="D645" s="285" t="s">
        <v>16</v>
      </c>
      <c r="E645" s="285" t="s">
        <v>476</v>
      </c>
      <c r="F645" s="287" t="s">
        <v>1188</v>
      </c>
      <c r="G645" s="285" t="s">
        <v>21</v>
      </c>
      <c r="H645" s="285">
        <v>12.0</v>
      </c>
      <c r="I645" s="287" t="s">
        <v>479</v>
      </c>
      <c r="J645" s="287" t="s">
        <v>532</v>
      </c>
      <c r="K645" s="287" t="s">
        <v>532</v>
      </c>
      <c r="L645" s="287" t="s">
        <v>497</v>
      </c>
      <c r="M645" s="292"/>
      <c r="N645" s="292"/>
      <c r="O645" s="292"/>
      <c r="P645" s="292"/>
      <c r="Q645" s="294" t="s">
        <v>32</v>
      </c>
      <c r="R645" s="294" t="s">
        <v>32</v>
      </c>
      <c r="S645" s="295" t="s">
        <v>32</v>
      </c>
      <c r="T645" s="287" t="s">
        <v>377</v>
      </c>
      <c r="U645" s="287" t="s">
        <v>377</v>
      </c>
      <c r="V645" s="288" t="s">
        <v>377</v>
      </c>
      <c r="W645" s="287" t="s">
        <v>377</v>
      </c>
      <c r="X645" s="287" t="s">
        <v>377</v>
      </c>
      <c r="Y645" s="288" t="s">
        <v>377</v>
      </c>
      <c r="Z645" s="294" t="s">
        <v>32</v>
      </c>
      <c r="AA645" s="287" t="s">
        <v>18</v>
      </c>
      <c r="AB645" s="288" t="s">
        <v>377</v>
      </c>
      <c r="AC645" s="289" t="s">
        <v>377</v>
      </c>
      <c r="AD645" s="294" t="s">
        <v>32</v>
      </c>
      <c r="AE645" s="294" t="s">
        <v>32</v>
      </c>
      <c r="AF645" s="295" t="s">
        <v>32</v>
      </c>
      <c r="AG645" s="294" t="s">
        <v>32</v>
      </c>
      <c r="AH645" s="287" t="s">
        <v>377</v>
      </c>
      <c r="AI645" s="295" t="s">
        <v>32</v>
      </c>
      <c r="AJ645" s="287" t="s">
        <v>377</v>
      </c>
      <c r="AK645" s="294" t="s">
        <v>32</v>
      </c>
      <c r="AL645" s="295" t="s">
        <v>32</v>
      </c>
      <c r="AM645" s="287" t="s">
        <v>377</v>
      </c>
      <c r="AN645" s="294" t="s">
        <v>32</v>
      </c>
      <c r="AO645" s="295" t="s">
        <v>32</v>
      </c>
      <c r="AP645" s="296" t="s">
        <v>32</v>
      </c>
      <c r="AQ645" s="294" t="s">
        <v>32</v>
      </c>
      <c r="AR645" s="294" t="s">
        <v>32</v>
      </c>
      <c r="AS645" s="295" t="s">
        <v>32</v>
      </c>
      <c r="AT645" s="287" t="s">
        <v>377</v>
      </c>
      <c r="AU645" s="287" t="s">
        <v>377</v>
      </c>
      <c r="AV645" s="288" t="s">
        <v>377</v>
      </c>
      <c r="AW645" s="294" t="s">
        <v>32</v>
      </c>
      <c r="AX645" s="294" t="s">
        <v>32</v>
      </c>
      <c r="AY645" s="295" t="s">
        <v>32</v>
      </c>
      <c r="AZ645" s="294" t="s">
        <v>32</v>
      </c>
      <c r="BA645" s="294" t="s">
        <v>32</v>
      </c>
      <c r="BB645" s="295" t="s">
        <v>32</v>
      </c>
      <c r="BC645" s="296" t="s">
        <v>32</v>
      </c>
      <c r="BD645" s="292"/>
    </row>
    <row r="646" ht="12.75" customHeight="1">
      <c r="A646" s="293">
        <v>45265.42716868056</v>
      </c>
      <c r="B646" s="286" t="s">
        <v>486</v>
      </c>
      <c r="C646" s="287" t="s">
        <v>559</v>
      </c>
      <c r="D646" s="285" t="s">
        <v>16</v>
      </c>
      <c r="E646" s="285" t="s">
        <v>476</v>
      </c>
      <c r="F646" s="287" t="s">
        <v>1189</v>
      </c>
      <c r="G646" s="285" t="s">
        <v>21</v>
      </c>
      <c r="H646" s="285">
        <v>11.0</v>
      </c>
      <c r="I646" s="287" t="s">
        <v>479</v>
      </c>
      <c r="J646" s="287" t="s">
        <v>532</v>
      </c>
      <c r="K646" s="287" t="s">
        <v>532</v>
      </c>
      <c r="L646" s="287" t="s">
        <v>497</v>
      </c>
      <c r="M646" s="292"/>
      <c r="N646" s="292"/>
      <c r="O646" s="292"/>
      <c r="P646" s="292"/>
      <c r="Q646" s="294" t="s">
        <v>32</v>
      </c>
      <c r="R646" s="294" t="s">
        <v>32</v>
      </c>
      <c r="S646" s="295" t="s">
        <v>32</v>
      </c>
      <c r="T646" s="287" t="s">
        <v>377</v>
      </c>
      <c r="U646" s="287" t="s">
        <v>18</v>
      </c>
      <c r="V646" s="288" t="s">
        <v>377</v>
      </c>
      <c r="W646" s="294" t="s">
        <v>32</v>
      </c>
      <c r="X646" s="294" t="s">
        <v>32</v>
      </c>
      <c r="Y646" s="295" t="s">
        <v>32</v>
      </c>
      <c r="Z646" s="287" t="s">
        <v>377</v>
      </c>
      <c r="AA646" s="287" t="s">
        <v>18</v>
      </c>
      <c r="AB646" s="288" t="s">
        <v>377</v>
      </c>
      <c r="AC646" s="289" t="s">
        <v>377</v>
      </c>
      <c r="AD646" s="287" t="s">
        <v>377</v>
      </c>
      <c r="AE646" s="294" t="s">
        <v>32</v>
      </c>
      <c r="AF646" s="295" t="s">
        <v>32</v>
      </c>
      <c r="AG646" s="294" t="s">
        <v>32</v>
      </c>
      <c r="AH646" s="294" t="s">
        <v>32</v>
      </c>
      <c r="AI646" s="295" t="s">
        <v>32</v>
      </c>
      <c r="AJ646" s="287" t="s">
        <v>377</v>
      </c>
      <c r="AK646" s="294" t="s">
        <v>32</v>
      </c>
      <c r="AL646" s="295" t="s">
        <v>32</v>
      </c>
      <c r="AM646" s="294" t="s">
        <v>32</v>
      </c>
      <c r="AN646" s="294" t="s">
        <v>32</v>
      </c>
      <c r="AO646" s="295" t="s">
        <v>32</v>
      </c>
      <c r="AP646" s="296" t="s">
        <v>32</v>
      </c>
      <c r="AQ646" s="294" t="s">
        <v>32</v>
      </c>
      <c r="AR646" s="294" t="s">
        <v>32</v>
      </c>
      <c r="AS646" s="295" t="s">
        <v>32</v>
      </c>
      <c r="AT646" s="294" t="s">
        <v>32</v>
      </c>
      <c r="AU646" s="294" t="s">
        <v>32</v>
      </c>
      <c r="AV646" s="295" t="s">
        <v>32</v>
      </c>
      <c r="AW646" s="294" t="s">
        <v>32</v>
      </c>
      <c r="AX646" s="294" t="s">
        <v>32</v>
      </c>
      <c r="AY646" s="295" t="s">
        <v>32</v>
      </c>
      <c r="AZ646" s="294" t="s">
        <v>32</v>
      </c>
      <c r="BA646" s="294" t="s">
        <v>32</v>
      </c>
      <c r="BB646" s="288" t="s">
        <v>377</v>
      </c>
      <c r="BC646" s="289" t="s">
        <v>377</v>
      </c>
      <c r="BD646" s="292"/>
    </row>
    <row r="647" ht="12.75" customHeight="1">
      <c r="A647" s="293">
        <v>45265.477450590275</v>
      </c>
      <c r="B647" s="286" t="s">
        <v>486</v>
      </c>
      <c r="C647" s="287" t="s">
        <v>559</v>
      </c>
      <c r="D647" s="285" t="s">
        <v>16</v>
      </c>
      <c r="E647" s="285" t="s">
        <v>476</v>
      </c>
      <c r="F647" s="287" t="s">
        <v>1190</v>
      </c>
      <c r="G647" s="285" t="s">
        <v>21</v>
      </c>
      <c r="H647" s="285">
        <v>11.0</v>
      </c>
      <c r="I647" s="287" t="s">
        <v>479</v>
      </c>
      <c r="J647" s="287" t="s">
        <v>532</v>
      </c>
      <c r="K647" s="287" t="s">
        <v>532</v>
      </c>
      <c r="L647" s="287" t="s">
        <v>497</v>
      </c>
      <c r="M647" s="292"/>
      <c r="N647" s="292"/>
      <c r="O647" s="292"/>
      <c r="P647" s="292"/>
      <c r="Q647" s="294" t="s">
        <v>32</v>
      </c>
      <c r="R647" s="294" t="s">
        <v>32</v>
      </c>
      <c r="S647" s="295" t="s">
        <v>32</v>
      </c>
      <c r="T647" s="294" t="s">
        <v>32</v>
      </c>
      <c r="U647" s="294" t="s">
        <v>32</v>
      </c>
      <c r="V647" s="295" t="s">
        <v>32</v>
      </c>
      <c r="W647" s="294" t="s">
        <v>32</v>
      </c>
      <c r="X647" s="294" t="s">
        <v>32</v>
      </c>
      <c r="Y647" s="295" t="s">
        <v>32</v>
      </c>
      <c r="Z647" s="287" t="s">
        <v>18</v>
      </c>
      <c r="AA647" s="294" t="s">
        <v>32</v>
      </c>
      <c r="AB647" s="288" t="s">
        <v>377</v>
      </c>
      <c r="AC647" s="296" t="s">
        <v>32</v>
      </c>
      <c r="AD647" s="294" t="s">
        <v>32</v>
      </c>
      <c r="AE647" s="294" t="s">
        <v>32</v>
      </c>
      <c r="AF647" s="295" t="s">
        <v>32</v>
      </c>
      <c r="AG647" s="294" t="s">
        <v>32</v>
      </c>
      <c r="AH647" s="287" t="s">
        <v>18</v>
      </c>
      <c r="AI647" s="288" t="s">
        <v>377</v>
      </c>
      <c r="AJ647" s="287" t="s">
        <v>18</v>
      </c>
      <c r="AK647" s="287" t="s">
        <v>18</v>
      </c>
      <c r="AL647" s="288" t="s">
        <v>18</v>
      </c>
      <c r="AM647" s="287" t="s">
        <v>18</v>
      </c>
      <c r="AN647" s="287" t="s">
        <v>18</v>
      </c>
      <c r="AO647" s="288" t="s">
        <v>18</v>
      </c>
      <c r="AP647" s="289" t="s">
        <v>377</v>
      </c>
      <c r="AQ647" s="294" t="s">
        <v>32</v>
      </c>
      <c r="AR647" s="294" t="s">
        <v>32</v>
      </c>
      <c r="AS647" s="295" t="s">
        <v>32</v>
      </c>
      <c r="AT647" s="294" t="s">
        <v>32</v>
      </c>
      <c r="AU647" s="294" t="s">
        <v>32</v>
      </c>
      <c r="AV647" s="295" t="s">
        <v>32</v>
      </c>
      <c r="AW647" s="294" t="s">
        <v>32</v>
      </c>
      <c r="AX647" s="294" t="s">
        <v>32</v>
      </c>
      <c r="AY647" s="295" t="s">
        <v>32</v>
      </c>
      <c r="AZ647" s="294" t="s">
        <v>32</v>
      </c>
      <c r="BA647" s="294" t="s">
        <v>32</v>
      </c>
      <c r="BB647" s="288" t="s">
        <v>377</v>
      </c>
      <c r="BC647" s="289" t="s">
        <v>377</v>
      </c>
      <c r="BD647" s="292"/>
    </row>
    <row r="648" ht="12.75" customHeight="1">
      <c r="A648" s="293">
        <v>45265.52202833333</v>
      </c>
      <c r="B648" s="286" t="s">
        <v>486</v>
      </c>
      <c r="C648" s="287" t="s">
        <v>559</v>
      </c>
      <c r="D648" s="285" t="s">
        <v>16</v>
      </c>
      <c r="E648" s="285" t="s">
        <v>476</v>
      </c>
      <c r="F648" s="287" t="s">
        <v>1191</v>
      </c>
      <c r="G648" s="285" t="s">
        <v>17</v>
      </c>
      <c r="H648" s="285">
        <v>12.0</v>
      </c>
      <c r="I648" s="287" t="s">
        <v>479</v>
      </c>
      <c r="J648" s="287" t="s">
        <v>532</v>
      </c>
      <c r="K648" s="287" t="s">
        <v>532</v>
      </c>
      <c r="L648" s="287" t="s">
        <v>479</v>
      </c>
      <c r="M648" s="287" t="s">
        <v>481</v>
      </c>
      <c r="N648" s="287" t="s">
        <v>561</v>
      </c>
      <c r="O648" s="287"/>
      <c r="P648" s="287"/>
      <c r="Q648" s="294" t="s">
        <v>32</v>
      </c>
      <c r="R648" s="287" t="s">
        <v>377</v>
      </c>
      <c r="S648" s="295" t="s">
        <v>32</v>
      </c>
      <c r="T648" s="294" t="s">
        <v>32</v>
      </c>
      <c r="U648" s="294" t="s">
        <v>32</v>
      </c>
      <c r="V648" s="295" t="s">
        <v>32</v>
      </c>
      <c r="W648" s="287" t="s">
        <v>377</v>
      </c>
      <c r="X648" s="294" t="s">
        <v>32</v>
      </c>
      <c r="Y648" s="295" t="s">
        <v>32</v>
      </c>
      <c r="Z648" s="294" t="s">
        <v>32</v>
      </c>
      <c r="AA648" s="287" t="s">
        <v>18</v>
      </c>
      <c r="AB648" s="288" t="s">
        <v>377</v>
      </c>
      <c r="AC648" s="296" t="s">
        <v>32</v>
      </c>
      <c r="AD648" s="294" t="s">
        <v>32</v>
      </c>
      <c r="AE648" s="294" t="s">
        <v>32</v>
      </c>
      <c r="AF648" s="295" t="s">
        <v>32</v>
      </c>
      <c r="AG648" s="294" t="s">
        <v>32</v>
      </c>
      <c r="AH648" s="287" t="s">
        <v>18</v>
      </c>
      <c r="AI648" s="288" t="s">
        <v>377</v>
      </c>
      <c r="AJ648" s="287" t="s">
        <v>18</v>
      </c>
      <c r="AK648" s="294" t="s">
        <v>32</v>
      </c>
      <c r="AL648" s="288" t="s">
        <v>377</v>
      </c>
      <c r="AM648" s="287" t="s">
        <v>18</v>
      </c>
      <c r="AN648" s="294" t="s">
        <v>32</v>
      </c>
      <c r="AO648" s="288" t="s">
        <v>377</v>
      </c>
      <c r="AP648" s="289" t="s">
        <v>377</v>
      </c>
      <c r="AQ648" s="294" t="s">
        <v>32</v>
      </c>
      <c r="AR648" s="294" t="s">
        <v>32</v>
      </c>
      <c r="AS648" s="295" t="s">
        <v>32</v>
      </c>
      <c r="AT648" s="294" t="s">
        <v>32</v>
      </c>
      <c r="AU648" s="294" t="s">
        <v>32</v>
      </c>
      <c r="AV648" s="295" t="s">
        <v>32</v>
      </c>
      <c r="AW648" s="294" t="s">
        <v>32</v>
      </c>
      <c r="AX648" s="287" t="s">
        <v>18</v>
      </c>
      <c r="AY648" s="288" t="s">
        <v>377</v>
      </c>
      <c r="AZ648" s="294" t="s">
        <v>32</v>
      </c>
      <c r="BA648" s="294" t="s">
        <v>32</v>
      </c>
      <c r="BB648" s="295" t="s">
        <v>32</v>
      </c>
      <c r="BC648" s="296" t="s">
        <v>32</v>
      </c>
      <c r="BD648" s="292"/>
    </row>
    <row r="649" ht="12.75" customHeight="1">
      <c r="A649" s="293">
        <v>45265.52440181713</v>
      </c>
      <c r="B649" s="286" t="s">
        <v>486</v>
      </c>
      <c r="C649" s="287" t="s">
        <v>559</v>
      </c>
      <c r="D649" s="285" t="s">
        <v>16</v>
      </c>
      <c r="E649" s="285" t="s">
        <v>476</v>
      </c>
      <c r="F649" s="287" t="s">
        <v>1192</v>
      </c>
      <c r="G649" s="285" t="s">
        <v>21</v>
      </c>
      <c r="H649" s="285">
        <v>12.0</v>
      </c>
      <c r="I649" s="287" t="s">
        <v>479</v>
      </c>
      <c r="J649" s="287" t="s">
        <v>532</v>
      </c>
      <c r="K649" s="287" t="s">
        <v>532</v>
      </c>
      <c r="L649" s="287" t="s">
        <v>497</v>
      </c>
      <c r="M649" s="292"/>
      <c r="N649" s="292"/>
      <c r="O649" s="292"/>
      <c r="P649" s="292"/>
      <c r="Q649" s="287" t="s">
        <v>18</v>
      </c>
      <c r="R649" s="294" t="s">
        <v>32</v>
      </c>
      <c r="S649" s="288" t="s">
        <v>377</v>
      </c>
      <c r="T649" s="287" t="s">
        <v>377</v>
      </c>
      <c r="U649" s="294" t="s">
        <v>32</v>
      </c>
      <c r="V649" s="295" t="s">
        <v>32</v>
      </c>
      <c r="W649" s="287" t="s">
        <v>377</v>
      </c>
      <c r="X649" s="287" t="s">
        <v>377</v>
      </c>
      <c r="Y649" s="288" t="s">
        <v>377</v>
      </c>
      <c r="Z649" s="294" t="s">
        <v>32</v>
      </c>
      <c r="AA649" s="294" t="s">
        <v>32</v>
      </c>
      <c r="AB649" s="295" t="s">
        <v>32</v>
      </c>
      <c r="AC649" s="289" t="s">
        <v>377</v>
      </c>
      <c r="AD649" s="287" t="s">
        <v>377</v>
      </c>
      <c r="AE649" s="287" t="s">
        <v>18</v>
      </c>
      <c r="AF649" s="288" t="s">
        <v>377</v>
      </c>
      <c r="AG649" s="294" t="s">
        <v>32</v>
      </c>
      <c r="AH649" s="294" t="s">
        <v>32</v>
      </c>
      <c r="AI649" s="295" t="s">
        <v>32</v>
      </c>
      <c r="AJ649" s="287" t="s">
        <v>377</v>
      </c>
      <c r="AK649" s="294" t="s">
        <v>32</v>
      </c>
      <c r="AL649" s="295" t="s">
        <v>32</v>
      </c>
      <c r="AM649" s="287" t="s">
        <v>18</v>
      </c>
      <c r="AN649" s="294" t="s">
        <v>32</v>
      </c>
      <c r="AO649" s="288" t="s">
        <v>377</v>
      </c>
      <c r="AP649" s="289" t="s">
        <v>377</v>
      </c>
      <c r="AQ649" s="287" t="s">
        <v>18</v>
      </c>
      <c r="AR649" s="287" t="s">
        <v>377</v>
      </c>
      <c r="AS649" s="288" t="s">
        <v>377</v>
      </c>
      <c r="AT649" s="294" t="s">
        <v>32</v>
      </c>
      <c r="AU649" s="287" t="s">
        <v>377</v>
      </c>
      <c r="AV649" s="295" t="s">
        <v>32</v>
      </c>
      <c r="AW649" s="294" t="s">
        <v>32</v>
      </c>
      <c r="AX649" s="287" t="s">
        <v>18</v>
      </c>
      <c r="AY649" s="288" t="s">
        <v>377</v>
      </c>
      <c r="AZ649" s="294" t="s">
        <v>32</v>
      </c>
      <c r="BA649" s="294" t="s">
        <v>32</v>
      </c>
      <c r="BB649" s="288" t="s">
        <v>377</v>
      </c>
      <c r="BC649" s="289" t="s">
        <v>377</v>
      </c>
      <c r="BD649" s="292"/>
    </row>
    <row r="650" ht="12.75" customHeight="1">
      <c r="A650" s="293">
        <v>45265.52740527778</v>
      </c>
      <c r="B650" s="286" t="s">
        <v>486</v>
      </c>
      <c r="C650" s="287" t="s">
        <v>559</v>
      </c>
      <c r="D650" s="285" t="s">
        <v>16</v>
      </c>
      <c r="E650" s="285" t="s">
        <v>476</v>
      </c>
      <c r="F650" s="287" t="s">
        <v>1193</v>
      </c>
      <c r="G650" s="285" t="s">
        <v>17</v>
      </c>
      <c r="H650" s="285">
        <v>12.0</v>
      </c>
      <c r="I650" s="287" t="s">
        <v>479</v>
      </c>
      <c r="J650" s="287" t="s">
        <v>532</v>
      </c>
      <c r="K650" s="287" t="s">
        <v>532</v>
      </c>
      <c r="L650" s="287" t="s">
        <v>479</v>
      </c>
      <c r="M650" s="287" t="s">
        <v>481</v>
      </c>
      <c r="N650" s="287" t="s">
        <v>561</v>
      </c>
      <c r="O650" s="287"/>
      <c r="P650" s="287"/>
      <c r="Q650" s="287" t="s">
        <v>18</v>
      </c>
      <c r="R650" s="287" t="s">
        <v>18</v>
      </c>
      <c r="S650" s="288" t="s">
        <v>18</v>
      </c>
      <c r="T650" s="287" t="s">
        <v>377</v>
      </c>
      <c r="U650" s="294" t="s">
        <v>32</v>
      </c>
      <c r="V650" s="295" t="s">
        <v>32</v>
      </c>
      <c r="W650" s="294" t="s">
        <v>32</v>
      </c>
      <c r="X650" s="287" t="s">
        <v>377</v>
      </c>
      <c r="Y650" s="295" t="s">
        <v>32</v>
      </c>
      <c r="Z650" s="287" t="s">
        <v>18</v>
      </c>
      <c r="AA650" s="287" t="s">
        <v>377</v>
      </c>
      <c r="AB650" s="288" t="s">
        <v>377</v>
      </c>
      <c r="AC650" s="289" t="s">
        <v>377</v>
      </c>
      <c r="AD650" s="294" t="s">
        <v>32</v>
      </c>
      <c r="AE650" s="287" t="s">
        <v>377</v>
      </c>
      <c r="AF650" s="295" t="s">
        <v>32</v>
      </c>
      <c r="AG650" s="287" t="s">
        <v>18</v>
      </c>
      <c r="AH650" s="294" t="s">
        <v>32</v>
      </c>
      <c r="AI650" s="288" t="s">
        <v>377</v>
      </c>
      <c r="AJ650" s="287" t="s">
        <v>377</v>
      </c>
      <c r="AK650" s="287" t="s">
        <v>377</v>
      </c>
      <c r="AL650" s="288" t="s">
        <v>377</v>
      </c>
      <c r="AM650" s="287" t="s">
        <v>18</v>
      </c>
      <c r="AN650" s="287" t="s">
        <v>18</v>
      </c>
      <c r="AO650" s="288" t="s">
        <v>18</v>
      </c>
      <c r="AP650" s="289" t="s">
        <v>377</v>
      </c>
      <c r="AQ650" s="294" t="s">
        <v>32</v>
      </c>
      <c r="AR650" s="287" t="s">
        <v>377</v>
      </c>
      <c r="AS650" s="295" t="s">
        <v>32</v>
      </c>
      <c r="AT650" s="287" t="s">
        <v>18</v>
      </c>
      <c r="AU650" s="294" t="s">
        <v>32</v>
      </c>
      <c r="AV650" s="288" t="s">
        <v>377</v>
      </c>
      <c r="AW650" s="294" t="s">
        <v>32</v>
      </c>
      <c r="AX650" s="287" t="s">
        <v>377</v>
      </c>
      <c r="AY650" s="295" t="s">
        <v>32</v>
      </c>
      <c r="AZ650" s="287" t="s">
        <v>18</v>
      </c>
      <c r="BA650" s="287" t="s">
        <v>18</v>
      </c>
      <c r="BB650" s="295" t="s">
        <v>32</v>
      </c>
      <c r="BC650" s="296" t="s">
        <v>32</v>
      </c>
      <c r="BD650" s="292"/>
    </row>
    <row r="651" ht="12.75" customHeight="1">
      <c r="A651" s="293">
        <v>45265.52985201389</v>
      </c>
      <c r="B651" s="286" t="s">
        <v>486</v>
      </c>
      <c r="C651" s="287" t="s">
        <v>559</v>
      </c>
      <c r="D651" s="285" t="s">
        <v>16</v>
      </c>
      <c r="E651" s="285" t="s">
        <v>476</v>
      </c>
      <c r="F651" s="287" t="s">
        <v>1194</v>
      </c>
      <c r="G651" s="285" t="s">
        <v>21</v>
      </c>
      <c r="H651" s="285">
        <v>11.0</v>
      </c>
      <c r="I651" s="287" t="s">
        <v>479</v>
      </c>
      <c r="J651" s="287" t="s">
        <v>532</v>
      </c>
      <c r="K651" s="287" t="s">
        <v>532</v>
      </c>
      <c r="L651" s="287" t="s">
        <v>479</v>
      </c>
      <c r="M651" s="287" t="s">
        <v>481</v>
      </c>
      <c r="N651" s="287" t="s">
        <v>561</v>
      </c>
      <c r="O651" s="287"/>
      <c r="P651" s="287"/>
      <c r="Q651" s="294" t="s">
        <v>32</v>
      </c>
      <c r="R651" s="294" t="s">
        <v>32</v>
      </c>
      <c r="S651" s="295" t="s">
        <v>32</v>
      </c>
      <c r="T651" s="294" t="s">
        <v>32</v>
      </c>
      <c r="U651" s="294" t="s">
        <v>32</v>
      </c>
      <c r="V651" s="295" t="s">
        <v>32</v>
      </c>
      <c r="W651" s="287" t="s">
        <v>18</v>
      </c>
      <c r="X651" s="287" t="s">
        <v>18</v>
      </c>
      <c r="Y651" s="288" t="s">
        <v>18</v>
      </c>
      <c r="Z651" s="294" t="s">
        <v>32</v>
      </c>
      <c r="AA651" s="287" t="s">
        <v>377</v>
      </c>
      <c r="AB651" s="295" t="s">
        <v>32</v>
      </c>
      <c r="AC651" s="289" t="s">
        <v>377</v>
      </c>
      <c r="AD651" s="287" t="s">
        <v>377</v>
      </c>
      <c r="AE651" s="294" t="s">
        <v>32</v>
      </c>
      <c r="AF651" s="295" t="s">
        <v>32</v>
      </c>
      <c r="AG651" s="294" t="s">
        <v>32</v>
      </c>
      <c r="AH651" s="287" t="s">
        <v>377</v>
      </c>
      <c r="AI651" s="295" t="s">
        <v>32</v>
      </c>
      <c r="AJ651" s="287" t="s">
        <v>18</v>
      </c>
      <c r="AK651" s="287" t="s">
        <v>18</v>
      </c>
      <c r="AL651" s="288" t="s">
        <v>18</v>
      </c>
      <c r="AM651" s="287" t="s">
        <v>18</v>
      </c>
      <c r="AN651" s="287" t="s">
        <v>18</v>
      </c>
      <c r="AO651" s="288" t="s">
        <v>18</v>
      </c>
      <c r="AP651" s="289" t="s">
        <v>377</v>
      </c>
      <c r="AQ651" s="294" t="s">
        <v>32</v>
      </c>
      <c r="AR651" s="294" t="s">
        <v>32</v>
      </c>
      <c r="AS651" s="295" t="s">
        <v>32</v>
      </c>
      <c r="AT651" s="294" t="s">
        <v>32</v>
      </c>
      <c r="AU651" s="294" t="s">
        <v>32</v>
      </c>
      <c r="AV651" s="295" t="s">
        <v>32</v>
      </c>
      <c r="AW651" s="294" t="s">
        <v>32</v>
      </c>
      <c r="AX651" s="294" t="s">
        <v>32</v>
      </c>
      <c r="AY651" s="295" t="s">
        <v>32</v>
      </c>
      <c r="AZ651" s="294" t="s">
        <v>32</v>
      </c>
      <c r="BA651" s="294" t="s">
        <v>32</v>
      </c>
      <c r="BB651" s="288" t="s">
        <v>377</v>
      </c>
      <c r="BC651" s="289" t="s">
        <v>377</v>
      </c>
      <c r="BD651" s="292"/>
    </row>
    <row r="652" ht="12.75" customHeight="1">
      <c r="A652" s="293">
        <v>45266.85966663194</v>
      </c>
      <c r="B652" s="286" t="s">
        <v>486</v>
      </c>
      <c r="C652" s="287" t="s">
        <v>559</v>
      </c>
      <c r="D652" s="285" t="s">
        <v>16</v>
      </c>
      <c r="E652" s="285" t="s">
        <v>476</v>
      </c>
      <c r="F652" s="287" t="s">
        <v>1195</v>
      </c>
      <c r="G652" s="285" t="s">
        <v>21</v>
      </c>
      <c r="H652" s="285">
        <v>12.0</v>
      </c>
      <c r="I652" s="287" t="s">
        <v>479</v>
      </c>
      <c r="J652" s="287" t="s">
        <v>532</v>
      </c>
      <c r="K652" s="287" t="s">
        <v>532</v>
      </c>
      <c r="L652" s="287" t="s">
        <v>479</v>
      </c>
      <c r="M652" s="287" t="s">
        <v>483</v>
      </c>
      <c r="N652" s="287" t="s">
        <v>483</v>
      </c>
      <c r="O652" s="287"/>
      <c r="P652" s="287"/>
      <c r="Q652" s="294" t="s">
        <v>32</v>
      </c>
      <c r="R652" s="294" t="s">
        <v>32</v>
      </c>
      <c r="S652" s="295" t="s">
        <v>32</v>
      </c>
      <c r="T652" s="294" t="s">
        <v>32</v>
      </c>
      <c r="U652" s="294" t="s">
        <v>32</v>
      </c>
      <c r="V652" s="295" t="s">
        <v>32</v>
      </c>
      <c r="W652" s="294" t="s">
        <v>32</v>
      </c>
      <c r="X652" s="294" t="s">
        <v>32</v>
      </c>
      <c r="Y652" s="295" t="s">
        <v>32</v>
      </c>
      <c r="Z652" s="294" t="s">
        <v>32</v>
      </c>
      <c r="AA652" s="294" t="s">
        <v>32</v>
      </c>
      <c r="AB652" s="295" t="s">
        <v>32</v>
      </c>
      <c r="AC652" s="296" t="s">
        <v>32</v>
      </c>
      <c r="AD652" s="294" t="s">
        <v>32</v>
      </c>
      <c r="AE652" s="287" t="s">
        <v>377</v>
      </c>
      <c r="AF652" s="295" t="s">
        <v>32</v>
      </c>
      <c r="AG652" s="294" t="s">
        <v>32</v>
      </c>
      <c r="AH652" s="294" t="s">
        <v>32</v>
      </c>
      <c r="AI652" s="295" t="s">
        <v>32</v>
      </c>
      <c r="AJ652" s="294" t="s">
        <v>32</v>
      </c>
      <c r="AK652" s="294" t="s">
        <v>32</v>
      </c>
      <c r="AL652" s="295" t="s">
        <v>32</v>
      </c>
      <c r="AM652" s="294" t="s">
        <v>32</v>
      </c>
      <c r="AN652" s="294" t="s">
        <v>32</v>
      </c>
      <c r="AO652" s="295" t="s">
        <v>32</v>
      </c>
      <c r="AP652" s="296" t="s">
        <v>32</v>
      </c>
      <c r="AQ652" s="294" t="s">
        <v>32</v>
      </c>
      <c r="AR652" s="294" t="s">
        <v>32</v>
      </c>
      <c r="AS652" s="295" t="s">
        <v>32</v>
      </c>
      <c r="AT652" s="294" t="s">
        <v>32</v>
      </c>
      <c r="AU652" s="294" t="s">
        <v>32</v>
      </c>
      <c r="AV652" s="295" t="s">
        <v>32</v>
      </c>
      <c r="AW652" s="294" t="s">
        <v>32</v>
      </c>
      <c r="AX652" s="294" t="s">
        <v>32</v>
      </c>
      <c r="AY652" s="295" t="s">
        <v>32</v>
      </c>
      <c r="AZ652" s="294" t="s">
        <v>32</v>
      </c>
      <c r="BA652" s="294" t="s">
        <v>32</v>
      </c>
      <c r="BB652" s="288" t="s">
        <v>377</v>
      </c>
      <c r="BC652" s="296" t="s">
        <v>32</v>
      </c>
      <c r="BD652" s="292"/>
    </row>
    <row r="653" ht="12.75" customHeight="1">
      <c r="A653" s="293">
        <v>45266.86744320602</v>
      </c>
      <c r="B653" s="286" t="s">
        <v>486</v>
      </c>
      <c r="C653" s="287" t="s">
        <v>559</v>
      </c>
      <c r="D653" s="285" t="s">
        <v>16</v>
      </c>
      <c r="E653" s="285" t="s">
        <v>476</v>
      </c>
      <c r="F653" s="287" t="s">
        <v>1196</v>
      </c>
      <c r="G653" s="285" t="s">
        <v>21</v>
      </c>
      <c r="H653" s="285">
        <v>12.0</v>
      </c>
      <c r="I653" s="287" t="s">
        <v>479</v>
      </c>
      <c r="J653" s="287" t="s">
        <v>532</v>
      </c>
      <c r="K653" s="287" t="s">
        <v>532</v>
      </c>
      <c r="L653" s="287" t="s">
        <v>479</v>
      </c>
      <c r="M653" s="287" t="s">
        <v>481</v>
      </c>
      <c r="N653" s="287" t="s">
        <v>561</v>
      </c>
      <c r="O653" s="287"/>
      <c r="P653" s="287"/>
      <c r="Q653" s="294" t="s">
        <v>32</v>
      </c>
      <c r="R653" s="294" t="s">
        <v>32</v>
      </c>
      <c r="S653" s="295" t="s">
        <v>32</v>
      </c>
      <c r="T653" s="287" t="s">
        <v>377</v>
      </c>
      <c r="U653" s="294" t="s">
        <v>32</v>
      </c>
      <c r="V653" s="295" t="s">
        <v>32</v>
      </c>
      <c r="W653" s="294" t="s">
        <v>32</v>
      </c>
      <c r="X653" s="294" t="s">
        <v>32</v>
      </c>
      <c r="Y653" s="295" t="s">
        <v>32</v>
      </c>
      <c r="Z653" s="294" t="s">
        <v>32</v>
      </c>
      <c r="AA653" s="294" t="s">
        <v>32</v>
      </c>
      <c r="AB653" s="295" t="s">
        <v>32</v>
      </c>
      <c r="AC653" s="296" t="s">
        <v>32</v>
      </c>
      <c r="AD653" s="294" t="s">
        <v>32</v>
      </c>
      <c r="AE653" s="294" t="s">
        <v>32</v>
      </c>
      <c r="AF653" s="295" t="s">
        <v>32</v>
      </c>
      <c r="AG653" s="294" t="s">
        <v>32</v>
      </c>
      <c r="AH653" s="294" t="s">
        <v>32</v>
      </c>
      <c r="AI653" s="295" t="s">
        <v>32</v>
      </c>
      <c r="AJ653" s="294" t="s">
        <v>32</v>
      </c>
      <c r="AK653" s="294" t="s">
        <v>32</v>
      </c>
      <c r="AL653" s="295" t="s">
        <v>32</v>
      </c>
      <c r="AM653" s="287" t="s">
        <v>377</v>
      </c>
      <c r="AN653" s="287" t="s">
        <v>377</v>
      </c>
      <c r="AO653" s="288" t="s">
        <v>377</v>
      </c>
      <c r="AP653" s="296" t="s">
        <v>32</v>
      </c>
      <c r="AQ653" s="287" t="s">
        <v>377</v>
      </c>
      <c r="AR653" s="294" t="s">
        <v>32</v>
      </c>
      <c r="AS653" s="295" t="s">
        <v>32</v>
      </c>
      <c r="AT653" s="287" t="s">
        <v>377</v>
      </c>
      <c r="AU653" s="287" t="s">
        <v>377</v>
      </c>
      <c r="AV653" s="288" t="s">
        <v>377</v>
      </c>
      <c r="AW653" s="294" t="s">
        <v>32</v>
      </c>
      <c r="AX653" s="294" t="s">
        <v>32</v>
      </c>
      <c r="AY653" s="295" t="s">
        <v>32</v>
      </c>
      <c r="AZ653" s="287" t="s">
        <v>377</v>
      </c>
      <c r="BA653" s="287" t="s">
        <v>377</v>
      </c>
      <c r="BB653" s="288" t="s">
        <v>377</v>
      </c>
      <c r="BC653" s="289" t="s">
        <v>377</v>
      </c>
      <c r="BD653" s="292"/>
    </row>
    <row r="654" ht="12.75" customHeight="1">
      <c r="A654" s="293">
        <v>45266.873178333335</v>
      </c>
      <c r="B654" s="286" t="s">
        <v>486</v>
      </c>
      <c r="C654" s="287" t="s">
        <v>559</v>
      </c>
      <c r="D654" s="285" t="s">
        <v>16</v>
      </c>
      <c r="E654" s="285" t="s">
        <v>476</v>
      </c>
      <c r="F654" s="287" t="s">
        <v>1197</v>
      </c>
      <c r="G654" s="285" t="s">
        <v>17</v>
      </c>
      <c r="H654" s="285">
        <v>11.0</v>
      </c>
      <c r="I654" s="287" t="s">
        <v>479</v>
      </c>
      <c r="J654" s="287" t="s">
        <v>532</v>
      </c>
      <c r="K654" s="287" t="s">
        <v>532</v>
      </c>
      <c r="L654" s="287" t="s">
        <v>479</v>
      </c>
      <c r="M654" s="287" t="s">
        <v>481</v>
      </c>
      <c r="N654" s="287" t="s">
        <v>561</v>
      </c>
      <c r="O654" s="287"/>
      <c r="P654" s="287"/>
      <c r="Q654" s="294" t="s">
        <v>32</v>
      </c>
      <c r="R654" s="294" t="s">
        <v>32</v>
      </c>
      <c r="S654" s="295" t="s">
        <v>32</v>
      </c>
      <c r="T654" s="294" t="s">
        <v>32</v>
      </c>
      <c r="U654" s="294" t="s">
        <v>32</v>
      </c>
      <c r="V654" s="295" t="s">
        <v>32</v>
      </c>
      <c r="W654" s="294" t="s">
        <v>32</v>
      </c>
      <c r="X654" s="294" t="s">
        <v>32</v>
      </c>
      <c r="Y654" s="295" t="s">
        <v>32</v>
      </c>
      <c r="Z654" s="294" t="s">
        <v>32</v>
      </c>
      <c r="AA654" s="294" t="s">
        <v>32</v>
      </c>
      <c r="AB654" s="295" t="s">
        <v>32</v>
      </c>
      <c r="AC654" s="296" t="s">
        <v>32</v>
      </c>
      <c r="AD654" s="294" t="s">
        <v>32</v>
      </c>
      <c r="AE654" s="294" t="s">
        <v>32</v>
      </c>
      <c r="AF654" s="295" t="s">
        <v>32</v>
      </c>
      <c r="AG654" s="294" t="s">
        <v>32</v>
      </c>
      <c r="AH654" s="294" t="s">
        <v>32</v>
      </c>
      <c r="AI654" s="295" t="s">
        <v>32</v>
      </c>
      <c r="AJ654" s="294" t="s">
        <v>32</v>
      </c>
      <c r="AK654" s="294" t="s">
        <v>32</v>
      </c>
      <c r="AL654" s="295" t="s">
        <v>32</v>
      </c>
      <c r="AM654" s="287" t="s">
        <v>377</v>
      </c>
      <c r="AN654" s="287" t="s">
        <v>377</v>
      </c>
      <c r="AO654" s="288" t="s">
        <v>377</v>
      </c>
      <c r="AP654" s="296" t="s">
        <v>32</v>
      </c>
      <c r="AQ654" s="287" t="s">
        <v>377</v>
      </c>
      <c r="AR654" s="294" t="s">
        <v>32</v>
      </c>
      <c r="AS654" s="295" t="s">
        <v>32</v>
      </c>
      <c r="AT654" s="294" t="s">
        <v>32</v>
      </c>
      <c r="AU654" s="294" t="s">
        <v>32</v>
      </c>
      <c r="AV654" s="295" t="s">
        <v>32</v>
      </c>
      <c r="AW654" s="287" t="s">
        <v>377</v>
      </c>
      <c r="AX654" s="294" t="s">
        <v>32</v>
      </c>
      <c r="AY654" s="295" t="s">
        <v>32</v>
      </c>
      <c r="AZ654" s="294" t="s">
        <v>32</v>
      </c>
      <c r="BA654" s="287" t="s">
        <v>377</v>
      </c>
      <c r="BB654" s="288" t="s">
        <v>377</v>
      </c>
      <c r="BC654" s="289" t="s">
        <v>377</v>
      </c>
      <c r="BD654" s="292"/>
    </row>
    <row r="655" ht="12.75" customHeight="1">
      <c r="A655" s="293">
        <v>45266.87578577547</v>
      </c>
      <c r="B655" s="286" t="s">
        <v>486</v>
      </c>
      <c r="C655" s="287" t="s">
        <v>559</v>
      </c>
      <c r="D655" s="285" t="s">
        <v>16</v>
      </c>
      <c r="E655" s="285" t="s">
        <v>476</v>
      </c>
      <c r="F655" s="287" t="s">
        <v>1198</v>
      </c>
      <c r="G655" s="285" t="s">
        <v>17</v>
      </c>
      <c r="H655" s="285">
        <v>12.0</v>
      </c>
      <c r="I655" s="287" t="s">
        <v>479</v>
      </c>
      <c r="J655" s="287" t="s">
        <v>532</v>
      </c>
      <c r="K655" s="287" t="s">
        <v>532</v>
      </c>
      <c r="L655" s="287" t="s">
        <v>497</v>
      </c>
      <c r="M655" s="292"/>
      <c r="N655" s="292"/>
      <c r="O655" s="292"/>
      <c r="P655" s="292"/>
      <c r="Q655" s="294" t="s">
        <v>32</v>
      </c>
      <c r="R655" s="294" t="s">
        <v>32</v>
      </c>
      <c r="S655" s="295" t="s">
        <v>32</v>
      </c>
      <c r="T655" s="294" t="s">
        <v>32</v>
      </c>
      <c r="U655" s="294" t="s">
        <v>32</v>
      </c>
      <c r="V655" s="295" t="s">
        <v>32</v>
      </c>
      <c r="W655" s="294" t="s">
        <v>32</v>
      </c>
      <c r="X655" s="294" t="s">
        <v>32</v>
      </c>
      <c r="Y655" s="295" t="s">
        <v>32</v>
      </c>
      <c r="Z655" s="294" t="s">
        <v>32</v>
      </c>
      <c r="AA655" s="294" t="s">
        <v>32</v>
      </c>
      <c r="AB655" s="295" t="s">
        <v>32</v>
      </c>
      <c r="AC655" s="296" t="s">
        <v>32</v>
      </c>
      <c r="AD655" s="294" t="s">
        <v>32</v>
      </c>
      <c r="AE655" s="294" t="s">
        <v>32</v>
      </c>
      <c r="AF655" s="295" t="s">
        <v>32</v>
      </c>
      <c r="AG655" s="294" t="s">
        <v>32</v>
      </c>
      <c r="AH655" s="294" t="s">
        <v>32</v>
      </c>
      <c r="AI655" s="295" t="s">
        <v>32</v>
      </c>
      <c r="AJ655" s="294" t="s">
        <v>32</v>
      </c>
      <c r="AK655" s="294" t="s">
        <v>32</v>
      </c>
      <c r="AL655" s="295" t="s">
        <v>32</v>
      </c>
      <c r="AM655" s="287" t="s">
        <v>377</v>
      </c>
      <c r="AN655" s="287" t="s">
        <v>377</v>
      </c>
      <c r="AO655" s="288" t="s">
        <v>377</v>
      </c>
      <c r="AP655" s="296" t="s">
        <v>32</v>
      </c>
      <c r="AQ655" s="287" t="s">
        <v>377</v>
      </c>
      <c r="AR655" s="294" t="s">
        <v>32</v>
      </c>
      <c r="AS655" s="295" t="s">
        <v>32</v>
      </c>
      <c r="AT655" s="294" t="s">
        <v>32</v>
      </c>
      <c r="AU655" s="294" t="s">
        <v>32</v>
      </c>
      <c r="AV655" s="295" t="s">
        <v>32</v>
      </c>
      <c r="AW655" s="294" t="s">
        <v>32</v>
      </c>
      <c r="AX655" s="294" t="s">
        <v>32</v>
      </c>
      <c r="AY655" s="295" t="s">
        <v>32</v>
      </c>
      <c r="AZ655" s="294" t="s">
        <v>32</v>
      </c>
      <c r="BA655" s="294" t="s">
        <v>32</v>
      </c>
      <c r="BB655" s="288" t="s">
        <v>377</v>
      </c>
      <c r="BC655" s="289" t="s">
        <v>377</v>
      </c>
      <c r="BD655" s="292"/>
    </row>
    <row r="656" ht="12.75" customHeight="1">
      <c r="A656" s="293">
        <v>45266.87818584491</v>
      </c>
      <c r="B656" s="286" t="s">
        <v>486</v>
      </c>
      <c r="C656" s="287" t="s">
        <v>559</v>
      </c>
      <c r="D656" s="285" t="s">
        <v>16</v>
      </c>
      <c r="E656" s="285" t="s">
        <v>476</v>
      </c>
      <c r="F656" s="287" t="s">
        <v>1199</v>
      </c>
      <c r="G656" s="285" t="s">
        <v>17</v>
      </c>
      <c r="H656" s="285">
        <v>12.0</v>
      </c>
      <c r="I656" s="287" t="s">
        <v>479</v>
      </c>
      <c r="J656" s="287" t="s">
        <v>532</v>
      </c>
      <c r="K656" s="287" t="s">
        <v>532</v>
      </c>
      <c r="L656" s="287" t="s">
        <v>497</v>
      </c>
      <c r="M656" s="292"/>
      <c r="N656" s="292"/>
      <c r="O656" s="292"/>
      <c r="P656" s="292"/>
      <c r="Q656" s="294" t="s">
        <v>32</v>
      </c>
      <c r="R656" s="294" t="s">
        <v>32</v>
      </c>
      <c r="S656" s="295" t="s">
        <v>32</v>
      </c>
      <c r="T656" s="294" t="s">
        <v>32</v>
      </c>
      <c r="U656" s="294" t="s">
        <v>32</v>
      </c>
      <c r="V656" s="295" t="s">
        <v>32</v>
      </c>
      <c r="W656" s="294" t="s">
        <v>32</v>
      </c>
      <c r="X656" s="294" t="s">
        <v>32</v>
      </c>
      <c r="Y656" s="295" t="s">
        <v>32</v>
      </c>
      <c r="Z656" s="294" t="s">
        <v>32</v>
      </c>
      <c r="AA656" s="287" t="s">
        <v>18</v>
      </c>
      <c r="AB656" s="288" t="s">
        <v>377</v>
      </c>
      <c r="AC656" s="296" t="s">
        <v>32</v>
      </c>
      <c r="AD656" s="294" t="s">
        <v>32</v>
      </c>
      <c r="AE656" s="287" t="s">
        <v>377</v>
      </c>
      <c r="AF656" s="295" t="s">
        <v>32</v>
      </c>
      <c r="AG656" s="294" t="s">
        <v>32</v>
      </c>
      <c r="AH656" s="287" t="s">
        <v>377</v>
      </c>
      <c r="AI656" s="295" t="s">
        <v>32</v>
      </c>
      <c r="AJ656" s="287" t="s">
        <v>377</v>
      </c>
      <c r="AK656" s="287" t="s">
        <v>18</v>
      </c>
      <c r="AL656" s="288" t="s">
        <v>377</v>
      </c>
      <c r="AM656" s="287" t="s">
        <v>18</v>
      </c>
      <c r="AN656" s="287" t="s">
        <v>18</v>
      </c>
      <c r="AO656" s="288" t="s">
        <v>18</v>
      </c>
      <c r="AP656" s="289" t="s">
        <v>377</v>
      </c>
      <c r="AQ656" s="294" t="s">
        <v>32</v>
      </c>
      <c r="AR656" s="294" t="s">
        <v>32</v>
      </c>
      <c r="AS656" s="295" t="s">
        <v>32</v>
      </c>
      <c r="AT656" s="294" t="s">
        <v>32</v>
      </c>
      <c r="AU656" s="294" t="s">
        <v>32</v>
      </c>
      <c r="AV656" s="295" t="s">
        <v>32</v>
      </c>
      <c r="AW656" s="287" t="s">
        <v>377</v>
      </c>
      <c r="AX656" s="294" t="s">
        <v>32</v>
      </c>
      <c r="AY656" s="295" t="s">
        <v>32</v>
      </c>
      <c r="AZ656" s="294" t="s">
        <v>32</v>
      </c>
      <c r="BA656" s="294" t="s">
        <v>32</v>
      </c>
      <c r="BB656" s="295" t="s">
        <v>32</v>
      </c>
      <c r="BC656" s="289" t="s">
        <v>377</v>
      </c>
      <c r="BD656" s="292"/>
    </row>
    <row r="657" ht="12.75" customHeight="1">
      <c r="A657" s="293">
        <v>45266.8805403588</v>
      </c>
      <c r="B657" s="286" t="s">
        <v>486</v>
      </c>
      <c r="C657" s="287" t="s">
        <v>559</v>
      </c>
      <c r="D657" s="285" t="s">
        <v>16</v>
      </c>
      <c r="E657" s="285" t="s">
        <v>476</v>
      </c>
      <c r="F657" s="287" t="s">
        <v>1200</v>
      </c>
      <c r="G657" s="285" t="s">
        <v>21</v>
      </c>
      <c r="H657" s="285">
        <v>11.0</v>
      </c>
      <c r="I657" s="287" t="s">
        <v>479</v>
      </c>
      <c r="J657" s="287" t="s">
        <v>532</v>
      </c>
      <c r="K657" s="287" t="s">
        <v>532</v>
      </c>
      <c r="L657" s="287" t="s">
        <v>479</v>
      </c>
      <c r="M657" s="287" t="s">
        <v>483</v>
      </c>
      <c r="N657" s="287" t="s">
        <v>483</v>
      </c>
      <c r="O657" s="287"/>
      <c r="P657" s="287"/>
      <c r="Q657" s="294" t="s">
        <v>32</v>
      </c>
      <c r="R657" s="287" t="s">
        <v>18</v>
      </c>
      <c r="S657" s="288" t="s">
        <v>377</v>
      </c>
      <c r="T657" s="294" t="s">
        <v>32</v>
      </c>
      <c r="U657" s="294" t="s">
        <v>32</v>
      </c>
      <c r="V657" s="295" t="s">
        <v>32</v>
      </c>
      <c r="W657" s="294" t="s">
        <v>32</v>
      </c>
      <c r="X657" s="294" t="s">
        <v>32</v>
      </c>
      <c r="Y657" s="295" t="s">
        <v>32</v>
      </c>
      <c r="Z657" s="287" t="s">
        <v>377</v>
      </c>
      <c r="AA657" s="287" t="s">
        <v>18</v>
      </c>
      <c r="AB657" s="288" t="s">
        <v>377</v>
      </c>
      <c r="AC657" s="289" t="s">
        <v>377</v>
      </c>
      <c r="AD657" s="287" t="s">
        <v>377</v>
      </c>
      <c r="AE657" s="287" t="s">
        <v>377</v>
      </c>
      <c r="AF657" s="288" t="s">
        <v>377</v>
      </c>
      <c r="AG657" s="294" t="s">
        <v>32</v>
      </c>
      <c r="AH657" s="287" t="s">
        <v>18</v>
      </c>
      <c r="AI657" s="288" t="s">
        <v>377</v>
      </c>
      <c r="AJ657" s="287" t="s">
        <v>18</v>
      </c>
      <c r="AK657" s="287" t="s">
        <v>377</v>
      </c>
      <c r="AL657" s="288" t="s">
        <v>377</v>
      </c>
      <c r="AM657" s="287" t="s">
        <v>18</v>
      </c>
      <c r="AN657" s="287" t="s">
        <v>18</v>
      </c>
      <c r="AO657" s="288" t="s">
        <v>18</v>
      </c>
      <c r="AP657" s="289" t="s">
        <v>377</v>
      </c>
      <c r="AQ657" s="287" t="s">
        <v>377</v>
      </c>
      <c r="AR657" s="287" t="s">
        <v>18</v>
      </c>
      <c r="AS657" s="288" t="s">
        <v>377</v>
      </c>
      <c r="AT657" s="287" t="s">
        <v>377</v>
      </c>
      <c r="AU657" s="294" t="s">
        <v>32</v>
      </c>
      <c r="AV657" s="295" t="s">
        <v>32</v>
      </c>
      <c r="AW657" s="294" t="s">
        <v>32</v>
      </c>
      <c r="AX657" s="287" t="s">
        <v>377</v>
      </c>
      <c r="AY657" s="295" t="s">
        <v>32</v>
      </c>
      <c r="AZ657" s="294" t="s">
        <v>32</v>
      </c>
      <c r="BA657" s="294" t="s">
        <v>32</v>
      </c>
      <c r="BB657" s="295" t="s">
        <v>32</v>
      </c>
      <c r="BC657" s="289" t="s">
        <v>377</v>
      </c>
      <c r="BD657" s="292"/>
    </row>
    <row r="658" ht="12.75" customHeight="1">
      <c r="A658" s="293">
        <v>45266.88818172454</v>
      </c>
      <c r="B658" s="286" t="s">
        <v>486</v>
      </c>
      <c r="C658" s="287" t="s">
        <v>559</v>
      </c>
      <c r="D658" s="285" t="s">
        <v>16</v>
      </c>
      <c r="E658" s="285" t="s">
        <v>476</v>
      </c>
      <c r="F658" s="287" t="s">
        <v>1201</v>
      </c>
      <c r="G658" s="285" t="s">
        <v>21</v>
      </c>
      <c r="H658" s="285">
        <v>11.0</v>
      </c>
      <c r="I658" s="287" t="s">
        <v>479</v>
      </c>
      <c r="J658" s="287" t="s">
        <v>532</v>
      </c>
      <c r="K658" s="287" t="s">
        <v>532</v>
      </c>
      <c r="L658" s="287" t="s">
        <v>479</v>
      </c>
      <c r="M658" s="287" t="s">
        <v>483</v>
      </c>
      <c r="N658" s="287" t="s">
        <v>483</v>
      </c>
      <c r="O658" s="287"/>
      <c r="P658" s="287"/>
      <c r="Q658" s="294" t="s">
        <v>32</v>
      </c>
      <c r="R658" s="294" t="s">
        <v>32</v>
      </c>
      <c r="S658" s="295" t="s">
        <v>32</v>
      </c>
      <c r="T658" s="294" t="s">
        <v>32</v>
      </c>
      <c r="U658" s="294" t="s">
        <v>32</v>
      </c>
      <c r="V658" s="295" t="s">
        <v>32</v>
      </c>
      <c r="W658" s="294" t="s">
        <v>32</v>
      </c>
      <c r="X658" s="294" t="s">
        <v>32</v>
      </c>
      <c r="Y658" s="295" t="s">
        <v>32</v>
      </c>
      <c r="Z658" s="294" t="s">
        <v>32</v>
      </c>
      <c r="AA658" s="294" t="s">
        <v>32</v>
      </c>
      <c r="AB658" s="295" t="s">
        <v>32</v>
      </c>
      <c r="AC658" s="296" t="s">
        <v>32</v>
      </c>
      <c r="AD658" s="294" t="s">
        <v>32</v>
      </c>
      <c r="AE658" s="294" t="s">
        <v>32</v>
      </c>
      <c r="AF658" s="295" t="s">
        <v>32</v>
      </c>
      <c r="AG658" s="294" t="s">
        <v>32</v>
      </c>
      <c r="AH658" s="294" t="s">
        <v>32</v>
      </c>
      <c r="AI658" s="295" t="s">
        <v>32</v>
      </c>
      <c r="AJ658" s="294" t="s">
        <v>32</v>
      </c>
      <c r="AK658" s="294" t="s">
        <v>32</v>
      </c>
      <c r="AL658" s="295" t="s">
        <v>32</v>
      </c>
      <c r="AM658" s="294" t="s">
        <v>32</v>
      </c>
      <c r="AN658" s="294" t="s">
        <v>32</v>
      </c>
      <c r="AO658" s="295" t="s">
        <v>32</v>
      </c>
      <c r="AP658" s="296" t="s">
        <v>32</v>
      </c>
      <c r="AQ658" s="294" t="s">
        <v>32</v>
      </c>
      <c r="AR658" s="294" t="s">
        <v>32</v>
      </c>
      <c r="AS658" s="295" t="s">
        <v>32</v>
      </c>
      <c r="AT658" s="294" t="s">
        <v>32</v>
      </c>
      <c r="AU658" s="294" t="s">
        <v>32</v>
      </c>
      <c r="AV658" s="295" t="s">
        <v>32</v>
      </c>
      <c r="AW658" s="287" t="s">
        <v>377</v>
      </c>
      <c r="AX658" s="294" t="s">
        <v>32</v>
      </c>
      <c r="AY658" s="295" t="s">
        <v>32</v>
      </c>
      <c r="AZ658" s="294" t="s">
        <v>32</v>
      </c>
      <c r="BA658" s="294" t="s">
        <v>32</v>
      </c>
      <c r="BB658" s="295" t="s">
        <v>32</v>
      </c>
      <c r="BC658" s="289" t="s">
        <v>377</v>
      </c>
      <c r="BD658" s="292"/>
    </row>
    <row r="659" ht="12.75" customHeight="1">
      <c r="A659" s="293">
        <v>45266.89429246528</v>
      </c>
      <c r="B659" s="286" t="s">
        <v>486</v>
      </c>
      <c r="C659" s="287" t="s">
        <v>559</v>
      </c>
      <c r="D659" s="285" t="s">
        <v>16</v>
      </c>
      <c r="E659" s="285" t="s">
        <v>476</v>
      </c>
      <c r="F659" s="287" t="s">
        <v>1202</v>
      </c>
      <c r="G659" s="285" t="s">
        <v>17</v>
      </c>
      <c r="H659" s="285">
        <v>12.0</v>
      </c>
      <c r="I659" s="287" t="s">
        <v>479</v>
      </c>
      <c r="J659" s="287" t="s">
        <v>532</v>
      </c>
      <c r="K659" s="287" t="s">
        <v>532</v>
      </c>
      <c r="L659" s="287" t="s">
        <v>479</v>
      </c>
      <c r="M659" s="287" t="s">
        <v>495</v>
      </c>
      <c r="N659" s="287" t="s">
        <v>483</v>
      </c>
      <c r="O659" s="287"/>
      <c r="P659" s="287"/>
      <c r="Q659" s="294" t="s">
        <v>32</v>
      </c>
      <c r="R659" s="294" t="s">
        <v>32</v>
      </c>
      <c r="S659" s="295" t="s">
        <v>32</v>
      </c>
      <c r="T659" s="294" t="s">
        <v>32</v>
      </c>
      <c r="U659" s="294" t="s">
        <v>32</v>
      </c>
      <c r="V659" s="295" t="s">
        <v>32</v>
      </c>
      <c r="W659" s="294" t="s">
        <v>32</v>
      </c>
      <c r="X659" s="294" t="s">
        <v>32</v>
      </c>
      <c r="Y659" s="295" t="s">
        <v>32</v>
      </c>
      <c r="Z659" s="294" t="s">
        <v>32</v>
      </c>
      <c r="AA659" s="294" t="s">
        <v>32</v>
      </c>
      <c r="AB659" s="295" t="s">
        <v>32</v>
      </c>
      <c r="AC659" s="296" t="s">
        <v>32</v>
      </c>
      <c r="AD659" s="294" t="s">
        <v>32</v>
      </c>
      <c r="AE659" s="287" t="s">
        <v>377</v>
      </c>
      <c r="AF659" s="295" t="s">
        <v>32</v>
      </c>
      <c r="AG659" s="294" t="s">
        <v>32</v>
      </c>
      <c r="AH659" s="294" t="s">
        <v>32</v>
      </c>
      <c r="AI659" s="295" t="s">
        <v>32</v>
      </c>
      <c r="AJ659" s="287" t="s">
        <v>377</v>
      </c>
      <c r="AK659" s="294" t="s">
        <v>32</v>
      </c>
      <c r="AL659" s="295" t="s">
        <v>32</v>
      </c>
      <c r="AM659" s="294" t="s">
        <v>32</v>
      </c>
      <c r="AN659" s="294" t="s">
        <v>32</v>
      </c>
      <c r="AO659" s="295" t="s">
        <v>32</v>
      </c>
      <c r="AP659" s="296" t="s">
        <v>32</v>
      </c>
      <c r="AQ659" s="294" t="s">
        <v>32</v>
      </c>
      <c r="AR659" s="287" t="s">
        <v>377</v>
      </c>
      <c r="AS659" s="295" t="s">
        <v>32</v>
      </c>
      <c r="AT659" s="294" t="s">
        <v>32</v>
      </c>
      <c r="AU659" s="294" t="s">
        <v>32</v>
      </c>
      <c r="AV659" s="295" t="s">
        <v>32</v>
      </c>
      <c r="AW659" s="294" t="s">
        <v>32</v>
      </c>
      <c r="AX659" s="294" t="s">
        <v>32</v>
      </c>
      <c r="AY659" s="295" t="s">
        <v>32</v>
      </c>
      <c r="AZ659" s="294" t="s">
        <v>32</v>
      </c>
      <c r="BA659" s="294" t="s">
        <v>32</v>
      </c>
      <c r="BB659" s="295" t="s">
        <v>32</v>
      </c>
      <c r="BC659" s="289" t="s">
        <v>377</v>
      </c>
      <c r="BD659" s="292"/>
    </row>
    <row r="660" ht="12.75" customHeight="1">
      <c r="A660" s="293">
        <v>45266.89672575232</v>
      </c>
      <c r="B660" s="286" t="s">
        <v>486</v>
      </c>
      <c r="C660" s="287" t="s">
        <v>559</v>
      </c>
      <c r="D660" s="285" t="s">
        <v>16</v>
      </c>
      <c r="E660" s="285" t="s">
        <v>476</v>
      </c>
      <c r="F660" s="287" t="s">
        <v>1203</v>
      </c>
      <c r="G660" s="285" t="s">
        <v>17</v>
      </c>
      <c r="H660" s="285">
        <v>11.0</v>
      </c>
      <c r="I660" s="287" t="s">
        <v>479</v>
      </c>
      <c r="J660" s="287" t="s">
        <v>532</v>
      </c>
      <c r="K660" s="287" t="s">
        <v>532</v>
      </c>
      <c r="L660" s="287" t="s">
        <v>479</v>
      </c>
      <c r="M660" s="287" t="s">
        <v>490</v>
      </c>
      <c r="N660" s="287" t="s">
        <v>561</v>
      </c>
      <c r="O660" s="287"/>
      <c r="P660" s="287"/>
      <c r="Q660" s="294" t="s">
        <v>32</v>
      </c>
      <c r="R660" s="287" t="s">
        <v>377</v>
      </c>
      <c r="S660" s="295" t="s">
        <v>32</v>
      </c>
      <c r="T660" s="287" t="s">
        <v>377</v>
      </c>
      <c r="U660" s="287" t="s">
        <v>377</v>
      </c>
      <c r="V660" s="288" t="s">
        <v>377</v>
      </c>
      <c r="W660" s="287" t="s">
        <v>377</v>
      </c>
      <c r="X660" s="287" t="s">
        <v>377</v>
      </c>
      <c r="Y660" s="288" t="s">
        <v>377</v>
      </c>
      <c r="Z660" s="287" t="s">
        <v>377</v>
      </c>
      <c r="AA660" s="287" t="s">
        <v>377</v>
      </c>
      <c r="AB660" s="288" t="s">
        <v>377</v>
      </c>
      <c r="AC660" s="289" t="s">
        <v>377</v>
      </c>
      <c r="AD660" s="287" t="s">
        <v>377</v>
      </c>
      <c r="AE660" s="287" t="s">
        <v>377</v>
      </c>
      <c r="AF660" s="288" t="s">
        <v>377</v>
      </c>
      <c r="AG660" s="287" t="s">
        <v>377</v>
      </c>
      <c r="AH660" s="287" t="s">
        <v>377</v>
      </c>
      <c r="AI660" s="288" t="s">
        <v>377</v>
      </c>
      <c r="AJ660" s="287" t="s">
        <v>377</v>
      </c>
      <c r="AK660" s="287" t="s">
        <v>377</v>
      </c>
      <c r="AL660" s="288" t="s">
        <v>377</v>
      </c>
      <c r="AM660" s="287" t="s">
        <v>377</v>
      </c>
      <c r="AN660" s="287" t="s">
        <v>377</v>
      </c>
      <c r="AO660" s="288" t="s">
        <v>377</v>
      </c>
      <c r="AP660" s="289" t="s">
        <v>377</v>
      </c>
      <c r="AQ660" s="287" t="s">
        <v>377</v>
      </c>
      <c r="AR660" s="287" t="s">
        <v>377</v>
      </c>
      <c r="AS660" s="288" t="s">
        <v>377</v>
      </c>
      <c r="AT660" s="287" t="s">
        <v>377</v>
      </c>
      <c r="AU660" s="287" t="s">
        <v>377</v>
      </c>
      <c r="AV660" s="288" t="s">
        <v>377</v>
      </c>
      <c r="AW660" s="287" t="s">
        <v>377</v>
      </c>
      <c r="AX660" s="287" t="s">
        <v>377</v>
      </c>
      <c r="AY660" s="288" t="s">
        <v>377</v>
      </c>
      <c r="AZ660" s="287" t="s">
        <v>377</v>
      </c>
      <c r="BA660" s="287" t="s">
        <v>377</v>
      </c>
      <c r="BB660" s="288" t="s">
        <v>18</v>
      </c>
      <c r="BC660" s="289" t="s">
        <v>18</v>
      </c>
      <c r="BD660" s="292"/>
    </row>
    <row r="661" ht="12.75" customHeight="1">
      <c r="A661" s="293">
        <v>45266.90087834491</v>
      </c>
      <c r="B661" s="286" t="s">
        <v>486</v>
      </c>
      <c r="C661" s="287" t="s">
        <v>559</v>
      </c>
      <c r="D661" s="285" t="s">
        <v>16</v>
      </c>
      <c r="E661" s="285" t="s">
        <v>476</v>
      </c>
      <c r="F661" s="287" t="s">
        <v>1204</v>
      </c>
      <c r="G661" s="285" t="s">
        <v>21</v>
      </c>
      <c r="H661" s="285">
        <v>11.0</v>
      </c>
      <c r="I661" s="287" t="s">
        <v>479</v>
      </c>
      <c r="J661" s="287" t="s">
        <v>532</v>
      </c>
      <c r="K661" s="287" t="s">
        <v>532</v>
      </c>
      <c r="L661" s="287" t="s">
        <v>479</v>
      </c>
      <c r="M661" s="287" t="s">
        <v>490</v>
      </c>
      <c r="N661" s="287" t="s">
        <v>483</v>
      </c>
      <c r="O661" s="287"/>
      <c r="P661" s="287"/>
      <c r="Q661" s="294" t="s">
        <v>32</v>
      </c>
      <c r="R661" s="287" t="s">
        <v>18</v>
      </c>
      <c r="S661" s="288" t="s">
        <v>377</v>
      </c>
      <c r="T661" s="294" t="s">
        <v>32</v>
      </c>
      <c r="U661" s="294" t="s">
        <v>32</v>
      </c>
      <c r="V661" s="295" t="s">
        <v>32</v>
      </c>
      <c r="W661" s="287" t="s">
        <v>18</v>
      </c>
      <c r="X661" s="294" t="s">
        <v>32</v>
      </c>
      <c r="Y661" s="288" t="s">
        <v>377</v>
      </c>
      <c r="Z661" s="287" t="s">
        <v>377</v>
      </c>
      <c r="AA661" s="294" t="s">
        <v>32</v>
      </c>
      <c r="AB661" s="295" t="s">
        <v>32</v>
      </c>
      <c r="AC661" s="289" t="s">
        <v>377</v>
      </c>
      <c r="AD661" s="294" t="s">
        <v>32</v>
      </c>
      <c r="AE661" s="294" t="s">
        <v>32</v>
      </c>
      <c r="AF661" s="295" t="s">
        <v>32</v>
      </c>
      <c r="AG661" s="294" t="s">
        <v>32</v>
      </c>
      <c r="AH661" s="287" t="s">
        <v>377</v>
      </c>
      <c r="AI661" s="295" t="s">
        <v>32</v>
      </c>
      <c r="AJ661" s="287" t="s">
        <v>377</v>
      </c>
      <c r="AK661" s="294" t="s">
        <v>32</v>
      </c>
      <c r="AL661" s="295" t="s">
        <v>32</v>
      </c>
      <c r="AM661" s="294" t="s">
        <v>32</v>
      </c>
      <c r="AN661" s="287" t="s">
        <v>377</v>
      </c>
      <c r="AO661" s="295" t="s">
        <v>32</v>
      </c>
      <c r="AP661" s="296" t="s">
        <v>32</v>
      </c>
      <c r="AQ661" s="294" t="s">
        <v>32</v>
      </c>
      <c r="AR661" s="287" t="s">
        <v>18</v>
      </c>
      <c r="AS661" s="288" t="s">
        <v>377</v>
      </c>
      <c r="AT661" s="294" t="s">
        <v>32</v>
      </c>
      <c r="AU661" s="294" t="s">
        <v>32</v>
      </c>
      <c r="AV661" s="295" t="s">
        <v>32</v>
      </c>
      <c r="AW661" s="294" t="s">
        <v>32</v>
      </c>
      <c r="AX661" s="294" t="s">
        <v>32</v>
      </c>
      <c r="AY661" s="295" t="s">
        <v>32</v>
      </c>
      <c r="AZ661" s="287" t="s">
        <v>18</v>
      </c>
      <c r="BA661" s="287" t="s">
        <v>377</v>
      </c>
      <c r="BB661" s="288" t="s">
        <v>18</v>
      </c>
      <c r="BC661" s="289" t="s">
        <v>18</v>
      </c>
      <c r="BD661" s="292"/>
    </row>
    <row r="662" ht="12.75" customHeight="1">
      <c r="A662" s="293">
        <v>45266.90316347222</v>
      </c>
      <c r="B662" s="286" t="s">
        <v>486</v>
      </c>
      <c r="C662" s="287" t="s">
        <v>559</v>
      </c>
      <c r="D662" s="285" t="s">
        <v>16</v>
      </c>
      <c r="E662" s="285" t="s">
        <v>476</v>
      </c>
      <c r="F662" s="287" t="s">
        <v>1205</v>
      </c>
      <c r="G662" s="285" t="s">
        <v>17</v>
      </c>
      <c r="H662" s="285">
        <v>11.0</v>
      </c>
      <c r="I662" s="287" t="s">
        <v>479</v>
      </c>
      <c r="J662" s="287" t="s">
        <v>532</v>
      </c>
      <c r="K662" s="287" t="s">
        <v>532</v>
      </c>
      <c r="L662" s="287" t="s">
        <v>479</v>
      </c>
      <c r="M662" s="287" t="s">
        <v>490</v>
      </c>
      <c r="N662" s="287" t="s">
        <v>483</v>
      </c>
      <c r="O662" s="287"/>
      <c r="P662" s="287"/>
      <c r="Q662" s="294" t="s">
        <v>32</v>
      </c>
      <c r="R662" s="287" t="s">
        <v>377</v>
      </c>
      <c r="S662" s="295" t="s">
        <v>32</v>
      </c>
      <c r="T662" s="287" t="s">
        <v>377</v>
      </c>
      <c r="U662" s="287" t="s">
        <v>377</v>
      </c>
      <c r="V662" s="288" t="s">
        <v>377</v>
      </c>
      <c r="W662" s="287" t="s">
        <v>377</v>
      </c>
      <c r="X662" s="287" t="s">
        <v>377</v>
      </c>
      <c r="Y662" s="288" t="s">
        <v>377</v>
      </c>
      <c r="Z662" s="287" t="s">
        <v>377</v>
      </c>
      <c r="AA662" s="287" t="s">
        <v>377</v>
      </c>
      <c r="AB662" s="288" t="s">
        <v>377</v>
      </c>
      <c r="AC662" s="289" t="s">
        <v>377</v>
      </c>
      <c r="AD662" s="287" t="s">
        <v>377</v>
      </c>
      <c r="AE662" s="287" t="s">
        <v>377</v>
      </c>
      <c r="AF662" s="288" t="s">
        <v>377</v>
      </c>
      <c r="AG662" s="287" t="s">
        <v>377</v>
      </c>
      <c r="AH662" s="287" t="s">
        <v>377</v>
      </c>
      <c r="AI662" s="288" t="s">
        <v>377</v>
      </c>
      <c r="AJ662" s="287" t="s">
        <v>377</v>
      </c>
      <c r="AK662" s="287" t="s">
        <v>377</v>
      </c>
      <c r="AL662" s="288" t="s">
        <v>377</v>
      </c>
      <c r="AM662" s="287" t="s">
        <v>377</v>
      </c>
      <c r="AN662" s="287" t="s">
        <v>377</v>
      </c>
      <c r="AO662" s="288" t="s">
        <v>377</v>
      </c>
      <c r="AP662" s="289" t="s">
        <v>377</v>
      </c>
      <c r="AQ662" s="287" t="s">
        <v>377</v>
      </c>
      <c r="AR662" s="287" t="s">
        <v>377</v>
      </c>
      <c r="AS662" s="288" t="s">
        <v>377</v>
      </c>
      <c r="AT662" s="287" t="s">
        <v>377</v>
      </c>
      <c r="AU662" s="287" t="s">
        <v>377</v>
      </c>
      <c r="AV662" s="288" t="s">
        <v>377</v>
      </c>
      <c r="AW662" s="287" t="s">
        <v>377</v>
      </c>
      <c r="AX662" s="287" t="s">
        <v>377</v>
      </c>
      <c r="AY662" s="288" t="s">
        <v>377</v>
      </c>
      <c r="AZ662" s="287" t="s">
        <v>377</v>
      </c>
      <c r="BA662" s="287" t="s">
        <v>377</v>
      </c>
      <c r="BB662" s="288" t="s">
        <v>18</v>
      </c>
      <c r="BC662" s="289" t="s">
        <v>18</v>
      </c>
      <c r="BD662" s="292"/>
    </row>
    <row r="663" ht="12.75" customHeight="1">
      <c r="A663" s="293">
        <v>45266.905320949074</v>
      </c>
      <c r="B663" s="286" t="s">
        <v>486</v>
      </c>
      <c r="C663" s="287" t="s">
        <v>559</v>
      </c>
      <c r="D663" s="285" t="s">
        <v>16</v>
      </c>
      <c r="E663" s="285" t="s">
        <v>476</v>
      </c>
      <c r="F663" s="287" t="s">
        <v>1206</v>
      </c>
      <c r="G663" s="285" t="s">
        <v>21</v>
      </c>
      <c r="H663" s="285">
        <v>14.0</v>
      </c>
      <c r="I663" s="287" t="s">
        <v>479</v>
      </c>
      <c r="J663" s="287" t="s">
        <v>532</v>
      </c>
      <c r="K663" s="287" t="s">
        <v>532</v>
      </c>
      <c r="L663" s="287" t="s">
        <v>479</v>
      </c>
      <c r="M663" s="287" t="s">
        <v>483</v>
      </c>
      <c r="N663" s="287" t="s">
        <v>483</v>
      </c>
      <c r="O663" s="287"/>
      <c r="P663" s="287"/>
      <c r="Q663" s="294" t="s">
        <v>32</v>
      </c>
      <c r="R663" s="294" t="s">
        <v>32</v>
      </c>
      <c r="S663" s="295" t="s">
        <v>32</v>
      </c>
      <c r="T663" s="294" t="s">
        <v>32</v>
      </c>
      <c r="U663" s="294" t="s">
        <v>32</v>
      </c>
      <c r="V663" s="295" t="s">
        <v>32</v>
      </c>
      <c r="W663" s="294" t="s">
        <v>32</v>
      </c>
      <c r="X663" s="294" t="s">
        <v>32</v>
      </c>
      <c r="Y663" s="295" t="s">
        <v>32</v>
      </c>
      <c r="Z663" s="294" t="s">
        <v>32</v>
      </c>
      <c r="AA663" s="294" t="s">
        <v>32</v>
      </c>
      <c r="AB663" s="295" t="s">
        <v>32</v>
      </c>
      <c r="AC663" s="296" t="s">
        <v>32</v>
      </c>
      <c r="AD663" s="294" t="s">
        <v>32</v>
      </c>
      <c r="AE663" s="294" t="s">
        <v>32</v>
      </c>
      <c r="AF663" s="295" t="s">
        <v>32</v>
      </c>
      <c r="AG663" s="294" t="s">
        <v>32</v>
      </c>
      <c r="AH663" s="287" t="s">
        <v>18</v>
      </c>
      <c r="AI663" s="288" t="s">
        <v>377</v>
      </c>
      <c r="AJ663" s="294" t="s">
        <v>32</v>
      </c>
      <c r="AK663" s="287" t="s">
        <v>377</v>
      </c>
      <c r="AL663" s="295" t="s">
        <v>32</v>
      </c>
      <c r="AM663" s="294" t="s">
        <v>32</v>
      </c>
      <c r="AN663" s="287" t="s">
        <v>377</v>
      </c>
      <c r="AO663" s="295" t="s">
        <v>32</v>
      </c>
      <c r="AP663" s="296" t="s">
        <v>32</v>
      </c>
      <c r="AQ663" s="287" t="s">
        <v>377</v>
      </c>
      <c r="AR663" s="294" t="s">
        <v>32</v>
      </c>
      <c r="AS663" s="295" t="s">
        <v>32</v>
      </c>
      <c r="AT663" s="294" t="s">
        <v>32</v>
      </c>
      <c r="AU663" s="294" t="s">
        <v>32</v>
      </c>
      <c r="AV663" s="295" t="s">
        <v>32</v>
      </c>
      <c r="AW663" s="294" t="s">
        <v>32</v>
      </c>
      <c r="AX663" s="287" t="s">
        <v>377</v>
      </c>
      <c r="AY663" s="295" t="s">
        <v>32</v>
      </c>
      <c r="AZ663" s="294" t="s">
        <v>32</v>
      </c>
      <c r="BA663" s="287" t="s">
        <v>377</v>
      </c>
      <c r="BB663" s="288" t="s">
        <v>18</v>
      </c>
      <c r="BC663" s="289" t="s">
        <v>18</v>
      </c>
      <c r="BD663" s="292"/>
    </row>
    <row r="664" ht="12.75" customHeight="1">
      <c r="A664" s="293">
        <v>45266.907739560185</v>
      </c>
      <c r="B664" s="286" t="s">
        <v>486</v>
      </c>
      <c r="C664" s="287" t="s">
        <v>559</v>
      </c>
      <c r="D664" s="285" t="s">
        <v>16</v>
      </c>
      <c r="E664" s="285" t="s">
        <v>476</v>
      </c>
      <c r="F664" s="287" t="s">
        <v>1207</v>
      </c>
      <c r="G664" s="285" t="s">
        <v>21</v>
      </c>
      <c r="H664" s="285">
        <v>12.0</v>
      </c>
      <c r="I664" s="287" t="s">
        <v>479</v>
      </c>
      <c r="J664" s="287" t="s">
        <v>532</v>
      </c>
      <c r="K664" s="287" t="s">
        <v>532</v>
      </c>
      <c r="L664" s="287" t="s">
        <v>479</v>
      </c>
      <c r="M664" s="287" t="s">
        <v>481</v>
      </c>
      <c r="N664" s="287" t="s">
        <v>561</v>
      </c>
      <c r="O664" s="287"/>
      <c r="P664" s="287"/>
      <c r="Q664" s="294" t="s">
        <v>32</v>
      </c>
      <c r="R664" s="287" t="s">
        <v>18</v>
      </c>
      <c r="S664" s="288" t="s">
        <v>377</v>
      </c>
      <c r="T664" s="287" t="s">
        <v>377</v>
      </c>
      <c r="U664" s="294" t="s">
        <v>32</v>
      </c>
      <c r="V664" s="295" t="s">
        <v>32</v>
      </c>
      <c r="W664" s="287" t="s">
        <v>377</v>
      </c>
      <c r="X664" s="287" t="s">
        <v>377</v>
      </c>
      <c r="Y664" s="288" t="s">
        <v>377</v>
      </c>
      <c r="Z664" s="287" t="s">
        <v>18</v>
      </c>
      <c r="AA664" s="287" t="s">
        <v>18</v>
      </c>
      <c r="AB664" s="288" t="s">
        <v>18</v>
      </c>
      <c r="AC664" s="289" t="s">
        <v>377</v>
      </c>
      <c r="AD664" s="294" t="s">
        <v>32</v>
      </c>
      <c r="AE664" s="287" t="s">
        <v>377</v>
      </c>
      <c r="AF664" s="295" t="s">
        <v>32</v>
      </c>
      <c r="AG664" s="287" t="s">
        <v>377</v>
      </c>
      <c r="AH664" s="294" t="s">
        <v>32</v>
      </c>
      <c r="AI664" s="295" t="s">
        <v>32</v>
      </c>
      <c r="AJ664" s="287" t="s">
        <v>18</v>
      </c>
      <c r="AK664" s="287" t="s">
        <v>377</v>
      </c>
      <c r="AL664" s="288" t="s">
        <v>377</v>
      </c>
      <c r="AM664" s="287" t="s">
        <v>18</v>
      </c>
      <c r="AN664" s="287" t="s">
        <v>377</v>
      </c>
      <c r="AO664" s="288" t="s">
        <v>377</v>
      </c>
      <c r="AP664" s="289" t="s">
        <v>377</v>
      </c>
      <c r="AQ664" s="287" t="s">
        <v>377</v>
      </c>
      <c r="AR664" s="287" t="s">
        <v>377</v>
      </c>
      <c r="AS664" s="288" t="s">
        <v>377</v>
      </c>
      <c r="AT664" s="287" t="s">
        <v>18</v>
      </c>
      <c r="AU664" s="294" t="s">
        <v>32</v>
      </c>
      <c r="AV664" s="288" t="s">
        <v>377</v>
      </c>
      <c r="AW664" s="287" t="s">
        <v>377</v>
      </c>
      <c r="AX664" s="287" t="s">
        <v>18</v>
      </c>
      <c r="AY664" s="288" t="s">
        <v>377</v>
      </c>
      <c r="AZ664" s="287" t="s">
        <v>377</v>
      </c>
      <c r="BA664" s="287" t="s">
        <v>377</v>
      </c>
      <c r="BB664" s="288" t="s">
        <v>18</v>
      </c>
      <c r="BC664" s="289" t="s">
        <v>18</v>
      </c>
      <c r="BD664" s="292"/>
    </row>
    <row r="665" ht="12.75" customHeight="1">
      <c r="A665" s="293">
        <v>45266.91131401621</v>
      </c>
      <c r="B665" s="286" t="s">
        <v>486</v>
      </c>
      <c r="C665" s="287" t="s">
        <v>559</v>
      </c>
      <c r="D665" s="285" t="s">
        <v>16</v>
      </c>
      <c r="E665" s="285" t="s">
        <v>476</v>
      </c>
      <c r="F665" s="287" t="s">
        <v>1208</v>
      </c>
      <c r="G665" s="285" t="s">
        <v>17</v>
      </c>
      <c r="H665" s="285">
        <v>12.0</v>
      </c>
      <c r="I665" s="287" t="s">
        <v>479</v>
      </c>
      <c r="J665" s="287" t="s">
        <v>532</v>
      </c>
      <c r="K665" s="287" t="s">
        <v>532</v>
      </c>
      <c r="L665" s="287" t="s">
        <v>479</v>
      </c>
      <c r="M665" s="287" t="s">
        <v>483</v>
      </c>
      <c r="N665" s="287" t="s">
        <v>483</v>
      </c>
      <c r="O665" s="287"/>
      <c r="P665" s="287"/>
      <c r="Q665" s="287" t="s">
        <v>377</v>
      </c>
      <c r="R665" s="287" t="s">
        <v>377</v>
      </c>
      <c r="S665" s="288" t="s">
        <v>377</v>
      </c>
      <c r="T665" s="294" t="s">
        <v>32</v>
      </c>
      <c r="U665" s="294" t="s">
        <v>32</v>
      </c>
      <c r="V665" s="295" t="s">
        <v>32</v>
      </c>
      <c r="W665" s="287" t="s">
        <v>377</v>
      </c>
      <c r="X665" s="287" t="s">
        <v>377</v>
      </c>
      <c r="Y665" s="288" t="s">
        <v>377</v>
      </c>
      <c r="Z665" s="287" t="s">
        <v>377</v>
      </c>
      <c r="AA665" s="287" t="s">
        <v>377</v>
      </c>
      <c r="AB665" s="288" t="s">
        <v>377</v>
      </c>
      <c r="AC665" s="289" t="s">
        <v>377</v>
      </c>
      <c r="AD665" s="294" t="s">
        <v>32</v>
      </c>
      <c r="AE665" s="294" t="s">
        <v>32</v>
      </c>
      <c r="AF665" s="295" t="s">
        <v>32</v>
      </c>
      <c r="AG665" s="287" t="s">
        <v>18</v>
      </c>
      <c r="AH665" s="287" t="s">
        <v>18</v>
      </c>
      <c r="AI665" s="288" t="s">
        <v>18</v>
      </c>
      <c r="AJ665" s="294" t="s">
        <v>32</v>
      </c>
      <c r="AK665" s="287" t="s">
        <v>377</v>
      </c>
      <c r="AL665" s="295" t="s">
        <v>32</v>
      </c>
      <c r="AM665" s="287" t="s">
        <v>18</v>
      </c>
      <c r="AN665" s="287" t="s">
        <v>18</v>
      </c>
      <c r="AO665" s="288" t="s">
        <v>18</v>
      </c>
      <c r="AP665" s="289" t="s">
        <v>377</v>
      </c>
      <c r="AQ665" s="294" t="s">
        <v>32</v>
      </c>
      <c r="AR665" s="294" t="s">
        <v>32</v>
      </c>
      <c r="AS665" s="295" t="s">
        <v>32</v>
      </c>
      <c r="AT665" s="294" t="s">
        <v>32</v>
      </c>
      <c r="AU665" s="294" t="s">
        <v>32</v>
      </c>
      <c r="AV665" s="295" t="s">
        <v>32</v>
      </c>
      <c r="AW665" s="287" t="s">
        <v>377</v>
      </c>
      <c r="AX665" s="294" t="s">
        <v>32</v>
      </c>
      <c r="AY665" s="295" t="s">
        <v>32</v>
      </c>
      <c r="AZ665" s="294" t="s">
        <v>32</v>
      </c>
      <c r="BA665" s="294" t="s">
        <v>32</v>
      </c>
      <c r="BB665" s="288" t="s">
        <v>18</v>
      </c>
      <c r="BC665" s="289" t="s">
        <v>18</v>
      </c>
      <c r="BD665" s="292"/>
    </row>
    <row r="666" ht="12.75" customHeight="1">
      <c r="A666" s="293">
        <v>45266.91601818287</v>
      </c>
      <c r="B666" s="286" t="s">
        <v>486</v>
      </c>
      <c r="C666" s="287" t="s">
        <v>559</v>
      </c>
      <c r="D666" s="285" t="s">
        <v>16</v>
      </c>
      <c r="E666" s="285" t="s">
        <v>476</v>
      </c>
      <c r="F666" s="287" t="s">
        <v>1209</v>
      </c>
      <c r="G666" s="285" t="s">
        <v>21</v>
      </c>
      <c r="H666" s="285">
        <v>12.0</v>
      </c>
      <c r="I666" s="287" t="s">
        <v>479</v>
      </c>
      <c r="J666" s="287" t="s">
        <v>532</v>
      </c>
      <c r="K666" s="287" t="s">
        <v>532</v>
      </c>
      <c r="L666" s="287" t="s">
        <v>479</v>
      </c>
      <c r="M666" s="287" t="s">
        <v>481</v>
      </c>
      <c r="N666" s="287" t="s">
        <v>561</v>
      </c>
      <c r="O666" s="287"/>
      <c r="P666" s="287"/>
      <c r="Q666" s="294" t="s">
        <v>32</v>
      </c>
      <c r="R666" s="294" t="s">
        <v>32</v>
      </c>
      <c r="S666" s="295" t="s">
        <v>32</v>
      </c>
      <c r="T666" s="294" t="s">
        <v>32</v>
      </c>
      <c r="U666" s="294" t="s">
        <v>32</v>
      </c>
      <c r="V666" s="295" t="s">
        <v>32</v>
      </c>
      <c r="W666" s="287" t="s">
        <v>377</v>
      </c>
      <c r="X666" s="294" t="s">
        <v>32</v>
      </c>
      <c r="Y666" s="295" t="s">
        <v>32</v>
      </c>
      <c r="Z666" s="287" t="s">
        <v>377</v>
      </c>
      <c r="AA666" s="287" t="s">
        <v>377</v>
      </c>
      <c r="AB666" s="288" t="s">
        <v>377</v>
      </c>
      <c r="AC666" s="296" t="s">
        <v>32</v>
      </c>
      <c r="AD666" s="287" t="s">
        <v>18</v>
      </c>
      <c r="AE666" s="287" t="s">
        <v>18</v>
      </c>
      <c r="AF666" s="288" t="s">
        <v>18</v>
      </c>
      <c r="AG666" s="287" t="s">
        <v>377</v>
      </c>
      <c r="AH666" s="287" t="s">
        <v>377</v>
      </c>
      <c r="AI666" s="288" t="s">
        <v>377</v>
      </c>
      <c r="AJ666" s="294" t="s">
        <v>32</v>
      </c>
      <c r="AK666" s="294" t="s">
        <v>32</v>
      </c>
      <c r="AL666" s="295" t="s">
        <v>32</v>
      </c>
      <c r="AM666" s="287" t="s">
        <v>18</v>
      </c>
      <c r="AN666" s="287" t="s">
        <v>18</v>
      </c>
      <c r="AO666" s="288" t="s">
        <v>18</v>
      </c>
      <c r="AP666" s="289" t="s">
        <v>377</v>
      </c>
      <c r="AQ666" s="294" t="s">
        <v>32</v>
      </c>
      <c r="AR666" s="294" t="s">
        <v>32</v>
      </c>
      <c r="AS666" s="295" t="s">
        <v>32</v>
      </c>
      <c r="AT666" s="294" t="s">
        <v>32</v>
      </c>
      <c r="AU666" s="294" t="s">
        <v>32</v>
      </c>
      <c r="AV666" s="295" t="s">
        <v>32</v>
      </c>
      <c r="AW666" s="287" t="s">
        <v>377</v>
      </c>
      <c r="AX666" s="294" t="s">
        <v>32</v>
      </c>
      <c r="AY666" s="295" t="s">
        <v>32</v>
      </c>
      <c r="AZ666" s="287" t="s">
        <v>18</v>
      </c>
      <c r="BA666" s="287" t="s">
        <v>377</v>
      </c>
      <c r="BB666" s="288" t="s">
        <v>18</v>
      </c>
      <c r="BC666" s="289" t="s">
        <v>18</v>
      </c>
      <c r="BD666" s="292"/>
    </row>
    <row r="667" ht="12.75" customHeight="1">
      <c r="A667" s="293">
        <v>45266.91815429398</v>
      </c>
      <c r="B667" s="286" t="s">
        <v>486</v>
      </c>
      <c r="C667" s="287" t="s">
        <v>559</v>
      </c>
      <c r="D667" s="285" t="s">
        <v>16</v>
      </c>
      <c r="E667" s="285" t="s">
        <v>476</v>
      </c>
      <c r="F667" s="287" t="s">
        <v>1210</v>
      </c>
      <c r="G667" s="285" t="s">
        <v>17</v>
      </c>
      <c r="H667" s="285">
        <v>12.0</v>
      </c>
      <c r="I667" s="287" t="s">
        <v>479</v>
      </c>
      <c r="J667" s="287" t="s">
        <v>532</v>
      </c>
      <c r="K667" s="287" t="s">
        <v>532</v>
      </c>
      <c r="L667" s="287" t="s">
        <v>497</v>
      </c>
      <c r="M667" s="292"/>
      <c r="N667" s="292"/>
      <c r="O667" s="292"/>
      <c r="P667" s="292"/>
      <c r="Q667" s="287" t="s">
        <v>377</v>
      </c>
      <c r="R667" s="287" t="s">
        <v>377</v>
      </c>
      <c r="S667" s="288" t="s">
        <v>377</v>
      </c>
      <c r="T667" s="287" t="s">
        <v>377</v>
      </c>
      <c r="U667" s="287" t="s">
        <v>377</v>
      </c>
      <c r="V667" s="288" t="s">
        <v>377</v>
      </c>
      <c r="W667" s="287" t="s">
        <v>377</v>
      </c>
      <c r="X667" s="287" t="s">
        <v>377</v>
      </c>
      <c r="Y667" s="288" t="s">
        <v>377</v>
      </c>
      <c r="Z667" s="287" t="s">
        <v>377</v>
      </c>
      <c r="AA667" s="287" t="s">
        <v>377</v>
      </c>
      <c r="AB667" s="288" t="s">
        <v>377</v>
      </c>
      <c r="AC667" s="289" t="s">
        <v>377</v>
      </c>
      <c r="AD667" s="287" t="s">
        <v>377</v>
      </c>
      <c r="AE667" s="287" t="s">
        <v>377</v>
      </c>
      <c r="AF667" s="288" t="s">
        <v>377</v>
      </c>
      <c r="AG667" s="294" t="s">
        <v>32</v>
      </c>
      <c r="AH667" s="287" t="s">
        <v>377</v>
      </c>
      <c r="AI667" s="295" t="s">
        <v>32</v>
      </c>
      <c r="AJ667" s="294" t="s">
        <v>32</v>
      </c>
      <c r="AK667" s="287" t="s">
        <v>377</v>
      </c>
      <c r="AL667" s="295" t="s">
        <v>32</v>
      </c>
      <c r="AM667" s="287" t="s">
        <v>377</v>
      </c>
      <c r="AN667" s="287" t="s">
        <v>377</v>
      </c>
      <c r="AO667" s="288" t="s">
        <v>377</v>
      </c>
      <c r="AP667" s="289" t="s">
        <v>377</v>
      </c>
      <c r="AQ667" s="294" t="s">
        <v>32</v>
      </c>
      <c r="AR667" s="294" t="s">
        <v>32</v>
      </c>
      <c r="AS667" s="295" t="s">
        <v>32</v>
      </c>
      <c r="AT667" s="294" t="s">
        <v>32</v>
      </c>
      <c r="AU667" s="294" t="s">
        <v>32</v>
      </c>
      <c r="AV667" s="295" t="s">
        <v>32</v>
      </c>
      <c r="AW667" s="294" t="s">
        <v>32</v>
      </c>
      <c r="AX667" s="294" t="s">
        <v>32</v>
      </c>
      <c r="AY667" s="295" t="s">
        <v>32</v>
      </c>
      <c r="AZ667" s="294" t="s">
        <v>32</v>
      </c>
      <c r="BA667" s="294" t="s">
        <v>32</v>
      </c>
      <c r="BB667" s="288" t="s">
        <v>377</v>
      </c>
      <c r="BC667" s="289" t="s">
        <v>377</v>
      </c>
      <c r="BD667" s="292"/>
    </row>
    <row r="668" ht="12.75" customHeight="1">
      <c r="A668" s="293">
        <v>45268.143813206014</v>
      </c>
      <c r="B668" s="286" t="s">
        <v>486</v>
      </c>
      <c r="C668" s="287" t="s">
        <v>559</v>
      </c>
      <c r="D668" s="285" t="s">
        <v>16</v>
      </c>
      <c r="E668" s="285" t="s">
        <v>476</v>
      </c>
      <c r="F668" s="287" t="s">
        <v>1211</v>
      </c>
      <c r="G668" s="285" t="s">
        <v>21</v>
      </c>
      <c r="H668" s="285">
        <v>11.0</v>
      </c>
      <c r="I668" s="287" t="s">
        <v>479</v>
      </c>
      <c r="J668" s="287" t="s">
        <v>532</v>
      </c>
      <c r="K668" s="287" t="s">
        <v>532</v>
      </c>
      <c r="L668" s="287" t="s">
        <v>497</v>
      </c>
      <c r="M668" s="292"/>
      <c r="N668" s="292"/>
      <c r="O668" s="292"/>
      <c r="P668" s="292"/>
      <c r="Q668" s="287" t="s">
        <v>18</v>
      </c>
      <c r="R668" s="294" t="s">
        <v>32</v>
      </c>
      <c r="S668" s="288" t="s">
        <v>377</v>
      </c>
      <c r="T668" s="294" t="s">
        <v>32</v>
      </c>
      <c r="U668" s="294" t="s">
        <v>32</v>
      </c>
      <c r="V668" s="295" t="s">
        <v>32</v>
      </c>
      <c r="W668" s="294" t="s">
        <v>32</v>
      </c>
      <c r="X668" s="294" t="s">
        <v>32</v>
      </c>
      <c r="Y668" s="295" t="s">
        <v>32</v>
      </c>
      <c r="Z668" s="294" t="s">
        <v>32</v>
      </c>
      <c r="AA668" s="287" t="s">
        <v>377</v>
      </c>
      <c r="AB668" s="295" t="s">
        <v>32</v>
      </c>
      <c r="AC668" s="296" t="s">
        <v>32</v>
      </c>
      <c r="AD668" s="287" t="s">
        <v>377</v>
      </c>
      <c r="AE668" s="294" t="s">
        <v>32</v>
      </c>
      <c r="AF668" s="295" t="s">
        <v>32</v>
      </c>
      <c r="AG668" s="294" t="s">
        <v>32</v>
      </c>
      <c r="AH668" s="287" t="s">
        <v>18</v>
      </c>
      <c r="AI668" s="288" t="s">
        <v>377</v>
      </c>
      <c r="AJ668" s="294" t="s">
        <v>32</v>
      </c>
      <c r="AK668" s="287" t="s">
        <v>377</v>
      </c>
      <c r="AL668" s="295" t="s">
        <v>32</v>
      </c>
      <c r="AM668" s="287" t="s">
        <v>18</v>
      </c>
      <c r="AN668" s="287" t="s">
        <v>18</v>
      </c>
      <c r="AO668" s="288" t="s">
        <v>18</v>
      </c>
      <c r="AP668" s="289" t="s">
        <v>377</v>
      </c>
      <c r="AQ668" s="287" t="s">
        <v>377</v>
      </c>
      <c r="AR668" s="294" t="s">
        <v>32</v>
      </c>
      <c r="AS668" s="295" t="s">
        <v>32</v>
      </c>
      <c r="AT668" s="294" t="s">
        <v>32</v>
      </c>
      <c r="AU668" s="287" t="s">
        <v>377</v>
      </c>
      <c r="AV668" s="295" t="s">
        <v>32</v>
      </c>
      <c r="AW668" s="287" t="s">
        <v>377</v>
      </c>
      <c r="AX668" s="294" t="s">
        <v>32</v>
      </c>
      <c r="AY668" s="295" t="s">
        <v>32</v>
      </c>
      <c r="AZ668" s="294" t="s">
        <v>32</v>
      </c>
      <c r="BA668" s="287" t="s">
        <v>18</v>
      </c>
      <c r="BB668" s="288" t="s">
        <v>18</v>
      </c>
      <c r="BC668" s="289" t="s">
        <v>18</v>
      </c>
      <c r="BD668" s="292"/>
    </row>
    <row r="669" ht="12.75" customHeight="1">
      <c r="A669" s="293">
        <v>44788.594366053236</v>
      </c>
      <c r="B669" s="297" t="s">
        <v>486</v>
      </c>
      <c r="C669" s="298" t="s">
        <v>567</v>
      </c>
      <c r="D669" s="298" t="s">
        <v>16</v>
      </c>
      <c r="E669" s="285" t="s">
        <v>476</v>
      </c>
      <c r="F669" s="292" t="s">
        <v>1212</v>
      </c>
      <c r="G669" s="298" t="s">
        <v>21</v>
      </c>
      <c r="H669" s="298">
        <v>11.0</v>
      </c>
      <c r="I669" s="292" t="s">
        <v>479</v>
      </c>
      <c r="J669" s="292" t="s">
        <v>532</v>
      </c>
      <c r="K669" s="287" t="s">
        <v>532</v>
      </c>
      <c r="L669" s="292" t="s">
        <v>479</v>
      </c>
      <c r="M669" s="292" t="s">
        <v>481</v>
      </c>
      <c r="N669" s="292"/>
      <c r="O669" s="292"/>
      <c r="P669" s="292"/>
      <c r="Q669" s="299" t="s">
        <v>32</v>
      </c>
      <c r="R669" s="299" t="s">
        <v>32</v>
      </c>
      <c r="S669" s="295" t="s">
        <v>32</v>
      </c>
      <c r="T669" s="299" t="s">
        <v>32</v>
      </c>
      <c r="U669" s="299" t="s">
        <v>32</v>
      </c>
      <c r="V669" s="295" t="s">
        <v>32</v>
      </c>
      <c r="W669" s="299" t="s">
        <v>32</v>
      </c>
      <c r="X669" s="299" t="s">
        <v>32</v>
      </c>
      <c r="Y669" s="295" t="s">
        <v>32</v>
      </c>
      <c r="Z669" s="299" t="s">
        <v>32</v>
      </c>
      <c r="AA669" s="299" t="s">
        <v>32</v>
      </c>
      <c r="AB669" s="295" t="s">
        <v>32</v>
      </c>
      <c r="AC669" s="296" t="s">
        <v>32</v>
      </c>
      <c r="AD669" s="299" t="s">
        <v>32</v>
      </c>
      <c r="AE669" s="299" t="s">
        <v>32</v>
      </c>
      <c r="AF669" s="295" t="s">
        <v>32</v>
      </c>
      <c r="AG669" s="299" t="s">
        <v>32</v>
      </c>
      <c r="AH669" s="299" t="s">
        <v>32</v>
      </c>
      <c r="AI669" s="295" t="s">
        <v>32</v>
      </c>
      <c r="AJ669" s="299" t="s">
        <v>32</v>
      </c>
      <c r="AK669" s="299" t="s">
        <v>32</v>
      </c>
      <c r="AL669" s="295" t="s">
        <v>32</v>
      </c>
      <c r="AM669" s="299" t="s">
        <v>32</v>
      </c>
      <c r="AN669" s="292" t="s">
        <v>18</v>
      </c>
      <c r="AO669" s="288" t="s">
        <v>377</v>
      </c>
      <c r="AP669" s="296" t="s">
        <v>32</v>
      </c>
      <c r="AQ669" s="299" t="s">
        <v>32</v>
      </c>
      <c r="AR669" s="292" t="s">
        <v>18</v>
      </c>
      <c r="AS669" s="288" t="s">
        <v>377</v>
      </c>
      <c r="AT669" s="299" t="s">
        <v>32</v>
      </c>
      <c r="AU669" s="299" t="s">
        <v>32</v>
      </c>
      <c r="AV669" s="295" t="s">
        <v>32</v>
      </c>
      <c r="AW669" s="299" t="s">
        <v>32</v>
      </c>
      <c r="AX669" s="299" t="s">
        <v>32</v>
      </c>
      <c r="AY669" s="295" t="s">
        <v>32</v>
      </c>
      <c r="AZ669" s="299" t="s">
        <v>32</v>
      </c>
      <c r="BA669" s="299" t="s">
        <v>32</v>
      </c>
      <c r="BB669" s="288" t="s">
        <v>18</v>
      </c>
      <c r="BC669" s="289" t="s">
        <v>18</v>
      </c>
      <c r="BD669" s="292"/>
    </row>
    <row r="670" ht="12.75" customHeight="1">
      <c r="A670" s="293">
        <v>44788.596963159725</v>
      </c>
      <c r="B670" s="297" t="s">
        <v>486</v>
      </c>
      <c r="C670" s="298" t="s">
        <v>567</v>
      </c>
      <c r="D670" s="298" t="s">
        <v>16</v>
      </c>
      <c r="E670" s="285" t="s">
        <v>476</v>
      </c>
      <c r="F670" s="292" t="s">
        <v>1213</v>
      </c>
      <c r="G670" s="298" t="s">
        <v>21</v>
      </c>
      <c r="H670" s="298">
        <v>11.0</v>
      </c>
      <c r="I670" s="292" t="s">
        <v>479</v>
      </c>
      <c r="J670" s="292" t="s">
        <v>532</v>
      </c>
      <c r="K670" s="287" t="s">
        <v>532</v>
      </c>
      <c r="L670" s="292" t="s">
        <v>479</v>
      </c>
      <c r="M670" s="292" t="s">
        <v>481</v>
      </c>
      <c r="N670" s="292"/>
      <c r="O670" s="292"/>
      <c r="P670" s="292"/>
      <c r="Q670" s="299" t="s">
        <v>32</v>
      </c>
      <c r="R670" s="299" t="s">
        <v>32</v>
      </c>
      <c r="S670" s="295" t="s">
        <v>32</v>
      </c>
      <c r="T670" s="299" t="s">
        <v>32</v>
      </c>
      <c r="U670" s="299" t="s">
        <v>32</v>
      </c>
      <c r="V670" s="295" t="s">
        <v>32</v>
      </c>
      <c r="W670" s="299" t="s">
        <v>32</v>
      </c>
      <c r="X670" s="299" t="s">
        <v>32</v>
      </c>
      <c r="Y670" s="295" t="s">
        <v>32</v>
      </c>
      <c r="Z670" s="299" t="s">
        <v>32</v>
      </c>
      <c r="AA670" s="299" t="s">
        <v>32</v>
      </c>
      <c r="AB670" s="295" t="s">
        <v>32</v>
      </c>
      <c r="AC670" s="296" t="s">
        <v>32</v>
      </c>
      <c r="AD670" s="299" t="s">
        <v>32</v>
      </c>
      <c r="AE670" s="299" t="s">
        <v>32</v>
      </c>
      <c r="AF670" s="295" t="s">
        <v>32</v>
      </c>
      <c r="AG670" s="299" t="s">
        <v>32</v>
      </c>
      <c r="AH670" s="299" t="s">
        <v>32</v>
      </c>
      <c r="AI670" s="295" t="s">
        <v>32</v>
      </c>
      <c r="AJ670" s="299" t="s">
        <v>32</v>
      </c>
      <c r="AK670" s="299" t="s">
        <v>32</v>
      </c>
      <c r="AL670" s="295" t="s">
        <v>32</v>
      </c>
      <c r="AM670" s="299" t="s">
        <v>32</v>
      </c>
      <c r="AN670" s="292" t="s">
        <v>18</v>
      </c>
      <c r="AO670" s="288" t="s">
        <v>377</v>
      </c>
      <c r="AP670" s="296" t="s">
        <v>32</v>
      </c>
      <c r="AQ670" s="299" t="s">
        <v>32</v>
      </c>
      <c r="AR670" s="292" t="s">
        <v>18</v>
      </c>
      <c r="AS670" s="288" t="s">
        <v>377</v>
      </c>
      <c r="AT670" s="299" t="s">
        <v>32</v>
      </c>
      <c r="AU670" s="299" t="s">
        <v>32</v>
      </c>
      <c r="AV670" s="295" t="s">
        <v>32</v>
      </c>
      <c r="AW670" s="299" t="s">
        <v>32</v>
      </c>
      <c r="AX670" s="299" t="s">
        <v>32</v>
      </c>
      <c r="AY670" s="295" t="s">
        <v>32</v>
      </c>
      <c r="AZ670" s="299" t="s">
        <v>32</v>
      </c>
      <c r="BA670" s="299" t="s">
        <v>32</v>
      </c>
      <c r="BB670" s="288" t="s">
        <v>18</v>
      </c>
      <c r="BC670" s="289" t="s">
        <v>18</v>
      </c>
      <c r="BD670" s="292"/>
    </row>
    <row r="671" ht="12.75" customHeight="1">
      <c r="A671" s="293">
        <v>44788.59934980324</v>
      </c>
      <c r="B671" s="297" t="s">
        <v>486</v>
      </c>
      <c r="C671" s="298" t="s">
        <v>567</v>
      </c>
      <c r="D671" s="298" t="s">
        <v>16</v>
      </c>
      <c r="E671" s="285" t="s">
        <v>476</v>
      </c>
      <c r="F671" s="292" t="s">
        <v>1214</v>
      </c>
      <c r="G671" s="298" t="s">
        <v>21</v>
      </c>
      <c r="H671" s="298">
        <v>13.0</v>
      </c>
      <c r="I671" s="292" t="s">
        <v>479</v>
      </c>
      <c r="J671" s="292" t="s">
        <v>532</v>
      </c>
      <c r="K671" s="287" t="s">
        <v>532</v>
      </c>
      <c r="L671" s="292" t="s">
        <v>479</v>
      </c>
      <c r="M671" s="292" t="s">
        <v>481</v>
      </c>
      <c r="N671" s="292"/>
      <c r="O671" s="292"/>
      <c r="P671" s="292"/>
      <c r="Q671" s="299" t="s">
        <v>32</v>
      </c>
      <c r="R671" s="299" t="s">
        <v>32</v>
      </c>
      <c r="S671" s="295" t="s">
        <v>32</v>
      </c>
      <c r="T671" s="299" t="s">
        <v>32</v>
      </c>
      <c r="U671" s="299" t="s">
        <v>32</v>
      </c>
      <c r="V671" s="295" t="s">
        <v>32</v>
      </c>
      <c r="W671" s="299" t="s">
        <v>32</v>
      </c>
      <c r="X671" s="292" t="s">
        <v>377</v>
      </c>
      <c r="Y671" s="295" t="s">
        <v>32</v>
      </c>
      <c r="Z671" s="299" t="s">
        <v>32</v>
      </c>
      <c r="AA671" s="299" t="s">
        <v>32</v>
      </c>
      <c r="AB671" s="295" t="s">
        <v>32</v>
      </c>
      <c r="AC671" s="296" t="s">
        <v>32</v>
      </c>
      <c r="AD671" s="299" t="s">
        <v>32</v>
      </c>
      <c r="AE671" s="292" t="s">
        <v>377</v>
      </c>
      <c r="AF671" s="295" t="s">
        <v>32</v>
      </c>
      <c r="AG671" s="299" t="s">
        <v>32</v>
      </c>
      <c r="AH671" s="292" t="s">
        <v>377</v>
      </c>
      <c r="AI671" s="295" t="s">
        <v>32</v>
      </c>
      <c r="AJ671" s="292" t="s">
        <v>377</v>
      </c>
      <c r="AK671" s="299" t="s">
        <v>32</v>
      </c>
      <c r="AL671" s="295" t="s">
        <v>32</v>
      </c>
      <c r="AM671" s="292" t="s">
        <v>377</v>
      </c>
      <c r="AN671" s="292" t="s">
        <v>18</v>
      </c>
      <c r="AO671" s="288" t="s">
        <v>377</v>
      </c>
      <c r="AP671" s="289" t="s">
        <v>377</v>
      </c>
      <c r="AQ671" s="292" t="s">
        <v>377</v>
      </c>
      <c r="AR671" s="292" t="s">
        <v>18</v>
      </c>
      <c r="AS671" s="288" t="s">
        <v>377</v>
      </c>
      <c r="AT671" s="299" t="s">
        <v>32</v>
      </c>
      <c r="AU671" s="299" t="s">
        <v>32</v>
      </c>
      <c r="AV671" s="295" t="s">
        <v>32</v>
      </c>
      <c r="AW671" s="292" t="s">
        <v>377</v>
      </c>
      <c r="AX671" s="292" t="s">
        <v>377</v>
      </c>
      <c r="AY671" s="288" t="s">
        <v>377</v>
      </c>
      <c r="AZ671" s="299" t="s">
        <v>32</v>
      </c>
      <c r="BA671" s="292" t="s">
        <v>18</v>
      </c>
      <c r="BB671" s="288" t="s">
        <v>377</v>
      </c>
      <c r="BC671" s="289" t="s">
        <v>377</v>
      </c>
      <c r="BD671" s="292"/>
    </row>
    <row r="672" ht="12.75" customHeight="1">
      <c r="A672" s="293">
        <v>44788.60366958333</v>
      </c>
      <c r="B672" s="297" t="s">
        <v>486</v>
      </c>
      <c r="C672" s="298" t="s">
        <v>567</v>
      </c>
      <c r="D672" s="298" t="s">
        <v>16</v>
      </c>
      <c r="E672" s="285" t="s">
        <v>476</v>
      </c>
      <c r="F672" s="292" t="s">
        <v>1215</v>
      </c>
      <c r="G672" s="298" t="s">
        <v>17</v>
      </c>
      <c r="H672" s="298">
        <v>11.0</v>
      </c>
      <c r="I672" s="292" t="s">
        <v>479</v>
      </c>
      <c r="J672" s="292" t="s">
        <v>532</v>
      </c>
      <c r="K672" s="287" t="s">
        <v>532</v>
      </c>
      <c r="L672" s="292" t="s">
        <v>479</v>
      </c>
      <c r="M672" s="292" t="s">
        <v>481</v>
      </c>
      <c r="N672" s="292"/>
      <c r="O672" s="292"/>
      <c r="P672" s="292"/>
      <c r="Q672" s="299" t="s">
        <v>32</v>
      </c>
      <c r="R672" s="299" t="s">
        <v>32</v>
      </c>
      <c r="S672" s="295" t="s">
        <v>32</v>
      </c>
      <c r="T672" s="299" t="s">
        <v>32</v>
      </c>
      <c r="U672" s="299" t="s">
        <v>32</v>
      </c>
      <c r="V672" s="295" t="s">
        <v>32</v>
      </c>
      <c r="W672" s="299" t="s">
        <v>32</v>
      </c>
      <c r="X672" s="292" t="s">
        <v>377</v>
      </c>
      <c r="Y672" s="295" t="s">
        <v>32</v>
      </c>
      <c r="Z672" s="292" t="s">
        <v>377</v>
      </c>
      <c r="AA672" s="299" t="s">
        <v>32</v>
      </c>
      <c r="AB672" s="295" t="s">
        <v>32</v>
      </c>
      <c r="AC672" s="296" t="s">
        <v>32</v>
      </c>
      <c r="AD672" s="299" t="s">
        <v>32</v>
      </c>
      <c r="AE672" s="292" t="s">
        <v>377</v>
      </c>
      <c r="AF672" s="295" t="s">
        <v>32</v>
      </c>
      <c r="AG672" s="299" t="s">
        <v>32</v>
      </c>
      <c r="AH672" s="292" t="s">
        <v>377</v>
      </c>
      <c r="AI672" s="295" t="s">
        <v>32</v>
      </c>
      <c r="AJ672" s="292" t="s">
        <v>377</v>
      </c>
      <c r="AK672" s="299" t="s">
        <v>32</v>
      </c>
      <c r="AL672" s="295" t="s">
        <v>32</v>
      </c>
      <c r="AM672" s="292" t="s">
        <v>377</v>
      </c>
      <c r="AN672" s="292" t="s">
        <v>18</v>
      </c>
      <c r="AO672" s="288" t="s">
        <v>377</v>
      </c>
      <c r="AP672" s="289" t="s">
        <v>377</v>
      </c>
      <c r="AQ672" s="292" t="s">
        <v>377</v>
      </c>
      <c r="AR672" s="292" t="s">
        <v>18</v>
      </c>
      <c r="AS672" s="288" t="s">
        <v>377</v>
      </c>
      <c r="AT672" s="299" t="s">
        <v>32</v>
      </c>
      <c r="AU672" s="299" t="s">
        <v>32</v>
      </c>
      <c r="AV672" s="295" t="s">
        <v>32</v>
      </c>
      <c r="AW672" s="292" t="s">
        <v>377</v>
      </c>
      <c r="AX672" s="292" t="s">
        <v>377</v>
      </c>
      <c r="AY672" s="288" t="s">
        <v>377</v>
      </c>
      <c r="AZ672" s="299" t="s">
        <v>32</v>
      </c>
      <c r="BA672" s="292" t="s">
        <v>18</v>
      </c>
      <c r="BB672" s="288" t="s">
        <v>377</v>
      </c>
      <c r="BC672" s="289" t="s">
        <v>377</v>
      </c>
      <c r="BD672" s="292"/>
    </row>
    <row r="673" ht="12.75" customHeight="1">
      <c r="A673" s="293">
        <v>44788.66501880787</v>
      </c>
      <c r="B673" s="297" t="s">
        <v>486</v>
      </c>
      <c r="C673" s="298" t="s">
        <v>567</v>
      </c>
      <c r="D673" s="298" t="s">
        <v>16</v>
      </c>
      <c r="E673" s="285" t="s">
        <v>476</v>
      </c>
      <c r="F673" s="292" t="s">
        <v>1216</v>
      </c>
      <c r="G673" s="298" t="s">
        <v>21</v>
      </c>
      <c r="H673" s="298">
        <v>12.0</v>
      </c>
      <c r="I673" s="292" t="s">
        <v>479</v>
      </c>
      <c r="J673" s="292" t="s">
        <v>532</v>
      </c>
      <c r="K673" s="287" t="s">
        <v>532</v>
      </c>
      <c r="L673" s="292" t="s">
        <v>479</v>
      </c>
      <c r="M673" s="292" t="s">
        <v>481</v>
      </c>
      <c r="N673" s="292"/>
      <c r="O673" s="292"/>
      <c r="P673" s="292"/>
      <c r="Q673" s="299" t="s">
        <v>32</v>
      </c>
      <c r="R673" s="299" t="s">
        <v>32</v>
      </c>
      <c r="S673" s="295" t="s">
        <v>32</v>
      </c>
      <c r="T673" s="299" t="s">
        <v>32</v>
      </c>
      <c r="U673" s="299" t="s">
        <v>32</v>
      </c>
      <c r="V673" s="295" t="s">
        <v>32</v>
      </c>
      <c r="W673" s="299" t="s">
        <v>32</v>
      </c>
      <c r="X673" s="299" t="s">
        <v>32</v>
      </c>
      <c r="Y673" s="295" t="s">
        <v>32</v>
      </c>
      <c r="Z673" s="299" t="s">
        <v>32</v>
      </c>
      <c r="AA673" s="299" t="s">
        <v>32</v>
      </c>
      <c r="AB673" s="295" t="s">
        <v>32</v>
      </c>
      <c r="AC673" s="296" t="s">
        <v>32</v>
      </c>
      <c r="AD673" s="299" t="s">
        <v>32</v>
      </c>
      <c r="AE673" s="299" t="s">
        <v>32</v>
      </c>
      <c r="AF673" s="295" t="s">
        <v>32</v>
      </c>
      <c r="AG673" s="292" t="s">
        <v>377</v>
      </c>
      <c r="AH673" s="292" t="s">
        <v>377</v>
      </c>
      <c r="AI673" s="288" t="s">
        <v>377</v>
      </c>
      <c r="AJ673" s="299" t="s">
        <v>32</v>
      </c>
      <c r="AK673" s="299" t="s">
        <v>32</v>
      </c>
      <c r="AL673" s="295" t="s">
        <v>32</v>
      </c>
      <c r="AM673" s="292" t="s">
        <v>18</v>
      </c>
      <c r="AN673" s="292" t="s">
        <v>18</v>
      </c>
      <c r="AO673" s="288" t="s">
        <v>18</v>
      </c>
      <c r="AP673" s="289" t="s">
        <v>377</v>
      </c>
      <c r="AQ673" s="299" t="s">
        <v>32</v>
      </c>
      <c r="AR673" s="292" t="s">
        <v>18</v>
      </c>
      <c r="AS673" s="288" t="s">
        <v>377</v>
      </c>
      <c r="AT673" s="299" t="s">
        <v>32</v>
      </c>
      <c r="AU673" s="292" t="s">
        <v>18</v>
      </c>
      <c r="AV673" s="288" t="s">
        <v>377</v>
      </c>
      <c r="AW673" s="299" t="s">
        <v>32</v>
      </c>
      <c r="AX673" s="299" t="s">
        <v>32</v>
      </c>
      <c r="AY673" s="295" t="s">
        <v>32</v>
      </c>
      <c r="AZ673" s="299" t="s">
        <v>32</v>
      </c>
      <c r="BA673" s="299" t="s">
        <v>32</v>
      </c>
      <c r="BB673" s="288" t="s">
        <v>377</v>
      </c>
      <c r="BC673" s="289" t="s">
        <v>18</v>
      </c>
      <c r="BD673" s="292"/>
    </row>
    <row r="674" ht="12.75" customHeight="1">
      <c r="A674" s="293">
        <v>44788.66835766204</v>
      </c>
      <c r="B674" s="297" t="s">
        <v>486</v>
      </c>
      <c r="C674" s="298" t="s">
        <v>567</v>
      </c>
      <c r="D674" s="298" t="s">
        <v>16</v>
      </c>
      <c r="E674" s="285" t="s">
        <v>476</v>
      </c>
      <c r="F674" s="292" t="s">
        <v>1217</v>
      </c>
      <c r="G674" s="298" t="s">
        <v>17</v>
      </c>
      <c r="H674" s="298">
        <v>13.0</v>
      </c>
      <c r="I674" s="292" t="s">
        <v>479</v>
      </c>
      <c r="J674" s="292" t="s">
        <v>532</v>
      </c>
      <c r="K674" s="287" t="s">
        <v>532</v>
      </c>
      <c r="L674" s="292" t="s">
        <v>479</v>
      </c>
      <c r="M674" s="292" t="s">
        <v>481</v>
      </c>
      <c r="N674" s="292"/>
      <c r="O674" s="292"/>
      <c r="P674" s="292"/>
      <c r="Q674" s="299" t="s">
        <v>32</v>
      </c>
      <c r="R674" s="299" t="s">
        <v>32</v>
      </c>
      <c r="S674" s="295" t="s">
        <v>32</v>
      </c>
      <c r="T674" s="299" t="s">
        <v>32</v>
      </c>
      <c r="U674" s="299" t="s">
        <v>32</v>
      </c>
      <c r="V674" s="295" t="s">
        <v>32</v>
      </c>
      <c r="W674" s="299" t="s">
        <v>32</v>
      </c>
      <c r="X674" s="299" t="s">
        <v>32</v>
      </c>
      <c r="Y674" s="295" t="s">
        <v>32</v>
      </c>
      <c r="Z674" s="299" t="s">
        <v>32</v>
      </c>
      <c r="AA674" s="299" t="s">
        <v>32</v>
      </c>
      <c r="AB674" s="295" t="s">
        <v>32</v>
      </c>
      <c r="AC674" s="296" t="s">
        <v>32</v>
      </c>
      <c r="AD674" s="299" t="s">
        <v>32</v>
      </c>
      <c r="AE674" s="299" t="s">
        <v>32</v>
      </c>
      <c r="AF674" s="295" t="s">
        <v>32</v>
      </c>
      <c r="AG674" s="299" t="s">
        <v>32</v>
      </c>
      <c r="AH674" s="292" t="s">
        <v>377</v>
      </c>
      <c r="AI674" s="295" t="s">
        <v>32</v>
      </c>
      <c r="AJ674" s="299" t="s">
        <v>32</v>
      </c>
      <c r="AK674" s="299" t="s">
        <v>32</v>
      </c>
      <c r="AL674" s="295" t="s">
        <v>32</v>
      </c>
      <c r="AM674" s="292" t="s">
        <v>18</v>
      </c>
      <c r="AN674" s="292" t="s">
        <v>18</v>
      </c>
      <c r="AO674" s="288" t="s">
        <v>18</v>
      </c>
      <c r="AP674" s="289" t="s">
        <v>377</v>
      </c>
      <c r="AQ674" s="299" t="s">
        <v>32</v>
      </c>
      <c r="AR674" s="292" t="s">
        <v>18</v>
      </c>
      <c r="AS674" s="288" t="s">
        <v>377</v>
      </c>
      <c r="AT674" s="299" t="s">
        <v>32</v>
      </c>
      <c r="AU674" s="299" t="s">
        <v>32</v>
      </c>
      <c r="AV674" s="295" t="s">
        <v>32</v>
      </c>
      <c r="AW674" s="299" t="s">
        <v>32</v>
      </c>
      <c r="AX674" s="299" t="s">
        <v>32</v>
      </c>
      <c r="AY674" s="295" t="s">
        <v>32</v>
      </c>
      <c r="AZ674" s="299" t="s">
        <v>32</v>
      </c>
      <c r="BA674" s="299" t="s">
        <v>32</v>
      </c>
      <c r="BB674" s="288" t="s">
        <v>377</v>
      </c>
      <c r="BC674" s="289" t="s">
        <v>377</v>
      </c>
      <c r="BD674" s="292"/>
    </row>
    <row r="675" ht="12.75" customHeight="1">
      <c r="A675" s="293">
        <v>44788.71324211806</v>
      </c>
      <c r="B675" s="297" t="s">
        <v>486</v>
      </c>
      <c r="C675" s="298" t="s">
        <v>567</v>
      </c>
      <c r="D675" s="298" t="s">
        <v>16</v>
      </c>
      <c r="E675" s="285" t="s">
        <v>476</v>
      </c>
      <c r="F675" s="292" t="s">
        <v>1218</v>
      </c>
      <c r="G675" s="298" t="s">
        <v>21</v>
      </c>
      <c r="H675" s="298">
        <v>13.0</v>
      </c>
      <c r="I675" s="292" t="s">
        <v>479</v>
      </c>
      <c r="J675" s="292" t="s">
        <v>532</v>
      </c>
      <c r="K675" s="287" t="s">
        <v>532</v>
      </c>
      <c r="L675" s="292" t="s">
        <v>479</v>
      </c>
      <c r="M675" s="292" t="s">
        <v>481</v>
      </c>
      <c r="N675" s="292"/>
      <c r="O675" s="292"/>
      <c r="P675" s="292"/>
      <c r="Q675" s="299" t="s">
        <v>32</v>
      </c>
      <c r="R675" s="299" t="s">
        <v>32</v>
      </c>
      <c r="S675" s="295" t="s">
        <v>32</v>
      </c>
      <c r="T675" s="299" t="s">
        <v>32</v>
      </c>
      <c r="U675" s="299" t="s">
        <v>32</v>
      </c>
      <c r="V675" s="295" t="s">
        <v>32</v>
      </c>
      <c r="W675" s="299" t="s">
        <v>32</v>
      </c>
      <c r="X675" s="299" t="s">
        <v>32</v>
      </c>
      <c r="Y675" s="295" t="s">
        <v>32</v>
      </c>
      <c r="Z675" s="299" t="s">
        <v>32</v>
      </c>
      <c r="AA675" s="292" t="s">
        <v>377</v>
      </c>
      <c r="AB675" s="295" t="s">
        <v>32</v>
      </c>
      <c r="AC675" s="296" t="s">
        <v>32</v>
      </c>
      <c r="AD675" s="299" t="s">
        <v>32</v>
      </c>
      <c r="AE675" s="299" t="s">
        <v>32</v>
      </c>
      <c r="AF675" s="295" t="s">
        <v>32</v>
      </c>
      <c r="AG675" s="299" t="s">
        <v>32</v>
      </c>
      <c r="AH675" s="299" t="s">
        <v>32</v>
      </c>
      <c r="AI675" s="295" t="s">
        <v>32</v>
      </c>
      <c r="AJ675" s="299" t="s">
        <v>32</v>
      </c>
      <c r="AK675" s="292" t="s">
        <v>377</v>
      </c>
      <c r="AL675" s="295" t="s">
        <v>32</v>
      </c>
      <c r="AM675" s="292" t="s">
        <v>377</v>
      </c>
      <c r="AN675" s="292" t="s">
        <v>377</v>
      </c>
      <c r="AO675" s="288" t="s">
        <v>377</v>
      </c>
      <c r="AP675" s="296" t="s">
        <v>32</v>
      </c>
      <c r="AQ675" s="299" t="s">
        <v>32</v>
      </c>
      <c r="AR675" s="292" t="s">
        <v>18</v>
      </c>
      <c r="AS675" s="288" t="s">
        <v>377</v>
      </c>
      <c r="AT675" s="299" t="s">
        <v>32</v>
      </c>
      <c r="AU675" s="292" t="s">
        <v>377</v>
      </c>
      <c r="AV675" s="295" t="s">
        <v>32</v>
      </c>
      <c r="AW675" s="299" t="s">
        <v>32</v>
      </c>
      <c r="AX675" s="299" t="s">
        <v>32</v>
      </c>
      <c r="AY675" s="295" t="s">
        <v>32</v>
      </c>
      <c r="AZ675" s="299" t="s">
        <v>32</v>
      </c>
      <c r="BA675" s="299" t="s">
        <v>32</v>
      </c>
      <c r="BB675" s="288" t="s">
        <v>377</v>
      </c>
      <c r="BC675" s="289" t="s">
        <v>377</v>
      </c>
      <c r="BD675" s="292"/>
    </row>
    <row r="676" ht="12.75" customHeight="1">
      <c r="A676" s="293">
        <v>44788.71579721065</v>
      </c>
      <c r="B676" s="297" t="s">
        <v>486</v>
      </c>
      <c r="C676" s="298" t="s">
        <v>567</v>
      </c>
      <c r="D676" s="298" t="s">
        <v>16</v>
      </c>
      <c r="E676" s="285" t="s">
        <v>476</v>
      </c>
      <c r="F676" s="292" t="s">
        <v>1219</v>
      </c>
      <c r="G676" s="298" t="s">
        <v>17</v>
      </c>
      <c r="H676" s="298">
        <v>12.0</v>
      </c>
      <c r="I676" s="292" t="s">
        <v>479</v>
      </c>
      <c r="J676" s="292" t="s">
        <v>532</v>
      </c>
      <c r="K676" s="287" t="s">
        <v>532</v>
      </c>
      <c r="L676" s="292" t="s">
        <v>479</v>
      </c>
      <c r="M676" s="292" t="s">
        <v>481</v>
      </c>
      <c r="N676" s="292"/>
      <c r="O676" s="292"/>
      <c r="P676" s="292"/>
      <c r="Q676" s="299" t="s">
        <v>32</v>
      </c>
      <c r="R676" s="299" t="s">
        <v>32</v>
      </c>
      <c r="S676" s="295" t="s">
        <v>32</v>
      </c>
      <c r="T676" s="299" t="s">
        <v>32</v>
      </c>
      <c r="U676" s="299" t="s">
        <v>32</v>
      </c>
      <c r="V676" s="295" t="s">
        <v>32</v>
      </c>
      <c r="W676" s="299" t="s">
        <v>32</v>
      </c>
      <c r="X676" s="299" t="s">
        <v>32</v>
      </c>
      <c r="Y676" s="295" t="s">
        <v>32</v>
      </c>
      <c r="Z676" s="299" t="s">
        <v>32</v>
      </c>
      <c r="AA676" s="299" t="s">
        <v>32</v>
      </c>
      <c r="AB676" s="295" t="s">
        <v>32</v>
      </c>
      <c r="AC676" s="296" t="s">
        <v>32</v>
      </c>
      <c r="AD676" s="299" t="s">
        <v>32</v>
      </c>
      <c r="AE676" s="299" t="s">
        <v>32</v>
      </c>
      <c r="AF676" s="295" t="s">
        <v>32</v>
      </c>
      <c r="AG676" s="299" t="s">
        <v>32</v>
      </c>
      <c r="AH676" s="292" t="s">
        <v>377</v>
      </c>
      <c r="AI676" s="295" t="s">
        <v>32</v>
      </c>
      <c r="AJ676" s="299" t="s">
        <v>32</v>
      </c>
      <c r="AK676" s="299" t="s">
        <v>32</v>
      </c>
      <c r="AL676" s="295" t="s">
        <v>32</v>
      </c>
      <c r="AM676" s="292" t="s">
        <v>18</v>
      </c>
      <c r="AN676" s="292" t="s">
        <v>18</v>
      </c>
      <c r="AO676" s="288" t="s">
        <v>18</v>
      </c>
      <c r="AP676" s="289" t="s">
        <v>377</v>
      </c>
      <c r="AQ676" s="299" t="s">
        <v>32</v>
      </c>
      <c r="AR676" s="292" t="s">
        <v>18</v>
      </c>
      <c r="AS676" s="288" t="s">
        <v>377</v>
      </c>
      <c r="AT676" s="299" t="s">
        <v>32</v>
      </c>
      <c r="AU676" s="299" t="s">
        <v>32</v>
      </c>
      <c r="AV676" s="295" t="s">
        <v>32</v>
      </c>
      <c r="AW676" s="299" t="s">
        <v>32</v>
      </c>
      <c r="AX676" s="299" t="s">
        <v>32</v>
      </c>
      <c r="AY676" s="295" t="s">
        <v>32</v>
      </c>
      <c r="AZ676" s="299" t="s">
        <v>32</v>
      </c>
      <c r="BA676" s="299" t="s">
        <v>32</v>
      </c>
      <c r="BB676" s="288" t="s">
        <v>377</v>
      </c>
      <c r="BC676" s="289" t="s">
        <v>18</v>
      </c>
      <c r="BD676" s="292"/>
    </row>
    <row r="677" ht="12.75" customHeight="1">
      <c r="A677" s="293">
        <v>44788.720344814814</v>
      </c>
      <c r="B677" s="297" t="s">
        <v>486</v>
      </c>
      <c r="C677" s="298" t="s">
        <v>567</v>
      </c>
      <c r="D677" s="298" t="s">
        <v>16</v>
      </c>
      <c r="E677" s="285" t="s">
        <v>476</v>
      </c>
      <c r="F677" s="292" t="s">
        <v>1220</v>
      </c>
      <c r="G677" s="298" t="s">
        <v>17</v>
      </c>
      <c r="H677" s="298">
        <v>14.0</v>
      </c>
      <c r="I677" s="292" t="s">
        <v>479</v>
      </c>
      <c r="J677" s="292" t="s">
        <v>532</v>
      </c>
      <c r="K677" s="287" t="s">
        <v>532</v>
      </c>
      <c r="L677" s="292" t="s">
        <v>479</v>
      </c>
      <c r="M677" s="292" t="s">
        <v>481</v>
      </c>
      <c r="N677" s="292"/>
      <c r="O677" s="292"/>
      <c r="P677" s="292"/>
      <c r="Q677" s="299" t="s">
        <v>32</v>
      </c>
      <c r="R677" s="299" t="s">
        <v>32</v>
      </c>
      <c r="S677" s="295" t="s">
        <v>32</v>
      </c>
      <c r="T677" s="299" t="s">
        <v>32</v>
      </c>
      <c r="U677" s="299" t="s">
        <v>32</v>
      </c>
      <c r="V677" s="295" t="s">
        <v>32</v>
      </c>
      <c r="W677" s="299" t="s">
        <v>32</v>
      </c>
      <c r="X677" s="292" t="s">
        <v>377</v>
      </c>
      <c r="Y677" s="295" t="s">
        <v>32</v>
      </c>
      <c r="Z677" s="292" t="s">
        <v>377</v>
      </c>
      <c r="AA677" s="299" t="s">
        <v>32</v>
      </c>
      <c r="AB677" s="295" t="s">
        <v>32</v>
      </c>
      <c r="AC677" s="296" t="s">
        <v>32</v>
      </c>
      <c r="AD677" s="299" t="s">
        <v>32</v>
      </c>
      <c r="AE677" s="292" t="s">
        <v>377</v>
      </c>
      <c r="AF677" s="295" t="s">
        <v>32</v>
      </c>
      <c r="AG677" s="299" t="s">
        <v>32</v>
      </c>
      <c r="AH677" s="292" t="s">
        <v>377</v>
      </c>
      <c r="AI677" s="295" t="s">
        <v>32</v>
      </c>
      <c r="AJ677" s="292" t="s">
        <v>377</v>
      </c>
      <c r="AK677" s="299" t="s">
        <v>32</v>
      </c>
      <c r="AL677" s="295" t="s">
        <v>32</v>
      </c>
      <c r="AM677" s="292" t="s">
        <v>377</v>
      </c>
      <c r="AN677" s="292" t="s">
        <v>18</v>
      </c>
      <c r="AO677" s="288" t="s">
        <v>377</v>
      </c>
      <c r="AP677" s="289" t="s">
        <v>377</v>
      </c>
      <c r="AQ677" s="292" t="s">
        <v>377</v>
      </c>
      <c r="AR677" s="292" t="s">
        <v>18</v>
      </c>
      <c r="AS677" s="288" t="s">
        <v>377</v>
      </c>
      <c r="AT677" s="299" t="s">
        <v>32</v>
      </c>
      <c r="AU677" s="299" t="s">
        <v>32</v>
      </c>
      <c r="AV677" s="295" t="s">
        <v>32</v>
      </c>
      <c r="AW677" s="292" t="s">
        <v>377</v>
      </c>
      <c r="AX677" s="292" t="s">
        <v>377</v>
      </c>
      <c r="AY677" s="288" t="s">
        <v>377</v>
      </c>
      <c r="AZ677" s="299" t="s">
        <v>32</v>
      </c>
      <c r="BA677" s="292" t="s">
        <v>18</v>
      </c>
      <c r="BB677" s="288" t="s">
        <v>18</v>
      </c>
      <c r="BC677" s="289" t="s">
        <v>377</v>
      </c>
      <c r="BD677" s="292"/>
    </row>
    <row r="678" ht="12.75" customHeight="1">
      <c r="A678" s="293">
        <v>44788.73293704861</v>
      </c>
      <c r="B678" s="297" t="s">
        <v>486</v>
      </c>
      <c r="C678" s="298" t="s">
        <v>567</v>
      </c>
      <c r="D678" s="298" t="s">
        <v>16</v>
      </c>
      <c r="E678" s="285" t="s">
        <v>476</v>
      </c>
      <c r="F678" s="292" t="s">
        <v>1221</v>
      </c>
      <c r="G678" s="298" t="s">
        <v>21</v>
      </c>
      <c r="H678" s="298">
        <v>12.0</v>
      </c>
      <c r="I678" s="292" t="s">
        <v>479</v>
      </c>
      <c r="J678" s="292" t="s">
        <v>532</v>
      </c>
      <c r="K678" s="287" t="s">
        <v>532</v>
      </c>
      <c r="L678" s="292" t="s">
        <v>479</v>
      </c>
      <c r="M678" s="292" t="s">
        <v>481</v>
      </c>
      <c r="N678" s="292"/>
      <c r="O678" s="292"/>
      <c r="P678" s="292"/>
      <c r="Q678" s="299" t="s">
        <v>32</v>
      </c>
      <c r="R678" s="299" t="s">
        <v>32</v>
      </c>
      <c r="S678" s="295" t="s">
        <v>32</v>
      </c>
      <c r="T678" s="299" t="s">
        <v>32</v>
      </c>
      <c r="U678" s="299" t="s">
        <v>32</v>
      </c>
      <c r="V678" s="295" t="s">
        <v>32</v>
      </c>
      <c r="W678" s="299" t="s">
        <v>32</v>
      </c>
      <c r="X678" s="299" t="s">
        <v>32</v>
      </c>
      <c r="Y678" s="295" t="s">
        <v>32</v>
      </c>
      <c r="Z678" s="299" t="s">
        <v>32</v>
      </c>
      <c r="AA678" s="299" t="s">
        <v>32</v>
      </c>
      <c r="AB678" s="295" t="s">
        <v>32</v>
      </c>
      <c r="AC678" s="296" t="s">
        <v>32</v>
      </c>
      <c r="AD678" s="292" t="s">
        <v>377</v>
      </c>
      <c r="AE678" s="299" t="s">
        <v>32</v>
      </c>
      <c r="AF678" s="295" t="s">
        <v>32</v>
      </c>
      <c r="AG678" s="299" t="s">
        <v>32</v>
      </c>
      <c r="AH678" s="292" t="s">
        <v>377</v>
      </c>
      <c r="AI678" s="295" t="s">
        <v>32</v>
      </c>
      <c r="AJ678" s="299" t="s">
        <v>32</v>
      </c>
      <c r="AK678" s="292" t="s">
        <v>18</v>
      </c>
      <c r="AL678" s="288" t="s">
        <v>377</v>
      </c>
      <c r="AM678" s="292" t="s">
        <v>18</v>
      </c>
      <c r="AN678" s="292" t="s">
        <v>18</v>
      </c>
      <c r="AO678" s="288" t="s">
        <v>18</v>
      </c>
      <c r="AP678" s="289" t="s">
        <v>377</v>
      </c>
      <c r="AQ678" s="299" t="s">
        <v>32</v>
      </c>
      <c r="AR678" s="292" t="s">
        <v>18</v>
      </c>
      <c r="AS678" s="288" t="s">
        <v>377</v>
      </c>
      <c r="AT678" s="299" t="s">
        <v>32</v>
      </c>
      <c r="AU678" s="299" t="s">
        <v>32</v>
      </c>
      <c r="AV678" s="295" t="s">
        <v>32</v>
      </c>
      <c r="AW678" s="299" t="s">
        <v>32</v>
      </c>
      <c r="AX678" s="299" t="s">
        <v>32</v>
      </c>
      <c r="AY678" s="295" t="s">
        <v>32</v>
      </c>
      <c r="AZ678" s="299" t="s">
        <v>32</v>
      </c>
      <c r="BA678" s="299" t="s">
        <v>32</v>
      </c>
      <c r="BB678" s="288" t="s">
        <v>377</v>
      </c>
      <c r="BC678" s="289" t="s">
        <v>377</v>
      </c>
      <c r="BD678" s="292"/>
    </row>
    <row r="679" ht="12.75" customHeight="1">
      <c r="A679" s="293">
        <v>44789.747127650466</v>
      </c>
      <c r="B679" s="297" t="s">
        <v>486</v>
      </c>
      <c r="C679" s="298" t="s">
        <v>567</v>
      </c>
      <c r="D679" s="298" t="s">
        <v>16</v>
      </c>
      <c r="E679" s="285" t="s">
        <v>476</v>
      </c>
      <c r="F679" s="292" t="s">
        <v>1222</v>
      </c>
      <c r="G679" s="298" t="s">
        <v>17</v>
      </c>
      <c r="H679" s="298">
        <v>13.0</v>
      </c>
      <c r="I679" s="292" t="s">
        <v>479</v>
      </c>
      <c r="J679" s="292" t="s">
        <v>532</v>
      </c>
      <c r="K679" s="287" t="s">
        <v>532</v>
      </c>
      <c r="L679" s="292" t="s">
        <v>479</v>
      </c>
      <c r="M679" s="292" t="s">
        <v>481</v>
      </c>
      <c r="N679" s="292"/>
      <c r="O679" s="292"/>
      <c r="P679" s="292"/>
      <c r="Q679" s="299" t="s">
        <v>32</v>
      </c>
      <c r="R679" s="292" t="s">
        <v>377</v>
      </c>
      <c r="S679" s="295" t="s">
        <v>32</v>
      </c>
      <c r="T679" s="299" t="s">
        <v>32</v>
      </c>
      <c r="U679" s="299" t="s">
        <v>32</v>
      </c>
      <c r="V679" s="295" t="s">
        <v>32</v>
      </c>
      <c r="W679" s="292" t="s">
        <v>18</v>
      </c>
      <c r="X679" s="299" t="s">
        <v>32</v>
      </c>
      <c r="Y679" s="288" t="s">
        <v>377</v>
      </c>
      <c r="Z679" s="299" t="s">
        <v>32</v>
      </c>
      <c r="AA679" s="292" t="s">
        <v>377</v>
      </c>
      <c r="AB679" s="295" t="s">
        <v>32</v>
      </c>
      <c r="AC679" s="296" t="s">
        <v>32</v>
      </c>
      <c r="AD679" s="299" t="s">
        <v>32</v>
      </c>
      <c r="AE679" s="299" t="s">
        <v>32</v>
      </c>
      <c r="AF679" s="295" t="s">
        <v>32</v>
      </c>
      <c r="AG679" s="299" t="s">
        <v>32</v>
      </c>
      <c r="AH679" s="292" t="s">
        <v>377</v>
      </c>
      <c r="AI679" s="295" t="s">
        <v>32</v>
      </c>
      <c r="AJ679" s="299" t="s">
        <v>32</v>
      </c>
      <c r="AK679" s="292" t="s">
        <v>377</v>
      </c>
      <c r="AL679" s="295" t="s">
        <v>32</v>
      </c>
      <c r="AM679" s="292" t="s">
        <v>18</v>
      </c>
      <c r="AN679" s="292" t="s">
        <v>18</v>
      </c>
      <c r="AO679" s="288" t="s">
        <v>18</v>
      </c>
      <c r="AP679" s="289" t="s">
        <v>377</v>
      </c>
      <c r="AQ679" s="299" t="s">
        <v>32</v>
      </c>
      <c r="AR679" s="292" t="s">
        <v>377</v>
      </c>
      <c r="AS679" s="295" t="s">
        <v>32</v>
      </c>
      <c r="AT679" s="299" t="s">
        <v>32</v>
      </c>
      <c r="AU679" s="292" t="s">
        <v>377</v>
      </c>
      <c r="AV679" s="295" t="s">
        <v>32</v>
      </c>
      <c r="AW679" s="299" t="s">
        <v>32</v>
      </c>
      <c r="AX679" s="299" t="s">
        <v>32</v>
      </c>
      <c r="AY679" s="295" t="s">
        <v>32</v>
      </c>
      <c r="AZ679" s="299" t="s">
        <v>32</v>
      </c>
      <c r="BA679" s="299" t="s">
        <v>32</v>
      </c>
      <c r="BB679" s="288" t="s">
        <v>18</v>
      </c>
      <c r="BC679" s="289" t="s">
        <v>18</v>
      </c>
      <c r="BD679" s="292"/>
    </row>
    <row r="680" ht="12.75" customHeight="1">
      <c r="A680" s="293">
        <v>44789.74931083333</v>
      </c>
      <c r="B680" s="297" t="s">
        <v>486</v>
      </c>
      <c r="C680" s="298" t="s">
        <v>567</v>
      </c>
      <c r="D680" s="298" t="s">
        <v>16</v>
      </c>
      <c r="E680" s="285" t="s">
        <v>476</v>
      </c>
      <c r="F680" s="292" t="s">
        <v>1223</v>
      </c>
      <c r="G680" s="298" t="s">
        <v>21</v>
      </c>
      <c r="H680" s="298">
        <v>12.0</v>
      </c>
      <c r="I680" s="292" t="s">
        <v>479</v>
      </c>
      <c r="J680" s="292" t="s">
        <v>532</v>
      </c>
      <c r="K680" s="287" t="s">
        <v>532</v>
      </c>
      <c r="L680" s="292" t="s">
        <v>479</v>
      </c>
      <c r="M680" s="292" t="s">
        <v>481</v>
      </c>
      <c r="N680" s="292"/>
      <c r="O680" s="292"/>
      <c r="P680" s="292"/>
      <c r="Q680" s="299" t="s">
        <v>32</v>
      </c>
      <c r="R680" s="299" t="s">
        <v>32</v>
      </c>
      <c r="S680" s="295" t="s">
        <v>32</v>
      </c>
      <c r="T680" s="299" t="s">
        <v>32</v>
      </c>
      <c r="U680" s="299" t="s">
        <v>32</v>
      </c>
      <c r="V680" s="295" t="s">
        <v>32</v>
      </c>
      <c r="W680" s="299" t="s">
        <v>32</v>
      </c>
      <c r="X680" s="299" t="s">
        <v>32</v>
      </c>
      <c r="Y680" s="295" t="s">
        <v>32</v>
      </c>
      <c r="Z680" s="299" t="s">
        <v>32</v>
      </c>
      <c r="AA680" s="299" t="s">
        <v>32</v>
      </c>
      <c r="AB680" s="295" t="s">
        <v>32</v>
      </c>
      <c r="AC680" s="296" t="s">
        <v>32</v>
      </c>
      <c r="AD680" s="299" t="s">
        <v>32</v>
      </c>
      <c r="AE680" s="299" t="s">
        <v>32</v>
      </c>
      <c r="AF680" s="295" t="s">
        <v>32</v>
      </c>
      <c r="AG680" s="299" t="s">
        <v>32</v>
      </c>
      <c r="AH680" s="299" t="s">
        <v>32</v>
      </c>
      <c r="AI680" s="295" t="s">
        <v>32</v>
      </c>
      <c r="AJ680" s="299" t="s">
        <v>32</v>
      </c>
      <c r="AK680" s="292" t="s">
        <v>18</v>
      </c>
      <c r="AL680" s="288" t="s">
        <v>377</v>
      </c>
      <c r="AM680" s="299" t="s">
        <v>32</v>
      </c>
      <c r="AN680" s="292" t="s">
        <v>18</v>
      </c>
      <c r="AO680" s="288" t="s">
        <v>377</v>
      </c>
      <c r="AP680" s="296" t="s">
        <v>32</v>
      </c>
      <c r="AQ680" s="299" t="s">
        <v>32</v>
      </c>
      <c r="AR680" s="292" t="s">
        <v>18</v>
      </c>
      <c r="AS680" s="288" t="s">
        <v>377</v>
      </c>
      <c r="AT680" s="299" t="s">
        <v>32</v>
      </c>
      <c r="AU680" s="299" t="s">
        <v>32</v>
      </c>
      <c r="AV680" s="295" t="s">
        <v>32</v>
      </c>
      <c r="AW680" s="299" t="s">
        <v>32</v>
      </c>
      <c r="AX680" s="299" t="s">
        <v>32</v>
      </c>
      <c r="AY680" s="295" t="s">
        <v>32</v>
      </c>
      <c r="AZ680" s="299" t="s">
        <v>32</v>
      </c>
      <c r="BA680" s="299" t="s">
        <v>32</v>
      </c>
      <c r="BB680" s="288" t="s">
        <v>18</v>
      </c>
      <c r="BC680" s="289" t="s">
        <v>18</v>
      </c>
      <c r="BD680" s="292"/>
    </row>
    <row r="681" ht="12.75" customHeight="1">
      <c r="A681" s="293">
        <v>44789.757680891205</v>
      </c>
      <c r="B681" s="297" t="s">
        <v>486</v>
      </c>
      <c r="C681" s="298" t="s">
        <v>567</v>
      </c>
      <c r="D681" s="298" t="s">
        <v>16</v>
      </c>
      <c r="E681" s="285" t="s">
        <v>476</v>
      </c>
      <c r="F681" s="292" t="s">
        <v>1224</v>
      </c>
      <c r="G681" s="298" t="s">
        <v>17</v>
      </c>
      <c r="H681" s="298">
        <v>11.0</v>
      </c>
      <c r="I681" s="292" t="s">
        <v>479</v>
      </c>
      <c r="J681" s="292" t="s">
        <v>532</v>
      </c>
      <c r="K681" s="287" t="s">
        <v>532</v>
      </c>
      <c r="L681" s="292" t="s">
        <v>479</v>
      </c>
      <c r="M681" s="292" t="s">
        <v>481</v>
      </c>
      <c r="N681" s="292"/>
      <c r="O681" s="292"/>
      <c r="P681" s="292"/>
      <c r="Q681" s="299" t="s">
        <v>32</v>
      </c>
      <c r="R681" s="299" t="s">
        <v>32</v>
      </c>
      <c r="S681" s="295" t="s">
        <v>32</v>
      </c>
      <c r="T681" s="299" t="s">
        <v>32</v>
      </c>
      <c r="U681" s="299" t="s">
        <v>32</v>
      </c>
      <c r="V681" s="295" t="s">
        <v>32</v>
      </c>
      <c r="W681" s="299" t="s">
        <v>32</v>
      </c>
      <c r="X681" s="299" t="s">
        <v>32</v>
      </c>
      <c r="Y681" s="295" t="s">
        <v>32</v>
      </c>
      <c r="Z681" s="299" t="s">
        <v>32</v>
      </c>
      <c r="AA681" s="299" t="s">
        <v>32</v>
      </c>
      <c r="AB681" s="295" t="s">
        <v>32</v>
      </c>
      <c r="AC681" s="296" t="s">
        <v>32</v>
      </c>
      <c r="AD681" s="299" t="s">
        <v>32</v>
      </c>
      <c r="AE681" s="299" t="s">
        <v>32</v>
      </c>
      <c r="AF681" s="295" t="s">
        <v>32</v>
      </c>
      <c r="AG681" s="299" t="s">
        <v>32</v>
      </c>
      <c r="AH681" s="292" t="s">
        <v>377</v>
      </c>
      <c r="AI681" s="295" t="s">
        <v>32</v>
      </c>
      <c r="AJ681" s="299" t="s">
        <v>32</v>
      </c>
      <c r="AK681" s="299" t="s">
        <v>32</v>
      </c>
      <c r="AL681" s="295" t="s">
        <v>32</v>
      </c>
      <c r="AM681" s="292" t="s">
        <v>377</v>
      </c>
      <c r="AN681" s="292" t="s">
        <v>18</v>
      </c>
      <c r="AO681" s="288" t="s">
        <v>377</v>
      </c>
      <c r="AP681" s="296" t="s">
        <v>32</v>
      </c>
      <c r="AQ681" s="299" t="s">
        <v>32</v>
      </c>
      <c r="AR681" s="299" t="s">
        <v>32</v>
      </c>
      <c r="AS681" s="295" t="s">
        <v>32</v>
      </c>
      <c r="AT681" s="299" t="s">
        <v>32</v>
      </c>
      <c r="AU681" s="299" t="s">
        <v>32</v>
      </c>
      <c r="AV681" s="295" t="s">
        <v>32</v>
      </c>
      <c r="AW681" s="299" t="s">
        <v>32</v>
      </c>
      <c r="AX681" s="299" t="s">
        <v>32</v>
      </c>
      <c r="AY681" s="295" t="s">
        <v>32</v>
      </c>
      <c r="AZ681" s="299" t="s">
        <v>32</v>
      </c>
      <c r="BA681" s="299" t="s">
        <v>32</v>
      </c>
      <c r="BB681" s="295" t="s">
        <v>32</v>
      </c>
      <c r="BC681" s="296" t="s">
        <v>32</v>
      </c>
      <c r="BD681" s="287"/>
    </row>
    <row r="682" ht="12.75" customHeight="1">
      <c r="A682" s="293">
        <v>44789.7714799074</v>
      </c>
      <c r="B682" s="297" t="s">
        <v>486</v>
      </c>
      <c r="C682" s="298" t="s">
        <v>567</v>
      </c>
      <c r="D682" s="298" t="s">
        <v>16</v>
      </c>
      <c r="E682" s="285" t="s">
        <v>476</v>
      </c>
      <c r="F682" s="292" t="s">
        <v>1225</v>
      </c>
      <c r="G682" s="298" t="s">
        <v>21</v>
      </c>
      <c r="H682" s="298">
        <v>11.0</v>
      </c>
      <c r="I682" s="292" t="s">
        <v>479</v>
      </c>
      <c r="J682" s="292" t="s">
        <v>532</v>
      </c>
      <c r="K682" s="287" t="s">
        <v>532</v>
      </c>
      <c r="L682" s="292" t="s">
        <v>479</v>
      </c>
      <c r="M682" s="292" t="s">
        <v>481</v>
      </c>
      <c r="N682" s="292"/>
      <c r="O682" s="292"/>
      <c r="P682" s="292"/>
      <c r="Q682" s="299" t="s">
        <v>32</v>
      </c>
      <c r="R682" s="299" t="s">
        <v>32</v>
      </c>
      <c r="S682" s="295" t="s">
        <v>32</v>
      </c>
      <c r="T682" s="299" t="s">
        <v>32</v>
      </c>
      <c r="U682" s="299" t="s">
        <v>32</v>
      </c>
      <c r="V682" s="295" t="s">
        <v>32</v>
      </c>
      <c r="W682" s="299" t="s">
        <v>32</v>
      </c>
      <c r="X682" s="299" t="s">
        <v>32</v>
      </c>
      <c r="Y682" s="295" t="s">
        <v>32</v>
      </c>
      <c r="Z682" s="299" t="s">
        <v>32</v>
      </c>
      <c r="AA682" s="292" t="s">
        <v>377</v>
      </c>
      <c r="AB682" s="295" t="s">
        <v>32</v>
      </c>
      <c r="AC682" s="296" t="s">
        <v>32</v>
      </c>
      <c r="AD682" s="292" t="s">
        <v>377</v>
      </c>
      <c r="AE682" s="292" t="s">
        <v>18</v>
      </c>
      <c r="AF682" s="288" t="s">
        <v>377</v>
      </c>
      <c r="AG682" s="292" t="s">
        <v>377</v>
      </c>
      <c r="AH682" s="292" t="s">
        <v>18</v>
      </c>
      <c r="AI682" s="288" t="s">
        <v>377</v>
      </c>
      <c r="AJ682" s="299" t="s">
        <v>32</v>
      </c>
      <c r="AK682" s="292" t="s">
        <v>18</v>
      </c>
      <c r="AL682" s="288" t="s">
        <v>377</v>
      </c>
      <c r="AM682" s="292" t="s">
        <v>377</v>
      </c>
      <c r="AN682" s="292" t="s">
        <v>18</v>
      </c>
      <c r="AO682" s="288" t="s">
        <v>377</v>
      </c>
      <c r="AP682" s="289" t="s">
        <v>377</v>
      </c>
      <c r="AQ682" s="292" t="s">
        <v>377</v>
      </c>
      <c r="AR682" s="292" t="s">
        <v>377</v>
      </c>
      <c r="AS682" s="288" t="s">
        <v>377</v>
      </c>
      <c r="AT682" s="292" t="s">
        <v>18</v>
      </c>
      <c r="AU682" s="299" t="s">
        <v>32</v>
      </c>
      <c r="AV682" s="288" t="s">
        <v>377</v>
      </c>
      <c r="AW682" s="292" t="s">
        <v>18</v>
      </c>
      <c r="AX682" s="292" t="s">
        <v>377</v>
      </c>
      <c r="AY682" s="288" t="s">
        <v>377</v>
      </c>
      <c r="AZ682" s="292" t="s">
        <v>18</v>
      </c>
      <c r="BA682" s="292" t="s">
        <v>377</v>
      </c>
      <c r="BB682" s="295" t="s">
        <v>32</v>
      </c>
      <c r="BC682" s="296" t="s">
        <v>32</v>
      </c>
      <c r="BD682" s="287"/>
    </row>
    <row r="683" ht="12.75" customHeight="1">
      <c r="A683" s="293">
        <v>44789.77667461806</v>
      </c>
      <c r="B683" s="297" t="s">
        <v>486</v>
      </c>
      <c r="C683" s="298" t="s">
        <v>567</v>
      </c>
      <c r="D683" s="298" t="s">
        <v>16</v>
      </c>
      <c r="E683" s="285" t="s">
        <v>476</v>
      </c>
      <c r="F683" s="292" t="s">
        <v>1226</v>
      </c>
      <c r="G683" s="298" t="s">
        <v>17</v>
      </c>
      <c r="H683" s="298">
        <v>13.0</v>
      </c>
      <c r="I683" s="292" t="s">
        <v>479</v>
      </c>
      <c r="J683" s="292" t="s">
        <v>532</v>
      </c>
      <c r="K683" s="287" t="s">
        <v>532</v>
      </c>
      <c r="L683" s="292" t="s">
        <v>497</v>
      </c>
      <c r="M683" s="292" t="s">
        <v>586</v>
      </c>
      <c r="N683" s="292"/>
      <c r="O683" s="292"/>
      <c r="P683" s="292"/>
      <c r="Q683" s="299" t="s">
        <v>32</v>
      </c>
      <c r="R683" s="299" t="s">
        <v>32</v>
      </c>
      <c r="S683" s="295" t="s">
        <v>32</v>
      </c>
      <c r="T683" s="292" t="s">
        <v>18</v>
      </c>
      <c r="U683" s="299" t="s">
        <v>32</v>
      </c>
      <c r="V683" s="288" t="s">
        <v>377</v>
      </c>
      <c r="W683" s="292" t="s">
        <v>18</v>
      </c>
      <c r="X683" s="292" t="s">
        <v>18</v>
      </c>
      <c r="Y683" s="288" t="s">
        <v>18</v>
      </c>
      <c r="Z683" s="292" t="s">
        <v>18</v>
      </c>
      <c r="AA683" s="292" t="s">
        <v>18</v>
      </c>
      <c r="AB683" s="288" t="s">
        <v>18</v>
      </c>
      <c r="AC683" s="289" t="s">
        <v>377</v>
      </c>
      <c r="AD683" s="292" t="s">
        <v>18</v>
      </c>
      <c r="AE683" s="292" t="s">
        <v>18</v>
      </c>
      <c r="AF683" s="288" t="s">
        <v>18</v>
      </c>
      <c r="AG683" s="292" t="s">
        <v>18</v>
      </c>
      <c r="AH683" s="292" t="s">
        <v>18</v>
      </c>
      <c r="AI683" s="288" t="s">
        <v>18</v>
      </c>
      <c r="AJ683" s="292" t="s">
        <v>18</v>
      </c>
      <c r="AK683" s="292" t="s">
        <v>18</v>
      </c>
      <c r="AL683" s="288" t="s">
        <v>18</v>
      </c>
      <c r="AM683" s="292" t="s">
        <v>18</v>
      </c>
      <c r="AN683" s="292" t="s">
        <v>18</v>
      </c>
      <c r="AO683" s="288" t="s">
        <v>18</v>
      </c>
      <c r="AP683" s="289" t="s">
        <v>18</v>
      </c>
      <c r="AQ683" s="299" t="s">
        <v>32</v>
      </c>
      <c r="AR683" s="292" t="s">
        <v>18</v>
      </c>
      <c r="AS683" s="288" t="s">
        <v>377</v>
      </c>
      <c r="AT683" s="299" t="s">
        <v>32</v>
      </c>
      <c r="AU683" s="299" t="s">
        <v>32</v>
      </c>
      <c r="AV683" s="295" t="s">
        <v>32</v>
      </c>
      <c r="AW683" s="292" t="s">
        <v>18</v>
      </c>
      <c r="AX683" s="299" t="s">
        <v>32</v>
      </c>
      <c r="AY683" s="288" t="s">
        <v>377</v>
      </c>
      <c r="AZ683" s="299" t="s">
        <v>32</v>
      </c>
      <c r="BA683" s="299" t="s">
        <v>32</v>
      </c>
      <c r="BB683" s="295" t="s">
        <v>32</v>
      </c>
      <c r="BC683" s="296" t="s">
        <v>32</v>
      </c>
      <c r="BD683" s="287"/>
    </row>
    <row r="684" ht="12.75" customHeight="1">
      <c r="A684" s="293">
        <v>44789.78421203703</v>
      </c>
      <c r="B684" s="297" t="s">
        <v>486</v>
      </c>
      <c r="C684" s="298" t="s">
        <v>567</v>
      </c>
      <c r="D684" s="298" t="s">
        <v>16</v>
      </c>
      <c r="E684" s="285" t="s">
        <v>476</v>
      </c>
      <c r="F684" s="292" t="s">
        <v>1227</v>
      </c>
      <c r="G684" s="298" t="s">
        <v>17</v>
      </c>
      <c r="H684" s="298">
        <v>14.0</v>
      </c>
      <c r="I684" s="292" t="s">
        <v>479</v>
      </c>
      <c r="J684" s="292" t="s">
        <v>532</v>
      </c>
      <c r="K684" s="287" t="s">
        <v>532</v>
      </c>
      <c r="L684" s="292" t="s">
        <v>497</v>
      </c>
      <c r="M684" s="292" t="s">
        <v>586</v>
      </c>
      <c r="N684" s="292"/>
      <c r="O684" s="292"/>
      <c r="P684" s="292"/>
      <c r="Q684" s="299" t="s">
        <v>32</v>
      </c>
      <c r="R684" s="299" t="s">
        <v>32</v>
      </c>
      <c r="S684" s="295" t="s">
        <v>32</v>
      </c>
      <c r="T684" s="292" t="s">
        <v>18</v>
      </c>
      <c r="U684" s="299" t="s">
        <v>32</v>
      </c>
      <c r="V684" s="288" t="s">
        <v>377</v>
      </c>
      <c r="W684" s="292" t="s">
        <v>377</v>
      </c>
      <c r="X684" s="292" t="s">
        <v>18</v>
      </c>
      <c r="Y684" s="288" t="s">
        <v>377</v>
      </c>
      <c r="Z684" s="299" t="s">
        <v>32</v>
      </c>
      <c r="AA684" s="292" t="s">
        <v>18</v>
      </c>
      <c r="AB684" s="288" t="s">
        <v>377</v>
      </c>
      <c r="AC684" s="289" t="s">
        <v>377</v>
      </c>
      <c r="AD684" s="292" t="s">
        <v>18</v>
      </c>
      <c r="AE684" s="299" t="s">
        <v>32</v>
      </c>
      <c r="AF684" s="288" t="s">
        <v>377</v>
      </c>
      <c r="AG684" s="292" t="s">
        <v>18</v>
      </c>
      <c r="AH684" s="292" t="s">
        <v>18</v>
      </c>
      <c r="AI684" s="288" t="s">
        <v>18</v>
      </c>
      <c r="AJ684" s="292" t="s">
        <v>18</v>
      </c>
      <c r="AK684" s="292" t="s">
        <v>18</v>
      </c>
      <c r="AL684" s="288" t="s">
        <v>18</v>
      </c>
      <c r="AM684" s="292" t="s">
        <v>18</v>
      </c>
      <c r="AN684" s="292" t="s">
        <v>18</v>
      </c>
      <c r="AO684" s="288" t="s">
        <v>18</v>
      </c>
      <c r="AP684" s="289" t="s">
        <v>18</v>
      </c>
      <c r="AQ684" s="299" t="s">
        <v>32</v>
      </c>
      <c r="AR684" s="292" t="s">
        <v>18</v>
      </c>
      <c r="AS684" s="288" t="s">
        <v>377</v>
      </c>
      <c r="AT684" s="299" t="s">
        <v>32</v>
      </c>
      <c r="AU684" s="299" t="s">
        <v>32</v>
      </c>
      <c r="AV684" s="295" t="s">
        <v>32</v>
      </c>
      <c r="AW684" s="292" t="s">
        <v>18</v>
      </c>
      <c r="AX684" s="299" t="s">
        <v>32</v>
      </c>
      <c r="AY684" s="288" t="s">
        <v>377</v>
      </c>
      <c r="AZ684" s="299" t="s">
        <v>32</v>
      </c>
      <c r="BA684" s="299" t="s">
        <v>32</v>
      </c>
      <c r="BB684" s="295" t="s">
        <v>32</v>
      </c>
      <c r="BC684" s="296" t="s">
        <v>32</v>
      </c>
      <c r="BD684" s="287"/>
    </row>
    <row r="685" ht="12.75" customHeight="1">
      <c r="A685" s="293">
        <v>44789.786045625</v>
      </c>
      <c r="B685" s="297" t="s">
        <v>486</v>
      </c>
      <c r="C685" s="298" t="s">
        <v>567</v>
      </c>
      <c r="D685" s="298" t="s">
        <v>16</v>
      </c>
      <c r="E685" s="285" t="s">
        <v>476</v>
      </c>
      <c r="F685" s="292" t="s">
        <v>1228</v>
      </c>
      <c r="G685" s="298" t="s">
        <v>17</v>
      </c>
      <c r="H685" s="298">
        <v>11.0</v>
      </c>
      <c r="I685" s="292" t="s">
        <v>479</v>
      </c>
      <c r="J685" s="292" t="s">
        <v>532</v>
      </c>
      <c r="K685" s="287" t="s">
        <v>532</v>
      </c>
      <c r="L685" s="292" t="s">
        <v>497</v>
      </c>
      <c r="M685" s="292" t="s">
        <v>586</v>
      </c>
      <c r="N685" s="292"/>
      <c r="O685" s="292"/>
      <c r="P685" s="292"/>
      <c r="Q685" s="299" t="s">
        <v>32</v>
      </c>
      <c r="R685" s="292" t="s">
        <v>377</v>
      </c>
      <c r="S685" s="295" t="s">
        <v>32</v>
      </c>
      <c r="T685" s="292" t="s">
        <v>18</v>
      </c>
      <c r="U685" s="299" t="s">
        <v>32</v>
      </c>
      <c r="V685" s="288" t="s">
        <v>377</v>
      </c>
      <c r="W685" s="292" t="s">
        <v>377</v>
      </c>
      <c r="X685" s="292" t="s">
        <v>18</v>
      </c>
      <c r="Y685" s="288" t="s">
        <v>377</v>
      </c>
      <c r="Z685" s="292" t="s">
        <v>18</v>
      </c>
      <c r="AA685" s="292" t="s">
        <v>18</v>
      </c>
      <c r="AB685" s="288" t="s">
        <v>18</v>
      </c>
      <c r="AC685" s="289" t="s">
        <v>377</v>
      </c>
      <c r="AD685" s="292" t="s">
        <v>18</v>
      </c>
      <c r="AE685" s="292" t="s">
        <v>377</v>
      </c>
      <c r="AF685" s="288" t="s">
        <v>377</v>
      </c>
      <c r="AG685" s="292" t="s">
        <v>18</v>
      </c>
      <c r="AH685" s="292" t="s">
        <v>18</v>
      </c>
      <c r="AI685" s="288" t="s">
        <v>18</v>
      </c>
      <c r="AJ685" s="292" t="s">
        <v>18</v>
      </c>
      <c r="AK685" s="292" t="s">
        <v>18</v>
      </c>
      <c r="AL685" s="288" t="s">
        <v>18</v>
      </c>
      <c r="AM685" s="292" t="s">
        <v>18</v>
      </c>
      <c r="AN685" s="292" t="s">
        <v>18</v>
      </c>
      <c r="AO685" s="288" t="s">
        <v>18</v>
      </c>
      <c r="AP685" s="289" t="s">
        <v>18</v>
      </c>
      <c r="AQ685" s="292" t="s">
        <v>18</v>
      </c>
      <c r="AR685" s="292" t="s">
        <v>18</v>
      </c>
      <c r="AS685" s="288" t="s">
        <v>18</v>
      </c>
      <c r="AT685" s="299" t="s">
        <v>32</v>
      </c>
      <c r="AU685" s="299" t="s">
        <v>32</v>
      </c>
      <c r="AV685" s="295" t="s">
        <v>32</v>
      </c>
      <c r="AW685" s="292" t="s">
        <v>18</v>
      </c>
      <c r="AX685" s="299" t="s">
        <v>32</v>
      </c>
      <c r="AY685" s="288" t="s">
        <v>377</v>
      </c>
      <c r="AZ685" s="299" t="s">
        <v>32</v>
      </c>
      <c r="BA685" s="292" t="s">
        <v>18</v>
      </c>
      <c r="BB685" s="295" t="s">
        <v>32</v>
      </c>
      <c r="BC685" s="296" t="s">
        <v>32</v>
      </c>
      <c r="BD685" s="287"/>
    </row>
    <row r="686" ht="12.75" customHeight="1">
      <c r="A686" s="293">
        <v>44789.788043645836</v>
      </c>
      <c r="B686" s="297" t="s">
        <v>486</v>
      </c>
      <c r="C686" s="298" t="s">
        <v>567</v>
      </c>
      <c r="D686" s="298" t="s">
        <v>16</v>
      </c>
      <c r="E686" s="285" t="s">
        <v>476</v>
      </c>
      <c r="F686" s="292" t="s">
        <v>1229</v>
      </c>
      <c r="G686" s="298" t="s">
        <v>17</v>
      </c>
      <c r="H686" s="298">
        <v>13.0</v>
      </c>
      <c r="I686" s="292" t="s">
        <v>479</v>
      </c>
      <c r="J686" s="292" t="s">
        <v>532</v>
      </c>
      <c r="K686" s="287" t="s">
        <v>532</v>
      </c>
      <c r="L686" s="292" t="s">
        <v>497</v>
      </c>
      <c r="M686" s="292" t="s">
        <v>586</v>
      </c>
      <c r="N686" s="292"/>
      <c r="O686" s="292"/>
      <c r="P686" s="292"/>
      <c r="Q686" s="299" t="s">
        <v>32</v>
      </c>
      <c r="R686" s="299" t="s">
        <v>32</v>
      </c>
      <c r="S686" s="295" t="s">
        <v>32</v>
      </c>
      <c r="T686" s="292" t="s">
        <v>18</v>
      </c>
      <c r="U686" s="299" t="s">
        <v>32</v>
      </c>
      <c r="V686" s="288" t="s">
        <v>377</v>
      </c>
      <c r="W686" s="292" t="s">
        <v>18</v>
      </c>
      <c r="X686" s="292" t="s">
        <v>18</v>
      </c>
      <c r="Y686" s="288" t="s">
        <v>18</v>
      </c>
      <c r="Z686" s="299" t="s">
        <v>32</v>
      </c>
      <c r="AA686" s="292" t="s">
        <v>18</v>
      </c>
      <c r="AB686" s="288" t="s">
        <v>377</v>
      </c>
      <c r="AC686" s="289" t="s">
        <v>377</v>
      </c>
      <c r="AD686" s="292" t="s">
        <v>18</v>
      </c>
      <c r="AE686" s="292" t="s">
        <v>377</v>
      </c>
      <c r="AF686" s="288" t="s">
        <v>377</v>
      </c>
      <c r="AG686" s="292" t="s">
        <v>18</v>
      </c>
      <c r="AH686" s="292" t="s">
        <v>18</v>
      </c>
      <c r="AI686" s="288" t="s">
        <v>18</v>
      </c>
      <c r="AJ686" s="292" t="s">
        <v>18</v>
      </c>
      <c r="AK686" s="292" t="s">
        <v>18</v>
      </c>
      <c r="AL686" s="288" t="s">
        <v>18</v>
      </c>
      <c r="AM686" s="292" t="s">
        <v>18</v>
      </c>
      <c r="AN686" s="292" t="s">
        <v>18</v>
      </c>
      <c r="AO686" s="288" t="s">
        <v>18</v>
      </c>
      <c r="AP686" s="289" t="s">
        <v>18</v>
      </c>
      <c r="AQ686" s="299" t="s">
        <v>32</v>
      </c>
      <c r="AR686" s="292" t="s">
        <v>18</v>
      </c>
      <c r="AS686" s="288" t="s">
        <v>377</v>
      </c>
      <c r="AT686" s="299" t="s">
        <v>32</v>
      </c>
      <c r="AU686" s="299" t="s">
        <v>32</v>
      </c>
      <c r="AV686" s="295" t="s">
        <v>32</v>
      </c>
      <c r="AW686" s="292" t="s">
        <v>18</v>
      </c>
      <c r="AX686" s="299" t="s">
        <v>32</v>
      </c>
      <c r="AY686" s="288" t="s">
        <v>377</v>
      </c>
      <c r="AZ686" s="299" t="s">
        <v>32</v>
      </c>
      <c r="BA686" s="299" t="s">
        <v>32</v>
      </c>
      <c r="BB686" s="295" t="s">
        <v>32</v>
      </c>
      <c r="BC686" s="296" t="s">
        <v>32</v>
      </c>
      <c r="BD686" s="287"/>
    </row>
    <row r="687" ht="12.75" customHeight="1">
      <c r="A687" s="293">
        <v>44789.78984891204</v>
      </c>
      <c r="B687" s="297" t="s">
        <v>486</v>
      </c>
      <c r="C687" s="298" t="s">
        <v>567</v>
      </c>
      <c r="D687" s="298" t="s">
        <v>16</v>
      </c>
      <c r="E687" s="285" t="s">
        <v>476</v>
      </c>
      <c r="F687" s="292" t="s">
        <v>1230</v>
      </c>
      <c r="G687" s="298" t="s">
        <v>21</v>
      </c>
      <c r="H687" s="298">
        <v>14.0</v>
      </c>
      <c r="I687" s="292" t="s">
        <v>479</v>
      </c>
      <c r="J687" s="292" t="s">
        <v>532</v>
      </c>
      <c r="K687" s="287" t="s">
        <v>532</v>
      </c>
      <c r="L687" s="292" t="s">
        <v>497</v>
      </c>
      <c r="M687" s="292" t="s">
        <v>586</v>
      </c>
      <c r="N687" s="292"/>
      <c r="O687" s="292"/>
      <c r="P687" s="292"/>
      <c r="Q687" s="299" t="s">
        <v>32</v>
      </c>
      <c r="R687" s="299" t="s">
        <v>32</v>
      </c>
      <c r="S687" s="295" t="s">
        <v>32</v>
      </c>
      <c r="T687" s="292" t="s">
        <v>18</v>
      </c>
      <c r="U687" s="292" t="s">
        <v>18</v>
      </c>
      <c r="V687" s="288" t="s">
        <v>18</v>
      </c>
      <c r="W687" s="292" t="s">
        <v>18</v>
      </c>
      <c r="X687" s="292" t="s">
        <v>18</v>
      </c>
      <c r="Y687" s="288" t="s">
        <v>18</v>
      </c>
      <c r="Z687" s="299" t="s">
        <v>32</v>
      </c>
      <c r="AA687" s="292" t="s">
        <v>18</v>
      </c>
      <c r="AB687" s="288" t="s">
        <v>377</v>
      </c>
      <c r="AC687" s="289" t="s">
        <v>377</v>
      </c>
      <c r="AD687" s="292" t="s">
        <v>18</v>
      </c>
      <c r="AE687" s="299" t="s">
        <v>32</v>
      </c>
      <c r="AF687" s="288" t="s">
        <v>377</v>
      </c>
      <c r="AG687" s="292" t="s">
        <v>18</v>
      </c>
      <c r="AH687" s="292" t="s">
        <v>18</v>
      </c>
      <c r="AI687" s="288" t="s">
        <v>18</v>
      </c>
      <c r="AJ687" s="292" t="s">
        <v>18</v>
      </c>
      <c r="AK687" s="292" t="s">
        <v>18</v>
      </c>
      <c r="AL687" s="288" t="s">
        <v>18</v>
      </c>
      <c r="AM687" s="292" t="s">
        <v>18</v>
      </c>
      <c r="AN687" s="292" t="s">
        <v>18</v>
      </c>
      <c r="AO687" s="288" t="s">
        <v>18</v>
      </c>
      <c r="AP687" s="289" t="s">
        <v>18</v>
      </c>
      <c r="AQ687" s="299" t="s">
        <v>32</v>
      </c>
      <c r="AR687" s="299" t="s">
        <v>32</v>
      </c>
      <c r="AS687" s="295" t="s">
        <v>32</v>
      </c>
      <c r="AT687" s="299" t="s">
        <v>32</v>
      </c>
      <c r="AU687" s="299" t="s">
        <v>32</v>
      </c>
      <c r="AV687" s="295" t="s">
        <v>32</v>
      </c>
      <c r="AW687" s="299" t="s">
        <v>32</v>
      </c>
      <c r="AX687" s="299" t="s">
        <v>32</v>
      </c>
      <c r="AY687" s="295" t="s">
        <v>32</v>
      </c>
      <c r="AZ687" s="299" t="s">
        <v>32</v>
      </c>
      <c r="BA687" s="299" t="s">
        <v>32</v>
      </c>
      <c r="BB687" s="295" t="s">
        <v>32</v>
      </c>
      <c r="BC687" s="296" t="s">
        <v>32</v>
      </c>
      <c r="BD687" s="287"/>
    </row>
    <row r="688" ht="12.75" customHeight="1">
      <c r="A688" s="293">
        <v>44789.79260010416</v>
      </c>
      <c r="B688" s="297" t="s">
        <v>486</v>
      </c>
      <c r="C688" s="298" t="s">
        <v>567</v>
      </c>
      <c r="D688" s="298" t="s">
        <v>16</v>
      </c>
      <c r="E688" s="285" t="s">
        <v>476</v>
      </c>
      <c r="F688" s="292" t="s">
        <v>1231</v>
      </c>
      <c r="G688" s="298" t="s">
        <v>17</v>
      </c>
      <c r="H688" s="298">
        <v>12.0</v>
      </c>
      <c r="I688" s="292" t="s">
        <v>479</v>
      </c>
      <c r="J688" s="292" t="s">
        <v>532</v>
      </c>
      <c r="K688" s="287" t="s">
        <v>532</v>
      </c>
      <c r="L688" s="292" t="s">
        <v>479</v>
      </c>
      <c r="M688" s="292" t="s">
        <v>481</v>
      </c>
      <c r="N688" s="292"/>
      <c r="O688" s="292"/>
      <c r="P688" s="292"/>
      <c r="Q688" s="299" t="s">
        <v>32</v>
      </c>
      <c r="R688" s="292" t="s">
        <v>377</v>
      </c>
      <c r="S688" s="295" t="s">
        <v>32</v>
      </c>
      <c r="T688" s="292" t="s">
        <v>18</v>
      </c>
      <c r="U688" s="292" t="s">
        <v>377</v>
      </c>
      <c r="V688" s="288" t="s">
        <v>377</v>
      </c>
      <c r="W688" s="299" t="s">
        <v>32</v>
      </c>
      <c r="X688" s="292" t="s">
        <v>377</v>
      </c>
      <c r="Y688" s="295" t="s">
        <v>32</v>
      </c>
      <c r="Z688" s="299" t="s">
        <v>32</v>
      </c>
      <c r="AA688" s="292" t="s">
        <v>377</v>
      </c>
      <c r="AB688" s="295" t="s">
        <v>32</v>
      </c>
      <c r="AC688" s="289" t="s">
        <v>377</v>
      </c>
      <c r="AD688" s="292" t="s">
        <v>18</v>
      </c>
      <c r="AE688" s="292" t="s">
        <v>377</v>
      </c>
      <c r="AF688" s="288" t="s">
        <v>377</v>
      </c>
      <c r="AG688" s="292" t="s">
        <v>18</v>
      </c>
      <c r="AH688" s="292" t="s">
        <v>18</v>
      </c>
      <c r="AI688" s="288" t="s">
        <v>18</v>
      </c>
      <c r="AJ688" s="292" t="s">
        <v>377</v>
      </c>
      <c r="AK688" s="292" t="s">
        <v>18</v>
      </c>
      <c r="AL688" s="288" t="s">
        <v>377</v>
      </c>
      <c r="AM688" s="292" t="s">
        <v>377</v>
      </c>
      <c r="AN688" s="292" t="s">
        <v>377</v>
      </c>
      <c r="AO688" s="288" t="s">
        <v>377</v>
      </c>
      <c r="AP688" s="289" t="s">
        <v>377</v>
      </c>
      <c r="AQ688" s="292" t="s">
        <v>18</v>
      </c>
      <c r="AR688" s="292" t="s">
        <v>377</v>
      </c>
      <c r="AS688" s="288" t="s">
        <v>377</v>
      </c>
      <c r="AT688" s="292" t="s">
        <v>18</v>
      </c>
      <c r="AU688" s="299" t="s">
        <v>32</v>
      </c>
      <c r="AV688" s="288" t="s">
        <v>377</v>
      </c>
      <c r="AW688" s="299" t="s">
        <v>32</v>
      </c>
      <c r="AX688" s="299" t="s">
        <v>32</v>
      </c>
      <c r="AY688" s="295" t="s">
        <v>32</v>
      </c>
      <c r="AZ688" s="299" t="s">
        <v>32</v>
      </c>
      <c r="BA688" s="292" t="s">
        <v>377</v>
      </c>
      <c r="BB688" s="295" t="s">
        <v>32</v>
      </c>
      <c r="BC688" s="289" t="s">
        <v>377</v>
      </c>
      <c r="BD688" s="287"/>
    </row>
    <row r="689" ht="12.75" customHeight="1">
      <c r="A689" s="293">
        <v>44789.79484366898</v>
      </c>
      <c r="B689" s="297" t="s">
        <v>486</v>
      </c>
      <c r="C689" s="298" t="s">
        <v>567</v>
      </c>
      <c r="D689" s="298" t="s">
        <v>16</v>
      </c>
      <c r="E689" s="285" t="s">
        <v>476</v>
      </c>
      <c r="F689" s="292" t="s">
        <v>538</v>
      </c>
      <c r="G689" s="298" t="s">
        <v>17</v>
      </c>
      <c r="H689" s="298">
        <v>11.0</v>
      </c>
      <c r="I689" s="292" t="s">
        <v>479</v>
      </c>
      <c r="J689" s="292" t="s">
        <v>532</v>
      </c>
      <c r="K689" s="287" t="s">
        <v>532</v>
      </c>
      <c r="L689" s="292" t="s">
        <v>479</v>
      </c>
      <c r="M689" s="292" t="s">
        <v>481</v>
      </c>
      <c r="N689" s="292"/>
      <c r="O689" s="292"/>
      <c r="P689" s="292"/>
      <c r="Q689" s="292" t="s">
        <v>377</v>
      </c>
      <c r="R689" s="292" t="s">
        <v>377</v>
      </c>
      <c r="S689" s="288" t="s">
        <v>377</v>
      </c>
      <c r="T689" s="299" t="s">
        <v>32</v>
      </c>
      <c r="U689" s="292" t="s">
        <v>377</v>
      </c>
      <c r="V689" s="295" t="s">
        <v>32</v>
      </c>
      <c r="W689" s="299" t="s">
        <v>32</v>
      </c>
      <c r="X689" s="292" t="s">
        <v>18</v>
      </c>
      <c r="Y689" s="288" t="s">
        <v>377</v>
      </c>
      <c r="Z689" s="292" t="s">
        <v>377</v>
      </c>
      <c r="AA689" s="292" t="s">
        <v>377</v>
      </c>
      <c r="AB689" s="288" t="s">
        <v>377</v>
      </c>
      <c r="AC689" s="289" t="s">
        <v>377</v>
      </c>
      <c r="AD689" s="292" t="s">
        <v>377</v>
      </c>
      <c r="AE689" s="292" t="s">
        <v>377</v>
      </c>
      <c r="AF689" s="288" t="s">
        <v>377</v>
      </c>
      <c r="AG689" s="299" t="s">
        <v>32</v>
      </c>
      <c r="AH689" s="292" t="s">
        <v>377</v>
      </c>
      <c r="AI689" s="295" t="s">
        <v>32</v>
      </c>
      <c r="AJ689" s="299" t="s">
        <v>32</v>
      </c>
      <c r="AK689" s="292" t="s">
        <v>377</v>
      </c>
      <c r="AL689" s="295" t="s">
        <v>32</v>
      </c>
      <c r="AM689" s="292" t="s">
        <v>377</v>
      </c>
      <c r="AN689" s="299" t="s">
        <v>32</v>
      </c>
      <c r="AO689" s="295" t="s">
        <v>32</v>
      </c>
      <c r="AP689" s="289" t="s">
        <v>377</v>
      </c>
      <c r="AQ689" s="292" t="s">
        <v>377</v>
      </c>
      <c r="AR689" s="292" t="s">
        <v>377</v>
      </c>
      <c r="AS689" s="288" t="s">
        <v>377</v>
      </c>
      <c r="AT689" s="292" t="s">
        <v>377</v>
      </c>
      <c r="AU689" s="292" t="s">
        <v>377</v>
      </c>
      <c r="AV689" s="288" t="s">
        <v>377</v>
      </c>
      <c r="AW689" s="292" t="s">
        <v>377</v>
      </c>
      <c r="AX689" s="299" t="s">
        <v>32</v>
      </c>
      <c r="AY689" s="295" t="s">
        <v>32</v>
      </c>
      <c r="AZ689" s="292" t="s">
        <v>377</v>
      </c>
      <c r="BA689" s="292" t="s">
        <v>377</v>
      </c>
      <c r="BB689" s="288" t="s">
        <v>377</v>
      </c>
      <c r="BC689" s="289" t="s">
        <v>377</v>
      </c>
      <c r="BD689" s="287"/>
    </row>
    <row r="690" ht="12.75" customHeight="1">
      <c r="A690" s="293">
        <v>44789.80961175926</v>
      </c>
      <c r="B690" s="297" t="s">
        <v>486</v>
      </c>
      <c r="C690" s="298" t="s">
        <v>567</v>
      </c>
      <c r="D690" s="298" t="s">
        <v>16</v>
      </c>
      <c r="E690" s="285" t="s">
        <v>476</v>
      </c>
      <c r="F690" s="292" t="s">
        <v>1232</v>
      </c>
      <c r="G690" s="298" t="s">
        <v>21</v>
      </c>
      <c r="H690" s="298">
        <v>11.0</v>
      </c>
      <c r="I690" s="292" t="s">
        <v>479</v>
      </c>
      <c r="J690" s="292" t="s">
        <v>532</v>
      </c>
      <c r="K690" s="287" t="s">
        <v>532</v>
      </c>
      <c r="L690" s="292" t="s">
        <v>479</v>
      </c>
      <c r="M690" s="292" t="s">
        <v>481</v>
      </c>
      <c r="N690" s="292"/>
      <c r="O690" s="292"/>
      <c r="P690" s="292"/>
      <c r="Q690" s="299" t="s">
        <v>32</v>
      </c>
      <c r="R690" s="299" t="s">
        <v>32</v>
      </c>
      <c r="S690" s="295" t="s">
        <v>32</v>
      </c>
      <c r="T690" s="299" t="s">
        <v>32</v>
      </c>
      <c r="U690" s="299" t="s">
        <v>32</v>
      </c>
      <c r="V690" s="295" t="s">
        <v>32</v>
      </c>
      <c r="W690" s="299" t="s">
        <v>32</v>
      </c>
      <c r="X690" s="299" t="s">
        <v>32</v>
      </c>
      <c r="Y690" s="295" t="s">
        <v>32</v>
      </c>
      <c r="Z690" s="292" t="s">
        <v>377</v>
      </c>
      <c r="AA690" s="292" t="s">
        <v>377</v>
      </c>
      <c r="AB690" s="288" t="s">
        <v>377</v>
      </c>
      <c r="AC690" s="296" t="s">
        <v>32</v>
      </c>
      <c r="AD690" s="299" t="s">
        <v>32</v>
      </c>
      <c r="AE690" s="299" t="s">
        <v>32</v>
      </c>
      <c r="AF690" s="295" t="s">
        <v>32</v>
      </c>
      <c r="AG690" s="292" t="s">
        <v>377</v>
      </c>
      <c r="AH690" s="292" t="s">
        <v>18</v>
      </c>
      <c r="AI690" s="288" t="s">
        <v>377</v>
      </c>
      <c r="AJ690" s="299" t="s">
        <v>32</v>
      </c>
      <c r="AK690" s="292" t="s">
        <v>18</v>
      </c>
      <c r="AL690" s="288" t="s">
        <v>377</v>
      </c>
      <c r="AM690" s="292" t="s">
        <v>18</v>
      </c>
      <c r="AN690" s="292" t="s">
        <v>18</v>
      </c>
      <c r="AO690" s="288" t="s">
        <v>18</v>
      </c>
      <c r="AP690" s="289" t="s">
        <v>377</v>
      </c>
      <c r="AQ690" s="299" t="s">
        <v>32</v>
      </c>
      <c r="AR690" s="292" t="s">
        <v>377</v>
      </c>
      <c r="AS690" s="295" t="s">
        <v>32</v>
      </c>
      <c r="AT690" s="299" t="s">
        <v>32</v>
      </c>
      <c r="AU690" s="299" t="s">
        <v>32</v>
      </c>
      <c r="AV690" s="295" t="s">
        <v>32</v>
      </c>
      <c r="AW690" s="299" t="s">
        <v>32</v>
      </c>
      <c r="AX690" s="292" t="s">
        <v>18</v>
      </c>
      <c r="AY690" s="288" t="s">
        <v>377</v>
      </c>
      <c r="AZ690" s="299" t="s">
        <v>32</v>
      </c>
      <c r="BA690" s="299" t="s">
        <v>32</v>
      </c>
      <c r="BB690" s="295" t="s">
        <v>32</v>
      </c>
      <c r="BC690" s="296" t="s">
        <v>32</v>
      </c>
      <c r="BD690" s="287"/>
    </row>
    <row r="691" ht="12.75" customHeight="1">
      <c r="A691" s="293">
        <v>44789.829672418986</v>
      </c>
      <c r="B691" s="297" t="s">
        <v>486</v>
      </c>
      <c r="C691" s="298" t="s">
        <v>567</v>
      </c>
      <c r="D691" s="298" t="s">
        <v>16</v>
      </c>
      <c r="E691" s="285" t="s">
        <v>476</v>
      </c>
      <c r="F691" s="292" t="s">
        <v>1233</v>
      </c>
      <c r="G691" s="298" t="s">
        <v>17</v>
      </c>
      <c r="H691" s="298">
        <v>11.0</v>
      </c>
      <c r="I691" s="292" t="s">
        <v>479</v>
      </c>
      <c r="J691" s="292" t="s">
        <v>532</v>
      </c>
      <c r="K691" s="287" t="s">
        <v>532</v>
      </c>
      <c r="L691" s="292" t="s">
        <v>479</v>
      </c>
      <c r="M691" s="292" t="s">
        <v>483</v>
      </c>
      <c r="N691" s="292"/>
      <c r="O691" s="292"/>
      <c r="P691" s="292"/>
      <c r="Q691" s="292" t="s">
        <v>377</v>
      </c>
      <c r="R691" s="299" t="s">
        <v>32</v>
      </c>
      <c r="S691" s="295" t="s">
        <v>32</v>
      </c>
      <c r="T691" s="292" t="s">
        <v>377</v>
      </c>
      <c r="U691" s="299" t="s">
        <v>32</v>
      </c>
      <c r="V691" s="295" t="s">
        <v>32</v>
      </c>
      <c r="W691" s="299" t="s">
        <v>32</v>
      </c>
      <c r="X691" s="292" t="s">
        <v>377</v>
      </c>
      <c r="Y691" s="295" t="s">
        <v>32</v>
      </c>
      <c r="Z691" s="292" t="s">
        <v>377</v>
      </c>
      <c r="AA691" s="292" t="s">
        <v>377</v>
      </c>
      <c r="AB691" s="288" t="s">
        <v>377</v>
      </c>
      <c r="AC691" s="289" t="s">
        <v>377</v>
      </c>
      <c r="AD691" s="292" t="s">
        <v>377</v>
      </c>
      <c r="AE691" s="292" t="s">
        <v>377</v>
      </c>
      <c r="AF691" s="288" t="s">
        <v>377</v>
      </c>
      <c r="AG691" s="292" t="s">
        <v>377</v>
      </c>
      <c r="AH691" s="292" t="s">
        <v>377</v>
      </c>
      <c r="AI691" s="288" t="s">
        <v>377</v>
      </c>
      <c r="AJ691" s="292" t="s">
        <v>377</v>
      </c>
      <c r="AK691" s="292" t="s">
        <v>377</v>
      </c>
      <c r="AL691" s="288" t="s">
        <v>377</v>
      </c>
      <c r="AM691" s="299" t="s">
        <v>32</v>
      </c>
      <c r="AN691" s="292" t="s">
        <v>377</v>
      </c>
      <c r="AO691" s="295" t="s">
        <v>32</v>
      </c>
      <c r="AP691" s="289" t="s">
        <v>377</v>
      </c>
      <c r="AQ691" s="292" t="s">
        <v>377</v>
      </c>
      <c r="AR691" s="292" t="s">
        <v>377</v>
      </c>
      <c r="AS691" s="288" t="s">
        <v>377</v>
      </c>
      <c r="AT691" s="292" t="s">
        <v>377</v>
      </c>
      <c r="AU691" s="292" t="s">
        <v>377</v>
      </c>
      <c r="AV691" s="288" t="s">
        <v>377</v>
      </c>
      <c r="AW691" s="292" t="s">
        <v>377</v>
      </c>
      <c r="AX691" s="292" t="s">
        <v>377</v>
      </c>
      <c r="AY691" s="288" t="s">
        <v>377</v>
      </c>
      <c r="AZ691" s="292" t="s">
        <v>377</v>
      </c>
      <c r="BA691" s="292" t="s">
        <v>377</v>
      </c>
      <c r="BB691" s="295" t="s">
        <v>32</v>
      </c>
      <c r="BC691" s="296" t="s">
        <v>32</v>
      </c>
      <c r="BD691" s="287"/>
    </row>
    <row r="692" ht="12.75" customHeight="1">
      <c r="A692" s="293">
        <v>44792.61889452546</v>
      </c>
      <c r="B692" s="297" t="s">
        <v>486</v>
      </c>
      <c r="C692" s="298" t="s">
        <v>567</v>
      </c>
      <c r="D692" s="298" t="s">
        <v>16</v>
      </c>
      <c r="E692" s="285" t="s">
        <v>476</v>
      </c>
      <c r="F692" s="292" t="s">
        <v>1234</v>
      </c>
      <c r="G692" s="298" t="s">
        <v>21</v>
      </c>
      <c r="H692" s="298">
        <v>12.0</v>
      </c>
      <c r="I692" s="292" t="s">
        <v>479</v>
      </c>
      <c r="J692" s="292" t="s">
        <v>532</v>
      </c>
      <c r="K692" s="287" t="s">
        <v>532</v>
      </c>
      <c r="L692" s="292" t="s">
        <v>479</v>
      </c>
      <c r="M692" s="292" t="s">
        <v>483</v>
      </c>
      <c r="N692" s="292"/>
      <c r="O692" s="292"/>
      <c r="P692" s="292"/>
      <c r="Q692" s="299" t="s">
        <v>32</v>
      </c>
      <c r="R692" s="299" t="s">
        <v>32</v>
      </c>
      <c r="S692" s="295" t="s">
        <v>32</v>
      </c>
      <c r="T692" s="299" t="s">
        <v>32</v>
      </c>
      <c r="U692" s="299" t="s">
        <v>32</v>
      </c>
      <c r="V692" s="295" t="s">
        <v>32</v>
      </c>
      <c r="W692" s="299" t="s">
        <v>32</v>
      </c>
      <c r="X692" s="292" t="s">
        <v>377</v>
      </c>
      <c r="Y692" s="295" t="s">
        <v>32</v>
      </c>
      <c r="Z692" s="299" t="s">
        <v>32</v>
      </c>
      <c r="AA692" s="292" t="s">
        <v>377</v>
      </c>
      <c r="AB692" s="295" t="s">
        <v>32</v>
      </c>
      <c r="AC692" s="296" t="s">
        <v>32</v>
      </c>
      <c r="AD692" s="292" t="s">
        <v>377</v>
      </c>
      <c r="AE692" s="299" t="s">
        <v>32</v>
      </c>
      <c r="AF692" s="295" t="s">
        <v>32</v>
      </c>
      <c r="AG692" s="292" t="s">
        <v>377</v>
      </c>
      <c r="AH692" s="292" t="s">
        <v>377</v>
      </c>
      <c r="AI692" s="288" t="s">
        <v>377</v>
      </c>
      <c r="AJ692" s="292" t="s">
        <v>377</v>
      </c>
      <c r="AK692" s="292" t="s">
        <v>377</v>
      </c>
      <c r="AL692" s="288" t="s">
        <v>377</v>
      </c>
      <c r="AM692" s="292" t="s">
        <v>377</v>
      </c>
      <c r="AN692" s="292" t="s">
        <v>377</v>
      </c>
      <c r="AO692" s="288" t="s">
        <v>377</v>
      </c>
      <c r="AP692" s="289" t="s">
        <v>377</v>
      </c>
      <c r="AQ692" s="299" t="s">
        <v>32</v>
      </c>
      <c r="AR692" s="299" t="s">
        <v>32</v>
      </c>
      <c r="AS692" s="295" t="s">
        <v>32</v>
      </c>
      <c r="AT692" s="299" t="s">
        <v>32</v>
      </c>
      <c r="AU692" s="299" t="s">
        <v>32</v>
      </c>
      <c r="AV692" s="295" t="s">
        <v>32</v>
      </c>
      <c r="AW692" s="299" t="s">
        <v>32</v>
      </c>
      <c r="AX692" s="292" t="s">
        <v>377</v>
      </c>
      <c r="AY692" s="295" t="s">
        <v>32</v>
      </c>
      <c r="AZ692" s="299" t="s">
        <v>32</v>
      </c>
      <c r="BA692" s="299" t="s">
        <v>32</v>
      </c>
      <c r="BB692" s="295" t="s">
        <v>32</v>
      </c>
      <c r="BC692" s="289" t="s">
        <v>377</v>
      </c>
      <c r="BD692" s="287"/>
    </row>
    <row r="693" ht="12.75" customHeight="1">
      <c r="A693" s="293">
        <v>45266.39430586806</v>
      </c>
      <c r="B693" s="286" t="s">
        <v>486</v>
      </c>
      <c r="C693" s="285" t="s">
        <v>559</v>
      </c>
      <c r="D693" s="285" t="s">
        <v>16</v>
      </c>
      <c r="E693" s="285" t="s">
        <v>577</v>
      </c>
      <c r="F693" s="287" t="s">
        <v>1235</v>
      </c>
      <c r="G693" s="285" t="s">
        <v>21</v>
      </c>
      <c r="H693" s="285">
        <v>16.0</v>
      </c>
      <c r="I693" s="287" t="s">
        <v>479</v>
      </c>
      <c r="J693" s="287" t="s">
        <v>532</v>
      </c>
      <c r="K693" s="287" t="s">
        <v>532</v>
      </c>
      <c r="L693" s="287" t="s">
        <v>497</v>
      </c>
      <c r="M693" s="292"/>
      <c r="N693" s="292"/>
      <c r="O693" s="285" t="s">
        <v>497</v>
      </c>
      <c r="P693" s="292"/>
      <c r="Q693" s="294" t="s">
        <v>32</v>
      </c>
      <c r="R693" s="294" t="s">
        <v>32</v>
      </c>
      <c r="S693" s="295" t="s">
        <v>32</v>
      </c>
      <c r="T693" s="287" t="s">
        <v>377</v>
      </c>
      <c r="U693" s="287" t="s">
        <v>377</v>
      </c>
      <c r="V693" s="288" t="s">
        <v>377</v>
      </c>
      <c r="W693" s="287" t="s">
        <v>18</v>
      </c>
      <c r="X693" s="287" t="s">
        <v>377</v>
      </c>
      <c r="Y693" s="288" t="s">
        <v>377</v>
      </c>
      <c r="Z693" s="294" t="s">
        <v>32</v>
      </c>
      <c r="AA693" s="287" t="s">
        <v>377</v>
      </c>
      <c r="AB693" s="295" t="s">
        <v>32</v>
      </c>
      <c r="AC693" s="289" t="s">
        <v>377</v>
      </c>
      <c r="AD693" s="287" t="s">
        <v>377</v>
      </c>
      <c r="AE693" s="287" t="s">
        <v>377</v>
      </c>
      <c r="AF693" s="288" t="s">
        <v>377</v>
      </c>
      <c r="AG693" s="294" t="s">
        <v>32</v>
      </c>
      <c r="AH693" s="294" t="s">
        <v>32</v>
      </c>
      <c r="AI693" s="295" t="s">
        <v>32</v>
      </c>
      <c r="AJ693" s="294" t="s">
        <v>32</v>
      </c>
      <c r="AK693" s="294" t="s">
        <v>32</v>
      </c>
      <c r="AL693" s="295" t="s">
        <v>32</v>
      </c>
      <c r="AM693" s="294" t="s">
        <v>32</v>
      </c>
      <c r="AN693" s="294" t="s">
        <v>32</v>
      </c>
      <c r="AO693" s="295" t="s">
        <v>32</v>
      </c>
      <c r="AP693" s="296" t="s">
        <v>32</v>
      </c>
      <c r="AQ693" s="294" t="s">
        <v>32</v>
      </c>
      <c r="AR693" s="294" t="s">
        <v>32</v>
      </c>
      <c r="AS693" s="295" t="s">
        <v>32</v>
      </c>
      <c r="AT693" s="294" t="s">
        <v>32</v>
      </c>
      <c r="AU693" s="294" t="s">
        <v>32</v>
      </c>
      <c r="AV693" s="295" t="s">
        <v>32</v>
      </c>
      <c r="AW693" s="294" t="s">
        <v>32</v>
      </c>
      <c r="AX693" s="294" t="s">
        <v>32</v>
      </c>
      <c r="AY693" s="295" t="s">
        <v>32</v>
      </c>
      <c r="AZ693" s="294" t="s">
        <v>32</v>
      </c>
      <c r="BA693" s="294" t="s">
        <v>32</v>
      </c>
      <c r="BB693" s="295" t="s">
        <v>32</v>
      </c>
      <c r="BC693" s="296" t="s">
        <v>32</v>
      </c>
      <c r="BD693" s="287"/>
    </row>
    <row r="694" ht="12.75" customHeight="1">
      <c r="A694" s="293">
        <v>45266.41026040509</v>
      </c>
      <c r="B694" s="286" t="s">
        <v>486</v>
      </c>
      <c r="C694" s="285" t="s">
        <v>559</v>
      </c>
      <c r="D694" s="285" t="s">
        <v>16</v>
      </c>
      <c r="E694" s="285" t="s">
        <v>577</v>
      </c>
      <c r="F694" s="287" t="s">
        <v>1236</v>
      </c>
      <c r="G694" s="285" t="s">
        <v>21</v>
      </c>
      <c r="H694" s="285">
        <v>15.0</v>
      </c>
      <c r="I694" s="287" t="s">
        <v>479</v>
      </c>
      <c r="J694" s="287" t="s">
        <v>532</v>
      </c>
      <c r="K694" s="287" t="s">
        <v>532</v>
      </c>
      <c r="L694" s="287" t="s">
        <v>497</v>
      </c>
      <c r="M694" s="292"/>
      <c r="N694" s="292"/>
      <c r="O694" s="285" t="s">
        <v>497</v>
      </c>
      <c r="P694" s="292"/>
      <c r="Q694" s="294" t="s">
        <v>32</v>
      </c>
      <c r="R694" s="294" t="s">
        <v>32</v>
      </c>
      <c r="S694" s="295" t="s">
        <v>32</v>
      </c>
      <c r="T694" s="287" t="s">
        <v>377</v>
      </c>
      <c r="U694" s="294" t="s">
        <v>32</v>
      </c>
      <c r="V694" s="295" t="s">
        <v>32</v>
      </c>
      <c r="W694" s="287" t="s">
        <v>377</v>
      </c>
      <c r="X694" s="294" t="s">
        <v>32</v>
      </c>
      <c r="Y694" s="295" t="s">
        <v>32</v>
      </c>
      <c r="Z694" s="294" t="s">
        <v>32</v>
      </c>
      <c r="AA694" s="294" t="s">
        <v>32</v>
      </c>
      <c r="AB694" s="295" t="s">
        <v>32</v>
      </c>
      <c r="AC694" s="296" t="s">
        <v>32</v>
      </c>
      <c r="AD694" s="287" t="s">
        <v>377</v>
      </c>
      <c r="AE694" s="294" t="s">
        <v>32</v>
      </c>
      <c r="AF694" s="295" t="s">
        <v>32</v>
      </c>
      <c r="AG694" s="287" t="s">
        <v>18</v>
      </c>
      <c r="AH694" s="287" t="s">
        <v>377</v>
      </c>
      <c r="AI694" s="288" t="s">
        <v>377</v>
      </c>
      <c r="AJ694" s="294" t="s">
        <v>32</v>
      </c>
      <c r="AK694" s="287" t="s">
        <v>18</v>
      </c>
      <c r="AL694" s="288" t="s">
        <v>377</v>
      </c>
      <c r="AM694" s="287" t="s">
        <v>18</v>
      </c>
      <c r="AN694" s="287" t="s">
        <v>18</v>
      </c>
      <c r="AO694" s="288" t="s">
        <v>18</v>
      </c>
      <c r="AP694" s="289" t="s">
        <v>377</v>
      </c>
      <c r="AQ694" s="294" t="s">
        <v>32</v>
      </c>
      <c r="AR694" s="294" t="s">
        <v>32</v>
      </c>
      <c r="AS694" s="295" t="s">
        <v>32</v>
      </c>
      <c r="AT694" s="294" t="s">
        <v>32</v>
      </c>
      <c r="AU694" s="294" t="s">
        <v>32</v>
      </c>
      <c r="AV694" s="295" t="s">
        <v>32</v>
      </c>
      <c r="AW694" s="287" t="s">
        <v>377</v>
      </c>
      <c r="AX694" s="287" t="s">
        <v>18</v>
      </c>
      <c r="AY694" s="288" t="s">
        <v>377</v>
      </c>
      <c r="AZ694" s="294" t="s">
        <v>32</v>
      </c>
      <c r="BA694" s="294" t="s">
        <v>32</v>
      </c>
      <c r="BB694" s="295" t="s">
        <v>32</v>
      </c>
      <c r="BC694" s="289" t="s">
        <v>377</v>
      </c>
      <c r="BD694" s="287"/>
    </row>
    <row r="695" ht="12.75" customHeight="1">
      <c r="A695" s="293">
        <v>45266.41571061342</v>
      </c>
      <c r="B695" s="286" t="s">
        <v>486</v>
      </c>
      <c r="C695" s="285" t="s">
        <v>559</v>
      </c>
      <c r="D695" s="285" t="s">
        <v>16</v>
      </c>
      <c r="E695" s="285" t="s">
        <v>577</v>
      </c>
      <c r="F695" s="287" t="s">
        <v>1237</v>
      </c>
      <c r="G695" s="285" t="s">
        <v>21</v>
      </c>
      <c r="H695" s="285">
        <v>16.0</v>
      </c>
      <c r="I695" s="287" t="s">
        <v>479</v>
      </c>
      <c r="J695" s="287" t="s">
        <v>532</v>
      </c>
      <c r="K695" s="287" t="s">
        <v>532</v>
      </c>
      <c r="L695" s="287" t="s">
        <v>497</v>
      </c>
      <c r="M695" s="292"/>
      <c r="N695" s="292"/>
      <c r="O695" s="285" t="s">
        <v>497</v>
      </c>
      <c r="P695" s="292"/>
      <c r="Q695" s="287" t="s">
        <v>377</v>
      </c>
      <c r="R695" s="287" t="s">
        <v>377</v>
      </c>
      <c r="S695" s="288" t="s">
        <v>377</v>
      </c>
      <c r="T695" s="287" t="s">
        <v>377</v>
      </c>
      <c r="U695" s="294" t="s">
        <v>32</v>
      </c>
      <c r="V695" s="295" t="s">
        <v>32</v>
      </c>
      <c r="W695" s="287" t="s">
        <v>377</v>
      </c>
      <c r="X695" s="294" t="s">
        <v>32</v>
      </c>
      <c r="Y695" s="295" t="s">
        <v>32</v>
      </c>
      <c r="Z695" s="294" t="s">
        <v>32</v>
      </c>
      <c r="AA695" s="294" t="s">
        <v>32</v>
      </c>
      <c r="AB695" s="295" t="s">
        <v>32</v>
      </c>
      <c r="AC695" s="296" t="s">
        <v>32</v>
      </c>
      <c r="AD695" s="287" t="s">
        <v>377</v>
      </c>
      <c r="AE695" s="287" t="s">
        <v>377</v>
      </c>
      <c r="AF695" s="288" t="s">
        <v>377</v>
      </c>
      <c r="AG695" s="287" t="s">
        <v>18</v>
      </c>
      <c r="AH695" s="287" t="s">
        <v>377</v>
      </c>
      <c r="AI695" s="288" t="s">
        <v>377</v>
      </c>
      <c r="AJ695" s="287" t="s">
        <v>377</v>
      </c>
      <c r="AK695" s="287" t="s">
        <v>18</v>
      </c>
      <c r="AL695" s="288" t="s">
        <v>377</v>
      </c>
      <c r="AM695" s="287" t="s">
        <v>18</v>
      </c>
      <c r="AN695" s="287" t="s">
        <v>18</v>
      </c>
      <c r="AO695" s="288" t="s">
        <v>18</v>
      </c>
      <c r="AP695" s="289" t="s">
        <v>377</v>
      </c>
      <c r="AQ695" s="294" t="s">
        <v>32</v>
      </c>
      <c r="AR695" s="294" t="s">
        <v>32</v>
      </c>
      <c r="AS695" s="295" t="s">
        <v>32</v>
      </c>
      <c r="AT695" s="294" t="s">
        <v>32</v>
      </c>
      <c r="AU695" s="294" t="s">
        <v>32</v>
      </c>
      <c r="AV695" s="295" t="s">
        <v>32</v>
      </c>
      <c r="AW695" s="287" t="s">
        <v>377</v>
      </c>
      <c r="AX695" s="287" t="s">
        <v>377</v>
      </c>
      <c r="AY695" s="288" t="s">
        <v>377</v>
      </c>
      <c r="AZ695" s="294" t="s">
        <v>32</v>
      </c>
      <c r="BA695" s="294" t="s">
        <v>32</v>
      </c>
      <c r="BB695" s="295" t="s">
        <v>32</v>
      </c>
      <c r="BC695" s="296" t="s">
        <v>32</v>
      </c>
      <c r="BD695" s="287"/>
    </row>
    <row r="696" ht="12.75" customHeight="1">
      <c r="A696" s="293">
        <v>45266.420018599536</v>
      </c>
      <c r="B696" s="286" t="s">
        <v>486</v>
      </c>
      <c r="C696" s="285" t="s">
        <v>559</v>
      </c>
      <c r="D696" s="285" t="s">
        <v>16</v>
      </c>
      <c r="E696" s="285" t="s">
        <v>577</v>
      </c>
      <c r="F696" s="287" t="s">
        <v>1238</v>
      </c>
      <c r="G696" s="285" t="s">
        <v>21</v>
      </c>
      <c r="H696" s="285">
        <v>17.0</v>
      </c>
      <c r="I696" s="287" t="s">
        <v>479</v>
      </c>
      <c r="J696" s="287" t="s">
        <v>532</v>
      </c>
      <c r="K696" s="287" t="s">
        <v>532</v>
      </c>
      <c r="L696" s="287" t="s">
        <v>497</v>
      </c>
      <c r="M696" s="292"/>
      <c r="N696" s="292"/>
      <c r="O696" s="285" t="s">
        <v>497</v>
      </c>
      <c r="P696" s="292"/>
      <c r="Q696" s="294" t="s">
        <v>32</v>
      </c>
      <c r="R696" s="287" t="s">
        <v>377</v>
      </c>
      <c r="S696" s="295" t="s">
        <v>32</v>
      </c>
      <c r="T696" s="287" t="s">
        <v>377</v>
      </c>
      <c r="U696" s="294" t="s">
        <v>32</v>
      </c>
      <c r="V696" s="295" t="s">
        <v>32</v>
      </c>
      <c r="W696" s="287" t="s">
        <v>18</v>
      </c>
      <c r="X696" s="287" t="s">
        <v>377</v>
      </c>
      <c r="Y696" s="288" t="s">
        <v>377</v>
      </c>
      <c r="Z696" s="294" t="s">
        <v>32</v>
      </c>
      <c r="AA696" s="294" t="s">
        <v>32</v>
      </c>
      <c r="AB696" s="295" t="s">
        <v>32</v>
      </c>
      <c r="AC696" s="289" t="s">
        <v>377</v>
      </c>
      <c r="AD696" s="287" t="s">
        <v>377</v>
      </c>
      <c r="AE696" s="287" t="s">
        <v>377</v>
      </c>
      <c r="AF696" s="288" t="s">
        <v>377</v>
      </c>
      <c r="AG696" s="287" t="s">
        <v>377</v>
      </c>
      <c r="AH696" s="287" t="s">
        <v>377</v>
      </c>
      <c r="AI696" s="288" t="s">
        <v>377</v>
      </c>
      <c r="AJ696" s="294" t="s">
        <v>32</v>
      </c>
      <c r="AK696" s="294" t="s">
        <v>32</v>
      </c>
      <c r="AL696" s="295" t="s">
        <v>32</v>
      </c>
      <c r="AM696" s="287" t="s">
        <v>377</v>
      </c>
      <c r="AN696" s="287" t="s">
        <v>377</v>
      </c>
      <c r="AO696" s="288" t="s">
        <v>377</v>
      </c>
      <c r="AP696" s="289" t="s">
        <v>377</v>
      </c>
      <c r="AQ696" s="294" t="s">
        <v>32</v>
      </c>
      <c r="AR696" s="294" t="s">
        <v>32</v>
      </c>
      <c r="AS696" s="295" t="s">
        <v>32</v>
      </c>
      <c r="AT696" s="294" t="s">
        <v>32</v>
      </c>
      <c r="AU696" s="294" t="s">
        <v>32</v>
      </c>
      <c r="AV696" s="295" t="s">
        <v>32</v>
      </c>
      <c r="AW696" s="294" t="s">
        <v>32</v>
      </c>
      <c r="AX696" s="294" t="s">
        <v>32</v>
      </c>
      <c r="AY696" s="295" t="s">
        <v>32</v>
      </c>
      <c r="AZ696" s="294" t="s">
        <v>32</v>
      </c>
      <c r="BA696" s="294" t="s">
        <v>32</v>
      </c>
      <c r="BB696" s="288" t="s">
        <v>377</v>
      </c>
      <c r="BC696" s="289" t="s">
        <v>377</v>
      </c>
      <c r="BD696" s="287"/>
    </row>
    <row r="697" ht="12.75" customHeight="1">
      <c r="A697" s="293">
        <v>45266.43292561342</v>
      </c>
      <c r="B697" s="286" t="s">
        <v>486</v>
      </c>
      <c r="C697" s="285" t="s">
        <v>559</v>
      </c>
      <c r="D697" s="285" t="s">
        <v>16</v>
      </c>
      <c r="E697" s="285" t="s">
        <v>577</v>
      </c>
      <c r="F697" s="287" t="s">
        <v>1239</v>
      </c>
      <c r="G697" s="285" t="s">
        <v>17</v>
      </c>
      <c r="H697" s="285">
        <v>17.0</v>
      </c>
      <c r="I697" s="287" t="s">
        <v>479</v>
      </c>
      <c r="J697" s="287" t="s">
        <v>532</v>
      </c>
      <c r="K697" s="287" t="s">
        <v>532</v>
      </c>
      <c r="L697" s="287" t="s">
        <v>497</v>
      </c>
      <c r="M697" s="292"/>
      <c r="N697" s="292"/>
      <c r="O697" s="285" t="s">
        <v>497</v>
      </c>
      <c r="P697" s="292"/>
      <c r="Q697" s="294" t="s">
        <v>32</v>
      </c>
      <c r="R697" s="294" t="s">
        <v>32</v>
      </c>
      <c r="S697" s="295" t="s">
        <v>32</v>
      </c>
      <c r="T697" s="287" t="s">
        <v>377</v>
      </c>
      <c r="U697" s="294" t="s">
        <v>32</v>
      </c>
      <c r="V697" s="295" t="s">
        <v>32</v>
      </c>
      <c r="W697" s="287" t="s">
        <v>377</v>
      </c>
      <c r="X697" s="294" t="s">
        <v>32</v>
      </c>
      <c r="Y697" s="295" t="s">
        <v>32</v>
      </c>
      <c r="Z697" s="294" t="s">
        <v>32</v>
      </c>
      <c r="AA697" s="287" t="s">
        <v>377</v>
      </c>
      <c r="AB697" s="295" t="s">
        <v>32</v>
      </c>
      <c r="AC697" s="296" t="s">
        <v>32</v>
      </c>
      <c r="AD697" s="287" t="s">
        <v>377</v>
      </c>
      <c r="AE697" s="294" t="s">
        <v>32</v>
      </c>
      <c r="AF697" s="295" t="s">
        <v>32</v>
      </c>
      <c r="AG697" s="287" t="s">
        <v>377</v>
      </c>
      <c r="AH697" s="294" t="s">
        <v>32</v>
      </c>
      <c r="AI697" s="295" t="s">
        <v>32</v>
      </c>
      <c r="AJ697" s="294" t="s">
        <v>32</v>
      </c>
      <c r="AK697" s="287" t="s">
        <v>377</v>
      </c>
      <c r="AL697" s="295" t="s">
        <v>32</v>
      </c>
      <c r="AM697" s="287" t="s">
        <v>377</v>
      </c>
      <c r="AN697" s="287" t="s">
        <v>377</v>
      </c>
      <c r="AO697" s="288" t="s">
        <v>377</v>
      </c>
      <c r="AP697" s="289" t="s">
        <v>377</v>
      </c>
      <c r="AQ697" s="294" t="s">
        <v>32</v>
      </c>
      <c r="AR697" s="294" t="s">
        <v>32</v>
      </c>
      <c r="AS697" s="295" t="s">
        <v>32</v>
      </c>
      <c r="AT697" s="294" t="s">
        <v>32</v>
      </c>
      <c r="AU697" s="294" t="s">
        <v>32</v>
      </c>
      <c r="AV697" s="295" t="s">
        <v>32</v>
      </c>
      <c r="AW697" s="287" t="s">
        <v>377</v>
      </c>
      <c r="AX697" s="294" t="s">
        <v>32</v>
      </c>
      <c r="AY697" s="295" t="s">
        <v>32</v>
      </c>
      <c r="AZ697" s="294" t="s">
        <v>32</v>
      </c>
      <c r="BA697" s="294" t="s">
        <v>32</v>
      </c>
      <c r="BB697" s="295" t="s">
        <v>32</v>
      </c>
      <c r="BC697" s="296" t="s">
        <v>32</v>
      </c>
      <c r="BD697" s="287"/>
    </row>
    <row r="698" ht="12.75" customHeight="1">
      <c r="A698" s="293">
        <v>45266.43786773148</v>
      </c>
      <c r="B698" s="286" t="s">
        <v>486</v>
      </c>
      <c r="C698" s="285" t="s">
        <v>559</v>
      </c>
      <c r="D698" s="285" t="s">
        <v>16</v>
      </c>
      <c r="E698" s="285" t="s">
        <v>577</v>
      </c>
      <c r="F698" s="287" t="s">
        <v>1240</v>
      </c>
      <c r="G698" s="285" t="s">
        <v>17</v>
      </c>
      <c r="H698" s="285">
        <v>16.0</v>
      </c>
      <c r="I698" s="287" t="s">
        <v>479</v>
      </c>
      <c r="J698" s="287" t="s">
        <v>532</v>
      </c>
      <c r="K698" s="287" t="s">
        <v>532</v>
      </c>
      <c r="L698" s="287" t="s">
        <v>497</v>
      </c>
      <c r="M698" s="292"/>
      <c r="N698" s="292"/>
      <c r="O698" s="285" t="s">
        <v>497</v>
      </c>
      <c r="P698" s="292"/>
      <c r="Q698" s="287" t="s">
        <v>377</v>
      </c>
      <c r="R698" s="287" t="s">
        <v>377</v>
      </c>
      <c r="S698" s="288" t="s">
        <v>377</v>
      </c>
      <c r="T698" s="287" t="s">
        <v>377</v>
      </c>
      <c r="U698" s="294" t="s">
        <v>32</v>
      </c>
      <c r="V698" s="295" t="s">
        <v>32</v>
      </c>
      <c r="W698" s="287" t="s">
        <v>377</v>
      </c>
      <c r="X698" s="294" t="s">
        <v>32</v>
      </c>
      <c r="Y698" s="295" t="s">
        <v>32</v>
      </c>
      <c r="Z698" s="294" t="s">
        <v>32</v>
      </c>
      <c r="AA698" s="287" t="s">
        <v>377</v>
      </c>
      <c r="AB698" s="295" t="s">
        <v>32</v>
      </c>
      <c r="AC698" s="289" t="s">
        <v>377</v>
      </c>
      <c r="AD698" s="287" t="s">
        <v>18</v>
      </c>
      <c r="AE698" s="287" t="s">
        <v>18</v>
      </c>
      <c r="AF698" s="288" t="s">
        <v>18</v>
      </c>
      <c r="AG698" s="287" t="s">
        <v>18</v>
      </c>
      <c r="AH698" s="287" t="s">
        <v>18</v>
      </c>
      <c r="AI698" s="288" t="s">
        <v>18</v>
      </c>
      <c r="AJ698" s="294" t="s">
        <v>32</v>
      </c>
      <c r="AK698" s="287" t="s">
        <v>18</v>
      </c>
      <c r="AL698" s="288" t="s">
        <v>377</v>
      </c>
      <c r="AM698" s="287" t="s">
        <v>18</v>
      </c>
      <c r="AN698" s="287" t="s">
        <v>18</v>
      </c>
      <c r="AO698" s="288" t="s">
        <v>18</v>
      </c>
      <c r="AP698" s="289" t="s">
        <v>18</v>
      </c>
      <c r="AQ698" s="294" t="s">
        <v>32</v>
      </c>
      <c r="AR698" s="294" t="s">
        <v>32</v>
      </c>
      <c r="AS698" s="295" t="s">
        <v>32</v>
      </c>
      <c r="AT698" s="294" t="s">
        <v>32</v>
      </c>
      <c r="AU698" s="294" t="s">
        <v>32</v>
      </c>
      <c r="AV698" s="295" t="s">
        <v>32</v>
      </c>
      <c r="AW698" s="287" t="s">
        <v>18</v>
      </c>
      <c r="AX698" s="287" t="s">
        <v>377</v>
      </c>
      <c r="AY698" s="288" t="s">
        <v>377</v>
      </c>
      <c r="AZ698" s="294" t="s">
        <v>32</v>
      </c>
      <c r="BA698" s="294" t="s">
        <v>32</v>
      </c>
      <c r="BB698" s="295" t="s">
        <v>32</v>
      </c>
      <c r="BC698" s="296" t="s">
        <v>32</v>
      </c>
      <c r="BD698" s="287"/>
    </row>
    <row r="699" ht="12.75" customHeight="1">
      <c r="A699" s="293">
        <v>45266.4402837963</v>
      </c>
      <c r="B699" s="286" t="s">
        <v>486</v>
      </c>
      <c r="C699" s="285" t="s">
        <v>559</v>
      </c>
      <c r="D699" s="285" t="s">
        <v>16</v>
      </c>
      <c r="E699" s="285" t="s">
        <v>577</v>
      </c>
      <c r="F699" s="287" t="s">
        <v>1241</v>
      </c>
      <c r="G699" s="285" t="s">
        <v>17</v>
      </c>
      <c r="H699" s="285">
        <v>16.0</v>
      </c>
      <c r="I699" s="287" t="s">
        <v>479</v>
      </c>
      <c r="J699" s="287" t="s">
        <v>532</v>
      </c>
      <c r="K699" s="287" t="s">
        <v>532</v>
      </c>
      <c r="L699" s="287" t="s">
        <v>497</v>
      </c>
      <c r="M699" s="292"/>
      <c r="N699" s="292"/>
      <c r="O699" s="285" t="s">
        <v>497</v>
      </c>
      <c r="P699" s="292"/>
      <c r="Q699" s="294" t="s">
        <v>32</v>
      </c>
      <c r="R699" s="287" t="s">
        <v>18</v>
      </c>
      <c r="S699" s="288" t="s">
        <v>377</v>
      </c>
      <c r="T699" s="287" t="s">
        <v>18</v>
      </c>
      <c r="U699" s="287" t="s">
        <v>18</v>
      </c>
      <c r="V699" s="288" t="s">
        <v>18</v>
      </c>
      <c r="W699" s="287" t="s">
        <v>18</v>
      </c>
      <c r="X699" s="287" t="s">
        <v>18</v>
      </c>
      <c r="Y699" s="288" t="s">
        <v>18</v>
      </c>
      <c r="Z699" s="294" t="s">
        <v>32</v>
      </c>
      <c r="AA699" s="287" t="s">
        <v>18</v>
      </c>
      <c r="AB699" s="288" t="s">
        <v>377</v>
      </c>
      <c r="AC699" s="289" t="s">
        <v>377</v>
      </c>
      <c r="AD699" s="287" t="s">
        <v>377</v>
      </c>
      <c r="AE699" s="294" t="s">
        <v>32</v>
      </c>
      <c r="AF699" s="295" t="s">
        <v>32</v>
      </c>
      <c r="AG699" s="287" t="s">
        <v>377</v>
      </c>
      <c r="AH699" s="287" t="s">
        <v>377</v>
      </c>
      <c r="AI699" s="288" t="s">
        <v>377</v>
      </c>
      <c r="AJ699" s="287" t="s">
        <v>377</v>
      </c>
      <c r="AK699" s="287" t="s">
        <v>377</v>
      </c>
      <c r="AL699" s="288" t="s">
        <v>377</v>
      </c>
      <c r="AM699" s="287" t="s">
        <v>18</v>
      </c>
      <c r="AN699" s="287" t="s">
        <v>18</v>
      </c>
      <c r="AO699" s="288" t="s">
        <v>18</v>
      </c>
      <c r="AP699" s="289" t="s">
        <v>377</v>
      </c>
      <c r="AQ699" s="294" t="s">
        <v>32</v>
      </c>
      <c r="AR699" s="294" t="s">
        <v>32</v>
      </c>
      <c r="AS699" s="295" t="s">
        <v>32</v>
      </c>
      <c r="AT699" s="294" t="s">
        <v>32</v>
      </c>
      <c r="AU699" s="294" t="s">
        <v>32</v>
      </c>
      <c r="AV699" s="295" t="s">
        <v>32</v>
      </c>
      <c r="AW699" s="294" t="s">
        <v>32</v>
      </c>
      <c r="AX699" s="287" t="s">
        <v>377</v>
      </c>
      <c r="AY699" s="295" t="s">
        <v>32</v>
      </c>
      <c r="AZ699" s="294" t="s">
        <v>32</v>
      </c>
      <c r="BA699" s="294" t="s">
        <v>32</v>
      </c>
      <c r="BB699" s="288" t="s">
        <v>377</v>
      </c>
      <c r="BC699" s="296" t="s">
        <v>32</v>
      </c>
      <c r="BD699" s="287"/>
    </row>
    <row r="700" ht="12.75" customHeight="1">
      <c r="A700" s="293">
        <v>45266.44266288195</v>
      </c>
      <c r="B700" s="286" t="s">
        <v>486</v>
      </c>
      <c r="C700" s="285" t="s">
        <v>559</v>
      </c>
      <c r="D700" s="285" t="s">
        <v>16</v>
      </c>
      <c r="E700" s="285" t="s">
        <v>577</v>
      </c>
      <c r="F700" s="287" t="s">
        <v>1242</v>
      </c>
      <c r="G700" s="285" t="s">
        <v>21</v>
      </c>
      <c r="H700" s="285">
        <v>15.0</v>
      </c>
      <c r="I700" s="287" t="s">
        <v>479</v>
      </c>
      <c r="J700" s="287" t="s">
        <v>532</v>
      </c>
      <c r="K700" s="287" t="s">
        <v>532</v>
      </c>
      <c r="L700" s="287" t="s">
        <v>497</v>
      </c>
      <c r="M700" s="292"/>
      <c r="N700" s="292"/>
      <c r="O700" s="285" t="s">
        <v>497</v>
      </c>
      <c r="P700" s="292"/>
      <c r="Q700" s="294" t="s">
        <v>32</v>
      </c>
      <c r="R700" s="287" t="s">
        <v>377</v>
      </c>
      <c r="S700" s="295" t="s">
        <v>32</v>
      </c>
      <c r="T700" s="287" t="s">
        <v>377</v>
      </c>
      <c r="U700" s="294" t="s">
        <v>32</v>
      </c>
      <c r="V700" s="295" t="s">
        <v>32</v>
      </c>
      <c r="W700" s="287" t="s">
        <v>377</v>
      </c>
      <c r="X700" s="294" t="s">
        <v>32</v>
      </c>
      <c r="Y700" s="295" t="s">
        <v>32</v>
      </c>
      <c r="Z700" s="294" t="s">
        <v>32</v>
      </c>
      <c r="AA700" s="294" t="s">
        <v>32</v>
      </c>
      <c r="AB700" s="295" t="s">
        <v>32</v>
      </c>
      <c r="AC700" s="296" t="s">
        <v>32</v>
      </c>
      <c r="AD700" s="294" t="s">
        <v>32</v>
      </c>
      <c r="AE700" s="287" t="s">
        <v>377</v>
      </c>
      <c r="AF700" s="295" t="s">
        <v>32</v>
      </c>
      <c r="AG700" s="287" t="s">
        <v>377</v>
      </c>
      <c r="AH700" s="294" t="s">
        <v>32</v>
      </c>
      <c r="AI700" s="295" t="s">
        <v>32</v>
      </c>
      <c r="AJ700" s="294" t="s">
        <v>32</v>
      </c>
      <c r="AK700" s="287" t="s">
        <v>377</v>
      </c>
      <c r="AL700" s="295" t="s">
        <v>32</v>
      </c>
      <c r="AM700" s="287" t="s">
        <v>377</v>
      </c>
      <c r="AN700" s="287" t="s">
        <v>377</v>
      </c>
      <c r="AO700" s="288" t="s">
        <v>377</v>
      </c>
      <c r="AP700" s="289" t="s">
        <v>377</v>
      </c>
      <c r="AQ700" s="294" t="s">
        <v>32</v>
      </c>
      <c r="AR700" s="287" t="s">
        <v>377</v>
      </c>
      <c r="AS700" s="295" t="s">
        <v>32</v>
      </c>
      <c r="AT700" s="294" t="s">
        <v>32</v>
      </c>
      <c r="AU700" s="294" t="s">
        <v>32</v>
      </c>
      <c r="AV700" s="295" t="s">
        <v>32</v>
      </c>
      <c r="AW700" s="287" t="s">
        <v>18</v>
      </c>
      <c r="AX700" s="287" t="s">
        <v>377</v>
      </c>
      <c r="AY700" s="288" t="s">
        <v>377</v>
      </c>
      <c r="AZ700" s="294" t="s">
        <v>32</v>
      </c>
      <c r="BA700" s="287" t="s">
        <v>377</v>
      </c>
      <c r="BB700" s="288" t="s">
        <v>377</v>
      </c>
      <c r="BC700" s="289" t="s">
        <v>377</v>
      </c>
      <c r="BD700" s="287"/>
    </row>
    <row r="701" ht="12.75" customHeight="1">
      <c r="A701" s="293">
        <v>45266.45283686343</v>
      </c>
      <c r="B701" s="286" t="s">
        <v>486</v>
      </c>
      <c r="C701" s="285" t="s">
        <v>559</v>
      </c>
      <c r="D701" s="285" t="s">
        <v>16</v>
      </c>
      <c r="E701" s="285" t="s">
        <v>577</v>
      </c>
      <c r="F701" s="287" t="s">
        <v>1243</v>
      </c>
      <c r="G701" s="285" t="s">
        <v>17</v>
      </c>
      <c r="H701" s="285">
        <v>15.0</v>
      </c>
      <c r="I701" s="287" t="s">
        <v>479</v>
      </c>
      <c r="J701" s="287" t="s">
        <v>532</v>
      </c>
      <c r="K701" s="287" t="s">
        <v>532</v>
      </c>
      <c r="L701" s="287" t="s">
        <v>497</v>
      </c>
      <c r="M701" s="292"/>
      <c r="N701" s="292"/>
      <c r="O701" s="285" t="s">
        <v>497</v>
      </c>
      <c r="P701" s="292"/>
      <c r="Q701" s="294" t="s">
        <v>32</v>
      </c>
      <c r="R701" s="294" t="s">
        <v>32</v>
      </c>
      <c r="S701" s="295" t="s">
        <v>32</v>
      </c>
      <c r="T701" s="287" t="s">
        <v>377</v>
      </c>
      <c r="U701" s="294" t="s">
        <v>32</v>
      </c>
      <c r="V701" s="295" t="s">
        <v>32</v>
      </c>
      <c r="W701" s="294" t="s">
        <v>32</v>
      </c>
      <c r="X701" s="294" t="s">
        <v>32</v>
      </c>
      <c r="Y701" s="295" t="s">
        <v>32</v>
      </c>
      <c r="Z701" s="294" t="s">
        <v>32</v>
      </c>
      <c r="AA701" s="294" t="s">
        <v>32</v>
      </c>
      <c r="AB701" s="295" t="s">
        <v>32</v>
      </c>
      <c r="AC701" s="296" t="s">
        <v>32</v>
      </c>
      <c r="AD701" s="287" t="s">
        <v>377</v>
      </c>
      <c r="AE701" s="287" t="s">
        <v>377</v>
      </c>
      <c r="AF701" s="288" t="s">
        <v>377</v>
      </c>
      <c r="AG701" s="287" t="s">
        <v>18</v>
      </c>
      <c r="AH701" s="294" t="s">
        <v>32</v>
      </c>
      <c r="AI701" s="288" t="s">
        <v>377</v>
      </c>
      <c r="AJ701" s="294" t="s">
        <v>32</v>
      </c>
      <c r="AK701" s="287" t="s">
        <v>18</v>
      </c>
      <c r="AL701" s="288" t="s">
        <v>377</v>
      </c>
      <c r="AM701" s="287" t="s">
        <v>377</v>
      </c>
      <c r="AN701" s="287" t="s">
        <v>18</v>
      </c>
      <c r="AO701" s="288" t="s">
        <v>377</v>
      </c>
      <c r="AP701" s="289" t="s">
        <v>377</v>
      </c>
      <c r="AQ701" s="294" t="s">
        <v>32</v>
      </c>
      <c r="AR701" s="294" t="s">
        <v>32</v>
      </c>
      <c r="AS701" s="295" t="s">
        <v>32</v>
      </c>
      <c r="AT701" s="294" t="s">
        <v>32</v>
      </c>
      <c r="AU701" s="294" t="s">
        <v>32</v>
      </c>
      <c r="AV701" s="295" t="s">
        <v>32</v>
      </c>
      <c r="AW701" s="294" t="s">
        <v>32</v>
      </c>
      <c r="AX701" s="294" t="s">
        <v>32</v>
      </c>
      <c r="AY701" s="295" t="s">
        <v>32</v>
      </c>
      <c r="AZ701" s="287" t="s">
        <v>377</v>
      </c>
      <c r="BA701" s="294" t="s">
        <v>32</v>
      </c>
      <c r="BB701" s="288" t="s">
        <v>377</v>
      </c>
      <c r="BC701" s="289" t="s">
        <v>377</v>
      </c>
      <c r="BD701" s="287"/>
    </row>
    <row r="702" ht="12.75" customHeight="1">
      <c r="A702" s="293">
        <v>45266.45506518519</v>
      </c>
      <c r="B702" s="286" t="s">
        <v>486</v>
      </c>
      <c r="C702" s="285" t="s">
        <v>559</v>
      </c>
      <c r="D702" s="285" t="s">
        <v>16</v>
      </c>
      <c r="E702" s="285" t="s">
        <v>577</v>
      </c>
      <c r="F702" s="287" t="s">
        <v>1244</v>
      </c>
      <c r="G702" s="285" t="s">
        <v>21</v>
      </c>
      <c r="H702" s="285">
        <v>17.0</v>
      </c>
      <c r="I702" s="287" t="s">
        <v>479</v>
      </c>
      <c r="J702" s="287" t="s">
        <v>532</v>
      </c>
      <c r="K702" s="287" t="s">
        <v>532</v>
      </c>
      <c r="L702" s="287" t="s">
        <v>497</v>
      </c>
      <c r="M702" s="292"/>
      <c r="N702" s="292"/>
      <c r="O702" s="285" t="s">
        <v>497</v>
      </c>
      <c r="P702" s="292"/>
      <c r="Q702" s="294" t="s">
        <v>32</v>
      </c>
      <c r="R702" s="287" t="s">
        <v>377</v>
      </c>
      <c r="S702" s="295" t="s">
        <v>32</v>
      </c>
      <c r="T702" s="287" t="s">
        <v>377</v>
      </c>
      <c r="U702" s="294" t="s">
        <v>32</v>
      </c>
      <c r="V702" s="295" t="s">
        <v>32</v>
      </c>
      <c r="W702" s="287" t="s">
        <v>377</v>
      </c>
      <c r="X702" s="294" t="s">
        <v>32</v>
      </c>
      <c r="Y702" s="295" t="s">
        <v>32</v>
      </c>
      <c r="Z702" s="287" t="s">
        <v>377</v>
      </c>
      <c r="AA702" s="287" t="s">
        <v>18</v>
      </c>
      <c r="AB702" s="288" t="s">
        <v>377</v>
      </c>
      <c r="AC702" s="289" t="s">
        <v>377</v>
      </c>
      <c r="AD702" s="287" t="s">
        <v>377</v>
      </c>
      <c r="AE702" s="287" t="s">
        <v>18</v>
      </c>
      <c r="AF702" s="288" t="s">
        <v>377</v>
      </c>
      <c r="AG702" s="287" t="s">
        <v>377</v>
      </c>
      <c r="AH702" s="294" t="s">
        <v>32</v>
      </c>
      <c r="AI702" s="295" t="s">
        <v>32</v>
      </c>
      <c r="AJ702" s="294" t="s">
        <v>32</v>
      </c>
      <c r="AK702" s="294" t="s">
        <v>32</v>
      </c>
      <c r="AL702" s="295" t="s">
        <v>32</v>
      </c>
      <c r="AM702" s="287" t="s">
        <v>377</v>
      </c>
      <c r="AN702" s="287" t="s">
        <v>377</v>
      </c>
      <c r="AO702" s="288" t="s">
        <v>377</v>
      </c>
      <c r="AP702" s="289" t="s">
        <v>377</v>
      </c>
      <c r="AQ702" s="294" t="s">
        <v>32</v>
      </c>
      <c r="AR702" s="294" t="s">
        <v>32</v>
      </c>
      <c r="AS702" s="295" t="s">
        <v>32</v>
      </c>
      <c r="AT702" s="294" t="s">
        <v>32</v>
      </c>
      <c r="AU702" s="294" t="s">
        <v>32</v>
      </c>
      <c r="AV702" s="295" t="s">
        <v>32</v>
      </c>
      <c r="AW702" s="287" t="s">
        <v>377</v>
      </c>
      <c r="AX702" s="294" t="s">
        <v>32</v>
      </c>
      <c r="AY702" s="295" t="s">
        <v>32</v>
      </c>
      <c r="AZ702" s="294" t="s">
        <v>32</v>
      </c>
      <c r="BA702" s="294" t="s">
        <v>32</v>
      </c>
      <c r="BB702" s="295" t="s">
        <v>32</v>
      </c>
      <c r="BC702" s="296" t="s">
        <v>32</v>
      </c>
      <c r="BD702" s="287"/>
    </row>
    <row r="703" ht="12.75" customHeight="1">
      <c r="A703" s="293">
        <v>45266.45962581018</v>
      </c>
      <c r="B703" s="286" t="s">
        <v>486</v>
      </c>
      <c r="C703" s="285" t="s">
        <v>559</v>
      </c>
      <c r="D703" s="285" t="s">
        <v>16</v>
      </c>
      <c r="E703" s="285" t="s">
        <v>577</v>
      </c>
      <c r="F703" s="287" t="s">
        <v>1245</v>
      </c>
      <c r="G703" s="285" t="s">
        <v>21</v>
      </c>
      <c r="H703" s="285">
        <v>15.0</v>
      </c>
      <c r="I703" s="287" t="s">
        <v>479</v>
      </c>
      <c r="J703" s="287" t="s">
        <v>532</v>
      </c>
      <c r="K703" s="287" t="s">
        <v>532</v>
      </c>
      <c r="L703" s="287" t="s">
        <v>497</v>
      </c>
      <c r="M703" s="292"/>
      <c r="N703" s="292"/>
      <c r="O703" s="285" t="s">
        <v>497</v>
      </c>
      <c r="P703" s="292"/>
      <c r="Q703" s="294" t="s">
        <v>32</v>
      </c>
      <c r="R703" s="287" t="s">
        <v>377</v>
      </c>
      <c r="S703" s="295" t="s">
        <v>32</v>
      </c>
      <c r="T703" s="287" t="s">
        <v>377</v>
      </c>
      <c r="U703" s="287" t="s">
        <v>377</v>
      </c>
      <c r="V703" s="288" t="s">
        <v>377</v>
      </c>
      <c r="W703" s="294" t="s">
        <v>32</v>
      </c>
      <c r="X703" s="294" t="s">
        <v>32</v>
      </c>
      <c r="Y703" s="295" t="s">
        <v>32</v>
      </c>
      <c r="Z703" s="294" t="s">
        <v>32</v>
      </c>
      <c r="AA703" s="287" t="s">
        <v>377</v>
      </c>
      <c r="AB703" s="295" t="s">
        <v>32</v>
      </c>
      <c r="AC703" s="296" t="s">
        <v>32</v>
      </c>
      <c r="AD703" s="287" t="s">
        <v>18</v>
      </c>
      <c r="AE703" s="287" t="s">
        <v>377</v>
      </c>
      <c r="AF703" s="288" t="s">
        <v>377</v>
      </c>
      <c r="AG703" s="287" t="s">
        <v>18</v>
      </c>
      <c r="AH703" s="287" t="s">
        <v>377</v>
      </c>
      <c r="AI703" s="288" t="s">
        <v>377</v>
      </c>
      <c r="AJ703" s="287" t="s">
        <v>377</v>
      </c>
      <c r="AK703" s="287" t="s">
        <v>377</v>
      </c>
      <c r="AL703" s="288" t="s">
        <v>377</v>
      </c>
      <c r="AM703" s="287" t="s">
        <v>18</v>
      </c>
      <c r="AN703" s="294" t="s">
        <v>32</v>
      </c>
      <c r="AO703" s="288" t="s">
        <v>377</v>
      </c>
      <c r="AP703" s="289" t="s">
        <v>377</v>
      </c>
      <c r="AQ703" s="294" t="s">
        <v>32</v>
      </c>
      <c r="AR703" s="294" t="s">
        <v>32</v>
      </c>
      <c r="AS703" s="295" t="s">
        <v>32</v>
      </c>
      <c r="AT703" s="294" t="s">
        <v>32</v>
      </c>
      <c r="AU703" s="294" t="s">
        <v>32</v>
      </c>
      <c r="AV703" s="295" t="s">
        <v>32</v>
      </c>
      <c r="AW703" s="294" t="s">
        <v>32</v>
      </c>
      <c r="AX703" s="287" t="s">
        <v>377</v>
      </c>
      <c r="AY703" s="295" t="s">
        <v>32</v>
      </c>
      <c r="AZ703" s="294" t="s">
        <v>32</v>
      </c>
      <c r="BA703" s="294" t="s">
        <v>32</v>
      </c>
      <c r="BB703" s="295" t="s">
        <v>32</v>
      </c>
      <c r="BC703" s="296" t="s">
        <v>32</v>
      </c>
      <c r="BD703" s="287"/>
    </row>
    <row r="704" ht="12.75" customHeight="1">
      <c r="A704" s="293">
        <v>45266.46788079861</v>
      </c>
      <c r="B704" s="286" t="s">
        <v>486</v>
      </c>
      <c r="C704" s="285" t="s">
        <v>559</v>
      </c>
      <c r="D704" s="285" t="s">
        <v>16</v>
      </c>
      <c r="E704" s="285" t="s">
        <v>577</v>
      </c>
      <c r="F704" s="287" t="s">
        <v>1246</v>
      </c>
      <c r="G704" s="285" t="s">
        <v>17</v>
      </c>
      <c r="H704" s="285">
        <v>16.0</v>
      </c>
      <c r="I704" s="287" t="s">
        <v>479</v>
      </c>
      <c r="J704" s="287" t="s">
        <v>532</v>
      </c>
      <c r="K704" s="287" t="s">
        <v>532</v>
      </c>
      <c r="L704" s="287" t="s">
        <v>497</v>
      </c>
      <c r="M704" s="292"/>
      <c r="N704" s="292"/>
      <c r="O704" s="285" t="s">
        <v>497</v>
      </c>
      <c r="P704" s="292"/>
      <c r="Q704" s="294" t="s">
        <v>32</v>
      </c>
      <c r="R704" s="294" t="s">
        <v>32</v>
      </c>
      <c r="S704" s="295" t="s">
        <v>32</v>
      </c>
      <c r="T704" s="287" t="s">
        <v>377</v>
      </c>
      <c r="U704" s="294" t="s">
        <v>32</v>
      </c>
      <c r="V704" s="295" t="s">
        <v>32</v>
      </c>
      <c r="W704" s="294" t="s">
        <v>32</v>
      </c>
      <c r="X704" s="287" t="s">
        <v>377</v>
      </c>
      <c r="Y704" s="295" t="s">
        <v>32</v>
      </c>
      <c r="Z704" s="294" t="s">
        <v>32</v>
      </c>
      <c r="AA704" s="294" t="s">
        <v>32</v>
      </c>
      <c r="AB704" s="295" t="s">
        <v>32</v>
      </c>
      <c r="AC704" s="296" t="s">
        <v>32</v>
      </c>
      <c r="AD704" s="294" t="s">
        <v>32</v>
      </c>
      <c r="AE704" s="294" t="s">
        <v>32</v>
      </c>
      <c r="AF704" s="295" t="s">
        <v>32</v>
      </c>
      <c r="AG704" s="287" t="s">
        <v>377</v>
      </c>
      <c r="AH704" s="287" t="s">
        <v>377</v>
      </c>
      <c r="AI704" s="288" t="s">
        <v>377</v>
      </c>
      <c r="AJ704" s="294" t="s">
        <v>32</v>
      </c>
      <c r="AK704" s="294" t="s">
        <v>32</v>
      </c>
      <c r="AL704" s="295" t="s">
        <v>32</v>
      </c>
      <c r="AM704" s="287" t="s">
        <v>18</v>
      </c>
      <c r="AN704" s="287" t="s">
        <v>18</v>
      </c>
      <c r="AO704" s="288" t="s">
        <v>18</v>
      </c>
      <c r="AP704" s="289" t="s">
        <v>377</v>
      </c>
      <c r="AQ704" s="294" t="s">
        <v>32</v>
      </c>
      <c r="AR704" s="294" t="s">
        <v>32</v>
      </c>
      <c r="AS704" s="295" t="s">
        <v>32</v>
      </c>
      <c r="AT704" s="294" t="s">
        <v>32</v>
      </c>
      <c r="AU704" s="294" t="s">
        <v>32</v>
      </c>
      <c r="AV704" s="295" t="s">
        <v>32</v>
      </c>
      <c r="AW704" s="294" t="s">
        <v>32</v>
      </c>
      <c r="AX704" s="294" t="s">
        <v>32</v>
      </c>
      <c r="AY704" s="295" t="s">
        <v>32</v>
      </c>
      <c r="AZ704" s="294" t="s">
        <v>32</v>
      </c>
      <c r="BA704" s="294" t="s">
        <v>32</v>
      </c>
      <c r="BB704" s="295" t="s">
        <v>32</v>
      </c>
      <c r="BC704" s="296" t="s">
        <v>32</v>
      </c>
      <c r="BD704" s="287"/>
    </row>
    <row r="705" ht="12.75" customHeight="1">
      <c r="A705" s="293">
        <v>45266.469800798615</v>
      </c>
      <c r="B705" s="286" t="s">
        <v>486</v>
      </c>
      <c r="C705" s="285" t="s">
        <v>559</v>
      </c>
      <c r="D705" s="285" t="s">
        <v>16</v>
      </c>
      <c r="E705" s="285" t="s">
        <v>577</v>
      </c>
      <c r="F705" s="287" t="s">
        <v>1247</v>
      </c>
      <c r="G705" s="285" t="s">
        <v>17</v>
      </c>
      <c r="H705" s="285">
        <v>16.0</v>
      </c>
      <c r="I705" s="287" t="s">
        <v>479</v>
      </c>
      <c r="J705" s="287" t="s">
        <v>532</v>
      </c>
      <c r="K705" s="287" t="s">
        <v>532</v>
      </c>
      <c r="L705" s="287" t="s">
        <v>497</v>
      </c>
      <c r="M705" s="292"/>
      <c r="N705" s="292"/>
      <c r="O705" s="285" t="s">
        <v>497</v>
      </c>
      <c r="P705" s="292"/>
      <c r="Q705" s="294" t="s">
        <v>32</v>
      </c>
      <c r="R705" s="294" t="s">
        <v>32</v>
      </c>
      <c r="S705" s="295" t="s">
        <v>32</v>
      </c>
      <c r="T705" s="294" t="s">
        <v>32</v>
      </c>
      <c r="U705" s="294" t="s">
        <v>32</v>
      </c>
      <c r="V705" s="295" t="s">
        <v>32</v>
      </c>
      <c r="W705" s="287" t="s">
        <v>377</v>
      </c>
      <c r="X705" s="294" t="s">
        <v>32</v>
      </c>
      <c r="Y705" s="295" t="s">
        <v>32</v>
      </c>
      <c r="Z705" s="294" t="s">
        <v>32</v>
      </c>
      <c r="AA705" s="294" t="s">
        <v>32</v>
      </c>
      <c r="AB705" s="295" t="s">
        <v>32</v>
      </c>
      <c r="AC705" s="296" t="s">
        <v>32</v>
      </c>
      <c r="AD705" s="287" t="s">
        <v>377</v>
      </c>
      <c r="AE705" s="294" t="s">
        <v>32</v>
      </c>
      <c r="AF705" s="295" t="s">
        <v>32</v>
      </c>
      <c r="AG705" s="294" t="s">
        <v>32</v>
      </c>
      <c r="AH705" s="287" t="s">
        <v>18</v>
      </c>
      <c r="AI705" s="288" t="s">
        <v>377</v>
      </c>
      <c r="AJ705" s="294" t="s">
        <v>32</v>
      </c>
      <c r="AK705" s="294" t="s">
        <v>32</v>
      </c>
      <c r="AL705" s="295" t="s">
        <v>32</v>
      </c>
      <c r="AM705" s="287" t="s">
        <v>18</v>
      </c>
      <c r="AN705" s="287" t="s">
        <v>18</v>
      </c>
      <c r="AO705" s="288" t="s">
        <v>18</v>
      </c>
      <c r="AP705" s="289" t="s">
        <v>377</v>
      </c>
      <c r="AQ705" s="294" t="s">
        <v>32</v>
      </c>
      <c r="AR705" s="294" t="s">
        <v>32</v>
      </c>
      <c r="AS705" s="295" t="s">
        <v>32</v>
      </c>
      <c r="AT705" s="294" t="s">
        <v>32</v>
      </c>
      <c r="AU705" s="294" t="s">
        <v>32</v>
      </c>
      <c r="AV705" s="295" t="s">
        <v>32</v>
      </c>
      <c r="AW705" s="294" t="s">
        <v>32</v>
      </c>
      <c r="AX705" s="294" t="s">
        <v>32</v>
      </c>
      <c r="AY705" s="295" t="s">
        <v>32</v>
      </c>
      <c r="AZ705" s="294" t="s">
        <v>32</v>
      </c>
      <c r="BA705" s="294" t="s">
        <v>32</v>
      </c>
      <c r="BB705" s="288" t="s">
        <v>377</v>
      </c>
      <c r="BC705" s="289" t="s">
        <v>377</v>
      </c>
      <c r="BD705" s="287"/>
    </row>
    <row r="706" ht="12.75" customHeight="1">
      <c r="A706" s="293">
        <v>45267.72268173611</v>
      </c>
      <c r="B706" s="286" t="s">
        <v>486</v>
      </c>
      <c r="C706" s="285" t="s">
        <v>559</v>
      </c>
      <c r="D706" s="285" t="s">
        <v>16</v>
      </c>
      <c r="E706" s="285" t="s">
        <v>577</v>
      </c>
      <c r="F706" s="287" t="s">
        <v>1248</v>
      </c>
      <c r="G706" s="285" t="s">
        <v>21</v>
      </c>
      <c r="H706" s="285">
        <v>16.0</v>
      </c>
      <c r="I706" s="287" t="s">
        <v>479</v>
      </c>
      <c r="J706" s="287" t="s">
        <v>532</v>
      </c>
      <c r="K706" s="287" t="s">
        <v>532</v>
      </c>
      <c r="L706" s="287" t="s">
        <v>497</v>
      </c>
      <c r="M706" s="292"/>
      <c r="N706" s="292"/>
      <c r="O706" s="285" t="s">
        <v>497</v>
      </c>
      <c r="P706" s="292"/>
      <c r="Q706" s="294" t="s">
        <v>32</v>
      </c>
      <c r="R706" s="287" t="s">
        <v>377</v>
      </c>
      <c r="S706" s="295" t="s">
        <v>32</v>
      </c>
      <c r="T706" s="294" t="s">
        <v>32</v>
      </c>
      <c r="U706" s="294" t="s">
        <v>32</v>
      </c>
      <c r="V706" s="295" t="s">
        <v>32</v>
      </c>
      <c r="W706" s="287" t="s">
        <v>377</v>
      </c>
      <c r="X706" s="294" t="s">
        <v>32</v>
      </c>
      <c r="Y706" s="295" t="s">
        <v>32</v>
      </c>
      <c r="Z706" s="294" t="s">
        <v>32</v>
      </c>
      <c r="AA706" s="294" t="s">
        <v>32</v>
      </c>
      <c r="AB706" s="295" t="s">
        <v>32</v>
      </c>
      <c r="AC706" s="296" t="s">
        <v>32</v>
      </c>
      <c r="AD706" s="287" t="s">
        <v>377</v>
      </c>
      <c r="AE706" s="287" t="s">
        <v>377</v>
      </c>
      <c r="AF706" s="288" t="s">
        <v>377</v>
      </c>
      <c r="AG706" s="294" t="s">
        <v>32</v>
      </c>
      <c r="AH706" s="287" t="s">
        <v>377</v>
      </c>
      <c r="AI706" s="295" t="s">
        <v>32</v>
      </c>
      <c r="AJ706" s="294" t="s">
        <v>32</v>
      </c>
      <c r="AK706" s="294" t="s">
        <v>32</v>
      </c>
      <c r="AL706" s="295" t="s">
        <v>32</v>
      </c>
      <c r="AM706" s="287" t="s">
        <v>377</v>
      </c>
      <c r="AN706" s="287" t="s">
        <v>377</v>
      </c>
      <c r="AO706" s="288" t="s">
        <v>377</v>
      </c>
      <c r="AP706" s="289" t="s">
        <v>377</v>
      </c>
      <c r="AQ706" s="294" t="s">
        <v>32</v>
      </c>
      <c r="AR706" s="294" t="s">
        <v>32</v>
      </c>
      <c r="AS706" s="295" t="s">
        <v>32</v>
      </c>
      <c r="AT706" s="294" t="s">
        <v>32</v>
      </c>
      <c r="AU706" s="294" t="s">
        <v>32</v>
      </c>
      <c r="AV706" s="295" t="s">
        <v>32</v>
      </c>
      <c r="AW706" s="294" t="s">
        <v>32</v>
      </c>
      <c r="AX706" s="294" t="s">
        <v>32</v>
      </c>
      <c r="AY706" s="295" t="s">
        <v>32</v>
      </c>
      <c r="AZ706" s="294" t="s">
        <v>32</v>
      </c>
      <c r="BA706" s="294" t="s">
        <v>32</v>
      </c>
      <c r="BB706" s="295" t="s">
        <v>32</v>
      </c>
      <c r="BC706" s="296" t="s">
        <v>32</v>
      </c>
      <c r="BD706" s="287"/>
    </row>
    <row r="707" ht="12.75" customHeight="1">
      <c r="A707" s="293">
        <v>45267.724672627315</v>
      </c>
      <c r="B707" s="286" t="s">
        <v>486</v>
      </c>
      <c r="C707" s="285" t="s">
        <v>559</v>
      </c>
      <c r="D707" s="285" t="s">
        <v>16</v>
      </c>
      <c r="E707" s="285" t="s">
        <v>577</v>
      </c>
      <c r="F707" s="287" t="s">
        <v>1249</v>
      </c>
      <c r="G707" s="285" t="s">
        <v>17</v>
      </c>
      <c r="H707" s="285">
        <v>17.0</v>
      </c>
      <c r="I707" s="287" t="s">
        <v>479</v>
      </c>
      <c r="J707" s="287" t="s">
        <v>532</v>
      </c>
      <c r="K707" s="287" t="s">
        <v>532</v>
      </c>
      <c r="L707" s="287" t="s">
        <v>497</v>
      </c>
      <c r="M707" s="292"/>
      <c r="N707" s="292"/>
      <c r="O707" s="285" t="s">
        <v>497</v>
      </c>
      <c r="P707" s="292"/>
      <c r="Q707" s="294" t="s">
        <v>32</v>
      </c>
      <c r="R707" s="294" t="s">
        <v>32</v>
      </c>
      <c r="S707" s="295" t="s">
        <v>32</v>
      </c>
      <c r="T707" s="294" t="s">
        <v>32</v>
      </c>
      <c r="U707" s="294" t="s">
        <v>32</v>
      </c>
      <c r="V707" s="295" t="s">
        <v>32</v>
      </c>
      <c r="W707" s="294" t="s">
        <v>32</v>
      </c>
      <c r="X707" s="294" t="s">
        <v>32</v>
      </c>
      <c r="Y707" s="295" t="s">
        <v>32</v>
      </c>
      <c r="Z707" s="294" t="s">
        <v>32</v>
      </c>
      <c r="AA707" s="294" t="s">
        <v>32</v>
      </c>
      <c r="AB707" s="295" t="s">
        <v>32</v>
      </c>
      <c r="AC707" s="296" t="s">
        <v>32</v>
      </c>
      <c r="AD707" s="294" t="s">
        <v>32</v>
      </c>
      <c r="AE707" s="294" t="s">
        <v>32</v>
      </c>
      <c r="AF707" s="295" t="s">
        <v>32</v>
      </c>
      <c r="AG707" s="294" t="s">
        <v>32</v>
      </c>
      <c r="AH707" s="294" t="s">
        <v>32</v>
      </c>
      <c r="AI707" s="295" t="s">
        <v>32</v>
      </c>
      <c r="AJ707" s="294" t="s">
        <v>32</v>
      </c>
      <c r="AK707" s="294" t="s">
        <v>32</v>
      </c>
      <c r="AL707" s="295" t="s">
        <v>32</v>
      </c>
      <c r="AM707" s="294" t="s">
        <v>32</v>
      </c>
      <c r="AN707" s="294" t="s">
        <v>32</v>
      </c>
      <c r="AO707" s="295" t="s">
        <v>32</v>
      </c>
      <c r="AP707" s="296" t="s">
        <v>32</v>
      </c>
      <c r="AQ707" s="294" t="s">
        <v>32</v>
      </c>
      <c r="AR707" s="294" t="s">
        <v>32</v>
      </c>
      <c r="AS707" s="295" t="s">
        <v>32</v>
      </c>
      <c r="AT707" s="294" t="s">
        <v>32</v>
      </c>
      <c r="AU707" s="294" t="s">
        <v>32</v>
      </c>
      <c r="AV707" s="295" t="s">
        <v>32</v>
      </c>
      <c r="AW707" s="294" t="s">
        <v>32</v>
      </c>
      <c r="AX707" s="294" t="s">
        <v>32</v>
      </c>
      <c r="AY707" s="295" t="s">
        <v>32</v>
      </c>
      <c r="AZ707" s="294" t="s">
        <v>32</v>
      </c>
      <c r="BA707" s="294" t="s">
        <v>32</v>
      </c>
      <c r="BB707" s="295" t="s">
        <v>32</v>
      </c>
      <c r="BC707" s="296" t="s">
        <v>32</v>
      </c>
      <c r="BD707" s="287"/>
    </row>
    <row r="708" ht="12.75" customHeight="1">
      <c r="A708" s="293">
        <v>45267.72699145833</v>
      </c>
      <c r="B708" s="286" t="s">
        <v>486</v>
      </c>
      <c r="C708" s="285" t="s">
        <v>559</v>
      </c>
      <c r="D708" s="285" t="s">
        <v>16</v>
      </c>
      <c r="E708" s="285" t="s">
        <v>577</v>
      </c>
      <c r="F708" s="287" t="s">
        <v>1250</v>
      </c>
      <c r="G708" s="285" t="s">
        <v>17</v>
      </c>
      <c r="H708" s="285">
        <v>16.0</v>
      </c>
      <c r="I708" s="287" t="s">
        <v>479</v>
      </c>
      <c r="J708" s="287" t="s">
        <v>532</v>
      </c>
      <c r="K708" s="287" t="s">
        <v>532</v>
      </c>
      <c r="L708" s="287" t="s">
        <v>497</v>
      </c>
      <c r="M708" s="292"/>
      <c r="N708" s="292"/>
      <c r="O708" s="285" t="s">
        <v>497</v>
      </c>
      <c r="P708" s="292"/>
      <c r="Q708" s="287" t="s">
        <v>377</v>
      </c>
      <c r="R708" s="287" t="s">
        <v>377</v>
      </c>
      <c r="S708" s="288" t="s">
        <v>377</v>
      </c>
      <c r="T708" s="287" t="s">
        <v>18</v>
      </c>
      <c r="U708" s="294" t="s">
        <v>32</v>
      </c>
      <c r="V708" s="288" t="s">
        <v>377</v>
      </c>
      <c r="W708" s="287" t="s">
        <v>377</v>
      </c>
      <c r="X708" s="287" t="s">
        <v>377</v>
      </c>
      <c r="Y708" s="288" t="s">
        <v>377</v>
      </c>
      <c r="Z708" s="294" t="s">
        <v>32</v>
      </c>
      <c r="AA708" s="287" t="s">
        <v>377</v>
      </c>
      <c r="AB708" s="295" t="s">
        <v>32</v>
      </c>
      <c r="AC708" s="289" t="s">
        <v>377</v>
      </c>
      <c r="AD708" s="287" t="s">
        <v>377</v>
      </c>
      <c r="AE708" s="287" t="s">
        <v>18</v>
      </c>
      <c r="AF708" s="288" t="s">
        <v>377</v>
      </c>
      <c r="AG708" s="287" t="s">
        <v>377</v>
      </c>
      <c r="AH708" s="287" t="s">
        <v>18</v>
      </c>
      <c r="AI708" s="288" t="s">
        <v>377</v>
      </c>
      <c r="AJ708" s="294" t="s">
        <v>32</v>
      </c>
      <c r="AK708" s="287" t="s">
        <v>377</v>
      </c>
      <c r="AL708" s="295" t="s">
        <v>32</v>
      </c>
      <c r="AM708" s="287" t="s">
        <v>18</v>
      </c>
      <c r="AN708" s="287" t="s">
        <v>18</v>
      </c>
      <c r="AO708" s="288" t="s">
        <v>18</v>
      </c>
      <c r="AP708" s="289" t="s">
        <v>377</v>
      </c>
      <c r="AQ708" s="287" t="s">
        <v>18</v>
      </c>
      <c r="AR708" s="287" t="s">
        <v>18</v>
      </c>
      <c r="AS708" s="288" t="s">
        <v>18</v>
      </c>
      <c r="AT708" s="287" t="s">
        <v>377</v>
      </c>
      <c r="AU708" s="294" t="s">
        <v>32</v>
      </c>
      <c r="AV708" s="295" t="s">
        <v>32</v>
      </c>
      <c r="AW708" s="287" t="s">
        <v>18</v>
      </c>
      <c r="AX708" s="287" t="s">
        <v>377</v>
      </c>
      <c r="AY708" s="288" t="s">
        <v>377</v>
      </c>
      <c r="AZ708" s="294" t="s">
        <v>32</v>
      </c>
      <c r="BA708" s="294" t="s">
        <v>32</v>
      </c>
      <c r="BB708" s="288" t="s">
        <v>377</v>
      </c>
      <c r="BC708" s="289" t="s">
        <v>377</v>
      </c>
      <c r="BD708" s="287"/>
    </row>
    <row r="709" ht="12.75" customHeight="1">
      <c r="A709" s="293">
        <v>45267.72945813657</v>
      </c>
      <c r="B709" s="286" t="s">
        <v>486</v>
      </c>
      <c r="C709" s="285" t="s">
        <v>559</v>
      </c>
      <c r="D709" s="285" t="s">
        <v>16</v>
      </c>
      <c r="E709" s="285" t="s">
        <v>577</v>
      </c>
      <c r="F709" s="287" t="s">
        <v>1251</v>
      </c>
      <c r="G709" s="285" t="s">
        <v>21</v>
      </c>
      <c r="H709" s="285">
        <v>15.0</v>
      </c>
      <c r="I709" s="287" t="s">
        <v>479</v>
      </c>
      <c r="J709" s="287" t="s">
        <v>532</v>
      </c>
      <c r="K709" s="287" t="s">
        <v>532</v>
      </c>
      <c r="L709" s="287" t="s">
        <v>497</v>
      </c>
      <c r="M709" s="292"/>
      <c r="N709" s="292"/>
      <c r="O709" s="285" t="s">
        <v>497</v>
      </c>
      <c r="P709" s="292"/>
      <c r="Q709" s="294" t="s">
        <v>32</v>
      </c>
      <c r="R709" s="287" t="s">
        <v>377</v>
      </c>
      <c r="S709" s="295" t="s">
        <v>32</v>
      </c>
      <c r="T709" s="287" t="s">
        <v>377</v>
      </c>
      <c r="U709" s="294" t="s">
        <v>32</v>
      </c>
      <c r="V709" s="295" t="s">
        <v>32</v>
      </c>
      <c r="W709" s="287" t="s">
        <v>377</v>
      </c>
      <c r="X709" s="294" t="s">
        <v>32</v>
      </c>
      <c r="Y709" s="295" t="s">
        <v>32</v>
      </c>
      <c r="Z709" s="294" t="s">
        <v>32</v>
      </c>
      <c r="AA709" s="287" t="s">
        <v>377</v>
      </c>
      <c r="AB709" s="295" t="s">
        <v>32</v>
      </c>
      <c r="AC709" s="296" t="s">
        <v>32</v>
      </c>
      <c r="AD709" s="294" t="s">
        <v>32</v>
      </c>
      <c r="AE709" s="294" t="s">
        <v>32</v>
      </c>
      <c r="AF709" s="295" t="s">
        <v>32</v>
      </c>
      <c r="AG709" s="294" t="s">
        <v>32</v>
      </c>
      <c r="AH709" s="287" t="s">
        <v>377</v>
      </c>
      <c r="AI709" s="295" t="s">
        <v>32</v>
      </c>
      <c r="AJ709" s="294" t="s">
        <v>32</v>
      </c>
      <c r="AK709" s="287" t="s">
        <v>377</v>
      </c>
      <c r="AL709" s="295" t="s">
        <v>32</v>
      </c>
      <c r="AM709" s="294" t="s">
        <v>32</v>
      </c>
      <c r="AN709" s="287" t="s">
        <v>18</v>
      </c>
      <c r="AO709" s="288" t="s">
        <v>377</v>
      </c>
      <c r="AP709" s="296" t="s">
        <v>32</v>
      </c>
      <c r="AQ709" s="287" t="s">
        <v>377</v>
      </c>
      <c r="AR709" s="287" t="s">
        <v>18</v>
      </c>
      <c r="AS709" s="288" t="s">
        <v>377</v>
      </c>
      <c r="AT709" s="294" t="s">
        <v>32</v>
      </c>
      <c r="AU709" s="294" t="s">
        <v>32</v>
      </c>
      <c r="AV709" s="295" t="s">
        <v>32</v>
      </c>
      <c r="AW709" s="294" t="s">
        <v>32</v>
      </c>
      <c r="AX709" s="287" t="s">
        <v>377</v>
      </c>
      <c r="AY709" s="295" t="s">
        <v>32</v>
      </c>
      <c r="AZ709" s="287" t="s">
        <v>377</v>
      </c>
      <c r="BA709" s="294" t="s">
        <v>32</v>
      </c>
      <c r="BB709" s="295" t="s">
        <v>32</v>
      </c>
      <c r="BC709" s="296" t="s">
        <v>32</v>
      </c>
      <c r="BD709" s="287"/>
    </row>
    <row r="710" ht="12.75" customHeight="1">
      <c r="A710" s="293">
        <v>45267.73205041667</v>
      </c>
      <c r="B710" s="286" t="s">
        <v>486</v>
      </c>
      <c r="C710" s="285" t="s">
        <v>559</v>
      </c>
      <c r="D710" s="285" t="s">
        <v>16</v>
      </c>
      <c r="E710" s="285" t="s">
        <v>577</v>
      </c>
      <c r="F710" s="287" t="s">
        <v>1252</v>
      </c>
      <c r="G710" s="285" t="s">
        <v>21</v>
      </c>
      <c r="H710" s="285">
        <v>15.0</v>
      </c>
      <c r="I710" s="287" t="s">
        <v>479</v>
      </c>
      <c r="J710" s="287" t="s">
        <v>532</v>
      </c>
      <c r="K710" s="287" t="s">
        <v>532</v>
      </c>
      <c r="L710" s="287" t="s">
        <v>479</v>
      </c>
      <c r="M710" s="287" t="s">
        <v>483</v>
      </c>
      <c r="N710" s="287" t="s">
        <v>483</v>
      </c>
      <c r="O710" s="285" t="s">
        <v>479</v>
      </c>
      <c r="P710" s="287" t="s">
        <v>1253</v>
      </c>
      <c r="Q710" s="294" t="s">
        <v>32</v>
      </c>
      <c r="R710" s="287" t="s">
        <v>18</v>
      </c>
      <c r="S710" s="288" t="s">
        <v>377</v>
      </c>
      <c r="T710" s="287" t="s">
        <v>377</v>
      </c>
      <c r="U710" s="287" t="s">
        <v>377</v>
      </c>
      <c r="V710" s="288" t="s">
        <v>377</v>
      </c>
      <c r="W710" s="287" t="s">
        <v>18</v>
      </c>
      <c r="X710" s="287" t="s">
        <v>377</v>
      </c>
      <c r="Y710" s="288" t="s">
        <v>377</v>
      </c>
      <c r="Z710" s="287" t="s">
        <v>377</v>
      </c>
      <c r="AA710" s="287" t="s">
        <v>377</v>
      </c>
      <c r="AB710" s="288" t="s">
        <v>377</v>
      </c>
      <c r="AC710" s="289" t="s">
        <v>377</v>
      </c>
      <c r="AD710" s="287" t="s">
        <v>377</v>
      </c>
      <c r="AE710" s="294" t="s">
        <v>32</v>
      </c>
      <c r="AF710" s="295" t="s">
        <v>32</v>
      </c>
      <c r="AG710" s="294" t="s">
        <v>32</v>
      </c>
      <c r="AH710" s="287" t="s">
        <v>377</v>
      </c>
      <c r="AI710" s="295" t="s">
        <v>32</v>
      </c>
      <c r="AJ710" s="294" t="s">
        <v>32</v>
      </c>
      <c r="AK710" s="287" t="s">
        <v>377</v>
      </c>
      <c r="AL710" s="295" t="s">
        <v>32</v>
      </c>
      <c r="AM710" s="287" t="s">
        <v>18</v>
      </c>
      <c r="AN710" s="287" t="s">
        <v>18</v>
      </c>
      <c r="AO710" s="288" t="s">
        <v>18</v>
      </c>
      <c r="AP710" s="289" t="s">
        <v>377</v>
      </c>
      <c r="AQ710" s="294" t="s">
        <v>32</v>
      </c>
      <c r="AR710" s="287" t="s">
        <v>377</v>
      </c>
      <c r="AS710" s="295" t="s">
        <v>32</v>
      </c>
      <c r="AT710" s="294" t="s">
        <v>32</v>
      </c>
      <c r="AU710" s="294" t="s">
        <v>32</v>
      </c>
      <c r="AV710" s="295" t="s">
        <v>32</v>
      </c>
      <c r="AW710" s="294" t="s">
        <v>32</v>
      </c>
      <c r="AX710" s="287" t="s">
        <v>377</v>
      </c>
      <c r="AY710" s="295" t="s">
        <v>32</v>
      </c>
      <c r="AZ710" s="294" t="s">
        <v>32</v>
      </c>
      <c r="BA710" s="294" t="s">
        <v>32</v>
      </c>
      <c r="BB710" s="295" t="s">
        <v>32</v>
      </c>
      <c r="BC710" s="289" t="s">
        <v>377</v>
      </c>
      <c r="BD710" s="287"/>
    </row>
    <row r="711" ht="12.75" customHeight="1">
      <c r="A711" s="293">
        <v>45267.73442953704</v>
      </c>
      <c r="B711" s="286" t="s">
        <v>486</v>
      </c>
      <c r="C711" s="285" t="s">
        <v>559</v>
      </c>
      <c r="D711" s="285" t="s">
        <v>16</v>
      </c>
      <c r="E711" s="285" t="s">
        <v>577</v>
      </c>
      <c r="F711" s="287" t="s">
        <v>1254</v>
      </c>
      <c r="G711" s="285" t="s">
        <v>21</v>
      </c>
      <c r="H711" s="285">
        <v>17.0</v>
      </c>
      <c r="I711" s="287" t="s">
        <v>479</v>
      </c>
      <c r="J711" s="287" t="s">
        <v>532</v>
      </c>
      <c r="K711" s="287" t="s">
        <v>532</v>
      </c>
      <c r="L711" s="287" t="s">
        <v>497</v>
      </c>
      <c r="M711" s="292"/>
      <c r="N711" s="292"/>
      <c r="O711" s="285" t="s">
        <v>497</v>
      </c>
      <c r="P711" s="292"/>
      <c r="Q711" s="294" t="s">
        <v>32</v>
      </c>
      <c r="R711" s="287" t="s">
        <v>377</v>
      </c>
      <c r="S711" s="295" t="s">
        <v>32</v>
      </c>
      <c r="T711" s="287" t="s">
        <v>377</v>
      </c>
      <c r="U711" s="294" t="s">
        <v>32</v>
      </c>
      <c r="V711" s="295" t="s">
        <v>32</v>
      </c>
      <c r="W711" s="294" t="s">
        <v>32</v>
      </c>
      <c r="X711" s="294" t="s">
        <v>32</v>
      </c>
      <c r="Y711" s="295" t="s">
        <v>32</v>
      </c>
      <c r="Z711" s="287" t="s">
        <v>377</v>
      </c>
      <c r="AA711" s="287" t="s">
        <v>18</v>
      </c>
      <c r="AB711" s="288" t="s">
        <v>377</v>
      </c>
      <c r="AC711" s="289" t="s">
        <v>377</v>
      </c>
      <c r="AD711" s="287" t="s">
        <v>377</v>
      </c>
      <c r="AE711" s="287" t="s">
        <v>377</v>
      </c>
      <c r="AF711" s="288" t="s">
        <v>377</v>
      </c>
      <c r="AG711" s="287" t="s">
        <v>18</v>
      </c>
      <c r="AH711" s="294" t="s">
        <v>32</v>
      </c>
      <c r="AI711" s="288" t="s">
        <v>377</v>
      </c>
      <c r="AJ711" s="287" t="s">
        <v>18</v>
      </c>
      <c r="AK711" s="287" t="s">
        <v>18</v>
      </c>
      <c r="AL711" s="288" t="s">
        <v>18</v>
      </c>
      <c r="AM711" s="287" t="s">
        <v>18</v>
      </c>
      <c r="AN711" s="287" t="s">
        <v>18</v>
      </c>
      <c r="AO711" s="288" t="s">
        <v>18</v>
      </c>
      <c r="AP711" s="289" t="s">
        <v>377</v>
      </c>
      <c r="AQ711" s="294" t="s">
        <v>32</v>
      </c>
      <c r="AR711" s="294" t="s">
        <v>32</v>
      </c>
      <c r="AS711" s="295" t="s">
        <v>32</v>
      </c>
      <c r="AT711" s="294" t="s">
        <v>32</v>
      </c>
      <c r="AU711" s="294" t="s">
        <v>32</v>
      </c>
      <c r="AV711" s="295" t="s">
        <v>32</v>
      </c>
      <c r="AW711" s="287" t="s">
        <v>18</v>
      </c>
      <c r="AX711" s="287" t="s">
        <v>18</v>
      </c>
      <c r="AY711" s="288" t="s">
        <v>18</v>
      </c>
      <c r="AZ711" s="294" t="s">
        <v>32</v>
      </c>
      <c r="BA711" s="294" t="s">
        <v>32</v>
      </c>
      <c r="BB711" s="295" t="s">
        <v>32</v>
      </c>
      <c r="BC711" s="289" t="s">
        <v>377</v>
      </c>
      <c r="BD711" s="287"/>
    </row>
    <row r="712" ht="12.75" customHeight="1">
      <c r="A712" s="293">
        <v>45267.73676541667</v>
      </c>
      <c r="B712" s="286" t="s">
        <v>486</v>
      </c>
      <c r="C712" s="285" t="s">
        <v>559</v>
      </c>
      <c r="D712" s="285" t="s">
        <v>16</v>
      </c>
      <c r="E712" s="285" t="s">
        <v>577</v>
      </c>
      <c r="F712" s="287" t="s">
        <v>1255</v>
      </c>
      <c r="G712" s="285" t="s">
        <v>17</v>
      </c>
      <c r="H712" s="285">
        <v>17.0</v>
      </c>
      <c r="I712" s="287" t="s">
        <v>479</v>
      </c>
      <c r="J712" s="287" t="s">
        <v>532</v>
      </c>
      <c r="K712" s="287" t="s">
        <v>532</v>
      </c>
      <c r="L712" s="287" t="s">
        <v>497</v>
      </c>
      <c r="M712" s="292"/>
      <c r="N712" s="292"/>
      <c r="O712" s="285" t="s">
        <v>497</v>
      </c>
      <c r="P712" s="292"/>
      <c r="Q712" s="294" t="s">
        <v>32</v>
      </c>
      <c r="R712" s="294" t="s">
        <v>32</v>
      </c>
      <c r="S712" s="295" t="s">
        <v>32</v>
      </c>
      <c r="T712" s="287" t="s">
        <v>377</v>
      </c>
      <c r="U712" s="294" t="s">
        <v>32</v>
      </c>
      <c r="V712" s="295" t="s">
        <v>32</v>
      </c>
      <c r="W712" s="287" t="s">
        <v>377</v>
      </c>
      <c r="X712" s="294" t="s">
        <v>32</v>
      </c>
      <c r="Y712" s="295" t="s">
        <v>32</v>
      </c>
      <c r="Z712" s="294" t="s">
        <v>32</v>
      </c>
      <c r="AA712" s="294" t="s">
        <v>32</v>
      </c>
      <c r="AB712" s="295" t="s">
        <v>32</v>
      </c>
      <c r="AC712" s="296" t="s">
        <v>32</v>
      </c>
      <c r="AD712" s="287" t="s">
        <v>18</v>
      </c>
      <c r="AE712" s="287" t="s">
        <v>18</v>
      </c>
      <c r="AF712" s="288" t="s">
        <v>18</v>
      </c>
      <c r="AG712" s="287" t="s">
        <v>377</v>
      </c>
      <c r="AH712" s="287" t="s">
        <v>377</v>
      </c>
      <c r="AI712" s="288" t="s">
        <v>377</v>
      </c>
      <c r="AJ712" s="294" t="s">
        <v>32</v>
      </c>
      <c r="AK712" s="287" t="s">
        <v>377</v>
      </c>
      <c r="AL712" s="295" t="s">
        <v>32</v>
      </c>
      <c r="AM712" s="294" t="s">
        <v>32</v>
      </c>
      <c r="AN712" s="287" t="s">
        <v>377</v>
      </c>
      <c r="AO712" s="295" t="s">
        <v>32</v>
      </c>
      <c r="AP712" s="289" t="s">
        <v>377</v>
      </c>
      <c r="AQ712" s="294" t="s">
        <v>32</v>
      </c>
      <c r="AR712" s="294" t="s">
        <v>32</v>
      </c>
      <c r="AS712" s="295" t="s">
        <v>32</v>
      </c>
      <c r="AT712" s="294" t="s">
        <v>32</v>
      </c>
      <c r="AU712" s="294" t="s">
        <v>32</v>
      </c>
      <c r="AV712" s="295" t="s">
        <v>32</v>
      </c>
      <c r="AW712" s="294" t="s">
        <v>32</v>
      </c>
      <c r="AX712" s="287" t="s">
        <v>377</v>
      </c>
      <c r="AY712" s="295" t="s">
        <v>32</v>
      </c>
      <c r="AZ712" s="294" t="s">
        <v>32</v>
      </c>
      <c r="BA712" s="294" t="s">
        <v>32</v>
      </c>
      <c r="BB712" s="295" t="s">
        <v>32</v>
      </c>
      <c r="BC712" s="289" t="s">
        <v>377</v>
      </c>
      <c r="BD712" s="287"/>
    </row>
    <row r="713" ht="12.75" customHeight="1">
      <c r="A713" s="293">
        <v>45267.74361288194</v>
      </c>
      <c r="B713" s="286" t="s">
        <v>486</v>
      </c>
      <c r="C713" s="285" t="s">
        <v>559</v>
      </c>
      <c r="D713" s="285" t="s">
        <v>16</v>
      </c>
      <c r="E713" s="285" t="s">
        <v>577</v>
      </c>
      <c r="F713" s="287" t="s">
        <v>1256</v>
      </c>
      <c r="G713" s="285" t="s">
        <v>17</v>
      </c>
      <c r="H713" s="285">
        <v>16.0</v>
      </c>
      <c r="I713" s="287" t="s">
        <v>479</v>
      </c>
      <c r="J713" s="287" t="s">
        <v>532</v>
      </c>
      <c r="K713" s="287" t="s">
        <v>532</v>
      </c>
      <c r="L713" s="287" t="s">
        <v>497</v>
      </c>
      <c r="M713" s="292"/>
      <c r="N713" s="292"/>
      <c r="O713" s="285" t="s">
        <v>497</v>
      </c>
      <c r="P713" s="292"/>
      <c r="Q713" s="287" t="s">
        <v>377</v>
      </c>
      <c r="R713" s="287" t="s">
        <v>377</v>
      </c>
      <c r="S713" s="288" t="s">
        <v>377</v>
      </c>
      <c r="T713" s="287" t="s">
        <v>377</v>
      </c>
      <c r="U713" s="287" t="s">
        <v>377</v>
      </c>
      <c r="V713" s="288" t="s">
        <v>377</v>
      </c>
      <c r="W713" s="287" t="s">
        <v>377</v>
      </c>
      <c r="X713" s="287" t="s">
        <v>377</v>
      </c>
      <c r="Y713" s="288" t="s">
        <v>377</v>
      </c>
      <c r="Z713" s="287" t="s">
        <v>377</v>
      </c>
      <c r="AA713" s="287" t="s">
        <v>377</v>
      </c>
      <c r="AB713" s="288" t="s">
        <v>377</v>
      </c>
      <c r="AC713" s="289" t="s">
        <v>377</v>
      </c>
      <c r="AD713" s="287" t="s">
        <v>377</v>
      </c>
      <c r="AE713" s="287" t="s">
        <v>377</v>
      </c>
      <c r="AF713" s="288" t="s">
        <v>377</v>
      </c>
      <c r="AG713" s="287" t="s">
        <v>377</v>
      </c>
      <c r="AH713" s="287" t="s">
        <v>377</v>
      </c>
      <c r="AI713" s="288" t="s">
        <v>377</v>
      </c>
      <c r="AJ713" s="294" t="s">
        <v>32</v>
      </c>
      <c r="AK713" s="287" t="s">
        <v>377</v>
      </c>
      <c r="AL713" s="295" t="s">
        <v>32</v>
      </c>
      <c r="AM713" s="287" t="s">
        <v>377</v>
      </c>
      <c r="AN713" s="287" t="s">
        <v>377</v>
      </c>
      <c r="AO713" s="288" t="s">
        <v>377</v>
      </c>
      <c r="AP713" s="289" t="s">
        <v>377</v>
      </c>
      <c r="AQ713" s="287" t="s">
        <v>377</v>
      </c>
      <c r="AR713" s="287" t="s">
        <v>377</v>
      </c>
      <c r="AS713" s="288" t="s">
        <v>377</v>
      </c>
      <c r="AT713" s="294" t="s">
        <v>32</v>
      </c>
      <c r="AU713" s="294" t="s">
        <v>32</v>
      </c>
      <c r="AV713" s="295" t="s">
        <v>32</v>
      </c>
      <c r="AW713" s="287" t="s">
        <v>377</v>
      </c>
      <c r="AX713" s="287" t="s">
        <v>377</v>
      </c>
      <c r="AY713" s="288" t="s">
        <v>377</v>
      </c>
      <c r="AZ713" s="287" t="s">
        <v>377</v>
      </c>
      <c r="BA713" s="287" t="s">
        <v>377</v>
      </c>
      <c r="BB713" s="295" t="s">
        <v>32</v>
      </c>
      <c r="BC713" s="289" t="s">
        <v>377</v>
      </c>
      <c r="BD713" s="287"/>
    </row>
    <row r="714" ht="12.75" customHeight="1">
      <c r="A714" s="293">
        <v>45267.75697634259</v>
      </c>
      <c r="B714" s="286" t="s">
        <v>486</v>
      </c>
      <c r="C714" s="285" t="s">
        <v>559</v>
      </c>
      <c r="D714" s="285" t="s">
        <v>16</v>
      </c>
      <c r="E714" s="285" t="s">
        <v>577</v>
      </c>
      <c r="F714" s="287" t="s">
        <v>1257</v>
      </c>
      <c r="G714" s="285" t="s">
        <v>21</v>
      </c>
      <c r="H714" s="285">
        <v>16.0</v>
      </c>
      <c r="I714" s="287" t="s">
        <v>479</v>
      </c>
      <c r="J714" s="287" t="s">
        <v>532</v>
      </c>
      <c r="K714" s="287" t="s">
        <v>532</v>
      </c>
      <c r="L714" s="287" t="s">
        <v>497</v>
      </c>
      <c r="M714" s="292"/>
      <c r="N714" s="292"/>
      <c r="O714" s="285" t="s">
        <v>497</v>
      </c>
      <c r="P714" s="292"/>
      <c r="Q714" s="294" t="s">
        <v>32</v>
      </c>
      <c r="R714" s="294" t="s">
        <v>32</v>
      </c>
      <c r="S714" s="295" t="s">
        <v>32</v>
      </c>
      <c r="T714" s="294" t="s">
        <v>32</v>
      </c>
      <c r="U714" s="294" t="s">
        <v>32</v>
      </c>
      <c r="V714" s="295" t="s">
        <v>32</v>
      </c>
      <c r="W714" s="294" t="s">
        <v>32</v>
      </c>
      <c r="X714" s="294" t="s">
        <v>32</v>
      </c>
      <c r="Y714" s="295" t="s">
        <v>32</v>
      </c>
      <c r="Z714" s="294" t="s">
        <v>32</v>
      </c>
      <c r="AA714" s="294" t="s">
        <v>32</v>
      </c>
      <c r="AB714" s="295" t="s">
        <v>32</v>
      </c>
      <c r="AC714" s="296" t="s">
        <v>32</v>
      </c>
      <c r="AD714" s="294" t="s">
        <v>32</v>
      </c>
      <c r="AE714" s="294" t="s">
        <v>32</v>
      </c>
      <c r="AF714" s="295" t="s">
        <v>32</v>
      </c>
      <c r="AG714" s="294" t="s">
        <v>32</v>
      </c>
      <c r="AH714" s="294" t="s">
        <v>32</v>
      </c>
      <c r="AI714" s="295" t="s">
        <v>32</v>
      </c>
      <c r="AJ714" s="294" t="s">
        <v>32</v>
      </c>
      <c r="AK714" s="294" t="s">
        <v>32</v>
      </c>
      <c r="AL714" s="295" t="s">
        <v>32</v>
      </c>
      <c r="AM714" s="294" t="s">
        <v>32</v>
      </c>
      <c r="AN714" s="294" t="s">
        <v>32</v>
      </c>
      <c r="AO714" s="295" t="s">
        <v>32</v>
      </c>
      <c r="AP714" s="296" t="s">
        <v>32</v>
      </c>
      <c r="AQ714" s="294" t="s">
        <v>32</v>
      </c>
      <c r="AR714" s="294" t="s">
        <v>32</v>
      </c>
      <c r="AS714" s="295" t="s">
        <v>32</v>
      </c>
      <c r="AT714" s="294" t="s">
        <v>32</v>
      </c>
      <c r="AU714" s="294" t="s">
        <v>32</v>
      </c>
      <c r="AV714" s="295" t="s">
        <v>32</v>
      </c>
      <c r="AW714" s="294" t="s">
        <v>32</v>
      </c>
      <c r="AX714" s="294" t="s">
        <v>32</v>
      </c>
      <c r="AY714" s="295" t="s">
        <v>32</v>
      </c>
      <c r="AZ714" s="294" t="s">
        <v>32</v>
      </c>
      <c r="BA714" s="294" t="s">
        <v>32</v>
      </c>
      <c r="BB714" s="288" t="s">
        <v>377</v>
      </c>
      <c r="BC714" s="289" t="s">
        <v>377</v>
      </c>
      <c r="BD714" s="287"/>
    </row>
    <row r="715" ht="12.75" customHeight="1">
      <c r="A715" s="293">
        <v>45267.759728425925</v>
      </c>
      <c r="B715" s="286" t="s">
        <v>486</v>
      </c>
      <c r="C715" s="285" t="s">
        <v>559</v>
      </c>
      <c r="D715" s="285" t="s">
        <v>16</v>
      </c>
      <c r="E715" s="285" t="s">
        <v>577</v>
      </c>
      <c r="F715" s="287" t="s">
        <v>1258</v>
      </c>
      <c r="G715" s="285" t="s">
        <v>21</v>
      </c>
      <c r="H715" s="285">
        <v>17.0</v>
      </c>
      <c r="I715" s="287" t="s">
        <v>479</v>
      </c>
      <c r="J715" s="287" t="s">
        <v>532</v>
      </c>
      <c r="K715" s="287" t="s">
        <v>532</v>
      </c>
      <c r="L715" s="287" t="s">
        <v>479</v>
      </c>
      <c r="M715" s="287" t="s">
        <v>490</v>
      </c>
      <c r="N715" s="287" t="s">
        <v>483</v>
      </c>
      <c r="O715" s="285" t="s">
        <v>479</v>
      </c>
      <c r="P715" s="287" t="s">
        <v>643</v>
      </c>
      <c r="Q715" s="294" t="s">
        <v>32</v>
      </c>
      <c r="R715" s="294" t="s">
        <v>32</v>
      </c>
      <c r="S715" s="295" t="s">
        <v>32</v>
      </c>
      <c r="T715" s="287" t="s">
        <v>377</v>
      </c>
      <c r="U715" s="287" t="s">
        <v>377</v>
      </c>
      <c r="V715" s="288" t="s">
        <v>377</v>
      </c>
      <c r="W715" s="287" t="s">
        <v>377</v>
      </c>
      <c r="X715" s="287" t="s">
        <v>377</v>
      </c>
      <c r="Y715" s="288" t="s">
        <v>377</v>
      </c>
      <c r="Z715" s="294" t="s">
        <v>32</v>
      </c>
      <c r="AA715" s="294" t="s">
        <v>32</v>
      </c>
      <c r="AB715" s="295" t="s">
        <v>32</v>
      </c>
      <c r="AC715" s="296" t="s">
        <v>32</v>
      </c>
      <c r="AD715" s="287" t="s">
        <v>377</v>
      </c>
      <c r="AE715" s="294" t="s">
        <v>32</v>
      </c>
      <c r="AF715" s="295" t="s">
        <v>32</v>
      </c>
      <c r="AG715" s="287" t="s">
        <v>377</v>
      </c>
      <c r="AH715" s="287" t="s">
        <v>377</v>
      </c>
      <c r="AI715" s="288" t="s">
        <v>377</v>
      </c>
      <c r="AJ715" s="294" t="s">
        <v>32</v>
      </c>
      <c r="AK715" s="294" t="s">
        <v>32</v>
      </c>
      <c r="AL715" s="295" t="s">
        <v>32</v>
      </c>
      <c r="AM715" s="287" t="s">
        <v>377</v>
      </c>
      <c r="AN715" s="287" t="s">
        <v>377</v>
      </c>
      <c r="AO715" s="288" t="s">
        <v>377</v>
      </c>
      <c r="AP715" s="289" t="s">
        <v>377</v>
      </c>
      <c r="AQ715" s="294" t="s">
        <v>32</v>
      </c>
      <c r="AR715" s="294" t="s">
        <v>32</v>
      </c>
      <c r="AS715" s="295" t="s">
        <v>32</v>
      </c>
      <c r="AT715" s="294" t="s">
        <v>32</v>
      </c>
      <c r="AU715" s="294" t="s">
        <v>32</v>
      </c>
      <c r="AV715" s="295" t="s">
        <v>32</v>
      </c>
      <c r="AW715" s="294" t="s">
        <v>32</v>
      </c>
      <c r="AX715" s="294" t="s">
        <v>32</v>
      </c>
      <c r="AY715" s="295" t="s">
        <v>32</v>
      </c>
      <c r="AZ715" s="294" t="s">
        <v>32</v>
      </c>
      <c r="BA715" s="294" t="s">
        <v>32</v>
      </c>
      <c r="BB715" s="295" t="s">
        <v>32</v>
      </c>
      <c r="BC715" s="296" t="s">
        <v>32</v>
      </c>
      <c r="BD715" s="287"/>
    </row>
    <row r="716" ht="12.75" customHeight="1">
      <c r="A716" s="293">
        <v>45267.76573831019</v>
      </c>
      <c r="B716" s="286" t="s">
        <v>486</v>
      </c>
      <c r="C716" s="285" t="s">
        <v>559</v>
      </c>
      <c r="D716" s="285" t="s">
        <v>16</v>
      </c>
      <c r="E716" s="285" t="s">
        <v>577</v>
      </c>
      <c r="F716" s="287" t="s">
        <v>1259</v>
      </c>
      <c r="G716" s="285" t="s">
        <v>21</v>
      </c>
      <c r="H716" s="285">
        <v>17.0</v>
      </c>
      <c r="I716" s="287" t="s">
        <v>479</v>
      </c>
      <c r="J716" s="287" t="s">
        <v>532</v>
      </c>
      <c r="K716" s="287" t="s">
        <v>532</v>
      </c>
      <c r="L716" s="287" t="s">
        <v>497</v>
      </c>
      <c r="M716" s="292"/>
      <c r="N716" s="292"/>
      <c r="O716" s="285" t="s">
        <v>479</v>
      </c>
      <c r="P716" s="287" t="s">
        <v>788</v>
      </c>
      <c r="Q716" s="294" t="s">
        <v>32</v>
      </c>
      <c r="R716" s="294" t="s">
        <v>32</v>
      </c>
      <c r="S716" s="295" t="s">
        <v>32</v>
      </c>
      <c r="T716" s="294" t="s">
        <v>32</v>
      </c>
      <c r="U716" s="294" t="s">
        <v>32</v>
      </c>
      <c r="V716" s="295" t="s">
        <v>32</v>
      </c>
      <c r="W716" s="287" t="s">
        <v>377</v>
      </c>
      <c r="X716" s="294" t="s">
        <v>32</v>
      </c>
      <c r="Y716" s="295" t="s">
        <v>32</v>
      </c>
      <c r="Z716" s="294" t="s">
        <v>32</v>
      </c>
      <c r="AA716" s="294" t="s">
        <v>32</v>
      </c>
      <c r="AB716" s="295" t="s">
        <v>32</v>
      </c>
      <c r="AC716" s="296" t="s">
        <v>32</v>
      </c>
      <c r="AD716" s="287" t="s">
        <v>377</v>
      </c>
      <c r="AE716" s="287" t="s">
        <v>377</v>
      </c>
      <c r="AF716" s="288" t="s">
        <v>377</v>
      </c>
      <c r="AG716" s="294" t="s">
        <v>32</v>
      </c>
      <c r="AH716" s="294" t="s">
        <v>32</v>
      </c>
      <c r="AI716" s="295" t="s">
        <v>32</v>
      </c>
      <c r="AJ716" s="294" t="s">
        <v>32</v>
      </c>
      <c r="AK716" s="294" t="s">
        <v>32</v>
      </c>
      <c r="AL716" s="295" t="s">
        <v>32</v>
      </c>
      <c r="AM716" s="287" t="s">
        <v>377</v>
      </c>
      <c r="AN716" s="287" t="s">
        <v>18</v>
      </c>
      <c r="AO716" s="288" t="s">
        <v>377</v>
      </c>
      <c r="AP716" s="289" t="s">
        <v>377</v>
      </c>
      <c r="AQ716" s="287" t="s">
        <v>377</v>
      </c>
      <c r="AR716" s="294" t="s">
        <v>32</v>
      </c>
      <c r="AS716" s="295" t="s">
        <v>32</v>
      </c>
      <c r="AT716" s="294" t="s">
        <v>32</v>
      </c>
      <c r="AU716" s="294" t="s">
        <v>32</v>
      </c>
      <c r="AV716" s="295" t="s">
        <v>32</v>
      </c>
      <c r="AW716" s="294" t="s">
        <v>32</v>
      </c>
      <c r="AX716" s="287" t="s">
        <v>377</v>
      </c>
      <c r="AY716" s="295" t="s">
        <v>32</v>
      </c>
      <c r="AZ716" s="294" t="s">
        <v>32</v>
      </c>
      <c r="BA716" s="294" t="s">
        <v>32</v>
      </c>
      <c r="BB716" s="288" t="s">
        <v>377</v>
      </c>
      <c r="BC716" s="289" t="s">
        <v>377</v>
      </c>
      <c r="BD716" s="287"/>
    </row>
    <row r="717" ht="12.75" customHeight="1">
      <c r="A717" s="293">
        <v>45267.76895686342</v>
      </c>
      <c r="B717" s="286" t="s">
        <v>486</v>
      </c>
      <c r="C717" s="285" t="s">
        <v>559</v>
      </c>
      <c r="D717" s="285" t="s">
        <v>16</v>
      </c>
      <c r="E717" s="285" t="s">
        <v>577</v>
      </c>
      <c r="F717" s="287" t="s">
        <v>1260</v>
      </c>
      <c r="G717" s="285" t="s">
        <v>17</v>
      </c>
      <c r="H717" s="285">
        <v>15.0</v>
      </c>
      <c r="I717" s="287" t="s">
        <v>479</v>
      </c>
      <c r="J717" s="287" t="s">
        <v>532</v>
      </c>
      <c r="K717" s="287" t="s">
        <v>532</v>
      </c>
      <c r="L717" s="287" t="s">
        <v>497</v>
      </c>
      <c r="M717" s="292"/>
      <c r="N717" s="292"/>
      <c r="O717" s="285" t="s">
        <v>479</v>
      </c>
      <c r="P717" s="287" t="s">
        <v>610</v>
      </c>
      <c r="Q717" s="294" t="s">
        <v>32</v>
      </c>
      <c r="R717" s="287" t="s">
        <v>377</v>
      </c>
      <c r="S717" s="295" t="s">
        <v>32</v>
      </c>
      <c r="T717" s="294" t="s">
        <v>32</v>
      </c>
      <c r="U717" s="294" t="s">
        <v>32</v>
      </c>
      <c r="V717" s="295" t="s">
        <v>32</v>
      </c>
      <c r="W717" s="294" t="s">
        <v>32</v>
      </c>
      <c r="X717" s="294" t="s">
        <v>32</v>
      </c>
      <c r="Y717" s="295" t="s">
        <v>32</v>
      </c>
      <c r="Z717" s="294" t="s">
        <v>32</v>
      </c>
      <c r="AA717" s="294" t="s">
        <v>32</v>
      </c>
      <c r="AB717" s="295" t="s">
        <v>32</v>
      </c>
      <c r="AC717" s="296" t="s">
        <v>32</v>
      </c>
      <c r="AD717" s="294" t="s">
        <v>32</v>
      </c>
      <c r="AE717" s="294" t="s">
        <v>32</v>
      </c>
      <c r="AF717" s="295" t="s">
        <v>32</v>
      </c>
      <c r="AG717" s="287" t="s">
        <v>377</v>
      </c>
      <c r="AH717" s="287" t="s">
        <v>377</v>
      </c>
      <c r="AI717" s="288" t="s">
        <v>377</v>
      </c>
      <c r="AJ717" s="287" t="s">
        <v>377</v>
      </c>
      <c r="AK717" s="287" t="s">
        <v>377</v>
      </c>
      <c r="AL717" s="288" t="s">
        <v>377</v>
      </c>
      <c r="AM717" s="287" t="s">
        <v>377</v>
      </c>
      <c r="AN717" s="287" t="s">
        <v>377</v>
      </c>
      <c r="AO717" s="288" t="s">
        <v>377</v>
      </c>
      <c r="AP717" s="289" t="s">
        <v>377</v>
      </c>
      <c r="AQ717" s="294" t="s">
        <v>32</v>
      </c>
      <c r="AR717" s="294" t="s">
        <v>32</v>
      </c>
      <c r="AS717" s="295" t="s">
        <v>32</v>
      </c>
      <c r="AT717" s="294" t="s">
        <v>32</v>
      </c>
      <c r="AU717" s="294" t="s">
        <v>32</v>
      </c>
      <c r="AV717" s="295" t="s">
        <v>32</v>
      </c>
      <c r="AW717" s="294" t="s">
        <v>32</v>
      </c>
      <c r="AX717" s="294" t="s">
        <v>32</v>
      </c>
      <c r="AY717" s="295" t="s">
        <v>32</v>
      </c>
      <c r="AZ717" s="294" t="s">
        <v>32</v>
      </c>
      <c r="BA717" s="294" t="s">
        <v>32</v>
      </c>
      <c r="BB717" s="288" t="s">
        <v>377</v>
      </c>
      <c r="BC717" s="289" t="s">
        <v>377</v>
      </c>
      <c r="BD717" s="287"/>
    </row>
    <row r="718" ht="12.75" customHeight="1">
      <c r="A718" s="293">
        <v>45280.61832659722</v>
      </c>
      <c r="B718" s="286" t="s">
        <v>486</v>
      </c>
      <c r="C718" s="285" t="s">
        <v>559</v>
      </c>
      <c r="D718" s="285" t="s">
        <v>16</v>
      </c>
      <c r="E718" s="285" t="s">
        <v>577</v>
      </c>
      <c r="F718" s="287" t="s">
        <v>1261</v>
      </c>
      <c r="G718" s="285" t="s">
        <v>17</v>
      </c>
      <c r="H718" s="285">
        <v>15.0</v>
      </c>
      <c r="I718" s="287" t="s">
        <v>479</v>
      </c>
      <c r="J718" s="287" t="s">
        <v>532</v>
      </c>
      <c r="K718" s="287" t="s">
        <v>532</v>
      </c>
      <c r="L718" s="287" t="s">
        <v>479</v>
      </c>
      <c r="M718" s="287" t="s">
        <v>490</v>
      </c>
      <c r="N718" s="287" t="s">
        <v>483</v>
      </c>
      <c r="O718" s="285" t="s">
        <v>479</v>
      </c>
      <c r="P718" s="287" t="s">
        <v>796</v>
      </c>
      <c r="Q718" s="294" t="s">
        <v>32</v>
      </c>
      <c r="R718" s="294" t="s">
        <v>32</v>
      </c>
      <c r="S718" s="295" t="s">
        <v>32</v>
      </c>
      <c r="T718" s="294" t="s">
        <v>32</v>
      </c>
      <c r="U718" s="294" t="s">
        <v>32</v>
      </c>
      <c r="V718" s="295" t="s">
        <v>32</v>
      </c>
      <c r="W718" s="287" t="s">
        <v>377</v>
      </c>
      <c r="X718" s="294" t="s">
        <v>32</v>
      </c>
      <c r="Y718" s="295" t="s">
        <v>32</v>
      </c>
      <c r="Z718" s="294" t="s">
        <v>32</v>
      </c>
      <c r="AA718" s="294" t="s">
        <v>32</v>
      </c>
      <c r="AB718" s="295" t="s">
        <v>32</v>
      </c>
      <c r="AC718" s="296" t="s">
        <v>32</v>
      </c>
      <c r="AD718" s="287" t="s">
        <v>377</v>
      </c>
      <c r="AE718" s="294" t="s">
        <v>32</v>
      </c>
      <c r="AF718" s="295" t="s">
        <v>32</v>
      </c>
      <c r="AG718" s="287" t="s">
        <v>377</v>
      </c>
      <c r="AH718" s="294" t="s">
        <v>32</v>
      </c>
      <c r="AI718" s="295" t="s">
        <v>32</v>
      </c>
      <c r="AJ718" s="294" t="s">
        <v>32</v>
      </c>
      <c r="AK718" s="294" t="s">
        <v>32</v>
      </c>
      <c r="AL718" s="295" t="s">
        <v>32</v>
      </c>
      <c r="AM718" s="287" t="s">
        <v>377</v>
      </c>
      <c r="AN718" s="294" t="s">
        <v>32</v>
      </c>
      <c r="AO718" s="295" t="s">
        <v>32</v>
      </c>
      <c r="AP718" s="296" t="s">
        <v>32</v>
      </c>
      <c r="AQ718" s="294" t="s">
        <v>32</v>
      </c>
      <c r="AR718" s="294" t="s">
        <v>32</v>
      </c>
      <c r="AS718" s="295" t="s">
        <v>32</v>
      </c>
      <c r="AT718" s="294" t="s">
        <v>32</v>
      </c>
      <c r="AU718" s="294" t="s">
        <v>32</v>
      </c>
      <c r="AV718" s="295" t="s">
        <v>32</v>
      </c>
      <c r="AW718" s="294" t="s">
        <v>32</v>
      </c>
      <c r="AX718" s="294" t="s">
        <v>32</v>
      </c>
      <c r="AY718" s="295" t="s">
        <v>32</v>
      </c>
      <c r="AZ718" s="294" t="s">
        <v>32</v>
      </c>
      <c r="BA718" s="294" t="s">
        <v>32</v>
      </c>
      <c r="BB718" s="295" t="s">
        <v>32</v>
      </c>
      <c r="BC718" s="296" t="s">
        <v>32</v>
      </c>
      <c r="BD718" s="287"/>
    </row>
    <row r="719" ht="12.75" customHeight="1">
      <c r="A719" s="293">
        <v>45280.62168685185</v>
      </c>
      <c r="B719" s="286" t="s">
        <v>486</v>
      </c>
      <c r="C719" s="285" t="s">
        <v>559</v>
      </c>
      <c r="D719" s="285" t="s">
        <v>16</v>
      </c>
      <c r="E719" s="285" t="s">
        <v>577</v>
      </c>
      <c r="F719" s="287" t="s">
        <v>1262</v>
      </c>
      <c r="G719" s="285" t="s">
        <v>21</v>
      </c>
      <c r="H719" s="285">
        <v>16.0</v>
      </c>
      <c r="I719" s="287" t="s">
        <v>479</v>
      </c>
      <c r="J719" s="287" t="s">
        <v>532</v>
      </c>
      <c r="K719" s="287" t="s">
        <v>532</v>
      </c>
      <c r="L719" s="287" t="s">
        <v>479</v>
      </c>
      <c r="M719" s="287" t="s">
        <v>483</v>
      </c>
      <c r="N719" s="287" t="s">
        <v>483</v>
      </c>
      <c r="O719" s="285" t="s">
        <v>479</v>
      </c>
      <c r="P719" s="287" t="s">
        <v>1263</v>
      </c>
      <c r="Q719" s="294" t="s">
        <v>32</v>
      </c>
      <c r="R719" s="294" t="s">
        <v>32</v>
      </c>
      <c r="S719" s="295" t="s">
        <v>32</v>
      </c>
      <c r="T719" s="287" t="s">
        <v>377</v>
      </c>
      <c r="U719" s="294" t="s">
        <v>32</v>
      </c>
      <c r="V719" s="295" t="s">
        <v>32</v>
      </c>
      <c r="W719" s="294" t="s">
        <v>32</v>
      </c>
      <c r="X719" s="294" t="s">
        <v>32</v>
      </c>
      <c r="Y719" s="295" t="s">
        <v>32</v>
      </c>
      <c r="Z719" s="294" t="s">
        <v>32</v>
      </c>
      <c r="AA719" s="294" t="s">
        <v>32</v>
      </c>
      <c r="AB719" s="295" t="s">
        <v>32</v>
      </c>
      <c r="AC719" s="296" t="s">
        <v>32</v>
      </c>
      <c r="AD719" s="287" t="s">
        <v>18</v>
      </c>
      <c r="AE719" s="294" t="s">
        <v>32</v>
      </c>
      <c r="AF719" s="288" t="s">
        <v>377</v>
      </c>
      <c r="AG719" s="287" t="s">
        <v>377</v>
      </c>
      <c r="AH719" s="294" t="s">
        <v>32</v>
      </c>
      <c r="AI719" s="295" t="s">
        <v>32</v>
      </c>
      <c r="AJ719" s="294" t="s">
        <v>32</v>
      </c>
      <c r="AK719" s="294" t="s">
        <v>32</v>
      </c>
      <c r="AL719" s="295" t="s">
        <v>32</v>
      </c>
      <c r="AM719" s="287" t="s">
        <v>18</v>
      </c>
      <c r="AN719" s="287" t="s">
        <v>18</v>
      </c>
      <c r="AO719" s="288" t="s">
        <v>18</v>
      </c>
      <c r="AP719" s="289" t="s">
        <v>377</v>
      </c>
      <c r="AQ719" s="294" t="s">
        <v>32</v>
      </c>
      <c r="AR719" s="294" t="s">
        <v>32</v>
      </c>
      <c r="AS719" s="295" t="s">
        <v>32</v>
      </c>
      <c r="AT719" s="294" t="s">
        <v>32</v>
      </c>
      <c r="AU719" s="294" t="s">
        <v>32</v>
      </c>
      <c r="AV719" s="295" t="s">
        <v>32</v>
      </c>
      <c r="AW719" s="294" t="s">
        <v>32</v>
      </c>
      <c r="AX719" s="294" t="s">
        <v>32</v>
      </c>
      <c r="AY719" s="295" t="s">
        <v>32</v>
      </c>
      <c r="AZ719" s="294" t="s">
        <v>32</v>
      </c>
      <c r="BA719" s="294" t="s">
        <v>32</v>
      </c>
      <c r="BB719" s="295" t="s">
        <v>32</v>
      </c>
      <c r="BC719" s="296" t="s">
        <v>32</v>
      </c>
      <c r="BD719" s="287"/>
    </row>
    <row r="720" ht="12.75" customHeight="1">
      <c r="A720" s="293">
        <v>45281.85415568287</v>
      </c>
      <c r="B720" s="286" t="s">
        <v>486</v>
      </c>
      <c r="C720" s="285" t="s">
        <v>559</v>
      </c>
      <c r="D720" s="285" t="s">
        <v>16</v>
      </c>
      <c r="E720" s="285" t="s">
        <v>577</v>
      </c>
      <c r="F720" s="287" t="s">
        <v>1264</v>
      </c>
      <c r="G720" s="285" t="s">
        <v>21</v>
      </c>
      <c r="H720" s="285">
        <v>16.0</v>
      </c>
      <c r="I720" s="287" t="s">
        <v>479</v>
      </c>
      <c r="J720" s="287" t="s">
        <v>532</v>
      </c>
      <c r="K720" s="287" t="s">
        <v>532</v>
      </c>
      <c r="L720" s="287" t="s">
        <v>479</v>
      </c>
      <c r="M720" s="287" t="s">
        <v>483</v>
      </c>
      <c r="N720" s="287" t="s">
        <v>483</v>
      </c>
      <c r="O720" s="285" t="s">
        <v>497</v>
      </c>
      <c r="P720" s="292"/>
      <c r="Q720" s="287" t="s">
        <v>377</v>
      </c>
      <c r="R720" s="287" t="s">
        <v>377</v>
      </c>
      <c r="S720" s="288" t="s">
        <v>377</v>
      </c>
      <c r="T720" s="287" t="s">
        <v>377</v>
      </c>
      <c r="U720" s="287" t="s">
        <v>377</v>
      </c>
      <c r="V720" s="288" t="s">
        <v>377</v>
      </c>
      <c r="W720" s="287" t="s">
        <v>377</v>
      </c>
      <c r="X720" s="287" t="s">
        <v>377</v>
      </c>
      <c r="Y720" s="288" t="s">
        <v>377</v>
      </c>
      <c r="Z720" s="287" t="s">
        <v>377</v>
      </c>
      <c r="AA720" s="287" t="s">
        <v>377</v>
      </c>
      <c r="AB720" s="288" t="s">
        <v>377</v>
      </c>
      <c r="AC720" s="289" t="s">
        <v>377</v>
      </c>
      <c r="AD720" s="287" t="s">
        <v>377</v>
      </c>
      <c r="AE720" s="287" t="s">
        <v>377</v>
      </c>
      <c r="AF720" s="288" t="s">
        <v>377</v>
      </c>
      <c r="AG720" s="287" t="s">
        <v>377</v>
      </c>
      <c r="AH720" s="287" t="s">
        <v>377</v>
      </c>
      <c r="AI720" s="288" t="s">
        <v>377</v>
      </c>
      <c r="AJ720" s="287" t="s">
        <v>377</v>
      </c>
      <c r="AK720" s="287" t="s">
        <v>377</v>
      </c>
      <c r="AL720" s="288" t="s">
        <v>377</v>
      </c>
      <c r="AM720" s="287" t="s">
        <v>18</v>
      </c>
      <c r="AN720" s="287" t="s">
        <v>18</v>
      </c>
      <c r="AO720" s="288" t="s">
        <v>18</v>
      </c>
      <c r="AP720" s="289" t="s">
        <v>377</v>
      </c>
      <c r="AQ720" s="294" t="s">
        <v>32</v>
      </c>
      <c r="AR720" s="294" t="s">
        <v>32</v>
      </c>
      <c r="AS720" s="295" t="s">
        <v>32</v>
      </c>
      <c r="AT720" s="294" t="s">
        <v>32</v>
      </c>
      <c r="AU720" s="294" t="s">
        <v>32</v>
      </c>
      <c r="AV720" s="295" t="s">
        <v>32</v>
      </c>
      <c r="AW720" s="287" t="s">
        <v>18</v>
      </c>
      <c r="AX720" s="287" t="s">
        <v>377</v>
      </c>
      <c r="AY720" s="288" t="s">
        <v>377</v>
      </c>
      <c r="AZ720" s="294" t="s">
        <v>32</v>
      </c>
      <c r="BA720" s="294" t="s">
        <v>32</v>
      </c>
      <c r="BB720" s="295" t="s">
        <v>32</v>
      </c>
      <c r="BC720" s="296" t="s">
        <v>32</v>
      </c>
      <c r="BD720" s="287"/>
    </row>
    <row r="721" ht="12.75" customHeight="1">
      <c r="A721" s="293">
        <v>45281.86052494213</v>
      </c>
      <c r="B721" s="286" t="s">
        <v>486</v>
      </c>
      <c r="C721" s="285" t="s">
        <v>559</v>
      </c>
      <c r="D721" s="285" t="s">
        <v>16</v>
      </c>
      <c r="E721" s="285" t="s">
        <v>577</v>
      </c>
      <c r="F721" s="287" t="s">
        <v>1265</v>
      </c>
      <c r="G721" s="285" t="s">
        <v>21</v>
      </c>
      <c r="H721" s="285">
        <v>16.0</v>
      </c>
      <c r="I721" s="287" t="s">
        <v>479</v>
      </c>
      <c r="J721" s="287" t="s">
        <v>532</v>
      </c>
      <c r="K721" s="287" t="s">
        <v>532</v>
      </c>
      <c r="L721" s="287" t="s">
        <v>479</v>
      </c>
      <c r="M721" s="287" t="s">
        <v>490</v>
      </c>
      <c r="N721" s="287" t="s">
        <v>490</v>
      </c>
      <c r="O721" s="285" t="s">
        <v>479</v>
      </c>
      <c r="P721" s="287" t="s">
        <v>580</v>
      </c>
      <c r="Q721" s="294" t="s">
        <v>32</v>
      </c>
      <c r="R721" s="294" t="s">
        <v>32</v>
      </c>
      <c r="S721" s="295" t="s">
        <v>32</v>
      </c>
      <c r="T721" s="294" t="s">
        <v>32</v>
      </c>
      <c r="U721" s="294" t="s">
        <v>32</v>
      </c>
      <c r="V721" s="295" t="s">
        <v>32</v>
      </c>
      <c r="W721" s="294" t="s">
        <v>32</v>
      </c>
      <c r="X721" s="287" t="s">
        <v>377</v>
      </c>
      <c r="Y721" s="295" t="s">
        <v>32</v>
      </c>
      <c r="Z721" s="294" t="s">
        <v>32</v>
      </c>
      <c r="AA721" s="294" t="s">
        <v>32</v>
      </c>
      <c r="AB721" s="295" t="s">
        <v>32</v>
      </c>
      <c r="AC721" s="296" t="s">
        <v>32</v>
      </c>
      <c r="AD721" s="294" t="s">
        <v>32</v>
      </c>
      <c r="AE721" s="294" t="s">
        <v>32</v>
      </c>
      <c r="AF721" s="295" t="s">
        <v>32</v>
      </c>
      <c r="AG721" s="294" t="s">
        <v>32</v>
      </c>
      <c r="AH721" s="287" t="s">
        <v>377</v>
      </c>
      <c r="AI721" s="295" t="s">
        <v>32</v>
      </c>
      <c r="AJ721" s="294" t="s">
        <v>32</v>
      </c>
      <c r="AK721" s="287" t="s">
        <v>377</v>
      </c>
      <c r="AL721" s="295" t="s">
        <v>32</v>
      </c>
      <c r="AM721" s="287" t="s">
        <v>18</v>
      </c>
      <c r="AN721" s="287" t="s">
        <v>18</v>
      </c>
      <c r="AO721" s="288" t="s">
        <v>18</v>
      </c>
      <c r="AP721" s="289" t="s">
        <v>377</v>
      </c>
      <c r="AQ721" s="294" t="s">
        <v>32</v>
      </c>
      <c r="AR721" s="294" t="s">
        <v>32</v>
      </c>
      <c r="AS721" s="295" t="s">
        <v>32</v>
      </c>
      <c r="AT721" s="294" t="s">
        <v>32</v>
      </c>
      <c r="AU721" s="294" t="s">
        <v>32</v>
      </c>
      <c r="AV721" s="295" t="s">
        <v>32</v>
      </c>
      <c r="AW721" s="287" t="s">
        <v>18</v>
      </c>
      <c r="AX721" s="287" t="s">
        <v>377</v>
      </c>
      <c r="AY721" s="288" t="s">
        <v>377</v>
      </c>
      <c r="AZ721" s="294" t="s">
        <v>32</v>
      </c>
      <c r="BA721" s="294" t="s">
        <v>32</v>
      </c>
      <c r="BB721" s="295" t="s">
        <v>32</v>
      </c>
      <c r="BC721" s="289" t="s">
        <v>377</v>
      </c>
      <c r="BD721" s="287"/>
    </row>
    <row r="722" ht="12.75" customHeight="1">
      <c r="A722" s="293">
        <v>45281.92507805556</v>
      </c>
      <c r="B722" s="286" t="s">
        <v>486</v>
      </c>
      <c r="C722" s="285" t="s">
        <v>559</v>
      </c>
      <c r="D722" s="285" t="s">
        <v>16</v>
      </c>
      <c r="E722" s="285" t="s">
        <v>577</v>
      </c>
      <c r="F722" s="287" t="s">
        <v>1266</v>
      </c>
      <c r="G722" s="285" t="s">
        <v>21</v>
      </c>
      <c r="H722" s="285">
        <v>16.0</v>
      </c>
      <c r="I722" s="287" t="s">
        <v>479</v>
      </c>
      <c r="J722" s="287" t="s">
        <v>532</v>
      </c>
      <c r="K722" s="287" t="s">
        <v>532</v>
      </c>
      <c r="L722" s="287" t="s">
        <v>479</v>
      </c>
      <c r="M722" s="287" t="s">
        <v>490</v>
      </c>
      <c r="N722" s="287" t="s">
        <v>483</v>
      </c>
      <c r="O722" s="285" t="s">
        <v>479</v>
      </c>
      <c r="P722" s="287" t="s">
        <v>643</v>
      </c>
      <c r="Q722" s="294" t="s">
        <v>32</v>
      </c>
      <c r="R722" s="294" t="s">
        <v>32</v>
      </c>
      <c r="S722" s="295" t="s">
        <v>32</v>
      </c>
      <c r="T722" s="287" t="s">
        <v>377</v>
      </c>
      <c r="U722" s="294" t="s">
        <v>32</v>
      </c>
      <c r="V722" s="295" t="s">
        <v>32</v>
      </c>
      <c r="W722" s="294" t="s">
        <v>32</v>
      </c>
      <c r="X722" s="287" t="s">
        <v>377</v>
      </c>
      <c r="Y722" s="295" t="s">
        <v>32</v>
      </c>
      <c r="Z722" s="294" t="s">
        <v>32</v>
      </c>
      <c r="AA722" s="294" t="s">
        <v>32</v>
      </c>
      <c r="AB722" s="295" t="s">
        <v>32</v>
      </c>
      <c r="AC722" s="296" t="s">
        <v>32</v>
      </c>
      <c r="AD722" s="287" t="s">
        <v>377</v>
      </c>
      <c r="AE722" s="294" t="s">
        <v>32</v>
      </c>
      <c r="AF722" s="295" t="s">
        <v>32</v>
      </c>
      <c r="AG722" s="287" t="s">
        <v>377</v>
      </c>
      <c r="AH722" s="294" t="s">
        <v>32</v>
      </c>
      <c r="AI722" s="295" t="s">
        <v>32</v>
      </c>
      <c r="AJ722" s="287" t="s">
        <v>377</v>
      </c>
      <c r="AK722" s="294" t="s">
        <v>32</v>
      </c>
      <c r="AL722" s="295" t="s">
        <v>32</v>
      </c>
      <c r="AM722" s="287" t="s">
        <v>377</v>
      </c>
      <c r="AN722" s="294" t="s">
        <v>32</v>
      </c>
      <c r="AO722" s="295" t="s">
        <v>32</v>
      </c>
      <c r="AP722" s="296" t="s">
        <v>32</v>
      </c>
      <c r="AQ722" s="287" t="s">
        <v>377</v>
      </c>
      <c r="AR722" s="294" t="s">
        <v>32</v>
      </c>
      <c r="AS722" s="295" t="s">
        <v>32</v>
      </c>
      <c r="AT722" s="294" t="s">
        <v>32</v>
      </c>
      <c r="AU722" s="294" t="s">
        <v>32</v>
      </c>
      <c r="AV722" s="295" t="s">
        <v>32</v>
      </c>
      <c r="AW722" s="294" t="s">
        <v>32</v>
      </c>
      <c r="AX722" s="287" t="s">
        <v>377</v>
      </c>
      <c r="AY722" s="295" t="s">
        <v>32</v>
      </c>
      <c r="AZ722" s="294" t="s">
        <v>32</v>
      </c>
      <c r="BA722" s="294" t="s">
        <v>32</v>
      </c>
      <c r="BB722" s="288" t="s">
        <v>377</v>
      </c>
      <c r="BC722" s="289" t="s">
        <v>377</v>
      </c>
      <c r="BD722" s="287"/>
    </row>
    <row r="723" ht="12.75" customHeight="1">
      <c r="A723" s="293">
        <v>45281.92823259259</v>
      </c>
      <c r="B723" s="286" t="s">
        <v>486</v>
      </c>
      <c r="C723" s="285" t="s">
        <v>559</v>
      </c>
      <c r="D723" s="285" t="s">
        <v>16</v>
      </c>
      <c r="E723" s="285" t="s">
        <v>577</v>
      </c>
      <c r="F723" s="287" t="s">
        <v>1267</v>
      </c>
      <c r="G723" s="285" t="s">
        <v>17</v>
      </c>
      <c r="H723" s="285">
        <v>16.0</v>
      </c>
      <c r="I723" s="287" t="s">
        <v>479</v>
      </c>
      <c r="J723" s="287" t="s">
        <v>532</v>
      </c>
      <c r="K723" s="287" t="s">
        <v>532</v>
      </c>
      <c r="L723" s="287" t="s">
        <v>479</v>
      </c>
      <c r="M723" s="287" t="s">
        <v>490</v>
      </c>
      <c r="N723" s="287" t="s">
        <v>483</v>
      </c>
      <c r="O723" s="285" t="s">
        <v>479</v>
      </c>
      <c r="P723" s="287" t="s">
        <v>643</v>
      </c>
      <c r="Q723" s="294" t="s">
        <v>32</v>
      </c>
      <c r="R723" s="294" t="s">
        <v>32</v>
      </c>
      <c r="S723" s="295" t="s">
        <v>32</v>
      </c>
      <c r="T723" s="294" t="s">
        <v>32</v>
      </c>
      <c r="U723" s="294" t="s">
        <v>32</v>
      </c>
      <c r="V723" s="295" t="s">
        <v>32</v>
      </c>
      <c r="W723" s="287" t="s">
        <v>377</v>
      </c>
      <c r="X723" s="287" t="s">
        <v>377</v>
      </c>
      <c r="Y723" s="288" t="s">
        <v>377</v>
      </c>
      <c r="Z723" s="294" t="s">
        <v>32</v>
      </c>
      <c r="AA723" s="294" t="s">
        <v>32</v>
      </c>
      <c r="AB723" s="295" t="s">
        <v>32</v>
      </c>
      <c r="AC723" s="296" t="s">
        <v>32</v>
      </c>
      <c r="AD723" s="287" t="s">
        <v>377</v>
      </c>
      <c r="AE723" s="287" t="s">
        <v>377</v>
      </c>
      <c r="AF723" s="288" t="s">
        <v>377</v>
      </c>
      <c r="AG723" s="294" t="s">
        <v>32</v>
      </c>
      <c r="AH723" s="287" t="s">
        <v>377</v>
      </c>
      <c r="AI723" s="295" t="s">
        <v>32</v>
      </c>
      <c r="AJ723" s="294" t="s">
        <v>32</v>
      </c>
      <c r="AK723" s="294" t="s">
        <v>32</v>
      </c>
      <c r="AL723" s="295" t="s">
        <v>32</v>
      </c>
      <c r="AM723" s="287" t="s">
        <v>377</v>
      </c>
      <c r="AN723" s="287" t="s">
        <v>18</v>
      </c>
      <c r="AO723" s="288" t="s">
        <v>377</v>
      </c>
      <c r="AP723" s="289" t="s">
        <v>377</v>
      </c>
      <c r="AQ723" s="294" t="s">
        <v>32</v>
      </c>
      <c r="AR723" s="294" t="s">
        <v>32</v>
      </c>
      <c r="AS723" s="295" t="s">
        <v>32</v>
      </c>
      <c r="AT723" s="294" t="s">
        <v>32</v>
      </c>
      <c r="AU723" s="294" t="s">
        <v>32</v>
      </c>
      <c r="AV723" s="295" t="s">
        <v>32</v>
      </c>
      <c r="AW723" s="287" t="s">
        <v>377</v>
      </c>
      <c r="AX723" s="294" t="s">
        <v>32</v>
      </c>
      <c r="AY723" s="295" t="s">
        <v>32</v>
      </c>
      <c r="AZ723" s="294" t="s">
        <v>32</v>
      </c>
      <c r="BA723" s="294" t="s">
        <v>32</v>
      </c>
      <c r="BB723" s="295" t="s">
        <v>32</v>
      </c>
      <c r="BC723" s="289" t="s">
        <v>377</v>
      </c>
      <c r="BD723" s="287"/>
    </row>
    <row r="724" ht="12.75" customHeight="1">
      <c r="A724" s="293">
        <v>45281.931358437505</v>
      </c>
      <c r="B724" s="286" t="s">
        <v>486</v>
      </c>
      <c r="C724" s="285" t="s">
        <v>559</v>
      </c>
      <c r="D724" s="285" t="s">
        <v>16</v>
      </c>
      <c r="E724" s="285" t="s">
        <v>577</v>
      </c>
      <c r="F724" s="287" t="s">
        <v>1268</v>
      </c>
      <c r="G724" s="285" t="s">
        <v>21</v>
      </c>
      <c r="H724" s="285">
        <v>15.0</v>
      </c>
      <c r="I724" s="287" t="s">
        <v>479</v>
      </c>
      <c r="J724" s="287" t="s">
        <v>532</v>
      </c>
      <c r="K724" s="287" t="s">
        <v>532</v>
      </c>
      <c r="L724" s="287" t="s">
        <v>479</v>
      </c>
      <c r="M724" s="287" t="s">
        <v>481</v>
      </c>
      <c r="N724" s="287" t="s">
        <v>561</v>
      </c>
      <c r="O724" s="285" t="s">
        <v>479</v>
      </c>
      <c r="P724" s="287" t="s">
        <v>1269</v>
      </c>
      <c r="Q724" s="294" t="s">
        <v>32</v>
      </c>
      <c r="R724" s="294" t="s">
        <v>32</v>
      </c>
      <c r="S724" s="295" t="s">
        <v>32</v>
      </c>
      <c r="T724" s="294" t="s">
        <v>32</v>
      </c>
      <c r="U724" s="294" t="s">
        <v>32</v>
      </c>
      <c r="V724" s="295" t="s">
        <v>32</v>
      </c>
      <c r="W724" s="294" t="s">
        <v>32</v>
      </c>
      <c r="X724" s="294" t="s">
        <v>32</v>
      </c>
      <c r="Y724" s="295" t="s">
        <v>32</v>
      </c>
      <c r="Z724" s="294" t="s">
        <v>32</v>
      </c>
      <c r="AA724" s="294" t="s">
        <v>32</v>
      </c>
      <c r="AB724" s="295" t="s">
        <v>32</v>
      </c>
      <c r="AC724" s="296" t="s">
        <v>32</v>
      </c>
      <c r="AD724" s="294" t="s">
        <v>32</v>
      </c>
      <c r="AE724" s="294" t="s">
        <v>32</v>
      </c>
      <c r="AF724" s="295" t="s">
        <v>32</v>
      </c>
      <c r="AG724" s="287" t="s">
        <v>377</v>
      </c>
      <c r="AH724" s="294" t="s">
        <v>32</v>
      </c>
      <c r="AI724" s="295" t="s">
        <v>32</v>
      </c>
      <c r="AJ724" s="294" t="s">
        <v>32</v>
      </c>
      <c r="AK724" s="294" t="s">
        <v>32</v>
      </c>
      <c r="AL724" s="295" t="s">
        <v>32</v>
      </c>
      <c r="AM724" s="287" t="s">
        <v>377</v>
      </c>
      <c r="AN724" s="287" t="s">
        <v>377</v>
      </c>
      <c r="AO724" s="288" t="s">
        <v>377</v>
      </c>
      <c r="AP724" s="296" t="s">
        <v>32</v>
      </c>
      <c r="AQ724" s="287" t="s">
        <v>377</v>
      </c>
      <c r="AR724" s="294" t="s">
        <v>32</v>
      </c>
      <c r="AS724" s="295" t="s">
        <v>32</v>
      </c>
      <c r="AT724" s="294" t="s">
        <v>32</v>
      </c>
      <c r="AU724" s="294" t="s">
        <v>32</v>
      </c>
      <c r="AV724" s="295" t="s">
        <v>32</v>
      </c>
      <c r="AW724" s="287" t="s">
        <v>377</v>
      </c>
      <c r="AX724" s="294" t="s">
        <v>32</v>
      </c>
      <c r="AY724" s="295" t="s">
        <v>32</v>
      </c>
      <c r="AZ724" s="294" t="s">
        <v>32</v>
      </c>
      <c r="BA724" s="294" t="s">
        <v>32</v>
      </c>
      <c r="BB724" s="295" t="s">
        <v>32</v>
      </c>
      <c r="BC724" s="296" t="s">
        <v>32</v>
      </c>
      <c r="BD724" s="287"/>
    </row>
    <row r="725" ht="12.75" customHeight="1">
      <c r="A725" s="293">
        <v>45281.93711370371</v>
      </c>
      <c r="B725" s="286" t="s">
        <v>486</v>
      </c>
      <c r="C725" s="285" t="s">
        <v>559</v>
      </c>
      <c r="D725" s="285" t="s">
        <v>16</v>
      </c>
      <c r="E725" s="285" t="s">
        <v>577</v>
      </c>
      <c r="F725" s="287" t="s">
        <v>1270</v>
      </c>
      <c r="G725" s="285" t="s">
        <v>21</v>
      </c>
      <c r="H725" s="285">
        <v>16.0</v>
      </c>
      <c r="I725" s="287" t="s">
        <v>479</v>
      </c>
      <c r="J725" s="287" t="s">
        <v>532</v>
      </c>
      <c r="K725" s="287" t="s">
        <v>532</v>
      </c>
      <c r="L725" s="287" t="s">
        <v>479</v>
      </c>
      <c r="M725" s="287" t="s">
        <v>490</v>
      </c>
      <c r="N725" s="287" t="s">
        <v>483</v>
      </c>
      <c r="O725" s="285" t="s">
        <v>497</v>
      </c>
      <c r="P725" s="292"/>
      <c r="Q725" s="294" t="s">
        <v>32</v>
      </c>
      <c r="R725" s="287" t="s">
        <v>377</v>
      </c>
      <c r="S725" s="295" t="s">
        <v>32</v>
      </c>
      <c r="T725" s="287" t="s">
        <v>377</v>
      </c>
      <c r="U725" s="287" t="s">
        <v>377</v>
      </c>
      <c r="V725" s="288" t="s">
        <v>377</v>
      </c>
      <c r="W725" s="287" t="s">
        <v>18</v>
      </c>
      <c r="X725" s="287" t="s">
        <v>377</v>
      </c>
      <c r="Y725" s="288" t="s">
        <v>377</v>
      </c>
      <c r="Z725" s="294" t="s">
        <v>32</v>
      </c>
      <c r="AA725" s="287" t="s">
        <v>377</v>
      </c>
      <c r="AB725" s="295" t="s">
        <v>32</v>
      </c>
      <c r="AC725" s="289" t="s">
        <v>377</v>
      </c>
      <c r="AD725" s="294" t="s">
        <v>32</v>
      </c>
      <c r="AE725" s="294" t="s">
        <v>32</v>
      </c>
      <c r="AF725" s="295" t="s">
        <v>32</v>
      </c>
      <c r="AG725" s="287" t="s">
        <v>377</v>
      </c>
      <c r="AH725" s="294" t="s">
        <v>32</v>
      </c>
      <c r="AI725" s="295" t="s">
        <v>32</v>
      </c>
      <c r="AJ725" s="287" t="s">
        <v>377</v>
      </c>
      <c r="AK725" s="294" t="s">
        <v>32</v>
      </c>
      <c r="AL725" s="295" t="s">
        <v>32</v>
      </c>
      <c r="AM725" s="294" t="s">
        <v>32</v>
      </c>
      <c r="AN725" s="287" t="s">
        <v>377</v>
      </c>
      <c r="AO725" s="295" t="s">
        <v>32</v>
      </c>
      <c r="AP725" s="296" t="s">
        <v>32</v>
      </c>
      <c r="AQ725" s="294" t="s">
        <v>32</v>
      </c>
      <c r="AR725" s="294" t="s">
        <v>32</v>
      </c>
      <c r="AS725" s="295" t="s">
        <v>32</v>
      </c>
      <c r="AT725" s="294" t="s">
        <v>32</v>
      </c>
      <c r="AU725" s="294" t="s">
        <v>32</v>
      </c>
      <c r="AV725" s="295" t="s">
        <v>32</v>
      </c>
      <c r="AW725" s="294" t="s">
        <v>32</v>
      </c>
      <c r="AX725" s="294" t="s">
        <v>32</v>
      </c>
      <c r="AY725" s="295" t="s">
        <v>32</v>
      </c>
      <c r="AZ725" s="294" t="s">
        <v>32</v>
      </c>
      <c r="BA725" s="294" t="s">
        <v>32</v>
      </c>
      <c r="BB725" s="295" t="s">
        <v>32</v>
      </c>
      <c r="BC725" s="296" t="s">
        <v>32</v>
      </c>
      <c r="BD725" s="287"/>
    </row>
    <row r="726" ht="12.75" customHeight="1">
      <c r="A726" s="293">
        <v>45281.96087841435</v>
      </c>
      <c r="B726" s="286" t="s">
        <v>486</v>
      </c>
      <c r="C726" s="285" t="s">
        <v>559</v>
      </c>
      <c r="D726" s="285" t="s">
        <v>16</v>
      </c>
      <c r="E726" s="285" t="s">
        <v>577</v>
      </c>
      <c r="F726" s="287" t="s">
        <v>1271</v>
      </c>
      <c r="G726" s="285" t="s">
        <v>17</v>
      </c>
      <c r="H726" s="285">
        <v>17.0</v>
      </c>
      <c r="I726" s="287" t="s">
        <v>479</v>
      </c>
      <c r="J726" s="287" t="s">
        <v>532</v>
      </c>
      <c r="K726" s="287" t="s">
        <v>532</v>
      </c>
      <c r="L726" s="287" t="s">
        <v>479</v>
      </c>
      <c r="M726" s="287" t="s">
        <v>483</v>
      </c>
      <c r="N726" s="287" t="s">
        <v>561</v>
      </c>
      <c r="O726" s="285" t="s">
        <v>479</v>
      </c>
      <c r="P726" s="287" t="s">
        <v>629</v>
      </c>
      <c r="Q726" s="287" t="s">
        <v>377</v>
      </c>
      <c r="R726" s="287" t="s">
        <v>377</v>
      </c>
      <c r="S726" s="288" t="s">
        <v>377</v>
      </c>
      <c r="T726" s="287" t="s">
        <v>377</v>
      </c>
      <c r="U726" s="294" t="s">
        <v>32</v>
      </c>
      <c r="V726" s="295" t="s">
        <v>32</v>
      </c>
      <c r="W726" s="287" t="s">
        <v>377</v>
      </c>
      <c r="X726" s="287" t="s">
        <v>377</v>
      </c>
      <c r="Y726" s="288" t="s">
        <v>377</v>
      </c>
      <c r="Z726" s="294" t="s">
        <v>32</v>
      </c>
      <c r="AA726" s="287" t="s">
        <v>377</v>
      </c>
      <c r="AB726" s="295" t="s">
        <v>32</v>
      </c>
      <c r="AC726" s="289" t="s">
        <v>377</v>
      </c>
      <c r="AD726" s="287" t="s">
        <v>377</v>
      </c>
      <c r="AE726" s="287" t="s">
        <v>377</v>
      </c>
      <c r="AF726" s="288" t="s">
        <v>377</v>
      </c>
      <c r="AG726" s="287" t="s">
        <v>377</v>
      </c>
      <c r="AH726" s="294" t="s">
        <v>32</v>
      </c>
      <c r="AI726" s="295" t="s">
        <v>32</v>
      </c>
      <c r="AJ726" s="294" t="s">
        <v>32</v>
      </c>
      <c r="AK726" s="287" t="s">
        <v>377</v>
      </c>
      <c r="AL726" s="295" t="s">
        <v>32</v>
      </c>
      <c r="AM726" s="287" t="s">
        <v>18</v>
      </c>
      <c r="AN726" s="287" t="s">
        <v>377</v>
      </c>
      <c r="AO726" s="288" t="s">
        <v>377</v>
      </c>
      <c r="AP726" s="289" t="s">
        <v>377</v>
      </c>
      <c r="AQ726" s="294" t="s">
        <v>32</v>
      </c>
      <c r="AR726" s="294" t="s">
        <v>32</v>
      </c>
      <c r="AS726" s="295" t="s">
        <v>32</v>
      </c>
      <c r="AT726" s="294" t="s">
        <v>32</v>
      </c>
      <c r="AU726" s="294" t="s">
        <v>32</v>
      </c>
      <c r="AV726" s="295" t="s">
        <v>32</v>
      </c>
      <c r="AW726" s="287" t="s">
        <v>377</v>
      </c>
      <c r="AX726" s="294" t="s">
        <v>32</v>
      </c>
      <c r="AY726" s="295" t="s">
        <v>32</v>
      </c>
      <c r="AZ726" s="294" t="s">
        <v>32</v>
      </c>
      <c r="BA726" s="294" t="s">
        <v>32</v>
      </c>
      <c r="BB726" s="295" t="s">
        <v>32</v>
      </c>
      <c r="BC726" s="296" t="s">
        <v>32</v>
      </c>
      <c r="BD726" s="287"/>
    </row>
    <row r="727" ht="12.75" customHeight="1">
      <c r="A727" s="293">
        <v>45281.96318503472</v>
      </c>
      <c r="B727" s="286" t="s">
        <v>486</v>
      </c>
      <c r="C727" s="285" t="s">
        <v>559</v>
      </c>
      <c r="D727" s="285" t="s">
        <v>16</v>
      </c>
      <c r="E727" s="285" t="s">
        <v>577</v>
      </c>
      <c r="F727" s="287" t="s">
        <v>1272</v>
      </c>
      <c r="G727" s="285" t="s">
        <v>17</v>
      </c>
      <c r="H727" s="285">
        <v>16.0</v>
      </c>
      <c r="I727" s="287" t="s">
        <v>479</v>
      </c>
      <c r="J727" s="287" t="s">
        <v>532</v>
      </c>
      <c r="K727" s="287" t="s">
        <v>532</v>
      </c>
      <c r="L727" s="287" t="s">
        <v>479</v>
      </c>
      <c r="M727" s="287" t="s">
        <v>490</v>
      </c>
      <c r="N727" s="287" t="s">
        <v>483</v>
      </c>
      <c r="O727" s="285" t="s">
        <v>479</v>
      </c>
      <c r="P727" s="287" t="s">
        <v>788</v>
      </c>
      <c r="Q727" s="294" t="s">
        <v>32</v>
      </c>
      <c r="R727" s="294" t="s">
        <v>32</v>
      </c>
      <c r="S727" s="295" t="s">
        <v>32</v>
      </c>
      <c r="T727" s="287" t="s">
        <v>18</v>
      </c>
      <c r="U727" s="294" t="s">
        <v>32</v>
      </c>
      <c r="V727" s="288" t="s">
        <v>377</v>
      </c>
      <c r="W727" s="294" t="s">
        <v>32</v>
      </c>
      <c r="X727" s="294" t="s">
        <v>32</v>
      </c>
      <c r="Y727" s="295" t="s">
        <v>32</v>
      </c>
      <c r="Z727" s="294" t="s">
        <v>32</v>
      </c>
      <c r="AA727" s="294" t="s">
        <v>32</v>
      </c>
      <c r="AB727" s="295" t="s">
        <v>32</v>
      </c>
      <c r="AC727" s="296" t="s">
        <v>32</v>
      </c>
      <c r="AD727" s="287" t="s">
        <v>377</v>
      </c>
      <c r="AE727" s="294" t="s">
        <v>32</v>
      </c>
      <c r="AF727" s="295" t="s">
        <v>32</v>
      </c>
      <c r="AG727" s="294" t="s">
        <v>32</v>
      </c>
      <c r="AH727" s="294" t="s">
        <v>32</v>
      </c>
      <c r="AI727" s="295" t="s">
        <v>32</v>
      </c>
      <c r="AJ727" s="294" t="s">
        <v>32</v>
      </c>
      <c r="AK727" s="294" t="s">
        <v>32</v>
      </c>
      <c r="AL727" s="295" t="s">
        <v>32</v>
      </c>
      <c r="AM727" s="287" t="s">
        <v>377</v>
      </c>
      <c r="AN727" s="294" t="s">
        <v>32</v>
      </c>
      <c r="AO727" s="295" t="s">
        <v>32</v>
      </c>
      <c r="AP727" s="296" t="s">
        <v>32</v>
      </c>
      <c r="AQ727" s="294" t="s">
        <v>32</v>
      </c>
      <c r="AR727" s="294" t="s">
        <v>32</v>
      </c>
      <c r="AS727" s="295" t="s">
        <v>32</v>
      </c>
      <c r="AT727" s="294" t="s">
        <v>32</v>
      </c>
      <c r="AU727" s="294" t="s">
        <v>32</v>
      </c>
      <c r="AV727" s="295" t="s">
        <v>32</v>
      </c>
      <c r="AW727" s="294" t="s">
        <v>32</v>
      </c>
      <c r="AX727" s="294" t="s">
        <v>32</v>
      </c>
      <c r="AY727" s="295" t="s">
        <v>32</v>
      </c>
      <c r="AZ727" s="287" t="s">
        <v>18</v>
      </c>
      <c r="BA727" s="294" t="s">
        <v>32</v>
      </c>
      <c r="BB727" s="288" t="s">
        <v>377</v>
      </c>
      <c r="BC727" s="289" t="s">
        <v>377</v>
      </c>
      <c r="BD727" s="287"/>
    </row>
    <row r="728" ht="12.75" customHeight="1">
      <c r="A728" s="293">
        <v>45281.96564854166</v>
      </c>
      <c r="B728" s="286" t="s">
        <v>486</v>
      </c>
      <c r="C728" s="285" t="s">
        <v>559</v>
      </c>
      <c r="D728" s="285" t="s">
        <v>16</v>
      </c>
      <c r="E728" s="285" t="s">
        <v>577</v>
      </c>
      <c r="F728" s="287" t="s">
        <v>1273</v>
      </c>
      <c r="G728" s="285" t="s">
        <v>17</v>
      </c>
      <c r="H728" s="285">
        <v>15.0</v>
      </c>
      <c r="I728" s="287" t="s">
        <v>479</v>
      </c>
      <c r="J728" s="287" t="s">
        <v>532</v>
      </c>
      <c r="K728" s="287" t="s">
        <v>532</v>
      </c>
      <c r="L728" s="287" t="s">
        <v>479</v>
      </c>
      <c r="M728" s="287" t="s">
        <v>481</v>
      </c>
      <c r="N728" s="287" t="s">
        <v>561</v>
      </c>
      <c r="O728" s="285" t="s">
        <v>479</v>
      </c>
      <c r="P728" s="287" t="s">
        <v>643</v>
      </c>
      <c r="Q728" s="294" t="s">
        <v>32</v>
      </c>
      <c r="R728" s="294" t="s">
        <v>32</v>
      </c>
      <c r="S728" s="295" t="s">
        <v>32</v>
      </c>
      <c r="T728" s="287" t="s">
        <v>377</v>
      </c>
      <c r="U728" s="294" t="s">
        <v>32</v>
      </c>
      <c r="V728" s="295" t="s">
        <v>32</v>
      </c>
      <c r="W728" s="294" t="s">
        <v>32</v>
      </c>
      <c r="X728" s="294" t="s">
        <v>32</v>
      </c>
      <c r="Y728" s="295" t="s">
        <v>32</v>
      </c>
      <c r="Z728" s="287" t="s">
        <v>377</v>
      </c>
      <c r="AA728" s="294" t="s">
        <v>32</v>
      </c>
      <c r="AB728" s="295" t="s">
        <v>32</v>
      </c>
      <c r="AC728" s="296" t="s">
        <v>32</v>
      </c>
      <c r="AD728" s="294" t="s">
        <v>32</v>
      </c>
      <c r="AE728" s="287" t="s">
        <v>377</v>
      </c>
      <c r="AF728" s="295" t="s">
        <v>32</v>
      </c>
      <c r="AG728" s="287" t="s">
        <v>377</v>
      </c>
      <c r="AH728" s="287" t="s">
        <v>377</v>
      </c>
      <c r="AI728" s="288" t="s">
        <v>377</v>
      </c>
      <c r="AJ728" s="294" t="s">
        <v>32</v>
      </c>
      <c r="AK728" s="287" t="s">
        <v>377</v>
      </c>
      <c r="AL728" s="295" t="s">
        <v>32</v>
      </c>
      <c r="AM728" s="287" t="s">
        <v>377</v>
      </c>
      <c r="AN728" s="287" t="s">
        <v>377</v>
      </c>
      <c r="AO728" s="288" t="s">
        <v>377</v>
      </c>
      <c r="AP728" s="289" t="s">
        <v>377</v>
      </c>
      <c r="AQ728" s="294" t="s">
        <v>32</v>
      </c>
      <c r="AR728" s="294" t="s">
        <v>32</v>
      </c>
      <c r="AS728" s="295" t="s">
        <v>32</v>
      </c>
      <c r="AT728" s="294" t="s">
        <v>32</v>
      </c>
      <c r="AU728" s="294" t="s">
        <v>32</v>
      </c>
      <c r="AV728" s="295" t="s">
        <v>32</v>
      </c>
      <c r="AW728" s="287" t="s">
        <v>377</v>
      </c>
      <c r="AX728" s="294" t="s">
        <v>32</v>
      </c>
      <c r="AY728" s="295" t="s">
        <v>32</v>
      </c>
      <c r="AZ728" s="287" t="s">
        <v>377</v>
      </c>
      <c r="BA728" s="294" t="s">
        <v>32</v>
      </c>
      <c r="BB728" s="295" t="s">
        <v>32</v>
      </c>
      <c r="BC728" s="296" t="s">
        <v>32</v>
      </c>
      <c r="BD728" s="287"/>
    </row>
    <row r="729" ht="12.75" customHeight="1">
      <c r="A729" s="293">
        <v>45281.96799846065</v>
      </c>
      <c r="B729" s="286" t="s">
        <v>486</v>
      </c>
      <c r="C729" s="285" t="s">
        <v>559</v>
      </c>
      <c r="D729" s="285" t="s">
        <v>16</v>
      </c>
      <c r="E729" s="285" t="s">
        <v>577</v>
      </c>
      <c r="F729" s="287" t="s">
        <v>1274</v>
      </c>
      <c r="G729" s="285" t="s">
        <v>21</v>
      </c>
      <c r="H729" s="285">
        <v>16.0</v>
      </c>
      <c r="I729" s="287" t="s">
        <v>479</v>
      </c>
      <c r="J729" s="287" t="s">
        <v>532</v>
      </c>
      <c r="K729" s="287" t="s">
        <v>532</v>
      </c>
      <c r="L729" s="287" t="s">
        <v>479</v>
      </c>
      <c r="M729" s="287" t="s">
        <v>483</v>
      </c>
      <c r="N729" s="287" t="s">
        <v>561</v>
      </c>
      <c r="O729" s="285" t="s">
        <v>479</v>
      </c>
      <c r="P729" s="287" t="s">
        <v>643</v>
      </c>
      <c r="Q729" s="294" t="s">
        <v>32</v>
      </c>
      <c r="R729" s="294" t="s">
        <v>32</v>
      </c>
      <c r="S729" s="295" t="s">
        <v>32</v>
      </c>
      <c r="T729" s="294" t="s">
        <v>32</v>
      </c>
      <c r="U729" s="294" t="s">
        <v>32</v>
      </c>
      <c r="V729" s="295" t="s">
        <v>32</v>
      </c>
      <c r="W729" s="294" t="s">
        <v>32</v>
      </c>
      <c r="X729" s="294" t="s">
        <v>32</v>
      </c>
      <c r="Y729" s="295" t="s">
        <v>32</v>
      </c>
      <c r="Z729" s="294" t="s">
        <v>32</v>
      </c>
      <c r="AA729" s="294" t="s">
        <v>32</v>
      </c>
      <c r="AB729" s="295" t="s">
        <v>32</v>
      </c>
      <c r="AC729" s="296" t="s">
        <v>32</v>
      </c>
      <c r="AD729" s="287" t="s">
        <v>377</v>
      </c>
      <c r="AE729" s="287" t="s">
        <v>377</v>
      </c>
      <c r="AF729" s="288" t="s">
        <v>377</v>
      </c>
      <c r="AG729" s="287" t="s">
        <v>377</v>
      </c>
      <c r="AH729" s="294" t="s">
        <v>32</v>
      </c>
      <c r="AI729" s="295" t="s">
        <v>32</v>
      </c>
      <c r="AJ729" s="294" t="s">
        <v>32</v>
      </c>
      <c r="AK729" s="294" t="s">
        <v>32</v>
      </c>
      <c r="AL729" s="295" t="s">
        <v>32</v>
      </c>
      <c r="AM729" s="287" t="s">
        <v>377</v>
      </c>
      <c r="AN729" s="287" t="s">
        <v>18</v>
      </c>
      <c r="AO729" s="288" t="s">
        <v>377</v>
      </c>
      <c r="AP729" s="289" t="s">
        <v>377</v>
      </c>
      <c r="AQ729" s="294" t="s">
        <v>32</v>
      </c>
      <c r="AR729" s="294" t="s">
        <v>32</v>
      </c>
      <c r="AS729" s="295" t="s">
        <v>32</v>
      </c>
      <c r="AT729" s="294" t="s">
        <v>32</v>
      </c>
      <c r="AU729" s="294" t="s">
        <v>32</v>
      </c>
      <c r="AV729" s="295" t="s">
        <v>32</v>
      </c>
      <c r="AW729" s="287" t="s">
        <v>377</v>
      </c>
      <c r="AX729" s="294" t="s">
        <v>32</v>
      </c>
      <c r="AY729" s="295" t="s">
        <v>32</v>
      </c>
      <c r="AZ729" s="294" t="s">
        <v>32</v>
      </c>
      <c r="BA729" s="294" t="s">
        <v>32</v>
      </c>
      <c r="BB729" s="295" t="s">
        <v>32</v>
      </c>
      <c r="BC729" s="296" t="s">
        <v>32</v>
      </c>
      <c r="BD729" s="287"/>
    </row>
    <row r="730" ht="12.75" customHeight="1">
      <c r="A730" s="293">
        <v>45281.970399791666</v>
      </c>
      <c r="B730" s="286" t="s">
        <v>486</v>
      </c>
      <c r="C730" s="285" t="s">
        <v>559</v>
      </c>
      <c r="D730" s="285" t="s">
        <v>16</v>
      </c>
      <c r="E730" s="285" t="s">
        <v>577</v>
      </c>
      <c r="F730" s="287" t="s">
        <v>1275</v>
      </c>
      <c r="G730" s="285" t="s">
        <v>17</v>
      </c>
      <c r="H730" s="285">
        <v>16.0</v>
      </c>
      <c r="I730" s="287" t="s">
        <v>479</v>
      </c>
      <c r="J730" s="287" t="s">
        <v>532</v>
      </c>
      <c r="K730" s="287" t="s">
        <v>532</v>
      </c>
      <c r="L730" s="287" t="s">
        <v>479</v>
      </c>
      <c r="M730" s="287" t="s">
        <v>490</v>
      </c>
      <c r="N730" s="287" t="s">
        <v>483</v>
      </c>
      <c r="O730" s="285" t="s">
        <v>479</v>
      </c>
      <c r="P730" s="287" t="s">
        <v>643</v>
      </c>
      <c r="Q730" s="294" t="s">
        <v>32</v>
      </c>
      <c r="R730" s="294" t="s">
        <v>32</v>
      </c>
      <c r="S730" s="295" t="s">
        <v>32</v>
      </c>
      <c r="T730" s="294" t="s">
        <v>32</v>
      </c>
      <c r="U730" s="294" t="s">
        <v>32</v>
      </c>
      <c r="V730" s="295" t="s">
        <v>32</v>
      </c>
      <c r="W730" s="294" t="s">
        <v>32</v>
      </c>
      <c r="X730" s="294" t="s">
        <v>32</v>
      </c>
      <c r="Y730" s="295" t="s">
        <v>32</v>
      </c>
      <c r="Z730" s="294" t="s">
        <v>32</v>
      </c>
      <c r="AA730" s="294" t="s">
        <v>32</v>
      </c>
      <c r="AB730" s="295" t="s">
        <v>32</v>
      </c>
      <c r="AC730" s="296" t="s">
        <v>32</v>
      </c>
      <c r="AD730" s="287" t="s">
        <v>377</v>
      </c>
      <c r="AE730" s="294" t="s">
        <v>32</v>
      </c>
      <c r="AF730" s="295" t="s">
        <v>32</v>
      </c>
      <c r="AG730" s="294" t="s">
        <v>32</v>
      </c>
      <c r="AH730" s="294" t="s">
        <v>32</v>
      </c>
      <c r="AI730" s="295" t="s">
        <v>32</v>
      </c>
      <c r="AJ730" s="294" t="s">
        <v>32</v>
      </c>
      <c r="AK730" s="294" t="s">
        <v>32</v>
      </c>
      <c r="AL730" s="295" t="s">
        <v>32</v>
      </c>
      <c r="AM730" s="287" t="s">
        <v>377</v>
      </c>
      <c r="AN730" s="294" t="s">
        <v>32</v>
      </c>
      <c r="AO730" s="295" t="s">
        <v>32</v>
      </c>
      <c r="AP730" s="296" t="s">
        <v>32</v>
      </c>
      <c r="AQ730" s="294" t="s">
        <v>32</v>
      </c>
      <c r="AR730" s="294" t="s">
        <v>32</v>
      </c>
      <c r="AS730" s="295" t="s">
        <v>32</v>
      </c>
      <c r="AT730" s="294" t="s">
        <v>32</v>
      </c>
      <c r="AU730" s="294" t="s">
        <v>32</v>
      </c>
      <c r="AV730" s="295" t="s">
        <v>32</v>
      </c>
      <c r="AW730" s="294" t="s">
        <v>32</v>
      </c>
      <c r="AX730" s="294" t="s">
        <v>32</v>
      </c>
      <c r="AY730" s="295" t="s">
        <v>32</v>
      </c>
      <c r="AZ730" s="294" t="s">
        <v>32</v>
      </c>
      <c r="BA730" s="294" t="s">
        <v>32</v>
      </c>
      <c r="BB730" s="295" t="s">
        <v>32</v>
      </c>
      <c r="BC730" s="296" t="s">
        <v>32</v>
      </c>
      <c r="BD730" s="287"/>
    </row>
    <row r="731" ht="12.75" customHeight="1">
      <c r="A731" s="293">
        <v>45281.97288113426</v>
      </c>
      <c r="B731" s="286" t="s">
        <v>486</v>
      </c>
      <c r="C731" s="285" t="s">
        <v>559</v>
      </c>
      <c r="D731" s="285" t="s">
        <v>16</v>
      </c>
      <c r="E731" s="285" t="s">
        <v>577</v>
      </c>
      <c r="F731" s="287" t="s">
        <v>1276</v>
      </c>
      <c r="G731" s="285" t="s">
        <v>21</v>
      </c>
      <c r="H731" s="285">
        <v>18.0</v>
      </c>
      <c r="I731" s="287" t="s">
        <v>479</v>
      </c>
      <c r="J731" s="287" t="s">
        <v>532</v>
      </c>
      <c r="K731" s="287" t="s">
        <v>532</v>
      </c>
      <c r="L731" s="287" t="s">
        <v>479</v>
      </c>
      <c r="M731" s="287" t="s">
        <v>483</v>
      </c>
      <c r="N731" s="287" t="s">
        <v>483</v>
      </c>
      <c r="O731" s="285" t="s">
        <v>479</v>
      </c>
      <c r="P731" s="287" t="s">
        <v>788</v>
      </c>
      <c r="Q731" s="294" t="s">
        <v>32</v>
      </c>
      <c r="R731" s="294" t="s">
        <v>32</v>
      </c>
      <c r="S731" s="295" t="s">
        <v>32</v>
      </c>
      <c r="T731" s="294" t="s">
        <v>32</v>
      </c>
      <c r="U731" s="294" t="s">
        <v>32</v>
      </c>
      <c r="V731" s="295" t="s">
        <v>32</v>
      </c>
      <c r="W731" s="294" t="s">
        <v>32</v>
      </c>
      <c r="X731" s="294" t="s">
        <v>32</v>
      </c>
      <c r="Y731" s="295" t="s">
        <v>32</v>
      </c>
      <c r="Z731" s="294" t="s">
        <v>32</v>
      </c>
      <c r="AA731" s="287" t="s">
        <v>377</v>
      </c>
      <c r="AB731" s="295" t="s">
        <v>32</v>
      </c>
      <c r="AC731" s="296" t="s">
        <v>32</v>
      </c>
      <c r="AD731" s="287" t="s">
        <v>377</v>
      </c>
      <c r="AE731" s="287" t="s">
        <v>377</v>
      </c>
      <c r="AF731" s="288" t="s">
        <v>377</v>
      </c>
      <c r="AG731" s="287" t="s">
        <v>377</v>
      </c>
      <c r="AH731" s="287" t="s">
        <v>377</v>
      </c>
      <c r="AI731" s="288" t="s">
        <v>377</v>
      </c>
      <c r="AJ731" s="294" t="s">
        <v>32</v>
      </c>
      <c r="AK731" s="294" t="s">
        <v>32</v>
      </c>
      <c r="AL731" s="295" t="s">
        <v>32</v>
      </c>
      <c r="AM731" s="287" t="s">
        <v>377</v>
      </c>
      <c r="AN731" s="287" t="s">
        <v>377</v>
      </c>
      <c r="AO731" s="288" t="s">
        <v>377</v>
      </c>
      <c r="AP731" s="289" t="s">
        <v>377</v>
      </c>
      <c r="AQ731" s="294" t="s">
        <v>32</v>
      </c>
      <c r="AR731" s="294" t="s">
        <v>32</v>
      </c>
      <c r="AS731" s="295" t="s">
        <v>32</v>
      </c>
      <c r="AT731" s="294" t="s">
        <v>32</v>
      </c>
      <c r="AU731" s="294" t="s">
        <v>32</v>
      </c>
      <c r="AV731" s="295" t="s">
        <v>32</v>
      </c>
      <c r="AW731" s="294" t="s">
        <v>32</v>
      </c>
      <c r="AX731" s="294" t="s">
        <v>32</v>
      </c>
      <c r="AY731" s="295" t="s">
        <v>32</v>
      </c>
      <c r="AZ731" s="294" t="s">
        <v>32</v>
      </c>
      <c r="BA731" s="294" t="s">
        <v>32</v>
      </c>
      <c r="BB731" s="295" t="s">
        <v>32</v>
      </c>
      <c r="BC731" s="296" t="s">
        <v>32</v>
      </c>
      <c r="BD731" s="287"/>
    </row>
    <row r="732" ht="12.75" customHeight="1">
      <c r="A732" s="293">
        <v>45281.97605111111</v>
      </c>
      <c r="B732" s="286" t="s">
        <v>486</v>
      </c>
      <c r="C732" s="285" t="s">
        <v>559</v>
      </c>
      <c r="D732" s="285" t="s">
        <v>16</v>
      </c>
      <c r="E732" s="285" t="s">
        <v>577</v>
      </c>
      <c r="F732" s="287" t="s">
        <v>1277</v>
      </c>
      <c r="G732" s="285" t="s">
        <v>21</v>
      </c>
      <c r="H732" s="285">
        <v>16.0</v>
      </c>
      <c r="I732" s="287" t="s">
        <v>479</v>
      </c>
      <c r="J732" s="287" t="s">
        <v>532</v>
      </c>
      <c r="K732" s="287" t="s">
        <v>532</v>
      </c>
      <c r="L732" s="287" t="s">
        <v>479</v>
      </c>
      <c r="M732" s="287" t="s">
        <v>495</v>
      </c>
      <c r="N732" s="287" t="s">
        <v>483</v>
      </c>
      <c r="O732" s="285" t="s">
        <v>497</v>
      </c>
      <c r="P732" s="292"/>
      <c r="Q732" s="287" t="s">
        <v>377</v>
      </c>
      <c r="R732" s="294" t="s">
        <v>32</v>
      </c>
      <c r="S732" s="295" t="s">
        <v>32</v>
      </c>
      <c r="T732" s="294" t="s">
        <v>32</v>
      </c>
      <c r="U732" s="294" t="s">
        <v>32</v>
      </c>
      <c r="V732" s="295" t="s">
        <v>32</v>
      </c>
      <c r="W732" s="287" t="s">
        <v>377</v>
      </c>
      <c r="X732" s="294" t="s">
        <v>32</v>
      </c>
      <c r="Y732" s="295" t="s">
        <v>32</v>
      </c>
      <c r="Z732" s="287" t="s">
        <v>377</v>
      </c>
      <c r="AA732" s="287" t="s">
        <v>377</v>
      </c>
      <c r="AB732" s="288" t="s">
        <v>377</v>
      </c>
      <c r="AC732" s="296" t="s">
        <v>32</v>
      </c>
      <c r="AD732" s="287" t="s">
        <v>377</v>
      </c>
      <c r="AE732" s="294" t="s">
        <v>32</v>
      </c>
      <c r="AF732" s="295" t="s">
        <v>32</v>
      </c>
      <c r="AG732" s="287" t="s">
        <v>377</v>
      </c>
      <c r="AH732" s="287" t="s">
        <v>377</v>
      </c>
      <c r="AI732" s="288" t="s">
        <v>377</v>
      </c>
      <c r="AJ732" s="287" t="s">
        <v>377</v>
      </c>
      <c r="AK732" s="287" t="s">
        <v>377</v>
      </c>
      <c r="AL732" s="288" t="s">
        <v>377</v>
      </c>
      <c r="AM732" s="287" t="s">
        <v>377</v>
      </c>
      <c r="AN732" s="287" t="s">
        <v>18</v>
      </c>
      <c r="AO732" s="288" t="s">
        <v>377</v>
      </c>
      <c r="AP732" s="289" t="s">
        <v>377</v>
      </c>
      <c r="AQ732" s="287" t="s">
        <v>377</v>
      </c>
      <c r="AR732" s="287" t="s">
        <v>377</v>
      </c>
      <c r="AS732" s="288" t="s">
        <v>377</v>
      </c>
      <c r="AT732" s="294" t="s">
        <v>32</v>
      </c>
      <c r="AU732" s="287" t="s">
        <v>377</v>
      </c>
      <c r="AV732" s="295" t="s">
        <v>32</v>
      </c>
      <c r="AW732" s="287" t="s">
        <v>377</v>
      </c>
      <c r="AX732" s="294" t="s">
        <v>32</v>
      </c>
      <c r="AY732" s="295" t="s">
        <v>32</v>
      </c>
      <c r="AZ732" s="287" t="s">
        <v>377</v>
      </c>
      <c r="BA732" s="287" t="s">
        <v>377</v>
      </c>
      <c r="BB732" s="295" t="s">
        <v>32</v>
      </c>
      <c r="BC732" s="296" t="s">
        <v>32</v>
      </c>
      <c r="BD732" s="287"/>
    </row>
    <row r="733" ht="12.75" customHeight="1">
      <c r="A733" s="293">
        <v>45281.979326493056</v>
      </c>
      <c r="B733" s="286" t="s">
        <v>486</v>
      </c>
      <c r="C733" s="285" t="s">
        <v>559</v>
      </c>
      <c r="D733" s="285" t="s">
        <v>16</v>
      </c>
      <c r="E733" s="285" t="s">
        <v>577</v>
      </c>
      <c r="F733" s="287" t="s">
        <v>1278</v>
      </c>
      <c r="G733" s="285" t="s">
        <v>17</v>
      </c>
      <c r="H733" s="285">
        <v>17.0</v>
      </c>
      <c r="I733" s="287" t="s">
        <v>479</v>
      </c>
      <c r="J733" s="287" t="s">
        <v>532</v>
      </c>
      <c r="K733" s="287" t="s">
        <v>532</v>
      </c>
      <c r="L733" s="287" t="s">
        <v>479</v>
      </c>
      <c r="M733" s="287" t="s">
        <v>495</v>
      </c>
      <c r="N733" s="287" t="s">
        <v>483</v>
      </c>
      <c r="O733" s="285" t="s">
        <v>497</v>
      </c>
      <c r="P733" s="292"/>
      <c r="Q733" s="287" t="s">
        <v>377</v>
      </c>
      <c r="R733" s="294" t="s">
        <v>32</v>
      </c>
      <c r="S733" s="295" t="s">
        <v>32</v>
      </c>
      <c r="T733" s="294" t="s">
        <v>32</v>
      </c>
      <c r="U733" s="294" t="s">
        <v>32</v>
      </c>
      <c r="V733" s="295" t="s">
        <v>32</v>
      </c>
      <c r="W733" s="287" t="s">
        <v>377</v>
      </c>
      <c r="X733" s="294" t="s">
        <v>32</v>
      </c>
      <c r="Y733" s="295" t="s">
        <v>32</v>
      </c>
      <c r="Z733" s="287" t="s">
        <v>377</v>
      </c>
      <c r="AA733" s="287" t="s">
        <v>377</v>
      </c>
      <c r="AB733" s="288" t="s">
        <v>377</v>
      </c>
      <c r="AC733" s="296" t="s">
        <v>32</v>
      </c>
      <c r="AD733" s="287" t="s">
        <v>377</v>
      </c>
      <c r="AE733" s="287" t="s">
        <v>377</v>
      </c>
      <c r="AF733" s="288" t="s">
        <v>377</v>
      </c>
      <c r="AG733" s="287" t="s">
        <v>377</v>
      </c>
      <c r="AH733" s="287" t="s">
        <v>377</v>
      </c>
      <c r="AI733" s="288" t="s">
        <v>377</v>
      </c>
      <c r="AJ733" s="294" t="s">
        <v>32</v>
      </c>
      <c r="AK733" s="287" t="s">
        <v>377</v>
      </c>
      <c r="AL733" s="295" t="s">
        <v>32</v>
      </c>
      <c r="AM733" s="287" t="s">
        <v>377</v>
      </c>
      <c r="AN733" s="287" t="s">
        <v>377</v>
      </c>
      <c r="AO733" s="288" t="s">
        <v>377</v>
      </c>
      <c r="AP733" s="289" t="s">
        <v>377</v>
      </c>
      <c r="AQ733" s="294" t="s">
        <v>32</v>
      </c>
      <c r="AR733" s="294" t="s">
        <v>32</v>
      </c>
      <c r="AS733" s="295" t="s">
        <v>32</v>
      </c>
      <c r="AT733" s="294" t="s">
        <v>32</v>
      </c>
      <c r="AU733" s="287" t="s">
        <v>377</v>
      </c>
      <c r="AV733" s="295" t="s">
        <v>32</v>
      </c>
      <c r="AW733" s="287" t="s">
        <v>377</v>
      </c>
      <c r="AX733" s="287" t="s">
        <v>377</v>
      </c>
      <c r="AY733" s="288" t="s">
        <v>377</v>
      </c>
      <c r="AZ733" s="294" t="s">
        <v>32</v>
      </c>
      <c r="BA733" s="294" t="s">
        <v>32</v>
      </c>
      <c r="BB733" s="295" t="s">
        <v>32</v>
      </c>
      <c r="BC733" s="296" t="s">
        <v>32</v>
      </c>
      <c r="BD733" s="287"/>
    </row>
    <row r="734" ht="12.75" customHeight="1">
      <c r="A734" s="298">
        <v>3.0</v>
      </c>
      <c r="B734" s="297" t="s">
        <v>486</v>
      </c>
      <c r="C734" s="298" t="s">
        <v>567</v>
      </c>
      <c r="D734" s="298" t="s">
        <v>16</v>
      </c>
      <c r="E734" s="285" t="s">
        <v>577</v>
      </c>
      <c r="F734" s="292" t="s">
        <v>1279</v>
      </c>
      <c r="G734" s="298" t="s">
        <v>21</v>
      </c>
      <c r="H734" s="298">
        <v>15.0</v>
      </c>
      <c r="I734" s="292" t="s">
        <v>479</v>
      </c>
      <c r="J734" s="292" t="s">
        <v>532</v>
      </c>
      <c r="K734" s="287" t="s">
        <v>532</v>
      </c>
      <c r="L734" s="292" t="s">
        <v>497</v>
      </c>
      <c r="M734" s="292" t="s">
        <v>638</v>
      </c>
      <c r="N734" s="292"/>
      <c r="O734" s="298" t="s">
        <v>479</v>
      </c>
      <c r="P734" s="292" t="s">
        <v>643</v>
      </c>
      <c r="Q734" s="299" t="s">
        <v>32</v>
      </c>
      <c r="R734" s="299" t="s">
        <v>32</v>
      </c>
      <c r="S734" s="295" t="s">
        <v>32</v>
      </c>
      <c r="T734" s="292" t="s">
        <v>377</v>
      </c>
      <c r="U734" s="299" t="s">
        <v>32</v>
      </c>
      <c r="V734" s="295" t="s">
        <v>32</v>
      </c>
      <c r="W734" s="292" t="s">
        <v>377</v>
      </c>
      <c r="X734" s="292" t="s">
        <v>377</v>
      </c>
      <c r="Y734" s="288" t="s">
        <v>377</v>
      </c>
      <c r="Z734" s="299" t="s">
        <v>32</v>
      </c>
      <c r="AA734" s="299" t="s">
        <v>32</v>
      </c>
      <c r="AB734" s="295" t="s">
        <v>32</v>
      </c>
      <c r="AC734" s="296" t="s">
        <v>32</v>
      </c>
      <c r="AD734" s="292" t="s">
        <v>18</v>
      </c>
      <c r="AE734" s="292" t="s">
        <v>377</v>
      </c>
      <c r="AF734" s="288" t="s">
        <v>377</v>
      </c>
      <c r="AG734" s="292" t="s">
        <v>377</v>
      </c>
      <c r="AH734" s="292" t="s">
        <v>377</v>
      </c>
      <c r="AI734" s="288" t="s">
        <v>377</v>
      </c>
      <c r="AJ734" s="299" t="s">
        <v>32</v>
      </c>
      <c r="AK734" s="292" t="s">
        <v>377</v>
      </c>
      <c r="AL734" s="295" t="s">
        <v>32</v>
      </c>
      <c r="AM734" s="292" t="s">
        <v>18</v>
      </c>
      <c r="AN734" s="292" t="s">
        <v>18</v>
      </c>
      <c r="AO734" s="288" t="s">
        <v>18</v>
      </c>
      <c r="AP734" s="289" t="s">
        <v>377</v>
      </c>
      <c r="AQ734" s="299" t="s">
        <v>32</v>
      </c>
      <c r="AR734" s="299" t="s">
        <v>32</v>
      </c>
      <c r="AS734" s="295" t="s">
        <v>32</v>
      </c>
      <c r="AT734" s="299" t="s">
        <v>32</v>
      </c>
      <c r="AU734" s="299" t="s">
        <v>32</v>
      </c>
      <c r="AV734" s="295" t="s">
        <v>32</v>
      </c>
      <c r="AW734" s="292" t="s">
        <v>377</v>
      </c>
      <c r="AX734" s="299" t="s">
        <v>32</v>
      </c>
      <c r="AY734" s="295" t="s">
        <v>32</v>
      </c>
      <c r="AZ734" s="292" t="s">
        <v>377</v>
      </c>
      <c r="BA734" s="299" t="s">
        <v>32</v>
      </c>
      <c r="BB734" s="295" t="s">
        <v>32</v>
      </c>
      <c r="BC734" s="296" t="s">
        <v>32</v>
      </c>
      <c r="BD734" s="287"/>
    </row>
    <row r="735" ht="12.75" customHeight="1">
      <c r="A735" s="298">
        <v>4.0</v>
      </c>
      <c r="B735" s="297" t="s">
        <v>486</v>
      </c>
      <c r="C735" s="298" t="s">
        <v>567</v>
      </c>
      <c r="D735" s="298" t="s">
        <v>16</v>
      </c>
      <c r="E735" s="285" t="s">
        <v>577</v>
      </c>
      <c r="F735" s="292" t="s">
        <v>1280</v>
      </c>
      <c r="G735" s="298" t="s">
        <v>21</v>
      </c>
      <c r="H735" s="298">
        <v>16.0</v>
      </c>
      <c r="I735" s="292" t="s">
        <v>479</v>
      </c>
      <c r="J735" s="292" t="s">
        <v>532</v>
      </c>
      <c r="K735" s="287" t="s">
        <v>532</v>
      </c>
      <c r="L735" s="292" t="s">
        <v>497</v>
      </c>
      <c r="M735" s="292" t="s">
        <v>638</v>
      </c>
      <c r="N735" s="292"/>
      <c r="O735" s="298" t="s">
        <v>497</v>
      </c>
      <c r="P735" s="292" t="s">
        <v>612</v>
      </c>
      <c r="Q735" s="299" t="s">
        <v>32</v>
      </c>
      <c r="R735" s="299" t="s">
        <v>32</v>
      </c>
      <c r="S735" s="295" t="s">
        <v>32</v>
      </c>
      <c r="T735" s="299" t="s">
        <v>32</v>
      </c>
      <c r="U735" s="299" t="s">
        <v>32</v>
      </c>
      <c r="V735" s="295" t="s">
        <v>32</v>
      </c>
      <c r="W735" s="299" t="s">
        <v>32</v>
      </c>
      <c r="X735" s="292" t="s">
        <v>377</v>
      </c>
      <c r="Y735" s="295" t="s">
        <v>32</v>
      </c>
      <c r="Z735" s="299" t="s">
        <v>32</v>
      </c>
      <c r="AA735" s="299" t="s">
        <v>32</v>
      </c>
      <c r="AB735" s="295" t="s">
        <v>32</v>
      </c>
      <c r="AC735" s="296" t="s">
        <v>32</v>
      </c>
      <c r="AD735" s="299" t="s">
        <v>32</v>
      </c>
      <c r="AE735" s="299" t="s">
        <v>32</v>
      </c>
      <c r="AF735" s="295" t="s">
        <v>32</v>
      </c>
      <c r="AG735" s="292" t="s">
        <v>377</v>
      </c>
      <c r="AH735" s="292" t="s">
        <v>377</v>
      </c>
      <c r="AI735" s="288" t="s">
        <v>377</v>
      </c>
      <c r="AJ735" s="299" t="s">
        <v>32</v>
      </c>
      <c r="AK735" s="292" t="s">
        <v>377</v>
      </c>
      <c r="AL735" s="295" t="s">
        <v>32</v>
      </c>
      <c r="AM735" s="292" t="s">
        <v>377</v>
      </c>
      <c r="AN735" s="292" t="s">
        <v>18</v>
      </c>
      <c r="AO735" s="288" t="s">
        <v>377</v>
      </c>
      <c r="AP735" s="289" t="s">
        <v>377</v>
      </c>
      <c r="AQ735" s="299" t="s">
        <v>32</v>
      </c>
      <c r="AR735" s="299" t="s">
        <v>32</v>
      </c>
      <c r="AS735" s="295" t="s">
        <v>32</v>
      </c>
      <c r="AT735" s="299" t="s">
        <v>32</v>
      </c>
      <c r="AU735" s="299" t="s">
        <v>32</v>
      </c>
      <c r="AV735" s="295" t="s">
        <v>32</v>
      </c>
      <c r="AW735" s="299" t="s">
        <v>32</v>
      </c>
      <c r="AX735" s="292" t="s">
        <v>377</v>
      </c>
      <c r="AY735" s="295" t="s">
        <v>32</v>
      </c>
      <c r="AZ735" s="299" t="s">
        <v>32</v>
      </c>
      <c r="BA735" s="299" t="s">
        <v>32</v>
      </c>
      <c r="BB735" s="295" t="s">
        <v>32</v>
      </c>
      <c r="BC735" s="296" t="s">
        <v>32</v>
      </c>
      <c r="BD735" s="287"/>
    </row>
    <row r="736" ht="12.75" customHeight="1">
      <c r="A736" s="298">
        <v>7.0</v>
      </c>
      <c r="B736" s="297" t="s">
        <v>486</v>
      </c>
      <c r="C736" s="298" t="s">
        <v>567</v>
      </c>
      <c r="D736" s="298" t="s">
        <v>16</v>
      </c>
      <c r="E736" s="285" t="s">
        <v>577</v>
      </c>
      <c r="F736" s="292" t="s">
        <v>1281</v>
      </c>
      <c r="G736" s="298" t="s">
        <v>17</v>
      </c>
      <c r="H736" s="298">
        <v>16.0</v>
      </c>
      <c r="I736" s="292" t="s">
        <v>479</v>
      </c>
      <c r="J736" s="292" t="s">
        <v>532</v>
      </c>
      <c r="K736" s="287" t="s">
        <v>532</v>
      </c>
      <c r="L736" s="292" t="s">
        <v>497</v>
      </c>
      <c r="M736" s="292" t="s">
        <v>638</v>
      </c>
      <c r="N736" s="292"/>
      <c r="O736" s="298" t="s">
        <v>497</v>
      </c>
      <c r="P736" s="292" t="s">
        <v>612</v>
      </c>
      <c r="Q736" s="292" t="s">
        <v>377</v>
      </c>
      <c r="R736" s="299" t="s">
        <v>32</v>
      </c>
      <c r="S736" s="295" t="s">
        <v>32</v>
      </c>
      <c r="T736" s="299" t="s">
        <v>32</v>
      </c>
      <c r="U736" s="299" t="s">
        <v>32</v>
      </c>
      <c r="V736" s="295" t="s">
        <v>32</v>
      </c>
      <c r="W736" s="299" t="s">
        <v>32</v>
      </c>
      <c r="X736" s="292" t="s">
        <v>377</v>
      </c>
      <c r="Y736" s="295" t="s">
        <v>32</v>
      </c>
      <c r="Z736" s="299" t="s">
        <v>32</v>
      </c>
      <c r="AA736" s="299" t="s">
        <v>32</v>
      </c>
      <c r="AB736" s="295" t="s">
        <v>32</v>
      </c>
      <c r="AC736" s="296" t="s">
        <v>32</v>
      </c>
      <c r="AD736" s="292" t="s">
        <v>377</v>
      </c>
      <c r="AE736" s="299" t="s">
        <v>32</v>
      </c>
      <c r="AF736" s="295" t="s">
        <v>32</v>
      </c>
      <c r="AG736" s="292" t="s">
        <v>377</v>
      </c>
      <c r="AH736" s="292" t="s">
        <v>377</v>
      </c>
      <c r="AI736" s="288" t="s">
        <v>377</v>
      </c>
      <c r="AJ736" s="299" t="s">
        <v>32</v>
      </c>
      <c r="AK736" s="292" t="s">
        <v>377</v>
      </c>
      <c r="AL736" s="295" t="s">
        <v>32</v>
      </c>
      <c r="AM736" s="292" t="s">
        <v>377</v>
      </c>
      <c r="AN736" s="292" t="s">
        <v>377</v>
      </c>
      <c r="AO736" s="288" t="s">
        <v>377</v>
      </c>
      <c r="AP736" s="289" t="s">
        <v>377</v>
      </c>
      <c r="AQ736" s="299" t="s">
        <v>32</v>
      </c>
      <c r="AR736" s="299" t="s">
        <v>32</v>
      </c>
      <c r="AS736" s="295" t="s">
        <v>32</v>
      </c>
      <c r="AT736" s="299" t="s">
        <v>32</v>
      </c>
      <c r="AU736" s="299" t="s">
        <v>32</v>
      </c>
      <c r="AV736" s="295" t="s">
        <v>32</v>
      </c>
      <c r="AW736" s="299" t="s">
        <v>32</v>
      </c>
      <c r="AX736" s="299" t="s">
        <v>32</v>
      </c>
      <c r="AY736" s="295" t="s">
        <v>32</v>
      </c>
      <c r="AZ736" s="299" t="s">
        <v>32</v>
      </c>
      <c r="BA736" s="299" t="s">
        <v>32</v>
      </c>
      <c r="BB736" s="295" t="s">
        <v>32</v>
      </c>
      <c r="BC736" s="296" t="s">
        <v>32</v>
      </c>
      <c r="BD736" s="287"/>
    </row>
    <row r="737" ht="12.75" customHeight="1">
      <c r="A737" s="298">
        <v>16.0</v>
      </c>
      <c r="B737" s="297" t="s">
        <v>486</v>
      </c>
      <c r="C737" s="298" t="s">
        <v>567</v>
      </c>
      <c r="D737" s="298" t="s">
        <v>16</v>
      </c>
      <c r="E737" s="285" t="s">
        <v>577</v>
      </c>
      <c r="F737" s="292" t="s">
        <v>1282</v>
      </c>
      <c r="G737" s="298" t="s">
        <v>17</v>
      </c>
      <c r="H737" s="298">
        <v>16.0</v>
      </c>
      <c r="I737" s="292" t="s">
        <v>479</v>
      </c>
      <c r="J737" s="292" t="s">
        <v>532</v>
      </c>
      <c r="K737" s="287" t="s">
        <v>532</v>
      </c>
      <c r="L737" s="292" t="s">
        <v>479</v>
      </c>
      <c r="M737" s="292" t="s">
        <v>481</v>
      </c>
      <c r="N737" s="292"/>
      <c r="O737" s="298" t="s">
        <v>497</v>
      </c>
      <c r="P737" s="292" t="s">
        <v>612</v>
      </c>
      <c r="Q737" s="292" t="s">
        <v>377</v>
      </c>
      <c r="R737" s="292" t="s">
        <v>377</v>
      </c>
      <c r="S737" s="288" t="s">
        <v>377</v>
      </c>
      <c r="T737" s="292" t="s">
        <v>377</v>
      </c>
      <c r="U737" s="292" t="s">
        <v>377</v>
      </c>
      <c r="V737" s="288" t="s">
        <v>377</v>
      </c>
      <c r="W737" s="292" t="s">
        <v>18</v>
      </c>
      <c r="X737" s="292" t="s">
        <v>377</v>
      </c>
      <c r="Y737" s="288" t="s">
        <v>377</v>
      </c>
      <c r="Z737" s="292" t="s">
        <v>18</v>
      </c>
      <c r="AA737" s="292" t="s">
        <v>18</v>
      </c>
      <c r="AB737" s="288" t="s">
        <v>18</v>
      </c>
      <c r="AC737" s="289" t="s">
        <v>377</v>
      </c>
      <c r="AD737" s="292" t="s">
        <v>18</v>
      </c>
      <c r="AE737" s="292" t="s">
        <v>18</v>
      </c>
      <c r="AF737" s="288" t="s">
        <v>18</v>
      </c>
      <c r="AG737" s="292" t="s">
        <v>18</v>
      </c>
      <c r="AH737" s="292" t="s">
        <v>18</v>
      </c>
      <c r="AI737" s="288" t="s">
        <v>18</v>
      </c>
      <c r="AJ737" s="292" t="s">
        <v>377</v>
      </c>
      <c r="AK737" s="292" t="s">
        <v>18</v>
      </c>
      <c r="AL737" s="288" t="s">
        <v>377</v>
      </c>
      <c r="AM737" s="292" t="s">
        <v>18</v>
      </c>
      <c r="AN737" s="292" t="s">
        <v>18</v>
      </c>
      <c r="AO737" s="288" t="s">
        <v>18</v>
      </c>
      <c r="AP737" s="289" t="s">
        <v>18</v>
      </c>
      <c r="AQ737" s="292" t="s">
        <v>377</v>
      </c>
      <c r="AR737" s="292" t="s">
        <v>18</v>
      </c>
      <c r="AS737" s="288" t="s">
        <v>377</v>
      </c>
      <c r="AT737" s="299" t="s">
        <v>32</v>
      </c>
      <c r="AU737" s="299" t="s">
        <v>32</v>
      </c>
      <c r="AV737" s="295" t="s">
        <v>32</v>
      </c>
      <c r="AW737" s="292" t="s">
        <v>377</v>
      </c>
      <c r="AX737" s="292" t="s">
        <v>377</v>
      </c>
      <c r="AY737" s="288" t="s">
        <v>377</v>
      </c>
      <c r="AZ737" s="292" t="s">
        <v>377</v>
      </c>
      <c r="BA737" s="292" t="s">
        <v>377</v>
      </c>
      <c r="BB737" s="288" t="s">
        <v>377</v>
      </c>
      <c r="BC737" s="289" t="s">
        <v>18</v>
      </c>
      <c r="BD737" s="287"/>
    </row>
    <row r="738" ht="12.75" customHeight="1">
      <c r="A738" s="298">
        <v>23.0</v>
      </c>
      <c r="B738" s="297" t="s">
        <v>486</v>
      </c>
      <c r="C738" s="298" t="s">
        <v>567</v>
      </c>
      <c r="D738" s="298" t="s">
        <v>16</v>
      </c>
      <c r="E738" s="285" t="s">
        <v>577</v>
      </c>
      <c r="F738" s="292" t="s">
        <v>1283</v>
      </c>
      <c r="G738" s="298" t="s">
        <v>21</v>
      </c>
      <c r="H738" s="298">
        <v>19.0</v>
      </c>
      <c r="I738" s="292" t="s">
        <v>479</v>
      </c>
      <c r="J738" s="292" t="s">
        <v>532</v>
      </c>
      <c r="K738" s="287" t="s">
        <v>532</v>
      </c>
      <c r="L738" s="292" t="s">
        <v>479</v>
      </c>
      <c r="M738" s="292" t="s">
        <v>481</v>
      </c>
      <c r="N738" s="292"/>
      <c r="O738" s="298" t="s">
        <v>497</v>
      </c>
      <c r="P738" s="292" t="s">
        <v>612</v>
      </c>
      <c r="Q738" s="292" t="s">
        <v>377</v>
      </c>
      <c r="R738" s="292" t="s">
        <v>18</v>
      </c>
      <c r="S738" s="288" t="s">
        <v>377</v>
      </c>
      <c r="T738" s="292" t="s">
        <v>377</v>
      </c>
      <c r="U738" s="292" t="s">
        <v>377</v>
      </c>
      <c r="V738" s="288" t="s">
        <v>377</v>
      </c>
      <c r="W738" s="292" t="s">
        <v>18</v>
      </c>
      <c r="X738" s="292" t="s">
        <v>377</v>
      </c>
      <c r="Y738" s="288" t="s">
        <v>377</v>
      </c>
      <c r="Z738" s="292" t="s">
        <v>18</v>
      </c>
      <c r="AA738" s="292" t="s">
        <v>377</v>
      </c>
      <c r="AB738" s="288" t="s">
        <v>377</v>
      </c>
      <c r="AC738" s="289" t="s">
        <v>377</v>
      </c>
      <c r="AD738" s="299" t="s">
        <v>32</v>
      </c>
      <c r="AE738" s="292" t="s">
        <v>18</v>
      </c>
      <c r="AF738" s="288" t="s">
        <v>377</v>
      </c>
      <c r="AG738" s="292" t="s">
        <v>18</v>
      </c>
      <c r="AH738" s="292" t="s">
        <v>377</v>
      </c>
      <c r="AI738" s="288" t="s">
        <v>377</v>
      </c>
      <c r="AJ738" s="292" t="s">
        <v>18</v>
      </c>
      <c r="AK738" s="292" t="s">
        <v>18</v>
      </c>
      <c r="AL738" s="288" t="s">
        <v>18</v>
      </c>
      <c r="AM738" s="292" t="s">
        <v>18</v>
      </c>
      <c r="AN738" s="292" t="s">
        <v>377</v>
      </c>
      <c r="AO738" s="288" t="s">
        <v>377</v>
      </c>
      <c r="AP738" s="289" t="s">
        <v>377</v>
      </c>
      <c r="AQ738" s="292" t="s">
        <v>18</v>
      </c>
      <c r="AR738" s="292" t="s">
        <v>377</v>
      </c>
      <c r="AS738" s="288" t="s">
        <v>377</v>
      </c>
      <c r="AT738" s="299" t="s">
        <v>32</v>
      </c>
      <c r="AU738" s="292" t="s">
        <v>18</v>
      </c>
      <c r="AV738" s="288" t="s">
        <v>377</v>
      </c>
      <c r="AW738" s="292" t="s">
        <v>18</v>
      </c>
      <c r="AX738" s="292" t="s">
        <v>18</v>
      </c>
      <c r="AY738" s="288" t="s">
        <v>18</v>
      </c>
      <c r="AZ738" s="292" t="s">
        <v>18</v>
      </c>
      <c r="BA738" s="292" t="s">
        <v>18</v>
      </c>
      <c r="BB738" s="295" t="s">
        <v>32</v>
      </c>
      <c r="BC738" s="296" t="s">
        <v>32</v>
      </c>
      <c r="BD738" s="287"/>
    </row>
    <row r="739" ht="12.75" customHeight="1">
      <c r="A739" s="298">
        <v>30.0</v>
      </c>
      <c r="B739" s="297" t="s">
        <v>486</v>
      </c>
      <c r="C739" s="298" t="s">
        <v>567</v>
      </c>
      <c r="D739" s="298" t="s">
        <v>16</v>
      </c>
      <c r="E739" s="285" t="s">
        <v>577</v>
      </c>
      <c r="F739" s="292" t="s">
        <v>1284</v>
      </c>
      <c r="G739" s="298" t="s">
        <v>21</v>
      </c>
      <c r="H739" s="298">
        <v>17.0</v>
      </c>
      <c r="I739" s="292" t="s">
        <v>479</v>
      </c>
      <c r="J739" s="292" t="s">
        <v>532</v>
      </c>
      <c r="K739" s="287" t="s">
        <v>532</v>
      </c>
      <c r="L739" s="292" t="s">
        <v>479</v>
      </c>
      <c r="M739" s="292" t="s">
        <v>481</v>
      </c>
      <c r="N739" s="292"/>
      <c r="O739" s="298" t="s">
        <v>497</v>
      </c>
      <c r="P739" s="292" t="s">
        <v>612</v>
      </c>
      <c r="Q739" s="299" t="s">
        <v>32</v>
      </c>
      <c r="R739" s="299" t="s">
        <v>32</v>
      </c>
      <c r="S739" s="295" t="s">
        <v>32</v>
      </c>
      <c r="T739" s="292" t="s">
        <v>377</v>
      </c>
      <c r="U739" s="292" t="s">
        <v>377</v>
      </c>
      <c r="V739" s="288" t="s">
        <v>377</v>
      </c>
      <c r="W739" s="292" t="s">
        <v>377</v>
      </c>
      <c r="X739" s="292" t="s">
        <v>377</v>
      </c>
      <c r="Y739" s="288" t="s">
        <v>377</v>
      </c>
      <c r="Z739" s="299" t="s">
        <v>32</v>
      </c>
      <c r="AA739" s="299" t="s">
        <v>32</v>
      </c>
      <c r="AB739" s="295" t="s">
        <v>32</v>
      </c>
      <c r="AC739" s="296" t="s">
        <v>32</v>
      </c>
      <c r="AD739" s="292" t="s">
        <v>377</v>
      </c>
      <c r="AE739" s="292" t="s">
        <v>377</v>
      </c>
      <c r="AF739" s="288" t="s">
        <v>377</v>
      </c>
      <c r="AG739" s="292" t="s">
        <v>377</v>
      </c>
      <c r="AH739" s="292" t="s">
        <v>377</v>
      </c>
      <c r="AI739" s="288" t="s">
        <v>377</v>
      </c>
      <c r="AJ739" s="292" t="s">
        <v>377</v>
      </c>
      <c r="AK739" s="292" t="s">
        <v>377</v>
      </c>
      <c r="AL739" s="288" t="s">
        <v>377</v>
      </c>
      <c r="AM739" s="292" t="s">
        <v>18</v>
      </c>
      <c r="AN739" s="292" t="s">
        <v>18</v>
      </c>
      <c r="AO739" s="288" t="s">
        <v>18</v>
      </c>
      <c r="AP739" s="289" t="s">
        <v>377</v>
      </c>
      <c r="AQ739" s="299" t="s">
        <v>32</v>
      </c>
      <c r="AR739" s="292" t="s">
        <v>377</v>
      </c>
      <c r="AS739" s="295" t="s">
        <v>32</v>
      </c>
      <c r="AT739" s="299" t="s">
        <v>32</v>
      </c>
      <c r="AU739" s="299" t="s">
        <v>32</v>
      </c>
      <c r="AV739" s="295" t="s">
        <v>32</v>
      </c>
      <c r="AW739" s="299" t="s">
        <v>32</v>
      </c>
      <c r="AX739" s="299" t="s">
        <v>32</v>
      </c>
      <c r="AY739" s="295" t="s">
        <v>32</v>
      </c>
      <c r="AZ739" s="299" t="s">
        <v>32</v>
      </c>
      <c r="BA739" s="299" t="s">
        <v>32</v>
      </c>
      <c r="BB739" s="288" t="s">
        <v>377</v>
      </c>
      <c r="BC739" s="289" t="s">
        <v>377</v>
      </c>
      <c r="BD739" s="287"/>
    </row>
    <row r="740" ht="12.75" customHeight="1">
      <c r="A740" s="298">
        <v>32.0</v>
      </c>
      <c r="B740" s="297" t="s">
        <v>486</v>
      </c>
      <c r="C740" s="298" t="s">
        <v>567</v>
      </c>
      <c r="D740" s="298" t="s">
        <v>16</v>
      </c>
      <c r="E740" s="285" t="s">
        <v>577</v>
      </c>
      <c r="F740" s="292" t="s">
        <v>1285</v>
      </c>
      <c r="G740" s="298" t="s">
        <v>21</v>
      </c>
      <c r="H740" s="298">
        <v>15.0</v>
      </c>
      <c r="I740" s="292" t="s">
        <v>479</v>
      </c>
      <c r="J740" s="292" t="s">
        <v>532</v>
      </c>
      <c r="K740" s="287" t="s">
        <v>532</v>
      </c>
      <c r="L740" s="292" t="s">
        <v>497</v>
      </c>
      <c r="M740" s="292" t="s">
        <v>638</v>
      </c>
      <c r="N740" s="292"/>
      <c r="O740" s="298" t="s">
        <v>497</v>
      </c>
      <c r="P740" s="292" t="s">
        <v>612</v>
      </c>
      <c r="Q740" s="292" t="s">
        <v>377</v>
      </c>
      <c r="R740" s="292" t="s">
        <v>377</v>
      </c>
      <c r="S740" s="288" t="s">
        <v>377</v>
      </c>
      <c r="T740" s="292" t="s">
        <v>377</v>
      </c>
      <c r="U740" s="292" t="s">
        <v>377</v>
      </c>
      <c r="V740" s="288" t="s">
        <v>377</v>
      </c>
      <c r="W740" s="292" t="s">
        <v>377</v>
      </c>
      <c r="X740" s="292" t="s">
        <v>377</v>
      </c>
      <c r="Y740" s="288" t="s">
        <v>377</v>
      </c>
      <c r="Z740" s="292" t="s">
        <v>377</v>
      </c>
      <c r="AA740" s="292" t="s">
        <v>377</v>
      </c>
      <c r="AB740" s="288" t="s">
        <v>377</v>
      </c>
      <c r="AC740" s="289" t="s">
        <v>377</v>
      </c>
      <c r="AD740" s="299" t="s">
        <v>32</v>
      </c>
      <c r="AE740" s="299" t="s">
        <v>32</v>
      </c>
      <c r="AF740" s="295" t="s">
        <v>32</v>
      </c>
      <c r="AG740" s="292" t="s">
        <v>377</v>
      </c>
      <c r="AH740" s="292" t="s">
        <v>377</v>
      </c>
      <c r="AI740" s="288" t="s">
        <v>377</v>
      </c>
      <c r="AJ740" s="292" t="s">
        <v>377</v>
      </c>
      <c r="AK740" s="292" t="s">
        <v>377</v>
      </c>
      <c r="AL740" s="288" t="s">
        <v>377</v>
      </c>
      <c r="AM740" s="292" t="s">
        <v>18</v>
      </c>
      <c r="AN740" s="292" t="s">
        <v>18</v>
      </c>
      <c r="AO740" s="288" t="s">
        <v>18</v>
      </c>
      <c r="AP740" s="289" t="s">
        <v>377</v>
      </c>
      <c r="AQ740" s="299" t="s">
        <v>32</v>
      </c>
      <c r="AR740" s="299" t="s">
        <v>32</v>
      </c>
      <c r="AS740" s="295" t="s">
        <v>32</v>
      </c>
      <c r="AT740" s="299" t="s">
        <v>32</v>
      </c>
      <c r="AU740" s="299" t="s">
        <v>32</v>
      </c>
      <c r="AV740" s="295" t="s">
        <v>32</v>
      </c>
      <c r="AW740" s="292" t="s">
        <v>377</v>
      </c>
      <c r="AX740" s="299" t="s">
        <v>32</v>
      </c>
      <c r="AY740" s="295" t="s">
        <v>32</v>
      </c>
      <c r="AZ740" s="299" t="s">
        <v>32</v>
      </c>
      <c r="BA740" s="299" t="s">
        <v>32</v>
      </c>
      <c r="BB740" s="295" t="s">
        <v>32</v>
      </c>
      <c r="BC740" s="296" t="s">
        <v>32</v>
      </c>
      <c r="BD740" s="287"/>
    </row>
    <row r="741" ht="12.75" customHeight="1">
      <c r="A741" s="298">
        <v>36.0</v>
      </c>
      <c r="B741" s="297" t="s">
        <v>486</v>
      </c>
      <c r="C741" s="298" t="s">
        <v>567</v>
      </c>
      <c r="D741" s="298" t="s">
        <v>16</v>
      </c>
      <c r="E741" s="285" t="s">
        <v>577</v>
      </c>
      <c r="F741" s="292" t="s">
        <v>1286</v>
      </c>
      <c r="G741" s="298" t="s">
        <v>21</v>
      </c>
      <c r="H741" s="298">
        <v>14.0</v>
      </c>
      <c r="I741" s="292" t="s">
        <v>479</v>
      </c>
      <c r="J741" s="292" t="s">
        <v>532</v>
      </c>
      <c r="K741" s="287" t="s">
        <v>532</v>
      </c>
      <c r="L741" s="292" t="s">
        <v>479</v>
      </c>
      <c r="M741" s="292" t="s">
        <v>481</v>
      </c>
      <c r="N741" s="292"/>
      <c r="O741" s="298" t="s">
        <v>497</v>
      </c>
      <c r="P741" s="292" t="s">
        <v>612</v>
      </c>
      <c r="Q741" s="299" t="s">
        <v>32</v>
      </c>
      <c r="R741" s="292" t="s">
        <v>377</v>
      </c>
      <c r="S741" s="295" t="s">
        <v>32</v>
      </c>
      <c r="T741" s="292" t="s">
        <v>377</v>
      </c>
      <c r="U741" s="292" t="s">
        <v>377</v>
      </c>
      <c r="V741" s="288" t="s">
        <v>377</v>
      </c>
      <c r="W741" s="292" t="s">
        <v>377</v>
      </c>
      <c r="X741" s="292" t="s">
        <v>377</v>
      </c>
      <c r="Y741" s="288" t="s">
        <v>377</v>
      </c>
      <c r="Z741" s="292" t="s">
        <v>377</v>
      </c>
      <c r="AA741" s="299" t="s">
        <v>32</v>
      </c>
      <c r="AB741" s="295" t="s">
        <v>32</v>
      </c>
      <c r="AC741" s="289" t="s">
        <v>377</v>
      </c>
      <c r="AD741" s="299" t="s">
        <v>32</v>
      </c>
      <c r="AE741" s="299" t="s">
        <v>32</v>
      </c>
      <c r="AF741" s="295" t="s">
        <v>32</v>
      </c>
      <c r="AG741" s="292" t="s">
        <v>377</v>
      </c>
      <c r="AH741" s="299" t="s">
        <v>32</v>
      </c>
      <c r="AI741" s="295" t="s">
        <v>32</v>
      </c>
      <c r="AJ741" s="299" t="s">
        <v>32</v>
      </c>
      <c r="AK741" s="299" t="s">
        <v>32</v>
      </c>
      <c r="AL741" s="295" t="s">
        <v>32</v>
      </c>
      <c r="AM741" s="292" t="s">
        <v>18</v>
      </c>
      <c r="AN741" s="292" t="s">
        <v>18</v>
      </c>
      <c r="AO741" s="288" t="s">
        <v>18</v>
      </c>
      <c r="AP741" s="289" t="s">
        <v>377</v>
      </c>
      <c r="AQ741" s="292" t="s">
        <v>377</v>
      </c>
      <c r="AR741" s="299" t="s">
        <v>32</v>
      </c>
      <c r="AS741" s="295" t="s">
        <v>32</v>
      </c>
      <c r="AT741" s="299" t="s">
        <v>32</v>
      </c>
      <c r="AU741" s="299" t="s">
        <v>32</v>
      </c>
      <c r="AV741" s="295" t="s">
        <v>32</v>
      </c>
      <c r="AW741" s="299" t="s">
        <v>32</v>
      </c>
      <c r="AX741" s="292" t="s">
        <v>377</v>
      </c>
      <c r="AY741" s="295" t="s">
        <v>32</v>
      </c>
      <c r="AZ741" s="299" t="s">
        <v>32</v>
      </c>
      <c r="BA741" s="299" t="s">
        <v>32</v>
      </c>
      <c r="BB741" s="295" t="s">
        <v>32</v>
      </c>
      <c r="BC741" s="296" t="s">
        <v>32</v>
      </c>
      <c r="BD741" s="287"/>
    </row>
    <row r="742" ht="12.75" customHeight="1">
      <c r="A742" s="298">
        <v>37.0</v>
      </c>
      <c r="B742" s="297" t="s">
        <v>486</v>
      </c>
      <c r="C742" s="298" t="s">
        <v>567</v>
      </c>
      <c r="D742" s="298" t="s">
        <v>16</v>
      </c>
      <c r="E742" s="285" t="s">
        <v>577</v>
      </c>
      <c r="F742" s="292" t="s">
        <v>1287</v>
      </c>
      <c r="G742" s="298" t="s">
        <v>21</v>
      </c>
      <c r="H742" s="298">
        <v>16.0</v>
      </c>
      <c r="I742" s="292" t="s">
        <v>479</v>
      </c>
      <c r="J742" s="292" t="s">
        <v>532</v>
      </c>
      <c r="K742" s="287" t="s">
        <v>532</v>
      </c>
      <c r="L742" s="292" t="s">
        <v>479</v>
      </c>
      <c r="M742" s="292" t="s">
        <v>481</v>
      </c>
      <c r="N742" s="292"/>
      <c r="O742" s="298" t="s">
        <v>497</v>
      </c>
      <c r="P742" s="292" t="s">
        <v>612</v>
      </c>
      <c r="Q742" s="299" t="s">
        <v>32</v>
      </c>
      <c r="R742" s="292" t="s">
        <v>377</v>
      </c>
      <c r="S742" s="295" t="s">
        <v>32</v>
      </c>
      <c r="T742" s="292" t="s">
        <v>377</v>
      </c>
      <c r="U742" s="292" t="s">
        <v>377</v>
      </c>
      <c r="V742" s="288" t="s">
        <v>377</v>
      </c>
      <c r="W742" s="292" t="s">
        <v>18</v>
      </c>
      <c r="X742" s="292" t="s">
        <v>18</v>
      </c>
      <c r="Y742" s="288" t="s">
        <v>18</v>
      </c>
      <c r="Z742" s="299" t="s">
        <v>32</v>
      </c>
      <c r="AA742" s="292" t="s">
        <v>377</v>
      </c>
      <c r="AB742" s="295" t="s">
        <v>32</v>
      </c>
      <c r="AC742" s="289" t="s">
        <v>377</v>
      </c>
      <c r="AD742" s="292" t="s">
        <v>18</v>
      </c>
      <c r="AE742" s="292" t="s">
        <v>18</v>
      </c>
      <c r="AF742" s="288" t="s">
        <v>18</v>
      </c>
      <c r="AG742" s="292" t="s">
        <v>377</v>
      </c>
      <c r="AH742" s="292" t="s">
        <v>377</v>
      </c>
      <c r="AI742" s="288" t="s">
        <v>377</v>
      </c>
      <c r="AJ742" s="292" t="s">
        <v>377</v>
      </c>
      <c r="AK742" s="299" t="s">
        <v>32</v>
      </c>
      <c r="AL742" s="295" t="s">
        <v>32</v>
      </c>
      <c r="AM742" s="292" t="s">
        <v>18</v>
      </c>
      <c r="AN742" s="292" t="s">
        <v>377</v>
      </c>
      <c r="AO742" s="288" t="s">
        <v>377</v>
      </c>
      <c r="AP742" s="289" t="s">
        <v>377</v>
      </c>
      <c r="AQ742" s="299" t="s">
        <v>32</v>
      </c>
      <c r="AR742" s="299" t="s">
        <v>32</v>
      </c>
      <c r="AS742" s="295" t="s">
        <v>32</v>
      </c>
      <c r="AT742" s="299" t="s">
        <v>32</v>
      </c>
      <c r="AU742" s="299" t="s">
        <v>32</v>
      </c>
      <c r="AV742" s="295" t="s">
        <v>32</v>
      </c>
      <c r="AW742" s="292" t="s">
        <v>377</v>
      </c>
      <c r="AX742" s="292" t="s">
        <v>377</v>
      </c>
      <c r="AY742" s="288" t="s">
        <v>377</v>
      </c>
      <c r="AZ742" s="299" t="s">
        <v>32</v>
      </c>
      <c r="BA742" s="299" t="s">
        <v>32</v>
      </c>
      <c r="BB742" s="295" t="s">
        <v>32</v>
      </c>
      <c r="BC742" s="296" t="s">
        <v>32</v>
      </c>
      <c r="BD742" s="287"/>
    </row>
    <row r="743" ht="12.75" customHeight="1">
      <c r="A743" s="298">
        <v>38.0</v>
      </c>
      <c r="B743" s="297" t="s">
        <v>486</v>
      </c>
      <c r="C743" s="298" t="s">
        <v>567</v>
      </c>
      <c r="D743" s="298" t="s">
        <v>16</v>
      </c>
      <c r="E743" s="285" t="s">
        <v>577</v>
      </c>
      <c r="F743" s="292" t="s">
        <v>1288</v>
      </c>
      <c r="G743" s="298" t="s">
        <v>17</v>
      </c>
      <c r="H743" s="298">
        <v>16.0</v>
      </c>
      <c r="I743" s="292" t="s">
        <v>479</v>
      </c>
      <c r="J743" s="292" t="s">
        <v>532</v>
      </c>
      <c r="K743" s="287" t="s">
        <v>532</v>
      </c>
      <c r="L743" s="292" t="s">
        <v>479</v>
      </c>
      <c r="M743" s="292" t="s">
        <v>481</v>
      </c>
      <c r="N743" s="292"/>
      <c r="O743" s="298" t="s">
        <v>497</v>
      </c>
      <c r="P743" s="292" t="s">
        <v>612</v>
      </c>
      <c r="Q743" s="292" t="s">
        <v>377</v>
      </c>
      <c r="R743" s="292" t="s">
        <v>377</v>
      </c>
      <c r="S743" s="288" t="s">
        <v>377</v>
      </c>
      <c r="T743" s="299" t="s">
        <v>32</v>
      </c>
      <c r="U743" s="299" t="s">
        <v>32</v>
      </c>
      <c r="V743" s="295" t="s">
        <v>32</v>
      </c>
      <c r="W743" s="292" t="s">
        <v>377</v>
      </c>
      <c r="X743" s="292" t="s">
        <v>377</v>
      </c>
      <c r="Y743" s="288" t="s">
        <v>377</v>
      </c>
      <c r="Z743" s="292" t="s">
        <v>377</v>
      </c>
      <c r="AA743" s="299" t="s">
        <v>32</v>
      </c>
      <c r="AB743" s="295" t="s">
        <v>32</v>
      </c>
      <c r="AC743" s="289" t="s">
        <v>377</v>
      </c>
      <c r="AD743" s="292" t="s">
        <v>377</v>
      </c>
      <c r="AE743" s="292" t="s">
        <v>377</v>
      </c>
      <c r="AF743" s="288" t="s">
        <v>377</v>
      </c>
      <c r="AG743" s="292" t="s">
        <v>377</v>
      </c>
      <c r="AH743" s="292" t="s">
        <v>377</v>
      </c>
      <c r="AI743" s="288" t="s">
        <v>377</v>
      </c>
      <c r="AJ743" s="299" t="s">
        <v>32</v>
      </c>
      <c r="AK743" s="292" t="s">
        <v>377</v>
      </c>
      <c r="AL743" s="295" t="s">
        <v>32</v>
      </c>
      <c r="AM743" s="292" t="s">
        <v>18</v>
      </c>
      <c r="AN743" s="292" t="s">
        <v>18</v>
      </c>
      <c r="AO743" s="288" t="s">
        <v>18</v>
      </c>
      <c r="AP743" s="289" t="s">
        <v>377</v>
      </c>
      <c r="AQ743" s="299" t="s">
        <v>32</v>
      </c>
      <c r="AR743" s="292" t="s">
        <v>377</v>
      </c>
      <c r="AS743" s="295" t="s">
        <v>32</v>
      </c>
      <c r="AT743" s="299" t="s">
        <v>32</v>
      </c>
      <c r="AU743" s="299" t="s">
        <v>32</v>
      </c>
      <c r="AV743" s="295" t="s">
        <v>32</v>
      </c>
      <c r="AW743" s="299" t="s">
        <v>32</v>
      </c>
      <c r="AX743" s="292" t="s">
        <v>377</v>
      </c>
      <c r="AY743" s="295" t="s">
        <v>32</v>
      </c>
      <c r="AZ743" s="299" t="s">
        <v>32</v>
      </c>
      <c r="BA743" s="299" t="s">
        <v>32</v>
      </c>
      <c r="BB743" s="295" t="s">
        <v>32</v>
      </c>
      <c r="BC743" s="296" t="s">
        <v>32</v>
      </c>
      <c r="BD743" s="287"/>
    </row>
    <row r="744" ht="12.75" customHeight="1">
      <c r="A744" s="298">
        <v>39.0</v>
      </c>
      <c r="B744" s="297" t="s">
        <v>486</v>
      </c>
      <c r="C744" s="298" t="s">
        <v>567</v>
      </c>
      <c r="D744" s="298" t="s">
        <v>16</v>
      </c>
      <c r="E744" s="285" t="s">
        <v>577</v>
      </c>
      <c r="F744" s="292" t="s">
        <v>1289</v>
      </c>
      <c r="G744" s="298" t="s">
        <v>21</v>
      </c>
      <c r="H744" s="298">
        <v>15.0</v>
      </c>
      <c r="I744" s="292" t="s">
        <v>479</v>
      </c>
      <c r="J744" s="292" t="s">
        <v>532</v>
      </c>
      <c r="K744" s="287" t="s">
        <v>532</v>
      </c>
      <c r="L744" s="292" t="s">
        <v>479</v>
      </c>
      <c r="M744" s="292" t="s">
        <v>481</v>
      </c>
      <c r="N744" s="292"/>
      <c r="O744" s="298" t="s">
        <v>497</v>
      </c>
      <c r="P744" s="292" t="s">
        <v>612</v>
      </c>
      <c r="Q744" s="299" t="s">
        <v>32</v>
      </c>
      <c r="R744" s="292" t="s">
        <v>377</v>
      </c>
      <c r="S744" s="295" t="s">
        <v>32</v>
      </c>
      <c r="T744" s="292" t="s">
        <v>377</v>
      </c>
      <c r="U744" s="292" t="s">
        <v>377</v>
      </c>
      <c r="V744" s="288" t="s">
        <v>377</v>
      </c>
      <c r="W744" s="292" t="s">
        <v>18</v>
      </c>
      <c r="X744" s="292" t="s">
        <v>377</v>
      </c>
      <c r="Y744" s="288" t="s">
        <v>377</v>
      </c>
      <c r="Z744" s="299" t="s">
        <v>32</v>
      </c>
      <c r="AA744" s="299" t="s">
        <v>32</v>
      </c>
      <c r="AB744" s="295" t="s">
        <v>32</v>
      </c>
      <c r="AC744" s="289" t="s">
        <v>377</v>
      </c>
      <c r="AD744" s="292" t="s">
        <v>377</v>
      </c>
      <c r="AE744" s="299" t="s">
        <v>32</v>
      </c>
      <c r="AF744" s="295" t="s">
        <v>32</v>
      </c>
      <c r="AG744" s="292" t="s">
        <v>377</v>
      </c>
      <c r="AH744" s="292" t="s">
        <v>377</v>
      </c>
      <c r="AI744" s="288" t="s">
        <v>377</v>
      </c>
      <c r="AJ744" s="299" t="s">
        <v>32</v>
      </c>
      <c r="AK744" s="292" t="s">
        <v>377</v>
      </c>
      <c r="AL744" s="295" t="s">
        <v>32</v>
      </c>
      <c r="AM744" s="292" t="s">
        <v>18</v>
      </c>
      <c r="AN744" s="292" t="s">
        <v>18</v>
      </c>
      <c r="AO744" s="288" t="s">
        <v>18</v>
      </c>
      <c r="AP744" s="289" t="s">
        <v>377</v>
      </c>
      <c r="AQ744" s="292" t="s">
        <v>18</v>
      </c>
      <c r="AR744" s="299" t="s">
        <v>32</v>
      </c>
      <c r="AS744" s="288" t="s">
        <v>377</v>
      </c>
      <c r="AT744" s="299" t="s">
        <v>32</v>
      </c>
      <c r="AU744" s="299" t="s">
        <v>32</v>
      </c>
      <c r="AV744" s="295" t="s">
        <v>32</v>
      </c>
      <c r="AW744" s="292" t="s">
        <v>377</v>
      </c>
      <c r="AX744" s="292" t="s">
        <v>377</v>
      </c>
      <c r="AY744" s="288" t="s">
        <v>377</v>
      </c>
      <c r="AZ744" s="299" t="s">
        <v>32</v>
      </c>
      <c r="BA744" s="299" t="s">
        <v>32</v>
      </c>
      <c r="BB744" s="295" t="s">
        <v>32</v>
      </c>
      <c r="BC744" s="296" t="s">
        <v>32</v>
      </c>
      <c r="BD744" s="287"/>
    </row>
    <row r="745" ht="12.75" customHeight="1">
      <c r="A745" s="298">
        <v>40.0</v>
      </c>
      <c r="B745" s="297" t="s">
        <v>486</v>
      </c>
      <c r="C745" s="298" t="s">
        <v>567</v>
      </c>
      <c r="D745" s="298" t="s">
        <v>16</v>
      </c>
      <c r="E745" s="285" t="s">
        <v>577</v>
      </c>
      <c r="F745" s="292" t="s">
        <v>1290</v>
      </c>
      <c r="G745" s="298" t="s">
        <v>21</v>
      </c>
      <c r="H745" s="298">
        <v>15.0</v>
      </c>
      <c r="I745" s="292" t="s">
        <v>479</v>
      </c>
      <c r="J745" s="292" t="s">
        <v>532</v>
      </c>
      <c r="K745" s="287" t="s">
        <v>532</v>
      </c>
      <c r="L745" s="292" t="s">
        <v>479</v>
      </c>
      <c r="M745" s="292" t="s">
        <v>481</v>
      </c>
      <c r="N745" s="292"/>
      <c r="O745" s="298" t="s">
        <v>479</v>
      </c>
      <c r="P745" s="292" t="s">
        <v>1291</v>
      </c>
      <c r="Q745" s="299" t="s">
        <v>32</v>
      </c>
      <c r="R745" s="299" t="s">
        <v>32</v>
      </c>
      <c r="S745" s="295" t="s">
        <v>32</v>
      </c>
      <c r="T745" s="299" t="s">
        <v>32</v>
      </c>
      <c r="U745" s="299" t="s">
        <v>32</v>
      </c>
      <c r="V745" s="295" t="s">
        <v>32</v>
      </c>
      <c r="W745" s="299" t="s">
        <v>32</v>
      </c>
      <c r="X745" s="299" t="s">
        <v>32</v>
      </c>
      <c r="Y745" s="295" t="s">
        <v>32</v>
      </c>
      <c r="Z745" s="299" t="s">
        <v>32</v>
      </c>
      <c r="AA745" s="299" t="s">
        <v>32</v>
      </c>
      <c r="AB745" s="295" t="s">
        <v>32</v>
      </c>
      <c r="AC745" s="296" t="s">
        <v>32</v>
      </c>
      <c r="AD745" s="292" t="s">
        <v>377</v>
      </c>
      <c r="AE745" s="299" t="s">
        <v>32</v>
      </c>
      <c r="AF745" s="295" t="s">
        <v>32</v>
      </c>
      <c r="AG745" s="299" t="s">
        <v>32</v>
      </c>
      <c r="AH745" s="299" t="s">
        <v>32</v>
      </c>
      <c r="AI745" s="295" t="s">
        <v>32</v>
      </c>
      <c r="AJ745" s="299" t="s">
        <v>32</v>
      </c>
      <c r="AK745" s="299" t="s">
        <v>32</v>
      </c>
      <c r="AL745" s="295" t="s">
        <v>32</v>
      </c>
      <c r="AM745" s="299" t="s">
        <v>32</v>
      </c>
      <c r="AN745" s="299" t="s">
        <v>32</v>
      </c>
      <c r="AO745" s="295" t="s">
        <v>32</v>
      </c>
      <c r="AP745" s="296" t="s">
        <v>32</v>
      </c>
      <c r="AQ745" s="299" t="s">
        <v>32</v>
      </c>
      <c r="AR745" s="299" t="s">
        <v>32</v>
      </c>
      <c r="AS745" s="295" t="s">
        <v>32</v>
      </c>
      <c r="AT745" s="299" t="s">
        <v>32</v>
      </c>
      <c r="AU745" s="299" t="s">
        <v>32</v>
      </c>
      <c r="AV745" s="295" t="s">
        <v>32</v>
      </c>
      <c r="AW745" s="299" t="s">
        <v>32</v>
      </c>
      <c r="AX745" s="299" t="s">
        <v>32</v>
      </c>
      <c r="AY745" s="295" t="s">
        <v>32</v>
      </c>
      <c r="AZ745" s="299" t="s">
        <v>32</v>
      </c>
      <c r="BA745" s="299" t="s">
        <v>32</v>
      </c>
      <c r="BB745" s="295" t="s">
        <v>32</v>
      </c>
      <c r="BC745" s="296" t="s">
        <v>32</v>
      </c>
      <c r="BD745" s="287"/>
    </row>
    <row r="746" ht="12.75" customHeight="1">
      <c r="A746" s="298">
        <v>43.0</v>
      </c>
      <c r="B746" s="297" t="s">
        <v>486</v>
      </c>
      <c r="C746" s="298" t="s">
        <v>567</v>
      </c>
      <c r="D746" s="298" t="s">
        <v>16</v>
      </c>
      <c r="E746" s="285" t="s">
        <v>577</v>
      </c>
      <c r="F746" s="292" t="s">
        <v>1292</v>
      </c>
      <c r="G746" s="298" t="s">
        <v>21</v>
      </c>
      <c r="H746" s="298">
        <v>15.0</v>
      </c>
      <c r="I746" s="292" t="s">
        <v>479</v>
      </c>
      <c r="J746" s="292" t="s">
        <v>532</v>
      </c>
      <c r="K746" s="287" t="s">
        <v>532</v>
      </c>
      <c r="L746" s="292" t="s">
        <v>479</v>
      </c>
      <c r="M746" s="292" t="s">
        <v>481</v>
      </c>
      <c r="N746" s="292"/>
      <c r="O746" s="298" t="s">
        <v>479</v>
      </c>
      <c r="P746" s="292" t="s">
        <v>813</v>
      </c>
      <c r="Q746" s="292" t="s">
        <v>377</v>
      </c>
      <c r="R746" s="292" t="s">
        <v>377</v>
      </c>
      <c r="S746" s="288" t="s">
        <v>377</v>
      </c>
      <c r="T746" s="299" t="s">
        <v>32</v>
      </c>
      <c r="U746" s="299" t="s">
        <v>32</v>
      </c>
      <c r="V746" s="295" t="s">
        <v>32</v>
      </c>
      <c r="W746" s="292" t="s">
        <v>377</v>
      </c>
      <c r="X746" s="292" t="s">
        <v>377</v>
      </c>
      <c r="Y746" s="288" t="s">
        <v>377</v>
      </c>
      <c r="Z746" s="292" t="s">
        <v>377</v>
      </c>
      <c r="AA746" s="299" t="s">
        <v>32</v>
      </c>
      <c r="AB746" s="295" t="s">
        <v>32</v>
      </c>
      <c r="AC746" s="289" t="s">
        <v>377</v>
      </c>
      <c r="AD746" s="292" t="s">
        <v>377</v>
      </c>
      <c r="AE746" s="292" t="s">
        <v>377</v>
      </c>
      <c r="AF746" s="288" t="s">
        <v>377</v>
      </c>
      <c r="AG746" s="292" t="s">
        <v>377</v>
      </c>
      <c r="AH746" s="292" t="s">
        <v>377</v>
      </c>
      <c r="AI746" s="288" t="s">
        <v>377</v>
      </c>
      <c r="AJ746" s="299" t="s">
        <v>32</v>
      </c>
      <c r="AK746" s="292" t="s">
        <v>377</v>
      </c>
      <c r="AL746" s="295" t="s">
        <v>32</v>
      </c>
      <c r="AM746" s="292" t="s">
        <v>18</v>
      </c>
      <c r="AN746" s="292" t="s">
        <v>18</v>
      </c>
      <c r="AO746" s="288" t="s">
        <v>18</v>
      </c>
      <c r="AP746" s="289" t="s">
        <v>377</v>
      </c>
      <c r="AQ746" s="299" t="s">
        <v>32</v>
      </c>
      <c r="AR746" s="292" t="s">
        <v>377</v>
      </c>
      <c r="AS746" s="295" t="s">
        <v>32</v>
      </c>
      <c r="AT746" s="299" t="s">
        <v>32</v>
      </c>
      <c r="AU746" s="299" t="s">
        <v>32</v>
      </c>
      <c r="AV746" s="295" t="s">
        <v>32</v>
      </c>
      <c r="AW746" s="299" t="s">
        <v>32</v>
      </c>
      <c r="AX746" s="292" t="s">
        <v>377</v>
      </c>
      <c r="AY746" s="295" t="s">
        <v>32</v>
      </c>
      <c r="AZ746" s="299" t="s">
        <v>32</v>
      </c>
      <c r="BA746" s="299" t="s">
        <v>32</v>
      </c>
      <c r="BB746" s="295" t="s">
        <v>32</v>
      </c>
      <c r="BC746" s="296" t="s">
        <v>32</v>
      </c>
      <c r="BD746" s="287"/>
    </row>
    <row r="747" ht="12.75" customHeight="1">
      <c r="A747" s="298">
        <v>47.0</v>
      </c>
      <c r="B747" s="297" t="s">
        <v>486</v>
      </c>
      <c r="C747" s="298" t="s">
        <v>567</v>
      </c>
      <c r="D747" s="298" t="s">
        <v>16</v>
      </c>
      <c r="E747" s="285" t="s">
        <v>577</v>
      </c>
      <c r="F747" s="292" t="s">
        <v>1293</v>
      </c>
      <c r="G747" s="298" t="s">
        <v>17</v>
      </c>
      <c r="H747" s="298">
        <v>16.0</v>
      </c>
      <c r="I747" s="292" t="s">
        <v>479</v>
      </c>
      <c r="J747" s="292" t="s">
        <v>532</v>
      </c>
      <c r="K747" s="287" t="s">
        <v>532</v>
      </c>
      <c r="L747" s="292" t="s">
        <v>497</v>
      </c>
      <c r="M747" s="292" t="s">
        <v>638</v>
      </c>
      <c r="N747" s="292"/>
      <c r="O747" s="298" t="s">
        <v>497</v>
      </c>
      <c r="P747" s="292" t="s">
        <v>612</v>
      </c>
      <c r="Q747" s="299" t="s">
        <v>32</v>
      </c>
      <c r="R747" s="299" t="s">
        <v>32</v>
      </c>
      <c r="S747" s="295" t="s">
        <v>32</v>
      </c>
      <c r="T747" s="299" t="s">
        <v>32</v>
      </c>
      <c r="U747" s="299" t="s">
        <v>32</v>
      </c>
      <c r="V747" s="295" t="s">
        <v>32</v>
      </c>
      <c r="W747" s="292" t="s">
        <v>18</v>
      </c>
      <c r="X747" s="292" t="s">
        <v>377</v>
      </c>
      <c r="Y747" s="288" t="s">
        <v>377</v>
      </c>
      <c r="Z747" s="299" t="s">
        <v>32</v>
      </c>
      <c r="AA747" s="292" t="s">
        <v>377</v>
      </c>
      <c r="AB747" s="295" t="s">
        <v>32</v>
      </c>
      <c r="AC747" s="296" t="s">
        <v>32</v>
      </c>
      <c r="AD747" s="299" t="s">
        <v>32</v>
      </c>
      <c r="AE747" s="299" t="s">
        <v>32</v>
      </c>
      <c r="AF747" s="295" t="s">
        <v>32</v>
      </c>
      <c r="AG747" s="292" t="s">
        <v>377</v>
      </c>
      <c r="AH747" s="292" t="s">
        <v>377</v>
      </c>
      <c r="AI747" s="288" t="s">
        <v>377</v>
      </c>
      <c r="AJ747" s="299" t="s">
        <v>32</v>
      </c>
      <c r="AK747" s="292" t="s">
        <v>377</v>
      </c>
      <c r="AL747" s="295" t="s">
        <v>32</v>
      </c>
      <c r="AM747" s="292" t="s">
        <v>18</v>
      </c>
      <c r="AN747" s="292" t="s">
        <v>377</v>
      </c>
      <c r="AO747" s="288" t="s">
        <v>377</v>
      </c>
      <c r="AP747" s="289" t="s">
        <v>377</v>
      </c>
      <c r="AQ747" s="299" t="s">
        <v>32</v>
      </c>
      <c r="AR747" s="299" t="s">
        <v>32</v>
      </c>
      <c r="AS747" s="295" t="s">
        <v>32</v>
      </c>
      <c r="AT747" s="299" t="s">
        <v>32</v>
      </c>
      <c r="AU747" s="299" t="s">
        <v>32</v>
      </c>
      <c r="AV747" s="295" t="s">
        <v>32</v>
      </c>
      <c r="AW747" s="299" t="s">
        <v>32</v>
      </c>
      <c r="AX747" s="292" t="s">
        <v>377</v>
      </c>
      <c r="AY747" s="295" t="s">
        <v>32</v>
      </c>
      <c r="AZ747" s="299" t="s">
        <v>32</v>
      </c>
      <c r="BA747" s="299" t="s">
        <v>32</v>
      </c>
      <c r="BB747" s="295" t="s">
        <v>32</v>
      </c>
      <c r="BC747" s="296" t="s">
        <v>32</v>
      </c>
      <c r="BD747" s="287"/>
    </row>
    <row r="748" ht="12.75" customHeight="1">
      <c r="A748" s="298">
        <v>48.0</v>
      </c>
      <c r="B748" s="297" t="s">
        <v>486</v>
      </c>
      <c r="C748" s="298" t="s">
        <v>567</v>
      </c>
      <c r="D748" s="298" t="s">
        <v>16</v>
      </c>
      <c r="E748" s="285" t="s">
        <v>577</v>
      </c>
      <c r="F748" s="292" t="s">
        <v>1294</v>
      </c>
      <c r="G748" s="298" t="s">
        <v>17</v>
      </c>
      <c r="H748" s="298">
        <v>17.0</v>
      </c>
      <c r="I748" s="292" t="s">
        <v>479</v>
      </c>
      <c r="J748" s="292" t="s">
        <v>532</v>
      </c>
      <c r="K748" s="287" t="s">
        <v>532</v>
      </c>
      <c r="L748" s="292" t="s">
        <v>479</v>
      </c>
      <c r="M748" s="292" t="s">
        <v>481</v>
      </c>
      <c r="N748" s="292"/>
      <c r="O748" s="298" t="s">
        <v>497</v>
      </c>
      <c r="P748" s="292" t="s">
        <v>612</v>
      </c>
      <c r="Q748" s="292" t="s">
        <v>377</v>
      </c>
      <c r="R748" s="292" t="s">
        <v>18</v>
      </c>
      <c r="S748" s="288" t="s">
        <v>377</v>
      </c>
      <c r="T748" s="299" t="s">
        <v>32</v>
      </c>
      <c r="U748" s="299" t="s">
        <v>32</v>
      </c>
      <c r="V748" s="295" t="s">
        <v>32</v>
      </c>
      <c r="W748" s="292" t="s">
        <v>18</v>
      </c>
      <c r="X748" s="292" t="s">
        <v>377</v>
      </c>
      <c r="Y748" s="288" t="s">
        <v>377</v>
      </c>
      <c r="Z748" s="292" t="s">
        <v>18</v>
      </c>
      <c r="AA748" s="292" t="s">
        <v>18</v>
      </c>
      <c r="AB748" s="288" t="s">
        <v>18</v>
      </c>
      <c r="AC748" s="289" t="s">
        <v>377</v>
      </c>
      <c r="AD748" s="292" t="s">
        <v>377</v>
      </c>
      <c r="AE748" s="292" t="s">
        <v>377</v>
      </c>
      <c r="AF748" s="288" t="s">
        <v>377</v>
      </c>
      <c r="AG748" s="292" t="s">
        <v>18</v>
      </c>
      <c r="AH748" s="292" t="s">
        <v>18</v>
      </c>
      <c r="AI748" s="288" t="s">
        <v>18</v>
      </c>
      <c r="AJ748" s="292" t="s">
        <v>377</v>
      </c>
      <c r="AK748" s="292" t="s">
        <v>377</v>
      </c>
      <c r="AL748" s="288" t="s">
        <v>377</v>
      </c>
      <c r="AM748" s="292" t="s">
        <v>377</v>
      </c>
      <c r="AN748" s="292" t="s">
        <v>18</v>
      </c>
      <c r="AO748" s="288" t="s">
        <v>377</v>
      </c>
      <c r="AP748" s="289" t="s">
        <v>377</v>
      </c>
      <c r="AQ748" s="292" t="s">
        <v>377</v>
      </c>
      <c r="AR748" s="292" t="s">
        <v>377</v>
      </c>
      <c r="AS748" s="288" t="s">
        <v>377</v>
      </c>
      <c r="AT748" s="299" t="s">
        <v>32</v>
      </c>
      <c r="AU748" s="299" t="s">
        <v>32</v>
      </c>
      <c r="AV748" s="295" t="s">
        <v>32</v>
      </c>
      <c r="AW748" s="292" t="s">
        <v>377</v>
      </c>
      <c r="AX748" s="292" t="s">
        <v>377</v>
      </c>
      <c r="AY748" s="288" t="s">
        <v>377</v>
      </c>
      <c r="AZ748" s="292" t="s">
        <v>18</v>
      </c>
      <c r="BA748" s="292" t="s">
        <v>18</v>
      </c>
      <c r="BB748" s="295" t="s">
        <v>32</v>
      </c>
      <c r="BC748" s="289" t="s">
        <v>377</v>
      </c>
      <c r="BD748" s="287"/>
    </row>
    <row r="749" ht="12.75" customHeight="1">
      <c r="A749" s="298">
        <v>49.0</v>
      </c>
      <c r="B749" s="297" t="s">
        <v>486</v>
      </c>
      <c r="C749" s="298" t="s">
        <v>567</v>
      </c>
      <c r="D749" s="298" t="s">
        <v>16</v>
      </c>
      <c r="E749" s="285" t="s">
        <v>577</v>
      </c>
      <c r="F749" s="292" t="s">
        <v>1295</v>
      </c>
      <c r="G749" s="298" t="s">
        <v>21</v>
      </c>
      <c r="H749" s="298">
        <v>17.0</v>
      </c>
      <c r="I749" s="292" t="s">
        <v>479</v>
      </c>
      <c r="J749" s="292" t="s">
        <v>532</v>
      </c>
      <c r="K749" s="287" t="s">
        <v>532</v>
      </c>
      <c r="L749" s="292" t="s">
        <v>479</v>
      </c>
      <c r="M749" s="292" t="s">
        <v>481</v>
      </c>
      <c r="N749" s="292"/>
      <c r="O749" s="298" t="s">
        <v>497</v>
      </c>
      <c r="P749" s="292" t="s">
        <v>612</v>
      </c>
      <c r="Q749" s="299" t="s">
        <v>32</v>
      </c>
      <c r="R749" s="299" t="s">
        <v>32</v>
      </c>
      <c r="S749" s="295" t="s">
        <v>32</v>
      </c>
      <c r="T749" s="299" t="s">
        <v>32</v>
      </c>
      <c r="U749" s="299" t="s">
        <v>32</v>
      </c>
      <c r="V749" s="295" t="s">
        <v>32</v>
      </c>
      <c r="W749" s="292" t="s">
        <v>377</v>
      </c>
      <c r="X749" s="299" t="s">
        <v>32</v>
      </c>
      <c r="Y749" s="295" t="s">
        <v>32</v>
      </c>
      <c r="Z749" s="292" t="s">
        <v>18</v>
      </c>
      <c r="AA749" s="299" t="s">
        <v>32</v>
      </c>
      <c r="AB749" s="288" t="s">
        <v>377</v>
      </c>
      <c r="AC749" s="296" t="s">
        <v>32</v>
      </c>
      <c r="AD749" s="299" t="s">
        <v>32</v>
      </c>
      <c r="AE749" s="292" t="s">
        <v>377</v>
      </c>
      <c r="AF749" s="295" t="s">
        <v>32</v>
      </c>
      <c r="AG749" s="299" t="s">
        <v>32</v>
      </c>
      <c r="AH749" s="299" t="s">
        <v>32</v>
      </c>
      <c r="AI749" s="295" t="s">
        <v>32</v>
      </c>
      <c r="AJ749" s="299" t="s">
        <v>32</v>
      </c>
      <c r="AK749" s="299" t="s">
        <v>32</v>
      </c>
      <c r="AL749" s="295" t="s">
        <v>32</v>
      </c>
      <c r="AM749" s="292" t="s">
        <v>377</v>
      </c>
      <c r="AN749" s="292" t="s">
        <v>377</v>
      </c>
      <c r="AO749" s="288" t="s">
        <v>377</v>
      </c>
      <c r="AP749" s="296" t="s">
        <v>32</v>
      </c>
      <c r="AQ749" s="299" t="s">
        <v>32</v>
      </c>
      <c r="AR749" s="299" t="s">
        <v>32</v>
      </c>
      <c r="AS749" s="295" t="s">
        <v>32</v>
      </c>
      <c r="AT749" s="299" t="s">
        <v>32</v>
      </c>
      <c r="AU749" s="299" t="s">
        <v>32</v>
      </c>
      <c r="AV749" s="295" t="s">
        <v>32</v>
      </c>
      <c r="AW749" s="299" t="s">
        <v>32</v>
      </c>
      <c r="AX749" s="299" t="s">
        <v>32</v>
      </c>
      <c r="AY749" s="295" t="s">
        <v>32</v>
      </c>
      <c r="AZ749" s="299" t="s">
        <v>32</v>
      </c>
      <c r="BA749" s="299" t="s">
        <v>32</v>
      </c>
      <c r="BB749" s="295" t="s">
        <v>32</v>
      </c>
      <c r="BC749" s="296" t="s">
        <v>32</v>
      </c>
      <c r="BD749" s="287"/>
    </row>
    <row r="750" ht="12.75" customHeight="1">
      <c r="A750" s="298">
        <v>51.0</v>
      </c>
      <c r="B750" s="297" t="s">
        <v>486</v>
      </c>
      <c r="C750" s="298" t="s">
        <v>567</v>
      </c>
      <c r="D750" s="298" t="s">
        <v>16</v>
      </c>
      <c r="E750" s="285" t="s">
        <v>577</v>
      </c>
      <c r="F750" s="292" t="s">
        <v>1296</v>
      </c>
      <c r="G750" s="298" t="s">
        <v>21</v>
      </c>
      <c r="H750" s="298">
        <v>15.0</v>
      </c>
      <c r="I750" s="292" t="s">
        <v>479</v>
      </c>
      <c r="J750" s="292" t="s">
        <v>532</v>
      </c>
      <c r="K750" s="287" t="s">
        <v>532</v>
      </c>
      <c r="L750" s="292" t="s">
        <v>479</v>
      </c>
      <c r="M750" s="292" t="s">
        <v>481</v>
      </c>
      <c r="N750" s="292"/>
      <c r="O750" s="298" t="s">
        <v>497</v>
      </c>
      <c r="P750" s="292" t="s">
        <v>612</v>
      </c>
      <c r="Q750" s="299" t="s">
        <v>32</v>
      </c>
      <c r="R750" s="299" t="s">
        <v>32</v>
      </c>
      <c r="S750" s="295" t="s">
        <v>32</v>
      </c>
      <c r="T750" s="299" t="s">
        <v>32</v>
      </c>
      <c r="U750" s="299" t="s">
        <v>32</v>
      </c>
      <c r="V750" s="295" t="s">
        <v>32</v>
      </c>
      <c r="W750" s="299" t="s">
        <v>32</v>
      </c>
      <c r="X750" s="299" t="s">
        <v>32</v>
      </c>
      <c r="Y750" s="295" t="s">
        <v>32</v>
      </c>
      <c r="Z750" s="299" t="s">
        <v>32</v>
      </c>
      <c r="AA750" s="299" t="s">
        <v>32</v>
      </c>
      <c r="AB750" s="295" t="s">
        <v>32</v>
      </c>
      <c r="AC750" s="296" t="s">
        <v>32</v>
      </c>
      <c r="AD750" s="299" t="s">
        <v>32</v>
      </c>
      <c r="AE750" s="299" t="s">
        <v>32</v>
      </c>
      <c r="AF750" s="295" t="s">
        <v>32</v>
      </c>
      <c r="AG750" s="299" t="s">
        <v>32</v>
      </c>
      <c r="AH750" s="299" t="s">
        <v>32</v>
      </c>
      <c r="AI750" s="295" t="s">
        <v>32</v>
      </c>
      <c r="AJ750" s="299" t="s">
        <v>32</v>
      </c>
      <c r="AK750" s="299" t="s">
        <v>32</v>
      </c>
      <c r="AL750" s="295" t="s">
        <v>32</v>
      </c>
      <c r="AM750" s="299" t="s">
        <v>32</v>
      </c>
      <c r="AN750" s="299" t="s">
        <v>32</v>
      </c>
      <c r="AO750" s="295" t="s">
        <v>32</v>
      </c>
      <c r="AP750" s="296" t="s">
        <v>32</v>
      </c>
      <c r="AQ750" s="299" t="s">
        <v>32</v>
      </c>
      <c r="AR750" s="299" t="s">
        <v>32</v>
      </c>
      <c r="AS750" s="295" t="s">
        <v>32</v>
      </c>
      <c r="AT750" s="299" t="s">
        <v>32</v>
      </c>
      <c r="AU750" s="299" t="s">
        <v>32</v>
      </c>
      <c r="AV750" s="295" t="s">
        <v>32</v>
      </c>
      <c r="AW750" s="292" t="s">
        <v>377</v>
      </c>
      <c r="AX750" s="292" t="s">
        <v>377</v>
      </c>
      <c r="AY750" s="288" t="s">
        <v>377</v>
      </c>
      <c r="AZ750" s="299" t="s">
        <v>32</v>
      </c>
      <c r="BA750" s="299" t="s">
        <v>32</v>
      </c>
      <c r="BB750" s="295" t="s">
        <v>32</v>
      </c>
      <c r="BC750" s="296" t="s">
        <v>32</v>
      </c>
      <c r="BD750" s="287"/>
    </row>
    <row r="751" ht="12.75" customHeight="1">
      <c r="A751" s="298">
        <v>54.0</v>
      </c>
      <c r="B751" s="297" t="s">
        <v>486</v>
      </c>
      <c r="C751" s="298" t="s">
        <v>567</v>
      </c>
      <c r="D751" s="298" t="s">
        <v>16</v>
      </c>
      <c r="E751" s="285" t="s">
        <v>577</v>
      </c>
      <c r="F751" s="292" t="s">
        <v>1297</v>
      </c>
      <c r="G751" s="298" t="s">
        <v>21</v>
      </c>
      <c r="H751" s="298">
        <v>16.0</v>
      </c>
      <c r="I751" s="292" t="s">
        <v>479</v>
      </c>
      <c r="J751" s="292" t="s">
        <v>532</v>
      </c>
      <c r="K751" s="287" t="s">
        <v>532</v>
      </c>
      <c r="L751" s="292" t="s">
        <v>497</v>
      </c>
      <c r="M751" s="292" t="s">
        <v>638</v>
      </c>
      <c r="N751" s="292"/>
      <c r="O751" s="298" t="s">
        <v>479</v>
      </c>
      <c r="P751" s="292" t="s">
        <v>1291</v>
      </c>
      <c r="Q751" s="299" t="s">
        <v>32</v>
      </c>
      <c r="R751" s="299" t="s">
        <v>32</v>
      </c>
      <c r="S751" s="295" t="s">
        <v>32</v>
      </c>
      <c r="T751" s="299" t="s">
        <v>32</v>
      </c>
      <c r="U751" s="299" t="s">
        <v>32</v>
      </c>
      <c r="V751" s="295" t="s">
        <v>32</v>
      </c>
      <c r="W751" s="299" t="s">
        <v>32</v>
      </c>
      <c r="X751" s="299" t="s">
        <v>32</v>
      </c>
      <c r="Y751" s="295" t="s">
        <v>32</v>
      </c>
      <c r="Z751" s="299" t="s">
        <v>32</v>
      </c>
      <c r="AA751" s="299" t="s">
        <v>32</v>
      </c>
      <c r="AB751" s="295" t="s">
        <v>32</v>
      </c>
      <c r="AC751" s="296" t="s">
        <v>32</v>
      </c>
      <c r="AD751" s="299" t="s">
        <v>32</v>
      </c>
      <c r="AE751" s="299" t="s">
        <v>32</v>
      </c>
      <c r="AF751" s="295" t="s">
        <v>32</v>
      </c>
      <c r="AG751" s="299" t="s">
        <v>32</v>
      </c>
      <c r="AH751" s="299" t="s">
        <v>32</v>
      </c>
      <c r="AI751" s="295" t="s">
        <v>32</v>
      </c>
      <c r="AJ751" s="299" t="s">
        <v>32</v>
      </c>
      <c r="AK751" s="299" t="s">
        <v>32</v>
      </c>
      <c r="AL751" s="295" t="s">
        <v>32</v>
      </c>
      <c r="AM751" s="299" t="s">
        <v>32</v>
      </c>
      <c r="AN751" s="299" t="s">
        <v>32</v>
      </c>
      <c r="AO751" s="295" t="s">
        <v>32</v>
      </c>
      <c r="AP751" s="296" t="s">
        <v>32</v>
      </c>
      <c r="AQ751" s="299" t="s">
        <v>32</v>
      </c>
      <c r="AR751" s="299" t="s">
        <v>32</v>
      </c>
      <c r="AS751" s="295" t="s">
        <v>32</v>
      </c>
      <c r="AT751" s="299" t="s">
        <v>32</v>
      </c>
      <c r="AU751" s="299" t="s">
        <v>32</v>
      </c>
      <c r="AV751" s="295" t="s">
        <v>32</v>
      </c>
      <c r="AW751" s="299" t="s">
        <v>32</v>
      </c>
      <c r="AX751" s="299" t="s">
        <v>32</v>
      </c>
      <c r="AY751" s="295" t="s">
        <v>32</v>
      </c>
      <c r="AZ751" s="299" t="s">
        <v>32</v>
      </c>
      <c r="BA751" s="299" t="s">
        <v>32</v>
      </c>
      <c r="BB751" s="295" t="s">
        <v>32</v>
      </c>
      <c r="BC751" s="296" t="s">
        <v>32</v>
      </c>
      <c r="BD751" s="287"/>
    </row>
    <row r="752" ht="12.75" customHeight="1">
      <c r="A752" s="298">
        <v>55.0</v>
      </c>
      <c r="B752" s="297" t="s">
        <v>486</v>
      </c>
      <c r="C752" s="298" t="s">
        <v>567</v>
      </c>
      <c r="D752" s="298" t="s">
        <v>16</v>
      </c>
      <c r="E752" s="285" t="s">
        <v>577</v>
      </c>
      <c r="F752" s="292" t="s">
        <v>1298</v>
      </c>
      <c r="G752" s="298" t="s">
        <v>21</v>
      </c>
      <c r="H752" s="298">
        <v>16.0</v>
      </c>
      <c r="I752" s="292" t="s">
        <v>479</v>
      </c>
      <c r="J752" s="292" t="s">
        <v>532</v>
      </c>
      <c r="K752" s="287" t="s">
        <v>532</v>
      </c>
      <c r="L752" s="292" t="s">
        <v>497</v>
      </c>
      <c r="M752" s="292" t="s">
        <v>638</v>
      </c>
      <c r="N752" s="292"/>
      <c r="O752" s="298" t="s">
        <v>479</v>
      </c>
      <c r="P752" s="292" t="s">
        <v>813</v>
      </c>
      <c r="Q752" s="299" t="s">
        <v>32</v>
      </c>
      <c r="R752" s="299" t="s">
        <v>32</v>
      </c>
      <c r="S752" s="295" t="s">
        <v>32</v>
      </c>
      <c r="T752" s="299" t="s">
        <v>32</v>
      </c>
      <c r="U752" s="299" t="s">
        <v>32</v>
      </c>
      <c r="V752" s="295" t="s">
        <v>32</v>
      </c>
      <c r="W752" s="299" t="s">
        <v>32</v>
      </c>
      <c r="X752" s="299" t="s">
        <v>32</v>
      </c>
      <c r="Y752" s="295" t="s">
        <v>32</v>
      </c>
      <c r="Z752" s="299" t="s">
        <v>32</v>
      </c>
      <c r="AA752" s="299" t="s">
        <v>32</v>
      </c>
      <c r="AB752" s="295" t="s">
        <v>32</v>
      </c>
      <c r="AC752" s="296" t="s">
        <v>32</v>
      </c>
      <c r="AD752" s="299" t="s">
        <v>32</v>
      </c>
      <c r="AE752" s="299" t="s">
        <v>32</v>
      </c>
      <c r="AF752" s="295" t="s">
        <v>32</v>
      </c>
      <c r="AG752" s="299" t="s">
        <v>32</v>
      </c>
      <c r="AH752" s="299" t="s">
        <v>32</v>
      </c>
      <c r="AI752" s="295" t="s">
        <v>32</v>
      </c>
      <c r="AJ752" s="299" t="s">
        <v>32</v>
      </c>
      <c r="AK752" s="299" t="s">
        <v>32</v>
      </c>
      <c r="AL752" s="295" t="s">
        <v>32</v>
      </c>
      <c r="AM752" s="299" t="s">
        <v>32</v>
      </c>
      <c r="AN752" s="299" t="s">
        <v>32</v>
      </c>
      <c r="AO752" s="295" t="s">
        <v>32</v>
      </c>
      <c r="AP752" s="296" t="s">
        <v>32</v>
      </c>
      <c r="AQ752" s="299" t="s">
        <v>32</v>
      </c>
      <c r="AR752" s="299" t="s">
        <v>32</v>
      </c>
      <c r="AS752" s="295" t="s">
        <v>32</v>
      </c>
      <c r="AT752" s="299" t="s">
        <v>32</v>
      </c>
      <c r="AU752" s="299" t="s">
        <v>32</v>
      </c>
      <c r="AV752" s="295" t="s">
        <v>32</v>
      </c>
      <c r="AW752" s="299" t="s">
        <v>32</v>
      </c>
      <c r="AX752" s="299" t="s">
        <v>32</v>
      </c>
      <c r="AY752" s="295" t="s">
        <v>32</v>
      </c>
      <c r="AZ752" s="299" t="s">
        <v>32</v>
      </c>
      <c r="BA752" s="299" t="s">
        <v>32</v>
      </c>
      <c r="BB752" s="295" t="s">
        <v>32</v>
      </c>
      <c r="BC752" s="296" t="s">
        <v>32</v>
      </c>
      <c r="BD752" s="287"/>
    </row>
    <row r="753" ht="12.75" customHeight="1">
      <c r="A753" s="298">
        <v>61.0</v>
      </c>
      <c r="B753" s="297" t="s">
        <v>486</v>
      </c>
      <c r="C753" s="298" t="s">
        <v>567</v>
      </c>
      <c r="D753" s="298" t="s">
        <v>16</v>
      </c>
      <c r="E753" s="285" t="s">
        <v>577</v>
      </c>
      <c r="F753" s="292" t="s">
        <v>1299</v>
      </c>
      <c r="G753" s="298" t="s">
        <v>17</v>
      </c>
      <c r="H753" s="298">
        <v>16.0</v>
      </c>
      <c r="I753" s="292" t="s">
        <v>479</v>
      </c>
      <c r="J753" s="292" t="s">
        <v>532</v>
      </c>
      <c r="K753" s="287" t="s">
        <v>532</v>
      </c>
      <c r="L753" s="292" t="s">
        <v>497</v>
      </c>
      <c r="M753" s="292" t="s">
        <v>638</v>
      </c>
      <c r="N753" s="292"/>
      <c r="O753" s="298" t="s">
        <v>497</v>
      </c>
      <c r="P753" s="292" t="s">
        <v>612</v>
      </c>
      <c r="Q753" s="299" t="s">
        <v>32</v>
      </c>
      <c r="R753" s="299" t="s">
        <v>32</v>
      </c>
      <c r="S753" s="295" t="s">
        <v>32</v>
      </c>
      <c r="T753" s="299" t="s">
        <v>32</v>
      </c>
      <c r="U753" s="299" t="s">
        <v>32</v>
      </c>
      <c r="V753" s="295" t="s">
        <v>32</v>
      </c>
      <c r="W753" s="292" t="s">
        <v>377</v>
      </c>
      <c r="X753" s="292" t="s">
        <v>18</v>
      </c>
      <c r="Y753" s="288" t="s">
        <v>377</v>
      </c>
      <c r="Z753" s="299" t="s">
        <v>32</v>
      </c>
      <c r="AA753" s="292" t="s">
        <v>18</v>
      </c>
      <c r="AB753" s="288" t="s">
        <v>377</v>
      </c>
      <c r="AC753" s="289" t="s">
        <v>377</v>
      </c>
      <c r="AD753" s="299" t="s">
        <v>32</v>
      </c>
      <c r="AE753" s="299" t="s">
        <v>32</v>
      </c>
      <c r="AF753" s="295" t="s">
        <v>32</v>
      </c>
      <c r="AG753" s="292" t="s">
        <v>18</v>
      </c>
      <c r="AH753" s="292" t="s">
        <v>18</v>
      </c>
      <c r="AI753" s="288" t="s">
        <v>18</v>
      </c>
      <c r="AJ753" s="299" t="s">
        <v>32</v>
      </c>
      <c r="AK753" s="299" t="s">
        <v>32</v>
      </c>
      <c r="AL753" s="295" t="s">
        <v>32</v>
      </c>
      <c r="AM753" s="292" t="s">
        <v>18</v>
      </c>
      <c r="AN753" s="292" t="s">
        <v>18</v>
      </c>
      <c r="AO753" s="288" t="s">
        <v>18</v>
      </c>
      <c r="AP753" s="289" t="s">
        <v>377</v>
      </c>
      <c r="AQ753" s="299" t="s">
        <v>32</v>
      </c>
      <c r="AR753" s="299" t="s">
        <v>32</v>
      </c>
      <c r="AS753" s="295" t="s">
        <v>32</v>
      </c>
      <c r="AT753" s="299" t="s">
        <v>32</v>
      </c>
      <c r="AU753" s="299" t="s">
        <v>32</v>
      </c>
      <c r="AV753" s="295" t="s">
        <v>32</v>
      </c>
      <c r="AW753" s="299" t="s">
        <v>32</v>
      </c>
      <c r="AX753" s="292" t="s">
        <v>377</v>
      </c>
      <c r="AY753" s="295" t="s">
        <v>32</v>
      </c>
      <c r="AZ753" s="299" t="s">
        <v>32</v>
      </c>
      <c r="BA753" s="299" t="s">
        <v>32</v>
      </c>
      <c r="BB753" s="295" t="s">
        <v>32</v>
      </c>
      <c r="BC753" s="296" t="s">
        <v>32</v>
      </c>
      <c r="BD753" s="287"/>
    </row>
    <row r="754" ht="12.75" customHeight="1">
      <c r="A754" s="298">
        <v>62.0</v>
      </c>
      <c r="B754" s="297" t="s">
        <v>486</v>
      </c>
      <c r="C754" s="298" t="s">
        <v>567</v>
      </c>
      <c r="D754" s="298" t="s">
        <v>16</v>
      </c>
      <c r="E754" s="285" t="s">
        <v>577</v>
      </c>
      <c r="F754" s="292" t="s">
        <v>1300</v>
      </c>
      <c r="G754" s="298" t="s">
        <v>17</v>
      </c>
      <c r="H754" s="298">
        <v>15.0</v>
      </c>
      <c r="I754" s="292" t="s">
        <v>479</v>
      </c>
      <c r="J754" s="292" t="s">
        <v>532</v>
      </c>
      <c r="K754" s="287" t="s">
        <v>532</v>
      </c>
      <c r="L754" s="292" t="s">
        <v>497</v>
      </c>
      <c r="M754" s="292" t="s">
        <v>638</v>
      </c>
      <c r="N754" s="292"/>
      <c r="O754" s="298" t="s">
        <v>497</v>
      </c>
      <c r="P754" s="292" t="s">
        <v>612</v>
      </c>
      <c r="Q754" s="292" t="s">
        <v>377</v>
      </c>
      <c r="R754" s="292" t="s">
        <v>377</v>
      </c>
      <c r="S754" s="288" t="s">
        <v>377</v>
      </c>
      <c r="T754" s="292" t="s">
        <v>377</v>
      </c>
      <c r="U754" s="299" t="s">
        <v>32</v>
      </c>
      <c r="V754" s="295" t="s">
        <v>32</v>
      </c>
      <c r="W754" s="292" t="s">
        <v>377</v>
      </c>
      <c r="X754" s="292" t="s">
        <v>377</v>
      </c>
      <c r="Y754" s="288" t="s">
        <v>377</v>
      </c>
      <c r="Z754" s="292" t="s">
        <v>377</v>
      </c>
      <c r="AA754" s="292" t="s">
        <v>377</v>
      </c>
      <c r="AB754" s="288" t="s">
        <v>377</v>
      </c>
      <c r="AC754" s="289" t="s">
        <v>377</v>
      </c>
      <c r="AD754" s="292" t="s">
        <v>377</v>
      </c>
      <c r="AE754" s="299" t="s">
        <v>32</v>
      </c>
      <c r="AF754" s="295" t="s">
        <v>32</v>
      </c>
      <c r="AG754" s="292" t="s">
        <v>377</v>
      </c>
      <c r="AH754" s="292" t="s">
        <v>377</v>
      </c>
      <c r="AI754" s="288" t="s">
        <v>377</v>
      </c>
      <c r="AJ754" s="292" t="s">
        <v>377</v>
      </c>
      <c r="AK754" s="292" t="s">
        <v>18</v>
      </c>
      <c r="AL754" s="288" t="s">
        <v>377</v>
      </c>
      <c r="AM754" s="292" t="s">
        <v>18</v>
      </c>
      <c r="AN754" s="292" t="s">
        <v>377</v>
      </c>
      <c r="AO754" s="288" t="s">
        <v>377</v>
      </c>
      <c r="AP754" s="289" t="s">
        <v>377</v>
      </c>
      <c r="AQ754" s="292" t="s">
        <v>377</v>
      </c>
      <c r="AR754" s="299" t="s">
        <v>32</v>
      </c>
      <c r="AS754" s="295" t="s">
        <v>32</v>
      </c>
      <c r="AT754" s="292" t="s">
        <v>377</v>
      </c>
      <c r="AU754" s="299" t="s">
        <v>32</v>
      </c>
      <c r="AV754" s="295" t="s">
        <v>32</v>
      </c>
      <c r="AW754" s="292" t="s">
        <v>377</v>
      </c>
      <c r="AX754" s="292" t="s">
        <v>377</v>
      </c>
      <c r="AY754" s="288" t="s">
        <v>377</v>
      </c>
      <c r="AZ754" s="299" t="s">
        <v>32</v>
      </c>
      <c r="BA754" s="299" t="s">
        <v>32</v>
      </c>
      <c r="BB754" s="295" t="s">
        <v>32</v>
      </c>
      <c r="BC754" s="296" t="s">
        <v>32</v>
      </c>
      <c r="BD754" s="287"/>
    </row>
    <row r="755" ht="12.75" customHeight="1">
      <c r="A755" s="298">
        <v>64.0</v>
      </c>
      <c r="B755" s="297" t="s">
        <v>486</v>
      </c>
      <c r="C755" s="298" t="s">
        <v>567</v>
      </c>
      <c r="D755" s="298" t="s">
        <v>16</v>
      </c>
      <c r="E755" s="285" t="s">
        <v>577</v>
      </c>
      <c r="F755" s="292" t="s">
        <v>1301</v>
      </c>
      <c r="G755" s="298" t="s">
        <v>21</v>
      </c>
      <c r="H755" s="298">
        <v>15.0</v>
      </c>
      <c r="I755" s="292" t="s">
        <v>479</v>
      </c>
      <c r="J755" s="292" t="s">
        <v>532</v>
      </c>
      <c r="K755" s="287" t="s">
        <v>532</v>
      </c>
      <c r="L755" s="292" t="s">
        <v>497</v>
      </c>
      <c r="M755" s="292" t="s">
        <v>638</v>
      </c>
      <c r="N755" s="292"/>
      <c r="O755" s="298" t="s">
        <v>497</v>
      </c>
      <c r="P755" s="292" t="s">
        <v>612</v>
      </c>
      <c r="Q755" s="292" t="s">
        <v>377</v>
      </c>
      <c r="R755" s="292" t="s">
        <v>377</v>
      </c>
      <c r="S755" s="288" t="s">
        <v>377</v>
      </c>
      <c r="T755" s="292" t="s">
        <v>18</v>
      </c>
      <c r="U755" s="299" t="s">
        <v>32</v>
      </c>
      <c r="V755" s="288" t="s">
        <v>377</v>
      </c>
      <c r="W755" s="292" t="s">
        <v>377</v>
      </c>
      <c r="X755" s="299" t="s">
        <v>32</v>
      </c>
      <c r="Y755" s="295" t="s">
        <v>32</v>
      </c>
      <c r="Z755" s="292" t="s">
        <v>18</v>
      </c>
      <c r="AA755" s="292" t="s">
        <v>18</v>
      </c>
      <c r="AB755" s="288" t="s">
        <v>18</v>
      </c>
      <c r="AC755" s="289" t="s">
        <v>377</v>
      </c>
      <c r="AD755" s="292" t="s">
        <v>18</v>
      </c>
      <c r="AE755" s="292" t="s">
        <v>18</v>
      </c>
      <c r="AF755" s="288" t="s">
        <v>18</v>
      </c>
      <c r="AG755" s="292" t="s">
        <v>18</v>
      </c>
      <c r="AH755" s="292" t="s">
        <v>18</v>
      </c>
      <c r="AI755" s="288" t="s">
        <v>18</v>
      </c>
      <c r="AJ755" s="292" t="s">
        <v>377</v>
      </c>
      <c r="AK755" s="292" t="s">
        <v>18</v>
      </c>
      <c r="AL755" s="288" t="s">
        <v>377</v>
      </c>
      <c r="AM755" s="292" t="s">
        <v>18</v>
      </c>
      <c r="AN755" s="292" t="s">
        <v>18</v>
      </c>
      <c r="AO755" s="288" t="s">
        <v>18</v>
      </c>
      <c r="AP755" s="289" t="s">
        <v>18</v>
      </c>
      <c r="AQ755" s="292" t="s">
        <v>377</v>
      </c>
      <c r="AR755" s="292" t="s">
        <v>18</v>
      </c>
      <c r="AS755" s="288" t="s">
        <v>377</v>
      </c>
      <c r="AT755" s="299" t="s">
        <v>32</v>
      </c>
      <c r="AU755" s="299" t="s">
        <v>32</v>
      </c>
      <c r="AV755" s="295" t="s">
        <v>32</v>
      </c>
      <c r="AW755" s="292" t="s">
        <v>18</v>
      </c>
      <c r="AX755" s="292" t="s">
        <v>18</v>
      </c>
      <c r="AY755" s="288" t="s">
        <v>18</v>
      </c>
      <c r="AZ755" s="292" t="s">
        <v>377</v>
      </c>
      <c r="BA755" s="299" t="s">
        <v>32</v>
      </c>
      <c r="BB755" s="295" t="s">
        <v>32</v>
      </c>
      <c r="BC755" s="296" t="s">
        <v>32</v>
      </c>
      <c r="BD755" s="287"/>
    </row>
    <row r="756" ht="12.75" customHeight="1">
      <c r="A756" s="298">
        <v>66.0</v>
      </c>
      <c r="B756" s="297" t="s">
        <v>486</v>
      </c>
      <c r="C756" s="298" t="s">
        <v>567</v>
      </c>
      <c r="D756" s="298" t="s">
        <v>16</v>
      </c>
      <c r="E756" s="285" t="s">
        <v>577</v>
      </c>
      <c r="F756" s="292" t="s">
        <v>1302</v>
      </c>
      <c r="G756" s="298" t="s">
        <v>17</v>
      </c>
      <c r="H756" s="298">
        <v>18.0</v>
      </c>
      <c r="I756" s="292" t="s">
        <v>479</v>
      </c>
      <c r="J756" s="292" t="s">
        <v>532</v>
      </c>
      <c r="K756" s="287" t="s">
        <v>532</v>
      </c>
      <c r="L756" s="292" t="s">
        <v>497</v>
      </c>
      <c r="M756" s="292" t="s">
        <v>638</v>
      </c>
      <c r="N756" s="292"/>
      <c r="O756" s="298" t="s">
        <v>497</v>
      </c>
      <c r="P756" s="292" t="s">
        <v>612</v>
      </c>
      <c r="Q756" s="292" t="s">
        <v>377</v>
      </c>
      <c r="R756" s="292" t="s">
        <v>377</v>
      </c>
      <c r="S756" s="288" t="s">
        <v>377</v>
      </c>
      <c r="T756" s="292" t="s">
        <v>377</v>
      </c>
      <c r="U756" s="292" t="s">
        <v>377</v>
      </c>
      <c r="V756" s="288" t="s">
        <v>377</v>
      </c>
      <c r="W756" s="292" t="s">
        <v>377</v>
      </c>
      <c r="X756" s="292" t="s">
        <v>377</v>
      </c>
      <c r="Y756" s="288" t="s">
        <v>377</v>
      </c>
      <c r="Z756" s="292" t="s">
        <v>377</v>
      </c>
      <c r="AA756" s="292" t="s">
        <v>377</v>
      </c>
      <c r="AB756" s="288" t="s">
        <v>377</v>
      </c>
      <c r="AC756" s="289" t="s">
        <v>377</v>
      </c>
      <c r="AD756" s="292" t="s">
        <v>377</v>
      </c>
      <c r="AE756" s="292" t="s">
        <v>377</v>
      </c>
      <c r="AF756" s="288" t="s">
        <v>377</v>
      </c>
      <c r="AG756" s="292" t="s">
        <v>18</v>
      </c>
      <c r="AH756" s="292" t="s">
        <v>377</v>
      </c>
      <c r="AI756" s="288" t="s">
        <v>377</v>
      </c>
      <c r="AJ756" s="292" t="s">
        <v>377</v>
      </c>
      <c r="AK756" s="292" t="s">
        <v>377</v>
      </c>
      <c r="AL756" s="288" t="s">
        <v>377</v>
      </c>
      <c r="AM756" s="292" t="s">
        <v>18</v>
      </c>
      <c r="AN756" s="292" t="s">
        <v>18</v>
      </c>
      <c r="AO756" s="288" t="s">
        <v>18</v>
      </c>
      <c r="AP756" s="289" t="s">
        <v>377</v>
      </c>
      <c r="AQ756" s="292" t="s">
        <v>377</v>
      </c>
      <c r="AR756" s="292" t="s">
        <v>377</v>
      </c>
      <c r="AS756" s="288" t="s">
        <v>377</v>
      </c>
      <c r="AT756" s="299" t="s">
        <v>32</v>
      </c>
      <c r="AU756" s="299" t="s">
        <v>32</v>
      </c>
      <c r="AV756" s="295" t="s">
        <v>32</v>
      </c>
      <c r="AW756" s="292" t="s">
        <v>377</v>
      </c>
      <c r="AX756" s="292" t="s">
        <v>18</v>
      </c>
      <c r="AY756" s="288" t="s">
        <v>377</v>
      </c>
      <c r="AZ756" s="292" t="s">
        <v>18</v>
      </c>
      <c r="BA756" s="292" t="s">
        <v>377</v>
      </c>
      <c r="BB756" s="295" t="s">
        <v>32</v>
      </c>
      <c r="BC756" s="296" t="s">
        <v>32</v>
      </c>
      <c r="BD756" s="287"/>
    </row>
    <row r="757" ht="12.75" customHeight="1">
      <c r="A757" s="298">
        <v>69.0</v>
      </c>
      <c r="B757" s="297" t="s">
        <v>486</v>
      </c>
      <c r="C757" s="298" t="s">
        <v>567</v>
      </c>
      <c r="D757" s="298" t="s">
        <v>16</v>
      </c>
      <c r="E757" s="285" t="s">
        <v>577</v>
      </c>
      <c r="F757" s="292" t="s">
        <v>1303</v>
      </c>
      <c r="G757" s="298" t="s">
        <v>21</v>
      </c>
      <c r="H757" s="298">
        <v>15.0</v>
      </c>
      <c r="I757" s="292" t="s">
        <v>479</v>
      </c>
      <c r="J757" s="292" t="s">
        <v>532</v>
      </c>
      <c r="K757" s="287" t="s">
        <v>532</v>
      </c>
      <c r="L757" s="292" t="s">
        <v>497</v>
      </c>
      <c r="M757" s="292" t="s">
        <v>638</v>
      </c>
      <c r="N757" s="292"/>
      <c r="O757" s="298" t="s">
        <v>497</v>
      </c>
      <c r="P757" s="292" t="s">
        <v>612</v>
      </c>
      <c r="Q757" s="299" t="s">
        <v>32</v>
      </c>
      <c r="R757" s="299" t="s">
        <v>32</v>
      </c>
      <c r="S757" s="295" t="s">
        <v>32</v>
      </c>
      <c r="T757" s="299" t="s">
        <v>32</v>
      </c>
      <c r="U757" s="299" t="s">
        <v>32</v>
      </c>
      <c r="V757" s="295" t="s">
        <v>32</v>
      </c>
      <c r="W757" s="292" t="s">
        <v>377</v>
      </c>
      <c r="X757" s="292" t="s">
        <v>377</v>
      </c>
      <c r="Y757" s="288" t="s">
        <v>377</v>
      </c>
      <c r="Z757" s="299" t="s">
        <v>32</v>
      </c>
      <c r="AA757" s="299" t="s">
        <v>32</v>
      </c>
      <c r="AB757" s="295" t="s">
        <v>32</v>
      </c>
      <c r="AC757" s="296" t="s">
        <v>32</v>
      </c>
      <c r="AD757" s="292" t="s">
        <v>377</v>
      </c>
      <c r="AE757" s="299" t="s">
        <v>32</v>
      </c>
      <c r="AF757" s="295" t="s">
        <v>32</v>
      </c>
      <c r="AG757" s="299" t="s">
        <v>32</v>
      </c>
      <c r="AH757" s="299" t="s">
        <v>32</v>
      </c>
      <c r="AI757" s="295" t="s">
        <v>32</v>
      </c>
      <c r="AJ757" s="299" t="s">
        <v>32</v>
      </c>
      <c r="AK757" s="299" t="s">
        <v>32</v>
      </c>
      <c r="AL757" s="295" t="s">
        <v>32</v>
      </c>
      <c r="AM757" s="299" t="s">
        <v>32</v>
      </c>
      <c r="AN757" s="299" t="s">
        <v>32</v>
      </c>
      <c r="AO757" s="295" t="s">
        <v>32</v>
      </c>
      <c r="AP757" s="296" t="s">
        <v>32</v>
      </c>
      <c r="AQ757" s="299" t="s">
        <v>32</v>
      </c>
      <c r="AR757" s="299" t="s">
        <v>32</v>
      </c>
      <c r="AS757" s="295" t="s">
        <v>32</v>
      </c>
      <c r="AT757" s="299" t="s">
        <v>32</v>
      </c>
      <c r="AU757" s="299" t="s">
        <v>32</v>
      </c>
      <c r="AV757" s="295" t="s">
        <v>32</v>
      </c>
      <c r="AW757" s="292" t="s">
        <v>377</v>
      </c>
      <c r="AX757" s="292" t="s">
        <v>377</v>
      </c>
      <c r="AY757" s="288" t="s">
        <v>377</v>
      </c>
      <c r="AZ757" s="299" t="s">
        <v>32</v>
      </c>
      <c r="BA757" s="299" t="s">
        <v>32</v>
      </c>
      <c r="BB757" s="295" t="s">
        <v>32</v>
      </c>
      <c r="BC757" s="296" t="s">
        <v>32</v>
      </c>
      <c r="BD757" s="287"/>
    </row>
    <row r="758" ht="12.75" customHeight="1">
      <c r="A758" s="298">
        <v>70.0</v>
      </c>
      <c r="B758" s="297" t="s">
        <v>486</v>
      </c>
      <c r="C758" s="298" t="s">
        <v>567</v>
      </c>
      <c r="D758" s="298" t="s">
        <v>16</v>
      </c>
      <c r="E758" s="285" t="s">
        <v>577</v>
      </c>
      <c r="F758" s="292" t="s">
        <v>1304</v>
      </c>
      <c r="G758" s="298" t="s">
        <v>21</v>
      </c>
      <c r="H758" s="298">
        <v>16.0</v>
      </c>
      <c r="I758" s="292" t="s">
        <v>479</v>
      </c>
      <c r="J758" s="292" t="s">
        <v>532</v>
      </c>
      <c r="K758" s="287" t="s">
        <v>532</v>
      </c>
      <c r="L758" s="292" t="s">
        <v>497</v>
      </c>
      <c r="M758" s="292" t="s">
        <v>638</v>
      </c>
      <c r="N758" s="292"/>
      <c r="O758" s="298" t="s">
        <v>497</v>
      </c>
      <c r="P758" s="292" t="s">
        <v>612</v>
      </c>
      <c r="Q758" s="292" t="s">
        <v>377</v>
      </c>
      <c r="R758" s="299" t="s">
        <v>32</v>
      </c>
      <c r="S758" s="295" t="s">
        <v>32</v>
      </c>
      <c r="T758" s="292" t="s">
        <v>377</v>
      </c>
      <c r="U758" s="292" t="s">
        <v>377</v>
      </c>
      <c r="V758" s="288" t="s">
        <v>377</v>
      </c>
      <c r="W758" s="292" t="s">
        <v>18</v>
      </c>
      <c r="X758" s="292" t="s">
        <v>18</v>
      </c>
      <c r="Y758" s="288" t="s">
        <v>18</v>
      </c>
      <c r="Z758" s="299" t="s">
        <v>32</v>
      </c>
      <c r="AA758" s="292" t="s">
        <v>18</v>
      </c>
      <c r="AB758" s="288" t="s">
        <v>377</v>
      </c>
      <c r="AC758" s="289" t="s">
        <v>377</v>
      </c>
      <c r="AD758" s="299" t="s">
        <v>32</v>
      </c>
      <c r="AE758" s="299" t="s">
        <v>32</v>
      </c>
      <c r="AF758" s="295" t="s">
        <v>32</v>
      </c>
      <c r="AG758" s="292" t="s">
        <v>377</v>
      </c>
      <c r="AH758" s="292" t="s">
        <v>377</v>
      </c>
      <c r="AI758" s="288" t="s">
        <v>377</v>
      </c>
      <c r="AJ758" s="292" t="s">
        <v>377</v>
      </c>
      <c r="AK758" s="292" t="s">
        <v>18</v>
      </c>
      <c r="AL758" s="288" t="s">
        <v>377</v>
      </c>
      <c r="AM758" s="292" t="s">
        <v>18</v>
      </c>
      <c r="AN758" s="292" t="s">
        <v>377</v>
      </c>
      <c r="AO758" s="288" t="s">
        <v>377</v>
      </c>
      <c r="AP758" s="289" t="s">
        <v>377</v>
      </c>
      <c r="AQ758" s="292" t="s">
        <v>377</v>
      </c>
      <c r="AR758" s="299" t="s">
        <v>32</v>
      </c>
      <c r="AS758" s="295" t="s">
        <v>32</v>
      </c>
      <c r="AT758" s="299" t="s">
        <v>32</v>
      </c>
      <c r="AU758" s="299" t="s">
        <v>32</v>
      </c>
      <c r="AV758" s="295" t="s">
        <v>32</v>
      </c>
      <c r="AW758" s="292" t="s">
        <v>18</v>
      </c>
      <c r="AX758" s="299" t="s">
        <v>32</v>
      </c>
      <c r="AY758" s="288" t="s">
        <v>377</v>
      </c>
      <c r="AZ758" s="299" t="s">
        <v>32</v>
      </c>
      <c r="BA758" s="299" t="s">
        <v>32</v>
      </c>
      <c r="BB758" s="295" t="s">
        <v>32</v>
      </c>
      <c r="BC758" s="296" t="s">
        <v>32</v>
      </c>
      <c r="BD758" s="287"/>
    </row>
    <row r="759" ht="12.75" customHeight="1">
      <c r="A759" s="298">
        <v>73.0</v>
      </c>
      <c r="B759" s="297" t="s">
        <v>486</v>
      </c>
      <c r="C759" s="298" t="s">
        <v>567</v>
      </c>
      <c r="D759" s="298" t="s">
        <v>16</v>
      </c>
      <c r="E759" s="285" t="s">
        <v>577</v>
      </c>
      <c r="F759" s="292" t="s">
        <v>1305</v>
      </c>
      <c r="G759" s="298" t="s">
        <v>17</v>
      </c>
      <c r="H759" s="298">
        <v>15.0</v>
      </c>
      <c r="I759" s="292" t="s">
        <v>479</v>
      </c>
      <c r="J759" s="292" t="s">
        <v>532</v>
      </c>
      <c r="K759" s="287" t="s">
        <v>532</v>
      </c>
      <c r="L759" s="292" t="s">
        <v>479</v>
      </c>
      <c r="M759" s="292" t="s">
        <v>490</v>
      </c>
      <c r="N759" s="292"/>
      <c r="O759" s="298" t="s">
        <v>497</v>
      </c>
      <c r="P759" s="292" t="s">
        <v>612</v>
      </c>
      <c r="Q759" s="292" t="s">
        <v>377</v>
      </c>
      <c r="R759" s="299" t="s">
        <v>32</v>
      </c>
      <c r="S759" s="295" t="s">
        <v>32</v>
      </c>
      <c r="T759" s="292" t="s">
        <v>377</v>
      </c>
      <c r="U759" s="292" t="s">
        <v>18</v>
      </c>
      <c r="V759" s="288" t="s">
        <v>377</v>
      </c>
      <c r="W759" s="292" t="s">
        <v>377</v>
      </c>
      <c r="X759" s="292" t="s">
        <v>18</v>
      </c>
      <c r="Y759" s="288" t="s">
        <v>377</v>
      </c>
      <c r="Z759" s="299" t="s">
        <v>32</v>
      </c>
      <c r="AA759" s="299" t="s">
        <v>32</v>
      </c>
      <c r="AB759" s="295" t="s">
        <v>32</v>
      </c>
      <c r="AC759" s="289" t="s">
        <v>377</v>
      </c>
      <c r="AD759" s="292" t="s">
        <v>377</v>
      </c>
      <c r="AE759" s="292" t="s">
        <v>18</v>
      </c>
      <c r="AF759" s="288" t="s">
        <v>377</v>
      </c>
      <c r="AG759" s="299" t="s">
        <v>32</v>
      </c>
      <c r="AH759" s="292" t="s">
        <v>377</v>
      </c>
      <c r="AI759" s="295" t="s">
        <v>32</v>
      </c>
      <c r="AJ759" s="292" t="s">
        <v>377</v>
      </c>
      <c r="AK759" s="292" t="s">
        <v>377</v>
      </c>
      <c r="AL759" s="288" t="s">
        <v>377</v>
      </c>
      <c r="AM759" s="292" t="s">
        <v>18</v>
      </c>
      <c r="AN759" s="292" t="s">
        <v>18</v>
      </c>
      <c r="AO759" s="288" t="s">
        <v>18</v>
      </c>
      <c r="AP759" s="289" t="s">
        <v>377</v>
      </c>
      <c r="AQ759" s="299" t="s">
        <v>32</v>
      </c>
      <c r="AR759" s="299" t="s">
        <v>32</v>
      </c>
      <c r="AS759" s="295" t="s">
        <v>32</v>
      </c>
      <c r="AT759" s="299" t="s">
        <v>32</v>
      </c>
      <c r="AU759" s="299" t="s">
        <v>32</v>
      </c>
      <c r="AV759" s="295" t="s">
        <v>32</v>
      </c>
      <c r="AW759" s="299" t="s">
        <v>32</v>
      </c>
      <c r="AX759" s="299" t="s">
        <v>32</v>
      </c>
      <c r="AY759" s="295" t="s">
        <v>32</v>
      </c>
      <c r="AZ759" s="299" t="s">
        <v>32</v>
      </c>
      <c r="BA759" s="299" t="s">
        <v>32</v>
      </c>
      <c r="BB759" s="295" t="s">
        <v>32</v>
      </c>
      <c r="BC759" s="289" t="s">
        <v>377</v>
      </c>
      <c r="BD759" s="287"/>
    </row>
    <row r="760" ht="12.75" customHeight="1">
      <c r="A760" s="293">
        <v>45260.406622581024</v>
      </c>
      <c r="B760" s="286" t="s">
        <v>504</v>
      </c>
      <c r="C760" s="287" t="s">
        <v>559</v>
      </c>
      <c r="D760" s="285" t="s">
        <v>16</v>
      </c>
      <c r="E760" s="285" t="s">
        <v>476</v>
      </c>
      <c r="F760" s="287" t="s">
        <v>1306</v>
      </c>
      <c r="G760" s="285" t="s">
        <v>17</v>
      </c>
      <c r="H760" s="285">
        <v>12.0</v>
      </c>
      <c r="I760" s="287" t="s">
        <v>479</v>
      </c>
      <c r="J760" s="287" t="s">
        <v>532</v>
      </c>
      <c r="K760" s="287" t="s">
        <v>532</v>
      </c>
      <c r="L760" s="287" t="s">
        <v>497</v>
      </c>
      <c r="M760" s="292"/>
      <c r="N760" s="292"/>
      <c r="O760" s="292"/>
      <c r="P760" s="292"/>
      <c r="Q760" s="287" t="s">
        <v>377</v>
      </c>
      <c r="R760" s="287" t="s">
        <v>18</v>
      </c>
      <c r="S760" s="288" t="s">
        <v>377</v>
      </c>
      <c r="T760" s="287" t="s">
        <v>18</v>
      </c>
      <c r="U760" s="294" t="s">
        <v>32</v>
      </c>
      <c r="V760" s="288" t="s">
        <v>377</v>
      </c>
      <c r="W760" s="287" t="s">
        <v>18</v>
      </c>
      <c r="X760" s="287" t="s">
        <v>18</v>
      </c>
      <c r="Y760" s="288" t="s">
        <v>18</v>
      </c>
      <c r="Z760" s="287" t="s">
        <v>18</v>
      </c>
      <c r="AA760" s="287" t="s">
        <v>18</v>
      </c>
      <c r="AB760" s="288" t="s">
        <v>18</v>
      </c>
      <c r="AC760" s="289" t="s">
        <v>18</v>
      </c>
      <c r="AD760" s="287" t="s">
        <v>377</v>
      </c>
      <c r="AE760" s="294" t="s">
        <v>32</v>
      </c>
      <c r="AF760" s="295" t="s">
        <v>32</v>
      </c>
      <c r="AG760" s="287" t="s">
        <v>18</v>
      </c>
      <c r="AH760" s="287" t="s">
        <v>18</v>
      </c>
      <c r="AI760" s="288" t="s">
        <v>18</v>
      </c>
      <c r="AJ760" s="287" t="s">
        <v>18</v>
      </c>
      <c r="AK760" s="287" t="s">
        <v>18</v>
      </c>
      <c r="AL760" s="288" t="s">
        <v>18</v>
      </c>
      <c r="AM760" s="287" t="s">
        <v>18</v>
      </c>
      <c r="AN760" s="287" t="s">
        <v>18</v>
      </c>
      <c r="AO760" s="288" t="s">
        <v>18</v>
      </c>
      <c r="AP760" s="289" t="s">
        <v>18</v>
      </c>
      <c r="AQ760" s="294" t="s">
        <v>32</v>
      </c>
      <c r="AR760" s="287" t="s">
        <v>18</v>
      </c>
      <c r="AS760" s="288" t="s">
        <v>377</v>
      </c>
      <c r="AT760" s="294" t="s">
        <v>32</v>
      </c>
      <c r="AU760" s="294" t="s">
        <v>32</v>
      </c>
      <c r="AV760" s="295" t="s">
        <v>32</v>
      </c>
      <c r="AW760" s="294" t="s">
        <v>32</v>
      </c>
      <c r="AX760" s="294" t="s">
        <v>32</v>
      </c>
      <c r="AY760" s="295" t="s">
        <v>32</v>
      </c>
      <c r="AZ760" s="287" t="s">
        <v>18</v>
      </c>
      <c r="BA760" s="294" t="s">
        <v>32</v>
      </c>
      <c r="BB760" s="295" t="s">
        <v>32</v>
      </c>
      <c r="BC760" s="289" t="s">
        <v>377</v>
      </c>
      <c r="BD760" s="287"/>
    </row>
    <row r="761" ht="12.75" customHeight="1">
      <c r="A761" s="293">
        <v>45261.36160466435</v>
      </c>
      <c r="B761" s="286" t="s">
        <v>504</v>
      </c>
      <c r="C761" s="287" t="s">
        <v>559</v>
      </c>
      <c r="D761" s="285" t="s">
        <v>16</v>
      </c>
      <c r="E761" s="285" t="s">
        <v>476</v>
      </c>
      <c r="F761" s="287" t="s">
        <v>1307</v>
      </c>
      <c r="G761" s="285" t="s">
        <v>21</v>
      </c>
      <c r="H761" s="285">
        <v>12.0</v>
      </c>
      <c r="I761" s="287" t="s">
        <v>479</v>
      </c>
      <c r="J761" s="287" t="s">
        <v>532</v>
      </c>
      <c r="K761" s="287" t="s">
        <v>532</v>
      </c>
      <c r="L761" s="287" t="s">
        <v>479</v>
      </c>
      <c r="M761" s="287" t="s">
        <v>483</v>
      </c>
      <c r="N761" s="287" t="s">
        <v>561</v>
      </c>
      <c r="O761" s="287"/>
      <c r="P761" s="287"/>
      <c r="Q761" s="287" t="s">
        <v>377</v>
      </c>
      <c r="R761" s="294" t="s">
        <v>32</v>
      </c>
      <c r="S761" s="295" t="s">
        <v>32</v>
      </c>
      <c r="T761" s="294" t="s">
        <v>32</v>
      </c>
      <c r="U761" s="294" t="s">
        <v>32</v>
      </c>
      <c r="V761" s="295" t="s">
        <v>32</v>
      </c>
      <c r="W761" s="287" t="s">
        <v>377</v>
      </c>
      <c r="X761" s="287" t="s">
        <v>377</v>
      </c>
      <c r="Y761" s="288" t="s">
        <v>377</v>
      </c>
      <c r="Z761" s="294" t="s">
        <v>32</v>
      </c>
      <c r="AA761" s="294" t="s">
        <v>32</v>
      </c>
      <c r="AB761" s="295" t="s">
        <v>32</v>
      </c>
      <c r="AC761" s="296" t="s">
        <v>32</v>
      </c>
      <c r="AD761" s="287" t="s">
        <v>377</v>
      </c>
      <c r="AE761" s="287" t="s">
        <v>377</v>
      </c>
      <c r="AF761" s="288" t="s">
        <v>377</v>
      </c>
      <c r="AG761" s="287" t="s">
        <v>377</v>
      </c>
      <c r="AH761" s="287" t="s">
        <v>377</v>
      </c>
      <c r="AI761" s="288" t="s">
        <v>377</v>
      </c>
      <c r="AJ761" s="287" t="s">
        <v>377</v>
      </c>
      <c r="AK761" s="287" t="s">
        <v>18</v>
      </c>
      <c r="AL761" s="288" t="s">
        <v>377</v>
      </c>
      <c r="AM761" s="294" t="s">
        <v>32</v>
      </c>
      <c r="AN761" s="287" t="s">
        <v>377</v>
      </c>
      <c r="AO761" s="295" t="s">
        <v>32</v>
      </c>
      <c r="AP761" s="289" t="s">
        <v>377</v>
      </c>
      <c r="AQ761" s="294" t="s">
        <v>32</v>
      </c>
      <c r="AR761" s="287" t="s">
        <v>377</v>
      </c>
      <c r="AS761" s="295" t="s">
        <v>32</v>
      </c>
      <c r="AT761" s="294" t="s">
        <v>32</v>
      </c>
      <c r="AU761" s="294" t="s">
        <v>32</v>
      </c>
      <c r="AV761" s="295" t="s">
        <v>32</v>
      </c>
      <c r="AW761" s="294" t="s">
        <v>32</v>
      </c>
      <c r="AX761" s="294" t="s">
        <v>32</v>
      </c>
      <c r="AY761" s="295" t="s">
        <v>32</v>
      </c>
      <c r="AZ761" s="294" t="s">
        <v>32</v>
      </c>
      <c r="BA761" s="294" t="s">
        <v>32</v>
      </c>
      <c r="BB761" s="295" t="s">
        <v>32</v>
      </c>
      <c r="BC761" s="296" t="s">
        <v>32</v>
      </c>
      <c r="BD761" s="287"/>
    </row>
    <row r="762" ht="12.75" customHeight="1">
      <c r="A762" s="293">
        <v>45261.406643553244</v>
      </c>
      <c r="B762" s="286" t="s">
        <v>504</v>
      </c>
      <c r="C762" s="287" t="s">
        <v>559</v>
      </c>
      <c r="D762" s="285" t="s">
        <v>16</v>
      </c>
      <c r="E762" s="285" t="s">
        <v>476</v>
      </c>
      <c r="F762" s="287" t="s">
        <v>1308</v>
      </c>
      <c r="G762" s="285" t="s">
        <v>21</v>
      </c>
      <c r="H762" s="285">
        <v>11.0</v>
      </c>
      <c r="I762" s="287" t="s">
        <v>479</v>
      </c>
      <c r="J762" s="287" t="s">
        <v>532</v>
      </c>
      <c r="K762" s="287" t="s">
        <v>532</v>
      </c>
      <c r="L762" s="287" t="s">
        <v>479</v>
      </c>
      <c r="M762" s="287" t="s">
        <v>500</v>
      </c>
      <c r="N762" s="287" t="s">
        <v>561</v>
      </c>
      <c r="O762" s="287"/>
      <c r="P762" s="287"/>
      <c r="Q762" s="294" t="s">
        <v>32</v>
      </c>
      <c r="R762" s="294" t="s">
        <v>32</v>
      </c>
      <c r="S762" s="295" t="s">
        <v>32</v>
      </c>
      <c r="T762" s="294" t="s">
        <v>32</v>
      </c>
      <c r="U762" s="294" t="s">
        <v>32</v>
      </c>
      <c r="V762" s="295" t="s">
        <v>32</v>
      </c>
      <c r="W762" s="294" t="s">
        <v>32</v>
      </c>
      <c r="X762" s="294" t="s">
        <v>32</v>
      </c>
      <c r="Y762" s="295" t="s">
        <v>32</v>
      </c>
      <c r="Z762" s="294" t="s">
        <v>32</v>
      </c>
      <c r="AA762" s="294" t="s">
        <v>32</v>
      </c>
      <c r="AB762" s="295" t="s">
        <v>32</v>
      </c>
      <c r="AC762" s="296" t="s">
        <v>32</v>
      </c>
      <c r="AD762" s="294" t="s">
        <v>32</v>
      </c>
      <c r="AE762" s="294" t="s">
        <v>32</v>
      </c>
      <c r="AF762" s="295" t="s">
        <v>32</v>
      </c>
      <c r="AG762" s="294" t="s">
        <v>32</v>
      </c>
      <c r="AH762" s="294" t="s">
        <v>32</v>
      </c>
      <c r="AI762" s="295" t="s">
        <v>32</v>
      </c>
      <c r="AJ762" s="294" t="s">
        <v>32</v>
      </c>
      <c r="AK762" s="287" t="s">
        <v>377</v>
      </c>
      <c r="AL762" s="295" t="s">
        <v>32</v>
      </c>
      <c r="AM762" s="287" t="s">
        <v>18</v>
      </c>
      <c r="AN762" s="287" t="s">
        <v>377</v>
      </c>
      <c r="AO762" s="288" t="s">
        <v>377</v>
      </c>
      <c r="AP762" s="296" t="s">
        <v>32</v>
      </c>
      <c r="AQ762" s="294" t="s">
        <v>32</v>
      </c>
      <c r="AR762" s="294" t="s">
        <v>32</v>
      </c>
      <c r="AS762" s="295" t="s">
        <v>32</v>
      </c>
      <c r="AT762" s="294" t="s">
        <v>32</v>
      </c>
      <c r="AU762" s="294" t="s">
        <v>32</v>
      </c>
      <c r="AV762" s="295" t="s">
        <v>32</v>
      </c>
      <c r="AW762" s="294" t="s">
        <v>32</v>
      </c>
      <c r="AX762" s="287" t="s">
        <v>18</v>
      </c>
      <c r="AY762" s="288" t="s">
        <v>377</v>
      </c>
      <c r="AZ762" s="294" t="s">
        <v>32</v>
      </c>
      <c r="BA762" s="294" t="s">
        <v>32</v>
      </c>
      <c r="BB762" s="295" t="s">
        <v>32</v>
      </c>
      <c r="BC762" s="296" t="s">
        <v>32</v>
      </c>
      <c r="BD762" s="287"/>
    </row>
    <row r="763" ht="12.75" customHeight="1">
      <c r="A763" s="293">
        <v>45261.4103721875</v>
      </c>
      <c r="B763" s="286" t="s">
        <v>504</v>
      </c>
      <c r="C763" s="287" t="s">
        <v>559</v>
      </c>
      <c r="D763" s="285" t="s">
        <v>16</v>
      </c>
      <c r="E763" s="285" t="s">
        <v>476</v>
      </c>
      <c r="F763" s="287" t="s">
        <v>1309</v>
      </c>
      <c r="G763" s="285" t="s">
        <v>17</v>
      </c>
      <c r="H763" s="285">
        <v>12.0</v>
      </c>
      <c r="I763" s="287" t="s">
        <v>479</v>
      </c>
      <c r="J763" s="287" t="s">
        <v>532</v>
      </c>
      <c r="K763" s="287" t="s">
        <v>532</v>
      </c>
      <c r="L763" s="287" t="s">
        <v>479</v>
      </c>
      <c r="M763" s="287" t="s">
        <v>483</v>
      </c>
      <c r="N763" s="287" t="s">
        <v>561</v>
      </c>
      <c r="O763" s="287"/>
      <c r="P763" s="287"/>
      <c r="Q763" s="294" t="s">
        <v>32</v>
      </c>
      <c r="R763" s="294" t="s">
        <v>32</v>
      </c>
      <c r="S763" s="295" t="s">
        <v>32</v>
      </c>
      <c r="T763" s="294" t="s">
        <v>32</v>
      </c>
      <c r="U763" s="294" t="s">
        <v>32</v>
      </c>
      <c r="V763" s="295" t="s">
        <v>32</v>
      </c>
      <c r="W763" s="294" t="s">
        <v>32</v>
      </c>
      <c r="X763" s="294" t="s">
        <v>32</v>
      </c>
      <c r="Y763" s="295" t="s">
        <v>32</v>
      </c>
      <c r="Z763" s="294" t="s">
        <v>32</v>
      </c>
      <c r="AA763" s="294" t="s">
        <v>32</v>
      </c>
      <c r="AB763" s="295" t="s">
        <v>32</v>
      </c>
      <c r="AC763" s="296" t="s">
        <v>32</v>
      </c>
      <c r="AD763" s="294" t="s">
        <v>32</v>
      </c>
      <c r="AE763" s="294" t="s">
        <v>32</v>
      </c>
      <c r="AF763" s="295" t="s">
        <v>32</v>
      </c>
      <c r="AG763" s="294" t="s">
        <v>32</v>
      </c>
      <c r="AH763" s="294" t="s">
        <v>32</v>
      </c>
      <c r="AI763" s="295" t="s">
        <v>32</v>
      </c>
      <c r="AJ763" s="294" t="s">
        <v>32</v>
      </c>
      <c r="AK763" s="287" t="s">
        <v>377</v>
      </c>
      <c r="AL763" s="295" t="s">
        <v>32</v>
      </c>
      <c r="AM763" s="287" t="s">
        <v>18</v>
      </c>
      <c r="AN763" s="287" t="s">
        <v>18</v>
      </c>
      <c r="AO763" s="288" t="s">
        <v>18</v>
      </c>
      <c r="AP763" s="289" t="s">
        <v>377</v>
      </c>
      <c r="AQ763" s="294" t="s">
        <v>32</v>
      </c>
      <c r="AR763" s="294" t="s">
        <v>32</v>
      </c>
      <c r="AS763" s="295" t="s">
        <v>32</v>
      </c>
      <c r="AT763" s="294" t="s">
        <v>32</v>
      </c>
      <c r="AU763" s="294" t="s">
        <v>32</v>
      </c>
      <c r="AV763" s="295" t="s">
        <v>32</v>
      </c>
      <c r="AW763" s="294" t="s">
        <v>32</v>
      </c>
      <c r="AX763" s="294" t="s">
        <v>32</v>
      </c>
      <c r="AY763" s="295" t="s">
        <v>32</v>
      </c>
      <c r="AZ763" s="294" t="s">
        <v>32</v>
      </c>
      <c r="BA763" s="294" t="s">
        <v>32</v>
      </c>
      <c r="BB763" s="295" t="s">
        <v>32</v>
      </c>
      <c r="BC763" s="296" t="s">
        <v>32</v>
      </c>
      <c r="BD763" s="287"/>
    </row>
    <row r="764" ht="12.75" customHeight="1">
      <c r="A764" s="293">
        <v>45261.41368622685</v>
      </c>
      <c r="B764" s="286" t="s">
        <v>504</v>
      </c>
      <c r="C764" s="287" t="s">
        <v>559</v>
      </c>
      <c r="D764" s="285" t="s">
        <v>16</v>
      </c>
      <c r="E764" s="285" t="s">
        <v>476</v>
      </c>
      <c r="F764" s="287" t="s">
        <v>1310</v>
      </c>
      <c r="G764" s="285" t="s">
        <v>17</v>
      </c>
      <c r="H764" s="285">
        <v>12.0</v>
      </c>
      <c r="I764" s="287" t="s">
        <v>479</v>
      </c>
      <c r="J764" s="287" t="s">
        <v>532</v>
      </c>
      <c r="K764" s="287" t="s">
        <v>532</v>
      </c>
      <c r="L764" s="287" t="s">
        <v>479</v>
      </c>
      <c r="M764" s="287" t="s">
        <v>483</v>
      </c>
      <c r="N764" s="287" t="s">
        <v>561</v>
      </c>
      <c r="O764" s="287"/>
      <c r="P764" s="287"/>
      <c r="Q764" s="294" t="s">
        <v>32</v>
      </c>
      <c r="R764" s="294" t="s">
        <v>32</v>
      </c>
      <c r="S764" s="295" t="s">
        <v>32</v>
      </c>
      <c r="T764" s="294" t="s">
        <v>32</v>
      </c>
      <c r="U764" s="294" t="s">
        <v>32</v>
      </c>
      <c r="V764" s="295" t="s">
        <v>32</v>
      </c>
      <c r="W764" s="294" t="s">
        <v>32</v>
      </c>
      <c r="X764" s="294" t="s">
        <v>32</v>
      </c>
      <c r="Y764" s="295" t="s">
        <v>32</v>
      </c>
      <c r="Z764" s="294" t="s">
        <v>32</v>
      </c>
      <c r="AA764" s="294" t="s">
        <v>32</v>
      </c>
      <c r="AB764" s="295" t="s">
        <v>32</v>
      </c>
      <c r="AC764" s="296" t="s">
        <v>32</v>
      </c>
      <c r="AD764" s="294" t="s">
        <v>32</v>
      </c>
      <c r="AE764" s="294" t="s">
        <v>32</v>
      </c>
      <c r="AF764" s="295" t="s">
        <v>32</v>
      </c>
      <c r="AG764" s="294" t="s">
        <v>32</v>
      </c>
      <c r="AH764" s="294" t="s">
        <v>32</v>
      </c>
      <c r="AI764" s="295" t="s">
        <v>32</v>
      </c>
      <c r="AJ764" s="294" t="s">
        <v>32</v>
      </c>
      <c r="AK764" s="294" t="s">
        <v>32</v>
      </c>
      <c r="AL764" s="295" t="s">
        <v>32</v>
      </c>
      <c r="AM764" s="287" t="s">
        <v>18</v>
      </c>
      <c r="AN764" s="287" t="s">
        <v>18</v>
      </c>
      <c r="AO764" s="288" t="s">
        <v>18</v>
      </c>
      <c r="AP764" s="296" t="s">
        <v>32</v>
      </c>
      <c r="AQ764" s="294" t="s">
        <v>32</v>
      </c>
      <c r="AR764" s="294" t="s">
        <v>32</v>
      </c>
      <c r="AS764" s="295" t="s">
        <v>32</v>
      </c>
      <c r="AT764" s="294" t="s">
        <v>32</v>
      </c>
      <c r="AU764" s="294" t="s">
        <v>32</v>
      </c>
      <c r="AV764" s="295" t="s">
        <v>32</v>
      </c>
      <c r="AW764" s="294" t="s">
        <v>32</v>
      </c>
      <c r="AX764" s="294" t="s">
        <v>32</v>
      </c>
      <c r="AY764" s="295" t="s">
        <v>32</v>
      </c>
      <c r="AZ764" s="294" t="s">
        <v>32</v>
      </c>
      <c r="BA764" s="294" t="s">
        <v>32</v>
      </c>
      <c r="BB764" s="295" t="s">
        <v>32</v>
      </c>
      <c r="BC764" s="296" t="s">
        <v>32</v>
      </c>
      <c r="BD764" s="287"/>
    </row>
    <row r="765" ht="12.75" customHeight="1">
      <c r="A765" s="293">
        <v>45261.41722894676</v>
      </c>
      <c r="B765" s="286" t="s">
        <v>504</v>
      </c>
      <c r="C765" s="287" t="s">
        <v>559</v>
      </c>
      <c r="D765" s="285" t="s">
        <v>16</v>
      </c>
      <c r="E765" s="285" t="s">
        <v>476</v>
      </c>
      <c r="F765" s="287" t="s">
        <v>1311</v>
      </c>
      <c r="G765" s="285" t="s">
        <v>21</v>
      </c>
      <c r="H765" s="285">
        <v>12.0</v>
      </c>
      <c r="I765" s="287" t="s">
        <v>479</v>
      </c>
      <c r="J765" s="287" t="s">
        <v>532</v>
      </c>
      <c r="K765" s="287" t="s">
        <v>532</v>
      </c>
      <c r="L765" s="287" t="s">
        <v>479</v>
      </c>
      <c r="M765" s="287" t="s">
        <v>483</v>
      </c>
      <c r="N765" s="287" t="s">
        <v>561</v>
      </c>
      <c r="O765" s="287"/>
      <c r="P765" s="287"/>
      <c r="Q765" s="294" t="s">
        <v>32</v>
      </c>
      <c r="R765" s="294" t="s">
        <v>32</v>
      </c>
      <c r="S765" s="295" t="s">
        <v>32</v>
      </c>
      <c r="T765" s="294" t="s">
        <v>32</v>
      </c>
      <c r="U765" s="294" t="s">
        <v>32</v>
      </c>
      <c r="V765" s="295" t="s">
        <v>32</v>
      </c>
      <c r="W765" s="294" t="s">
        <v>32</v>
      </c>
      <c r="X765" s="287" t="s">
        <v>18</v>
      </c>
      <c r="Y765" s="288" t="s">
        <v>377</v>
      </c>
      <c r="Z765" s="287" t="s">
        <v>18</v>
      </c>
      <c r="AA765" s="287" t="s">
        <v>377</v>
      </c>
      <c r="AB765" s="288" t="s">
        <v>377</v>
      </c>
      <c r="AC765" s="289" t="s">
        <v>377</v>
      </c>
      <c r="AD765" s="287" t="s">
        <v>377</v>
      </c>
      <c r="AE765" s="294" t="s">
        <v>32</v>
      </c>
      <c r="AF765" s="295" t="s">
        <v>32</v>
      </c>
      <c r="AG765" s="287" t="s">
        <v>377</v>
      </c>
      <c r="AH765" s="287" t="s">
        <v>18</v>
      </c>
      <c r="AI765" s="288" t="s">
        <v>377</v>
      </c>
      <c r="AJ765" s="294" t="s">
        <v>32</v>
      </c>
      <c r="AK765" s="287" t="s">
        <v>18</v>
      </c>
      <c r="AL765" s="288" t="s">
        <v>377</v>
      </c>
      <c r="AM765" s="287" t="s">
        <v>18</v>
      </c>
      <c r="AN765" s="287" t="s">
        <v>18</v>
      </c>
      <c r="AO765" s="288" t="s">
        <v>18</v>
      </c>
      <c r="AP765" s="289" t="s">
        <v>377</v>
      </c>
      <c r="AQ765" s="287" t="s">
        <v>18</v>
      </c>
      <c r="AR765" s="294" t="s">
        <v>32</v>
      </c>
      <c r="AS765" s="288" t="s">
        <v>377</v>
      </c>
      <c r="AT765" s="294" t="s">
        <v>32</v>
      </c>
      <c r="AU765" s="287" t="s">
        <v>377</v>
      </c>
      <c r="AV765" s="295" t="s">
        <v>32</v>
      </c>
      <c r="AW765" s="287" t="s">
        <v>377</v>
      </c>
      <c r="AX765" s="287" t="s">
        <v>18</v>
      </c>
      <c r="AY765" s="288" t="s">
        <v>377</v>
      </c>
      <c r="AZ765" s="294" t="s">
        <v>32</v>
      </c>
      <c r="BA765" s="287" t="s">
        <v>18</v>
      </c>
      <c r="BB765" s="295" t="s">
        <v>32</v>
      </c>
      <c r="BC765" s="296" t="s">
        <v>32</v>
      </c>
      <c r="BD765" s="287"/>
    </row>
    <row r="766" ht="12.75" customHeight="1">
      <c r="A766" s="293">
        <v>45261.42072166667</v>
      </c>
      <c r="B766" s="286" t="s">
        <v>504</v>
      </c>
      <c r="C766" s="287" t="s">
        <v>559</v>
      </c>
      <c r="D766" s="285" t="s">
        <v>16</v>
      </c>
      <c r="E766" s="285" t="s">
        <v>476</v>
      </c>
      <c r="F766" s="287" t="s">
        <v>1312</v>
      </c>
      <c r="G766" s="285" t="s">
        <v>21</v>
      </c>
      <c r="H766" s="285">
        <v>12.0</v>
      </c>
      <c r="I766" s="287" t="s">
        <v>479</v>
      </c>
      <c r="J766" s="287" t="s">
        <v>532</v>
      </c>
      <c r="K766" s="287" t="s">
        <v>532</v>
      </c>
      <c r="L766" s="287" t="s">
        <v>479</v>
      </c>
      <c r="M766" s="287" t="s">
        <v>483</v>
      </c>
      <c r="N766" s="287" t="s">
        <v>561</v>
      </c>
      <c r="O766" s="287"/>
      <c r="P766" s="287"/>
      <c r="Q766" s="294" t="s">
        <v>32</v>
      </c>
      <c r="R766" s="287" t="s">
        <v>18</v>
      </c>
      <c r="S766" s="288" t="s">
        <v>377</v>
      </c>
      <c r="T766" s="287" t="s">
        <v>377</v>
      </c>
      <c r="U766" s="294" t="s">
        <v>32</v>
      </c>
      <c r="V766" s="295" t="s">
        <v>32</v>
      </c>
      <c r="W766" s="287" t="s">
        <v>377</v>
      </c>
      <c r="X766" s="294" t="s">
        <v>32</v>
      </c>
      <c r="Y766" s="295" t="s">
        <v>32</v>
      </c>
      <c r="Z766" s="287" t="s">
        <v>377</v>
      </c>
      <c r="AA766" s="287" t="s">
        <v>18</v>
      </c>
      <c r="AB766" s="288" t="s">
        <v>377</v>
      </c>
      <c r="AC766" s="289" t="s">
        <v>377</v>
      </c>
      <c r="AD766" s="287" t="s">
        <v>377</v>
      </c>
      <c r="AE766" s="294" t="s">
        <v>32</v>
      </c>
      <c r="AF766" s="295" t="s">
        <v>32</v>
      </c>
      <c r="AG766" s="287" t="s">
        <v>377</v>
      </c>
      <c r="AH766" s="287" t="s">
        <v>18</v>
      </c>
      <c r="AI766" s="288" t="s">
        <v>377</v>
      </c>
      <c r="AJ766" s="287" t="s">
        <v>18</v>
      </c>
      <c r="AK766" s="294" t="s">
        <v>32</v>
      </c>
      <c r="AL766" s="288" t="s">
        <v>377</v>
      </c>
      <c r="AM766" s="287" t="s">
        <v>377</v>
      </c>
      <c r="AN766" s="287" t="s">
        <v>377</v>
      </c>
      <c r="AO766" s="288" t="s">
        <v>377</v>
      </c>
      <c r="AP766" s="289" t="s">
        <v>377</v>
      </c>
      <c r="AQ766" s="287" t="s">
        <v>18</v>
      </c>
      <c r="AR766" s="294" t="s">
        <v>32</v>
      </c>
      <c r="AS766" s="288" t="s">
        <v>377</v>
      </c>
      <c r="AT766" s="287" t="s">
        <v>377</v>
      </c>
      <c r="AU766" s="294" t="s">
        <v>32</v>
      </c>
      <c r="AV766" s="295" t="s">
        <v>32</v>
      </c>
      <c r="AW766" s="287" t="s">
        <v>377</v>
      </c>
      <c r="AX766" s="287" t="s">
        <v>18</v>
      </c>
      <c r="AY766" s="288" t="s">
        <v>377</v>
      </c>
      <c r="AZ766" s="294" t="s">
        <v>32</v>
      </c>
      <c r="BA766" s="294" t="s">
        <v>32</v>
      </c>
      <c r="BB766" s="288" t="s">
        <v>377</v>
      </c>
      <c r="BC766" s="289" t="s">
        <v>377</v>
      </c>
      <c r="BD766" s="287"/>
    </row>
    <row r="767" ht="12.75" customHeight="1">
      <c r="A767" s="293">
        <v>45261.42386564815</v>
      </c>
      <c r="B767" s="286" t="s">
        <v>504</v>
      </c>
      <c r="C767" s="287" t="s">
        <v>559</v>
      </c>
      <c r="D767" s="285" t="s">
        <v>16</v>
      </c>
      <c r="E767" s="285" t="s">
        <v>476</v>
      </c>
      <c r="F767" s="287" t="s">
        <v>1313</v>
      </c>
      <c r="G767" s="285" t="s">
        <v>21</v>
      </c>
      <c r="H767" s="285">
        <v>12.0</v>
      </c>
      <c r="I767" s="287" t="s">
        <v>479</v>
      </c>
      <c r="J767" s="287" t="s">
        <v>532</v>
      </c>
      <c r="K767" s="287" t="s">
        <v>532</v>
      </c>
      <c r="L767" s="287" t="s">
        <v>479</v>
      </c>
      <c r="M767" s="287" t="s">
        <v>483</v>
      </c>
      <c r="N767" s="287" t="s">
        <v>561</v>
      </c>
      <c r="O767" s="287"/>
      <c r="P767" s="287"/>
      <c r="Q767" s="294" t="s">
        <v>32</v>
      </c>
      <c r="R767" s="287" t="s">
        <v>377</v>
      </c>
      <c r="S767" s="295" t="s">
        <v>32</v>
      </c>
      <c r="T767" s="294" t="s">
        <v>32</v>
      </c>
      <c r="U767" s="294" t="s">
        <v>32</v>
      </c>
      <c r="V767" s="295" t="s">
        <v>32</v>
      </c>
      <c r="W767" s="294" t="s">
        <v>32</v>
      </c>
      <c r="X767" s="287" t="s">
        <v>18</v>
      </c>
      <c r="Y767" s="288" t="s">
        <v>377</v>
      </c>
      <c r="Z767" s="294" t="s">
        <v>32</v>
      </c>
      <c r="AA767" s="287" t="s">
        <v>18</v>
      </c>
      <c r="AB767" s="288" t="s">
        <v>377</v>
      </c>
      <c r="AC767" s="289" t="s">
        <v>377</v>
      </c>
      <c r="AD767" s="287" t="s">
        <v>18</v>
      </c>
      <c r="AE767" s="294" t="s">
        <v>32</v>
      </c>
      <c r="AF767" s="288" t="s">
        <v>377</v>
      </c>
      <c r="AG767" s="287" t="s">
        <v>377</v>
      </c>
      <c r="AH767" s="287" t="s">
        <v>377</v>
      </c>
      <c r="AI767" s="288" t="s">
        <v>377</v>
      </c>
      <c r="AJ767" s="287" t="s">
        <v>377</v>
      </c>
      <c r="AK767" s="287" t="s">
        <v>18</v>
      </c>
      <c r="AL767" s="288" t="s">
        <v>377</v>
      </c>
      <c r="AM767" s="287" t="s">
        <v>18</v>
      </c>
      <c r="AN767" s="287" t="s">
        <v>377</v>
      </c>
      <c r="AO767" s="288" t="s">
        <v>377</v>
      </c>
      <c r="AP767" s="289" t="s">
        <v>377</v>
      </c>
      <c r="AQ767" s="294" t="s">
        <v>32</v>
      </c>
      <c r="AR767" s="287" t="s">
        <v>18</v>
      </c>
      <c r="AS767" s="288" t="s">
        <v>377</v>
      </c>
      <c r="AT767" s="287" t="s">
        <v>377</v>
      </c>
      <c r="AU767" s="294" t="s">
        <v>32</v>
      </c>
      <c r="AV767" s="295" t="s">
        <v>32</v>
      </c>
      <c r="AW767" s="287" t="s">
        <v>377</v>
      </c>
      <c r="AX767" s="294" t="s">
        <v>32</v>
      </c>
      <c r="AY767" s="295" t="s">
        <v>32</v>
      </c>
      <c r="AZ767" s="287" t="s">
        <v>377</v>
      </c>
      <c r="BA767" s="287" t="s">
        <v>18</v>
      </c>
      <c r="BB767" s="295" t="s">
        <v>32</v>
      </c>
      <c r="BC767" s="289" t="s">
        <v>377</v>
      </c>
      <c r="BD767" s="287"/>
    </row>
    <row r="768" ht="12.75" customHeight="1">
      <c r="A768" s="293">
        <v>45261.42661072916</v>
      </c>
      <c r="B768" s="286" t="s">
        <v>504</v>
      </c>
      <c r="C768" s="287" t="s">
        <v>559</v>
      </c>
      <c r="D768" s="285" t="s">
        <v>16</v>
      </c>
      <c r="E768" s="285" t="s">
        <v>476</v>
      </c>
      <c r="F768" s="287" t="s">
        <v>1314</v>
      </c>
      <c r="G768" s="285" t="s">
        <v>21</v>
      </c>
      <c r="H768" s="285">
        <v>12.0</v>
      </c>
      <c r="I768" s="287" t="s">
        <v>479</v>
      </c>
      <c r="J768" s="287" t="s">
        <v>532</v>
      </c>
      <c r="K768" s="287" t="s">
        <v>532</v>
      </c>
      <c r="L768" s="287" t="s">
        <v>479</v>
      </c>
      <c r="M768" s="287" t="s">
        <v>483</v>
      </c>
      <c r="N768" s="287" t="s">
        <v>561</v>
      </c>
      <c r="O768" s="287"/>
      <c r="P768" s="287"/>
      <c r="Q768" s="294" t="s">
        <v>32</v>
      </c>
      <c r="R768" s="287" t="s">
        <v>377</v>
      </c>
      <c r="S768" s="295" t="s">
        <v>32</v>
      </c>
      <c r="T768" s="287" t="s">
        <v>18</v>
      </c>
      <c r="U768" s="294" t="s">
        <v>32</v>
      </c>
      <c r="V768" s="288" t="s">
        <v>377</v>
      </c>
      <c r="W768" s="287" t="s">
        <v>377</v>
      </c>
      <c r="X768" s="287" t="s">
        <v>18</v>
      </c>
      <c r="Y768" s="288" t="s">
        <v>377</v>
      </c>
      <c r="Z768" s="287" t="s">
        <v>377</v>
      </c>
      <c r="AA768" s="287" t="s">
        <v>18</v>
      </c>
      <c r="AB768" s="288" t="s">
        <v>377</v>
      </c>
      <c r="AC768" s="289" t="s">
        <v>377</v>
      </c>
      <c r="AD768" s="287" t="s">
        <v>377</v>
      </c>
      <c r="AE768" s="294" t="s">
        <v>32</v>
      </c>
      <c r="AF768" s="295" t="s">
        <v>32</v>
      </c>
      <c r="AG768" s="287" t="s">
        <v>377</v>
      </c>
      <c r="AH768" s="287" t="s">
        <v>18</v>
      </c>
      <c r="AI768" s="288" t="s">
        <v>377</v>
      </c>
      <c r="AJ768" s="287" t="s">
        <v>377</v>
      </c>
      <c r="AK768" s="287" t="s">
        <v>18</v>
      </c>
      <c r="AL768" s="288" t="s">
        <v>377</v>
      </c>
      <c r="AM768" s="287" t="s">
        <v>18</v>
      </c>
      <c r="AN768" s="287" t="s">
        <v>377</v>
      </c>
      <c r="AO768" s="288" t="s">
        <v>377</v>
      </c>
      <c r="AP768" s="289" t="s">
        <v>377</v>
      </c>
      <c r="AQ768" s="294" t="s">
        <v>32</v>
      </c>
      <c r="AR768" s="287" t="s">
        <v>377</v>
      </c>
      <c r="AS768" s="295" t="s">
        <v>32</v>
      </c>
      <c r="AT768" s="287" t="s">
        <v>377</v>
      </c>
      <c r="AU768" s="287" t="s">
        <v>377</v>
      </c>
      <c r="AV768" s="288" t="s">
        <v>377</v>
      </c>
      <c r="AW768" s="287" t="s">
        <v>377</v>
      </c>
      <c r="AX768" s="287" t="s">
        <v>377</v>
      </c>
      <c r="AY768" s="288" t="s">
        <v>377</v>
      </c>
      <c r="AZ768" s="287" t="s">
        <v>377</v>
      </c>
      <c r="BA768" s="287" t="s">
        <v>18</v>
      </c>
      <c r="BB768" s="295" t="s">
        <v>32</v>
      </c>
      <c r="BC768" s="296" t="s">
        <v>32</v>
      </c>
      <c r="BD768" s="287"/>
    </row>
    <row r="769" ht="12.75" customHeight="1">
      <c r="A769" s="293">
        <v>45271.84918269676</v>
      </c>
      <c r="B769" s="286" t="s">
        <v>504</v>
      </c>
      <c r="C769" s="287" t="s">
        <v>559</v>
      </c>
      <c r="D769" s="285" t="s">
        <v>16</v>
      </c>
      <c r="E769" s="285" t="s">
        <v>476</v>
      </c>
      <c r="F769" s="287" t="s">
        <v>1315</v>
      </c>
      <c r="G769" s="285" t="s">
        <v>17</v>
      </c>
      <c r="H769" s="285">
        <v>12.0</v>
      </c>
      <c r="I769" s="287" t="s">
        <v>479</v>
      </c>
      <c r="J769" s="287" t="s">
        <v>532</v>
      </c>
      <c r="K769" s="287" t="s">
        <v>532</v>
      </c>
      <c r="L769" s="287" t="s">
        <v>497</v>
      </c>
      <c r="M769" s="292"/>
      <c r="N769" s="292"/>
      <c r="O769" s="292"/>
      <c r="P769" s="292"/>
      <c r="Q769" s="294" t="s">
        <v>32</v>
      </c>
      <c r="R769" s="287" t="s">
        <v>18</v>
      </c>
      <c r="S769" s="288" t="s">
        <v>377</v>
      </c>
      <c r="T769" s="294" t="s">
        <v>32</v>
      </c>
      <c r="U769" s="294" t="s">
        <v>32</v>
      </c>
      <c r="V769" s="295" t="s">
        <v>32</v>
      </c>
      <c r="W769" s="287" t="s">
        <v>18</v>
      </c>
      <c r="X769" s="287" t="s">
        <v>18</v>
      </c>
      <c r="Y769" s="288" t="s">
        <v>18</v>
      </c>
      <c r="Z769" s="294" t="s">
        <v>32</v>
      </c>
      <c r="AA769" s="294" t="s">
        <v>32</v>
      </c>
      <c r="AB769" s="295" t="s">
        <v>32</v>
      </c>
      <c r="AC769" s="289" t="s">
        <v>377</v>
      </c>
      <c r="AD769" s="287" t="s">
        <v>377</v>
      </c>
      <c r="AE769" s="294" t="s">
        <v>32</v>
      </c>
      <c r="AF769" s="295" t="s">
        <v>32</v>
      </c>
      <c r="AG769" s="287" t="s">
        <v>18</v>
      </c>
      <c r="AH769" s="287" t="s">
        <v>18</v>
      </c>
      <c r="AI769" s="288" t="s">
        <v>18</v>
      </c>
      <c r="AJ769" s="287" t="s">
        <v>18</v>
      </c>
      <c r="AK769" s="287" t="s">
        <v>18</v>
      </c>
      <c r="AL769" s="288" t="s">
        <v>18</v>
      </c>
      <c r="AM769" s="287" t="s">
        <v>18</v>
      </c>
      <c r="AN769" s="287" t="s">
        <v>18</v>
      </c>
      <c r="AO769" s="288" t="s">
        <v>18</v>
      </c>
      <c r="AP769" s="289" t="s">
        <v>18</v>
      </c>
      <c r="AQ769" s="294" t="s">
        <v>32</v>
      </c>
      <c r="AR769" s="294" t="s">
        <v>32</v>
      </c>
      <c r="AS769" s="295" t="s">
        <v>32</v>
      </c>
      <c r="AT769" s="294" t="s">
        <v>32</v>
      </c>
      <c r="AU769" s="294" t="s">
        <v>32</v>
      </c>
      <c r="AV769" s="295" t="s">
        <v>32</v>
      </c>
      <c r="AW769" s="294" t="s">
        <v>32</v>
      </c>
      <c r="AX769" s="294" t="s">
        <v>32</v>
      </c>
      <c r="AY769" s="295" t="s">
        <v>32</v>
      </c>
      <c r="AZ769" s="287" t="s">
        <v>18</v>
      </c>
      <c r="BA769" s="294" t="s">
        <v>32</v>
      </c>
      <c r="BB769" s="295" t="s">
        <v>32</v>
      </c>
      <c r="BC769" s="296" t="s">
        <v>32</v>
      </c>
      <c r="BD769" s="287"/>
    </row>
    <row r="770" ht="12.75" customHeight="1">
      <c r="A770" s="293">
        <v>45271.874337835645</v>
      </c>
      <c r="B770" s="286" t="s">
        <v>504</v>
      </c>
      <c r="C770" s="287" t="s">
        <v>559</v>
      </c>
      <c r="D770" s="285" t="s">
        <v>16</v>
      </c>
      <c r="E770" s="285" t="s">
        <v>476</v>
      </c>
      <c r="F770" s="287" t="s">
        <v>1316</v>
      </c>
      <c r="G770" s="285" t="s">
        <v>21</v>
      </c>
      <c r="H770" s="285">
        <v>12.0</v>
      </c>
      <c r="I770" s="287" t="s">
        <v>479</v>
      </c>
      <c r="J770" s="287" t="s">
        <v>532</v>
      </c>
      <c r="K770" s="287" t="s">
        <v>532</v>
      </c>
      <c r="L770" s="287" t="s">
        <v>497</v>
      </c>
      <c r="M770" s="292"/>
      <c r="N770" s="292"/>
      <c r="O770" s="292"/>
      <c r="P770" s="292"/>
      <c r="Q770" s="294" t="s">
        <v>32</v>
      </c>
      <c r="R770" s="287" t="s">
        <v>18</v>
      </c>
      <c r="S770" s="288" t="s">
        <v>377</v>
      </c>
      <c r="T770" s="294" t="s">
        <v>32</v>
      </c>
      <c r="U770" s="287" t="s">
        <v>18</v>
      </c>
      <c r="V770" s="288" t="s">
        <v>377</v>
      </c>
      <c r="W770" s="287" t="s">
        <v>18</v>
      </c>
      <c r="X770" s="287" t="s">
        <v>18</v>
      </c>
      <c r="Y770" s="288" t="s">
        <v>18</v>
      </c>
      <c r="Z770" s="287" t="s">
        <v>18</v>
      </c>
      <c r="AA770" s="294" t="s">
        <v>32</v>
      </c>
      <c r="AB770" s="288" t="s">
        <v>377</v>
      </c>
      <c r="AC770" s="289" t="s">
        <v>377</v>
      </c>
      <c r="AD770" s="287" t="s">
        <v>377</v>
      </c>
      <c r="AE770" s="294" t="s">
        <v>32</v>
      </c>
      <c r="AF770" s="295" t="s">
        <v>32</v>
      </c>
      <c r="AG770" s="287" t="s">
        <v>18</v>
      </c>
      <c r="AH770" s="287" t="s">
        <v>18</v>
      </c>
      <c r="AI770" s="288" t="s">
        <v>18</v>
      </c>
      <c r="AJ770" s="287" t="s">
        <v>18</v>
      </c>
      <c r="AK770" s="294" t="s">
        <v>32</v>
      </c>
      <c r="AL770" s="288" t="s">
        <v>377</v>
      </c>
      <c r="AM770" s="287" t="s">
        <v>18</v>
      </c>
      <c r="AN770" s="287" t="s">
        <v>18</v>
      </c>
      <c r="AO770" s="288" t="s">
        <v>18</v>
      </c>
      <c r="AP770" s="289" t="s">
        <v>377</v>
      </c>
      <c r="AQ770" s="294" t="s">
        <v>32</v>
      </c>
      <c r="AR770" s="294" t="s">
        <v>32</v>
      </c>
      <c r="AS770" s="295" t="s">
        <v>32</v>
      </c>
      <c r="AT770" s="294" t="s">
        <v>32</v>
      </c>
      <c r="AU770" s="294" t="s">
        <v>32</v>
      </c>
      <c r="AV770" s="295" t="s">
        <v>32</v>
      </c>
      <c r="AW770" s="294" t="s">
        <v>32</v>
      </c>
      <c r="AX770" s="287" t="s">
        <v>18</v>
      </c>
      <c r="AY770" s="288" t="s">
        <v>377</v>
      </c>
      <c r="AZ770" s="287" t="s">
        <v>18</v>
      </c>
      <c r="BA770" s="294" t="s">
        <v>32</v>
      </c>
      <c r="BB770" s="295" t="s">
        <v>32</v>
      </c>
      <c r="BC770" s="296" t="s">
        <v>32</v>
      </c>
      <c r="BD770" s="287"/>
    </row>
    <row r="771" ht="12.75" customHeight="1">
      <c r="A771" s="293">
        <v>45271.876897152775</v>
      </c>
      <c r="B771" s="286" t="s">
        <v>504</v>
      </c>
      <c r="C771" s="287" t="s">
        <v>559</v>
      </c>
      <c r="D771" s="285" t="s">
        <v>16</v>
      </c>
      <c r="E771" s="285" t="s">
        <v>476</v>
      </c>
      <c r="F771" s="287" t="s">
        <v>1317</v>
      </c>
      <c r="G771" s="285" t="s">
        <v>21</v>
      </c>
      <c r="H771" s="285">
        <v>11.0</v>
      </c>
      <c r="I771" s="287" t="s">
        <v>479</v>
      </c>
      <c r="J771" s="287" t="s">
        <v>532</v>
      </c>
      <c r="K771" s="287" t="s">
        <v>532</v>
      </c>
      <c r="L771" s="287" t="s">
        <v>497</v>
      </c>
      <c r="M771" s="292"/>
      <c r="N771" s="292"/>
      <c r="O771" s="292"/>
      <c r="P771" s="292"/>
      <c r="Q771" s="294" t="s">
        <v>32</v>
      </c>
      <c r="R771" s="287" t="s">
        <v>377</v>
      </c>
      <c r="S771" s="295" t="s">
        <v>32</v>
      </c>
      <c r="T771" s="287" t="s">
        <v>18</v>
      </c>
      <c r="U771" s="294" t="s">
        <v>32</v>
      </c>
      <c r="V771" s="288" t="s">
        <v>377</v>
      </c>
      <c r="W771" s="287" t="s">
        <v>18</v>
      </c>
      <c r="X771" s="287" t="s">
        <v>377</v>
      </c>
      <c r="Y771" s="288" t="s">
        <v>377</v>
      </c>
      <c r="Z771" s="294" t="s">
        <v>32</v>
      </c>
      <c r="AA771" s="287" t="s">
        <v>18</v>
      </c>
      <c r="AB771" s="288" t="s">
        <v>377</v>
      </c>
      <c r="AC771" s="289" t="s">
        <v>377</v>
      </c>
      <c r="AD771" s="287" t="s">
        <v>18</v>
      </c>
      <c r="AE771" s="287" t="s">
        <v>377</v>
      </c>
      <c r="AF771" s="288" t="s">
        <v>377</v>
      </c>
      <c r="AG771" s="287" t="s">
        <v>18</v>
      </c>
      <c r="AH771" s="287" t="s">
        <v>18</v>
      </c>
      <c r="AI771" s="288" t="s">
        <v>18</v>
      </c>
      <c r="AJ771" s="287" t="s">
        <v>377</v>
      </c>
      <c r="AK771" s="287" t="s">
        <v>18</v>
      </c>
      <c r="AL771" s="288" t="s">
        <v>377</v>
      </c>
      <c r="AM771" s="287" t="s">
        <v>18</v>
      </c>
      <c r="AN771" s="287" t="s">
        <v>18</v>
      </c>
      <c r="AO771" s="288" t="s">
        <v>18</v>
      </c>
      <c r="AP771" s="289" t="s">
        <v>18</v>
      </c>
      <c r="AQ771" s="294" t="s">
        <v>32</v>
      </c>
      <c r="AR771" s="294" t="s">
        <v>32</v>
      </c>
      <c r="AS771" s="295" t="s">
        <v>32</v>
      </c>
      <c r="AT771" s="294" t="s">
        <v>32</v>
      </c>
      <c r="AU771" s="294" t="s">
        <v>32</v>
      </c>
      <c r="AV771" s="295" t="s">
        <v>32</v>
      </c>
      <c r="AW771" s="294" t="s">
        <v>32</v>
      </c>
      <c r="AX771" s="287" t="s">
        <v>377</v>
      </c>
      <c r="AY771" s="295" t="s">
        <v>32</v>
      </c>
      <c r="AZ771" s="287" t="s">
        <v>377</v>
      </c>
      <c r="BA771" s="294" t="s">
        <v>32</v>
      </c>
      <c r="BB771" s="295" t="s">
        <v>32</v>
      </c>
      <c r="BC771" s="296" t="s">
        <v>32</v>
      </c>
      <c r="BD771" s="287"/>
    </row>
    <row r="772" ht="12.75" customHeight="1">
      <c r="A772" s="293">
        <v>45271.90150577546</v>
      </c>
      <c r="B772" s="286" t="s">
        <v>504</v>
      </c>
      <c r="C772" s="287" t="s">
        <v>559</v>
      </c>
      <c r="D772" s="285" t="s">
        <v>16</v>
      </c>
      <c r="E772" s="285" t="s">
        <v>476</v>
      </c>
      <c r="F772" s="287" t="s">
        <v>1318</v>
      </c>
      <c r="G772" s="285" t="s">
        <v>17</v>
      </c>
      <c r="H772" s="285">
        <v>11.0</v>
      </c>
      <c r="I772" s="287" t="s">
        <v>479</v>
      </c>
      <c r="J772" s="287" t="s">
        <v>532</v>
      </c>
      <c r="K772" s="287" t="s">
        <v>532</v>
      </c>
      <c r="L772" s="287" t="s">
        <v>479</v>
      </c>
      <c r="M772" s="287" t="s">
        <v>481</v>
      </c>
      <c r="N772" s="287" t="s">
        <v>561</v>
      </c>
      <c r="O772" s="287"/>
      <c r="P772" s="287"/>
      <c r="Q772" s="287" t="s">
        <v>18</v>
      </c>
      <c r="R772" s="287" t="s">
        <v>18</v>
      </c>
      <c r="S772" s="288" t="s">
        <v>18</v>
      </c>
      <c r="T772" s="287" t="s">
        <v>18</v>
      </c>
      <c r="U772" s="294" t="s">
        <v>32</v>
      </c>
      <c r="V772" s="288" t="s">
        <v>377</v>
      </c>
      <c r="W772" s="287" t="s">
        <v>18</v>
      </c>
      <c r="X772" s="287" t="s">
        <v>18</v>
      </c>
      <c r="Y772" s="288" t="s">
        <v>18</v>
      </c>
      <c r="Z772" s="287" t="s">
        <v>18</v>
      </c>
      <c r="AA772" s="287" t="s">
        <v>18</v>
      </c>
      <c r="AB772" s="288" t="s">
        <v>18</v>
      </c>
      <c r="AC772" s="289" t="s">
        <v>18</v>
      </c>
      <c r="AD772" s="287" t="s">
        <v>377</v>
      </c>
      <c r="AE772" s="294" t="s">
        <v>32</v>
      </c>
      <c r="AF772" s="295" t="s">
        <v>32</v>
      </c>
      <c r="AG772" s="287" t="s">
        <v>18</v>
      </c>
      <c r="AH772" s="287" t="s">
        <v>18</v>
      </c>
      <c r="AI772" s="288" t="s">
        <v>18</v>
      </c>
      <c r="AJ772" s="287" t="s">
        <v>18</v>
      </c>
      <c r="AK772" s="287" t="s">
        <v>18</v>
      </c>
      <c r="AL772" s="288" t="s">
        <v>18</v>
      </c>
      <c r="AM772" s="287" t="s">
        <v>18</v>
      </c>
      <c r="AN772" s="287" t="s">
        <v>18</v>
      </c>
      <c r="AO772" s="288" t="s">
        <v>18</v>
      </c>
      <c r="AP772" s="289" t="s">
        <v>18</v>
      </c>
      <c r="AQ772" s="287" t="s">
        <v>18</v>
      </c>
      <c r="AR772" s="287" t="s">
        <v>377</v>
      </c>
      <c r="AS772" s="288" t="s">
        <v>377</v>
      </c>
      <c r="AT772" s="294" t="s">
        <v>32</v>
      </c>
      <c r="AU772" s="294" t="s">
        <v>32</v>
      </c>
      <c r="AV772" s="295" t="s">
        <v>32</v>
      </c>
      <c r="AW772" s="287" t="s">
        <v>18</v>
      </c>
      <c r="AX772" s="287" t="s">
        <v>18</v>
      </c>
      <c r="AY772" s="288" t="s">
        <v>18</v>
      </c>
      <c r="AZ772" s="287" t="s">
        <v>18</v>
      </c>
      <c r="BA772" s="287" t="s">
        <v>18</v>
      </c>
      <c r="BB772" s="295" t="s">
        <v>32</v>
      </c>
      <c r="BC772" s="296" t="s">
        <v>32</v>
      </c>
      <c r="BD772" s="287"/>
    </row>
    <row r="773" ht="12.75" customHeight="1">
      <c r="A773" s="293">
        <v>45271.961285046295</v>
      </c>
      <c r="B773" s="286" t="s">
        <v>504</v>
      </c>
      <c r="C773" s="287" t="s">
        <v>559</v>
      </c>
      <c r="D773" s="285" t="s">
        <v>16</v>
      </c>
      <c r="E773" s="285" t="s">
        <v>476</v>
      </c>
      <c r="F773" s="287" t="s">
        <v>1319</v>
      </c>
      <c r="G773" s="285" t="s">
        <v>21</v>
      </c>
      <c r="H773" s="285">
        <v>11.0</v>
      </c>
      <c r="I773" s="287" t="s">
        <v>479</v>
      </c>
      <c r="J773" s="287" t="s">
        <v>532</v>
      </c>
      <c r="K773" s="287" t="s">
        <v>532</v>
      </c>
      <c r="L773" s="287" t="s">
        <v>497</v>
      </c>
      <c r="M773" s="292"/>
      <c r="N773" s="292"/>
      <c r="O773" s="292"/>
      <c r="P773" s="292"/>
      <c r="Q773" s="294" t="s">
        <v>32</v>
      </c>
      <c r="R773" s="294" t="s">
        <v>32</v>
      </c>
      <c r="S773" s="295" t="s">
        <v>32</v>
      </c>
      <c r="T773" s="287" t="s">
        <v>377</v>
      </c>
      <c r="U773" s="294" t="s">
        <v>32</v>
      </c>
      <c r="V773" s="295" t="s">
        <v>32</v>
      </c>
      <c r="W773" s="294" t="s">
        <v>32</v>
      </c>
      <c r="X773" s="294" t="s">
        <v>32</v>
      </c>
      <c r="Y773" s="295" t="s">
        <v>32</v>
      </c>
      <c r="Z773" s="294" t="s">
        <v>32</v>
      </c>
      <c r="AA773" s="294" t="s">
        <v>32</v>
      </c>
      <c r="AB773" s="295" t="s">
        <v>32</v>
      </c>
      <c r="AC773" s="296" t="s">
        <v>32</v>
      </c>
      <c r="AD773" s="294" t="s">
        <v>32</v>
      </c>
      <c r="AE773" s="294" t="s">
        <v>32</v>
      </c>
      <c r="AF773" s="295" t="s">
        <v>32</v>
      </c>
      <c r="AG773" s="294" t="s">
        <v>32</v>
      </c>
      <c r="AH773" s="294" t="s">
        <v>32</v>
      </c>
      <c r="AI773" s="295" t="s">
        <v>32</v>
      </c>
      <c r="AJ773" s="294" t="s">
        <v>32</v>
      </c>
      <c r="AK773" s="294" t="s">
        <v>32</v>
      </c>
      <c r="AL773" s="295" t="s">
        <v>32</v>
      </c>
      <c r="AM773" s="287" t="s">
        <v>377</v>
      </c>
      <c r="AN773" s="294" t="s">
        <v>32</v>
      </c>
      <c r="AO773" s="295" t="s">
        <v>32</v>
      </c>
      <c r="AP773" s="296" t="s">
        <v>32</v>
      </c>
      <c r="AQ773" s="294" t="s">
        <v>32</v>
      </c>
      <c r="AR773" s="294" t="s">
        <v>32</v>
      </c>
      <c r="AS773" s="295" t="s">
        <v>32</v>
      </c>
      <c r="AT773" s="294" t="s">
        <v>32</v>
      </c>
      <c r="AU773" s="294" t="s">
        <v>32</v>
      </c>
      <c r="AV773" s="295" t="s">
        <v>32</v>
      </c>
      <c r="AW773" s="294" t="s">
        <v>32</v>
      </c>
      <c r="AX773" s="294" t="s">
        <v>32</v>
      </c>
      <c r="AY773" s="295" t="s">
        <v>32</v>
      </c>
      <c r="AZ773" s="294" t="s">
        <v>32</v>
      </c>
      <c r="BA773" s="294" t="s">
        <v>32</v>
      </c>
      <c r="BB773" s="295" t="s">
        <v>32</v>
      </c>
      <c r="BC773" s="296" t="s">
        <v>32</v>
      </c>
      <c r="BD773" s="287"/>
    </row>
    <row r="774" ht="12.75" customHeight="1">
      <c r="A774" s="293">
        <v>45271.96345275463</v>
      </c>
      <c r="B774" s="286" t="s">
        <v>504</v>
      </c>
      <c r="C774" s="287" t="s">
        <v>559</v>
      </c>
      <c r="D774" s="285" t="s">
        <v>16</v>
      </c>
      <c r="E774" s="285" t="s">
        <v>476</v>
      </c>
      <c r="F774" s="287" t="s">
        <v>1320</v>
      </c>
      <c r="G774" s="285" t="s">
        <v>21</v>
      </c>
      <c r="H774" s="285">
        <v>12.0</v>
      </c>
      <c r="I774" s="287" t="s">
        <v>479</v>
      </c>
      <c r="J774" s="287" t="s">
        <v>532</v>
      </c>
      <c r="K774" s="287" t="s">
        <v>532</v>
      </c>
      <c r="L774" s="287" t="s">
        <v>497</v>
      </c>
      <c r="M774" s="292"/>
      <c r="N774" s="292"/>
      <c r="O774" s="292"/>
      <c r="P774" s="292"/>
      <c r="Q774" s="294" t="s">
        <v>32</v>
      </c>
      <c r="R774" s="287" t="s">
        <v>377</v>
      </c>
      <c r="S774" s="295" t="s">
        <v>32</v>
      </c>
      <c r="T774" s="287" t="s">
        <v>377</v>
      </c>
      <c r="U774" s="294" t="s">
        <v>32</v>
      </c>
      <c r="V774" s="295" t="s">
        <v>32</v>
      </c>
      <c r="W774" s="287" t="s">
        <v>377</v>
      </c>
      <c r="X774" s="294" t="s">
        <v>32</v>
      </c>
      <c r="Y774" s="295" t="s">
        <v>32</v>
      </c>
      <c r="Z774" s="294" t="s">
        <v>32</v>
      </c>
      <c r="AA774" s="294" t="s">
        <v>32</v>
      </c>
      <c r="AB774" s="295" t="s">
        <v>32</v>
      </c>
      <c r="AC774" s="296" t="s">
        <v>32</v>
      </c>
      <c r="AD774" s="294" t="s">
        <v>32</v>
      </c>
      <c r="AE774" s="294" t="s">
        <v>32</v>
      </c>
      <c r="AF774" s="295" t="s">
        <v>32</v>
      </c>
      <c r="AG774" s="287" t="s">
        <v>377</v>
      </c>
      <c r="AH774" s="287" t="s">
        <v>377</v>
      </c>
      <c r="AI774" s="288" t="s">
        <v>377</v>
      </c>
      <c r="AJ774" s="294" t="s">
        <v>32</v>
      </c>
      <c r="AK774" s="294" t="s">
        <v>32</v>
      </c>
      <c r="AL774" s="295" t="s">
        <v>32</v>
      </c>
      <c r="AM774" s="287" t="s">
        <v>377</v>
      </c>
      <c r="AN774" s="287" t="s">
        <v>377</v>
      </c>
      <c r="AO774" s="288" t="s">
        <v>377</v>
      </c>
      <c r="AP774" s="296" t="s">
        <v>32</v>
      </c>
      <c r="AQ774" s="294" t="s">
        <v>32</v>
      </c>
      <c r="AR774" s="294" t="s">
        <v>32</v>
      </c>
      <c r="AS774" s="295" t="s">
        <v>32</v>
      </c>
      <c r="AT774" s="294" t="s">
        <v>32</v>
      </c>
      <c r="AU774" s="294" t="s">
        <v>32</v>
      </c>
      <c r="AV774" s="295" t="s">
        <v>32</v>
      </c>
      <c r="AW774" s="287" t="s">
        <v>377</v>
      </c>
      <c r="AX774" s="294" t="s">
        <v>32</v>
      </c>
      <c r="AY774" s="295" t="s">
        <v>32</v>
      </c>
      <c r="AZ774" s="294" t="s">
        <v>32</v>
      </c>
      <c r="BA774" s="294" t="s">
        <v>32</v>
      </c>
      <c r="BB774" s="295" t="s">
        <v>32</v>
      </c>
      <c r="BC774" s="296" t="s">
        <v>32</v>
      </c>
      <c r="BD774" s="287"/>
    </row>
    <row r="775" ht="12.75" customHeight="1">
      <c r="A775" s="293">
        <v>45271.96506494213</v>
      </c>
      <c r="B775" s="286" t="s">
        <v>504</v>
      </c>
      <c r="C775" s="287" t="s">
        <v>559</v>
      </c>
      <c r="D775" s="285" t="s">
        <v>16</v>
      </c>
      <c r="E775" s="285" t="s">
        <v>476</v>
      </c>
      <c r="F775" s="287" t="s">
        <v>1321</v>
      </c>
      <c r="G775" s="285" t="s">
        <v>21</v>
      </c>
      <c r="H775" s="285">
        <v>12.0</v>
      </c>
      <c r="I775" s="287" t="s">
        <v>479</v>
      </c>
      <c r="J775" s="287" t="s">
        <v>532</v>
      </c>
      <c r="K775" s="287" t="s">
        <v>532</v>
      </c>
      <c r="L775" s="287" t="s">
        <v>497</v>
      </c>
      <c r="M775" s="292"/>
      <c r="N775" s="292"/>
      <c r="O775" s="292"/>
      <c r="P775" s="292"/>
      <c r="Q775" s="287" t="s">
        <v>377</v>
      </c>
      <c r="R775" s="287" t="s">
        <v>377</v>
      </c>
      <c r="S775" s="288" t="s">
        <v>377</v>
      </c>
      <c r="T775" s="287" t="s">
        <v>377</v>
      </c>
      <c r="U775" s="294" t="s">
        <v>32</v>
      </c>
      <c r="V775" s="295" t="s">
        <v>32</v>
      </c>
      <c r="W775" s="287" t="s">
        <v>18</v>
      </c>
      <c r="X775" s="287" t="s">
        <v>18</v>
      </c>
      <c r="Y775" s="288" t="s">
        <v>18</v>
      </c>
      <c r="Z775" s="287" t="s">
        <v>377</v>
      </c>
      <c r="AA775" s="287" t="s">
        <v>377</v>
      </c>
      <c r="AB775" s="288" t="s">
        <v>377</v>
      </c>
      <c r="AC775" s="289" t="s">
        <v>377</v>
      </c>
      <c r="AD775" s="287" t="s">
        <v>377</v>
      </c>
      <c r="AE775" s="294" t="s">
        <v>32</v>
      </c>
      <c r="AF775" s="295" t="s">
        <v>32</v>
      </c>
      <c r="AG775" s="287" t="s">
        <v>377</v>
      </c>
      <c r="AH775" s="287" t="s">
        <v>18</v>
      </c>
      <c r="AI775" s="288" t="s">
        <v>377</v>
      </c>
      <c r="AJ775" s="287" t="s">
        <v>18</v>
      </c>
      <c r="AK775" s="287" t="s">
        <v>18</v>
      </c>
      <c r="AL775" s="288" t="s">
        <v>18</v>
      </c>
      <c r="AM775" s="287" t="s">
        <v>18</v>
      </c>
      <c r="AN775" s="287" t="s">
        <v>18</v>
      </c>
      <c r="AO775" s="288" t="s">
        <v>18</v>
      </c>
      <c r="AP775" s="289" t="s">
        <v>377</v>
      </c>
      <c r="AQ775" s="287" t="s">
        <v>18</v>
      </c>
      <c r="AR775" s="287" t="s">
        <v>377</v>
      </c>
      <c r="AS775" s="288" t="s">
        <v>377</v>
      </c>
      <c r="AT775" s="287" t="s">
        <v>18</v>
      </c>
      <c r="AU775" s="287" t="s">
        <v>18</v>
      </c>
      <c r="AV775" s="288" t="s">
        <v>18</v>
      </c>
      <c r="AW775" s="287" t="s">
        <v>377</v>
      </c>
      <c r="AX775" s="294" t="s">
        <v>32</v>
      </c>
      <c r="AY775" s="295" t="s">
        <v>32</v>
      </c>
      <c r="AZ775" s="287" t="s">
        <v>377</v>
      </c>
      <c r="BA775" s="287" t="s">
        <v>18</v>
      </c>
      <c r="BB775" s="295" t="s">
        <v>32</v>
      </c>
      <c r="BC775" s="296" t="s">
        <v>32</v>
      </c>
      <c r="BD775" s="287"/>
    </row>
    <row r="776" ht="12.75" customHeight="1">
      <c r="A776" s="293">
        <v>45271.99394233796</v>
      </c>
      <c r="B776" s="286" t="s">
        <v>504</v>
      </c>
      <c r="C776" s="287" t="s">
        <v>559</v>
      </c>
      <c r="D776" s="285" t="s">
        <v>16</v>
      </c>
      <c r="E776" s="285" t="s">
        <v>476</v>
      </c>
      <c r="F776" s="287" t="s">
        <v>1322</v>
      </c>
      <c r="G776" s="285" t="s">
        <v>21</v>
      </c>
      <c r="H776" s="285">
        <v>12.0</v>
      </c>
      <c r="I776" s="287" t="s">
        <v>479</v>
      </c>
      <c r="J776" s="287" t="s">
        <v>532</v>
      </c>
      <c r="K776" s="287" t="s">
        <v>532</v>
      </c>
      <c r="L776" s="287" t="s">
        <v>479</v>
      </c>
      <c r="M776" s="287" t="s">
        <v>500</v>
      </c>
      <c r="N776" s="287" t="s">
        <v>500</v>
      </c>
      <c r="O776" s="287"/>
      <c r="P776" s="287"/>
      <c r="Q776" s="294" t="s">
        <v>32</v>
      </c>
      <c r="R776" s="294" t="s">
        <v>32</v>
      </c>
      <c r="S776" s="295" t="s">
        <v>32</v>
      </c>
      <c r="T776" s="294" t="s">
        <v>32</v>
      </c>
      <c r="U776" s="294" t="s">
        <v>32</v>
      </c>
      <c r="V776" s="295" t="s">
        <v>32</v>
      </c>
      <c r="W776" s="294" t="s">
        <v>32</v>
      </c>
      <c r="X776" s="287" t="s">
        <v>18</v>
      </c>
      <c r="Y776" s="288" t="s">
        <v>377</v>
      </c>
      <c r="Z776" s="287" t="s">
        <v>377</v>
      </c>
      <c r="AA776" s="287" t="s">
        <v>377</v>
      </c>
      <c r="AB776" s="288" t="s">
        <v>377</v>
      </c>
      <c r="AC776" s="296" t="s">
        <v>32</v>
      </c>
      <c r="AD776" s="287" t="s">
        <v>377</v>
      </c>
      <c r="AE776" s="287" t="s">
        <v>377</v>
      </c>
      <c r="AF776" s="288" t="s">
        <v>377</v>
      </c>
      <c r="AG776" s="287" t="s">
        <v>18</v>
      </c>
      <c r="AH776" s="287" t="s">
        <v>377</v>
      </c>
      <c r="AI776" s="288" t="s">
        <v>377</v>
      </c>
      <c r="AJ776" s="287" t="s">
        <v>377</v>
      </c>
      <c r="AK776" s="287" t="s">
        <v>18</v>
      </c>
      <c r="AL776" s="288" t="s">
        <v>377</v>
      </c>
      <c r="AM776" s="287" t="s">
        <v>18</v>
      </c>
      <c r="AN776" s="287" t="s">
        <v>18</v>
      </c>
      <c r="AO776" s="288" t="s">
        <v>18</v>
      </c>
      <c r="AP776" s="289" t="s">
        <v>377</v>
      </c>
      <c r="AQ776" s="294" t="s">
        <v>32</v>
      </c>
      <c r="AR776" s="294" t="s">
        <v>32</v>
      </c>
      <c r="AS776" s="295" t="s">
        <v>32</v>
      </c>
      <c r="AT776" s="294" t="s">
        <v>32</v>
      </c>
      <c r="AU776" s="294" t="s">
        <v>32</v>
      </c>
      <c r="AV776" s="295" t="s">
        <v>32</v>
      </c>
      <c r="AW776" s="294" t="s">
        <v>32</v>
      </c>
      <c r="AX776" s="287" t="s">
        <v>377</v>
      </c>
      <c r="AY776" s="295" t="s">
        <v>32</v>
      </c>
      <c r="AZ776" s="294" t="s">
        <v>32</v>
      </c>
      <c r="BA776" s="294" t="s">
        <v>32</v>
      </c>
      <c r="BB776" s="295" t="s">
        <v>32</v>
      </c>
      <c r="BC776" s="296" t="s">
        <v>32</v>
      </c>
      <c r="BD776" s="287"/>
    </row>
    <row r="777" ht="12.75" customHeight="1">
      <c r="A777" s="293">
        <v>45275.87526134259</v>
      </c>
      <c r="B777" s="286" t="s">
        <v>504</v>
      </c>
      <c r="C777" s="287" t="s">
        <v>559</v>
      </c>
      <c r="D777" s="285" t="s">
        <v>16</v>
      </c>
      <c r="E777" s="285" t="s">
        <v>476</v>
      </c>
      <c r="F777" s="287" t="s">
        <v>1323</v>
      </c>
      <c r="G777" s="285" t="s">
        <v>21</v>
      </c>
      <c r="H777" s="285">
        <v>11.0</v>
      </c>
      <c r="I777" s="287" t="s">
        <v>479</v>
      </c>
      <c r="J777" s="287" t="s">
        <v>532</v>
      </c>
      <c r="K777" s="287" t="s">
        <v>532</v>
      </c>
      <c r="L777" s="287" t="s">
        <v>497</v>
      </c>
      <c r="M777" s="292"/>
      <c r="N777" s="292"/>
      <c r="O777" s="292"/>
      <c r="P777" s="292"/>
      <c r="Q777" s="294" t="s">
        <v>32</v>
      </c>
      <c r="R777" s="294" t="s">
        <v>32</v>
      </c>
      <c r="S777" s="295" t="s">
        <v>32</v>
      </c>
      <c r="T777" s="287" t="s">
        <v>18</v>
      </c>
      <c r="U777" s="294" t="s">
        <v>32</v>
      </c>
      <c r="V777" s="288" t="s">
        <v>377</v>
      </c>
      <c r="W777" s="294" t="s">
        <v>32</v>
      </c>
      <c r="X777" s="294" t="s">
        <v>32</v>
      </c>
      <c r="Y777" s="295" t="s">
        <v>32</v>
      </c>
      <c r="Z777" s="294" t="s">
        <v>32</v>
      </c>
      <c r="AA777" s="287" t="s">
        <v>377</v>
      </c>
      <c r="AB777" s="295" t="s">
        <v>32</v>
      </c>
      <c r="AC777" s="296" t="s">
        <v>32</v>
      </c>
      <c r="AD777" s="294" t="s">
        <v>32</v>
      </c>
      <c r="AE777" s="287" t="s">
        <v>377</v>
      </c>
      <c r="AF777" s="295" t="s">
        <v>32</v>
      </c>
      <c r="AG777" s="287" t="s">
        <v>377</v>
      </c>
      <c r="AH777" s="287" t="s">
        <v>377</v>
      </c>
      <c r="AI777" s="288" t="s">
        <v>377</v>
      </c>
      <c r="AJ777" s="294" t="s">
        <v>32</v>
      </c>
      <c r="AK777" s="287" t="s">
        <v>377</v>
      </c>
      <c r="AL777" s="295" t="s">
        <v>32</v>
      </c>
      <c r="AM777" s="287" t="s">
        <v>377</v>
      </c>
      <c r="AN777" s="287" t="s">
        <v>377</v>
      </c>
      <c r="AO777" s="288" t="s">
        <v>377</v>
      </c>
      <c r="AP777" s="289" t="s">
        <v>377</v>
      </c>
      <c r="AQ777" s="294" t="s">
        <v>32</v>
      </c>
      <c r="AR777" s="294" t="s">
        <v>32</v>
      </c>
      <c r="AS777" s="295" t="s">
        <v>32</v>
      </c>
      <c r="AT777" s="294" t="s">
        <v>32</v>
      </c>
      <c r="AU777" s="294" t="s">
        <v>32</v>
      </c>
      <c r="AV777" s="295" t="s">
        <v>32</v>
      </c>
      <c r="AW777" s="287" t="s">
        <v>377</v>
      </c>
      <c r="AX777" s="287" t="s">
        <v>377</v>
      </c>
      <c r="AY777" s="288" t="s">
        <v>377</v>
      </c>
      <c r="AZ777" s="294" t="s">
        <v>32</v>
      </c>
      <c r="BA777" s="294" t="s">
        <v>32</v>
      </c>
      <c r="BB777" s="295" t="s">
        <v>32</v>
      </c>
      <c r="BC777" s="296" t="s">
        <v>32</v>
      </c>
      <c r="BD777" s="287"/>
    </row>
    <row r="778" ht="12.75" customHeight="1">
      <c r="A778" s="293">
        <v>45275.87717609954</v>
      </c>
      <c r="B778" s="286" t="s">
        <v>504</v>
      </c>
      <c r="C778" s="287" t="s">
        <v>559</v>
      </c>
      <c r="D778" s="285" t="s">
        <v>16</v>
      </c>
      <c r="E778" s="285" t="s">
        <v>476</v>
      </c>
      <c r="F778" s="287" t="s">
        <v>1324</v>
      </c>
      <c r="G778" s="285" t="s">
        <v>21</v>
      </c>
      <c r="H778" s="285">
        <v>11.0</v>
      </c>
      <c r="I778" s="287" t="s">
        <v>479</v>
      </c>
      <c r="J778" s="287" t="s">
        <v>532</v>
      </c>
      <c r="K778" s="287" t="s">
        <v>532</v>
      </c>
      <c r="L778" s="287" t="s">
        <v>479</v>
      </c>
      <c r="M778" s="287" t="s">
        <v>481</v>
      </c>
      <c r="N778" s="287" t="s">
        <v>561</v>
      </c>
      <c r="O778" s="287"/>
      <c r="P778" s="287"/>
      <c r="Q778" s="294" t="s">
        <v>32</v>
      </c>
      <c r="R778" s="287" t="s">
        <v>377</v>
      </c>
      <c r="S778" s="295" t="s">
        <v>32</v>
      </c>
      <c r="T778" s="287" t="s">
        <v>18</v>
      </c>
      <c r="U778" s="294" t="s">
        <v>32</v>
      </c>
      <c r="V778" s="288" t="s">
        <v>377</v>
      </c>
      <c r="W778" s="294" t="s">
        <v>32</v>
      </c>
      <c r="X778" s="287" t="s">
        <v>377</v>
      </c>
      <c r="Y778" s="295" t="s">
        <v>32</v>
      </c>
      <c r="Z778" s="294" t="s">
        <v>32</v>
      </c>
      <c r="AA778" s="287" t="s">
        <v>377</v>
      </c>
      <c r="AB778" s="295" t="s">
        <v>32</v>
      </c>
      <c r="AC778" s="289" t="s">
        <v>377</v>
      </c>
      <c r="AD778" s="294" t="s">
        <v>32</v>
      </c>
      <c r="AE778" s="287" t="s">
        <v>377</v>
      </c>
      <c r="AF778" s="295" t="s">
        <v>32</v>
      </c>
      <c r="AG778" s="287" t="s">
        <v>377</v>
      </c>
      <c r="AH778" s="287" t="s">
        <v>18</v>
      </c>
      <c r="AI778" s="288" t="s">
        <v>377</v>
      </c>
      <c r="AJ778" s="287" t="s">
        <v>377</v>
      </c>
      <c r="AK778" s="294" t="s">
        <v>32</v>
      </c>
      <c r="AL778" s="295" t="s">
        <v>32</v>
      </c>
      <c r="AM778" s="287" t="s">
        <v>18</v>
      </c>
      <c r="AN778" s="287" t="s">
        <v>18</v>
      </c>
      <c r="AO778" s="288" t="s">
        <v>18</v>
      </c>
      <c r="AP778" s="289" t="s">
        <v>377</v>
      </c>
      <c r="AQ778" s="294" t="s">
        <v>32</v>
      </c>
      <c r="AR778" s="294" t="s">
        <v>32</v>
      </c>
      <c r="AS778" s="295" t="s">
        <v>32</v>
      </c>
      <c r="AT778" s="294" t="s">
        <v>32</v>
      </c>
      <c r="AU778" s="287" t="s">
        <v>377</v>
      </c>
      <c r="AV778" s="295" t="s">
        <v>32</v>
      </c>
      <c r="AW778" s="294" t="s">
        <v>32</v>
      </c>
      <c r="AX778" s="294" t="s">
        <v>32</v>
      </c>
      <c r="AY778" s="295" t="s">
        <v>32</v>
      </c>
      <c r="AZ778" s="287" t="s">
        <v>377</v>
      </c>
      <c r="BA778" s="287" t="s">
        <v>377</v>
      </c>
      <c r="BB778" s="295" t="s">
        <v>32</v>
      </c>
      <c r="BC778" s="296" t="s">
        <v>32</v>
      </c>
      <c r="BD778" s="287"/>
    </row>
    <row r="779" ht="12.75" customHeight="1">
      <c r="A779" s="293">
        <v>44785.44136350694</v>
      </c>
      <c r="B779" s="297" t="s">
        <v>504</v>
      </c>
      <c r="C779" s="298" t="s">
        <v>567</v>
      </c>
      <c r="D779" s="298" t="s">
        <v>16</v>
      </c>
      <c r="E779" s="285" t="s">
        <v>476</v>
      </c>
      <c r="F779" s="292" t="s">
        <v>539</v>
      </c>
      <c r="G779" s="298" t="s">
        <v>21</v>
      </c>
      <c r="H779" s="298">
        <v>11.0</v>
      </c>
      <c r="I779" s="292" t="s">
        <v>479</v>
      </c>
      <c r="J779" s="292" t="s">
        <v>532</v>
      </c>
      <c r="K779" s="287" t="s">
        <v>532</v>
      </c>
      <c r="L779" s="292" t="s">
        <v>497</v>
      </c>
      <c r="M779" s="292" t="s">
        <v>586</v>
      </c>
      <c r="N779" s="292"/>
      <c r="O779" s="292"/>
      <c r="P779" s="292"/>
      <c r="Q779" s="299" t="s">
        <v>32</v>
      </c>
      <c r="R779" s="292" t="s">
        <v>18</v>
      </c>
      <c r="S779" s="288" t="s">
        <v>377</v>
      </c>
      <c r="T779" s="299" t="s">
        <v>32</v>
      </c>
      <c r="U779" s="299" t="s">
        <v>32</v>
      </c>
      <c r="V779" s="295" t="s">
        <v>32</v>
      </c>
      <c r="W779" s="299" t="s">
        <v>32</v>
      </c>
      <c r="X779" s="292" t="s">
        <v>18</v>
      </c>
      <c r="Y779" s="288" t="s">
        <v>377</v>
      </c>
      <c r="Z779" s="299" t="s">
        <v>32</v>
      </c>
      <c r="AA779" s="292" t="s">
        <v>18</v>
      </c>
      <c r="AB779" s="288" t="s">
        <v>377</v>
      </c>
      <c r="AC779" s="289" t="s">
        <v>377</v>
      </c>
      <c r="AD779" s="299" t="s">
        <v>32</v>
      </c>
      <c r="AE779" s="292" t="s">
        <v>18</v>
      </c>
      <c r="AF779" s="288" t="s">
        <v>377</v>
      </c>
      <c r="AG779" s="292" t="s">
        <v>18</v>
      </c>
      <c r="AH779" s="292" t="s">
        <v>18</v>
      </c>
      <c r="AI779" s="288" t="s">
        <v>18</v>
      </c>
      <c r="AJ779" s="299" t="s">
        <v>32</v>
      </c>
      <c r="AK779" s="292" t="s">
        <v>18</v>
      </c>
      <c r="AL779" s="288" t="s">
        <v>377</v>
      </c>
      <c r="AM779" s="292" t="s">
        <v>377</v>
      </c>
      <c r="AN779" s="299" t="s">
        <v>32</v>
      </c>
      <c r="AO779" s="295" t="s">
        <v>32</v>
      </c>
      <c r="AP779" s="289" t="s">
        <v>377</v>
      </c>
      <c r="AQ779" s="292" t="s">
        <v>377</v>
      </c>
      <c r="AR779" s="299" t="s">
        <v>32</v>
      </c>
      <c r="AS779" s="295" t="s">
        <v>32</v>
      </c>
      <c r="AT779" s="299" t="s">
        <v>32</v>
      </c>
      <c r="AU779" s="299" t="s">
        <v>32</v>
      </c>
      <c r="AV779" s="295" t="s">
        <v>32</v>
      </c>
      <c r="AW779" s="299" t="s">
        <v>32</v>
      </c>
      <c r="AX779" s="299" t="s">
        <v>32</v>
      </c>
      <c r="AY779" s="295" t="s">
        <v>32</v>
      </c>
      <c r="AZ779" s="299" t="s">
        <v>32</v>
      </c>
      <c r="BA779" s="292" t="s">
        <v>18</v>
      </c>
      <c r="BB779" s="295" t="s">
        <v>32</v>
      </c>
      <c r="BC779" s="296" t="s">
        <v>32</v>
      </c>
      <c r="BD779" s="287"/>
    </row>
    <row r="780" ht="12.75" customHeight="1">
      <c r="A780" s="293">
        <v>44785.447771747684</v>
      </c>
      <c r="B780" s="297" t="s">
        <v>504</v>
      </c>
      <c r="C780" s="298" t="s">
        <v>567</v>
      </c>
      <c r="D780" s="298" t="s">
        <v>16</v>
      </c>
      <c r="E780" s="285" t="s">
        <v>476</v>
      </c>
      <c r="F780" s="292" t="s">
        <v>1325</v>
      </c>
      <c r="G780" s="298" t="s">
        <v>21</v>
      </c>
      <c r="H780" s="298">
        <v>11.0</v>
      </c>
      <c r="I780" s="292" t="s">
        <v>479</v>
      </c>
      <c r="J780" s="292" t="s">
        <v>532</v>
      </c>
      <c r="K780" s="287" t="s">
        <v>532</v>
      </c>
      <c r="L780" s="292" t="s">
        <v>497</v>
      </c>
      <c r="M780" s="292" t="s">
        <v>586</v>
      </c>
      <c r="N780" s="292"/>
      <c r="O780" s="292"/>
      <c r="P780" s="292"/>
      <c r="Q780" s="299" t="s">
        <v>32</v>
      </c>
      <c r="R780" s="292" t="s">
        <v>377</v>
      </c>
      <c r="S780" s="295" t="s">
        <v>32</v>
      </c>
      <c r="T780" s="299" t="s">
        <v>32</v>
      </c>
      <c r="U780" s="299" t="s">
        <v>32</v>
      </c>
      <c r="V780" s="295" t="s">
        <v>32</v>
      </c>
      <c r="W780" s="299" t="s">
        <v>32</v>
      </c>
      <c r="X780" s="292" t="s">
        <v>18</v>
      </c>
      <c r="Y780" s="288" t="s">
        <v>377</v>
      </c>
      <c r="Z780" s="299" t="s">
        <v>32</v>
      </c>
      <c r="AA780" s="292" t="s">
        <v>18</v>
      </c>
      <c r="AB780" s="288" t="s">
        <v>377</v>
      </c>
      <c r="AC780" s="289" t="s">
        <v>377</v>
      </c>
      <c r="AD780" s="299" t="s">
        <v>32</v>
      </c>
      <c r="AE780" s="292" t="s">
        <v>18</v>
      </c>
      <c r="AF780" s="288" t="s">
        <v>377</v>
      </c>
      <c r="AG780" s="292" t="s">
        <v>18</v>
      </c>
      <c r="AH780" s="292" t="s">
        <v>18</v>
      </c>
      <c r="AI780" s="288" t="s">
        <v>18</v>
      </c>
      <c r="AJ780" s="299" t="s">
        <v>32</v>
      </c>
      <c r="AK780" s="292" t="s">
        <v>18</v>
      </c>
      <c r="AL780" s="288" t="s">
        <v>377</v>
      </c>
      <c r="AM780" s="292" t="s">
        <v>377</v>
      </c>
      <c r="AN780" s="299" t="s">
        <v>32</v>
      </c>
      <c r="AO780" s="295" t="s">
        <v>32</v>
      </c>
      <c r="AP780" s="289" t="s">
        <v>377</v>
      </c>
      <c r="AQ780" s="299" t="s">
        <v>32</v>
      </c>
      <c r="AR780" s="299" t="s">
        <v>32</v>
      </c>
      <c r="AS780" s="295" t="s">
        <v>32</v>
      </c>
      <c r="AT780" s="299" t="s">
        <v>32</v>
      </c>
      <c r="AU780" s="299" t="s">
        <v>32</v>
      </c>
      <c r="AV780" s="295" t="s">
        <v>32</v>
      </c>
      <c r="AW780" s="292" t="s">
        <v>377</v>
      </c>
      <c r="AX780" s="299" t="s">
        <v>32</v>
      </c>
      <c r="AY780" s="295" t="s">
        <v>32</v>
      </c>
      <c r="AZ780" s="292" t="s">
        <v>377</v>
      </c>
      <c r="BA780" s="299" t="s">
        <v>32</v>
      </c>
      <c r="BB780" s="295" t="s">
        <v>32</v>
      </c>
      <c r="BC780" s="296" t="s">
        <v>32</v>
      </c>
      <c r="BD780" s="287"/>
    </row>
    <row r="781" ht="12.75" customHeight="1">
      <c r="A781" s="293">
        <v>44785.44961282407</v>
      </c>
      <c r="B781" s="297" t="s">
        <v>504</v>
      </c>
      <c r="C781" s="298" t="s">
        <v>567</v>
      </c>
      <c r="D781" s="298" t="s">
        <v>16</v>
      </c>
      <c r="E781" s="285" t="s">
        <v>476</v>
      </c>
      <c r="F781" s="292" t="s">
        <v>1326</v>
      </c>
      <c r="G781" s="298" t="s">
        <v>21</v>
      </c>
      <c r="H781" s="298">
        <v>12.0</v>
      </c>
      <c r="I781" s="292" t="s">
        <v>479</v>
      </c>
      <c r="J781" s="292" t="s">
        <v>532</v>
      </c>
      <c r="K781" s="287" t="s">
        <v>532</v>
      </c>
      <c r="L781" s="292" t="s">
        <v>497</v>
      </c>
      <c r="M781" s="292" t="s">
        <v>586</v>
      </c>
      <c r="N781" s="292"/>
      <c r="O781" s="292"/>
      <c r="P781" s="292"/>
      <c r="Q781" s="299" t="s">
        <v>32</v>
      </c>
      <c r="R781" s="299" t="s">
        <v>32</v>
      </c>
      <c r="S781" s="295" t="s">
        <v>32</v>
      </c>
      <c r="T781" s="292" t="s">
        <v>18</v>
      </c>
      <c r="U781" s="299" t="s">
        <v>32</v>
      </c>
      <c r="V781" s="288" t="s">
        <v>377</v>
      </c>
      <c r="W781" s="292" t="s">
        <v>377</v>
      </c>
      <c r="X781" s="292" t="s">
        <v>18</v>
      </c>
      <c r="Y781" s="288" t="s">
        <v>377</v>
      </c>
      <c r="Z781" s="292" t="s">
        <v>18</v>
      </c>
      <c r="AA781" s="292" t="s">
        <v>18</v>
      </c>
      <c r="AB781" s="288" t="s">
        <v>18</v>
      </c>
      <c r="AC781" s="289" t="s">
        <v>377</v>
      </c>
      <c r="AD781" s="292" t="s">
        <v>18</v>
      </c>
      <c r="AE781" s="299" t="s">
        <v>32</v>
      </c>
      <c r="AF781" s="288" t="s">
        <v>377</v>
      </c>
      <c r="AG781" s="292" t="s">
        <v>18</v>
      </c>
      <c r="AH781" s="292" t="s">
        <v>377</v>
      </c>
      <c r="AI781" s="288" t="s">
        <v>377</v>
      </c>
      <c r="AJ781" s="292" t="s">
        <v>18</v>
      </c>
      <c r="AK781" s="292" t="s">
        <v>18</v>
      </c>
      <c r="AL781" s="288" t="s">
        <v>18</v>
      </c>
      <c r="AM781" s="292" t="s">
        <v>18</v>
      </c>
      <c r="AN781" s="292" t="s">
        <v>18</v>
      </c>
      <c r="AO781" s="288" t="s">
        <v>18</v>
      </c>
      <c r="AP781" s="289" t="s">
        <v>18</v>
      </c>
      <c r="AQ781" s="299" t="s">
        <v>32</v>
      </c>
      <c r="AR781" s="292" t="s">
        <v>377</v>
      </c>
      <c r="AS781" s="295" t="s">
        <v>32</v>
      </c>
      <c r="AT781" s="299" t="s">
        <v>32</v>
      </c>
      <c r="AU781" s="299" t="s">
        <v>32</v>
      </c>
      <c r="AV781" s="295" t="s">
        <v>32</v>
      </c>
      <c r="AW781" s="299" t="s">
        <v>32</v>
      </c>
      <c r="AX781" s="292" t="s">
        <v>377</v>
      </c>
      <c r="AY781" s="295" t="s">
        <v>32</v>
      </c>
      <c r="AZ781" s="299" t="s">
        <v>32</v>
      </c>
      <c r="BA781" s="299" t="s">
        <v>32</v>
      </c>
      <c r="BB781" s="295" t="s">
        <v>32</v>
      </c>
      <c r="BC781" s="296" t="s">
        <v>32</v>
      </c>
      <c r="BD781" s="287"/>
    </row>
    <row r="782" ht="12.75" customHeight="1">
      <c r="A782" s="293">
        <v>44785.45430626157</v>
      </c>
      <c r="B782" s="297" t="s">
        <v>504</v>
      </c>
      <c r="C782" s="298" t="s">
        <v>567</v>
      </c>
      <c r="D782" s="298" t="s">
        <v>16</v>
      </c>
      <c r="E782" s="285" t="s">
        <v>476</v>
      </c>
      <c r="F782" s="292" t="s">
        <v>540</v>
      </c>
      <c r="G782" s="298" t="s">
        <v>21</v>
      </c>
      <c r="H782" s="298">
        <v>12.0</v>
      </c>
      <c r="I782" s="292" t="s">
        <v>479</v>
      </c>
      <c r="J782" s="292" t="s">
        <v>532</v>
      </c>
      <c r="K782" s="287" t="s">
        <v>532</v>
      </c>
      <c r="L782" s="292" t="s">
        <v>497</v>
      </c>
      <c r="M782" s="292" t="s">
        <v>586</v>
      </c>
      <c r="N782" s="292"/>
      <c r="O782" s="292"/>
      <c r="P782" s="292"/>
      <c r="Q782" s="299" t="s">
        <v>32</v>
      </c>
      <c r="R782" s="292" t="s">
        <v>18</v>
      </c>
      <c r="S782" s="288" t="s">
        <v>377</v>
      </c>
      <c r="T782" s="292" t="s">
        <v>18</v>
      </c>
      <c r="U782" s="299" t="s">
        <v>32</v>
      </c>
      <c r="V782" s="288" t="s">
        <v>377</v>
      </c>
      <c r="W782" s="299" t="s">
        <v>32</v>
      </c>
      <c r="X782" s="292" t="s">
        <v>18</v>
      </c>
      <c r="Y782" s="288" t="s">
        <v>377</v>
      </c>
      <c r="Z782" s="299" t="s">
        <v>32</v>
      </c>
      <c r="AA782" s="292" t="s">
        <v>18</v>
      </c>
      <c r="AB782" s="288" t="s">
        <v>377</v>
      </c>
      <c r="AC782" s="289" t="s">
        <v>377</v>
      </c>
      <c r="AD782" s="299" t="s">
        <v>32</v>
      </c>
      <c r="AE782" s="292" t="s">
        <v>377</v>
      </c>
      <c r="AF782" s="295" t="s">
        <v>32</v>
      </c>
      <c r="AG782" s="292" t="s">
        <v>377</v>
      </c>
      <c r="AH782" s="292" t="s">
        <v>18</v>
      </c>
      <c r="AI782" s="288" t="s">
        <v>377</v>
      </c>
      <c r="AJ782" s="292" t="s">
        <v>18</v>
      </c>
      <c r="AK782" s="292" t="s">
        <v>18</v>
      </c>
      <c r="AL782" s="288" t="s">
        <v>18</v>
      </c>
      <c r="AM782" s="292" t="s">
        <v>18</v>
      </c>
      <c r="AN782" s="292" t="s">
        <v>18</v>
      </c>
      <c r="AO782" s="288" t="s">
        <v>18</v>
      </c>
      <c r="AP782" s="289" t="s">
        <v>377</v>
      </c>
      <c r="AQ782" s="299" t="s">
        <v>32</v>
      </c>
      <c r="AR782" s="299" t="s">
        <v>32</v>
      </c>
      <c r="AS782" s="295" t="s">
        <v>32</v>
      </c>
      <c r="AT782" s="299" t="s">
        <v>32</v>
      </c>
      <c r="AU782" s="299" t="s">
        <v>32</v>
      </c>
      <c r="AV782" s="295" t="s">
        <v>32</v>
      </c>
      <c r="AW782" s="299" t="s">
        <v>32</v>
      </c>
      <c r="AX782" s="292" t="s">
        <v>377</v>
      </c>
      <c r="AY782" s="295" t="s">
        <v>32</v>
      </c>
      <c r="AZ782" s="299" t="s">
        <v>32</v>
      </c>
      <c r="BA782" s="299" t="s">
        <v>32</v>
      </c>
      <c r="BB782" s="288" t="s">
        <v>377</v>
      </c>
      <c r="BC782" s="289" t="s">
        <v>377</v>
      </c>
      <c r="BD782" s="287"/>
    </row>
    <row r="783" ht="12.75" customHeight="1">
      <c r="A783" s="293">
        <v>44785.46020028935</v>
      </c>
      <c r="B783" s="297" t="s">
        <v>504</v>
      </c>
      <c r="C783" s="298" t="s">
        <v>567</v>
      </c>
      <c r="D783" s="298" t="s">
        <v>16</v>
      </c>
      <c r="E783" s="285" t="s">
        <v>476</v>
      </c>
      <c r="F783" s="292" t="s">
        <v>1327</v>
      </c>
      <c r="G783" s="298" t="s">
        <v>17</v>
      </c>
      <c r="H783" s="298">
        <v>11.0</v>
      </c>
      <c r="I783" s="292" t="s">
        <v>479</v>
      </c>
      <c r="J783" s="292" t="s">
        <v>532</v>
      </c>
      <c r="K783" s="287" t="s">
        <v>532</v>
      </c>
      <c r="L783" s="292" t="s">
        <v>497</v>
      </c>
      <c r="M783" s="292" t="s">
        <v>586</v>
      </c>
      <c r="N783" s="292"/>
      <c r="O783" s="292"/>
      <c r="P783" s="292"/>
      <c r="Q783" s="299" t="s">
        <v>32</v>
      </c>
      <c r="R783" s="299" t="s">
        <v>32</v>
      </c>
      <c r="S783" s="295" t="s">
        <v>32</v>
      </c>
      <c r="T783" s="292" t="s">
        <v>18</v>
      </c>
      <c r="U783" s="299" t="s">
        <v>32</v>
      </c>
      <c r="V783" s="288" t="s">
        <v>377</v>
      </c>
      <c r="W783" s="292" t="s">
        <v>18</v>
      </c>
      <c r="X783" s="292" t="s">
        <v>18</v>
      </c>
      <c r="Y783" s="288" t="s">
        <v>18</v>
      </c>
      <c r="Z783" s="299" t="s">
        <v>32</v>
      </c>
      <c r="AA783" s="292" t="s">
        <v>18</v>
      </c>
      <c r="AB783" s="288" t="s">
        <v>377</v>
      </c>
      <c r="AC783" s="289" t="s">
        <v>377</v>
      </c>
      <c r="AD783" s="292" t="s">
        <v>18</v>
      </c>
      <c r="AE783" s="299" t="s">
        <v>32</v>
      </c>
      <c r="AF783" s="288" t="s">
        <v>377</v>
      </c>
      <c r="AG783" s="292" t="s">
        <v>377</v>
      </c>
      <c r="AH783" s="292" t="s">
        <v>18</v>
      </c>
      <c r="AI783" s="288" t="s">
        <v>377</v>
      </c>
      <c r="AJ783" s="292" t="s">
        <v>18</v>
      </c>
      <c r="AK783" s="292" t="s">
        <v>18</v>
      </c>
      <c r="AL783" s="288" t="s">
        <v>18</v>
      </c>
      <c r="AM783" s="292" t="s">
        <v>18</v>
      </c>
      <c r="AN783" s="292" t="s">
        <v>18</v>
      </c>
      <c r="AO783" s="288" t="s">
        <v>18</v>
      </c>
      <c r="AP783" s="289" t="s">
        <v>18</v>
      </c>
      <c r="AQ783" s="299" t="s">
        <v>32</v>
      </c>
      <c r="AR783" s="299" t="s">
        <v>32</v>
      </c>
      <c r="AS783" s="295" t="s">
        <v>32</v>
      </c>
      <c r="AT783" s="299" t="s">
        <v>32</v>
      </c>
      <c r="AU783" s="299" t="s">
        <v>32</v>
      </c>
      <c r="AV783" s="295" t="s">
        <v>32</v>
      </c>
      <c r="AW783" s="292" t="s">
        <v>377</v>
      </c>
      <c r="AX783" s="292" t="s">
        <v>18</v>
      </c>
      <c r="AY783" s="288" t="s">
        <v>377</v>
      </c>
      <c r="AZ783" s="299" t="s">
        <v>32</v>
      </c>
      <c r="BA783" s="299" t="s">
        <v>32</v>
      </c>
      <c r="BB783" s="295" t="s">
        <v>32</v>
      </c>
      <c r="BC783" s="296" t="s">
        <v>32</v>
      </c>
      <c r="BD783" s="287"/>
    </row>
    <row r="784" ht="12.75" customHeight="1">
      <c r="A784" s="293">
        <v>44785.465122118054</v>
      </c>
      <c r="B784" s="297" t="s">
        <v>504</v>
      </c>
      <c r="C784" s="298" t="s">
        <v>567</v>
      </c>
      <c r="D784" s="298" t="s">
        <v>16</v>
      </c>
      <c r="E784" s="285" t="s">
        <v>476</v>
      </c>
      <c r="F784" s="292" t="s">
        <v>1328</v>
      </c>
      <c r="G784" s="298" t="s">
        <v>21</v>
      </c>
      <c r="H784" s="298">
        <v>12.0</v>
      </c>
      <c r="I784" s="292" t="s">
        <v>479</v>
      </c>
      <c r="J784" s="292" t="s">
        <v>532</v>
      </c>
      <c r="K784" s="287" t="s">
        <v>532</v>
      </c>
      <c r="L784" s="292" t="s">
        <v>497</v>
      </c>
      <c r="M784" s="292" t="s">
        <v>586</v>
      </c>
      <c r="N784" s="292"/>
      <c r="O784" s="292"/>
      <c r="P784" s="292"/>
      <c r="Q784" s="299" t="s">
        <v>32</v>
      </c>
      <c r="R784" s="299" t="s">
        <v>32</v>
      </c>
      <c r="S784" s="295" t="s">
        <v>32</v>
      </c>
      <c r="T784" s="299" t="s">
        <v>32</v>
      </c>
      <c r="U784" s="299" t="s">
        <v>32</v>
      </c>
      <c r="V784" s="295" t="s">
        <v>32</v>
      </c>
      <c r="W784" s="292" t="s">
        <v>377</v>
      </c>
      <c r="X784" s="292" t="s">
        <v>18</v>
      </c>
      <c r="Y784" s="288" t="s">
        <v>377</v>
      </c>
      <c r="Z784" s="299" t="s">
        <v>32</v>
      </c>
      <c r="AA784" s="292" t="s">
        <v>18</v>
      </c>
      <c r="AB784" s="288" t="s">
        <v>377</v>
      </c>
      <c r="AC784" s="289" t="s">
        <v>377</v>
      </c>
      <c r="AD784" s="292" t="s">
        <v>377</v>
      </c>
      <c r="AE784" s="292" t="s">
        <v>377</v>
      </c>
      <c r="AF784" s="288" t="s">
        <v>377</v>
      </c>
      <c r="AG784" s="292" t="s">
        <v>18</v>
      </c>
      <c r="AH784" s="292" t="s">
        <v>18</v>
      </c>
      <c r="AI784" s="288" t="s">
        <v>18</v>
      </c>
      <c r="AJ784" s="292" t="s">
        <v>377</v>
      </c>
      <c r="AK784" s="292" t="s">
        <v>18</v>
      </c>
      <c r="AL784" s="288" t="s">
        <v>377</v>
      </c>
      <c r="AM784" s="292" t="s">
        <v>18</v>
      </c>
      <c r="AN784" s="292" t="s">
        <v>18</v>
      </c>
      <c r="AO784" s="288" t="s">
        <v>18</v>
      </c>
      <c r="AP784" s="289" t="s">
        <v>18</v>
      </c>
      <c r="AQ784" s="299" t="s">
        <v>32</v>
      </c>
      <c r="AR784" s="299" t="s">
        <v>32</v>
      </c>
      <c r="AS784" s="295" t="s">
        <v>32</v>
      </c>
      <c r="AT784" s="299" t="s">
        <v>32</v>
      </c>
      <c r="AU784" s="299" t="s">
        <v>32</v>
      </c>
      <c r="AV784" s="295" t="s">
        <v>32</v>
      </c>
      <c r="AW784" s="292" t="s">
        <v>377</v>
      </c>
      <c r="AX784" s="292" t="s">
        <v>377</v>
      </c>
      <c r="AY784" s="288" t="s">
        <v>377</v>
      </c>
      <c r="AZ784" s="299" t="s">
        <v>32</v>
      </c>
      <c r="BA784" s="299" t="s">
        <v>32</v>
      </c>
      <c r="BB784" s="295" t="s">
        <v>32</v>
      </c>
      <c r="BC784" s="296" t="s">
        <v>32</v>
      </c>
      <c r="BD784" s="287"/>
    </row>
    <row r="785" ht="12.75" customHeight="1">
      <c r="A785" s="293">
        <v>44785.46732797453</v>
      </c>
      <c r="B785" s="297" t="s">
        <v>504</v>
      </c>
      <c r="C785" s="298" t="s">
        <v>567</v>
      </c>
      <c r="D785" s="298" t="s">
        <v>16</v>
      </c>
      <c r="E785" s="285" t="s">
        <v>476</v>
      </c>
      <c r="F785" s="292" t="s">
        <v>1329</v>
      </c>
      <c r="G785" s="298" t="s">
        <v>17</v>
      </c>
      <c r="H785" s="298">
        <v>11.0</v>
      </c>
      <c r="I785" s="292" t="s">
        <v>479</v>
      </c>
      <c r="J785" s="292" t="s">
        <v>532</v>
      </c>
      <c r="K785" s="287" t="s">
        <v>532</v>
      </c>
      <c r="L785" s="292" t="s">
        <v>497</v>
      </c>
      <c r="M785" s="292" t="s">
        <v>586</v>
      </c>
      <c r="N785" s="292"/>
      <c r="O785" s="292"/>
      <c r="P785" s="292"/>
      <c r="Q785" s="292" t="s">
        <v>377</v>
      </c>
      <c r="R785" s="299" t="s">
        <v>32</v>
      </c>
      <c r="S785" s="295" t="s">
        <v>32</v>
      </c>
      <c r="T785" s="292" t="s">
        <v>18</v>
      </c>
      <c r="U785" s="299" t="s">
        <v>32</v>
      </c>
      <c r="V785" s="288" t="s">
        <v>377</v>
      </c>
      <c r="W785" s="292" t="s">
        <v>18</v>
      </c>
      <c r="X785" s="292" t="s">
        <v>377</v>
      </c>
      <c r="Y785" s="288" t="s">
        <v>377</v>
      </c>
      <c r="Z785" s="292" t="s">
        <v>377</v>
      </c>
      <c r="AA785" s="292" t="s">
        <v>18</v>
      </c>
      <c r="AB785" s="288" t="s">
        <v>377</v>
      </c>
      <c r="AC785" s="289" t="s">
        <v>377</v>
      </c>
      <c r="AD785" s="292" t="s">
        <v>18</v>
      </c>
      <c r="AE785" s="292" t="s">
        <v>377</v>
      </c>
      <c r="AF785" s="288" t="s">
        <v>377</v>
      </c>
      <c r="AG785" s="292" t="s">
        <v>18</v>
      </c>
      <c r="AH785" s="292" t="s">
        <v>18</v>
      </c>
      <c r="AI785" s="288" t="s">
        <v>18</v>
      </c>
      <c r="AJ785" s="292" t="s">
        <v>18</v>
      </c>
      <c r="AK785" s="292" t="s">
        <v>377</v>
      </c>
      <c r="AL785" s="288" t="s">
        <v>377</v>
      </c>
      <c r="AM785" s="292" t="s">
        <v>377</v>
      </c>
      <c r="AN785" s="299" t="s">
        <v>32</v>
      </c>
      <c r="AO785" s="295" t="s">
        <v>32</v>
      </c>
      <c r="AP785" s="289" t="s">
        <v>377</v>
      </c>
      <c r="AQ785" s="299" t="s">
        <v>32</v>
      </c>
      <c r="AR785" s="292" t="s">
        <v>18</v>
      </c>
      <c r="AS785" s="288" t="s">
        <v>377</v>
      </c>
      <c r="AT785" s="299" t="s">
        <v>32</v>
      </c>
      <c r="AU785" s="299" t="s">
        <v>32</v>
      </c>
      <c r="AV785" s="295" t="s">
        <v>32</v>
      </c>
      <c r="AW785" s="292" t="s">
        <v>377</v>
      </c>
      <c r="AX785" s="292" t="s">
        <v>18</v>
      </c>
      <c r="AY785" s="288" t="s">
        <v>377</v>
      </c>
      <c r="AZ785" s="299" t="s">
        <v>32</v>
      </c>
      <c r="BA785" s="299" t="s">
        <v>32</v>
      </c>
      <c r="BB785" s="295" t="s">
        <v>32</v>
      </c>
      <c r="BC785" s="296" t="s">
        <v>32</v>
      </c>
      <c r="BD785" s="287"/>
    </row>
    <row r="786" ht="12.75" customHeight="1">
      <c r="A786" s="293">
        <v>44785.46924332176</v>
      </c>
      <c r="B786" s="297" t="s">
        <v>504</v>
      </c>
      <c r="C786" s="298" t="s">
        <v>567</v>
      </c>
      <c r="D786" s="298" t="s">
        <v>16</v>
      </c>
      <c r="E786" s="285" t="s">
        <v>476</v>
      </c>
      <c r="F786" s="292" t="s">
        <v>541</v>
      </c>
      <c r="G786" s="298" t="s">
        <v>17</v>
      </c>
      <c r="H786" s="298">
        <v>12.0</v>
      </c>
      <c r="I786" s="292" t="s">
        <v>479</v>
      </c>
      <c r="J786" s="292" t="s">
        <v>532</v>
      </c>
      <c r="K786" s="287" t="s">
        <v>532</v>
      </c>
      <c r="L786" s="292" t="s">
        <v>497</v>
      </c>
      <c r="M786" s="292" t="s">
        <v>586</v>
      </c>
      <c r="N786" s="292"/>
      <c r="O786" s="292"/>
      <c r="P786" s="292"/>
      <c r="Q786" s="292" t="s">
        <v>377</v>
      </c>
      <c r="R786" s="292" t="s">
        <v>18</v>
      </c>
      <c r="S786" s="288" t="s">
        <v>377</v>
      </c>
      <c r="T786" s="292" t="s">
        <v>18</v>
      </c>
      <c r="U786" s="299" t="s">
        <v>32</v>
      </c>
      <c r="V786" s="288" t="s">
        <v>377</v>
      </c>
      <c r="W786" s="292" t="s">
        <v>18</v>
      </c>
      <c r="X786" s="292" t="s">
        <v>18</v>
      </c>
      <c r="Y786" s="288" t="s">
        <v>18</v>
      </c>
      <c r="Z786" s="299" t="s">
        <v>32</v>
      </c>
      <c r="AA786" s="292" t="s">
        <v>18</v>
      </c>
      <c r="AB786" s="288" t="s">
        <v>377</v>
      </c>
      <c r="AC786" s="289" t="s">
        <v>377</v>
      </c>
      <c r="AD786" s="292" t="s">
        <v>377</v>
      </c>
      <c r="AE786" s="292" t="s">
        <v>18</v>
      </c>
      <c r="AF786" s="288" t="s">
        <v>377</v>
      </c>
      <c r="AG786" s="292" t="s">
        <v>377</v>
      </c>
      <c r="AH786" s="292" t="s">
        <v>18</v>
      </c>
      <c r="AI786" s="288" t="s">
        <v>377</v>
      </c>
      <c r="AJ786" s="292" t="s">
        <v>18</v>
      </c>
      <c r="AK786" s="292" t="s">
        <v>377</v>
      </c>
      <c r="AL786" s="288" t="s">
        <v>377</v>
      </c>
      <c r="AM786" s="292" t="s">
        <v>18</v>
      </c>
      <c r="AN786" s="292" t="s">
        <v>377</v>
      </c>
      <c r="AO786" s="288" t="s">
        <v>377</v>
      </c>
      <c r="AP786" s="289" t="s">
        <v>377</v>
      </c>
      <c r="AQ786" s="292" t="s">
        <v>18</v>
      </c>
      <c r="AR786" s="292" t="s">
        <v>18</v>
      </c>
      <c r="AS786" s="288" t="s">
        <v>18</v>
      </c>
      <c r="AT786" s="292" t="s">
        <v>377</v>
      </c>
      <c r="AU786" s="292" t="s">
        <v>18</v>
      </c>
      <c r="AV786" s="288" t="s">
        <v>377</v>
      </c>
      <c r="AW786" s="292" t="s">
        <v>18</v>
      </c>
      <c r="AX786" s="292" t="s">
        <v>18</v>
      </c>
      <c r="AY786" s="288" t="s">
        <v>18</v>
      </c>
      <c r="AZ786" s="299" t="s">
        <v>32</v>
      </c>
      <c r="BA786" s="292" t="s">
        <v>18</v>
      </c>
      <c r="BB786" s="295" t="s">
        <v>32</v>
      </c>
      <c r="BC786" s="296" t="s">
        <v>32</v>
      </c>
      <c r="BD786" s="287"/>
    </row>
    <row r="787" ht="12.75" customHeight="1">
      <c r="A787" s="293">
        <v>44785.47153552083</v>
      </c>
      <c r="B787" s="297" t="s">
        <v>504</v>
      </c>
      <c r="C787" s="298" t="s">
        <v>567</v>
      </c>
      <c r="D787" s="298" t="s">
        <v>16</v>
      </c>
      <c r="E787" s="285" t="s">
        <v>476</v>
      </c>
      <c r="F787" s="292" t="s">
        <v>1330</v>
      </c>
      <c r="G787" s="298" t="s">
        <v>21</v>
      </c>
      <c r="H787" s="298">
        <v>11.0</v>
      </c>
      <c r="I787" s="292" t="s">
        <v>479</v>
      </c>
      <c r="J787" s="292" t="s">
        <v>532</v>
      </c>
      <c r="K787" s="287" t="s">
        <v>532</v>
      </c>
      <c r="L787" s="292" t="s">
        <v>497</v>
      </c>
      <c r="M787" s="292" t="s">
        <v>586</v>
      </c>
      <c r="N787" s="292"/>
      <c r="O787" s="292"/>
      <c r="P787" s="292"/>
      <c r="Q787" s="299" t="s">
        <v>32</v>
      </c>
      <c r="R787" s="299" t="s">
        <v>32</v>
      </c>
      <c r="S787" s="295" t="s">
        <v>32</v>
      </c>
      <c r="T787" s="292" t="s">
        <v>18</v>
      </c>
      <c r="U787" s="292" t="s">
        <v>18</v>
      </c>
      <c r="V787" s="288" t="s">
        <v>18</v>
      </c>
      <c r="W787" s="299" t="s">
        <v>32</v>
      </c>
      <c r="X787" s="299" t="s">
        <v>32</v>
      </c>
      <c r="Y787" s="295" t="s">
        <v>32</v>
      </c>
      <c r="Z787" s="292" t="s">
        <v>18</v>
      </c>
      <c r="AA787" s="292" t="s">
        <v>18</v>
      </c>
      <c r="AB787" s="288" t="s">
        <v>18</v>
      </c>
      <c r="AC787" s="289" t="s">
        <v>377</v>
      </c>
      <c r="AD787" s="292" t="s">
        <v>377</v>
      </c>
      <c r="AE787" s="292" t="s">
        <v>18</v>
      </c>
      <c r="AF787" s="288" t="s">
        <v>377</v>
      </c>
      <c r="AG787" s="292" t="s">
        <v>377</v>
      </c>
      <c r="AH787" s="292" t="s">
        <v>18</v>
      </c>
      <c r="AI787" s="288" t="s">
        <v>377</v>
      </c>
      <c r="AJ787" s="292" t="s">
        <v>377</v>
      </c>
      <c r="AK787" s="299" t="s">
        <v>32</v>
      </c>
      <c r="AL787" s="295" t="s">
        <v>32</v>
      </c>
      <c r="AM787" s="292" t="s">
        <v>18</v>
      </c>
      <c r="AN787" s="292" t="s">
        <v>377</v>
      </c>
      <c r="AO787" s="288" t="s">
        <v>377</v>
      </c>
      <c r="AP787" s="289" t="s">
        <v>377</v>
      </c>
      <c r="AQ787" s="292" t="s">
        <v>18</v>
      </c>
      <c r="AR787" s="299" t="s">
        <v>32</v>
      </c>
      <c r="AS787" s="288" t="s">
        <v>377</v>
      </c>
      <c r="AT787" s="299" t="s">
        <v>32</v>
      </c>
      <c r="AU787" s="299" t="s">
        <v>32</v>
      </c>
      <c r="AV787" s="295" t="s">
        <v>32</v>
      </c>
      <c r="AW787" s="299" t="s">
        <v>32</v>
      </c>
      <c r="AX787" s="292" t="s">
        <v>18</v>
      </c>
      <c r="AY787" s="288" t="s">
        <v>377</v>
      </c>
      <c r="AZ787" s="299" t="s">
        <v>32</v>
      </c>
      <c r="BA787" s="299" t="s">
        <v>32</v>
      </c>
      <c r="BB787" s="295" t="s">
        <v>32</v>
      </c>
      <c r="BC787" s="296" t="s">
        <v>32</v>
      </c>
      <c r="BD787" s="287"/>
    </row>
    <row r="788" ht="12.75" customHeight="1">
      <c r="A788" s="293">
        <v>44785.476979479165</v>
      </c>
      <c r="B788" s="297" t="s">
        <v>504</v>
      </c>
      <c r="C788" s="298" t="s">
        <v>567</v>
      </c>
      <c r="D788" s="298" t="s">
        <v>16</v>
      </c>
      <c r="E788" s="285" t="s">
        <v>476</v>
      </c>
      <c r="F788" s="292" t="s">
        <v>1331</v>
      </c>
      <c r="G788" s="298" t="s">
        <v>17</v>
      </c>
      <c r="H788" s="298">
        <v>12.0</v>
      </c>
      <c r="I788" s="292" t="s">
        <v>479</v>
      </c>
      <c r="J788" s="292" t="s">
        <v>532</v>
      </c>
      <c r="K788" s="287" t="s">
        <v>532</v>
      </c>
      <c r="L788" s="292" t="s">
        <v>497</v>
      </c>
      <c r="M788" s="292" t="s">
        <v>586</v>
      </c>
      <c r="N788" s="292"/>
      <c r="O788" s="292"/>
      <c r="P788" s="292"/>
      <c r="Q788" s="292" t="s">
        <v>377</v>
      </c>
      <c r="R788" s="299" t="s">
        <v>32</v>
      </c>
      <c r="S788" s="295" t="s">
        <v>32</v>
      </c>
      <c r="T788" s="292" t="s">
        <v>18</v>
      </c>
      <c r="U788" s="299" t="s">
        <v>32</v>
      </c>
      <c r="V788" s="288" t="s">
        <v>377</v>
      </c>
      <c r="W788" s="299" t="s">
        <v>32</v>
      </c>
      <c r="X788" s="299" t="s">
        <v>32</v>
      </c>
      <c r="Y788" s="295" t="s">
        <v>32</v>
      </c>
      <c r="Z788" s="292" t="s">
        <v>377</v>
      </c>
      <c r="AA788" s="292" t="s">
        <v>377</v>
      </c>
      <c r="AB788" s="288" t="s">
        <v>377</v>
      </c>
      <c r="AC788" s="289" t="s">
        <v>377</v>
      </c>
      <c r="AD788" s="292" t="s">
        <v>377</v>
      </c>
      <c r="AE788" s="299" t="s">
        <v>32</v>
      </c>
      <c r="AF788" s="295" t="s">
        <v>32</v>
      </c>
      <c r="AG788" s="292" t="s">
        <v>18</v>
      </c>
      <c r="AH788" s="292" t="s">
        <v>18</v>
      </c>
      <c r="AI788" s="288" t="s">
        <v>18</v>
      </c>
      <c r="AJ788" s="299" t="s">
        <v>32</v>
      </c>
      <c r="AK788" s="292" t="s">
        <v>377</v>
      </c>
      <c r="AL788" s="295" t="s">
        <v>32</v>
      </c>
      <c r="AM788" s="299" t="s">
        <v>32</v>
      </c>
      <c r="AN788" s="292" t="s">
        <v>18</v>
      </c>
      <c r="AO788" s="288" t="s">
        <v>377</v>
      </c>
      <c r="AP788" s="289" t="s">
        <v>377</v>
      </c>
      <c r="AQ788" s="292" t="s">
        <v>18</v>
      </c>
      <c r="AR788" s="292" t="s">
        <v>377</v>
      </c>
      <c r="AS788" s="288" t="s">
        <v>377</v>
      </c>
      <c r="AT788" s="299" t="s">
        <v>32</v>
      </c>
      <c r="AU788" s="299" t="s">
        <v>32</v>
      </c>
      <c r="AV788" s="295" t="s">
        <v>32</v>
      </c>
      <c r="AW788" s="292" t="s">
        <v>18</v>
      </c>
      <c r="AX788" s="292" t="s">
        <v>377</v>
      </c>
      <c r="AY788" s="288" t="s">
        <v>377</v>
      </c>
      <c r="AZ788" s="292" t="s">
        <v>18</v>
      </c>
      <c r="BA788" s="292" t="s">
        <v>377</v>
      </c>
      <c r="BB788" s="295" t="s">
        <v>32</v>
      </c>
      <c r="BC788" s="296" t="s">
        <v>32</v>
      </c>
      <c r="BD788" s="287"/>
    </row>
    <row r="789" ht="12.75" customHeight="1">
      <c r="A789" s="293">
        <v>44785.47855054398</v>
      </c>
      <c r="B789" s="297" t="s">
        <v>504</v>
      </c>
      <c r="C789" s="298" t="s">
        <v>567</v>
      </c>
      <c r="D789" s="298" t="s">
        <v>16</v>
      </c>
      <c r="E789" s="285" t="s">
        <v>476</v>
      </c>
      <c r="F789" s="292" t="s">
        <v>1332</v>
      </c>
      <c r="G789" s="298" t="s">
        <v>17</v>
      </c>
      <c r="H789" s="298">
        <v>11.0</v>
      </c>
      <c r="I789" s="292" t="s">
        <v>479</v>
      </c>
      <c r="J789" s="292" t="s">
        <v>532</v>
      </c>
      <c r="K789" s="287" t="s">
        <v>532</v>
      </c>
      <c r="L789" s="292" t="s">
        <v>497</v>
      </c>
      <c r="M789" s="292" t="s">
        <v>586</v>
      </c>
      <c r="N789" s="292"/>
      <c r="O789" s="292"/>
      <c r="P789" s="292"/>
      <c r="Q789" s="299" t="s">
        <v>32</v>
      </c>
      <c r="R789" s="299" t="s">
        <v>32</v>
      </c>
      <c r="S789" s="295" t="s">
        <v>32</v>
      </c>
      <c r="T789" s="292" t="s">
        <v>18</v>
      </c>
      <c r="U789" s="299" t="s">
        <v>32</v>
      </c>
      <c r="V789" s="288" t="s">
        <v>377</v>
      </c>
      <c r="W789" s="292" t="s">
        <v>18</v>
      </c>
      <c r="X789" s="299" t="s">
        <v>32</v>
      </c>
      <c r="Y789" s="288" t="s">
        <v>377</v>
      </c>
      <c r="Z789" s="299" t="s">
        <v>32</v>
      </c>
      <c r="AA789" s="292" t="s">
        <v>18</v>
      </c>
      <c r="AB789" s="288" t="s">
        <v>377</v>
      </c>
      <c r="AC789" s="289" t="s">
        <v>377</v>
      </c>
      <c r="AD789" s="292" t="s">
        <v>18</v>
      </c>
      <c r="AE789" s="299" t="s">
        <v>32</v>
      </c>
      <c r="AF789" s="288" t="s">
        <v>377</v>
      </c>
      <c r="AG789" s="292" t="s">
        <v>18</v>
      </c>
      <c r="AH789" s="292" t="s">
        <v>18</v>
      </c>
      <c r="AI789" s="288" t="s">
        <v>18</v>
      </c>
      <c r="AJ789" s="292" t="s">
        <v>18</v>
      </c>
      <c r="AK789" s="292" t="s">
        <v>18</v>
      </c>
      <c r="AL789" s="288" t="s">
        <v>18</v>
      </c>
      <c r="AM789" s="292" t="s">
        <v>377</v>
      </c>
      <c r="AN789" s="292" t="s">
        <v>18</v>
      </c>
      <c r="AO789" s="288" t="s">
        <v>377</v>
      </c>
      <c r="AP789" s="289" t="s">
        <v>18</v>
      </c>
      <c r="AQ789" s="292" t="s">
        <v>18</v>
      </c>
      <c r="AR789" s="299" t="s">
        <v>32</v>
      </c>
      <c r="AS789" s="288" t="s">
        <v>377</v>
      </c>
      <c r="AT789" s="299" t="s">
        <v>32</v>
      </c>
      <c r="AU789" s="292" t="s">
        <v>377</v>
      </c>
      <c r="AV789" s="295" t="s">
        <v>32</v>
      </c>
      <c r="AW789" s="299" t="s">
        <v>32</v>
      </c>
      <c r="AX789" s="292" t="s">
        <v>18</v>
      </c>
      <c r="AY789" s="288" t="s">
        <v>377</v>
      </c>
      <c r="AZ789" s="299" t="s">
        <v>32</v>
      </c>
      <c r="BA789" s="299" t="s">
        <v>32</v>
      </c>
      <c r="BB789" s="295" t="s">
        <v>32</v>
      </c>
      <c r="BC789" s="296" t="s">
        <v>32</v>
      </c>
      <c r="BD789" s="287"/>
    </row>
    <row r="790" ht="12.75" customHeight="1">
      <c r="A790" s="293">
        <v>44785.48071142361</v>
      </c>
      <c r="B790" s="297" t="s">
        <v>504</v>
      </c>
      <c r="C790" s="298" t="s">
        <v>567</v>
      </c>
      <c r="D790" s="298" t="s">
        <v>16</v>
      </c>
      <c r="E790" s="285" t="s">
        <v>476</v>
      </c>
      <c r="F790" s="292" t="s">
        <v>542</v>
      </c>
      <c r="G790" s="298" t="s">
        <v>17</v>
      </c>
      <c r="H790" s="298">
        <v>11.0</v>
      </c>
      <c r="I790" s="292" t="s">
        <v>479</v>
      </c>
      <c r="J790" s="292" t="s">
        <v>532</v>
      </c>
      <c r="K790" s="287" t="s">
        <v>532</v>
      </c>
      <c r="L790" s="292" t="s">
        <v>497</v>
      </c>
      <c r="M790" s="292" t="s">
        <v>586</v>
      </c>
      <c r="N790" s="292"/>
      <c r="O790" s="292"/>
      <c r="P790" s="292"/>
      <c r="Q790" s="292" t="s">
        <v>377</v>
      </c>
      <c r="R790" s="292" t="s">
        <v>18</v>
      </c>
      <c r="S790" s="288" t="s">
        <v>377</v>
      </c>
      <c r="T790" s="299" t="s">
        <v>32</v>
      </c>
      <c r="U790" s="299" t="s">
        <v>32</v>
      </c>
      <c r="V790" s="295" t="s">
        <v>32</v>
      </c>
      <c r="W790" s="292" t="s">
        <v>18</v>
      </c>
      <c r="X790" s="292" t="s">
        <v>18</v>
      </c>
      <c r="Y790" s="288" t="s">
        <v>18</v>
      </c>
      <c r="Z790" s="292" t="s">
        <v>377</v>
      </c>
      <c r="AA790" s="292" t="s">
        <v>377</v>
      </c>
      <c r="AB790" s="288" t="s">
        <v>377</v>
      </c>
      <c r="AC790" s="289" t="s">
        <v>377</v>
      </c>
      <c r="AD790" s="292" t="s">
        <v>377</v>
      </c>
      <c r="AE790" s="292" t="s">
        <v>18</v>
      </c>
      <c r="AF790" s="288" t="s">
        <v>377</v>
      </c>
      <c r="AG790" s="292" t="s">
        <v>377</v>
      </c>
      <c r="AH790" s="292" t="s">
        <v>18</v>
      </c>
      <c r="AI790" s="288" t="s">
        <v>377</v>
      </c>
      <c r="AJ790" s="292" t="s">
        <v>18</v>
      </c>
      <c r="AK790" s="292" t="s">
        <v>18</v>
      </c>
      <c r="AL790" s="288" t="s">
        <v>18</v>
      </c>
      <c r="AM790" s="292" t="s">
        <v>18</v>
      </c>
      <c r="AN790" s="292" t="s">
        <v>18</v>
      </c>
      <c r="AO790" s="288" t="s">
        <v>18</v>
      </c>
      <c r="AP790" s="289" t="s">
        <v>18</v>
      </c>
      <c r="AQ790" s="299" t="s">
        <v>32</v>
      </c>
      <c r="AR790" s="292" t="s">
        <v>18</v>
      </c>
      <c r="AS790" s="288" t="s">
        <v>377</v>
      </c>
      <c r="AT790" s="299" t="s">
        <v>32</v>
      </c>
      <c r="AU790" s="299" t="s">
        <v>32</v>
      </c>
      <c r="AV790" s="295" t="s">
        <v>32</v>
      </c>
      <c r="AW790" s="292" t="s">
        <v>18</v>
      </c>
      <c r="AX790" s="292" t="s">
        <v>18</v>
      </c>
      <c r="AY790" s="288" t="s">
        <v>18</v>
      </c>
      <c r="AZ790" s="299" t="s">
        <v>32</v>
      </c>
      <c r="BA790" s="299" t="s">
        <v>32</v>
      </c>
      <c r="BB790" s="288" t="s">
        <v>377</v>
      </c>
      <c r="BC790" s="296" t="s">
        <v>32</v>
      </c>
      <c r="BD790" s="287"/>
    </row>
    <row r="791" ht="12.75" customHeight="1">
      <c r="A791" s="293">
        <v>44785.486488622686</v>
      </c>
      <c r="B791" s="297" t="s">
        <v>504</v>
      </c>
      <c r="C791" s="298" t="s">
        <v>567</v>
      </c>
      <c r="D791" s="298" t="s">
        <v>16</v>
      </c>
      <c r="E791" s="285" t="s">
        <v>476</v>
      </c>
      <c r="F791" s="292" t="s">
        <v>1333</v>
      </c>
      <c r="G791" s="298" t="s">
        <v>17</v>
      </c>
      <c r="H791" s="298">
        <v>12.0</v>
      </c>
      <c r="I791" s="292" t="s">
        <v>479</v>
      </c>
      <c r="J791" s="292" t="s">
        <v>532</v>
      </c>
      <c r="K791" s="287" t="s">
        <v>532</v>
      </c>
      <c r="L791" s="292" t="s">
        <v>497</v>
      </c>
      <c r="M791" s="292" t="s">
        <v>586</v>
      </c>
      <c r="N791" s="292"/>
      <c r="O791" s="292"/>
      <c r="P791" s="292"/>
      <c r="Q791" s="299" t="s">
        <v>32</v>
      </c>
      <c r="R791" s="299" t="s">
        <v>32</v>
      </c>
      <c r="S791" s="295" t="s">
        <v>32</v>
      </c>
      <c r="T791" s="299" t="s">
        <v>32</v>
      </c>
      <c r="U791" s="299" t="s">
        <v>32</v>
      </c>
      <c r="V791" s="295" t="s">
        <v>32</v>
      </c>
      <c r="W791" s="299" t="s">
        <v>32</v>
      </c>
      <c r="X791" s="292" t="s">
        <v>18</v>
      </c>
      <c r="Y791" s="288" t="s">
        <v>377</v>
      </c>
      <c r="Z791" s="292" t="s">
        <v>377</v>
      </c>
      <c r="AA791" s="292" t="s">
        <v>18</v>
      </c>
      <c r="AB791" s="288" t="s">
        <v>377</v>
      </c>
      <c r="AC791" s="289" t="s">
        <v>377</v>
      </c>
      <c r="AD791" s="292" t="s">
        <v>377</v>
      </c>
      <c r="AE791" s="292" t="s">
        <v>377</v>
      </c>
      <c r="AF791" s="288" t="s">
        <v>377</v>
      </c>
      <c r="AG791" s="292" t="s">
        <v>18</v>
      </c>
      <c r="AH791" s="292" t="s">
        <v>18</v>
      </c>
      <c r="AI791" s="288" t="s">
        <v>18</v>
      </c>
      <c r="AJ791" s="292" t="s">
        <v>18</v>
      </c>
      <c r="AK791" s="292" t="s">
        <v>18</v>
      </c>
      <c r="AL791" s="288" t="s">
        <v>18</v>
      </c>
      <c r="AM791" s="292" t="s">
        <v>18</v>
      </c>
      <c r="AN791" s="292" t="s">
        <v>18</v>
      </c>
      <c r="AO791" s="288" t="s">
        <v>18</v>
      </c>
      <c r="AP791" s="289" t="s">
        <v>18</v>
      </c>
      <c r="AQ791" s="299" t="s">
        <v>32</v>
      </c>
      <c r="AR791" s="299" t="s">
        <v>32</v>
      </c>
      <c r="AS791" s="295" t="s">
        <v>32</v>
      </c>
      <c r="AT791" s="299" t="s">
        <v>32</v>
      </c>
      <c r="AU791" s="292" t="s">
        <v>377</v>
      </c>
      <c r="AV791" s="295" t="s">
        <v>32</v>
      </c>
      <c r="AW791" s="292" t="s">
        <v>377</v>
      </c>
      <c r="AX791" s="292" t="s">
        <v>18</v>
      </c>
      <c r="AY791" s="288" t="s">
        <v>377</v>
      </c>
      <c r="AZ791" s="299" t="s">
        <v>32</v>
      </c>
      <c r="BA791" s="299" t="s">
        <v>32</v>
      </c>
      <c r="BB791" s="295" t="s">
        <v>32</v>
      </c>
      <c r="BC791" s="296" t="s">
        <v>32</v>
      </c>
      <c r="BD791" s="287"/>
    </row>
    <row r="792" ht="12.75" customHeight="1">
      <c r="A792" s="293">
        <v>44785.49341738426</v>
      </c>
      <c r="B792" s="297" t="s">
        <v>504</v>
      </c>
      <c r="C792" s="298" t="s">
        <v>567</v>
      </c>
      <c r="D792" s="298" t="s">
        <v>16</v>
      </c>
      <c r="E792" s="285" t="s">
        <v>476</v>
      </c>
      <c r="F792" s="292" t="s">
        <v>1334</v>
      </c>
      <c r="G792" s="298" t="s">
        <v>17</v>
      </c>
      <c r="H792" s="298">
        <v>11.0</v>
      </c>
      <c r="I792" s="292" t="s">
        <v>479</v>
      </c>
      <c r="J792" s="292" t="s">
        <v>532</v>
      </c>
      <c r="K792" s="287" t="s">
        <v>532</v>
      </c>
      <c r="L792" s="292" t="s">
        <v>497</v>
      </c>
      <c r="M792" s="292" t="s">
        <v>586</v>
      </c>
      <c r="N792" s="292"/>
      <c r="O792" s="292"/>
      <c r="P792" s="292"/>
      <c r="Q792" s="299" t="s">
        <v>32</v>
      </c>
      <c r="R792" s="299" t="s">
        <v>32</v>
      </c>
      <c r="S792" s="295" t="s">
        <v>32</v>
      </c>
      <c r="T792" s="292" t="s">
        <v>377</v>
      </c>
      <c r="U792" s="299" t="s">
        <v>32</v>
      </c>
      <c r="V792" s="295" t="s">
        <v>32</v>
      </c>
      <c r="W792" s="292" t="s">
        <v>377</v>
      </c>
      <c r="X792" s="292" t="s">
        <v>377</v>
      </c>
      <c r="Y792" s="288" t="s">
        <v>377</v>
      </c>
      <c r="Z792" s="292" t="s">
        <v>377</v>
      </c>
      <c r="AA792" s="292" t="s">
        <v>377</v>
      </c>
      <c r="AB792" s="288" t="s">
        <v>377</v>
      </c>
      <c r="AC792" s="289" t="s">
        <v>377</v>
      </c>
      <c r="AD792" s="292" t="s">
        <v>377</v>
      </c>
      <c r="AE792" s="292" t="s">
        <v>377</v>
      </c>
      <c r="AF792" s="288" t="s">
        <v>377</v>
      </c>
      <c r="AG792" s="292" t="s">
        <v>18</v>
      </c>
      <c r="AH792" s="292" t="s">
        <v>18</v>
      </c>
      <c r="AI792" s="288" t="s">
        <v>18</v>
      </c>
      <c r="AJ792" s="292" t="s">
        <v>18</v>
      </c>
      <c r="AK792" s="292" t="s">
        <v>18</v>
      </c>
      <c r="AL792" s="288" t="s">
        <v>18</v>
      </c>
      <c r="AM792" s="292" t="s">
        <v>18</v>
      </c>
      <c r="AN792" s="292" t="s">
        <v>18</v>
      </c>
      <c r="AO792" s="288" t="s">
        <v>18</v>
      </c>
      <c r="AP792" s="289" t="s">
        <v>18</v>
      </c>
      <c r="AQ792" s="299" t="s">
        <v>32</v>
      </c>
      <c r="AR792" s="292" t="s">
        <v>377</v>
      </c>
      <c r="AS792" s="295" t="s">
        <v>32</v>
      </c>
      <c r="AT792" s="299" t="s">
        <v>32</v>
      </c>
      <c r="AU792" s="299" t="s">
        <v>32</v>
      </c>
      <c r="AV792" s="295" t="s">
        <v>32</v>
      </c>
      <c r="AW792" s="292" t="s">
        <v>18</v>
      </c>
      <c r="AX792" s="292" t="s">
        <v>377</v>
      </c>
      <c r="AY792" s="288" t="s">
        <v>377</v>
      </c>
      <c r="AZ792" s="292" t="s">
        <v>377</v>
      </c>
      <c r="BA792" s="292" t="s">
        <v>377</v>
      </c>
      <c r="BB792" s="295" t="s">
        <v>32</v>
      </c>
      <c r="BC792" s="296" t="s">
        <v>32</v>
      </c>
      <c r="BD792" s="287"/>
    </row>
    <row r="793" ht="12.75" customHeight="1">
      <c r="A793" s="293">
        <v>44785.49616329861</v>
      </c>
      <c r="B793" s="297" t="s">
        <v>504</v>
      </c>
      <c r="C793" s="298" t="s">
        <v>567</v>
      </c>
      <c r="D793" s="298" t="s">
        <v>16</v>
      </c>
      <c r="E793" s="285" t="s">
        <v>476</v>
      </c>
      <c r="F793" s="292" t="s">
        <v>1335</v>
      </c>
      <c r="G793" s="298" t="s">
        <v>21</v>
      </c>
      <c r="H793" s="298">
        <v>11.0</v>
      </c>
      <c r="I793" s="292" t="s">
        <v>479</v>
      </c>
      <c r="J793" s="292" t="s">
        <v>532</v>
      </c>
      <c r="K793" s="287" t="s">
        <v>532</v>
      </c>
      <c r="L793" s="292" t="s">
        <v>479</v>
      </c>
      <c r="M793" s="292" t="s">
        <v>481</v>
      </c>
      <c r="N793" s="292"/>
      <c r="O793" s="292"/>
      <c r="P793" s="292"/>
      <c r="Q793" s="299" t="s">
        <v>32</v>
      </c>
      <c r="R793" s="299" t="s">
        <v>32</v>
      </c>
      <c r="S793" s="295" t="s">
        <v>32</v>
      </c>
      <c r="T793" s="292" t="s">
        <v>377</v>
      </c>
      <c r="U793" s="299" t="s">
        <v>32</v>
      </c>
      <c r="V793" s="295" t="s">
        <v>32</v>
      </c>
      <c r="W793" s="292" t="s">
        <v>377</v>
      </c>
      <c r="X793" s="292" t="s">
        <v>377</v>
      </c>
      <c r="Y793" s="288" t="s">
        <v>377</v>
      </c>
      <c r="Z793" s="292" t="s">
        <v>377</v>
      </c>
      <c r="AA793" s="292" t="s">
        <v>377</v>
      </c>
      <c r="AB793" s="288" t="s">
        <v>377</v>
      </c>
      <c r="AC793" s="289" t="s">
        <v>377</v>
      </c>
      <c r="AD793" s="292" t="s">
        <v>377</v>
      </c>
      <c r="AE793" s="299" t="s">
        <v>32</v>
      </c>
      <c r="AF793" s="295" t="s">
        <v>32</v>
      </c>
      <c r="AG793" s="292" t="s">
        <v>18</v>
      </c>
      <c r="AH793" s="292" t="s">
        <v>377</v>
      </c>
      <c r="AI793" s="288" t="s">
        <v>377</v>
      </c>
      <c r="AJ793" s="292" t="s">
        <v>18</v>
      </c>
      <c r="AK793" s="292" t="s">
        <v>18</v>
      </c>
      <c r="AL793" s="288" t="s">
        <v>18</v>
      </c>
      <c r="AM793" s="292" t="s">
        <v>18</v>
      </c>
      <c r="AN793" s="292" t="s">
        <v>18</v>
      </c>
      <c r="AO793" s="288" t="s">
        <v>18</v>
      </c>
      <c r="AP793" s="289" t="s">
        <v>377</v>
      </c>
      <c r="AQ793" s="299" t="s">
        <v>32</v>
      </c>
      <c r="AR793" s="292" t="s">
        <v>377</v>
      </c>
      <c r="AS793" s="295" t="s">
        <v>32</v>
      </c>
      <c r="AT793" s="299" t="s">
        <v>32</v>
      </c>
      <c r="AU793" s="299" t="s">
        <v>32</v>
      </c>
      <c r="AV793" s="295" t="s">
        <v>32</v>
      </c>
      <c r="AW793" s="292" t="s">
        <v>377</v>
      </c>
      <c r="AX793" s="299" t="s">
        <v>32</v>
      </c>
      <c r="AY793" s="295" t="s">
        <v>32</v>
      </c>
      <c r="AZ793" s="292" t="s">
        <v>377</v>
      </c>
      <c r="BA793" s="299" t="s">
        <v>32</v>
      </c>
      <c r="BB793" s="295" t="s">
        <v>32</v>
      </c>
      <c r="BC793" s="296" t="s">
        <v>32</v>
      </c>
      <c r="BD793" s="287"/>
    </row>
    <row r="794" ht="12.75" customHeight="1">
      <c r="A794" s="293">
        <v>44785.535715949074</v>
      </c>
      <c r="B794" s="297" t="s">
        <v>504</v>
      </c>
      <c r="C794" s="298" t="s">
        <v>567</v>
      </c>
      <c r="D794" s="298" t="s">
        <v>16</v>
      </c>
      <c r="E794" s="285" t="s">
        <v>476</v>
      </c>
      <c r="F794" s="292" t="s">
        <v>1336</v>
      </c>
      <c r="G794" s="298" t="s">
        <v>21</v>
      </c>
      <c r="H794" s="298">
        <v>11.0</v>
      </c>
      <c r="I794" s="292" t="s">
        <v>479</v>
      </c>
      <c r="J794" s="292" t="s">
        <v>532</v>
      </c>
      <c r="K794" s="287" t="s">
        <v>532</v>
      </c>
      <c r="L794" s="292" t="s">
        <v>479</v>
      </c>
      <c r="M794" s="292" t="s">
        <v>481</v>
      </c>
      <c r="N794" s="292"/>
      <c r="O794" s="292"/>
      <c r="P794" s="292"/>
      <c r="Q794" s="299" t="s">
        <v>32</v>
      </c>
      <c r="R794" s="299" t="s">
        <v>32</v>
      </c>
      <c r="S794" s="295" t="s">
        <v>32</v>
      </c>
      <c r="T794" s="292" t="s">
        <v>377</v>
      </c>
      <c r="U794" s="299" t="s">
        <v>32</v>
      </c>
      <c r="V794" s="295" t="s">
        <v>32</v>
      </c>
      <c r="W794" s="292" t="s">
        <v>377</v>
      </c>
      <c r="X794" s="292" t="s">
        <v>377</v>
      </c>
      <c r="Y794" s="288" t="s">
        <v>377</v>
      </c>
      <c r="Z794" s="299" t="s">
        <v>32</v>
      </c>
      <c r="AA794" s="299" t="s">
        <v>32</v>
      </c>
      <c r="AB794" s="295" t="s">
        <v>32</v>
      </c>
      <c r="AC794" s="296" t="s">
        <v>32</v>
      </c>
      <c r="AD794" s="299" t="s">
        <v>32</v>
      </c>
      <c r="AE794" s="299" t="s">
        <v>32</v>
      </c>
      <c r="AF794" s="295" t="s">
        <v>32</v>
      </c>
      <c r="AG794" s="292" t="s">
        <v>18</v>
      </c>
      <c r="AH794" s="292" t="s">
        <v>377</v>
      </c>
      <c r="AI794" s="288" t="s">
        <v>377</v>
      </c>
      <c r="AJ794" s="292" t="s">
        <v>18</v>
      </c>
      <c r="AK794" s="292" t="s">
        <v>377</v>
      </c>
      <c r="AL794" s="288" t="s">
        <v>377</v>
      </c>
      <c r="AM794" s="292" t="s">
        <v>18</v>
      </c>
      <c r="AN794" s="292" t="s">
        <v>377</v>
      </c>
      <c r="AO794" s="288" t="s">
        <v>377</v>
      </c>
      <c r="AP794" s="289" t="s">
        <v>377</v>
      </c>
      <c r="AQ794" s="292" t="s">
        <v>377</v>
      </c>
      <c r="AR794" s="299" t="s">
        <v>32</v>
      </c>
      <c r="AS794" s="295" t="s">
        <v>32</v>
      </c>
      <c r="AT794" s="299" t="s">
        <v>32</v>
      </c>
      <c r="AU794" s="299" t="s">
        <v>32</v>
      </c>
      <c r="AV794" s="295" t="s">
        <v>32</v>
      </c>
      <c r="AW794" s="299" t="s">
        <v>32</v>
      </c>
      <c r="AX794" s="299" t="s">
        <v>32</v>
      </c>
      <c r="AY794" s="295" t="s">
        <v>32</v>
      </c>
      <c r="AZ794" s="299" t="s">
        <v>32</v>
      </c>
      <c r="BA794" s="299" t="s">
        <v>32</v>
      </c>
      <c r="BB794" s="295" t="s">
        <v>32</v>
      </c>
      <c r="BC794" s="296" t="s">
        <v>32</v>
      </c>
      <c r="BD794" s="287"/>
    </row>
    <row r="795" ht="12.75" customHeight="1">
      <c r="A795" s="293">
        <v>44785.53760833333</v>
      </c>
      <c r="B795" s="297" t="s">
        <v>504</v>
      </c>
      <c r="C795" s="298" t="s">
        <v>567</v>
      </c>
      <c r="D795" s="298" t="s">
        <v>16</v>
      </c>
      <c r="E795" s="285" t="s">
        <v>476</v>
      </c>
      <c r="F795" s="292" t="s">
        <v>1337</v>
      </c>
      <c r="G795" s="298" t="s">
        <v>21</v>
      </c>
      <c r="H795" s="298">
        <v>12.0</v>
      </c>
      <c r="I795" s="292" t="s">
        <v>479</v>
      </c>
      <c r="J795" s="292" t="s">
        <v>532</v>
      </c>
      <c r="K795" s="287" t="s">
        <v>532</v>
      </c>
      <c r="L795" s="292" t="s">
        <v>497</v>
      </c>
      <c r="M795" s="292" t="s">
        <v>586</v>
      </c>
      <c r="N795" s="292"/>
      <c r="O795" s="292"/>
      <c r="P795" s="292"/>
      <c r="Q795" s="299" t="s">
        <v>32</v>
      </c>
      <c r="R795" s="299" t="s">
        <v>32</v>
      </c>
      <c r="S795" s="295" t="s">
        <v>32</v>
      </c>
      <c r="T795" s="292" t="s">
        <v>377</v>
      </c>
      <c r="U795" s="299" t="s">
        <v>32</v>
      </c>
      <c r="V795" s="295" t="s">
        <v>32</v>
      </c>
      <c r="W795" s="292" t="s">
        <v>377</v>
      </c>
      <c r="X795" s="292" t="s">
        <v>377</v>
      </c>
      <c r="Y795" s="288" t="s">
        <v>377</v>
      </c>
      <c r="Z795" s="299" t="s">
        <v>32</v>
      </c>
      <c r="AA795" s="299" t="s">
        <v>32</v>
      </c>
      <c r="AB795" s="295" t="s">
        <v>32</v>
      </c>
      <c r="AC795" s="296" t="s">
        <v>32</v>
      </c>
      <c r="AD795" s="299" t="s">
        <v>32</v>
      </c>
      <c r="AE795" s="299" t="s">
        <v>32</v>
      </c>
      <c r="AF795" s="295" t="s">
        <v>32</v>
      </c>
      <c r="AG795" s="292" t="s">
        <v>18</v>
      </c>
      <c r="AH795" s="292" t="s">
        <v>377</v>
      </c>
      <c r="AI795" s="288" t="s">
        <v>377</v>
      </c>
      <c r="AJ795" s="292" t="s">
        <v>18</v>
      </c>
      <c r="AK795" s="292" t="s">
        <v>377</v>
      </c>
      <c r="AL795" s="288" t="s">
        <v>377</v>
      </c>
      <c r="AM795" s="292" t="s">
        <v>18</v>
      </c>
      <c r="AN795" s="292" t="s">
        <v>18</v>
      </c>
      <c r="AO795" s="288" t="s">
        <v>18</v>
      </c>
      <c r="AP795" s="289" t="s">
        <v>377</v>
      </c>
      <c r="AQ795" s="299" t="s">
        <v>32</v>
      </c>
      <c r="AR795" s="299" t="s">
        <v>32</v>
      </c>
      <c r="AS795" s="295" t="s">
        <v>32</v>
      </c>
      <c r="AT795" s="299" t="s">
        <v>32</v>
      </c>
      <c r="AU795" s="299" t="s">
        <v>32</v>
      </c>
      <c r="AV795" s="295" t="s">
        <v>32</v>
      </c>
      <c r="AW795" s="299" t="s">
        <v>32</v>
      </c>
      <c r="AX795" s="299" t="s">
        <v>32</v>
      </c>
      <c r="AY795" s="295" t="s">
        <v>32</v>
      </c>
      <c r="AZ795" s="299" t="s">
        <v>32</v>
      </c>
      <c r="BA795" s="299" t="s">
        <v>32</v>
      </c>
      <c r="BB795" s="288" t="s">
        <v>377</v>
      </c>
      <c r="BC795" s="289" t="s">
        <v>377</v>
      </c>
      <c r="BD795" s="287"/>
    </row>
    <row r="796" ht="12.75" customHeight="1">
      <c r="A796" s="293">
        <v>44785.5404246875</v>
      </c>
      <c r="B796" s="297" t="s">
        <v>504</v>
      </c>
      <c r="C796" s="298" t="s">
        <v>567</v>
      </c>
      <c r="D796" s="298" t="s">
        <v>16</v>
      </c>
      <c r="E796" s="285" t="s">
        <v>476</v>
      </c>
      <c r="F796" s="292" t="s">
        <v>1338</v>
      </c>
      <c r="G796" s="298" t="s">
        <v>17</v>
      </c>
      <c r="H796" s="298">
        <v>13.0</v>
      </c>
      <c r="I796" s="292" t="s">
        <v>479</v>
      </c>
      <c r="J796" s="292" t="s">
        <v>532</v>
      </c>
      <c r="K796" s="287" t="s">
        <v>532</v>
      </c>
      <c r="L796" s="292" t="s">
        <v>479</v>
      </c>
      <c r="M796" s="292" t="s">
        <v>481</v>
      </c>
      <c r="N796" s="292"/>
      <c r="O796" s="292"/>
      <c r="P796" s="292"/>
      <c r="Q796" s="299" t="s">
        <v>32</v>
      </c>
      <c r="R796" s="299" t="s">
        <v>32</v>
      </c>
      <c r="S796" s="295" t="s">
        <v>32</v>
      </c>
      <c r="T796" s="292" t="s">
        <v>377</v>
      </c>
      <c r="U796" s="299" t="s">
        <v>32</v>
      </c>
      <c r="V796" s="295" t="s">
        <v>32</v>
      </c>
      <c r="W796" s="299" t="s">
        <v>32</v>
      </c>
      <c r="X796" s="292" t="s">
        <v>377</v>
      </c>
      <c r="Y796" s="295" t="s">
        <v>32</v>
      </c>
      <c r="Z796" s="299" t="s">
        <v>32</v>
      </c>
      <c r="AA796" s="292" t="s">
        <v>377</v>
      </c>
      <c r="AB796" s="295" t="s">
        <v>32</v>
      </c>
      <c r="AC796" s="296" t="s">
        <v>32</v>
      </c>
      <c r="AD796" s="292" t="s">
        <v>377</v>
      </c>
      <c r="AE796" s="292" t="s">
        <v>377</v>
      </c>
      <c r="AF796" s="288" t="s">
        <v>377</v>
      </c>
      <c r="AG796" s="299" t="s">
        <v>32</v>
      </c>
      <c r="AH796" s="292" t="s">
        <v>377</v>
      </c>
      <c r="AI796" s="295" t="s">
        <v>32</v>
      </c>
      <c r="AJ796" s="299" t="s">
        <v>32</v>
      </c>
      <c r="AK796" s="292" t="s">
        <v>377</v>
      </c>
      <c r="AL796" s="295" t="s">
        <v>32</v>
      </c>
      <c r="AM796" s="292" t="s">
        <v>18</v>
      </c>
      <c r="AN796" s="292" t="s">
        <v>377</v>
      </c>
      <c r="AO796" s="288" t="s">
        <v>377</v>
      </c>
      <c r="AP796" s="289" t="s">
        <v>377</v>
      </c>
      <c r="AQ796" s="299" t="s">
        <v>32</v>
      </c>
      <c r="AR796" s="299" t="s">
        <v>32</v>
      </c>
      <c r="AS796" s="295" t="s">
        <v>32</v>
      </c>
      <c r="AT796" s="299" t="s">
        <v>32</v>
      </c>
      <c r="AU796" s="299" t="s">
        <v>32</v>
      </c>
      <c r="AV796" s="295" t="s">
        <v>32</v>
      </c>
      <c r="AW796" s="299" t="s">
        <v>32</v>
      </c>
      <c r="AX796" s="292" t="s">
        <v>377</v>
      </c>
      <c r="AY796" s="295" t="s">
        <v>32</v>
      </c>
      <c r="AZ796" s="299" t="s">
        <v>32</v>
      </c>
      <c r="BA796" s="299" t="s">
        <v>32</v>
      </c>
      <c r="BB796" s="295" t="s">
        <v>32</v>
      </c>
      <c r="BC796" s="296" t="s">
        <v>32</v>
      </c>
      <c r="BD796" s="287"/>
    </row>
    <row r="797" ht="12.75" customHeight="1">
      <c r="A797" s="293">
        <v>44785.542234884255</v>
      </c>
      <c r="B797" s="297" t="s">
        <v>504</v>
      </c>
      <c r="C797" s="298" t="s">
        <v>567</v>
      </c>
      <c r="D797" s="298" t="s">
        <v>16</v>
      </c>
      <c r="E797" s="285" t="s">
        <v>476</v>
      </c>
      <c r="F797" s="292" t="s">
        <v>1339</v>
      </c>
      <c r="G797" s="298" t="s">
        <v>21</v>
      </c>
      <c r="H797" s="298">
        <v>11.0</v>
      </c>
      <c r="I797" s="292" t="s">
        <v>479</v>
      </c>
      <c r="J797" s="292" t="s">
        <v>532</v>
      </c>
      <c r="K797" s="287" t="s">
        <v>532</v>
      </c>
      <c r="L797" s="292" t="s">
        <v>479</v>
      </c>
      <c r="M797" s="292" t="s">
        <v>481</v>
      </c>
      <c r="N797" s="292"/>
      <c r="O797" s="292"/>
      <c r="P797" s="292"/>
      <c r="Q797" s="299" t="s">
        <v>32</v>
      </c>
      <c r="R797" s="299" t="s">
        <v>32</v>
      </c>
      <c r="S797" s="295" t="s">
        <v>32</v>
      </c>
      <c r="T797" s="299" t="s">
        <v>32</v>
      </c>
      <c r="U797" s="292" t="s">
        <v>377</v>
      </c>
      <c r="V797" s="295" t="s">
        <v>32</v>
      </c>
      <c r="W797" s="299" t="s">
        <v>32</v>
      </c>
      <c r="X797" s="292" t="s">
        <v>377</v>
      </c>
      <c r="Y797" s="295" t="s">
        <v>32</v>
      </c>
      <c r="Z797" s="292" t="s">
        <v>377</v>
      </c>
      <c r="AA797" s="299" t="s">
        <v>32</v>
      </c>
      <c r="AB797" s="295" t="s">
        <v>32</v>
      </c>
      <c r="AC797" s="296" t="s">
        <v>32</v>
      </c>
      <c r="AD797" s="292" t="s">
        <v>377</v>
      </c>
      <c r="AE797" s="299" t="s">
        <v>32</v>
      </c>
      <c r="AF797" s="295" t="s">
        <v>32</v>
      </c>
      <c r="AG797" s="292" t="s">
        <v>377</v>
      </c>
      <c r="AH797" s="292" t="s">
        <v>18</v>
      </c>
      <c r="AI797" s="288" t="s">
        <v>377</v>
      </c>
      <c r="AJ797" s="299" t="s">
        <v>32</v>
      </c>
      <c r="AK797" s="292" t="s">
        <v>377</v>
      </c>
      <c r="AL797" s="295" t="s">
        <v>32</v>
      </c>
      <c r="AM797" s="292" t="s">
        <v>18</v>
      </c>
      <c r="AN797" s="292" t="s">
        <v>377</v>
      </c>
      <c r="AO797" s="288" t="s">
        <v>377</v>
      </c>
      <c r="AP797" s="289" t="s">
        <v>377</v>
      </c>
      <c r="AQ797" s="292" t="s">
        <v>377</v>
      </c>
      <c r="AR797" s="292" t="s">
        <v>377</v>
      </c>
      <c r="AS797" s="288" t="s">
        <v>377</v>
      </c>
      <c r="AT797" s="299" t="s">
        <v>32</v>
      </c>
      <c r="AU797" s="299" t="s">
        <v>32</v>
      </c>
      <c r="AV797" s="295" t="s">
        <v>32</v>
      </c>
      <c r="AW797" s="292" t="s">
        <v>377</v>
      </c>
      <c r="AX797" s="292" t="s">
        <v>18</v>
      </c>
      <c r="AY797" s="288" t="s">
        <v>377</v>
      </c>
      <c r="AZ797" s="299" t="s">
        <v>32</v>
      </c>
      <c r="BA797" s="292" t="s">
        <v>377</v>
      </c>
      <c r="BB797" s="295" t="s">
        <v>32</v>
      </c>
      <c r="BC797" s="296" t="s">
        <v>32</v>
      </c>
      <c r="BD797" s="292"/>
    </row>
    <row r="798" ht="12.75" customHeight="1">
      <c r="A798" s="293">
        <v>44785.54464978009</v>
      </c>
      <c r="B798" s="297" t="s">
        <v>504</v>
      </c>
      <c r="C798" s="298" t="s">
        <v>567</v>
      </c>
      <c r="D798" s="298" t="s">
        <v>16</v>
      </c>
      <c r="E798" s="285" t="s">
        <v>476</v>
      </c>
      <c r="F798" s="292" t="s">
        <v>1340</v>
      </c>
      <c r="G798" s="298" t="s">
        <v>21</v>
      </c>
      <c r="H798" s="298">
        <v>11.0</v>
      </c>
      <c r="I798" s="292" t="s">
        <v>479</v>
      </c>
      <c r="J798" s="292" t="s">
        <v>532</v>
      </c>
      <c r="K798" s="287" t="s">
        <v>532</v>
      </c>
      <c r="L798" s="292" t="s">
        <v>479</v>
      </c>
      <c r="M798" s="292" t="s">
        <v>481</v>
      </c>
      <c r="N798" s="292"/>
      <c r="O798" s="292"/>
      <c r="P798" s="292"/>
      <c r="Q798" s="299" t="s">
        <v>32</v>
      </c>
      <c r="R798" s="299" t="s">
        <v>32</v>
      </c>
      <c r="S798" s="295" t="s">
        <v>32</v>
      </c>
      <c r="T798" s="292" t="s">
        <v>377</v>
      </c>
      <c r="U798" s="299" t="s">
        <v>32</v>
      </c>
      <c r="V798" s="295" t="s">
        <v>32</v>
      </c>
      <c r="W798" s="292" t="s">
        <v>377</v>
      </c>
      <c r="X798" s="292" t="s">
        <v>377</v>
      </c>
      <c r="Y798" s="288" t="s">
        <v>377</v>
      </c>
      <c r="Z798" s="299" t="s">
        <v>32</v>
      </c>
      <c r="AA798" s="299" t="s">
        <v>32</v>
      </c>
      <c r="AB798" s="295" t="s">
        <v>32</v>
      </c>
      <c r="AC798" s="296" t="s">
        <v>32</v>
      </c>
      <c r="AD798" s="292" t="s">
        <v>377</v>
      </c>
      <c r="AE798" s="299" t="s">
        <v>32</v>
      </c>
      <c r="AF798" s="295" t="s">
        <v>32</v>
      </c>
      <c r="AG798" s="292" t="s">
        <v>18</v>
      </c>
      <c r="AH798" s="292" t="s">
        <v>377</v>
      </c>
      <c r="AI798" s="288" t="s">
        <v>377</v>
      </c>
      <c r="AJ798" s="292" t="s">
        <v>377</v>
      </c>
      <c r="AK798" s="292" t="s">
        <v>377</v>
      </c>
      <c r="AL798" s="288" t="s">
        <v>377</v>
      </c>
      <c r="AM798" s="292" t="s">
        <v>18</v>
      </c>
      <c r="AN798" s="292" t="s">
        <v>18</v>
      </c>
      <c r="AO798" s="288" t="s">
        <v>18</v>
      </c>
      <c r="AP798" s="289" t="s">
        <v>377</v>
      </c>
      <c r="AQ798" s="292" t="s">
        <v>18</v>
      </c>
      <c r="AR798" s="292" t="s">
        <v>377</v>
      </c>
      <c r="AS798" s="288" t="s">
        <v>377</v>
      </c>
      <c r="AT798" s="299" t="s">
        <v>32</v>
      </c>
      <c r="AU798" s="299" t="s">
        <v>32</v>
      </c>
      <c r="AV798" s="295" t="s">
        <v>32</v>
      </c>
      <c r="AW798" s="292" t="s">
        <v>377</v>
      </c>
      <c r="AX798" s="299" t="s">
        <v>32</v>
      </c>
      <c r="AY798" s="295" t="s">
        <v>32</v>
      </c>
      <c r="AZ798" s="292" t="s">
        <v>377</v>
      </c>
      <c r="BA798" s="299" t="s">
        <v>32</v>
      </c>
      <c r="BB798" s="288" t="s">
        <v>377</v>
      </c>
      <c r="BC798" s="289" t="s">
        <v>377</v>
      </c>
      <c r="BD798" s="292"/>
    </row>
    <row r="799" ht="12.75" customHeight="1">
      <c r="A799" s="293">
        <v>44785.55040811343</v>
      </c>
      <c r="B799" s="297" t="s">
        <v>504</v>
      </c>
      <c r="C799" s="298" t="s">
        <v>567</v>
      </c>
      <c r="D799" s="298" t="s">
        <v>16</v>
      </c>
      <c r="E799" s="285" t="s">
        <v>476</v>
      </c>
      <c r="F799" s="292" t="s">
        <v>1341</v>
      </c>
      <c r="G799" s="298" t="s">
        <v>21</v>
      </c>
      <c r="H799" s="298">
        <v>11.0</v>
      </c>
      <c r="I799" s="292" t="s">
        <v>479</v>
      </c>
      <c r="J799" s="292" t="s">
        <v>532</v>
      </c>
      <c r="K799" s="287" t="s">
        <v>532</v>
      </c>
      <c r="L799" s="292" t="s">
        <v>479</v>
      </c>
      <c r="M799" s="292" t="s">
        <v>481</v>
      </c>
      <c r="N799" s="292"/>
      <c r="O799" s="292"/>
      <c r="P799" s="292"/>
      <c r="Q799" s="299" t="s">
        <v>32</v>
      </c>
      <c r="R799" s="299" t="s">
        <v>32</v>
      </c>
      <c r="S799" s="295" t="s">
        <v>32</v>
      </c>
      <c r="T799" s="292" t="s">
        <v>377</v>
      </c>
      <c r="U799" s="299" t="s">
        <v>32</v>
      </c>
      <c r="V799" s="295" t="s">
        <v>32</v>
      </c>
      <c r="W799" s="292" t="s">
        <v>377</v>
      </c>
      <c r="X799" s="292" t="s">
        <v>377</v>
      </c>
      <c r="Y799" s="288" t="s">
        <v>377</v>
      </c>
      <c r="Z799" s="299" t="s">
        <v>32</v>
      </c>
      <c r="AA799" s="299" t="s">
        <v>32</v>
      </c>
      <c r="AB799" s="295" t="s">
        <v>32</v>
      </c>
      <c r="AC799" s="296" t="s">
        <v>32</v>
      </c>
      <c r="AD799" s="292" t="s">
        <v>377</v>
      </c>
      <c r="AE799" s="299" t="s">
        <v>32</v>
      </c>
      <c r="AF799" s="295" t="s">
        <v>32</v>
      </c>
      <c r="AG799" s="292" t="s">
        <v>18</v>
      </c>
      <c r="AH799" s="292" t="s">
        <v>377</v>
      </c>
      <c r="AI799" s="288" t="s">
        <v>377</v>
      </c>
      <c r="AJ799" s="292" t="s">
        <v>377</v>
      </c>
      <c r="AK799" s="292" t="s">
        <v>377</v>
      </c>
      <c r="AL799" s="288" t="s">
        <v>377</v>
      </c>
      <c r="AM799" s="292" t="s">
        <v>18</v>
      </c>
      <c r="AN799" s="292" t="s">
        <v>18</v>
      </c>
      <c r="AO799" s="288" t="s">
        <v>18</v>
      </c>
      <c r="AP799" s="289" t="s">
        <v>377</v>
      </c>
      <c r="AQ799" s="292" t="s">
        <v>18</v>
      </c>
      <c r="AR799" s="299" t="s">
        <v>32</v>
      </c>
      <c r="AS799" s="288" t="s">
        <v>377</v>
      </c>
      <c r="AT799" s="299" t="s">
        <v>32</v>
      </c>
      <c r="AU799" s="299" t="s">
        <v>32</v>
      </c>
      <c r="AV799" s="295" t="s">
        <v>32</v>
      </c>
      <c r="AW799" s="292" t="s">
        <v>377</v>
      </c>
      <c r="AX799" s="299" t="s">
        <v>32</v>
      </c>
      <c r="AY799" s="295" t="s">
        <v>32</v>
      </c>
      <c r="AZ799" s="292" t="s">
        <v>377</v>
      </c>
      <c r="BA799" s="299" t="s">
        <v>32</v>
      </c>
      <c r="BB799" s="295" t="s">
        <v>32</v>
      </c>
      <c r="BC799" s="296" t="s">
        <v>32</v>
      </c>
      <c r="BD799" s="292"/>
    </row>
    <row r="800" ht="12.75" customHeight="1">
      <c r="A800" s="293">
        <v>44785.61552839121</v>
      </c>
      <c r="B800" s="297" t="s">
        <v>504</v>
      </c>
      <c r="C800" s="298" t="s">
        <v>567</v>
      </c>
      <c r="D800" s="298" t="s">
        <v>16</v>
      </c>
      <c r="E800" s="285" t="s">
        <v>476</v>
      </c>
      <c r="F800" s="292" t="s">
        <v>1342</v>
      </c>
      <c r="G800" s="298" t="s">
        <v>17</v>
      </c>
      <c r="H800" s="298">
        <v>12.0</v>
      </c>
      <c r="I800" s="292" t="s">
        <v>479</v>
      </c>
      <c r="J800" s="292" t="s">
        <v>532</v>
      </c>
      <c r="K800" s="287" t="s">
        <v>532</v>
      </c>
      <c r="L800" s="292" t="s">
        <v>497</v>
      </c>
      <c r="M800" s="292" t="s">
        <v>586</v>
      </c>
      <c r="N800" s="292"/>
      <c r="O800" s="292"/>
      <c r="P800" s="292"/>
      <c r="Q800" s="299" t="s">
        <v>32</v>
      </c>
      <c r="R800" s="292" t="s">
        <v>377</v>
      </c>
      <c r="S800" s="295" t="s">
        <v>32</v>
      </c>
      <c r="T800" s="299" t="s">
        <v>32</v>
      </c>
      <c r="U800" s="292" t="s">
        <v>377</v>
      </c>
      <c r="V800" s="295" t="s">
        <v>32</v>
      </c>
      <c r="W800" s="299" t="s">
        <v>32</v>
      </c>
      <c r="X800" s="292" t="s">
        <v>377</v>
      </c>
      <c r="Y800" s="295" t="s">
        <v>32</v>
      </c>
      <c r="Z800" s="292" t="s">
        <v>377</v>
      </c>
      <c r="AA800" s="299" t="s">
        <v>32</v>
      </c>
      <c r="AB800" s="295" t="s">
        <v>32</v>
      </c>
      <c r="AC800" s="296" t="s">
        <v>32</v>
      </c>
      <c r="AD800" s="292" t="s">
        <v>377</v>
      </c>
      <c r="AE800" s="299" t="s">
        <v>32</v>
      </c>
      <c r="AF800" s="295" t="s">
        <v>32</v>
      </c>
      <c r="AG800" s="292" t="s">
        <v>18</v>
      </c>
      <c r="AH800" s="292" t="s">
        <v>377</v>
      </c>
      <c r="AI800" s="288" t="s">
        <v>377</v>
      </c>
      <c r="AJ800" s="292" t="s">
        <v>377</v>
      </c>
      <c r="AK800" s="292" t="s">
        <v>377</v>
      </c>
      <c r="AL800" s="288" t="s">
        <v>377</v>
      </c>
      <c r="AM800" s="292" t="s">
        <v>18</v>
      </c>
      <c r="AN800" s="292" t="s">
        <v>18</v>
      </c>
      <c r="AO800" s="288" t="s">
        <v>18</v>
      </c>
      <c r="AP800" s="289" t="s">
        <v>377</v>
      </c>
      <c r="AQ800" s="299" t="s">
        <v>32</v>
      </c>
      <c r="AR800" s="292" t="s">
        <v>377</v>
      </c>
      <c r="AS800" s="295" t="s">
        <v>32</v>
      </c>
      <c r="AT800" s="299" t="s">
        <v>32</v>
      </c>
      <c r="AU800" s="299" t="s">
        <v>32</v>
      </c>
      <c r="AV800" s="295" t="s">
        <v>32</v>
      </c>
      <c r="AW800" s="299" t="s">
        <v>32</v>
      </c>
      <c r="AX800" s="292" t="s">
        <v>377</v>
      </c>
      <c r="AY800" s="295" t="s">
        <v>32</v>
      </c>
      <c r="AZ800" s="299" t="s">
        <v>32</v>
      </c>
      <c r="BA800" s="299" t="s">
        <v>32</v>
      </c>
      <c r="BB800" s="295" t="s">
        <v>32</v>
      </c>
      <c r="BC800" s="296" t="s">
        <v>32</v>
      </c>
      <c r="BD800" s="292"/>
    </row>
    <row r="801" ht="12.75" customHeight="1">
      <c r="A801" s="293">
        <v>44785.61842211806</v>
      </c>
      <c r="B801" s="297" t="s">
        <v>504</v>
      </c>
      <c r="C801" s="298" t="s">
        <v>567</v>
      </c>
      <c r="D801" s="298" t="s">
        <v>16</v>
      </c>
      <c r="E801" s="285" t="s">
        <v>476</v>
      </c>
      <c r="F801" s="292" t="s">
        <v>1343</v>
      </c>
      <c r="G801" s="298" t="s">
        <v>21</v>
      </c>
      <c r="H801" s="298">
        <v>11.0</v>
      </c>
      <c r="I801" s="292" t="s">
        <v>479</v>
      </c>
      <c r="J801" s="292" t="s">
        <v>532</v>
      </c>
      <c r="K801" s="287" t="s">
        <v>532</v>
      </c>
      <c r="L801" s="292" t="s">
        <v>497</v>
      </c>
      <c r="M801" s="292" t="s">
        <v>586</v>
      </c>
      <c r="N801" s="292"/>
      <c r="O801" s="292"/>
      <c r="P801" s="292"/>
      <c r="Q801" s="299" t="s">
        <v>32</v>
      </c>
      <c r="R801" s="299" t="s">
        <v>32</v>
      </c>
      <c r="S801" s="295" t="s">
        <v>32</v>
      </c>
      <c r="T801" s="292" t="s">
        <v>377</v>
      </c>
      <c r="U801" s="292" t="s">
        <v>377</v>
      </c>
      <c r="V801" s="288" t="s">
        <v>377</v>
      </c>
      <c r="W801" s="292" t="s">
        <v>18</v>
      </c>
      <c r="X801" s="292" t="s">
        <v>18</v>
      </c>
      <c r="Y801" s="288" t="s">
        <v>18</v>
      </c>
      <c r="Z801" s="292" t="s">
        <v>377</v>
      </c>
      <c r="AA801" s="292" t="s">
        <v>18</v>
      </c>
      <c r="AB801" s="288" t="s">
        <v>377</v>
      </c>
      <c r="AC801" s="289" t="s">
        <v>377</v>
      </c>
      <c r="AD801" s="292" t="s">
        <v>377</v>
      </c>
      <c r="AE801" s="299" t="s">
        <v>32</v>
      </c>
      <c r="AF801" s="295" t="s">
        <v>32</v>
      </c>
      <c r="AG801" s="292" t="s">
        <v>18</v>
      </c>
      <c r="AH801" s="292" t="s">
        <v>18</v>
      </c>
      <c r="AI801" s="288" t="s">
        <v>18</v>
      </c>
      <c r="AJ801" s="292" t="s">
        <v>18</v>
      </c>
      <c r="AK801" s="292" t="s">
        <v>18</v>
      </c>
      <c r="AL801" s="288" t="s">
        <v>18</v>
      </c>
      <c r="AM801" s="292" t="s">
        <v>18</v>
      </c>
      <c r="AN801" s="299" t="s">
        <v>32</v>
      </c>
      <c r="AO801" s="288" t="s">
        <v>377</v>
      </c>
      <c r="AP801" s="289" t="s">
        <v>377</v>
      </c>
      <c r="AQ801" s="299" t="s">
        <v>32</v>
      </c>
      <c r="AR801" s="292" t="s">
        <v>377</v>
      </c>
      <c r="AS801" s="295" t="s">
        <v>32</v>
      </c>
      <c r="AT801" s="299" t="s">
        <v>32</v>
      </c>
      <c r="AU801" s="299" t="s">
        <v>32</v>
      </c>
      <c r="AV801" s="295" t="s">
        <v>32</v>
      </c>
      <c r="AW801" s="292" t="s">
        <v>377</v>
      </c>
      <c r="AX801" s="292" t="s">
        <v>377</v>
      </c>
      <c r="AY801" s="288" t="s">
        <v>377</v>
      </c>
      <c r="AZ801" s="292" t="s">
        <v>377</v>
      </c>
      <c r="BA801" s="292" t="s">
        <v>377</v>
      </c>
      <c r="BB801" s="295" t="s">
        <v>32</v>
      </c>
      <c r="BC801" s="296" t="s">
        <v>32</v>
      </c>
      <c r="BD801" s="292"/>
    </row>
    <row r="802" ht="12.75" customHeight="1">
      <c r="A802" s="293">
        <v>44785.6322858912</v>
      </c>
      <c r="B802" s="297" t="s">
        <v>504</v>
      </c>
      <c r="C802" s="298" t="s">
        <v>567</v>
      </c>
      <c r="D802" s="298" t="s">
        <v>16</v>
      </c>
      <c r="E802" s="285" t="s">
        <v>476</v>
      </c>
      <c r="F802" s="292" t="s">
        <v>1344</v>
      </c>
      <c r="G802" s="298" t="s">
        <v>21</v>
      </c>
      <c r="H802" s="298">
        <v>11.0</v>
      </c>
      <c r="I802" s="292" t="s">
        <v>479</v>
      </c>
      <c r="J802" s="292" t="s">
        <v>532</v>
      </c>
      <c r="K802" s="287" t="s">
        <v>532</v>
      </c>
      <c r="L802" s="292" t="s">
        <v>497</v>
      </c>
      <c r="M802" s="292" t="s">
        <v>586</v>
      </c>
      <c r="N802" s="292"/>
      <c r="O802" s="292"/>
      <c r="P802" s="292"/>
      <c r="Q802" s="299" t="s">
        <v>32</v>
      </c>
      <c r="R802" s="299" t="s">
        <v>32</v>
      </c>
      <c r="S802" s="295" t="s">
        <v>32</v>
      </c>
      <c r="T802" s="299" t="s">
        <v>32</v>
      </c>
      <c r="U802" s="299" t="s">
        <v>32</v>
      </c>
      <c r="V802" s="295" t="s">
        <v>32</v>
      </c>
      <c r="W802" s="292" t="s">
        <v>377</v>
      </c>
      <c r="X802" s="292" t="s">
        <v>18</v>
      </c>
      <c r="Y802" s="288" t="s">
        <v>377</v>
      </c>
      <c r="Z802" s="292" t="s">
        <v>18</v>
      </c>
      <c r="AA802" s="292" t="s">
        <v>18</v>
      </c>
      <c r="AB802" s="288" t="s">
        <v>18</v>
      </c>
      <c r="AC802" s="289" t="s">
        <v>377</v>
      </c>
      <c r="AD802" s="299" t="s">
        <v>32</v>
      </c>
      <c r="AE802" s="299" t="s">
        <v>32</v>
      </c>
      <c r="AF802" s="295" t="s">
        <v>32</v>
      </c>
      <c r="AG802" s="292" t="s">
        <v>18</v>
      </c>
      <c r="AH802" s="292" t="s">
        <v>18</v>
      </c>
      <c r="AI802" s="288" t="s">
        <v>18</v>
      </c>
      <c r="AJ802" s="292" t="s">
        <v>377</v>
      </c>
      <c r="AK802" s="292" t="s">
        <v>18</v>
      </c>
      <c r="AL802" s="288" t="s">
        <v>377</v>
      </c>
      <c r="AM802" s="292" t="s">
        <v>18</v>
      </c>
      <c r="AN802" s="292" t="s">
        <v>18</v>
      </c>
      <c r="AO802" s="288" t="s">
        <v>18</v>
      </c>
      <c r="AP802" s="289" t="s">
        <v>377</v>
      </c>
      <c r="AQ802" s="292" t="s">
        <v>377</v>
      </c>
      <c r="AR802" s="299" t="s">
        <v>32</v>
      </c>
      <c r="AS802" s="295" t="s">
        <v>32</v>
      </c>
      <c r="AT802" s="299" t="s">
        <v>32</v>
      </c>
      <c r="AU802" s="299" t="s">
        <v>32</v>
      </c>
      <c r="AV802" s="295" t="s">
        <v>32</v>
      </c>
      <c r="AW802" s="292" t="s">
        <v>377</v>
      </c>
      <c r="AX802" s="292" t="s">
        <v>377</v>
      </c>
      <c r="AY802" s="288" t="s">
        <v>377</v>
      </c>
      <c r="AZ802" s="299" t="s">
        <v>32</v>
      </c>
      <c r="BA802" s="299" t="s">
        <v>32</v>
      </c>
      <c r="BB802" s="295" t="s">
        <v>32</v>
      </c>
      <c r="BC802" s="296" t="s">
        <v>32</v>
      </c>
      <c r="BD802" s="292"/>
    </row>
    <row r="803" ht="12.75" customHeight="1">
      <c r="A803" s="293">
        <v>45243.40820005787</v>
      </c>
      <c r="B803" s="286" t="s">
        <v>506</v>
      </c>
      <c r="C803" s="287" t="s">
        <v>559</v>
      </c>
      <c r="D803" s="285" t="s">
        <v>16</v>
      </c>
      <c r="E803" s="285" t="s">
        <v>476</v>
      </c>
      <c r="F803" s="287" t="s">
        <v>1345</v>
      </c>
      <c r="G803" s="285" t="s">
        <v>17</v>
      </c>
      <c r="H803" s="285">
        <v>12.0</v>
      </c>
      <c r="I803" s="287" t="s">
        <v>479</v>
      </c>
      <c r="J803" s="287" t="s">
        <v>532</v>
      </c>
      <c r="K803" s="287" t="s">
        <v>532</v>
      </c>
      <c r="L803" s="287" t="s">
        <v>497</v>
      </c>
      <c r="M803" s="292"/>
      <c r="N803" s="292"/>
      <c r="O803" s="292"/>
      <c r="P803" s="292"/>
      <c r="Q803" s="287" t="s">
        <v>377</v>
      </c>
      <c r="R803" s="287" t="s">
        <v>377</v>
      </c>
      <c r="S803" s="288" t="s">
        <v>377</v>
      </c>
      <c r="T803" s="287" t="s">
        <v>18</v>
      </c>
      <c r="U803" s="294" t="s">
        <v>32</v>
      </c>
      <c r="V803" s="288" t="s">
        <v>377</v>
      </c>
      <c r="W803" s="294" t="s">
        <v>32</v>
      </c>
      <c r="X803" s="287" t="s">
        <v>18</v>
      </c>
      <c r="Y803" s="288" t="s">
        <v>377</v>
      </c>
      <c r="Z803" s="287" t="s">
        <v>18</v>
      </c>
      <c r="AA803" s="287" t="s">
        <v>377</v>
      </c>
      <c r="AB803" s="288" t="s">
        <v>377</v>
      </c>
      <c r="AC803" s="289" t="s">
        <v>377</v>
      </c>
      <c r="AD803" s="287" t="s">
        <v>377</v>
      </c>
      <c r="AE803" s="287" t="s">
        <v>377</v>
      </c>
      <c r="AF803" s="288" t="s">
        <v>377</v>
      </c>
      <c r="AG803" s="287" t="s">
        <v>377</v>
      </c>
      <c r="AH803" s="287" t="s">
        <v>18</v>
      </c>
      <c r="AI803" s="288" t="s">
        <v>377</v>
      </c>
      <c r="AJ803" s="287" t="s">
        <v>18</v>
      </c>
      <c r="AK803" s="287" t="s">
        <v>18</v>
      </c>
      <c r="AL803" s="288" t="s">
        <v>18</v>
      </c>
      <c r="AM803" s="287" t="s">
        <v>377</v>
      </c>
      <c r="AN803" s="287" t="s">
        <v>18</v>
      </c>
      <c r="AO803" s="288" t="s">
        <v>377</v>
      </c>
      <c r="AP803" s="289" t="s">
        <v>377</v>
      </c>
      <c r="AQ803" s="287" t="s">
        <v>377</v>
      </c>
      <c r="AR803" s="287" t="s">
        <v>377</v>
      </c>
      <c r="AS803" s="288" t="s">
        <v>377</v>
      </c>
      <c r="AT803" s="287" t="s">
        <v>377</v>
      </c>
      <c r="AU803" s="294" t="s">
        <v>32</v>
      </c>
      <c r="AV803" s="295" t="s">
        <v>32</v>
      </c>
      <c r="AW803" s="294" t="s">
        <v>32</v>
      </c>
      <c r="AX803" s="287" t="s">
        <v>377</v>
      </c>
      <c r="AY803" s="295" t="s">
        <v>32</v>
      </c>
      <c r="AZ803" s="287" t="s">
        <v>377</v>
      </c>
      <c r="BA803" s="294" t="s">
        <v>32</v>
      </c>
      <c r="BB803" s="295" t="s">
        <v>32</v>
      </c>
      <c r="BC803" s="296" t="s">
        <v>32</v>
      </c>
      <c r="BD803" s="292"/>
    </row>
    <row r="804" ht="12.75" customHeight="1">
      <c r="A804" s="293">
        <v>45243.42031221065</v>
      </c>
      <c r="B804" s="286" t="s">
        <v>506</v>
      </c>
      <c r="C804" s="287" t="s">
        <v>559</v>
      </c>
      <c r="D804" s="285" t="s">
        <v>16</v>
      </c>
      <c r="E804" s="285" t="s">
        <v>476</v>
      </c>
      <c r="F804" s="287" t="s">
        <v>1346</v>
      </c>
      <c r="G804" s="285" t="s">
        <v>17</v>
      </c>
      <c r="H804" s="285">
        <v>12.0</v>
      </c>
      <c r="I804" s="287" t="s">
        <v>479</v>
      </c>
      <c r="J804" s="287" t="s">
        <v>532</v>
      </c>
      <c r="K804" s="287" t="s">
        <v>532</v>
      </c>
      <c r="L804" s="287" t="s">
        <v>479</v>
      </c>
      <c r="M804" s="287" t="s">
        <v>490</v>
      </c>
      <c r="N804" s="287" t="s">
        <v>483</v>
      </c>
      <c r="O804" s="287"/>
      <c r="P804" s="287"/>
      <c r="Q804" s="287" t="s">
        <v>377</v>
      </c>
      <c r="R804" s="287" t="s">
        <v>377</v>
      </c>
      <c r="S804" s="288" t="s">
        <v>377</v>
      </c>
      <c r="T804" s="294" t="s">
        <v>32</v>
      </c>
      <c r="U804" s="294" t="s">
        <v>32</v>
      </c>
      <c r="V804" s="295" t="s">
        <v>32</v>
      </c>
      <c r="W804" s="294" t="s">
        <v>32</v>
      </c>
      <c r="X804" s="294" t="s">
        <v>32</v>
      </c>
      <c r="Y804" s="295" t="s">
        <v>32</v>
      </c>
      <c r="Z804" s="294" t="s">
        <v>32</v>
      </c>
      <c r="AA804" s="294" t="s">
        <v>32</v>
      </c>
      <c r="AB804" s="295" t="s">
        <v>32</v>
      </c>
      <c r="AC804" s="296" t="s">
        <v>32</v>
      </c>
      <c r="AD804" s="294" t="s">
        <v>32</v>
      </c>
      <c r="AE804" s="287" t="s">
        <v>18</v>
      </c>
      <c r="AF804" s="288" t="s">
        <v>377</v>
      </c>
      <c r="AG804" s="294" t="s">
        <v>32</v>
      </c>
      <c r="AH804" s="294" t="s">
        <v>32</v>
      </c>
      <c r="AI804" s="295" t="s">
        <v>32</v>
      </c>
      <c r="AJ804" s="294" t="s">
        <v>32</v>
      </c>
      <c r="AK804" s="287" t="s">
        <v>18</v>
      </c>
      <c r="AL804" s="288" t="s">
        <v>377</v>
      </c>
      <c r="AM804" s="294" t="s">
        <v>32</v>
      </c>
      <c r="AN804" s="287" t="s">
        <v>18</v>
      </c>
      <c r="AO804" s="288" t="s">
        <v>377</v>
      </c>
      <c r="AP804" s="289" t="s">
        <v>377</v>
      </c>
      <c r="AQ804" s="287" t="s">
        <v>18</v>
      </c>
      <c r="AR804" s="294" t="s">
        <v>32</v>
      </c>
      <c r="AS804" s="288" t="s">
        <v>377</v>
      </c>
      <c r="AT804" s="287" t="s">
        <v>18</v>
      </c>
      <c r="AU804" s="294" t="s">
        <v>32</v>
      </c>
      <c r="AV804" s="288" t="s">
        <v>377</v>
      </c>
      <c r="AW804" s="287" t="s">
        <v>377</v>
      </c>
      <c r="AX804" s="294" t="s">
        <v>32</v>
      </c>
      <c r="AY804" s="295" t="s">
        <v>32</v>
      </c>
      <c r="AZ804" s="294" t="s">
        <v>32</v>
      </c>
      <c r="BA804" s="294" t="s">
        <v>32</v>
      </c>
      <c r="BB804" s="295" t="s">
        <v>32</v>
      </c>
      <c r="BC804" s="296" t="s">
        <v>32</v>
      </c>
      <c r="BD804" s="292"/>
    </row>
    <row r="805" ht="12.75" customHeight="1">
      <c r="A805" s="293">
        <v>45243.43232148148</v>
      </c>
      <c r="B805" s="286" t="s">
        <v>506</v>
      </c>
      <c r="C805" s="287" t="s">
        <v>559</v>
      </c>
      <c r="D805" s="285" t="s">
        <v>16</v>
      </c>
      <c r="E805" s="285" t="s">
        <v>476</v>
      </c>
      <c r="F805" s="287" t="s">
        <v>1347</v>
      </c>
      <c r="G805" s="285" t="s">
        <v>21</v>
      </c>
      <c r="H805" s="285">
        <v>12.0</v>
      </c>
      <c r="I805" s="287" t="s">
        <v>479</v>
      </c>
      <c r="J805" s="287" t="s">
        <v>532</v>
      </c>
      <c r="K805" s="287" t="s">
        <v>532</v>
      </c>
      <c r="L805" s="287" t="s">
        <v>479</v>
      </c>
      <c r="M805" s="287" t="s">
        <v>490</v>
      </c>
      <c r="N805" s="287" t="s">
        <v>561</v>
      </c>
      <c r="O805" s="287"/>
      <c r="P805" s="287"/>
      <c r="Q805" s="294" t="s">
        <v>32</v>
      </c>
      <c r="R805" s="294" t="s">
        <v>32</v>
      </c>
      <c r="S805" s="295" t="s">
        <v>32</v>
      </c>
      <c r="T805" s="294" t="s">
        <v>32</v>
      </c>
      <c r="U805" s="294" t="s">
        <v>32</v>
      </c>
      <c r="V805" s="295" t="s">
        <v>32</v>
      </c>
      <c r="W805" s="294" t="s">
        <v>32</v>
      </c>
      <c r="X805" s="287" t="s">
        <v>377</v>
      </c>
      <c r="Y805" s="295" t="s">
        <v>32</v>
      </c>
      <c r="Z805" s="287" t="s">
        <v>377</v>
      </c>
      <c r="AA805" s="287" t="s">
        <v>18</v>
      </c>
      <c r="AB805" s="288" t="s">
        <v>377</v>
      </c>
      <c r="AC805" s="296" t="s">
        <v>32</v>
      </c>
      <c r="AD805" s="294" t="s">
        <v>32</v>
      </c>
      <c r="AE805" s="287" t="s">
        <v>377</v>
      </c>
      <c r="AF805" s="295" t="s">
        <v>32</v>
      </c>
      <c r="AG805" s="294" t="s">
        <v>32</v>
      </c>
      <c r="AH805" s="287" t="s">
        <v>18</v>
      </c>
      <c r="AI805" s="288" t="s">
        <v>377</v>
      </c>
      <c r="AJ805" s="294" t="s">
        <v>32</v>
      </c>
      <c r="AK805" s="287" t="s">
        <v>18</v>
      </c>
      <c r="AL805" s="288" t="s">
        <v>377</v>
      </c>
      <c r="AM805" s="287" t="s">
        <v>18</v>
      </c>
      <c r="AN805" s="287" t="s">
        <v>18</v>
      </c>
      <c r="AO805" s="288" t="s">
        <v>18</v>
      </c>
      <c r="AP805" s="289" t="s">
        <v>377</v>
      </c>
      <c r="AQ805" s="294" t="s">
        <v>32</v>
      </c>
      <c r="AR805" s="287" t="s">
        <v>377</v>
      </c>
      <c r="AS805" s="295" t="s">
        <v>32</v>
      </c>
      <c r="AT805" s="294" t="s">
        <v>32</v>
      </c>
      <c r="AU805" s="294" t="s">
        <v>32</v>
      </c>
      <c r="AV805" s="295" t="s">
        <v>32</v>
      </c>
      <c r="AW805" s="287" t="s">
        <v>377</v>
      </c>
      <c r="AX805" s="294" t="s">
        <v>32</v>
      </c>
      <c r="AY805" s="295" t="s">
        <v>32</v>
      </c>
      <c r="AZ805" s="294" t="s">
        <v>32</v>
      </c>
      <c r="BA805" s="294" t="s">
        <v>32</v>
      </c>
      <c r="BB805" s="295" t="s">
        <v>32</v>
      </c>
      <c r="BC805" s="296" t="s">
        <v>32</v>
      </c>
      <c r="BD805" s="292"/>
    </row>
    <row r="806" ht="12.75" customHeight="1">
      <c r="A806" s="293">
        <v>45243.43618184028</v>
      </c>
      <c r="B806" s="286" t="s">
        <v>506</v>
      </c>
      <c r="C806" s="287" t="s">
        <v>559</v>
      </c>
      <c r="D806" s="285" t="s">
        <v>16</v>
      </c>
      <c r="E806" s="285" t="s">
        <v>476</v>
      </c>
      <c r="F806" s="287" t="s">
        <v>1348</v>
      </c>
      <c r="G806" s="285" t="s">
        <v>21</v>
      </c>
      <c r="H806" s="285">
        <v>12.0</v>
      </c>
      <c r="I806" s="287" t="s">
        <v>479</v>
      </c>
      <c r="J806" s="287" t="s">
        <v>532</v>
      </c>
      <c r="K806" s="287" t="s">
        <v>532</v>
      </c>
      <c r="L806" s="287" t="s">
        <v>479</v>
      </c>
      <c r="M806" s="287" t="s">
        <v>483</v>
      </c>
      <c r="N806" s="287" t="s">
        <v>495</v>
      </c>
      <c r="O806" s="287"/>
      <c r="P806" s="287"/>
      <c r="Q806" s="294" t="s">
        <v>32</v>
      </c>
      <c r="R806" s="287" t="s">
        <v>18</v>
      </c>
      <c r="S806" s="288" t="s">
        <v>377</v>
      </c>
      <c r="T806" s="287" t="s">
        <v>18</v>
      </c>
      <c r="U806" s="287" t="s">
        <v>18</v>
      </c>
      <c r="V806" s="288" t="s">
        <v>18</v>
      </c>
      <c r="W806" s="294" t="s">
        <v>32</v>
      </c>
      <c r="X806" s="287" t="s">
        <v>18</v>
      </c>
      <c r="Y806" s="288" t="s">
        <v>377</v>
      </c>
      <c r="Z806" s="294" t="s">
        <v>32</v>
      </c>
      <c r="AA806" s="287" t="s">
        <v>18</v>
      </c>
      <c r="AB806" s="288" t="s">
        <v>377</v>
      </c>
      <c r="AC806" s="289" t="s">
        <v>377</v>
      </c>
      <c r="AD806" s="294" t="s">
        <v>32</v>
      </c>
      <c r="AE806" s="294" t="s">
        <v>32</v>
      </c>
      <c r="AF806" s="295" t="s">
        <v>32</v>
      </c>
      <c r="AG806" s="287" t="s">
        <v>18</v>
      </c>
      <c r="AH806" s="287" t="s">
        <v>18</v>
      </c>
      <c r="AI806" s="288" t="s">
        <v>18</v>
      </c>
      <c r="AJ806" s="294" t="s">
        <v>32</v>
      </c>
      <c r="AK806" s="287" t="s">
        <v>18</v>
      </c>
      <c r="AL806" s="288" t="s">
        <v>377</v>
      </c>
      <c r="AM806" s="287" t="s">
        <v>18</v>
      </c>
      <c r="AN806" s="287" t="s">
        <v>18</v>
      </c>
      <c r="AO806" s="288" t="s">
        <v>18</v>
      </c>
      <c r="AP806" s="289" t="s">
        <v>377</v>
      </c>
      <c r="AQ806" s="294" t="s">
        <v>32</v>
      </c>
      <c r="AR806" s="287" t="s">
        <v>18</v>
      </c>
      <c r="AS806" s="288" t="s">
        <v>377</v>
      </c>
      <c r="AT806" s="294" t="s">
        <v>32</v>
      </c>
      <c r="AU806" s="294" t="s">
        <v>32</v>
      </c>
      <c r="AV806" s="295" t="s">
        <v>32</v>
      </c>
      <c r="AW806" s="287" t="s">
        <v>18</v>
      </c>
      <c r="AX806" s="294" t="s">
        <v>32</v>
      </c>
      <c r="AY806" s="288" t="s">
        <v>377</v>
      </c>
      <c r="AZ806" s="294" t="s">
        <v>32</v>
      </c>
      <c r="BA806" s="294" t="s">
        <v>32</v>
      </c>
      <c r="BB806" s="295" t="s">
        <v>32</v>
      </c>
      <c r="BC806" s="289" t="s">
        <v>377</v>
      </c>
      <c r="BD806" s="292"/>
    </row>
    <row r="807" ht="12.75" customHeight="1">
      <c r="A807" s="293">
        <v>45243.43677467592</v>
      </c>
      <c r="B807" s="286" t="s">
        <v>506</v>
      </c>
      <c r="C807" s="287" t="s">
        <v>559</v>
      </c>
      <c r="D807" s="285" t="s">
        <v>16</v>
      </c>
      <c r="E807" s="285" t="s">
        <v>476</v>
      </c>
      <c r="F807" s="287" t="s">
        <v>1349</v>
      </c>
      <c r="G807" s="285" t="s">
        <v>21</v>
      </c>
      <c r="H807" s="285">
        <v>12.0</v>
      </c>
      <c r="I807" s="287" t="s">
        <v>479</v>
      </c>
      <c r="J807" s="287" t="s">
        <v>532</v>
      </c>
      <c r="K807" s="287" t="s">
        <v>532</v>
      </c>
      <c r="L807" s="287" t="s">
        <v>479</v>
      </c>
      <c r="M807" s="287" t="s">
        <v>490</v>
      </c>
      <c r="N807" s="287" t="s">
        <v>561</v>
      </c>
      <c r="O807" s="287"/>
      <c r="P807" s="287"/>
      <c r="Q807" s="294" t="s">
        <v>32</v>
      </c>
      <c r="R807" s="294" t="s">
        <v>32</v>
      </c>
      <c r="S807" s="295" t="s">
        <v>32</v>
      </c>
      <c r="T807" s="294" t="s">
        <v>32</v>
      </c>
      <c r="U807" s="294" t="s">
        <v>32</v>
      </c>
      <c r="V807" s="295" t="s">
        <v>32</v>
      </c>
      <c r="W807" s="294" t="s">
        <v>32</v>
      </c>
      <c r="X807" s="294" t="s">
        <v>32</v>
      </c>
      <c r="Y807" s="295" t="s">
        <v>32</v>
      </c>
      <c r="Z807" s="287" t="s">
        <v>377</v>
      </c>
      <c r="AA807" s="294" t="s">
        <v>32</v>
      </c>
      <c r="AB807" s="295" t="s">
        <v>32</v>
      </c>
      <c r="AC807" s="296" t="s">
        <v>32</v>
      </c>
      <c r="AD807" s="294" t="s">
        <v>32</v>
      </c>
      <c r="AE807" s="294" t="s">
        <v>32</v>
      </c>
      <c r="AF807" s="295" t="s">
        <v>32</v>
      </c>
      <c r="AG807" s="294" t="s">
        <v>32</v>
      </c>
      <c r="AH807" s="294" t="s">
        <v>32</v>
      </c>
      <c r="AI807" s="295" t="s">
        <v>32</v>
      </c>
      <c r="AJ807" s="294" t="s">
        <v>32</v>
      </c>
      <c r="AK807" s="287" t="s">
        <v>377</v>
      </c>
      <c r="AL807" s="295" t="s">
        <v>32</v>
      </c>
      <c r="AM807" s="287" t="s">
        <v>377</v>
      </c>
      <c r="AN807" s="287" t="s">
        <v>377</v>
      </c>
      <c r="AO807" s="288" t="s">
        <v>377</v>
      </c>
      <c r="AP807" s="296" t="s">
        <v>32</v>
      </c>
      <c r="AQ807" s="287" t="s">
        <v>377</v>
      </c>
      <c r="AR807" s="287" t="s">
        <v>18</v>
      </c>
      <c r="AS807" s="288" t="s">
        <v>377</v>
      </c>
      <c r="AT807" s="287" t="s">
        <v>18</v>
      </c>
      <c r="AU807" s="294" t="s">
        <v>32</v>
      </c>
      <c r="AV807" s="288" t="s">
        <v>377</v>
      </c>
      <c r="AW807" s="294" t="s">
        <v>32</v>
      </c>
      <c r="AX807" s="294" t="s">
        <v>32</v>
      </c>
      <c r="AY807" s="295" t="s">
        <v>32</v>
      </c>
      <c r="AZ807" s="294" t="s">
        <v>32</v>
      </c>
      <c r="BA807" s="294" t="s">
        <v>32</v>
      </c>
      <c r="BB807" s="288" t="s">
        <v>18</v>
      </c>
      <c r="BC807" s="289" t="s">
        <v>377</v>
      </c>
      <c r="BD807" s="292"/>
    </row>
    <row r="808" ht="12.75" customHeight="1">
      <c r="A808" s="300">
        <v>44796.72888966435</v>
      </c>
      <c r="B808" s="297" t="s">
        <v>506</v>
      </c>
      <c r="C808" s="298" t="s">
        <v>567</v>
      </c>
      <c r="D808" s="298" t="s">
        <v>16</v>
      </c>
      <c r="E808" s="285" t="s">
        <v>476</v>
      </c>
      <c r="F808" s="292" t="s">
        <v>1350</v>
      </c>
      <c r="G808" s="298" t="s">
        <v>21</v>
      </c>
      <c r="H808" s="298">
        <v>11.0</v>
      </c>
      <c r="I808" s="292" t="s">
        <v>479</v>
      </c>
      <c r="J808" s="292" t="s">
        <v>532</v>
      </c>
      <c r="K808" s="287" t="s">
        <v>532</v>
      </c>
      <c r="L808" s="292" t="s">
        <v>497</v>
      </c>
      <c r="M808" s="292" t="s">
        <v>586</v>
      </c>
      <c r="N808" s="292"/>
      <c r="O808" s="292"/>
      <c r="P808" s="292"/>
      <c r="Q808" s="299" t="s">
        <v>32</v>
      </c>
      <c r="R808" s="299" t="s">
        <v>32</v>
      </c>
      <c r="S808" s="295" t="s">
        <v>32</v>
      </c>
      <c r="T808" s="299" t="s">
        <v>32</v>
      </c>
      <c r="U808" s="299" t="s">
        <v>32</v>
      </c>
      <c r="V808" s="295" t="s">
        <v>32</v>
      </c>
      <c r="W808" s="292" t="s">
        <v>377</v>
      </c>
      <c r="X808" s="299" t="s">
        <v>32</v>
      </c>
      <c r="Y808" s="295" t="s">
        <v>32</v>
      </c>
      <c r="Z808" s="299" t="s">
        <v>32</v>
      </c>
      <c r="AA808" s="299" t="s">
        <v>32</v>
      </c>
      <c r="AB808" s="295" t="s">
        <v>32</v>
      </c>
      <c r="AC808" s="296" t="s">
        <v>32</v>
      </c>
      <c r="AD808" s="299" t="s">
        <v>32</v>
      </c>
      <c r="AE808" s="299" t="s">
        <v>32</v>
      </c>
      <c r="AF808" s="295" t="s">
        <v>32</v>
      </c>
      <c r="AG808" s="292" t="s">
        <v>377</v>
      </c>
      <c r="AH808" s="292" t="s">
        <v>377</v>
      </c>
      <c r="AI808" s="288" t="s">
        <v>377</v>
      </c>
      <c r="AJ808" s="292" t="s">
        <v>18</v>
      </c>
      <c r="AK808" s="299" t="s">
        <v>32</v>
      </c>
      <c r="AL808" s="288" t="s">
        <v>377</v>
      </c>
      <c r="AM808" s="292" t="s">
        <v>18</v>
      </c>
      <c r="AN808" s="292" t="s">
        <v>18</v>
      </c>
      <c r="AO808" s="288" t="s">
        <v>18</v>
      </c>
      <c r="AP808" s="289" t="s">
        <v>377</v>
      </c>
      <c r="AQ808" s="292" t="s">
        <v>377</v>
      </c>
      <c r="AR808" s="299" t="s">
        <v>32</v>
      </c>
      <c r="AS808" s="295" t="s">
        <v>32</v>
      </c>
      <c r="AT808" s="299" t="s">
        <v>32</v>
      </c>
      <c r="AU808" s="292" t="s">
        <v>18</v>
      </c>
      <c r="AV808" s="288" t="s">
        <v>377</v>
      </c>
      <c r="AW808" s="292" t="s">
        <v>377</v>
      </c>
      <c r="AX808" s="292" t="s">
        <v>377</v>
      </c>
      <c r="AY808" s="288" t="s">
        <v>377</v>
      </c>
      <c r="AZ808" s="299" t="s">
        <v>32</v>
      </c>
      <c r="BA808" s="292" t="s">
        <v>18</v>
      </c>
      <c r="BB808" s="295" t="s">
        <v>32</v>
      </c>
      <c r="BC808" s="296" t="s">
        <v>32</v>
      </c>
      <c r="BD808" s="292"/>
    </row>
    <row r="809" ht="12.75" customHeight="1">
      <c r="A809" s="300">
        <v>44796.81421967593</v>
      </c>
      <c r="B809" s="297" t="s">
        <v>506</v>
      </c>
      <c r="C809" s="298" t="s">
        <v>567</v>
      </c>
      <c r="D809" s="298" t="s">
        <v>16</v>
      </c>
      <c r="E809" s="285" t="s">
        <v>476</v>
      </c>
      <c r="F809" s="292" t="s">
        <v>1351</v>
      </c>
      <c r="G809" s="298" t="s">
        <v>17</v>
      </c>
      <c r="H809" s="298">
        <v>12.0</v>
      </c>
      <c r="I809" s="292" t="s">
        <v>479</v>
      </c>
      <c r="J809" s="292" t="s">
        <v>532</v>
      </c>
      <c r="K809" s="287" t="s">
        <v>532</v>
      </c>
      <c r="L809" s="292" t="s">
        <v>497</v>
      </c>
      <c r="M809" s="292" t="s">
        <v>586</v>
      </c>
      <c r="N809" s="292"/>
      <c r="O809" s="292"/>
      <c r="P809" s="292"/>
      <c r="Q809" s="299" t="s">
        <v>32</v>
      </c>
      <c r="R809" s="299" t="s">
        <v>32</v>
      </c>
      <c r="S809" s="295" t="s">
        <v>32</v>
      </c>
      <c r="T809" s="292" t="s">
        <v>377</v>
      </c>
      <c r="U809" s="299" t="s">
        <v>32</v>
      </c>
      <c r="V809" s="295" t="s">
        <v>32</v>
      </c>
      <c r="W809" s="292" t="s">
        <v>377</v>
      </c>
      <c r="X809" s="292" t="s">
        <v>377</v>
      </c>
      <c r="Y809" s="288" t="s">
        <v>377</v>
      </c>
      <c r="Z809" s="292" t="s">
        <v>18</v>
      </c>
      <c r="AA809" s="292" t="s">
        <v>18</v>
      </c>
      <c r="AB809" s="288" t="s">
        <v>18</v>
      </c>
      <c r="AC809" s="289" t="s">
        <v>377</v>
      </c>
      <c r="AD809" s="292" t="s">
        <v>377</v>
      </c>
      <c r="AE809" s="292" t="s">
        <v>18</v>
      </c>
      <c r="AF809" s="288" t="s">
        <v>377</v>
      </c>
      <c r="AG809" s="292" t="s">
        <v>377</v>
      </c>
      <c r="AH809" s="292" t="s">
        <v>377</v>
      </c>
      <c r="AI809" s="288" t="s">
        <v>377</v>
      </c>
      <c r="AJ809" s="292" t="s">
        <v>377</v>
      </c>
      <c r="AK809" s="292" t="s">
        <v>18</v>
      </c>
      <c r="AL809" s="288" t="s">
        <v>377</v>
      </c>
      <c r="AM809" s="292" t="s">
        <v>18</v>
      </c>
      <c r="AN809" s="292" t="s">
        <v>18</v>
      </c>
      <c r="AO809" s="288" t="s">
        <v>18</v>
      </c>
      <c r="AP809" s="289" t="s">
        <v>377</v>
      </c>
      <c r="AQ809" s="292" t="s">
        <v>377</v>
      </c>
      <c r="AR809" s="292" t="s">
        <v>18</v>
      </c>
      <c r="AS809" s="288" t="s">
        <v>377</v>
      </c>
      <c r="AT809" s="292" t="s">
        <v>377</v>
      </c>
      <c r="AU809" s="292" t="s">
        <v>377</v>
      </c>
      <c r="AV809" s="288" t="s">
        <v>377</v>
      </c>
      <c r="AW809" s="292" t="s">
        <v>18</v>
      </c>
      <c r="AX809" s="292" t="s">
        <v>18</v>
      </c>
      <c r="AY809" s="288" t="s">
        <v>18</v>
      </c>
      <c r="AZ809" s="292" t="s">
        <v>377</v>
      </c>
      <c r="BA809" s="292" t="s">
        <v>18</v>
      </c>
      <c r="BB809" s="295" t="s">
        <v>32</v>
      </c>
      <c r="BC809" s="296" t="s">
        <v>32</v>
      </c>
      <c r="BD809" s="292"/>
    </row>
    <row r="810" ht="12.75" customHeight="1">
      <c r="A810" s="300">
        <v>44796.821003668985</v>
      </c>
      <c r="B810" s="297" t="s">
        <v>506</v>
      </c>
      <c r="C810" s="298" t="s">
        <v>567</v>
      </c>
      <c r="D810" s="298" t="s">
        <v>16</v>
      </c>
      <c r="E810" s="285" t="s">
        <v>476</v>
      </c>
      <c r="F810" s="292" t="s">
        <v>1352</v>
      </c>
      <c r="G810" s="298" t="s">
        <v>21</v>
      </c>
      <c r="H810" s="298">
        <v>12.0</v>
      </c>
      <c r="I810" s="292" t="s">
        <v>479</v>
      </c>
      <c r="J810" s="292" t="s">
        <v>532</v>
      </c>
      <c r="K810" s="287" t="s">
        <v>532</v>
      </c>
      <c r="L810" s="292" t="s">
        <v>497</v>
      </c>
      <c r="M810" s="292" t="s">
        <v>586</v>
      </c>
      <c r="N810" s="292"/>
      <c r="O810" s="292"/>
      <c r="P810" s="292"/>
      <c r="Q810" s="299" t="s">
        <v>32</v>
      </c>
      <c r="R810" s="299" t="s">
        <v>32</v>
      </c>
      <c r="S810" s="295" t="s">
        <v>32</v>
      </c>
      <c r="T810" s="299" t="s">
        <v>32</v>
      </c>
      <c r="U810" s="299" t="s">
        <v>32</v>
      </c>
      <c r="V810" s="295" t="s">
        <v>32</v>
      </c>
      <c r="W810" s="299" t="s">
        <v>32</v>
      </c>
      <c r="X810" s="299" t="s">
        <v>32</v>
      </c>
      <c r="Y810" s="295" t="s">
        <v>32</v>
      </c>
      <c r="Z810" s="299" t="s">
        <v>32</v>
      </c>
      <c r="AA810" s="299" t="s">
        <v>32</v>
      </c>
      <c r="AB810" s="295" t="s">
        <v>32</v>
      </c>
      <c r="AC810" s="296" t="s">
        <v>32</v>
      </c>
      <c r="AD810" s="292" t="s">
        <v>377</v>
      </c>
      <c r="AE810" s="299" t="s">
        <v>32</v>
      </c>
      <c r="AF810" s="295" t="s">
        <v>32</v>
      </c>
      <c r="AG810" s="292" t="s">
        <v>377</v>
      </c>
      <c r="AH810" s="299" t="s">
        <v>32</v>
      </c>
      <c r="AI810" s="295" t="s">
        <v>32</v>
      </c>
      <c r="AJ810" s="299" t="s">
        <v>32</v>
      </c>
      <c r="AK810" s="292" t="s">
        <v>377</v>
      </c>
      <c r="AL810" s="295" t="s">
        <v>32</v>
      </c>
      <c r="AM810" s="292" t="s">
        <v>18</v>
      </c>
      <c r="AN810" s="292" t="s">
        <v>377</v>
      </c>
      <c r="AO810" s="288" t="s">
        <v>377</v>
      </c>
      <c r="AP810" s="289" t="s">
        <v>377</v>
      </c>
      <c r="AQ810" s="299" t="s">
        <v>32</v>
      </c>
      <c r="AR810" s="299" t="s">
        <v>32</v>
      </c>
      <c r="AS810" s="295" t="s">
        <v>32</v>
      </c>
      <c r="AT810" s="292" t="s">
        <v>377</v>
      </c>
      <c r="AU810" s="299" t="s">
        <v>32</v>
      </c>
      <c r="AV810" s="295" t="s">
        <v>32</v>
      </c>
      <c r="AW810" s="292" t="s">
        <v>18</v>
      </c>
      <c r="AX810" s="299" t="s">
        <v>32</v>
      </c>
      <c r="AY810" s="288" t="s">
        <v>377</v>
      </c>
      <c r="AZ810" s="292" t="s">
        <v>377</v>
      </c>
      <c r="BA810" s="299" t="s">
        <v>32</v>
      </c>
      <c r="BB810" s="288" t="s">
        <v>377</v>
      </c>
      <c r="BC810" s="289" t="s">
        <v>377</v>
      </c>
      <c r="BD810" s="292"/>
    </row>
    <row r="811" ht="12.75" customHeight="1">
      <c r="A811" s="300">
        <v>44796.82955497685</v>
      </c>
      <c r="B811" s="297" t="s">
        <v>506</v>
      </c>
      <c r="C811" s="298" t="s">
        <v>567</v>
      </c>
      <c r="D811" s="298" t="s">
        <v>16</v>
      </c>
      <c r="E811" s="285" t="s">
        <v>476</v>
      </c>
      <c r="F811" s="292" t="s">
        <v>543</v>
      </c>
      <c r="G811" s="298" t="s">
        <v>21</v>
      </c>
      <c r="H811" s="298">
        <v>12.0</v>
      </c>
      <c r="I811" s="292" t="s">
        <v>479</v>
      </c>
      <c r="J811" s="292" t="s">
        <v>532</v>
      </c>
      <c r="K811" s="287" t="s">
        <v>532</v>
      </c>
      <c r="L811" s="292" t="s">
        <v>497</v>
      </c>
      <c r="M811" s="292" t="s">
        <v>586</v>
      </c>
      <c r="N811" s="292"/>
      <c r="O811" s="292"/>
      <c r="P811" s="292"/>
      <c r="Q811" s="292" t="s">
        <v>18</v>
      </c>
      <c r="R811" s="299" t="s">
        <v>32</v>
      </c>
      <c r="S811" s="288" t="s">
        <v>377</v>
      </c>
      <c r="T811" s="292" t="s">
        <v>377</v>
      </c>
      <c r="U811" s="299" t="s">
        <v>32</v>
      </c>
      <c r="V811" s="295" t="s">
        <v>32</v>
      </c>
      <c r="W811" s="299" t="s">
        <v>32</v>
      </c>
      <c r="X811" s="299" t="s">
        <v>32</v>
      </c>
      <c r="Y811" s="295" t="s">
        <v>32</v>
      </c>
      <c r="Z811" s="292" t="s">
        <v>377</v>
      </c>
      <c r="AA811" s="299" t="s">
        <v>32</v>
      </c>
      <c r="AB811" s="295" t="s">
        <v>32</v>
      </c>
      <c r="AC811" s="296" t="s">
        <v>32</v>
      </c>
      <c r="AD811" s="292" t="s">
        <v>18</v>
      </c>
      <c r="AE811" s="299" t="s">
        <v>32</v>
      </c>
      <c r="AF811" s="288" t="s">
        <v>377</v>
      </c>
      <c r="AG811" s="292" t="s">
        <v>377</v>
      </c>
      <c r="AH811" s="299" t="s">
        <v>32</v>
      </c>
      <c r="AI811" s="295" t="s">
        <v>32</v>
      </c>
      <c r="AJ811" s="299" t="s">
        <v>32</v>
      </c>
      <c r="AK811" s="299" t="s">
        <v>32</v>
      </c>
      <c r="AL811" s="295" t="s">
        <v>32</v>
      </c>
      <c r="AM811" s="299" t="s">
        <v>32</v>
      </c>
      <c r="AN811" s="299" t="s">
        <v>32</v>
      </c>
      <c r="AO811" s="295" t="s">
        <v>32</v>
      </c>
      <c r="AP811" s="296" t="s">
        <v>32</v>
      </c>
      <c r="AQ811" s="299" t="s">
        <v>32</v>
      </c>
      <c r="AR811" s="299" t="s">
        <v>32</v>
      </c>
      <c r="AS811" s="295" t="s">
        <v>32</v>
      </c>
      <c r="AT811" s="299" t="s">
        <v>32</v>
      </c>
      <c r="AU811" s="299" t="s">
        <v>32</v>
      </c>
      <c r="AV811" s="295" t="s">
        <v>32</v>
      </c>
      <c r="AW811" s="292" t="s">
        <v>18</v>
      </c>
      <c r="AX811" s="299" t="s">
        <v>32</v>
      </c>
      <c r="AY811" s="288" t="s">
        <v>377</v>
      </c>
      <c r="AZ811" s="292" t="s">
        <v>377</v>
      </c>
      <c r="BA811" s="292" t="s">
        <v>377</v>
      </c>
      <c r="BB811" s="288" t="s">
        <v>377</v>
      </c>
      <c r="BC811" s="289" t="s">
        <v>377</v>
      </c>
      <c r="BD811" s="292"/>
    </row>
    <row r="812" ht="12.75" customHeight="1">
      <c r="A812" s="293">
        <v>45259.52166082176</v>
      </c>
      <c r="B812" s="286" t="s">
        <v>525</v>
      </c>
      <c r="C812" s="287" t="s">
        <v>559</v>
      </c>
      <c r="D812" s="285" t="s">
        <v>16</v>
      </c>
      <c r="E812" s="285" t="s">
        <v>476</v>
      </c>
      <c r="F812" s="287" t="s">
        <v>1353</v>
      </c>
      <c r="G812" s="285" t="s">
        <v>21</v>
      </c>
      <c r="H812" s="285">
        <v>12.0</v>
      </c>
      <c r="I812" s="287" t="s">
        <v>479</v>
      </c>
      <c r="J812" s="287" t="s">
        <v>532</v>
      </c>
      <c r="K812" s="287" t="s">
        <v>532</v>
      </c>
      <c r="L812" s="287" t="s">
        <v>497</v>
      </c>
      <c r="M812" s="292"/>
      <c r="N812" s="292"/>
      <c r="O812" s="292"/>
      <c r="P812" s="292"/>
      <c r="Q812" s="294" t="s">
        <v>32</v>
      </c>
      <c r="R812" s="294" t="s">
        <v>32</v>
      </c>
      <c r="S812" s="295" t="s">
        <v>32</v>
      </c>
      <c r="T812" s="287" t="s">
        <v>18</v>
      </c>
      <c r="U812" s="294" t="s">
        <v>32</v>
      </c>
      <c r="V812" s="288" t="s">
        <v>377</v>
      </c>
      <c r="W812" s="287" t="s">
        <v>377</v>
      </c>
      <c r="X812" s="287" t="s">
        <v>18</v>
      </c>
      <c r="Y812" s="288" t="s">
        <v>377</v>
      </c>
      <c r="Z812" s="287" t="s">
        <v>377</v>
      </c>
      <c r="AA812" s="294" t="s">
        <v>32</v>
      </c>
      <c r="AB812" s="295" t="s">
        <v>32</v>
      </c>
      <c r="AC812" s="289" t="s">
        <v>377</v>
      </c>
      <c r="AD812" s="287" t="s">
        <v>377</v>
      </c>
      <c r="AE812" s="294" t="s">
        <v>32</v>
      </c>
      <c r="AF812" s="295" t="s">
        <v>32</v>
      </c>
      <c r="AG812" s="287" t="s">
        <v>377</v>
      </c>
      <c r="AH812" s="287" t="s">
        <v>377</v>
      </c>
      <c r="AI812" s="288" t="s">
        <v>377</v>
      </c>
      <c r="AJ812" s="287" t="s">
        <v>377</v>
      </c>
      <c r="AK812" s="294" t="s">
        <v>32</v>
      </c>
      <c r="AL812" s="295" t="s">
        <v>32</v>
      </c>
      <c r="AM812" s="294" t="s">
        <v>32</v>
      </c>
      <c r="AN812" s="287" t="s">
        <v>18</v>
      </c>
      <c r="AO812" s="288" t="s">
        <v>377</v>
      </c>
      <c r="AP812" s="289" t="s">
        <v>377</v>
      </c>
      <c r="AQ812" s="294" t="s">
        <v>32</v>
      </c>
      <c r="AR812" s="287" t="s">
        <v>377</v>
      </c>
      <c r="AS812" s="295" t="s">
        <v>32</v>
      </c>
      <c r="AT812" s="287" t="s">
        <v>377</v>
      </c>
      <c r="AU812" s="287" t="s">
        <v>377</v>
      </c>
      <c r="AV812" s="288" t="s">
        <v>377</v>
      </c>
      <c r="AW812" s="294" t="s">
        <v>32</v>
      </c>
      <c r="AX812" s="294" t="s">
        <v>32</v>
      </c>
      <c r="AY812" s="295" t="s">
        <v>32</v>
      </c>
      <c r="AZ812" s="294" t="s">
        <v>32</v>
      </c>
      <c r="BA812" s="294" t="s">
        <v>32</v>
      </c>
      <c r="BB812" s="288" t="s">
        <v>377</v>
      </c>
      <c r="BC812" s="289" t="s">
        <v>377</v>
      </c>
      <c r="BD812" s="292"/>
    </row>
    <row r="813" ht="12.75" customHeight="1">
      <c r="A813" s="293">
        <v>45259.58221170139</v>
      </c>
      <c r="B813" s="286" t="s">
        <v>525</v>
      </c>
      <c r="C813" s="287" t="s">
        <v>559</v>
      </c>
      <c r="D813" s="285" t="s">
        <v>16</v>
      </c>
      <c r="E813" s="285" t="s">
        <v>476</v>
      </c>
      <c r="F813" s="287" t="s">
        <v>1354</v>
      </c>
      <c r="G813" s="285" t="s">
        <v>17</v>
      </c>
      <c r="H813" s="285">
        <v>11.0</v>
      </c>
      <c r="I813" s="287" t="s">
        <v>479</v>
      </c>
      <c r="J813" s="287" t="s">
        <v>532</v>
      </c>
      <c r="K813" s="287" t="s">
        <v>532</v>
      </c>
      <c r="L813" s="287" t="s">
        <v>497</v>
      </c>
      <c r="M813" s="292"/>
      <c r="N813" s="292"/>
      <c r="O813" s="292"/>
      <c r="P813" s="292"/>
      <c r="Q813" s="287" t="s">
        <v>377</v>
      </c>
      <c r="R813" s="294" t="s">
        <v>32</v>
      </c>
      <c r="S813" s="295" t="s">
        <v>32</v>
      </c>
      <c r="T813" s="287" t="s">
        <v>18</v>
      </c>
      <c r="U813" s="287" t="s">
        <v>18</v>
      </c>
      <c r="V813" s="288" t="s">
        <v>18</v>
      </c>
      <c r="W813" s="287" t="s">
        <v>18</v>
      </c>
      <c r="X813" s="294" t="s">
        <v>32</v>
      </c>
      <c r="Y813" s="288" t="s">
        <v>377</v>
      </c>
      <c r="Z813" s="294" t="s">
        <v>32</v>
      </c>
      <c r="AA813" s="294" t="s">
        <v>32</v>
      </c>
      <c r="AB813" s="295" t="s">
        <v>32</v>
      </c>
      <c r="AC813" s="289" t="s">
        <v>377</v>
      </c>
      <c r="AD813" s="287" t="s">
        <v>18</v>
      </c>
      <c r="AE813" s="287" t="s">
        <v>377</v>
      </c>
      <c r="AF813" s="288" t="s">
        <v>377</v>
      </c>
      <c r="AG813" s="287" t="s">
        <v>377</v>
      </c>
      <c r="AH813" s="287" t="s">
        <v>377</v>
      </c>
      <c r="AI813" s="288" t="s">
        <v>377</v>
      </c>
      <c r="AJ813" s="287" t="s">
        <v>18</v>
      </c>
      <c r="AK813" s="294" t="s">
        <v>32</v>
      </c>
      <c r="AL813" s="288" t="s">
        <v>377</v>
      </c>
      <c r="AM813" s="287" t="s">
        <v>377</v>
      </c>
      <c r="AN813" s="287" t="s">
        <v>377</v>
      </c>
      <c r="AO813" s="288" t="s">
        <v>377</v>
      </c>
      <c r="AP813" s="289" t="s">
        <v>377</v>
      </c>
      <c r="AQ813" s="287" t="s">
        <v>377</v>
      </c>
      <c r="AR813" s="287" t="s">
        <v>18</v>
      </c>
      <c r="AS813" s="288" t="s">
        <v>377</v>
      </c>
      <c r="AT813" s="287" t="s">
        <v>377</v>
      </c>
      <c r="AU813" s="287" t="s">
        <v>377</v>
      </c>
      <c r="AV813" s="288" t="s">
        <v>377</v>
      </c>
      <c r="AW813" s="287" t="s">
        <v>377</v>
      </c>
      <c r="AX813" s="287" t="s">
        <v>377</v>
      </c>
      <c r="AY813" s="288" t="s">
        <v>377</v>
      </c>
      <c r="AZ813" s="287" t="s">
        <v>377</v>
      </c>
      <c r="BA813" s="287" t="s">
        <v>377</v>
      </c>
      <c r="BB813" s="295" t="s">
        <v>32</v>
      </c>
      <c r="BC813" s="296" t="s">
        <v>32</v>
      </c>
      <c r="BD813" s="292"/>
    </row>
    <row r="814" ht="12.75" customHeight="1">
      <c r="A814" s="293">
        <v>45259.58998391204</v>
      </c>
      <c r="B814" s="286" t="s">
        <v>525</v>
      </c>
      <c r="C814" s="287" t="s">
        <v>559</v>
      </c>
      <c r="D814" s="285" t="s">
        <v>16</v>
      </c>
      <c r="E814" s="285" t="s">
        <v>476</v>
      </c>
      <c r="F814" s="287" t="s">
        <v>1355</v>
      </c>
      <c r="G814" s="285" t="s">
        <v>17</v>
      </c>
      <c r="H814" s="285">
        <v>11.0</v>
      </c>
      <c r="I814" s="287" t="s">
        <v>479</v>
      </c>
      <c r="J814" s="287" t="s">
        <v>532</v>
      </c>
      <c r="K814" s="287" t="s">
        <v>532</v>
      </c>
      <c r="L814" s="287" t="s">
        <v>497</v>
      </c>
      <c r="M814" s="292"/>
      <c r="N814" s="292"/>
      <c r="O814" s="292"/>
      <c r="P814" s="292"/>
      <c r="Q814" s="287" t="s">
        <v>377</v>
      </c>
      <c r="R814" s="287" t="s">
        <v>18</v>
      </c>
      <c r="S814" s="288" t="s">
        <v>377</v>
      </c>
      <c r="T814" s="294" t="s">
        <v>32</v>
      </c>
      <c r="U814" s="287" t="s">
        <v>377</v>
      </c>
      <c r="V814" s="295" t="s">
        <v>32</v>
      </c>
      <c r="W814" s="287" t="s">
        <v>18</v>
      </c>
      <c r="X814" s="294" t="s">
        <v>32</v>
      </c>
      <c r="Y814" s="288" t="s">
        <v>377</v>
      </c>
      <c r="Z814" s="287" t="s">
        <v>377</v>
      </c>
      <c r="AA814" s="287" t="s">
        <v>377</v>
      </c>
      <c r="AB814" s="288" t="s">
        <v>377</v>
      </c>
      <c r="AC814" s="289" t="s">
        <v>377</v>
      </c>
      <c r="AD814" s="287" t="s">
        <v>377</v>
      </c>
      <c r="AE814" s="287" t="s">
        <v>377</v>
      </c>
      <c r="AF814" s="288" t="s">
        <v>377</v>
      </c>
      <c r="AG814" s="287" t="s">
        <v>18</v>
      </c>
      <c r="AH814" s="294" t="s">
        <v>32</v>
      </c>
      <c r="AI814" s="288" t="s">
        <v>377</v>
      </c>
      <c r="AJ814" s="287" t="s">
        <v>18</v>
      </c>
      <c r="AK814" s="287" t="s">
        <v>377</v>
      </c>
      <c r="AL814" s="288" t="s">
        <v>377</v>
      </c>
      <c r="AM814" s="287" t="s">
        <v>18</v>
      </c>
      <c r="AN814" s="287" t="s">
        <v>377</v>
      </c>
      <c r="AO814" s="288" t="s">
        <v>377</v>
      </c>
      <c r="AP814" s="289" t="s">
        <v>377</v>
      </c>
      <c r="AQ814" s="287" t="s">
        <v>377</v>
      </c>
      <c r="AR814" s="287" t="s">
        <v>377</v>
      </c>
      <c r="AS814" s="288" t="s">
        <v>377</v>
      </c>
      <c r="AT814" s="287" t="s">
        <v>377</v>
      </c>
      <c r="AU814" s="287" t="s">
        <v>377</v>
      </c>
      <c r="AV814" s="288" t="s">
        <v>377</v>
      </c>
      <c r="AW814" s="287" t="s">
        <v>377</v>
      </c>
      <c r="AX814" s="287" t="s">
        <v>18</v>
      </c>
      <c r="AY814" s="288" t="s">
        <v>377</v>
      </c>
      <c r="AZ814" s="287" t="s">
        <v>18</v>
      </c>
      <c r="BA814" s="287" t="s">
        <v>18</v>
      </c>
      <c r="BB814" s="295" t="s">
        <v>32</v>
      </c>
      <c r="BC814" s="296" t="s">
        <v>32</v>
      </c>
      <c r="BD814" s="292"/>
    </row>
    <row r="815" ht="12.75" customHeight="1">
      <c r="A815" s="293">
        <v>45259.62710890046</v>
      </c>
      <c r="B815" s="286" t="s">
        <v>525</v>
      </c>
      <c r="C815" s="287" t="s">
        <v>559</v>
      </c>
      <c r="D815" s="285" t="s">
        <v>16</v>
      </c>
      <c r="E815" s="285" t="s">
        <v>476</v>
      </c>
      <c r="F815" s="287" t="s">
        <v>1356</v>
      </c>
      <c r="G815" s="285" t="s">
        <v>21</v>
      </c>
      <c r="H815" s="285">
        <v>12.0</v>
      </c>
      <c r="I815" s="287" t="s">
        <v>479</v>
      </c>
      <c r="J815" s="287" t="s">
        <v>532</v>
      </c>
      <c r="K815" s="287" t="s">
        <v>532</v>
      </c>
      <c r="L815" s="287" t="s">
        <v>479</v>
      </c>
      <c r="M815" s="287" t="s">
        <v>490</v>
      </c>
      <c r="N815" s="287" t="s">
        <v>500</v>
      </c>
      <c r="O815" s="287"/>
      <c r="P815" s="287"/>
      <c r="Q815" s="294" t="s">
        <v>32</v>
      </c>
      <c r="R815" s="294" t="s">
        <v>32</v>
      </c>
      <c r="S815" s="295" t="s">
        <v>32</v>
      </c>
      <c r="T815" s="294" t="s">
        <v>32</v>
      </c>
      <c r="U815" s="294" t="s">
        <v>32</v>
      </c>
      <c r="V815" s="295" t="s">
        <v>32</v>
      </c>
      <c r="W815" s="294" t="s">
        <v>32</v>
      </c>
      <c r="X815" s="294" t="s">
        <v>32</v>
      </c>
      <c r="Y815" s="295" t="s">
        <v>32</v>
      </c>
      <c r="Z815" s="294" t="s">
        <v>32</v>
      </c>
      <c r="AA815" s="294" t="s">
        <v>32</v>
      </c>
      <c r="AB815" s="295" t="s">
        <v>32</v>
      </c>
      <c r="AC815" s="296" t="s">
        <v>32</v>
      </c>
      <c r="AD815" s="287" t="s">
        <v>377</v>
      </c>
      <c r="AE815" s="294" t="s">
        <v>32</v>
      </c>
      <c r="AF815" s="295" t="s">
        <v>32</v>
      </c>
      <c r="AG815" s="294" t="s">
        <v>32</v>
      </c>
      <c r="AH815" s="287" t="s">
        <v>377</v>
      </c>
      <c r="AI815" s="295" t="s">
        <v>32</v>
      </c>
      <c r="AJ815" s="287" t="s">
        <v>377</v>
      </c>
      <c r="AK815" s="294" t="s">
        <v>32</v>
      </c>
      <c r="AL815" s="295" t="s">
        <v>32</v>
      </c>
      <c r="AM815" s="294" t="s">
        <v>32</v>
      </c>
      <c r="AN815" s="294" t="s">
        <v>32</v>
      </c>
      <c r="AO815" s="295" t="s">
        <v>32</v>
      </c>
      <c r="AP815" s="296" t="s">
        <v>32</v>
      </c>
      <c r="AQ815" s="287" t="s">
        <v>377</v>
      </c>
      <c r="AR815" s="294" t="s">
        <v>32</v>
      </c>
      <c r="AS815" s="295" t="s">
        <v>32</v>
      </c>
      <c r="AT815" s="287" t="s">
        <v>377</v>
      </c>
      <c r="AU815" s="287" t="s">
        <v>377</v>
      </c>
      <c r="AV815" s="288" t="s">
        <v>377</v>
      </c>
      <c r="AW815" s="294" t="s">
        <v>32</v>
      </c>
      <c r="AX815" s="287" t="s">
        <v>377</v>
      </c>
      <c r="AY815" s="295" t="s">
        <v>32</v>
      </c>
      <c r="AZ815" s="287" t="s">
        <v>377</v>
      </c>
      <c r="BA815" s="294" t="s">
        <v>32</v>
      </c>
      <c r="BB815" s="295" t="s">
        <v>32</v>
      </c>
      <c r="BC815" s="296" t="s">
        <v>32</v>
      </c>
      <c r="BD815" s="292"/>
    </row>
    <row r="816" ht="12.75" customHeight="1">
      <c r="A816" s="293">
        <v>45259.635054108796</v>
      </c>
      <c r="B816" s="286" t="s">
        <v>525</v>
      </c>
      <c r="C816" s="287" t="s">
        <v>559</v>
      </c>
      <c r="D816" s="285" t="s">
        <v>16</v>
      </c>
      <c r="E816" s="285" t="s">
        <v>476</v>
      </c>
      <c r="F816" s="287" t="s">
        <v>1357</v>
      </c>
      <c r="G816" s="285" t="s">
        <v>21</v>
      </c>
      <c r="H816" s="285">
        <v>11.0</v>
      </c>
      <c r="I816" s="287" t="s">
        <v>479</v>
      </c>
      <c r="J816" s="287" t="s">
        <v>532</v>
      </c>
      <c r="K816" s="287" t="s">
        <v>532</v>
      </c>
      <c r="L816" s="287" t="s">
        <v>497</v>
      </c>
      <c r="M816" s="292"/>
      <c r="N816" s="292"/>
      <c r="O816" s="292"/>
      <c r="P816" s="292"/>
      <c r="Q816" s="287" t="s">
        <v>377</v>
      </c>
      <c r="R816" s="294" t="s">
        <v>32</v>
      </c>
      <c r="S816" s="295" t="s">
        <v>32</v>
      </c>
      <c r="T816" s="294" t="s">
        <v>32</v>
      </c>
      <c r="U816" s="294" t="s">
        <v>32</v>
      </c>
      <c r="V816" s="295" t="s">
        <v>32</v>
      </c>
      <c r="W816" s="287" t="s">
        <v>377</v>
      </c>
      <c r="X816" s="287" t="s">
        <v>377</v>
      </c>
      <c r="Y816" s="288" t="s">
        <v>377</v>
      </c>
      <c r="Z816" s="287" t="s">
        <v>377</v>
      </c>
      <c r="AA816" s="294" t="s">
        <v>32</v>
      </c>
      <c r="AB816" s="295" t="s">
        <v>32</v>
      </c>
      <c r="AC816" s="296" t="s">
        <v>32</v>
      </c>
      <c r="AD816" s="287" t="s">
        <v>18</v>
      </c>
      <c r="AE816" s="287" t="s">
        <v>377</v>
      </c>
      <c r="AF816" s="288" t="s">
        <v>377</v>
      </c>
      <c r="AG816" s="287" t="s">
        <v>18</v>
      </c>
      <c r="AH816" s="294" t="s">
        <v>32</v>
      </c>
      <c r="AI816" s="288" t="s">
        <v>377</v>
      </c>
      <c r="AJ816" s="287" t="s">
        <v>377</v>
      </c>
      <c r="AK816" s="294" t="s">
        <v>32</v>
      </c>
      <c r="AL816" s="295" t="s">
        <v>32</v>
      </c>
      <c r="AM816" s="294" t="s">
        <v>32</v>
      </c>
      <c r="AN816" s="287" t="s">
        <v>18</v>
      </c>
      <c r="AO816" s="288" t="s">
        <v>377</v>
      </c>
      <c r="AP816" s="289" t="s">
        <v>377</v>
      </c>
      <c r="AQ816" s="294" t="s">
        <v>32</v>
      </c>
      <c r="AR816" s="287" t="s">
        <v>377</v>
      </c>
      <c r="AS816" s="295" t="s">
        <v>32</v>
      </c>
      <c r="AT816" s="294" t="s">
        <v>32</v>
      </c>
      <c r="AU816" s="287" t="s">
        <v>18</v>
      </c>
      <c r="AV816" s="288" t="s">
        <v>377</v>
      </c>
      <c r="AW816" s="287" t="s">
        <v>18</v>
      </c>
      <c r="AX816" s="294" t="s">
        <v>32</v>
      </c>
      <c r="AY816" s="288" t="s">
        <v>377</v>
      </c>
      <c r="AZ816" s="294" t="s">
        <v>32</v>
      </c>
      <c r="BA816" s="294" t="s">
        <v>32</v>
      </c>
      <c r="BB816" s="295" t="s">
        <v>32</v>
      </c>
      <c r="BC816" s="296" t="s">
        <v>32</v>
      </c>
      <c r="BD816" s="292"/>
    </row>
    <row r="817" ht="12.75" customHeight="1">
      <c r="A817" s="293">
        <v>44790.45942079861</v>
      </c>
      <c r="B817" s="297" t="s">
        <v>525</v>
      </c>
      <c r="C817" s="298" t="s">
        <v>567</v>
      </c>
      <c r="D817" s="298" t="s">
        <v>16</v>
      </c>
      <c r="E817" s="285" t="s">
        <v>476</v>
      </c>
      <c r="F817" s="292" t="s">
        <v>1358</v>
      </c>
      <c r="G817" s="298" t="s">
        <v>17</v>
      </c>
      <c r="H817" s="298">
        <v>12.0</v>
      </c>
      <c r="I817" s="292" t="s">
        <v>479</v>
      </c>
      <c r="J817" s="292" t="s">
        <v>532</v>
      </c>
      <c r="K817" s="287" t="s">
        <v>532</v>
      </c>
      <c r="L817" s="292" t="s">
        <v>479</v>
      </c>
      <c r="M817" s="292" t="s">
        <v>490</v>
      </c>
      <c r="N817" s="292"/>
      <c r="O817" s="292"/>
      <c r="P817" s="292"/>
      <c r="Q817" s="299" t="s">
        <v>32</v>
      </c>
      <c r="R817" s="299" t="s">
        <v>32</v>
      </c>
      <c r="S817" s="295" t="s">
        <v>32</v>
      </c>
      <c r="T817" s="292" t="s">
        <v>18</v>
      </c>
      <c r="U817" s="299" t="s">
        <v>32</v>
      </c>
      <c r="V817" s="288" t="s">
        <v>377</v>
      </c>
      <c r="W817" s="292" t="s">
        <v>377</v>
      </c>
      <c r="X817" s="292" t="s">
        <v>18</v>
      </c>
      <c r="Y817" s="288" t="s">
        <v>377</v>
      </c>
      <c r="Z817" s="292" t="s">
        <v>18</v>
      </c>
      <c r="AA817" s="292" t="s">
        <v>18</v>
      </c>
      <c r="AB817" s="288" t="s">
        <v>18</v>
      </c>
      <c r="AC817" s="289" t="s">
        <v>377</v>
      </c>
      <c r="AD817" s="292" t="s">
        <v>377</v>
      </c>
      <c r="AE817" s="292" t="s">
        <v>377</v>
      </c>
      <c r="AF817" s="288" t="s">
        <v>377</v>
      </c>
      <c r="AG817" s="299" t="s">
        <v>32</v>
      </c>
      <c r="AH817" s="292" t="s">
        <v>377</v>
      </c>
      <c r="AI817" s="295" t="s">
        <v>32</v>
      </c>
      <c r="AJ817" s="292" t="s">
        <v>377</v>
      </c>
      <c r="AK817" s="292" t="s">
        <v>377</v>
      </c>
      <c r="AL817" s="288" t="s">
        <v>377</v>
      </c>
      <c r="AM817" s="292" t="s">
        <v>18</v>
      </c>
      <c r="AN817" s="292" t="s">
        <v>18</v>
      </c>
      <c r="AO817" s="288" t="s">
        <v>18</v>
      </c>
      <c r="AP817" s="289" t="s">
        <v>377</v>
      </c>
      <c r="AQ817" s="299" t="s">
        <v>32</v>
      </c>
      <c r="AR817" s="299" t="s">
        <v>32</v>
      </c>
      <c r="AS817" s="295" t="s">
        <v>32</v>
      </c>
      <c r="AT817" s="292" t="s">
        <v>18</v>
      </c>
      <c r="AU817" s="292" t="s">
        <v>377</v>
      </c>
      <c r="AV817" s="288" t="s">
        <v>377</v>
      </c>
      <c r="AW817" s="292" t="s">
        <v>377</v>
      </c>
      <c r="AX817" s="299" t="s">
        <v>32</v>
      </c>
      <c r="AY817" s="295" t="s">
        <v>32</v>
      </c>
      <c r="AZ817" s="299" t="s">
        <v>32</v>
      </c>
      <c r="BA817" s="299" t="s">
        <v>32</v>
      </c>
      <c r="BB817" s="295" t="s">
        <v>32</v>
      </c>
      <c r="BC817" s="296" t="s">
        <v>32</v>
      </c>
      <c r="BD817" s="292"/>
    </row>
    <row r="818" ht="12.75" customHeight="1">
      <c r="A818" s="293">
        <v>45259.65528248843</v>
      </c>
      <c r="B818" s="286" t="s">
        <v>525</v>
      </c>
      <c r="C818" s="285" t="s">
        <v>559</v>
      </c>
      <c r="D818" s="285" t="s">
        <v>16</v>
      </c>
      <c r="E818" s="285" t="s">
        <v>577</v>
      </c>
      <c r="F818" s="287" t="s">
        <v>1359</v>
      </c>
      <c r="G818" s="285" t="s">
        <v>17</v>
      </c>
      <c r="H818" s="285">
        <v>17.0</v>
      </c>
      <c r="I818" s="287" t="s">
        <v>479</v>
      </c>
      <c r="J818" s="287" t="s">
        <v>532</v>
      </c>
      <c r="K818" s="287" t="s">
        <v>532</v>
      </c>
      <c r="L818" s="287" t="s">
        <v>479</v>
      </c>
      <c r="M818" s="287" t="s">
        <v>490</v>
      </c>
      <c r="N818" s="287" t="s">
        <v>490</v>
      </c>
      <c r="O818" s="285" t="s">
        <v>479</v>
      </c>
      <c r="P818" s="287" t="s">
        <v>580</v>
      </c>
      <c r="Q818" s="287" t="s">
        <v>377</v>
      </c>
      <c r="R818" s="287" t="s">
        <v>377</v>
      </c>
      <c r="S818" s="288" t="s">
        <v>377</v>
      </c>
      <c r="T818" s="294" t="s">
        <v>32</v>
      </c>
      <c r="U818" s="294" t="s">
        <v>32</v>
      </c>
      <c r="V818" s="295" t="s">
        <v>32</v>
      </c>
      <c r="W818" s="287" t="s">
        <v>377</v>
      </c>
      <c r="X818" s="287" t="s">
        <v>377</v>
      </c>
      <c r="Y818" s="288" t="s">
        <v>377</v>
      </c>
      <c r="Z818" s="287" t="s">
        <v>377</v>
      </c>
      <c r="AA818" s="294" t="s">
        <v>32</v>
      </c>
      <c r="AB818" s="295" t="s">
        <v>32</v>
      </c>
      <c r="AC818" s="289" t="s">
        <v>377</v>
      </c>
      <c r="AD818" s="287" t="s">
        <v>377</v>
      </c>
      <c r="AE818" s="287" t="s">
        <v>377</v>
      </c>
      <c r="AF818" s="288" t="s">
        <v>377</v>
      </c>
      <c r="AG818" s="287" t="s">
        <v>377</v>
      </c>
      <c r="AH818" s="287" t="s">
        <v>377</v>
      </c>
      <c r="AI818" s="288" t="s">
        <v>377</v>
      </c>
      <c r="AJ818" s="287" t="s">
        <v>377</v>
      </c>
      <c r="AK818" s="294" t="s">
        <v>32</v>
      </c>
      <c r="AL818" s="295" t="s">
        <v>32</v>
      </c>
      <c r="AM818" s="287" t="s">
        <v>18</v>
      </c>
      <c r="AN818" s="287" t="s">
        <v>18</v>
      </c>
      <c r="AO818" s="288" t="s">
        <v>18</v>
      </c>
      <c r="AP818" s="289" t="s">
        <v>377</v>
      </c>
      <c r="AQ818" s="294" t="s">
        <v>32</v>
      </c>
      <c r="AR818" s="294" t="s">
        <v>32</v>
      </c>
      <c r="AS818" s="295" t="s">
        <v>32</v>
      </c>
      <c r="AT818" s="294" t="s">
        <v>32</v>
      </c>
      <c r="AU818" s="294" t="s">
        <v>32</v>
      </c>
      <c r="AV818" s="295" t="s">
        <v>32</v>
      </c>
      <c r="AW818" s="287" t="s">
        <v>377</v>
      </c>
      <c r="AX818" s="287" t="s">
        <v>377</v>
      </c>
      <c r="AY818" s="288" t="s">
        <v>377</v>
      </c>
      <c r="AZ818" s="287" t="s">
        <v>377</v>
      </c>
      <c r="BA818" s="294" t="s">
        <v>32</v>
      </c>
      <c r="BB818" s="295" t="s">
        <v>32</v>
      </c>
      <c r="BC818" s="289" t="s">
        <v>377</v>
      </c>
      <c r="BD818" s="292"/>
    </row>
    <row r="819" ht="12.75" customHeight="1">
      <c r="A819" s="293">
        <v>45259.6748528125</v>
      </c>
      <c r="B819" s="286" t="s">
        <v>525</v>
      </c>
      <c r="C819" s="285" t="s">
        <v>559</v>
      </c>
      <c r="D819" s="285" t="s">
        <v>16</v>
      </c>
      <c r="E819" s="285" t="s">
        <v>577</v>
      </c>
      <c r="F819" s="287" t="s">
        <v>1360</v>
      </c>
      <c r="G819" s="285" t="s">
        <v>21</v>
      </c>
      <c r="H819" s="285">
        <v>16.0</v>
      </c>
      <c r="I819" s="287" t="s">
        <v>479</v>
      </c>
      <c r="J819" s="287" t="s">
        <v>532</v>
      </c>
      <c r="K819" s="287" t="s">
        <v>532</v>
      </c>
      <c r="L819" s="287" t="s">
        <v>479</v>
      </c>
      <c r="M819" s="287" t="s">
        <v>495</v>
      </c>
      <c r="N819" s="287" t="s">
        <v>625</v>
      </c>
      <c r="O819" s="285" t="s">
        <v>497</v>
      </c>
      <c r="P819" s="292"/>
      <c r="Q819" s="294" t="s">
        <v>32</v>
      </c>
      <c r="R819" s="287" t="s">
        <v>377</v>
      </c>
      <c r="S819" s="295" t="s">
        <v>32</v>
      </c>
      <c r="T819" s="287" t="s">
        <v>377</v>
      </c>
      <c r="U819" s="294" t="s">
        <v>32</v>
      </c>
      <c r="V819" s="295" t="s">
        <v>32</v>
      </c>
      <c r="W819" s="287" t="s">
        <v>377</v>
      </c>
      <c r="X819" s="294" t="s">
        <v>32</v>
      </c>
      <c r="Y819" s="295" t="s">
        <v>32</v>
      </c>
      <c r="Z819" s="287" t="s">
        <v>377</v>
      </c>
      <c r="AA819" s="294" t="s">
        <v>32</v>
      </c>
      <c r="AB819" s="295" t="s">
        <v>32</v>
      </c>
      <c r="AC819" s="296" t="s">
        <v>32</v>
      </c>
      <c r="AD819" s="287" t="s">
        <v>377</v>
      </c>
      <c r="AE819" s="287" t="s">
        <v>377</v>
      </c>
      <c r="AF819" s="288" t="s">
        <v>377</v>
      </c>
      <c r="AG819" s="287" t="s">
        <v>377</v>
      </c>
      <c r="AH819" s="294" t="s">
        <v>32</v>
      </c>
      <c r="AI819" s="295" t="s">
        <v>32</v>
      </c>
      <c r="AJ819" s="294" t="s">
        <v>32</v>
      </c>
      <c r="AK819" s="287" t="s">
        <v>377</v>
      </c>
      <c r="AL819" s="295" t="s">
        <v>32</v>
      </c>
      <c r="AM819" s="287" t="s">
        <v>18</v>
      </c>
      <c r="AN819" s="287" t="s">
        <v>18</v>
      </c>
      <c r="AO819" s="288" t="s">
        <v>18</v>
      </c>
      <c r="AP819" s="289" t="s">
        <v>377</v>
      </c>
      <c r="AQ819" s="294" t="s">
        <v>32</v>
      </c>
      <c r="AR819" s="287" t="s">
        <v>377</v>
      </c>
      <c r="AS819" s="295" t="s">
        <v>32</v>
      </c>
      <c r="AT819" s="294" t="s">
        <v>32</v>
      </c>
      <c r="AU819" s="294" t="s">
        <v>32</v>
      </c>
      <c r="AV819" s="295" t="s">
        <v>32</v>
      </c>
      <c r="AW819" s="287" t="s">
        <v>377</v>
      </c>
      <c r="AX819" s="294" t="s">
        <v>32</v>
      </c>
      <c r="AY819" s="295" t="s">
        <v>32</v>
      </c>
      <c r="AZ819" s="294" t="s">
        <v>32</v>
      </c>
      <c r="BA819" s="294" t="s">
        <v>32</v>
      </c>
      <c r="BB819" s="288" t="s">
        <v>18</v>
      </c>
      <c r="BC819" s="289" t="s">
        <v>18</v>
      </c>
      <c r="BD819" s="292"/>
    </row>
    <row r="820" ht="12.75" customHeight="1">
      <c r="A820" s="293">
        <v>45259.69444334491</v>
      </c>
      <c r="B820" s="286" t="s">
        <v>525</v>
      </c>
      <c r="C820" s="285" t="s">
        <v>559</v>
      </c>
      <c r="D820" s="285" t="s">
        <v>16</v>
      </c>
      <c r="E820" s="285" t="s">
        <v>577</v>
      </c>
      <c r="F820" s="287" t="s">
        <v>1361</v>
      </c>
      <c r="G820" s="285" t="s">
        <v>17</v>
      </c>
      <c r="H820" s="285">
        <v>16.0</v>
      </c>
      <c r="I820" s="287" t="s">
        <v>479</v>
      </c>
      <c r="J820" s="287" t="s">
        <v>532</v>
      </c>
      <c r="K820" s="287" t="s">
        <v>532</v>
      </c>
      <c r="L820" s="287" t="s">
        <v>479</v>
      </c>
      <c r="M820" s="287" t="s">
        <v>495</v>
      </c>
      <c r="N820" s="287" t="s">
        <v>625</v>
      </c>
      <c r="O820" s="285" t="s">
        <v>497</v>
      </c>
      <c r="P820" s="292"/>
      <c r="Q820" s="287" t="s">
        <v>377</v>
      </c>
      <c r="R820" s="287" t="s">
        <v>377</v>
      </c>
      <c r="S820" s="288" t="s">
        <v>377</v>
      </c>
      <c r="T820" s="287" t="s">
        <v>377</v>
      </c>
      <c r="U820" s="294" t="s">
        <v>32</v>
      </c>
      <c r="V820" s="295" t="s">
        <v>32</v>
      </c>
      <c r="W820" s="287" t="s">
        <v>377</v>
      </c>
      <c r="X820" s="294" t="s">
        <v>32</v>
      </c>
      <c r="Y820" s="295" t="s">
        <v>32</v>
      </c>
      <c r="Z820" s="287" t="s">
        <v>377</v>
      </c>
      <c r="AA820" s="294" t="s">
        <v>32</v>
      </c>
      <c r="AB820" s="295" t="s">
        <v>32</v>
      </c>
      <c r="AC820" s="289" t="s">
        <v>377</v>
      </c>
      <c r="AD820" s="287" t="s">
        <v>377</v>
      </c>
      <c r="AE820" s="294" t="s">
        <v>32</v>
      </c>
      <c r="AF820" s="295" t="s">
        <v>32</v>
      </c>
      <c r="AG820" s="287" t="s">
        <v>377</v>
      </c>
      <c r="AH820" s="287" t="s">
        <v>18</v>
      </c>
      <c r="AI820" s="288" t="s">
        <v>377</v>
      </c>
      <c r="AJ820" s="287" t="s">
        <v>377</v>
      </c>
      <c r="AK820" s="294" t="s">
        <v>32</v>
      </c>
      <c r="AL820" s="295" t="s">
        <v>32</v>
      </c>
      <c r="AM820" s="287" t="s">
        <v>18</v>
      </c>
      <c r="AN820" s="287" t="s">
        <v>377</v>
      </c>
      <c r="AO820" s="288" t="s">
        <v>377</v>
      </c>
      <c r="AP820" s="289" t="s">
        <v>377</v>
      </c>
      <c r="AQ820" s="287" t="s">
        <v>377</v>
      </c>
      <c r="AR820" s="287" t="s">
        <v>18</v>
      </c>
      <c r="AS820" s="288" t="s">
        <v>377</v>
      </c>
      <c r="AT820" s="294" t="s">
        <v>32</v>
      </c>
      <c r="AU820" s="294" t="s">
        <v>32</v>
      </c>
      <c r="AV820" s="295" t="s">
        <v>32</v>
      </c>
      <c r="AW820" s="287" t="s">
        <v>377</v>
      </c>
      <c r="AX820" s="294" t="s">
        <v>32</v>
      </c>
      <c r="AY820" s="295" t="s">
        <v>32</v>
      </c>
      <c r="AZ820" s="294" t="s">
        <v>32</v>
      </c>
      <c r="BA820" s="294" t="s">
        <v>32</v>
      </c>
      <c r="BB820" s="295" t="s">
        <v>32</v>
      </c>
      <c r="BC820" s="296" t="s">
        <v>32</v>
      </c>
      <c r="BD820" s="292"/>
    </row>
    <row r="821" ht="12.75" customHeight="1">
      <c r="A821" s="293">
        <v>45259.70107952546</v>
      </c>
      <c r="B821" s="286" t="s">
        <v>525</v>
      </c>
      <c r="C821" s="285" t="s">
        <v>559</v>
      </c>
      <c r="D821" s="285" t="s">
        <v>16</v>
      </c>
      <c r="E821" s="285" t="s">
        <v>577</v>
      </c>
      <c r="F821" s="287" t="s">
        <v>1362</v>
      </c>
      <c r="G821" s="285" t="s">
        <v>21</v>
      </c>
      <c r="H821" s="285">
        <v>16.0</v>
      </c>
      <c r="I821" s="287" t="s">
        <v>479</v>
      </c>
      <c r="J821" s="287" t="s">
        <v>532</v>
      </c>
      <c r="K821" s="287" t="s">
        <v>532</v>
      </c>
      <c r="L821" s="287" t="s">
        <v>479</v>
      </c>
      <c r="M821" s="287" t="s">
        <v>483</v>
      </c>
      <c r="N821" s="287" t="s">
        <v>483</v>
      </c>
      <c r="O821" s="285" t="s">
        <v>479</v>
      </c>
      <c r="P821" s="287" t="s">
        <v>580</v>
      </c>
      <c r="Q821" s="287" t="s">
        <v>377</v>
      </c>
      <c r="R821" s="287" t="s">
        <v>377</v>
      </c>
      <c r="S821" s="288" t="s">
        <v>377</v>
      </c>
      <c r="T821" s="294" t="s">
        <v>32</v>
      </c>
      <c r="U821" s="294" t="s">
        <v>32</v>
      </c>
      <c r="V821" s="295" t="s">
        <v>32</v>
      </c>
      <c r="W821" s="287" t="s">
        <v>377</v>
      </c>
      <c r="X821" s="294" t="s">
        <v>32</v>
      </c>
      <c r="Y821" s="295" t="s">
        <v>32</v>
      </c>
      <c r="Z821" s="294" t="s">
        <v>32</v>
      </c>
      <c r="AA821" s="294" t="s">
        <v>32</v>
      </c>
      <c r="AB821" s="295" t="s">
        <v>32</v>
      </c>
      <c r="AC821" s="296" t="s">
        <v>32</v>
      </c>
      <c r="AD821" s="294" t="s">
        <v>32</v>
      </c>
      <c r="AE821" s="294" t="s">
        <v>32</v>
      </c>
      <c r="AF821" s="295" t="s">
        <v>32</v>
      </c>
      <c r="AG821" s="294" t="s">
        <v>32</v>
      </c>
      <c r="AH821" s="287" t="s">
        <v>377</v>
      </c>
      <c r="AI821" s="295" t="s">
        <v>32</v>
      </c>
      <c r="AJ821" s="294" t="s">
        <v>32</v>
      </c>
      <c r="AK821" s="287" t="s">
        <v>377</v>
      </c>
      <c r="AL821" s="295" t="s">
        <v>32</v>
      </c>
      <c r="AM821" s="294" t="s">
        <v>32</v>
      </c>
      <c r="AN821" s="287" t="s">
        <v>377</v>
      </c>
      <c r="AO821" s="295" t="s">
        <v>32</v>
      </c>
      <c r="AP821" s="296" t="s">
        <v>32</v>
      </c>
      <c r="AQ821" s="294" t="s">
        <v>32</v>
      </c>
      <c r="AR821" s="294" t="s">
        <v>32</v>
      </c>
      <c r="AS821" s="295" t="s">
        <v>32</v>
      </c>
      <c r="AT821" s="287" t="s">
        <v>377</v>
      </c>
      <c r="AU821" s="294" t="s">
        <v>32</v>
      </c>
      <c r="AV821" s="295" t="s">
        <v>32</v>
      </c>
      <c r="AW821" s="294" t="s">
        <v>32</v>
      </c>
      <c r="AX821" s="287" t="s">
        <v>377</v>
      </c>
      <c r="AY821" s="295" t="s">
        <v>32</v>
      </c>
      <c r="AZ821" s="294" t="s">
        <v>32</v>
      </c>
      <c r="BA821" s="287" t="s">
        <v>377</v>
      </c>
      <c r="BB821" s="295" t="s">
        <v>32</v>
      </c>
      <c r="BC821" s="296" t="s">
        <v>32</v>
      </c>
      <c r="BD821" s="292"/>
    </row>
    <row r="822" ht="12.75" customHeight="1">
      <c r="A822" s="293">
        <v>45259.717713148144</v>
      </c>
      <c r="B822" s="286" t="s">
        <v>525</v>
      </c>
      <c r="C822" s="285" t="s">
        <v>559</v>
      </c>
      <c r="D822" s="285" t="s">
        <v>16</v>
      </c>
      <c r="E822" s="285" t="s">
        <v>577</v>
      </c>
      <c r="F822" s="287" t="s">
        <v>1363</v>
      </c>
      <c r="G822" s="285" t="s">
        <v>17</v>
      </c>
      <c r="H822" s="285">
        <v>16.0</v>
      </c>
      <c r="I822" s="287" t="s">
        <v>479</v>
      </c>
      <c r="J822" s="287" t="s">
        <v>532</v>
      </c>
      <c r="K822" s="287" t="s">
        <v>532</v>
      </c>
      <c r="L822" s="287" t="s">
        <v>479</v>
      </c>
      <c r="M822" s="287" t="s">
        <v>500</v>
      </c>
      <c r="N822" s="287" t="s">
        <v>500</v>
      </c>
      <c r="O822" s="285" t="s">
        <v>497</v>
      </c>
      <c r="P822" s="292"/>
      <c r="Q822" s="287" t="s">
        <v>377</v>
      </c>
      <c r="R822" s="287" t="s">
        <v>377</v>
      </c>
      <c r="S822" s="288" t="s">
        <v>377</v>
      </c>
      <c r="T822" s="287" t="s">
        <v>377</v>
      </c>
      <c r="U822" s="287" t="s">
        <v>377</v>
      </c>
      <c r="V822" s="288" t="s">
        <v>377</v>
      </c>
      <c r="W822" s="287" t="s">
        <v>377</v>
      </c>
      <c r="X822" s="287" t="s">
        <v>377</v>
      </c>
      <c r="Y822" s="288" t="s">
        <v>377</v>
      </c>
      <c r="Z822" s="287" t="s">
        <v>377</v>
      </c>
      <c r="AA822" s="287" t="s">
        <v>377</v>
      </c>
      <c r="AB822" s="288" t="s">
        <v>377</v>
      </c>
      <c r="AC822" s="289" t="s">
        <v>377</v>
      </c>
      <c r="AD822" s="287" t="s">
        <v>377</v>
      </c>
      <c r="AE822" s="287" t="s">
        <v>377</v>
      </c>
      <c r="AF822" s="288" t="s">
        <v>377</v>
      </c>
      <c r="AG822" s="287" t="s">
        <v>377</v>
      </c>
      <c r="AH822" s="287" t="s">
        <v>377</v>
      </c>
      <c r="AI822" s="288" t="s">
        <v>377</v>
      </c>
      <c r="AJ822" s="287" t="s">
        <v>377</v>
      </c>
      <c r="AK822" s="287" t="s">
        <v>377</v>
      </c>
      <c r="AL822" s="288" t="s">
        <v>377</v>
      </c>
      <c r="AM822" s="287" t="s">
        <v>377</v>
      </c>
      <c r="AN822" s="287" t="s">
        <v>377</v>
      </c>
      <c r="AO822" s="288" t="s">
        <v>377</v>
      </c>
      <c r="AP822" s="289" t="s">
        <v>377</v>
      </c>
      <c r="AQ822" s="287" t="s">
        <v>377</v>
      </c>
      <c r="AR822" s="294" t="s">
        <v>32</v>
      </c>
      <c r="AS822" s="295" t="s">
        <v>32</v>
      </c>
      <c r="AT822" s="294" t="s">
        <v>32</v>
      </c>
      <c r="AU822" s="294" t="s">
        <v>32</v>
      </c>
      <c r="AV822" s="295" t="s">
        <v>32</v>
      </c>
      <c r="AW822" s="294" t="s">
        <v>32</v>
      </c>
      <c r="AX822" s="287" t="s">
        <v>377</v>
      </c>
      <c r="AY822" s="295" t="s">
        <v>32</v>
      </c>
      <c r="AZ822" s="287" t="s">
        <v>377</v>
      </c>
      <c r="BA822" s="294" t="s">
        <v>32</v>
      </c>
      <c r="BB822" s="295" t="s">
        <v>32</v>
      </c>
      <c r="BC822" s="296" t="s">
        <v>32</v>
      </c>
      <c r="BD822" s="292"/>
    </row>
    <row r="823" ht="12.75" customHeight="1">
      <c r="A823" s="293">
        <v>45259.75976188657</v>
      </c>
      <c r="B823" s="286" t="s">
        <v>525</v>
      </c>
      <c r="C823" s="285" t="s">
        <v>559</v>
      </c>
      <c r="D823" s="285" t="s">
        <v>16</v>
      </c>
      <c r="E823" s="285" t="s">
        <v>577</v>
      </c>
      <c r="F823" s="287" t="s">
        <v>1364</v>
      </c>
      <c r="G823" s="285" t="s">
        <v>21</v>
      </c>
      <c r="H823" s="285">
        <v>15.0</v>
      </c>
      <c r="I823" s="287" t="s">
        <v>479</v>
      </c>
      <c r="J823" s="287" t="s">
        <v>532</v>
      </c>
      <c r="K823" s="287" t="s">
        <v>532</v>
      </c>
      <c r="L823" s="287" t="s">
        <v>479</v>
      </c>
      <c r="M823" s="287" t="s">
        <v>481</v>
      </c>
      <c r="N823" s="287" t="s">
        <v>561</v>
      </c>
      <c r="O823" s="285" t="s">
        <v>497</v>
      </c>
      <c r="P823" s="292"/>
      <c r="Q823" s="294" t="s">
        <v>32</v>
      </c>
      <c r="R823" s="294" t="s">
        <v>32</v>
      </c>
      <c r="S823" s="295" t="s">
        <v>32</v>
      </c>
      <c r="T823" s="294" t="s">
        <v>32</v>
      </c>
      <c r="U823" s="294" t="s">
        <v>32</v>
      </c>
      <c r="V823" s="295" t="s">
        <v>32</v>
      </c>
      <c r="W823" s="294" t="s">
        <v>32</v>
      </c>
      <c r="X823" s="294" t="s">
        <v>32</v>
      </c>
      <c r="Y823" s="295" t="s">
        <v>32</v>
      </c>
      <c r="Z823" s="294" t="s">
        <v>32</v>
      </c>
      <c r="AA823" s="294" t="s">
        <v>32</v>
      </c>
      <c r="AB823" s="295" t="s">
        <v>32</v>
      </c>
      <c r="AC823" s="296" t="s">
        <v>32</v>
      </c>
      <c r="AD823" s="287" t="s">
        <v>377</v>
      </c>
      <c r="AE823" s="294" t="s">
        <v>32</v>
      </c>
      <c r="AF823" s="295" t="s">
        <v>32</v>
      </c>
      <c r="AG823" s="294" t="s">
        <v>32</v>
      </c>
      <c r="AH823" s="294" t="s">
        <v>32</v>
      </c>
      <c r="AI823" s="295" t="s">
        <v>32</v>
      </c>
      <c r="AJ823" s="294" t="s">
        <v>32</v>
      </c>
      <c r="AK823" s="294" t="s">
        <v>32</v>
      </c>
      <c r="AL823" s="295" t="s">
        <v>32</v>
      </c>
      <c r="AM823" s="287" t="s">
        <v>377</v>
      </c>
      <c r="AN823" s="294" t="s">
        <v>32</v>
      </c>
      <c r="AO823" s="295" t="s">
        <v>32</v>
      </c>
      <c r="AP823" s="296" t="s">
        <v>32</v>
      </c>
      <c r="AQ823" s="294" t="s">
        <v>32</v>
      </c>
      <c r="AR823" s="294" t="s">
        <v>32</v>
      </c>
      <c r="AS823" s="295" t="s">
        <v>32</v>
      </c>
      <c r="AT823" s="287" t="s">
        <v>377</v>
      </c>
      <c r="AU823" s="294" t="s">
        <v>32</v>
      </c>
      <c r="AV823" s="295" t="s">
        <v>32</v>
      </c>
      <c r="AW823" s="294" t="s">
        <v>32</v>
      </c>
      <c r="AX823" s="294" t="s">
        <v>32</v>
      </c>
      <c r="AY823" s="295" t="s">
        <v>32</v>
      </c>
      <c r="AZ823" s="294" t="s">
        <v>32</v>
      </c>
      <c r="BA823" s="294" t="s">
        <v>32</v>
      </c>
      <c r="BB823" s="288" t="s">
        <v>377</v>
      </c>
      <c r="BC823" s="289" t="s">
        <v>377</v>
      </c>
      <c r="BD823" s="292"/>
    </row>
    <row r="824" ht="12.75" customHeight="1">
      <c r="A824" s="293">
        <v>45259.773635150465</v>
      </c>
      <c r="B824" s="286" t="s">
        <v>525</v>
      </c>
      <c r="C824" s="285" t="s">
        <v>559</v>
      </c>
      <c r="D824" s="285" t="s">
        <v>16</v>
      </c>
      <c r="E824" s="285" t="s">
        <v>577</v>
      </c>
      <c r="F824" s="287" t="s">
        <v>1365</v>
      </c>
      <c r="G824" s="285" t="s">
        <v>17</v>
      </c>
      <c r="H824" s="285">
        <v>16.0</v>
      </c>
      <c r="I824" s="287" t="s">
        <v>479</v>
      </c>
      <c r="J824" s="287" t="s">
        <v>532</v>
      </c>
      <c r="K824" s="287" t="s">
        <v>532</v>
      </c>
      <c r="L824" s="287" t="s">
        <v>479</v>
      </c>
      <c r="M824" s="287" t="s">
        <v>483</v>
      </c>
      <c r="N824" s="287" t="s">
        <v>483</v>
      </c>
      <c r="O824" s="285" t="s">
        <v>479</v>
      </c>
      <c r="P824" s="287" t="s">
        <v>1366</v>
      </c>
      <c r="Q824" s="287" t="s">
        <v>377</v>
      </c>
      <c r="R824" s="287" t="s">
        <v>377</v>
      </c>
      <c r="S824" s="288" t="s">
        <v>377</v>
      </c>
      <c r="T824" s="287" t="s">
        <v>377</v>
      </c>
      <c r="U824" s="294" t="s">
        <v>32</v>
      </c>
      <c r="V824" s="295" t="s">
        <v>32</v>
      </c>
      <c r="W824" s="287" t="s">
        <v>377</v>
      </c>
      <c r="X824" s="294" t="s">
        <v>32</v>
      </c>
      <c r="Y824" s="295" t="s">
        <v>32</v>
      </c>
      <c r="Z824" s="287" t="s">
        <v>377</v>
      </c>
      <c r="AA824" s="294" t="s">
        <v>32</v>
      </c>
      <c r="AB824" s="295" t="s">
        <v>32</v>
      </c>
      <c r="AC824" s="289" t="s">
        <v>377</v>
      </c>
      <c r="AD824" s="294" t="s">
        <v>32</v>
      </c>
      <c r="AE824" s="287" t="s">
        <v>377</v>
      </c>
      <c r="AF824" s="295" t="s">
        <v>32</v>
      </c>
      <c r="AG824" s="287" t="s">
        <v>377</v>
      </c>
      <c r="AH824" s="294" t="s">
        <v>32</v>
      </c>
      <c r="AI824" s="295" t="s">
        <v>32</v>
      </c>
      <c r="AJ824" s="294" t="s">
        <v>32</v>
      </c>
      <c r="AK824" s="294" t="s">
        <v>32</v>
      </c>
      <c r="AL824" s="295" t="s">
        <v>32</v>
      </c>
      <c r="AM824" s="294" t="s">
        <v>32</v>
      </c>
      <c r="AN824" s="287" t="s">
        <v>377</v>
      </c>
      <c r="AO824" s="295" t="s">
        <v>32</v>
      </c>
      <c r="AP824" s="296" t="s">
        <v>32</v>
      </c>
      <c r="AQ824" s="287" t="s">
        <v>18</v>
      </c>
      <c r="AR824" s="287" t="s">
        <v>18</v>
      </c>
      <c r="AS824" s="288" t="s">
        <v>18</v>
      </c>
      <c r="AT824" s="294" t="s">
        <v>32</v>
      </c>
      <c r="AU824" s="294" t="s">
        <v>32</v>
      </c>
      <c r="AV824" s="295" t="s">
        <v>32</v>
      </c>
      <c r="AW824" s="287" t="s">
        <v>18</v>
      </c>
      <c r="AX824" s="287" t="s">
        <v>377</v>
      </c>
      <c r="AY824" s="288" t="s">
        <v>377</v>
      </c>
      <c r="AZ824" s="294" t="s">
        <v>32</v>
      </c>
      <c r="BA824" s="294" t="s">
        <v>32</v>
      </c>
      <c r="BB824" s="288" t="s">
        <v>377</v>
      </c>
      <c r="BC824" s="289" t="s">
        <v>377</v>
      </c>
      <c r="BD824" s="292"/>
    </row>
    <row r="825" ht="12.75" customHeight="1">
      <c r="A825" s="293">
        <v>45260.4130333912</v>
      </c>
      <c r="B825" s="286" t="s">
        <v>525</v>
      </c>
      <c r="C825" s="285" t="s">
        <v>559</v>
      </c>
      <c r="D825" s="285" t="s">
        <v>16</v>
      </c>
      <c r="E825" s="285" t="s">
        <v>577</v>
      </c>
      <c r="F825" s="287" t="s">
        <v>1367</v>
      </c>
      <c r="G825" s="285" t="s">
        <v>17</v>
      </c>
      <c r="H825" s="285">
        <v>15.0</v>
      </c>
      <c r="I825" s="287" t="s">
        <v>479</v>
      </c>
      <c r="J825" s="287" t="s">
        <v>532</v>
      </c>
      <c r="K825" s="287" t="s">
        <v>532</v>
      </c>
      <c r="L825" s="287" t="s">
        <v>479</v>
      </c>
      <c r="M825" s="287" t="s">
        <v>483</v>
      </c>
      <c r="N825" s="287" t="s">
        <v>483</v>
      </c>
      <c r="O825" s="285" t="s">
        <v>497</v>
      </c>
      <c r="P825" s="292"/>
      <c r="Q825" s="287" t="s">
        <v>18</v>
      </c>
      <c r="R825" s="287" t="s">
        <v>18</v>
      </c>
      <c r="S825" s="288" t="s">
        <v>18</v>
      </c>
      <c r="T825" s="287" t="s">
        <v>18</v>
      </c>
      <c r="U825" s="287" t="s">
        <v>377</v>
      </c>
      <c r="V825" s="288" t="s">
        <v>377</v>
      </c>
      <c r="W825" s="287" t="s">
        <v>377</v>
      </c>
      <c r="X825" s="287" t="s">
        <v>377</v>
      </c>
      <c r="Y825" s="288" t="s">
        <v>377</v>
      </c>
      <c r="Z825" s="287" t="s">
        <v>377</v>
      </c>
      <c r="AA825" s="287" t="s">
        <v>377</v>
      </c>
      <c r="AB825" s="288" t="s">
        <v>377</v>
      </c>
      <c r="AC825" s="289" t="s">
        <v>377</v>
      </c>
      <c r="AD825" s="287" t="s">
        <v>377</v>
      </c>
      <c r="AE825" s="287" t="s">
        <v>377</v>
      </c>
      <c r="AF825" s="288" t="s">
        <v>377</v>
      </c>
      <c r="AG825" s="287" t="s">
        <v>377</v>
      </c>
      <c r="AH825" s="287" t="s">
        <v>377</v>
      </c>
      <c r="AI825" s="288" t="s">
        <v>377</v>
      </c>
      <c r="AJ825" s="287" t="s">
        <v>377</v>
      </c>
      <c r="AK825" s="287" t="s">
        <v>377</v>
      </c>
      <c r="AL825" s="288" t="s">
        <v>377</v>
      </c>
      <c r="AM825" s="287" t="s">
        <v>377</v>
      </c>
      <c r="AN825" s="287" t="s">
        <v>377</v>
      </c>
      <c r="AO825" s="288" t="s">
        <v>377</v>
      </c>
      <c r="AP825" s="289" t="s">
        <v>377</v>
      </c>
      <c r="AQ825" s="287" t="s">
        <v>377</v>
      </c>
      <c r="AR825" s="287" t="s">
        <v>377</v>
      </c>
      <c r="AS825" s="288" t="s">
        <v>377</v>
      </c>
      <c r="AT825" s="287" t="s">
        <v>377</v>
      </c>
      <c r="AU825" s="287" t="s">
        <v>377</v>
      </c>
      <c r="AV825" s="288" t="s">
        <v>377</v>
      </c>
      <c r="AW825" s="287" t="s">
        <v>377</v>
      </c>
      <c r="AX825" s="287" t="s">
        <v>377</v>
      </c>
      <c r="AY825" s="288" t="s">
        <v>377</v>
      </c>
      <c r="AZ825" s="287" t="s">
        <v>377</v>
      </c>
      <c r="BA825" s="287" t="s">
        <v>377</v>
      </c>
      <c r="BB825" s="288" t="s">
        <v>377</v>
      </c>
      <c r="BC825" s="289" t="s">
        <v>377</v>
      </c>
      <c r="BD825" s="292"/>
    </row>
    <row r="826" ht="12.75" customHeight="1">
      <c r="A826" s="293">
        <v>45260.419972488424</v>
      </c>
      <c r="B826" s="286" t="s">
        <v>525</v>
      </c>
      <c r="C826" s="285" t="s">
        <v>559</v>
      </c>
      <c r="D826" s="285" t="s">
        <v>16</v>
      </c>
      <c r="E826" s="285" t="s">
        <v>577</v>
      </c>
      <c r="F826" s="287" t="s">
        <v>1368</v>
      </c>
      <c r="G826" s="285" t="s">
        <v>21</v>
      </c>
      <c r="H826" s="285">
        <v>16.0</v>
      </c>
      <c r="I826" s="287" t="s">
        <v>479</v>
      </c>
      <c r="J826" s="287" t="s">
        <v>532</v>
      </c>
      <c r="K826" s="287" t="s">
        <v>532</v>
      </c>
      <c r="L826" s="287" t="s">
        <v>479</v>
      </c>
      <c r="M826" s="287" t="s">
        <v>483</v>
      </c>
      <c r="N826" s="287" t="s">
        <v>483</v>
      </c>
      <c r="O826" s="285" t="s">
        <v>497</v>
      </c>
      <c r="P826" s="292"/>
      <c r="Q826" s="294" t="s">
        <v>32</v>
      </c>
      <c r="R826" s="294" t="s">
        <v>32</v>
      </c>
      <c r="S826" s="295" t="s">
        <v>32</v>
      </c>
      <c r="T826" s="294" t="s">
        <v>32</v>
      </c>
      <c r="U826" s="294" t="s">
        <v>32</v>
      </c>
      <c r="V826" s="295" t="s">
        <v>32</v>
      </c>
      <c r="W826" s="294" t="s">
        <v>32</v>
      </c>
      <c r="X826" s="287" t="s">
        <v>377</v>
      </c>
      <c r="Y826" s="295" t="s">
        <v>32</v>
      </c>
      <c r="Z826" s="294" t="s">
        <v>32</v>
      </c>
      <c r="AA826" s="294" t="s">
        <v>32</v>
      </c>
      <c r="AB826" s="295" t="s">
        <v>32</v>
      </c>
      <c r="AC826" s="296" t="s">
        <v>32</v>
      </c>
      <c r="AD826" s="294" t="s">
        <v>32</v>
      </c>
      <c r="AE826" s="294" t="s">
        <v>32</v>
      </c>
      <c r="AF826" s="295" t="s">
        <v>32</v>
      </c>
      <c r="AG826" s="287" t="s">
        <v>377</v>
      </c>
      <c r="AH826" s="294" t="s">
        <v>32</v>
      </c>
      <c r="AI826" s="295" t="s">
        <v>32</v>
      </c>
      <c r="AJ826" s="287" t="s">
        <v>377</v>
      </c>
      <c r="AK826" s="287" t="s">
        <v>377</v>
      </c>
      <c r="AL826" s="288" t="s">
        <v>377</v>
      </c>
      <c r="AM826" s="287" t="s">
        <v>18</v>
      </c>
      <c r="AN826" s="287" t="s">
        <v>377</v>
      </c>
      <c r="AO826" s="288" t="s">
        <v>377</v>
      </c>
      <c r="AP826" s="289" t="s">
        <v>377</v>
      </c>
      <c r="AQ826" s="294" t="s">
        <v>32</v>
      </c>
      <c r="AR826" s="294" t="s">
        <v>32</v>
      </c>
      <c r="AS826" s="295" t="s">
        <v>32</v>
      </c>
      <c r="AT826" s="287" t="s">
        <v>377</v>
      </c>
      <c r="AU826" s="294" t="s">
        <v>32</v>
      </c>
      <c r="AV826" s="295" t="s">
        <v>32</v>
      </c>
      <c r="AW826" s="287" t="s">
        <v>377</v>
      </c>
      <c r="AX826" s="287" t="s">
        <v>377</v>
      </c>
      <c r="AY826" s="288" t="s">
        <v>377</v>
      </c>
      <c r="AZ826" s="294" t="s">
        <v>32</v>
      </c>
      <c r="BA826" s="294" t="s">
        <v>32</v>
      </c>
      <c r="BB826" s="295" t="s">
        <v>32</v>
      </c>
      <c r="BC826" s="296" t="s">
        <v>32</v>
      </c>
      <c r="BD826" s="292"/>
    </row>
    <row r="827" ht="12.75" customHeight="1">
      <c r="A827" s="298">
        <v>4.0</v>
      </c>
      <c r="B827" s="297" t="s">
        <v>525</v>
      </c>
      <c r="C827" s="298" t="s">
        <v>567</v>
      </c>
      <c r="D827" s="298" t="s">
        <v>16</v>
      </c>
      <c r="E827" s="285" t="s">
        <v>577</v>
      </c>
      <c r="F827" s="292" t="s">
        <v>1369</v>
      </c>
      <c r="G827" s="298" t="s">
        <v>17</v>
      </c>
      <c r="H827" s="298">
        <v>15.0</v>
      </c>
      <c r="I827" s="292" t="s">
        <v>479</v>
      </c>
      <c r="J827" s="292" t="s">
        <v>532</v>
      </c>
      <c r="K827" s="287" t="s">
        <v>532</v>
      </c>
      <c r="L827" s="292" t="s">
        <v>479</v>
      </c>
      <c r="M827" s="292" t="s">
        <v>483</v>
      </c>
      <c r="N827" s="292"/>
      <c r="O827" s="298" t="s">
        <v>497</v>
      </c>
      <c r="P827" s="292" t="s">
        <v>612</v>
      </c>
      <c r="Q827" s="299" t="s">
        <v>32</v>
      </c>
      <c r="R827" s="299" t="s">
        <v>32</v>
      </c>
      <c r="S827" s="295" t="s">
        <v>32</v>
      </c>
      <c r="T827" s="299" t="s">
        <v>32</v>
      </c>
      <c r="U827" s="299" t="s">
        <v>32</v>
      </c>
      <c r="V827" s="295" t="s">
        <v>32</v>
      </c>
      <c r="W827" s="299" t="s">
        <v>32</v>
      </c>
      <c r="X827" s="299" t="s">
        <v>32</v>
      </c>
      <c r="Y827" s="295" t="s">
        <v>32</v>
      </c>
      <c r="Z827" s="299" t="s">
        <v>32</v>
      </c>
      <c r="AA827" s="299" t="s">
        <v>32</v>
      </c>
      <c r="AB827" s="295" t="s">
        <v>32</v>
      </c>
      <c r="AC827" s="296" t="s">
        <v>32</v>
      </c>
      <c r="AD827" s="299" t="s">
        <v>32</v>
      </c>
      <c r="AE827" s="292" t="s">
        <v>18</v>
      </c>
      <c r="AF827" s="288" t="s">
        <v>377</v>
      </c>
      <c r="AG827" s="299" t="s">
        <v>32</v>
      </c>
      <c r="AH827" s="299" t="s">
        <v>32</v>
      </c>
      <c r="AI827" s="295" t="s">
        <v>32</v>
      </c>
      <c r="AJ827" s="299" t="s">
        <v>32</v>
      </c>
      <c r="AK827" s="299" t="s">
        <v>32</v>
      </c>
      <c r="AL827" s="295" t="s">
        <v>32</v>
      </c>
      <c r="AM827" s="292" t="s">
        <v>18</v>
      </c>
      <c r="AN827" s="299" t="s">
        <v>32</v>
      </c>
      <c r="AO827" s="288" t="s">
        <v>377</v>
      </c>
      <c r="AP827" s="296" t="s">
        <v>32</v>
      </c>
      <c r="AQ827" s="299" t="s">
        <v>32</v>
      </c>
      <c r="AR827" s="299" t="s">
        <v>32</v>
      </c>
      <c r="AS827" s="295" t="s">
        <v>32</v>
      </c>
      <c r="AT827" s="299" t="s">
        <v>32</v>
      </c>
      <c r="AU827" s="299" t="s">
        <v>32</v>
      </c>
      <c r="AV827" s="295" t="s">
        <v>32</v>
      </c>
      <c r="AW827" s="299" t="s">
        <v>32</v>
      </c>
      <c r="AX827" s="299" t="s">
        <v>32</v>
      </c>
      <c r="AY827" s="295" t="s">
        <v>32</v>
      </c>
      <c r="AZ827" s="299" t="s">
        <v>32</v>
      </c>
      <c r="BA827" s="299" t="s">
        <v>32</v>
      </c>
      <c r="BB827" s="295" t="s">
        <v>32</v>
      </c>
      <c r="BC827" s="296" t="s">
        <v>32</v>
      </c>
      <c r="BD827" s="292"/>
    </row>
    <row r="828" ht="12.75" customHeight="1">
      <c r="A828" s="298">
        <v>13.0</v>
      </c>
      <c r="B828" s="297" t="s">
        <v>525</v>
      </c>
      <c r="C828" s="298" t="s">
        <v>567</v>
      </c>
      <c r="D828" s="298" t="s">
        <v>16</v>
      </c>
      <c r="E828" s="285" t="s">
        <v>577</v>
      </c>
      <c r="F828" s="292" t="s">
        <v>1370</v>
      </c>
      <c r="G828" s="298" t="s">
        <v>21</v>
      </c>
      <c r="H828" s="298">
        <v>15.0</v>
      </c>
      <c r="I828" s="292" t="s">
        <v>479</v>
      </c>
      <c r="J828" s="292" t="s">
        <v>532</v>
      </c>
      <c r="K828" s="287" t="s">
        <v>532</v>
      </c>
      <c r="L828" s="292" t="s">
        <v>479</v>
      </c>
      <c r="M828" s="292" t="s">
        <v>495</v>
      </c>
      <c r="N828" s="292"/>
      <c r="O828" s="298" t="s">
        <v>479</v>
      </c>
      <c r="P828" s="292" t="s">
        <v>1371</v>
      </c>
      <c r="Q828" s="292" t="s">
        <v>18</v>
      </c>
      <c r="R828" s="292" t="s">
        <v>18</v>
      </c>
      <c r="S828" s="288" t="s">
        <v>18</v>
      </c>
      <c r="T828" s="292" t="s">
        <v>18</v>
      </c>
      <c r="U828" s="299" t="s">
        <v>32</v>
      </c>
      <c r="V828" s="288" t="s">
        <v>377</v>
      </c>
      <c r="W828" s="292" t="s">
        <v>18</v>
      </c>
      <c r="X828" s="292" t="s">
        <v>18</v>
      </c>
      <c r="Y828" s="288" t="s">
        <v>18</v>
      </c>
      <c r="Z828" s="299" t="s">
        <v>32</v>
      </c>
      <c r="AA828" s="299" t="s">
        <v>32</v>
      </c>
      <c r="AB828" s="295" t="s">
        <v>32</v>
      </c>
      <c r="AC828" s="289" t="s">
        <v>377</v>
      </c>
      <c r="AD828" s="292" t="s">
        <v>18</v>
      </c>
      <c r="AE828" s="299" t="s">
        <v>32</v>
      </c>
      <c r="AF828" s="288" t="s">
        <v>377</v>
      </c>
      <c r="AG828" s="292" t="s">
        <v>18</v>
      </c>
      <c r="AH828" s="292" t="s">
        <v>18</v>
      </c>
      <c r="AI828" s="288" t="s">
        <v>18</v>
      </c>
      <c r="AJ828" s="299" t="s">
        <v>32</v>
      </c>
      <c r="AK828" s="299" t="s">
        <v>32</v>
      </c>
      <c r="AL828" s="295" t="s">
        <v>32</v>
      </c>
      <c r="AM828" s="292" t="s">
        <v>18</v>
      </c>
      <c r="AN828" s="292" t="s">
        <v>18</v>
      </c>
      <c r="AO828" s="288" t="s">
        <v>18</v>
      </c>
      <c r="AP828" s="289" t="s">
        <v>377</v>
      </c>
      <c r="AQ828" s="299" t="s">
        <v>32</v>
      </c>
      <c r="AR828" s="299" t="s">
        <v>32</v>
      </c>
      <c r="AS828" s="295" t="s">
        <v>32</v>
      </c>
      <c r="AT828" s="299" t="s">
        <v>32</v>
      </c>
      <c r="AU828" s="299" t="s">
        <v>32</v>
      </c>
      <c r="AV828" s="295" t="s">
        <v>32</v>
      </c>
      <c r="AW828" s="292" t="s">
        <v>18</v>
      </c>
      <c r="AX828" s="299" t="s">
        <v>32</v>
      </c>
      <c r="AY828" s="288" t="s">
        <v>377</v>
      </c>
      <c r="AZ828" s="299" t="s">
        <v>32</v>
      </c>
      <c r="BA828" s="299" t="s">
        <v>32</v>
      </c>
      <c r="BB828" s="295" t="s">
        <v>32</v>
      </c>
      <c r="BC828" s="296" t="s">
        <v>32</v>
      </c>
      <c r="BD828" s="292"/>
    </row>
    <row r="829" ht="12.75" customHeight="1">
      <c r="A829" s="298">
        <v>14.0</v>
      </c>
      <c r="B829" s="297" t="s">
        <v>525</v>
      </c>
      <c r="C829" s="298" t="s">
        <v>567</v>
      </c>
      <c r="D829" s="298" t="s">
        <v>16</v>
      </c>
      <c r="E829" s="285" t="s">
        <v>577</v>
      </c>
      <c r="F829" s="292" t="s">
        <v>1372</v>
      </c>
      <c r="G829" s="298" t="s">
        <v>17</v>
      </c>
      <c r="H829" s="298">
        <v>16.0</v>
      </c>
      <c r="I829" s="292" t="s">
        <v>479</v>
      </c>
      <c r="J829" s="292" t="s">
        <v>532</v>
      </c>
      <c r="K829" s="287" t="s">
        <v>532</v>
      </c>
      <c r="L829" s="292" t="s">
        <v>479</v>
      </c>
      <c r="M829" s="292" t="s">
        <v>483</v>
      </c>
      <c r="N829" s="292"/>
      <c r="O829" s="298" t="s">
        <v>479</v>
      </c>
      <c r="P829" s="292" t="s">
        <v>788</v>
      </c>
      <c r="Q829" s="292" t="s">
        <v>377</v>
      </c>
      <c r="R829" s="292" t="s">
        <v>377</v>
      </c>
      <c r="S829" s="288" t="s">
        <v>377</v>
      </c>
      <c r="T829" s="292" t="s">
        <v>377</v>
      </c>
      <c r="U829" s="299" t="s">
        <v>32</v>
      </c>
      <c r="V829" s="295" t="s">
        <v>32</v>
      </c>
      <c r="W829" s="292" t="s">
        <v>377</v>
      </c>
      <c r="X829" s="292" t="s">
        <v>377</v>
      </c>
      <c r="Y829" s="288" t="s">
        <v>377</v>
      </c>
      <c r="Z829" s="299" t="s">
        <v>32</v>
      </c>
      <c r="AA829" s="299" t="s">
        <v>32</v>
      </c>
      <c r="AB829" s="295" t="s">
        <v>32</v>
      </c>
      <c r="AC829" s="289" t="s">
        <v>377</v>
      </c>
      <c r="AD829" s="299" t="s">
        <v>32</v>
      </c>
      <c r="AE829" s="292" t="s">
        <v>377</v>
      </c>
      <c r="AF829" s="295" t="s">
        <v>32</v>
      </c>
      <c r="AG829" s="292" t="s">
        <v>377</v>
      </c>
      <c r="AH829" s="292" t="s">
        <v>377</v>
      </c>
      <c r="AI829" s="288" t="s">
        <v>377</v>
      </c>
      <c r="AJ829" s="299" t="s">
        <v>32</v>
      </c>
      <c r="AK829" s="299" t="s">
        <v>32</v>
      </c>
      <c r="AL829" s="295" t="s">
        <v>32</v>
      </c>
      <c r="AM829" s="292" t="s">
        <v>377</v>
      </c>
      <c r="AN829" s="292" t="s">
        <v>377</v>
      </c>
      <c r="AO829" s="288" t="s">
        <v>377</v>
      </c>
      <c r="AP829" s="289" t="s">
        <v>377</v>
      </c>
      <c r="AQ829" s="299" t="s">
        <v>32</v>
      </c>
      <c r="AR829" s="299" t="s">
        <v>32</v>
      </c>
      <c r="AS829" s="295" t="s">
        <v>32</v>
      </c>
      <c r="AT829" s="299" t="s">
        <v>32</v>
      </c>
      <c r="AU829" s="299" t="s">
        <v>32</v>
      </c>
      <c r="AV829" s="295" t="s">
        <v>32</v>
      </c>
      <c r="AW829" s="292" t="s">
        <v>377</v>
      </c>
      <c r="AX829" s="299" t="s">
        <v>32</v>
      </c>
      <c r="AY829" s="295" t="s">
        <v>32</v>
      </c>
      <c r="AZ829" s="292" t="s">
        <v>377</v>
      </c>
      <c r="BA829" s="299" t="s">
        <v>32</v>
      </c>
      <c r="BB829" s="295" t="s">
        <v>32</v>
      </c>
      <c r="BC829" s="296" t="s">
        <v>32</v>
      </c>
      <c r="BD829" s="292"/>
    </row>
    <row r="830" ht="12.75" customHeight="1">
      <c r="A830" s="298">
        <v>18.0</v>
      </c>
      <c r="B830" s="297" t="s">
        <v>525</v>
      </c>
      <c r="C830" s="298" t="s">
        <v>567</v>
      </c>
      <c r="D830" s="298" t="s">
        <v>16</v>
      </c>
      <c r="E830" s="285" t="s">
        <v>577</v>
      </c>
      <c r="F830" s="292" t="s">
        <v>1373</v>
      </c>
      <c r="G830" s="298" t="s">
        <v>21</v>
      </c>
      <c r="H830" s="298">
        <v>17.0</v>
      </c>
      <c r="I830" s="292" t="s">
        <v>479</v>
      </c>
      <c r="J830" s="292" t="s">
        <v>532</v>
      </c>
      <c r="K830" s="287" t="s">
        <v>532</v>
      </c>
      <c r="L830" s="292" t="s">
        <v>479</v>
      </c>
      <c r="M830" s="292" t="s">
        <v>481</v>
      </c>
      <c r="N830" s="292"/>
      <c r="O830" s="298" t="s">
        <v>497</v>
      </c>
      <c r="P830" s="292" t="s">
        <v>612</v>
      </c>
      <c r="Q830" s="299" t="s">
        <v>32</v>
      </c>
      <c r="R830" s="299" t="s">
        <v>32</v>
      </c>
      <c r="S830" s="295" t="s">
        <v>32</v>
      </c>
      <c r="T830" s="292" t="s">
        <v>18</v>
      </c>
      <c r="U830" s="299" t="s">
        <v>32</v>
      </c>
      <c r="V830" s="288" t="s">
        <v>377</v>
      </c>
      <c r="W830" s="299" t="s">
        <v>32</v>
      </c>
      <c r="X830" s="299" t="s">
        <v>32</v>
      </c>
      <c r="Y830" s="295" t="s">
        <v>32</v>
      </c>
      <c r="Z830" s="292" t="s">
        <v>377</v>
      </c>
      <c r="AA830" s="292" t="s">
        <v>18</v>
      </c>
      <c r="AB830" s="288" t="s">
        <v>377</v>
      </c>
      <c r="AC830" s="289" t="s">
        <v>377</v>
      </c>
      <c r="AD830" s="292" t="s">
        <v>377</v>
      </c>
      <c r="AE830" s="292" t="s">
        <v>18</v>
      </c>
      <c r="AF830" s="288" t="s">
        <v>377</v>
      </c>
      <c r="AG830" s="299" t="s">
        <v>32</v>
      </c>
      <c r="AH830" s="299" t="s">
        <v>32</v>
      </c>
      <c r="AI830" s="295" t="s">
        <v>32</v>
      </c>
      <c r="AJ830" s="299" t="s">
        <v>32</v>
      </c>
      <c r="AK830" s="299" t="s">
        <v>32</v>
      </c>
      <c r="AL830" s="295" t="s">
        <v>32</v>
      </c>
      <c r="AM830" s="299" t="s">
        <v>32</v>
      </c>
      <c r="AN830" s="299" t="s">
        <v>32</v>
      </c>
      <c r="AO830" s="295" t="s">
        <v>32</v>
      </c>
      <c r="AP830" s="296" t="s">
        <v>32</v>
      </c>
      <c r="AQ830" s="292" t="s">
        <v>377</v>
      </c>
      <c r="AR830" s="299" t="s">
        <v>32</v>
      </c>
      <c r="AS830" s="295" t="s">
        <v>32</v>
      </c>
      <c r="AT830" s="299" t="s">
        <v>32</v>
      </c>
      <c r="AU830" s="299" t="s">
        <v>32</v>
      </c>
      <c r="AV830" s="295" t="s">
        <v>32</v>
      </c>
      <c r="AW830" s="292" t="s">
        <v>18</v>
      </c>
      <c r="AX830" s="292" t="s">
        <v>377</v>
      </c>
      <c r="AY830" s="288" t="s">
        <v>377</v>
      </c>
      <c r="AZ830" s="299" t="s">
        <v>32</v>
      </c>
      <c r="BA830" s="299" t="s">
        <v>32</v>
      </c>
      <c r="BB830" s="295" t="s">
        <v>32</v>
      </c>
      <c r="BC830" s="296" t="s">
        <v>32</v>
      </c>
      <c r="BD830" s="292"/>
    </row>
    <row r="831" ht="12.75" customHeight="1">
      <c r="A831" s="298">
        <v>19.0</v>
      </c>
      <c r="B831" s="297" t="s">
        <v>525</v>
      </c>
      <c r="C831" s="298" t="s">
        <v>567</v>
      </c>
      <c r="D831" s="298" t="s">
        <v>16</v>
      </c>
      <c r="E831" s="285" t="s">
        <v>577</v>
      </c>
      <c r="F831" s="292" t="s">
        <v>1374</v>
      </c>
      <c r="G831" s="298" t="s">
        <v>21</v>
      </c>
      <c r="H831" s="298">
        <v>15.0</v>
      </c>
      <c r="I831" s="292" t="s">
        <v>479</v>
      </c>
      <c r="J831" s="292" t="s">
        <v>532</v>
      </c>
      <c r="K831" s="287" t="s">
        <v>532</v>
      </c>
      <c r="L831" s="292" t="s">
        <v>479</v>
      </c>
      <c r="M831" s="292" t="s">
        <v>481</v>
      </c>
      <c r="N831" s="292"/>
      <c r="O831" s="298" t="s">
        <v>497</v>
      </c>
      <c r="P831" s="292" t="s">
        <v>612</v>
      </c>
      <c r="Q831" s="299" t="s">
        <v>32</v>
      </c>
      <c r="R831" s="299" t="s">
        <v>32</v>
      </c>
      <c r="S831" s="295" t="s">
        <v>32</v>
      </c>
      <c r="T831" s="292" t="s">
        <v>18</v>
      </c>
      <c r="U831" s="299" t="s">
        <v>32</v>
      </c>
      <c r="V831" s="288" t="s">
        <v>377</v>
      </c>
      <c r="W831" s="299" t="s">
        <v>32</v>
      </c>
      <c r="X831" s="299" t="s">
        <v>32</v>
      </c>
      <c r="Y831" s="295" t="s">
        <v>32</v>
      </c>
      <c r="Z831" s="299" t="s">
        <v>32</v>
      </c>
      <c r="AA831" s="299" t="s">
        <v>32</v>
      </c>
      <c r="AB831" s="295" t="s">
        <v>32</v>
      </c>
      <c r="AC831" s="296" t="s">
        <v>32</v>
      </c>
      <c r="AD831" s="299" t="s">
        <v>32</v>
      </c>
      <c r="AE831" s="299" t="s">
        <v>32</v>
      </c>
      <c r="AF831" s="295" t="s">
        <v>32</v>
      </c>
      <c r="AG831" s="299" t="s">
        <v>32</v>
      </c>
      <c r="AH831" s="299" t="s">
        <v>32</v>
      </c>
      <c r="AI831" s="295" t="s">
        <v>32</v>
      </c>
      <c r="AJ831" s="299" t="s">
        <v>32</v>
      </c>
      <c r="AK831" s="292" t="s">
        <v>18</v>
      </c>
      <c r="AL831" s="288" t="s">
        <v>377</v>
      </c>
      <c r="AM831" s="299" t="s">
        <v>32</v>
      </c>
      <c r="AN831" s="299" t="s">
        <v>32</v>
      </c>
      <c r="AO831" s="295" t="s">
        <v>32</v>
      </c>
      <c r="AP831" s="296" t="s">
        <v>32</v>
      </c>
      <c r="AQ831" s="299" t="s">
        <v>32</v>
      </c>
      <c r="AR831" s="299" t="s">
        <v>32</v>
      </c>
      <c r="AS831" s="295" t="s">
        <v>32</v>
      </c>
      <c r="AT831" s="299" t="s">
        <v>32</v>
      </c>
      <c r="AU831" s="299" t="s">
        <v>32</v>
      </c>
      <c r="AV831" s="295" t="s">
        <v>32</v>
      </c>
      <c r="AW831" s="299" t="s">
        <v>32</v>
      </c>
      <c r="AX831" s="299" t="s">
        <v>32</v>
      </c>
      <c r="AY831" s="295" t="s">
        <v>32</v>
      </c>
      <c r="AZ831" s="299" t="s">
        <v>32</v>
      </c>
      <c r="BA831" s="299" t="s">
        <v>32</v>
      </c>
      <c r="BB831" s="295" t="s">
        <v>32</v>
      </c>
      <c r="BC831" s="296" t="s">
        <v>32</v>
      </c>
      <c r="BD831" s="292"/>
    </row>
    <row r="832" ht="12.75" customHeight="1">
      <c r="A832" s="298">
        <v>20.0</v>
      </c>
      <c r="B832" s="297" t="s">
        <v>525</v>
      </c>
      <c r="C832" s="298" t="s">
        <v>567</v>
      </c>
      <c r="D832" s="298" t="s">
        <v>16</v>
      </c>
      <c r="E832" s="285" t="s">
        <v>577</v>
      </c>
      <c r="F832" s="292" t="s">
        <v>1375</v>
      </c>
      <c r="G832" s="298" t="s">
        <v>17</v>
      </c>
      <c r="H832" s="298">
        <v>16.0</v>
      </c>
      <c r="I832" s="292" t="s">
        <v>479</v>
      </c>
      <c r="J832" s="292" t="s">
        <v>532</v>
      </c>
      <c r="K832" s="287" t="s">
        <v>532</v>
      </c>
      <c r="L832" s="292" t="s">
        <v>479</v>
      </c>
      <c r="M832" s="292" t="s">
        <v>483</v>
      </c>
      <c r="N832" s="292"/>
      <c r="O832" s="298" t="s">
        <v>497</v>
      </c>
      <c r="P832" s="292" t="s">
        <v>612</v>
      </c>
      <c r="Q832" s="299" t="s">
        <v>32</v>
      </c>
      <c r="R832" s="299" t="s">
        <v>32</v>
      </c>
      <c r="S832" s="295" t="s">
        <v>32</v>
      </c>
      <c r="T832" s="299" t="s">
        <v>32</v>
      </c>
      <c r="U832" s="299" t="s">
        <v>32</v>
      </c>
      <c r="V832" s="295" t="s">
        <v>32</v>
      </c>
      <c r="W832" s="299" t="s">
        <v>32</v>
      </c>
      <c r="X832" s="292" t="s">
        <v>377</v>
      </c>
      <c r="Y832" s="295" t="s">
        <v>32</v>
      </c>
      <c r="Z832" s="299" t="s">
        <v>32</v>
      </c>
      <c r="AA832" s="299" t="s">
        <v>32</v>
      </c>
      <c r="AB832" s="295" t="s">
        <v>32</v>
      </c>
      <c r="AC832" s="296" t="s">
        <v>32</v>
      </c>
      <c r="AD832" s="299" t="s">
        <v>32</v>
      </c>
      <c r="AE832" s="292" t="s">
        <v>377</v>
      </c>
      <c r="AF832" s="295" t="s">
        <v>32</v>
      </c>
      <c r="AG832" s="299" t="s">
        <v>32</v>
      </c>
      <c r="AH832" s="299" t="s">
        <v>32</v>
      </c>
      <c r="AI832" s="295" t="s">
        <v>32</v>
      </c>
      <c r="AJ832" s="299" t="s">
        <v>32</v>
      </c>
      <c r="AK832" s="299" t="s">
        <v>32</v>
      </c>
      <c r="AL832" s="295" t="s">
        <v>32</v>
      </c>
      <c r="AM832" s="292" t="s">
        <v>377</v>
      </c>
      <c r="AN832" s="292" t="s">
        <v>377</v>
      </c>
      <c r="AO832" s="288" t="s">
        <v>377</v>
      </c>
      <c r="AP832" s="296" t="s">
        <v>32</v>
      </c>
      <c r="AQ832" s="299" t="s">
        <v>32</v>
      </c>
      <c r="AR832" s="299" t="s">
        <v>32</v>
      </c>
      <c r="AS832" s="295" t="s">
        <v>32</v>
      </c>
      <c r="AT832" s="299" t="s">
        <v>32</v>
      </c>
      <c r="AU832" s="299" t="s">
        <v>32</v>
      </c>
      <c r="AV832" s="295" t="s">
        <v>32</v>
      </c>
      <c r="AW832" s="299" t="s">
        <v>32</v>
      </c>
      <c r="AX832" s="299" t="s">
        <v>32</v>
      </c>
      <c r="AY832" s="295" t="s">
        <v>32</v>
      </c>
      <c r="AZ832" s="299" t="s">
        <v>32</v>
      </c>
      <c r="BA832" s="299" t="s">
        <v>32</v>
      </c>
      <c r="BB832" s="295" t="s">
        <v>32</v>
      </c>
      <c r="BC832" s="296" t="s">
        <v>32</v>
      </c>
      <c r="BD832" s="292"/>
    </row>
    <row r="833" ht="12.75" customHeight="1">
      <c r="A833" s="298">
        <v>21.0</v>
      </c>
      <c r="B833" s="297" t="s">
        <v>525</v>
      </c>
      <c r="C833" s="298" t="s">
        <v>567</v>
      </c>
      <c r="D833" s="298" t="s">
        <v>16</v>
      </c>
      <c r="E833" s="285" t="s">
        <v>577</v>
      </c>
      <c r="F833" s="292" t="s">
        <v>1376</v>
      </c>
      <c r="G833" s="298" t="s">
        <v>21</v>
      </c>
      <c r="H833" s="298">
        <v>15.0</v>
      </c>
      <c r="I833" s="292" t="s">
        <v>479</v>
      </c>
      <c r="J833" s="292" t="s">
        <v>532</v>
      </c>
      <c r="K833" s="287" t="s">
        <v>532</v>
      </c>
      <c r="L833" s="292" t="s">
        <v>479</v>
      </c>
      <c r="M833" s="292" t="s">
        <v>483</v>
      </c>
      <c r="N833" s="292"/>
      <c r="O833" s="298" t="s">
        <v>497</v>
      </c>
      <c r="P833" s="292" t="s">
        <v>612</v>
      </c>
      <c r="Q833" s="299" t="s">
        <v>32</v>
      </c>
      <c r="R833" s="299" t="s">
        <v>32</v>
      </c>
      <c r="S833" s="295" t="s">
        <v>32</v>
      </c>
      <c r="T833" s="299" t="s">
        <v>32</v>
      </c>
      <c r="U833" s="299" t="s">
        <v>32</v>
      </c>
      <c r="V833" s="295" t="s">
        <v>32</v>
      </c>
      <c r="W833" s="292" t="s">
        <v>377</v>
      </c>
      <c r="X833" s="299" t="s">
        <v>32</v>
      </c>
      <c r="Y833" s="295" t="s">
        <v>32</v>
      </c>
      <c r="Z833" s="292" t="s">
        <v>377</v>
      </c>
      <c r="AA833" s="292" t="s">
        <v>377</v>
      </c>
      <c r="AB833" s="288" t="s">
        <v>377</v>
      </c>
      <c r="AC833" s="296" t="s">
        <v>32</v>
      </c>
      <c r="AD833" s="292" t="s">
        <v>377</v>
      </c>
      <c r="AE833" s="292" t="s">
        <v>377</v>
      </c>
      <c r="AF833" s="288" t="s">
        <v>377</v>
      </c>
      <c r="AG833" s="299" t="s">
        <v>32</v>
      </c>
      <c r="AH833" s="292" t="s">
        <v>377</v>
      </c>
      <c r="AI833" s="295" t="s">
        <v>32</v>
      </c>
      <c r="AJ833" s="299" t="s">
        <v>32</v>
      </c>
      <c r="AK833" s="292" t="s">
        <v>377</v>
      </c>
      <c r="AL833" s="295" t="s">
        <v>32</v>
      </c>
      <c r="AM833" s="292" t="s">
        <v>377</v>
      </c>
      <c r="AN833" s="292" t="s">
        <v>377</v>
      </c>
      <c r="AO833" s="288" t="s">
        <v>377</v>
      </c>
      <c r="AP833" s="289" t="s">
        <v>377</v>
      </c>
      <c r="AQ833" s="292" t="s">
        <v>377</v>
      </c>
      <c r="AR833" s="299" t="s">
        <v>32</v>
      </c>
      <c r="AS833" s="295" t="s">
        <v>32</v>
      </c>
      <c r="AT833" s="299" t="s">
        <v>32</v>
      </c>
      <c r="AU833" s="299" t="s">
        <v>32</v>
      </c>
      <c r="AV833" s="295" t="s">
        <v>32</v>
      </c>
      <c r="AW833" s="292" t="s">
        <v>377</v>
      </c>
      <c r="AX833" s="299" t="s">
        <v>32</v>
      </c>
      <c r="AY833" s="295" t="s">
        <v>32</v>
      </c>
      <c r="AZ833" s="299" t="s">
        <v>32</v>
      </c>
      <c r="BA833" s="299" t="s">
        <v>32</v>
      </c>
      <c r="BB833" s="295" t="s">
        <v>32</v>
      </c>
      <c r="BC833" s="296" t="s">
        <v>32</v>
      </c>
      <c r="BD833" s="292"/>
    </row>
    <row r="834" ht="12.75" customHeight="1">
      <c r="A834" s="298">
        <v>22.0</v>
      </c>
      <c r="B834" s="297" t="s">
        <v>525</v>
      </c>
      <c r="C834" s="298" t="s">
        <v>567</v>
      </c>
      <c r="D834" s="298" t="s">
        <v>16</v>
      </c>
      <c r="E834" s="285" t="s">
        <v>577</v>
      </c>
      <c r="F834" s="292" t="s">
        <v>1377</v>
      </c>
      <c r="G834" s="298" t="s">
        <v>21</v>
      </c>
      <c r="H834" s="298">
        <v>15.0</v>
      </c>
      <c r="I834" s="292" t="s">
        <v>479</v>
      </c>
      <c r="J834" s="292" t="s">
        <v>532</v>
      </c>
      <c r="K834" s="287" t="s">
        <v>532</v>
      </c>
      <c r="L834" s="292" t="s">
        <v>479</v>
      </c>
      <c r="M834" s="292" t="s">
        <v>483</v>
      </c>
      <c r="N834" s="292"/>
      <c r="O834" s="298" t="s">
        <v>497</v>
      </c>
      <c r="P834" s="292" t="s">
        <v>612</v>
      </c>
      <c r="Q834" s="299" t="s">
        <v>32</v>
      </c>
      <c r="R834" s="292" t="s">
        <v>377</v>
      </c>
      <c r="S834" s="295" t="s">
        <v>32</v>
      </c>
      <c r="T834" s="299" t="s">
        <v>32</v>
      </c>
      <c r="U834" s="292" t="s">
        <v>377</v>
      </c>
      <c r="V834" s="295" t="s">
        <v>32</v>
      </c>
      <c r="W834" s="299" t="s">
        <v>32</v>
      </c>
      <c r="X834" s="299" t="s">
        <v>32</v>
      </c>
      <c r="Y834" s="295" t="s">
        <v>32</v>
      </c>
      <c r="Z834" s="299" t="s">
        <v>32</v>
      </c>
      <c r="AA834" s="299" t="s">
        <v>32</v>
      </c>
      <c r="AB834" s="295" t="s">
        <v>32</v>
      </c>
      <c r="AC834" s="296" t="s">
        <v>32</v>
      </c>
      <c r="AD834" s="292" t="s">
        <v>18</v>
      </c>
      <c r="AE834" s="299" t="s">
        <v>32</v>
      </c>
      <c r="AF834" s="288" t="s">
        <v>377</v>
      </c>
      <c r="AG834" s="292" t="s">
        <v>18</v>
      </c>
      <c r="AH834" s="299" t="s">
        <v>32</v>
      </c>
      <c r="AI834" s="288" t="s">
        <v>377</v>
      </c>
      <c r="AJ834" s="299" t="s">
        <v>32</v>
      </c>
      <c r="AK834" s="292" t="s">
        <v>377</v>
      </c>
      <c r="AL834" s="295" t="s">
        <v>32</v>
      </c>
      <c r="AM834" s="299" t="s">
        <v>32</v>
      </c>
      <c r="AN834" s="292" t="s">
        <v>377</v>
      </c>
      <c r="AO834" s="295" t="s">
        <v>32</v>
      </c>
      <c r="AP834" s="289" t="s">
        <v>377</v>
      </c>
      <c r="AQ834" s="292" t="s">
        <v>377</v>
      </c>
      <c r="AR834" s="299" t="s">
        <v>32</v>
      </c>
      <c r="AS834" s="295" t="s">
        <v>32</v>
      </c>
      <c r="AT834" s="299" t="s">
        <v>32</v>
      </c>
      <c r="AU834" s="299" t="s">
        <v>32</v>
      </c>
      <c r="AV834" s="295" t="s">
        <v>32</v>
      </c>
      <c r="AW834" s="299" t="s">
        <v>32</v>
      </c>
      <c r="AX834" s="292" t="s">
        <v>377</v>
      </c>
      <c r="AY834" s="295" t="s">
        <v>32</v>
      </c>
      <c r="AZ834" s="299" t="s">
        <v>32</v>
      </c>
      <c r="BA834" s="299" t="s">
        <v>32</v>
      </c>
      <c r="BB834" s="295" t="s">
        <v>32</v>
      </c>
      <c r="BC834" s="296" t="s">
        <v>32</v>
      </c>
      <c r="BD834" s="292"/>
    </row>
    <row r="835" ht="12.75" customHeight="1">
      <c r="A835" s="298">
        <v>23.0</v>
      </c>
      <c r="B835" s="297" t="s">
        <v>525</v>
      </c>
      <c r="C835" s="298" t="s">
        <v>567</v>
      </c>
      <c r="D835" s="298" t="s">
        <v>16</v>
      </c>
      <c r="E835" s="285" t="s">
        <v>577</v>
      </c>
      <c r="F835" s="292" t="s">
        <v>1378</v>
      </c>
      <c r="G835" s="298" t="s">
        <v>21</v>
      </c>
      <c r="H835" s="298">
        <v>16.0</v>
      </c>
      <c r="I835" s="292" t="s">
        <v>479</v>
      </c>
      <c r="J835" s="292" t="s">
        <v>532</v>
      </c>
      <c r="K835" s="287" t="s">
        <v>532</v>
      </c>
      <c r="L835" s="292" t="s">
        <v>479</v>
      </c>
      <c r="M835" s="292" t="s">
        <v>495</v>
      </c>
      <c r="N835" s="292"/>
      <c r="O835" s="298" t="s">
        <v>497</v>
      </c>
      <c r="P835" s="292" t="s">
        <v>612</v>
      </c>
      <c r="Q835" s="299" t="s">
        <v>32</v>
      </c>
      <c r="R835" s="299" t="s">
        <v>32</v>
      </c>
      <c r="S835" s="295" t="s">
        <v>32</v>
      </c>
      <c r="T835" s="299" t="s">
        <v>32</v>
      </c>
      <c r="U835" s="299" t="s">
        <v>32</v>
      </c>
      <c r="V835" s="295" t="s">
        <v>32</v>
      </c>
      <c r="W835" s="292" t="s">
        <v>377</v>
      </c>
      <c r="X835" s="299" t="s">
        <v>32</v>
      </c>
      <c r="Y835" s="295" t="s">
        <v>32</v>
      </c>
      <c r="Z835" s="299" t="s">
        <v>32</v>
      </c>
      <c r="AA835" s="299" t="s">
        <v>32</v>
      </c>
      <c r="AB835" s="295" t="s">
        <v>32</v>
      </c>
      <c r="AC835" s="296" t="s">
        <v>32</v>
      </c>
      <c r="AD835" s="299" t="s">
        <v>32</v>
      </c>
      <c r="AE835" s="299" t="s">
        <v>32</v>
      </c>
      <c r="AF835" s="295" t="s">
        <v>32</v>
      </c>
      <c r="AG835" s="299" t="s">
        <v>32</v>
      </c>
      <c r="AH835" s="299" t="s">
        <v>32</v>
      </c>
      <c r="AI835" s="295" t="s">
        <v>32</v>
      </c>
      <c r="AJ835" s="299" t="s">
        <v>32</v>
      </c>
      <c r="AK835" s="299" t="s">
        <v>32</v>
      </c>
      <c r="AL835" s="295" t="s">
        <v>32</v>
      </c>
      <c r="AM835" s="292" t="s">
        <v>377</v>
      </c>
      <c r="AN835" s="292" t="s">
        <v>377</v>
      </c>
      <c r="AO835" s="288" t="s">
        <v>377</v>
      </c>
      <c r="AP835" s="296" t="s">
        <v>32</v>
      </c>
      <c r="AQ835" s="299" t="s">
        <v>32</v>
      </c>
      <c r="AR835" s="299" t="s">
        <v>32</v>
      </c>
      <c r="AS835" s="295" t="s">
        <v>32</v>
      </c>
      <c r="AT835" s="299" t="s">
        <v>32</v>
      </c>
      <c r="AU835" s="299" t="s">
        <v>32</v>
      </c>
      <c r="AV835" s="295" t="s">
        <v>32</v>
      </c>
      <c r="AW835" s="299" t="s">
        <v>32</v>
      </c>
      <c r="AX835" s="299" t="s">
        <v>32</v>
      </c>
      <c r="AY835" s="295" t="s">
        <v>32</v>
      </c>
      <c r="AZ835" s="299" t="s">
        <v>32</v>
      </c>
      <c r="BA835" s="299" t="s">
        <v>32</v>
      </c>
      <c r="BB835" s="295" t="s">
        <v>32</v>
      </c>
      <c r="BC835" s="296" t="s">
        <v>32</v>
      </c>
      <c r="BD835" s="292"/>
    </row>
    <row r="836" ht="12.75" customHeight="1">
      <c r="A836" s="298">
        <v>24.0</v>
      </c>
      <c r="B836" s="297" t="s">
        <v>525</v>
      </c>
      <c r="C836" s="298" t="s">
        <v>567</v>
      </c>
      <c r="D836" s="298" t="s">
        <v>16</v>
      </c>
      <c r="E836" s="285" t="s">
        <v>577</v>
      </c>
      <c r="F836" s="292" t="s">
        <v>1379</v>
      </c>
      <c r="G836" s="298" t="s">
        <v>21</v>
      </c>
      <c r="H836" s="298">
        <v>15.0</v>
      </c>
      <c r="I836" s="292" t="s">
        <v>479</v>
      </c>
      <c r="J836" s="292" t="s">
        <v>532</v>
      </c>
      <c r="K836" s="287" t="s">
        <v>532</v>
      </c>
      <c r="L836" s="292" t="s">
        <v>479</v>
      </c>
      <c r="M836" s="292" t="s">
        <v>495</v>
      </c>
      <c r="N836" s="292"/>
      <c r="O836" s="298" t="s">
        <v>497</v>
      </c>
      <c r="P836" s="292" t="s">
        <v>612</v>
      </c>
      <c r="Q836" s="299" t="s">
        <v>32</v>
      </c>
      <c r="R836" s="299" t="s">
        <v>32</v>
      </c>
      <c r="S836" s="295" t="s">
        <v>32</v>
      </c>
      <c r="T836" s="299" t="s">
        <v>32</v>
      </c>
      <c r="U836" s="299" t="s">
        <v>32</v>
      </c>
      <c r="V836" s="295" t="s">
        <v>32</v>
      </c>
      <c r="W836" s="292" t="s">
        <v>377</v>
      </c>
      <c r="X836" s="292" t="s">
        <v>377</v>
      </c>
      <c r="Y836" s="288" t="s">
        <v>377</v>
      </c>
      <c r="Z836" s="292" t="s">
        <v>377</v>
      </c>
      <c r="AA836" s="292" t="s">
        <v>377</v>
      </c>
      <c r="AB836" s="288" t="s">
        <v>377</v>
      </c>
      <c r="AC836" s="296" t="s">
        <v>32</v>
      </c>
      <c r="AD836" s="299" t="s">
        <v>32</v>
      </c>
      <c r="AE836" s="292" t="s">
        <v>377</v>
      </c>
      <c r="AF836" s="295" t="s">
        <v>32</v>
      </c>
      <c r="AG836" s="299" t="s">
        <v>32</v>
      </c>
      <c r="AH836" s="299" t="s">
        <v>32</v>
      </c>
      <c r="AI836" s="295" t="s">
        <v>32</v>
      </c>
      <c r="AJ836" s="292" t="s">
        <v>377</v>
      </c>
      <c r="AK836" s="299" t="s">
        <v>32</v>
      </c>
      <c r="AL836" s="295" t="s">
        <v>32</v>
      </c>
      <c r="AM836" s="292" t="s">
        <v>377</v>
      </c>
      <c r="AN836" s="292" t="s">
        <v>377</v>
      </c>
      <c r="AO836" s="288" t="s">
        <v>377</v>
      </c>
      <c r="AP836" s="296" t="s">
        <v>32</v>
      </c>
      <c r="AQ836" s="299" t="s">
        <v>32</v>
      </c>
      <c r="AR836" s="299" t="s">
        <v>32</v>
      </c>
      <c r="AS836" s="295" t="s">
        <v>32</v>
      </c>
      <c r="AT836" s="299" t="s">
        <v>32</v>
      </c>
      <c r="AU836" s="299" t="s">
        <v>32</v>
      </c>
      <c r="AV836" s="295" t="s">
        <v>32</v>
      </c>
      <c r="AW836" s="299" t="s">
        <v>32</v>
      </c>
      <c r="AX836" s="299" t="s">
        <v>32</v>
      </c>
      <c r="AY836" s="295" t="s">
        <v>32</v>
      </c>
      <c r="AZ836" s="299" t="s">
        <v>32</v>
      </c>
      <c r="BA836" s="299" t="s">
        <v>32</v>
      </c>
      <c r="BB836" s="295" t="s">
        <v>32</v>
      </c>
      <c r="BC836" s="296" t="s">
        <v>32</v>
      </c>
      <c r="BD836" s="292"/>
    </row>
    <row r="837" ht="12.75" customHeight="1">
      <c r="A837" s="293">
        <v>45257.359424988426</v>
      </c>
      <c r="B837" s="286" t="s">
        <v>375</v>
      </c>
      <c r="C837" s="287" t="s">
        <v>559</v>
      </c>
      <c r="D837" s="285" t="s">
        <v>16</v>
      </c>
      <c r="E837" s="285" t="s">
        <v>476</v>
      </c>
      <c r="F837" s="287" t="s">
        <v>1380</v>
      </c>
      <c r="G837" s="285" t="s">
        <v>21</v>
      </c>
      <c r="H837" s="285">
        <v>11.0</v>
      </c>
      <c r="I837" s="287" t="s">
        <v>479</v>
      </c>
      <c r="J837" s="287" t="s">
        <v>545</v>
      </c>
      <c r="K837" s="287" t="s">
        <v>545</v>
      </c>
      <c r="L837" s="287" t="s">
        <v>479</v>
      </c>
      <c r="M837" s="287" t="s">
        <v>481</v>
      </c>
      <c r="N837" s="287" t="s">
        <v>561</v>
      </c>
      <c r="O837" s="287"/>
      <c r="P837" s="287"/>
      <c r="Q837" s="294" t="s">
        <v>32</v>
      </c>
      <c r="R837" s="294" t="s">
        <v>32</v>
      </c>
      <c r="S837" s="295" t="s">
        <v>32</v>
      </c>
      <c r="T837" s="287" t="s">
        <v>18</v>
      </c>
      <c r="U837" s="287" t="s">
        <v>18</v>
      </c>
      <c r="V837" s="288" t="s">
        <v>18</v>
      </c>
      <c r="W837" s="294" t="s">
        <v>32</v>
      </c>
      <c r="X837" s="294" t="s">
        <v>32</v>
      </c>
      <c r="Y837" s="295" t="s">
        <v>32</v>
      </c>
      <c r="Z837" s="294" t="s">
        <v>32</v>
      </c>
      <c r="AA837" s="294" t="s">
        <v>32</v>
      </c>
      <c r="AB837" s="295" t="s">
        <v>32</v>
      </c>
      <c r="AC837" s="296" t="s">
        <v>32</v>
      </c>
      <c r="AD837" s="294" t="s">
        <v>32</v>
      </c>
      <c r="AE837" s="294" t="s">
        <v>32</v>
      </c>
      <c r="AF837" s="295" t="s">
        <v>32</v>
      </c>
      <c r="AG837" s="287" t="s">
        <v>18</v>
      </c>
      <c r="AH837" s="287" t="s">
        <v>18</v>
      </c>
      <c r="AI837" s="288" t="s">
        <v>18</v>
      </c>
      <c r="AJ837" s="287" t="s">
        <v>18</v>
      </c>
      <c r="AK837" s="287" t="s">
        <v>18</v>
      </c>
      <c r="AL837" s="288" t="s">
        <v>18</v>
      </c>
      <c r="AM837" s="287" t="s">
        <v>18</v>
      </c>
      <c r="AN837" s="287" t="s">
        <v>18</v>
      </c>
      <c r="AO837" s="288" t="s">
        <v>18</v>
      </c>
      <c r="AP837" s="289" t="s">
        <v>377</v>
      </c>
      <c r="AQ837" s="294" t="s">
        <v>32</v>
      </c>
      <c r="AR837" s="294" t="s">
        <v>32</v>
      </c>
      <c r="AS837" s="295" t="s">
        <v>32</v>
      </c>
      <c r="AT837" s="294" t="s">
        <v>32</v>
      </c>
      <c r="AU837" s="294" t="s">
        <v>32</v>
      </c>
      <c r="AV837" s="295" t="s">
        <v>32</v>
      </c>
      <c r="AW837" s="294" t="s">
        <v>32</v>
      </c>
      <c r="AX837" s="287" t="s">
        <v>18</v>
      </c>
      <c r="AY837" s="288" t="s">
        <v>377</v>
      </c>
      <c r="AZ837" s="294" t="s">
        <v>32</v>
      </c>
      <c r="BA837" s="287" t="s">
        <v>18</v>
      </c>
      <c r="BB837" s="295" t="s">
        <v>32</v>
      </c>
      <c r="BC837" s="289" t="s">
        <v>377</v>
      </c>
      <c r="BD837" s="292"/>
    </row>
    <row r="838" ht="12.75" customHeight="1">
      <c r="A838" s="293">
        <v>45257.37012472222</v>
      </c>
      <c r="B838" s="286" t="s">
        <v>375</v>
      </c>
      <c r="C838" s="287" t="s">
        <v>559</v>
      </c>
      <c r="D838" s="285" t="s">
        <v>16</v>
      </c>
      <c r="E838" s="285" t="s">
        <v>476</v>
      </c>
      <c r="F838" s="287" t="s">
        <v>1381</v>
      </c>
      <c r="G838" s="285" t="s">
        <v>21</v>
      </c>
      <c r="H838" s="285">
        <v>12.0</v>
      </c>
      <c r="I838" s="287" t="s">
        <v>479</v>
      </c>
      <c r="J838" s="287" t="s">
        <v>545</v>
      </c>
      <c r="K838" s="287" t="s">
        <v>545</v>
      </c>
      <c r="L838" s="287" t="s">
        <v>497</v>
      </c>
      <c r="M838" s="292"/>
      <c r="N838" s="292"/>
      <c r="O838" s="292"/>
      <c r="P838" s="292"/>
      <c r="Q838" s="294" t="s">
        <v>32</v>
      </c>
      <c r="R838" s="294" t="s">
        <v>32</v>
      </c>
      <c r="S838" s="295" t="s">
        <v>32</v>
      </c>
      <c r="T838" s="287" t="s">
        <v>377</v>
      </c>
      <c r="U838" s="287" t="s">
        <v>377</v>
      </c>
      <c r="V838" s="288" t="s">
        <v>377</v>
      </c>
      <c r="W838" s="294" t="s">
        <v>32</v>
      </c>
      <c r="X838" s="287" t="s">
        <v>377</v>
      </c>
      <c r="Y838" s="295" t="s">
        <v>32</v>
      </c>
      <c r="Z838" s="294" t="s">
        <v>32</v>
      </c>
      <c r="AA838" s="287" t="s">
        <v>377</v>
      </c>
      <c r="AB838" s="295" t="s">
        <v>32</v>
      </c>
      <c r="AC838" s="296" t="s">
        <v>32</v>
      </c>
      <c r="AD838" s="287" t="s">
        <v>377</v>
      </c>
      <c r="AE838" s="287" t="s">
        <v>377</v>
      </c>
      <c r="AF838" s="288" t="s">
        <v>377</v>
      </c>
      <c r="AG838" s="294" t="s">
        <v>32</v>
      </c>
      <c r="AH838" s="287" t="s">
        <v>377</v>
      </c>
      <c r="AI838" s="295" t="s">
        <v>32</v>
      </c>
      <c r="AJ838" s="287" t="s">
        <v>377</v>
      </c>
      <c r="AK838" s="287" t="s">
        <v>377</v>
      </c>
      <c r="AL838" s="288" t="s">
        <v>377</v>
      </c>
      <c r="AM838" s="287" t="s">
        <v>377</v>
      </c>
      <c r="AN838" s="294" t="s">
        <v>32</v>
      </c>
      <c r="AO838" s="295" t="s">
        <v>32</v>
      </c>
      <c r="AP838" s="289" t="s">
        <v>377</v>
      </c>
      <c r="AQ838" s="287" t="s">
        <v>377</v>
      </c>
      <c r="AR838" s="294" t="s">
        <v>32</v>
      </c>
      <c r="AS838" s="295" t="s">
        <v>32</v>
      </c>
      <c r="AT838" s="287" t="s">
        <v>377</v>
      </c>
      <c r="AU838" s="294" t="s">
        <v>32</v>
      </c>
      <c r="AV838" s="295" t="s">
        <v>32</v>
      </c>
      <c r="AW838" s="287" t="s">
        <v>377</v>
      </c>
      <c r="AX838" s="287" t="s">
        <v>377</v>
      </c>
      <c r="AY838" s="288" t="s">
        <v>377</v>
      </c>
      <c r="AZ838" s="294" t="s">
        <v>32</v>
      </c>
      <c r="BA838" s="287" t="s">
        <v>377</v>
      </c>
      <c r="BB838" s="295" t="s">
        <v>32</v>
      </c>
      <c r="BC838" s="289" t="s">
        <v>377</v>
      </c>
      <c r="BD838" s="292"/>
    </row>
    <row r="839" ht="12.75" customHeight="1">
      <c r="A839" s="293">
        <v>45257.373405983795</v>
      </c>
      <c r="B839" s="286" t="s">
        <v>375</v>
      </c>
      <c r="C839" s="287" t="s">
        <v>559</v>
      </c>
      <c r="D839" s="285" t="s">
        <v>16</v>
      </c>
      <c r="E839" s="285" t="s">
        <v>476</v>
      </c>
      <c r="F839" s="287" t="s">
        <v>1382</v>
      </c>
      <c r="G839" s="285" t="s">
        <v>21</v>
      </c>
      <c r="H839" s="285">
        <v>11.0</v>
      </c>
      <c r="I839" s="287" t="s">
        <v>479</v>
      </c>
      <c r="J839" s="287" t="s">
        <v>545</v>
      </c>
      <c r="K839" s="287" t="s">
        <v>545</v>
      </c>
      <c r="L839" s="287" t="s">
        <v>497</v>
      </c>
      <c r="M839" s="292"/>
      <c r="N839" s="292"/>
      <c r="O839" s="292"/>
      <c r="P839" s="292"/>
      <c r="Q839" s="294" t="s">
        <v>32</v>
      </c>
      <c r="R839" s="294" t="s">
        <v>32</v>
      </c>
      <c r="S839" s="295" t="s">
        <v>32</v>
      </c>
      <c r="T839" s="294" t="s">
        <v>32</v>
      </c>
      <c r="U839" s="294" t="s">
        <v>32</v>
      </c>
      <c r="V839" s="295" t="s">
        <v>32</v>
      </c>
      <c r="W839" s="287" t="s">
        <v>377</v>
      </c>
      <c r="X839" s="294" t="s">
        <v>32</v>
      </c>
      <c r="Y839" s="295" t="s">
        <v>32</v>
      </c>
      <c r="Z839" s="294" t="s">
        <v>32</v>
      </c>
      <c r="AA839" s="287" t="s">
        <v>377</v>
      </c>
      <c r="AB839" s="295" t="s">
        <v>32</v>
      </c>
      <c r="AC839" s="296" t="s">
        <v>32</v>
      </c>
      <c r="AD839" s="294" t="s">
        <v>32</v>
      </c>
      <c r="AE839" s="287" t="s">
        <v>377</v>
      </c>
      <c r="AF839" s="295" t="s">
        <v>32</v>
      </c>
      <c r="AG839" s="294" t="s">
        <v>32</v>
      </c>
      <c r="AH839" s="294" t="s">
        <v>32</v>
      </c>
      <c r="AI839" s="295" t="s">
        <v>32</v>
      </c>
      <c r="AJ839" s="294" t="s">
        <v>32</v>
      </c>
      <c r="AK839" s="287" t="s">
        <v>377</v>
      </c>
      <c r="AL839" s="295" t="s">
        <v>32</v>
      </c>
      <c r="AM839" s="294" t="s">
        <v>32</v>
      </c>
      <c r="AN839" s="294" t="s">
        <v>32</v>
      </c>
      <c r="AO839" s="295" t="s">
        <v>32</v>
      </c>
      <c r="AP839" s="296" t="s">
        <v>32</v>
      </c>
      <c r="AQ839" s="294" t="s">
        <v>32</v>
      </c>
      <c r="AR839" s="287" t="s">
        <v>18</v>
      </c>
      <c r="AS839" s="288" t="s">
        <v>377</v>
      </c>
      <c r="AT839" s="287" t="s">
        <v>18</v>
      </c>
      <c r="AU839" s="294" t="s">
        <v>32</v>
      </c>
      <c r="AV839" s="288" t="s">
        <v>377</v>
      </c>
      <c r="AW839" s="294" t="s">
        <v>32</v>
      </c>
      <c r="AX839" s="287" t="s">
        <v>377</v>
      </c>
      <c r="AY839" s="295" t="s">
        <v>32</v>
      </c>
      <c r="AZ839" s="294" t="s">
        <v>32</v>
      </c>
      <c r="BA839" s="294" t="s">
        <v>32</v>
      </c>
      <c r="BB839" s="295" t="s">
        <v>32</v>
      </c>
      <c r="BC839" s="296" t="s">
        <v>32</v>
      </c>
      <c r="BD839" s="292"/>
    </row>
    <row r="840" ht="12.75" customHeight="1">
      <c r="A840" s="293">
        <v>45257.40938216435</v>
      </c>
      <c r="B840" s="286" t="s">
        <v>375</v>
      </c>
      <c r="C840" s="287" t="s">
        <v>559</v>
      </c>
      <c r="D840" s="285" t="s">
        <v>16</v>
      </c>
      <c r="E840" s="285" t="s">
        <v>476</v>
      </c>
      <c r="F840" s="287" t="s">
        <v>1383</v>
      </c>
      <c r="G840" s="285" t="s">
        <v>21</v>
      </c>
      <c r="H840" s="285">
        <v>11.0</v>
      </c>
      <c r="I840" s="287" t="s">
        <v>479</v>
      </c>
      <c r="J840" s="287" t="s">
        <v>545</v>
      </c>
      <c r="K840" s="287" t="s">
        <v>545</v>
      </c>
      <c r="L840" s="287" t="s">
        <v>479</v>
      </c>
      <c r="M840" s="287" t="s">
        <v>481</v>
      </c>
      <c r="N840" s="287" t="s">
        <v>561</v>
      </c>
      <c r="O840" s="287"/>
      <c r="P840" s="287"/>
      <c r="Q840" s="287" t="s">
        <v>377</v>
      </c>
      <c r="R840" s="294" t="s">
        <v>32</v>
      </c>
      <c r="S840" s="295" t="s">
        <v>32</v>
      </c>
      <c r="T840" s="287" t="s">
        <v>18</v>
      </c>
      <c r="U840" s="294" t="s">
        <v>32</v>
      </c>
      <c r="V840" s="288" t="s">
        <v>377</v>
      </c>
      <c r="W840" s="287" t="s">
        <v>18</v>
      </c>
      <c r="X840" s="294" t="s">
        <v>32</v>
      </c>
      <c r="Y840" s="288" t="s">
        <v>377</v>
      </c>
      <c r="Z840" s="294" t="s">
        <v>32</v>
      </c>
      <c r="AA840" s="287" t="s">
        <v>18</v>
      </c>
      <c r="AB840" s="288" t="s">
        <v>377</v>
      </c>
      <c r="AC840" s="289" t="s">
        <v>377</v>
      </c>
      <c r="AD840" s="294" t="s">
        <v>32</v>
      </c>
      <c r="AE840" s="287" t="s">
        <v>377</v>
      </c>
      <c r="AF840" s="295" t="s">
        <v>32</v>
      </c>
      <c r="AG840" s="294" t="s">
        <v>32</v>
      </c>
      <c r="AH840" s="287" t="s">
        <v>377</v>
      </c>
      <c r="AI840" s="295" t="s">
        <v>32</v>
      </c>
      <c r="AJ840" s="294" t="s">
        <v>32</v>
      </c>
      <c r="AK840" s="287" t="s">
        <v>377</v>
      </c>
      <c r="AL840" s="295" t="s">
        <v>32</v>
      </c>
      <c r="AM840" s="287" t="s">
        <v>18</v>
      </c>
      <c r="AN840" s="287" t="s">
        <v>18</v>
      </c>
      <c r="AO840" s="288" t="s">
        <v>18</v>
      </c>
      <c r="AP840" s="289" t="s">
        <v>377</v>
      </c>
      <c r="AQ840" s="287" t="s">
        <v>377</v>
      </c>
      <c r="AR840" s="294" t="s">
        <v>32</v>
      </c>
      <c r="AS840" s="295" t="s">
        <v>32</v>
      </c>
      <c r="AT840" s="294" t="s">
        <v>32</v>
      </c>
      <c r="AU840" s="294" t="s">
        <v>32</v>
      </c>
      <c r="AV840" s="295" t="s">
        <v>32</v>
      </c>
      <c r="AW840" s="287" t="s">
        <v>377</v>
      </c>
      <c r="AX840" s="287" t="s">
        <v>18</v>
      </c>
      <c r="AY840" s="288" t="s">
        <v>377</v>
      </c>
      <c r="AZ840" s="294" t="s">
        <v>32</v>
      </c>
      <c r="BA840" s="287" t="s">
        <v>377</v>
      </c>
      <c r="BB840" s="288" t="s">
        <v>377</v>
      </c>
      <c r="BC840" s="289" t="s">
        <v>377</v>
      </c>
      <c r="BD840" s="292"/>
    </row>
    <row r="841" ht="12.75" customHeight="1">
      <c r="A841" s="293">
        <v>45257.41190162037</v>
      </c>
      <c r="B841" s="286" t="s">
        <v>375</v>
      </c>
      <c r="C841" s="287" t="s">
        <v>559</v>
      </c>
      <c r="D841" s="285" t="s">
        <v>16</v>
      </c>
      <c r="E841" s="285" t="s">
        <v>476</v>
      </c>
      <c r="F841" s="287" t="s">
        <v>1384</v>
      </c>
      <c r="G841" s="285" t="s">
        <v>21</v>
      </c>
      <c r="H841" s="285">
        <v>12.0</v>
      </c>
      <c r="I841" s="287" t="s">
        <v>479</v>
      </c>
      <c r="J841" s="287" t="s">
        <v>545</v>
      </c>
      <c r="K841" s="287" t="s">
        <v>545</v>
      </c>
      <c r="L841" s="287" t="s">
        <v>479</v>
      </c>
      <c r="M841" s="287" t="s">
        <v>481</v>
      </c>
      <c r="N841" s="287" t="s">
        <v>561</v>
      </c>
      <c r="O841" s="287"/>
      <c r="P841" s="287"/>
      <c r="Q841" s="294" t="s">
        <v>32</v>
      </c>
      <c r="R841" s="294" t="s">
        <v>32</v>
      </c>
      <c r="S841" s="295" t="s">
        <v>32</v>
      </c>
      <c r="T841" s="287" t="s">
        <v>377</v>
      </c>
      <c r="U841" s="294" t="s">
        <v>32</v>
      </c>
      <c r="V841" s="295" t="s">
        <v>32</v>
      </c>
      <c r="W841" s="294" t="s">
        <v>32</v>
      </c>
      <c r="X841" s="287" t="s">
        <v>377</v>
      </c>
      <c r="Y841" s="295" t="s">
        <v>32</v>
      </c>
      <c r="Z841" s="294" t="s">
        <v>32</v>
      </c>
      <c r="AA841" s="287" t="s">
        <v>377</v>
      </c>
      <c r="AB841" s="295" t="s">
        <v>32</v>
      </c>
      <c r="AC841" s="296" t="s">
        <v>32</v>
      </c>
      <c r="AD841" s="287" t="s">
        <v>377</v>
      </c>
      <c r="AE841" s="294" t="s">
        <v>32</v>
      </c>
      <c r="AF841" s="295" t="s">
        <v>32</v>
      </c>
      <c r="AG841" s="294" t="s">
        <v>32</v>
      </c>
      <c r="AH841" s="287" t="s">
        <v>18</v>
      </c>
      <c r="AI841" s="288" t="s">
        <v>377</v>
      </c>
      <c r="AJ841" s="294" t="s">
        <v>32</v>
      </c>
      <c r="AK841" s="294" t="s">
        <v>32</v>
      </c>
      <c r="AL841" s="295" t="s">
        <v>32</v>
      </c>
      <c r="AM841" s="287" t="s">
        <v>18</v>
      </c>
      <c r="AN841" s="287" t="s">
        <v>377</v>
      </c>
      <c r="AO841" s="288" t="s">
        <v>377</v>
      </c>
      <c r="AP841" s="289" t="s">
        <v>377</v>
      </c>
      <c r="AQ841" s="294" t="s">
        <v>32</v>
      </c>
      <c r="AR841" s="294" t="s">
        <v>32</v>
      </c>
      <c r="AS841" s="295" t="s">
        <v>32</v>
      </c>
      <c r="AT841" s="287" t="s">
        <v>18</v>
      </c>
      <c r="AU841" s="294" t="s">
        <v>32</v>
      </c>
      <c r="AV841" s="288" t="s">
        <v>377</v>
      </c>
      <c r="AW841" s="294" t="s">
        <v>32</v>
      </c>
      <c r="AX841" s="287" t="s">
        <v>377</v>
      </c>
      <c r="AY841" s="295" t="s">
        <v>32</v>
      </c>
      <c r="AZ841" s="287" t="s">
        <v>377</v>
      </c>
      <c r="BA841" s="294" t="s">
        <v>32</v>
      </c>
      <c r="BB841" s="295" t="s">
        <v>32</v>
      </c>
      <c r="BC841" s="296" t="s">
        <v>32</v>
      </c>
      <c r="BD841" s="292"/>
    </row>
    <row r="842" ht="12.75" customHeight="1">
      <c r="A842" s="293">
        <v>45257.461248761574</v>
      </c>
      <c r="B842" s="286" t="s">
        <v>375</v>
      </c>
      <c r="C842" s="287" t="s">
        <v>559</v>
      </c>
      <c r="D842" s="285" t="s">
        <v>16</v>
      </c>
      <c r="E842" s="285" t="s">
        <v>476</v>
      </c>
      <c r="F842" s="287" t="s">
        <v>1385</v>
      </c>
      <c r="G842" s="285" t="s">
        <v>17</v>
      </c>
      <c r="H842" s="285">
        <v>12.0</v>
      </c>
      <c r="I842" s="287" t="s">
        <v>479</v>
      </c>
      <c r="J842" s="287" t="s">
        <v>545</v>
      </c>
      <c r="K842" s="287" t="s">
        <v>545</v>
      </c>
      <c r="L842" s="287" t="s">
        <v>479</v>
      </c>
      <c r="M842" s="287" t="s">
        <v>495</v>
      </c>
      <c r="N842" s="287" t="s">
        <v>561</v>
      </c>
      <c r="O842" s="287"/>
      <c r="P842" s="287"/>
      <c r="Q842" s="294" t="s">
        <v>32</v>
      </c>
      <c r="R842" s="294" t="s">
        <v>32</v>
      </c>
      <c r="S842" s="295" t="s">
        <v>32</v>
      </c>
      <c r="T842" s="287" t="s">
        <v>377</v>
      </c>
      <c r="U842" s="294" t="s">
        <v>32</v>
      </c>
      <c r="V842" s="295" t="s">
        <v>32</v>
      </c>
      <c r="W842" s="287" t="s">
        <v>377</v>
      </c>
      <c r="X842" s="287" t="s">
        <v>377</v>
      </c>
      <c r="Y842" s="288" t="s">
        <v>377</v>
      </c>
      <c r="Z842" s="294" t="s">
        <v>32</v>
      </c>
      <c r="AA842" s="287" t="s">
        <v>377</v>
      </c>
      <c r="AB842" s="295" t="s">
        <v>32</v>
      </c>
      <c r="AC842" s="296" t="s">
        <v>32</v>
      </c>
      <c r="AD842" s="294" t="s">
        <v>32</v>
      </c>
      <c r="AE842" s="294" t="s">
        <v>32</v>
      </c>
      <c r="AF842" s="295" t="s">
        <v>32</v>
      </c>
      <c r="AG842" s="294" t="s">
        <v>32</v>
      </c>
      <c r="AH842" s="287" t="s">
        <v>377</v>
      </c>
      <c r="AI842" s="295" t="s">
        <v>32</v>
      </c>
      <c r="AJ842" s="294" t="s">
        <v>32</v>
      </c>
      <c r="AK842" s="294" t="s">
        <v>32</v>
      </c>
      <c r="AL842" s="295" t="s">
        <v>32</v>
      </c>
      <c r="AM842" s="294" t="s">
        <v>32</v>
      </c>
      <c r="AN842" s="287" t="s">
        <v>377</v>
      </c>
      <c r="AO842" s="295" t="s">
        <v>32</v>
      </c>
      <c r="AP842" s="296" t="s">
        <v>32</v>
      </c>
      <c r="AQ842" s="294" t="s">
        <v>32</v>
      </c>
      <c r="AR842" s="294" t="s">
        <v>32</v>
      </c>
      <c r="AS842" s="295" t="s">
        <v>32</v>
      </c>
      <c r="AT842" s="294" t="s">
        <v>32</v>
      </c>
      <c r="AU842" s="294" t="s">
        <v>32</v>
      </c>
      <c r="AV842" s="295" t="s">
        <v>32</v>
      </c>
      <c r="AW842" s="294" t="s">
        <v>32</v>
      </c>
      <c r="AX842" s="294" t="s">
        <v>32</v>
      </c>
      <c r="AY842" s="295" t="s">
        <v>32</v>
      </c>
      <c r="AZ842" s="287" t="s">
        <v>377</v>
      </c>
      <c r="BA842" s="294" t="s">
        <v>32</v>
      </c>
      <c r="BB842" s="295" t="s">
        <v>32</v>
      </c>
      <c r="BC842" s="296" t="s">
        <v>32</v>
      </c>
      <c r="BD842" s="292"/>
    </row>
    <row r="843" ht="12.75" customHeight="1">
      <c r="A843" s="293">
        <v>45257.49762599537</v>
      </c>
      <c r="B843" s="286" t="s">
        <v>375</v>
      </c>
      <c r="C843" s="287" t="s">
        <v>559</v>
      </c>
      <c r="D843" s="285" t="s">
        <v>16</v>
      </c>
      <c r="E843" s="285" t="s">
        <v>476</v>
      </c>
      <c r="F843" s="287" t="s">
        <v>1386</v>
      </c>
      <c r="G843" s="285" t="s">
        <v>21</v>
      </c>
      <c r="H843" s="285">
        <v>12.0</v>
      </c>
      <c r="I843" s="287" t="s">
        <v>479</v>
      </c>
      <c r="J843" s="287" t="s">
        <v>545</v>
      </c>
      <c r="K843" s="287" t="s">
        <v>545</v>
      </c>
      <c r="L843" s="287" t="s">
        <v>479</v>
      </c>
      <c r="M843" s="287" t="s">
        <v>495</v>
      </c>
      <c r="N843" s="287" t="s">
        <v>561</v>
      </c>
      <c r="O843" s="287"/>
      <c r="P843" s="287"/>
      <c r="Q843" s="294" t="s">
        <v>32</v>
      </c>
      <c r="R843" s="294" t="s">
        <v>32</v>
      </c>
      <c r="S843" s="295" t="s">
        <v>32</v>
      </c>
      <c r="T843" s="287" t="s">
        <v>377</v>
      </c>
      <c r="U843" s="294" t="s">
        <v>32</v>
      </c>
      <c r="V843" s="295" t="s">
        <v>32</v>
      </c>
      <c r="W843" s="294" t="s">
        <v>32</v>
      </c>
      <c r="X843" s="287" t="s">
        <v>377</v>
      </c>
      <c r="Y843" s="295" t="s">
        <v>32</v>
      </c>
      <c r="Z843" s="287" t="s">
        <v>377</v>
      </c>
      <c r="AA843" s="287" t="s">
        <v>377</v>
      </c>
      <c r="AB843" s="288" t="s">
        <v>377</v>
      </c>
      <c r="AC843" s="296" t="s">
        <v>32</v>
      </c>
      <c r="AD843" s="287" t="s">
        <v>18</v>
      </c>
      <c r="AE843" s="287" t="s">
        <v>377</v>
      </c>
      <c r="AF843" s="288" t="s">
        <v>377</v>
      </c>
      <c r="AG843" s="294" t="s">
        <v>32</v>
      </c>
      <c r="AH843" s="287" t="s">
        <v>377</v>
      </c>
      <c r="AI843" s="295" t="s">
        <v>32</v>
      </c>
      <c r="AJ843" s="287" t="s">
        <v>377</v>
      </c>
      <c r="AK843" s="287" t="s">
        <v>377</v>
      </c>
      <c r="AL843" s="288" t="s">
        <v>377</v>
      </c>
      <c r="AM843" s="294" t="s">
        <v>32</v>
      </c>
      <c r="AN843" s="287" t="s">
        <v>377</v>
      </c>
      <c r="AO843" s="295" t="s">
        <v>32</v>
      </c>
      <c r="AP843" s="289" t="s">
        <v>377</v>
      </c>
      <c r="AQ843" s="294" t="s">
        <v>32</v>
      </c>
      <c r="AR843" s="287" t="s">
        <v>377</v>
      </c>
      <c r="AS843" s="295" t="s">
        <v>32</v>
      </c>
      <c r="AT843" s="287" t="s">
        <v>377</v>
      </c>
      <c r="AU843" s="294" t="s">
        <v>32</v>
      </c>
      <c r="AV843" s="295" t="s">
        <v>32</v>
      </c>
      <c r="AW843" s="294" t="s">
        <v>32</v>
      </c>
      <c r="AX843" s="287" t="s">
        <v>377</v>
      </c>
      <c r="AY843" s="295" t="s">
        <v>32</v>
      </c>
      <c r="AZ843" s="294" t="s">
        <v>32</v>
      </c>
      <c r="BA843" s="287" t="s">
        <v>377</v>
      </c>
      <c r="BB843" s="295" t="s">
        <v>32</v>
      </c>
      <c r="BC843" s="296" t="s">
        <v>32</v>
      </c>
      <c r="BD843" s="292"/>
    </row>
    <row r="844" ht="12.75" customHeight="1">
      <c r="A844" s="293">
        <v>44797.45830391203</v>
      </c>
      <c r="B844" s="297" t="s">
        <v>375</v>
      </c>
      <c r="C844" s="298" t="s">
        <v>567</v>
      </c>
      <c r="D844" s="298" t="s">
        <v>16</v>
      </c>
      <c r="E844" s="285" t="s">
        <v>476</v>
      </c>
      <c r="F844" s="292" t="s">
        <v>1387</v>
      </c>
      <c r="G844" s="298" t="s">
        <v>21</v>
      </c>
      <c r="H844" s="298">
        <v>11.0</v>
      </c>
      <c r="I844" s="292" t="s">
        <v>479</v>
      </c>
      <c r="J844" s="292" t="s">
        <v>545</v>
      </c>
      <c r="K844" s="287" t="s">
        <v>545</v>
      </c>
      <c r="L844" s="292" t="s">
        <v>479</v>
      </c>
      <c r="M844" s="292" t="s">
        <v>483</v>
      </c>
      <c r="N844" s="292"/>
      <c r="O844" s="292"/>
      <c r="P844" s="292"/>
      <c r="Q844" s="292" t="s">
        <v>377</v>
      </c>
      <c r="R844" s="299" t="s">
        <v>32</v>
      </c>
      <c r="S844" s="295" t="s">
        <v>32</v>
      </c>
      <c r="T844" s="292" t="s">
        <v>18</v>
      </c>
      <c r="U844" s="299" t="s">
        <v>32</v>
      </c>
      <c r="V844" s="288" t="s">
        <v>377</v>
      </c>
      <c r="W844" s="299" t="s">
        <v>32</v>
      </c>
      <c r="X844" s="299" t="s">
        <v>32</v>
      </c>
      <c r="Y844" s="295" t="s">
        <v>32</v>
      </c>
      <c r="Z844" s="299" t="s">
        <v>32</v>
      </c>
      <c r="AA844" s="299" t="s">
        <v>32</v>
      </c>
      <c r="AB844" s="295" t="s">
        <v>32</v>
      </c>
      <c r="AC844" s="296" t="s">
        <v>32</v>
      </c>
      <c r="AD844" s="292" t="s">
        <v>377</v>
      </c>
      <c r="AE844" s="299" t="s">
        <v>32</v>
      </c>
      <c r="AF844" s="295" t="s">
        <v>32</v>
      </c>
      <c r="AG844" s="292" t="s">
        <v>377</v>
      </c>
      <c r="AH844" s="292" t="s">
        <v>18</v>
      </c>
      <c r="AI844" s="288" t="s">
        <v>377</v>
      </c>
      <c r="AJ844" s="292" t="s">
        <v>377</v>
      </c>
      <c r="AK844" s="292" t="s">
        <v>18</v>
      </c>
      <c r="AL844" s="288" t="s">
        <v>377</v>
      </c>
      <c r="AM844" s="292" t="s">
        <v>18</v>
      </c>
      <c r="AN844" s="292" t="s">
        <v>377</v>
      </c>
      <c r="AO844" s="288" t="s">
        <v>377</v>
      </c>
      <c r="AP844" s="289" t="s">
        <v>377</v>
      </c>
      <c r="AQ844" s="299" t="s">
        <v>32</v>
      </c>
      <c r="AR844" s="299" t="s">
        <v>32</v>
      </c>
      <c r="AS844" s="295" t="s">
        <v>32</v>
      </c>
      <c r="AT844" s="292" t="s">
        <v>377</v>
      </c>
      <c r="AU844" s="299" t="s">
        <v>32</v>
      </c>
      <c r="AV844" s="295" t="s">
        <v>32</v>
      </c>
      <c r="AW844" s="292" t="s">
        <v>18</v>
      </c>
      <c r="AX844" s="292" t="s">
        <v>377</v>
      </c>
      <c r="AY844" s="288" t="s">
        <v>377</v>
      </c>
      <c r="AZ844" s="292" t="s">
        <v>377</v>
      </c>
      <c r="BA844" s="292" t="s">
        <v>18</v>
      </c>
      <c r="BB844" s="288" t="s">
        <v>18</v>
      </c>
      <c r="BC844" s="289" t="s">
        <v>377</v>
      </c>
      <c r="BD844" s="292"/>
    </row>
    <row r="845" ht="12.75" customHeight="1">
      <c r="A845" s="293">
        <v>44797.62139008102</v>
      </c>
      <c r="B845" s="297" t="s">
        <v>375</v>
      </c>
      <c r="C845" s="298" t="s">
        <v>567</v>
      </c>
      <c r="D845" s="298" t="s">
        <v>16</v>
      </c>
      <c r="E845" s="285" t="s">
        <v>476</v>
      </c>
      <c r="F845" s="292" t="s">
        <v>1388</v>
      </c>
      <c r="G845" s="298" t="s">
        <v>21</v>
      </c>
      <c r="H845" s="298">
        <v>11.0</v>
      </c>
      <c r="I845" s="292" t="s">
        <v>479</v>
      </c>
      <c r="J845" s="292" t="s">
        <v>545</v>
      </c>
      <c r="K845" s="287" t="s">
        <v>545</v>
      </c>
      <c r="L845" s="292" t="s">
        <v>479</v>
      </c>
      <c r="M845" s="292" t="s">
        <v>495</v>
      </c>
      <c r="N845" s="292"/>
      <c r="O845" s="292"/>
      <c r="P845" s="292"/>
      <c r="Q845" s="299" t="s">
        <v>32</v>
      </c>
      <c r="R845" s="299" t="s">
        <v>32</v>
      </c>
      <c r="S845" s="295" t="s">
        <v>32</v>
      </c>
      <c r="T845" s="292" t="s">
        <v>18</v>
      </c>
      <c r="U845" s="299" t="s">
        <v>32</v>
      </c>
      <c r="V845" s="288" t="s">
        <v>377</v>
      </c>
      <c r="W845" s="292" t="s">
        <v>18</v>
      </c>
      <c r="X845" s="292" t="s">
        <v>18</v>
      </c>
      <c r="Y845" s="288" t="s">
        <v>18</v>
      </c>
      <c r="Z845" s="299" t="s">
        <v>32</v>
      </c>
      <c r="AA845" s="292" t="s">
        <v>377</v>
      </c>
      <c r="AB845" s="295" t="s">
        <v>32</v>
      </c>
      <c r="AC845" s="289" t="s">
        <v>377</v>
      </c>
      <c r="AD845" s="299" t="s">
        <v>32</v>
      </c>
      <c r="AE845" s="292" t="s">
        <v>18</v>
      </c>
      <c r="AF845" s="288" t="s">
        <v>377</v>
      </c>
      <c r="AG845" s="292" t="s">
        <v>18</v>
      </c>
      <c r="AH845" s="292" t="s">
        <v>377</v>
      </c>
      <c r="AI845" s="288" t="s">
        <v>377</v>
      </c>
      <c r="AJ845" s="292" t="s">
        <v>18</v>
      </c>
      <c r="AK845" s="292" t="s">
        <v>18</v>
      </c>
      <c r="AL845" s="288" t="s">
        <v>18</v>
      </c>
      <c r="AM845" s="292" t="s">
        <v>18</v>
      </c>
      <c r="AN845" s="292" t="s">
        <v>18</v>
      </c>
      <c r="AO845" s="288" t="s">
        <v>18</v>
      </c>
      <c r="AP845" s="289" t="s">
        <v>18</v>
      </c>
      <c r="AQ845" s="299" t="s">
        <v>32</v>
      </c>
      <c r="AR845" s="299" t="s">
        <v>32</v>
      </c>
      <c r="AS845" s="295" t="s">
        <v>32</v>
      </c>
      <c r="AT845" s="299" t="s">
        <v>32</v>
      </c>
      <c r="AU845" s="299" t="s">
        <v>32</v>
      </c>
      <c r="AV845" s="295" t="s">
        <v>32</v>
      </c>
      <c r="AW845" s="299" t="s">
        <v>32</v>
      </c>
      <c r="AX845" s="292" t="s">
        <v>18</v>
      </c>
      <c r="AY845" s="288" t="s">
        <v>377</v>
      </c>
      <c r="AZ845" s="299" t="s">
        <v>32</v>
      </c>
      <c r="BA845" s="299" t="s">
        <v>32</v>
      </c>
      <c r="BB845" s="295" t="s">
        <v>32</v>
      </c>
      <c r="BC845" s="296" t="s">
        <v>32</v>
      </c>
      <c r="BD845" s="292"/>
    </row>
    <row r="846" ht="12.75" customHeight="1">
      <c r="A846" s="293">
        <v>44797.62442471065</v>
      </c>
      <c r="B846" s="297" t="s">
        <v>375</v>
      </c>
      <c r="C846" s="298" t="s">
        <v>567</v>
      </c>
      <c r="D846" s="298" t="s">
        <v>16</v>
      </c>
      <c r="E846" s="285" t="s">
        <v>476</v>
      </c>
      <c r="F846" s="292" t="s">
        <v>1389</v>
      </c>
      <c r="G846" s="298" t="s">
        <v>17</v>
      </c>
      <c r="H846" s="298">
        <v>12.0</v>
      </c>
      <c r="I846" s="292" t="s">
        <v>479</v>
      </c>
      <c r="J846" s="292" t="s">
        <v>545</v>
      </c>
      <c r="K846" s="287" t="s">
        <v>545</v>
      </c>
      <c r="L846" s="292" t="s">
        <v>479</v>
      </c>
      <c r="M846" s="292" t="s">
        <v>481</v>
      </c>
      <c r="N846" s="292"/>
      <c r="O846" s="292"/>
      <c r="P846" s="292"/>
      <c r="Q846" s="299" t="s">
        <v>32</v>
      </c>
      <c r="R846" s="292" t="s">
        <v>377</v>
      </c>
      <c r="S846" s="295" t="s">
        <v>32</v>
      </c>
      <c r="T846" s="292" t="s">
        <v>377</v>
      </c>
      <c r="U846" s="292" t="s">
        <v>377</v>
      </c>
      <c r="V846" s="288" t="s">
        <v>377</v>
      </c>
      <c r="W846" s="292" t="s">
        <v>18</v>
      </c>
      <c r="X846" s="299" t="s">
        <v>32</v>
      </c>
      <c r="Y846" s="288" t="s">
        <v>377</v>
      </c>
      <c r="Z846" s="299" t="s">
        <v>32</v>
      </c>
      <c r="AA846" s="299" t="s">
        <v>32</v>
      </c>
      <c r="AB846" s="295" t="s">
        <v>32</v>
      </c>
      <c r="AC846" s="289" t="s">
        <v>377</v>
      </c>
      <c r="AD846" s="299" t="s">
        <v>32</v>
      </c>
      <c r="AE846" s="292" t="s">
        <v>377</v>
      </c>
      <c r="AF846" s="295" t="s">
        <v>32</v>
      </c>
      <c r="AG846" s="299" t="s">
        <v>32</v>
      </c>
      <c r="AH846" s="299" t="s">
        <v>32</v>
      </c>
      <c r="AI846" s="295" t="s">
        <v>32</v>
      </c>
      <c r="AJ846" s="299" t="s">
        <v>32</v>
      </c>
      <c r="AK846" s="299" t="s">
        <v>32</v>
      </c>
      <c r="AL846" s="295" t="s">
        <v>32</v>
      </c>
      <c r="AM846" s="299" t="s">
        <v>32</v>
      </c>
      <c r="AN846" s="299" t="s">
        <v>32</v>
      </c>
      <c r="AO846" s="295" t="s">
        <v>32</v>
      </c>
      <c r="AP846" s="296" t="s">
        <v>32</v>
      </c>
      <c r="AQ846" s="299" t="s">
        <v>32</v>
      </c>
      <c r="AR846" s="299" t="s">
        <v>32</v>
      </c>
      <c r="AS846" s="295" t="s">
        <v>32</v>
      </c>
      <c r="AT846" s="299" t="s">
        <v>32</v>
      </c>
      <c r="AU846" s="292" t="s">
        <v>18</v>
      </c>
      <c r="AV846" s="288" t="s">
        <v>377</v>
      </c>
      <c r="AW846" s="299" t="s">
        <v>32</v>
      </c>
      <c r="AX846" s="292" t="s">
        <v>377</v>
      </c>
      <c r="AY846" s="295" t="s">
        <v>32</v>
      </c>
      <c r="AZ846" s="292" t="s">
        <v>377</v>
      </c>
      <c r="BA846" s="292" t="s">
        <v>377</v>
      </c>
      <c r="BB846" s="295" t="s">
        <v>32</v>
      </c>
      <c r="BC846" s="296" t="s">
        <v>32</v>
      </c>
      <c r="BD846" s="292"/>
    </row>
    <row r="847" ht="12.75" customHeight="1">
      <c r="A847" s="293">
        <v>44797.63930540509</v>
      </c>
      <c r="B847" s="297" t="s">
        <v>375</v>
      </c>
      <c r="C847" s="298" t="s">
        <v>567</v>
      </c>
      <c r="D847" s="298" t="s">
        <v>16</v>
      </c>
      <c r="E847" s="285" t="s">
        <v>476</v>
      </c>
      <c r="F847" s="292" t="s">
        <v>1390</v>
      </c>
      <c r="G847" s="298" t="s">
        <v>17</v>
      </c>
      <c r="H847" s="298">
        <v>12.0</v>
      </c>
      <c r="I847" s="292" t="s">
        <v>479</v>
      </c>
      <c r="J847" s="292" t="s">
        <v>545</v>
      </c>
      <c r="K847" s="287" t="s">
        <v>545</v>
      </c>
      <c r="L847" s="292" t="s">
        <v>479</v>
      </c>
      <c r="M847" s="292" t="s">
        <v>490</v>
      </c>
      <c r="N847" s="292"/>
      <c r="O847" s="292"/>
      <c r="P847" s="292"/>
      <c r="Q847" s="299" t="s">
        <v>32</v>
      </c>
      <c r="R847" s="299" t="s">
        <v>32</v>
      </c>
      <c r="S847" s="295" t="s">
        <v>32</v>
      </c>
      <c r="T847" s="299" t="s">
        <v>32</v>
      </c>
      <c r="U847" s="299" t="s">
        <v>32</v>
      </c>
      <c r="V847" s="295" t="s">
        <v>32</v>
      </c>
      <c r="W847" s="292" t="s">
        <v>377</v>
      </c>
      <c r="X847" s="292" t="s">
        <v>18</v>
      </c>
      <c r="Y847" s="288" t="s">
        <v>377</v>
      </c>
      <c r="Z847" s="292" t="s">
        <v>18</v>
      </c>
      <c r="AA847" s="292" t="s">
        <v>18</v>
      </c>
      <c r="AB847" s="288" t="s">
        <v>18</v>
      </c>
      <c r="AC847" s="289" t="s">
        <v>377</v>
      </c>
      <c r="AD847" s="292" t="s">
        <v>18</v>
      </c>
      <c r="AE847" s="292" t="s">
        <v>18</v>
      </c>
      <c r="AF847" s="288" t="s">
        <v>18</v>
      </c>
      <c r="AG847" s="292" t="s">
        <v>377</v>
      </c>
      <c r="AH847" s="292" t="s">
        <v>18</v>
      </c>
      <c r="AI847" s="288" t="s">
        <v>377</v>
      </c>
      <c r="AJ847" s="292" t="s">
        <v>18</v>
      </c>
      <c r="AK847" s="292" t="s">
        <v>18</v>
      </c>
      <c r="AL847" s="288" t="s">
        <v>18</v>
      </c>
      <c r="AM847" s="292" t="s">
        <v>18</v>
      </c>
      <c r="AN847" s="299" t="s">
        <v>32</v>
      </c>
      <c r="AO847" s="288" t="s">
        <v>377</v>
      </c>
      <c r="AP847" s="289" t="s">
        <v>18</v>
      </c>
      <c r="AQ847" s="292" t="s">
        <v>377</v>
      </c>
      <c r="AR847" s="292" t="s">
        <v>18</v>
      </c>
      <c r="AS847" s="288" t="s">
        <v>377</v>
      </c>
      <c r="AT847" s="299" t="s">
        <v>32</v>
      </c>
      <c r="AU847" s="292" t="s">
        <v>18</v>
      </c>
      <c r="AV847" s="288" t="s">
        <v>377</v>
      </c>
      <c r="AW847" s="292" t="s">
        <v>18</v>
      </c>
      <c r="AX847" s="292" t="s">
        <v>18</v>
      </c>
      <c r="AY847" s="288" t="s">
        <v>18</v>
      </c>
      <c r="AZ847" s="292" t="s">
        <v>18</v>
      </c>
      <c r="BA847" s="299" t="s">
        <v>32</v>
      </c>
      <c r="BB847" s="295" t="s">
        <v>32</v>
      </c>
      <c r="BC847" s="296" t="s">
        <v>32</v>
      </c>
      <c r="BD847" s="292"/>
    </row>
    <row r="848" ht="12.75" customHeight="1">
      <c r="A848" s="293">
        <v>44797.78536903935</v>
      </c>
      <c r="B848" s="297" t="s">
        <v>375</v>
      </c>
      <c r="C848" s="298" t="s">
        <v>567</v>
      </c>
      <c r="D848" s="298" t="s">
        <v>16</v>
      </c>
      <c r="E848" s="285" t="s">
        <v>476</v>
      </c>
      <c r="F848" s="292" t="s">
        <v>1391</v>
      </c>
      <c r="G848" s="298" t="s">
        <v>17</v>
      </c>
      <c r="H848" s="298">
        <v>12.0</v>
      </c>
      <c r="I848" s="292" t="s">
        <v>479</v>
      </c>
      <c r="J848" s="292" t="s">
        <v>545</v>
      </c>
      <c r="K848" s="287" t="s">
        <v>545</v>
      </c>
      <c r="L848" s="292" t="s">
        <v>479</v>
      </c>
      <c r="M848" s="292" t="s">
        <v>500</v>
      </c>
      <c r="N848" s="292"/>
      <c r="O848" s="292"/>
      <c r="P848" s="292"/>
      <c r="Q848" s="299" t="s">
        <v>32</v>
      </c>
      <c r="R848" s="299" t="s">
        <v>32</v>
      </c>
      <c r="S848" s="295" t="s">
        <v>32</v>
      </c>
      <c r="T848" s="292" t="s">
        <v>377</v>
      </c>
      <c r="U848" s="299" t="s">
        <v>32</v>
      </c>
      <c r="V848" s="295" t="s">
        <v>32</v>
      </c>
      <c r="W848" s="299" t="s">
        <v>32</v>
      </c>
      <c r="X848" s="292" t="s">
        <v>18</v>
      </c>
      <c r="Y848" s="288" t="s">
        <v>377</v>
      </c>
      <c r="Z848" s="299" t="s">
        <v>32</v>
      </c>
      <c r="AA848" s="292" t="s">
        <v>377</v>
      </c>
      <c r="AB848" s="295" t="s">
        <v>32</v>
      </c>
      <c r="AC848" s="296" t="s">
        <v>32</v>
      </c>
      <c r="AD848" s="292" t="s">
        <v>377</v>
      </c>
      <c r="AE848" s="292" t="s">
        <v>377</v>
      </c>
      <c r="AF848" s="288" t="s">
        <v>377</v>
      </c>
      <c r="AG848" s="292" t="s">
        <v>377</v>
      </c>
      <c r="AH848" s="299" t="s">
        <v>32</v>
      </c>
      <c r="AI848" s="295" t="s">
        <v>32</v>
      </c>
      <c r="AJ848" s="292" t="s">
        <v>18</v>
      </c>
      <c r="AK848" s="292" t="s">
        <v>377</v>
      </c>
      <c r="AL848" s="288" t="s">
        <v>377</v>
      </c>
      <c r="AM848" s="292" t="s">
        <v>377</v>
      </c>
      <c r="AN848" s="292" t="s">
        <v>18</v>
      </c>
      <c r="AO848" s="288" t="s">
        <v>377</v>
      </c>
      <c r="AP848" s="289" t="s">
        <v>377</v>
      </c>
      <c r="AQ848" s="292" t="s">
        <v>377</v>
      </c>
      <c r="AR848" s="292" t="s">
        <v>377</v>
      </c>
      <c r="AS848" s="288" t="s">
        <v>377</v>
      </c>
      <c r="AT848" s="299" t="s">
        <v>32</v>
      </c>
      <c r="AU848" s="299" t="s">
        <v>32</v>
      </c>
      <c r="AV848" s="295" t="s">
        <v>32</v>
      </c>
      <c r="AW848" s="292" t="s">
        <v>377</v>
      </c>
      <c r="AX848" s="299" t="s">
        <v>32</v>
      </c>
      <c r="AY848" s="295" t="s">
        <v>32</v>
      </c>
      <c r="AZ848" s="299" t="s">
        <v>32</v>
      </c>
      <c r="BA848" s="292" t="s">
        <v>377</v>
      </c>
      <c r="BB848" s="295" t="s">
        <v>32</v>
      </c>
      <c r="BC848" s="296" t="s">
        <v>32</v>
      </c>
      <c r="BD848" s="292"/>
    </row>
    <row r="849" ht="12.75" customHeight="1">
      <c r="A849" s="293">
        <v>44797.81545313657</v>
      </c>
      <c r="B849" s="297" t="s">
        <v>375</v>
      </c>
      <c r="C849" s="298" t="s">
        <v>567</v>
      </c>
      <c r="D849" s="298" t="s">
        <v>16</v>
      </c>
      <c r="E849" s="285" t="s">
        <v>476</v>
      </c>
      <c r="F849" s="292" t="s">
        <v>1392</v>
      </c>
      <c r="G849" s="298" t="s">
        <v>17</v>
      </c>
      <c r="H849" s="298">
        <v>12.0</v>
      </c>
      <c r="I849" s="292" t="s">
        <v>479</v>
      </c>
      <c r="J849" s="292" t="s">
        <v>545</v>
      </c>
      <c r="K849" s="287" t="s">
        <v>545</v>
      </c>
      <c r="L849" s="292" t="s">
        <v>479</v>
      </c>
      <c r="M849" s="292" t="s">
        <v>481</v>
      </c>
      <c r="N849" s="292"/>
      <c r="O849" s="292"/>
      <c r="P849" s="292"/>
      <c r="Q849" s="299" t="s">
        <v>32</v>
      </c>
      <c r="R849" s="292" t="s">
        <v>377</v>
      </c>
      <c r="S849" s="295" t="s">
        <v>32</v>
      </c>
      <c r="T849" s="292" t="s">
        <v>18</v>
      </c>
      <c r="U849" s="299" t="s">
        <v>32</v>
      </c>
      <c r="V849" s="288" t="s">
        <v>377</v>
      </c>
      <c r="W849" s="292" t="s">
        <v>18</v>
      </c>
      <c r="X849" s="292" t="s">
        <v>18</v>
      </c>
      <c r="Y849" s="288" t="s">
        <v>18</v>
      </c>
      <c r="Z849" s="292" t="s">
        <v>377</v>
      </c>
      <c r="AA849" s="292" t="s">
        <v>377</v>
      </c>
      <c r="AB849" s="288" t="s">
        <v>377</v>
      </c>
      <c r="AC849" s="289" t="s">
        <v>377</v>
      </c>
      <c r="AD849" s="292" t="s">
        <v>377</v>
      </c>
      <c r="AE849" s="299" t="s">
        <v>32</v>
      </c>
      <c r="AF849" s="295" t="s">
        <v>32</v>
      </c>
      <c r="AG849" s="292" t="s">
        <v>18</v>
      </c>
      <c r="AH849" s="292" t="s">
        <v>18</v>
      </c>
      <c r="AI849" s="288" t="s">
        <v>18</v>
      </c>
      <c r="AJ849" s="292" t="s">
        <v>377</v>
      </c>
      <c r="AK849" s="292" t="s">
        <v>18</v>
      </c>
      <c r="AL849" s="288" t="s">
        <v>377</v>
      </c>
      <c r="AM849" s="292" t="s">
        <v>18</v>
      </c>
      <c r="AN849" s="292" t="s">
        <v>18</v>
      </c>
      <c r="AO849" s="288" t="s">
        <v>18</v>
      </c>
      <c r="AP849" s="289" t="s">
        <v>377</v>
      </c>
      <c r="AQ849" s="299" t="s">
        <v>32</v>
      </c>
      <c r="AR849" s="292" t="s">
        <v>377</v>
      </c>
      <c r="AS849" s="295" t="s">
        <v>32</v>
      </c>
      <c r="AT849" s="299" t="s">
        <v>32</v>
      </c>
      <c r="AU849" s="299" t="s">
        <v>32</v>
      </c>
      <c r="AV849" s="295" t="s">
        <v>32</v>
      </c>
      <c r="AW849" s="299" t="s">
        <v>32</v>
      </c>
      <c r="AX849" s="292" t="s">
        <v>377</v>
      </c>
      <c r="AY849" s="295" t="s">
        <v>32</v>
      </c>
      <c r="AZ849" s="299" t="s">
        <v>32</v>
      </c>
      <c r="BA849" s="299" t="s">
        <v>32</v>
      </c>
      <c r="BB849" s="288" t="s">
        <v>377</v>
      </c>
      <c r="BC849" s="296" t="s">
        <v>32</v>
      </c>
      <c r="BD849" s="292"/>
    </row>
    <row r="850" ht="12.75" customHeight="1">
      <c r="A850" s="293">
        <v>44797.95620238426</v>
      </c>
      <c r="B850" s="297" t="s">
        <v>375</v>
      </c>
      <c r="C850" s="298" t="s">
        <v>567</v>
      </c>
      <c r="D850" s="298" t="s">
        <v>16</v>
      </c>
      <c r="E850" s="285" t="s">
        <v>476</v>
      </c>
      <c r="F850" s="292" t="s">
        <v>544</v>
      </c>
      <c r="G850" s="298" t="s">
        <v>21</v>
      </c>
      <c r="H850" s="298">
        <v>12.0</v>
      </c>
      <c r="I850" s="292" t="s">
        <v>479</v>
      </c>
      <c r="J850" s="292" t="s">
        <v>545</v>
      </c>
      <c r="K850" s="287" t="s">
        <v>545</v>
      </c>
      <c r="L850" s="292" t="s">
        <v>479</v>
      </c>
      <c r="M850" s="292" t="s">
        <v>495</v>
      </c>
      <c r="N850" s="292"/>
      <c r="O850" s="292"/>
      <c r="P850" s="292"/>
      <c r="Q850" s="292" t="s">
        <v>377</v>
      </c>
      <c r="R850" s="292" t="s">
        <v>18</v>
      </c>
      <c r="S850" s="288" t="s">
        <v>377</v>
      </c>
      <c r="T850" s="299" t="s">
        <v>32</v>
      </c>
      <c r="U850" s="292" t="s">
        <v>377</v>
      </c>
      <c r="V850" s="295" t="s">
        <v>32</v>
      </c>
      <c r="W850" s="292" t="s">
        <v>377</v>
      </c>
      <c r="X850" s="292" t="s">
        <v>377</v>
      </c>
      <c r="Y850" s="288" t="s">
        <v>377</v>
      </c>
      <c r="Z850" s="299" t="s">
        <v>32</v>
      </c>
      <c r="AA850" s="292" t="s">
        <v>377</v>
      </c>
      <c r="AB850" s="295" t="s">
        <v>32</v>
      </c>
      <c r="AC850" s="289" t="s">
        <v>377</v>
      </c>
      <c r="AD850" s="292" t="s">
        <v>377</v>
      </c>
      <c r="AE850" s="299" t="s">
        <v>32</v>
      </c>
      <c r="AF850" s="295" t="s">
        <v>32</v>
      </c>
      <c r="AG850" s="292" t="s">
        <v>377</v>
      </c>
      <c r="AH850" s="292" t="s">
        <v>377</v>
      </c>
      <c r="AI850" s="288" t="s">
        <v>377</v>
      </c>
      <c r="AJ850" s="299" t="s">
        <v>32</v>
      </c>
      <c r="AK850" s="292" t="s">
        <v>18</v>
      </c>
      <c r="AL850" s="288" t="s">
        <v>377</v>
      </c>
      <c r="AM850" s="292" t="s">
        <v>18</v>
      </c>
      <c r="AN850" s="292" t="s">
        <v>377</v>
      </c>
      <c r="AO850" s="288" t="s">
        <v>377</v>
      </c>
      <c r="AP850" s="289" t="s">
        <v>377</v>
      </c>
      <c r="AQ850" s="299" t="s">
        <v>32</v>
      </c>
      <c r="AR850" s="299" t="s">
        <v>32</v>
      </c>
      <c r="AS850" s="295" t="s">
        <v>32</v>
      </c>
      <c r="AT850" s="299" t="s">
        <v>32</v>
      </c>
      <c r="AU850" s="299" t="s">
        <v>32</v>
      </c>
      <c r="AV850" s="295" t="s">
        <v>32</v>
      </c>
      <c r="AW850" s="299" t="s">
        <v>32</v>
      </c>
      <c r="AX850" s="299" t="s">
        <v>32</v>
      </c>
      <c r="AY850" s="295" t="s">
        <v>32</v>
      </c>
      <c r="AZ850" s="292" t="s">
        <v>377</v>
      </c>
      <c r="BA850" s="299" t="s">
        <v>32</v>
      </c>
      <c r="BB850" s="295" t="s">
        <v>32</v>
      </c>
      <c r="BC850" s="296" t="s">
        <v>32</v>
      </c>
      <c r="BD850" s="292"/>
    </row>
    <row r="851" ht="12.75" customHeight="1">
      <c r="A851" s="293">
        <v>44798.06215596065</v>
      </c>
      <c r="B851" s="297" t="s">
        <v>375</v>
      </c>
      <c r="C851" s="298" t="s">
        <v>567</v>
      </c>
      <c r="D851" s="298" t="s">
        <v>16</v>
      </c>
      <c r="E851" s="285" t="s">
        <v>476</v>
      </c>
      <c r="F851" s="292" t="s">
        <v>546</v>
      </c>
      <c r="G851" s="298" t="s">
        <v>21</v>
      </c>
      <c r="H851" s="298">
        <v>12.0</v>
      </c>
      <c r="I851" s="292" t="s">
        <v>479</v>
      </c>
      <c r="J851" s="292" t="s">
        <v>545</v>
      </c>
      <c r="K851" s="287" t="s">
        <v>545</v>
      </c>
      <c r="L851" s="292" t="s">
        <v>479</v>
      </c>
      <c r="M851" s="292" t="s">
        <v>495</v>
      </c>
      <c r="N851" s="292"/>
      <c r="O851" s="292"/>
      <c r="P851" s="292"/>
      <c r="Q851" s="292" t="s">
        <v>377</v>
      </c>
      <c r="R851" s="292" t="s">
        <v>377</v>
      </c>
      <c r="S851" s="288" t="s">
        <v>377</v>
      </c>
      <c r="T851" s="292" t="s">
        <v>18</v>
      </c>
      <c r="U851" s="299" t="s">
        <v>32</v>
      </c>
      <c r="V851" s="288" t="s">
        <v>377</v>
      </c>
      <c r="W851" s="292" t="s">
        <v>377</v>
      </c>
      <c r="X851" s="292" t="s">
        <v>377</v>
      </c>
      <c r="Y851" s="288" t="s">
        <v>377</v>
      </c>
      <c r="Z851" s="292" t="s">
        <v>377</v>
      </c>
      <c r="AA851" s="292" t="s">
        <v>377</v>
      </c>
      <c r="AB851" s="288" t="s">
        <v>377</v>
      </c>
      <c r="AC851" s="289" t="s">
        <v>377</v>
      </c>
      <c r="AD851" s="299" t="s">
        <v>32</v>
      </c>
      <c r="AE851" s="292" t="s">
        <v>18</v>
      </c>
      <c r="AF851" s="288" t="s">
        <v>377</v>
      </c>
      <c r="AG851" s="292" t="s">
        <v>377</v>
      </c>
      <c r="AH851" s="292" t="s">
        <v>377</v>
      </c>
      <c r="AI851" s="288" t="s">
        <v>377</v>
      </c>
      <c r="AJ851" s="299" t="s">
        <v>32</v>
      </c>
      <c r="AK851" s="299" t="s">
        <v>32</v>
      </c>
      <c r="AL851" s="295" t="s">
        <v>32</v>
      </c>
      <c r="AM851" s="292" t="s">
        <v>377</v>
      </c>
      <c r="AN851" s="292" t="s">
        <v>377</v>
      </c>
      <c r="AO851" s="288" t="s">
        <v>377</v>
      </c>
      <c r="AP851" s="289" t="s">
        <v>377</v>
      </c>
      <c r="AQ851" s="292" t="s">
        <v>377</v>
      </c>
      <c r="AR851" s="299" t="s">
        <v>32</v>
      </c>
      <c r="AS851" s="295" t="s">
        <v>32</v>
      </c>
      <c r="AT851" s="299" t="s">
        <v>32</v>
      </c>
      <c r="AU851" s="299" t="s">
        <v>32</v>
      </c>
      <c r="AV851" s="295" t="s">
        <v>32</v>
      </c>
      <c r="AW851" s="292" t="s">
        <v>377</v>
      </c>
      <c r="AX851" s="292" t="s">
        <v>377</v>
      </c>
      <c r="AY851" s="288" t="s">
        <v>377</v>
      </c>
      <c r="AZ851" s="292" t="s">
        <v>377</v>
      </c>
      <c r="BA851" s="292" t="s">
        <v>377</v>
      </c>
      <c r="BB851" s="295" t="s">
        <v>32</v>
      </c>
      <c r="BC851" s="296" t="s">
        <v>32</v>
      </c>
      <c r="BD851" s="292"/>
    </row>
    <row r="852" ht="12.75" customHeight="1">
      <c r="A852" s="293">
        <v>44798.064737974535</v>
      </c>
      <c r="B852" s="297" t="s">
        <v>375</v>
      </c>
      <c r="C852" s="298" t="s">
        <v>567</v>
      </c>
      <c r="D852" s="298" t="s">
        <v>16</v>
      </c>
      <c r="E852" s="285" t="s">
        <v>476</v>
      </c>
      <c r="F852" s="292" t="s">
        <v>1393</v>
      </c>
      <c r="G852" s="298" t="s">
        <v>21</v>
      </c>
      <c r="H852" s="298">
        <v>13.0</v>
      </c>
      <c r="I852" s="292" t="s">
        <v>479</v>
      </c>
      <c r="J852" s="292" t="s">
        <v>545</v>
      </c>
      <c r="K852" s="287" t="s">
        <v>545</v>
      </c>
      <c r="L852" s="292" t="s">
        <v>479</v>
      </c>
      <c r="M852" s="292" t="s">
        <v>483</v>
      </c>
      <c r="N852" s="292"/>
      <c r="O852" s="292"/>
      <c r="P852" s="292"/>
      <c r="Q852" s="299" t="s">
        <v>32</v>
      </c>
      <c r="R852" s="299" t="s">
        <v>32</v>
      </c>
      <c r="S852" s="295" t="s">
        <v>32</v>
      </c>
      <c r="T852" s="299" t="s">
        <v>32</v>
      </c>
      <c r="U852" s="299" t="s">
        <v>32</v>
      </c>
      <c r="V852" s="295" t="s">
        <v>32</v>
      </c>
      <c r="W852" s="299" t="s">
        <v>32</v>
      </c>
      <c r="X852" s="299" t="s">
        <v>32</v>
      </c>
      <c r="Y852" s="295" t="s">
        <v>32</v>
      </c>
      <c r="Z852" s="299" t="s">
        <v>32</v>
      </c>
      <c r="AA852" s="299" t="s">
        <v>32</v>
      </c>
      <c r="AB852" s="295" t="s">
        <v>32</v>
      </c>
      <c r="AC852" s="296" t="s">
        <v>32</v>
      </c>
      <c r="AD852" s="292" t="s">
        <v>18</v>
      </c>
      <c r="AE852" s="292" t="s">
        <v>377</v>
      </c>
      <c r="AF852" s="288" t="s">
        <v>377</v>
      </c>
      <c r="AG852" s="292" t="s">
        <v>377</v>
      </c>
      <c r="AH852" s="292" t="s">
        <v>377</v>
      </c>
      <c r="AI852" s="288" t="s">
        <v>377</v>
      </c>
      <c r="AJ852" s="292" t="s">
        <v>377</v>
      </c>
      <c r="AK852" s="299" t="s">
        <v>32</v>
      </c>
      <c r="AL852" s="295" t="s">
        <v>32</v>
      </c>
      <c r="AM852" s="292" t="s">
        <v>18</v>
      </c>
      <c r="AN852" s="292" t="s">
        <v>377</v>
      </c>
      <c r="AO852" s="288" t="s">
        <v>377</v>
      </c>
      <c r="AP852" s="289" t="s">
        <v>377</v>
      </c>
      <c r="AQ852" s="292" t="s">
        <v>18</v>
      </c>
      <c r="AR852" s="292" t="s">
        <v>18</v>
      </c>
      <c r="AS852" s="288" t="s">
        <v>18</v>
      </c>
      <c r="AT852" s="292" t="s">
        <v>377</v>
      </c>
      <c r="AU852" s="292" t="s">
        <v>18</v>
      </c>
      <c r="AV852" s="288" t="s">
        <v>377</v>
      </c>
      <c r="AW852" s="292" t="s">
        <v>377</v>
      </c>
      <c r="AX852" s="292" t="s">
        <v>18</v>
      </c>
      <c r="AY852" s="288" t="s">
        <v>377</v>
      </c>
      <c r="AZ852" s="299" t="s">
        <v>32</v>
      </c>
      <c r="BA852" s="292" t="s">
        <v>18</v>
      </c>
      <c r="BB852" s="288" t="s">
        <v>377</v>
      </c>
      <c r="BC852" s="296" t="s">
        <v>32</v>
      </c>
      <c r="BD852" s="292"/>
    </row>
    <row r="853" ht="12.75" customHeight="1">
      <c r="A853" s="293">
        <v>44798.3221375</v>
      </c>
      <c r="B853" s="297" t="s">
        <v>375</v>
      </c>
      <c r="C853" s="298" t="s">
        <v>567</v>
      </c>
      <c r="D853" s="298" t="s">
        <v>16</v>
      </c>
      <c r="E853" s="285" t="s">
        <v>476</v>
      </c>
      <c r="F853" s="292" t="s">
        <v>1394</v>
      </c>
      <c r="G853" s="298" t="s">
        <v>17</v>
      </c>
      <c r="H853" s="298">
        <v>11.0</v>
      </c>
      <c r="I853" s="292" t="s">
        <v>479</v>
      </c>
      <c r="J853" s="292" t="s">
        <v>545</v>
      </c>
      <c r="K853" s="287" t="s">
        <v>545</v>
      </c>
      <c r="L853" s="292" t="s">
        <v>479</v>
      </c>
      <c r="M853" s="292" t="s">
        <v>481</v>
      </c>
      <c r="N853" s="292"/>
      <c r="O853" s="292"/>
      <c r="P853" s="292"/>
      <c r="Q853" s="299" t="s">
        <v>32</v>
      </c>
      <c r="R853" s="299" t="s">
        <v>32</v>
      </c>
      <c r="S853" s="295" t="s">
        <v>32</v>
      </c>
      <c r="T853" s="299" t="s">
        <v>32</v>
      </c>
      <c r="U853" s="299" t="s">
        <v>32</v>
      </c>
      <c r="V853" s="295" t="s">
        <v>32</v>
      </c>
      <c r="W853" s="299" t="s">
        <v>32</v>
      </c>
      <c r="X853" s="299" t="s">
        <v>32</v>
      </c>
      <c r="Y853" s="295" t="s">
        <v>32</v>
      </c>
      <c r="Z853" s="292" t="s">
        <v>377</v>
      </c>
      <c r="AA853" s="299" t="s">
        <v>32</v>
      </c>
      <c r="AB853" s="295" t="s">
        <v>32</v>
      </c>
      <c r="AC853" s="296" t="s">
        <v>32</v>
      </c>
      <c r="AD853" s="299" t="s">
        <v>32</v>
      </c>
      <c r="AE853" s="299" t="s">
        <v>32</v>
      </c>
      <c r="AF853" s="295" t="s">
        <v>32</v>
      </c>
      <c r="AG853" s="299" t="s">
        <v>32</v>
      </c>
      <c r="AH853" s="299" t="s">
        <v>32</v>
      </c>
      <c r="AI853" s="295" t="s">
        <v>32</v>
      </c>
      <c r="AJ853" s="292" t="s">
        <v>377</v>
      </c>
      <c r="AK853" s="299" t="s">
        <v>32</v>
      </c>
      <c r="AL853" s="295" t="s">
        <v>32</v>
      </c>
      <c r="AM853" s="299" t="s">
        <v>32</v>
      </c>
      <c r="AN853" s="292" t="s">
        <v>18</v>
      </c>
      <c r="AO853" s="288" t="s">
        <v>377</v>
      </c>
      <c r="AP853" s="296" t="s">
        <v>32</v>
      </c>
      <c r="AQ853" s="299" t="s">
        <v>32</v>
      </c>
      <c r="AR853" s="299" t="s">
        <v>32</v>
      </c>
      <c r="AS853" s="295" t="s">
        <v>32</v>
      </c>
      <c r="AT853" s="299" t="s">
        <v>32</v>
      </c>
      <c r="AU853" s="299" t="s">
        <v>32</v>
      </c>
      <c r="AV853" s="295" t="s">
        <v>32</v>
      </c>
      <c r="AW853" s="299" t="s">
        <v>32</v>
      </c>
      <c r="AX853" s="299" t="s">
        <v>32</v>
      </c>
      <c r="AY853" s="295" t="s">
        <v>32</v>
      </c>
      <c r="AZ853" s="299" t="s">
        <v>32</v>
      </c>
      <c r="BA853" s="299" t="s">
        <v>32</v>
      </c>
      <c r="BB853" s="295" t="s">
        <v>32</v>
      </c>
      <c r="BC853" s="296" t="s">
        <v>32</v>
      </c>
      <c r="BD853" s="292"/>
    </row>
    <row r="854" ht="12.75" customHeight="1">
      <c r="A854" s="293">
        <v>44798.32924277778</v>
      </c>
      <c r="B854" s="297" t="s">
        <v>375</v>
      </c>
      <c r="C854" s="298" t="s">
        <v>567</v>
      </c>
      <c r="D854" s="298" t="s">
        <v>16</v>
      </c>
      <c r="E854" s="285" t="s">
        <v>476</v>
      </c>
      <c r="F854" s="292" t="s">
        <v>1395</v>
      </c>
      <c r="G854" s="298" t="s">
        <v>21</v>
      </c>
      <c r="H854" s="298">
        <v>12.0</v>
      </c>
      <c r="I854" s="292" t="s">
        <v>479</v>
      </c>
      <c r="J854" s="292" t="s">
        <v>545</v>
      </c>
      <c r="K854" s="287" t="s">
        <v>545</v>
      </c>
      <c r="L854" s="292" t="s">
        <v>479</v>
      </c>
      <c r="M854" s="292" t="s">
        <v>483</v>
      </c>
      <c r="N854" s="292"/>
      <c r="O854" s="292"/>
      <c r="P854" s="292"/>
      <c r="Q854" s="299" t="s">
        <v>32</v>
      </c>
      <c r="R854" s="299" t="s">
        <v>32</v>
      </c>
      <c r="S854" s="295" t="s">
        <v>32</v>
      </c>
      <c r="T854" s="299" t="s">
        <v>32</v>
      </c>
      <c r="U854" s="299" t="s">
        <v>32</v>
      </c>
      <c r="V854" s="295" t="s">
        <v>32</v>
      </c>
      <c r="W854" s="299" t="s">
        <v>32</v>
      </c>
      <c r="X854" s="299" t="s">
        <v>32</v>
      </c>
      <c r="Y854" s="295" t="s">
        <v>32</v>
      </c>
      <c r="Z854" s="299" t="s">
        <v>32</v>
      </c>
      <c r="AA854" s="292" t="s">
        <v>377</v>
      </c>
      <c r="AB854" s="295" t="s">
        <v>32</v>
      </c>
      <c r="AC854" s="296" t="s">
        <v>32</v>
      </c>
      <c r="AD854" s="292" t="s">
        <v>377</v>
      </c>
      <c r="AE854" s="292" t="s">
        <v>377</v>
      </c>
      <c r="AF854" s="288" t="s">
        <v>377</v>
      </c>
      <c r="AG854" s="299" t="s">
        <v>32</v>
      </c>
      <c r="AH854" s="292" t="s">
        <v>377</v>
      </c>
      <c r="AI854" s="295" t="s">
        <v>32</v>
      </c>
      <c r="AJ854" s="299" t="s">
        <v>32</v>
      </c>
      <c r="AK854" s="292" t="s">
        <v>18</v>
      </c>
      <c r="AL854" s="288" t="s">
        <v>377</v>
      </c>
      <c r="AM854" s="292" t="s">
        <v>377</v>
      </c>
      <c r="AN854" s="299" t="s">
        <v>32</v>
      </c>
      <c r="AO854" s="295" t="s">
        <v>32</v>
      </c>
      <c r="AP854" s="289" t="s">
        <v>377</v>
      </c>
      <c r="AQ854" s="292" t="s">
        <v>377</v>
      </c>
      <c r="AR854" s="292" t="s">
        <v>18</v>
      </c>
      <c r="AS854" s="288" t="s">
        <v>377</v>
      </c>
      <c r="AT854" s="292" t="s">
        <v>18</v>
      </c>
      <c r="AU854" s="299" t="s">
        <v>32</v>
      </c>
      <c r="AV854" s="288" t="s">
        <v>377</v>
      </c>
      <c r="AW854" s="292" t="s">
        <v>377</v>
      </c>
      <c r="AX854" s="292" t="s">
        <v>377</v>
      </c>
      <c r="AY854" s="288" t="s">
        <v>377</v>
      </c>
      <c r="AZ854" s="292" t="s">
        <v>377</v>
      </c>
      <c r="BA854" s="292" t="s">
        <v>377</v>
      </c>
      <c r="BB854" s="288" t="s">
        <v>18</v>
      </c>
      <c r="BC854" s="289" t="s">
        <v>377</v>
      </c>
      <c r="BD854" s="292"/>
    </row>
    <row r="855" ht="12.75" customHeight="1">
      <c r="A855" s="293">
        <v>44798.376138252315</v>
      </c>
      <c r="B855" s="297" t="s">
        <v>375</v>
      </c>
      <c r="C855" s="298" t="s">
        <v>567</v>
      </c>
      <c r="D855" s="298" t="s">
        <v>16</v>
      </c>
      <c r="E855" s="285" t="s">
        <v>476</v>
      </c>
      <c r="F855" s="292" t="s">
        <v>1396</v>
      </c>
      <c r="G855" s="298" t="s">
        <v>17</v>
      </c>
      <c r="H855" s="298">
        <v>11.0</v>
      </c>
      <c r="I855" s="292" t="s">
        <v>479</v>
      </c>
      <c r="J855" s="292" t="s">
        <v>545</v>
      </c>
      <c r="K855" s="287" t="s">
        <v>545</v>
      </c>
      <c r="L855" s="292" t="s">
        <v>479</v>
      </c>
      <c r="M855" s="292" t="s">
        <v>495</v>
      </c>
      <c r="N855" s="292"/>
      <c r="O855" s="292"/>
      <c r="P855" s="292"/>
      <c r="Q855" s="299" t="s">
        <v>32</v>
      </c>
      <c r="R855" s="292" t="s">
        <v>377</v>
      </c>
      <c r="S855" s="295" t="s">
        <v>32</v>
      </c>
      <c r="T855" s="292" t="s">
        <v>377</v>
      </c>
      <c r="U855" s="299" t="s">
        <v>32</v>
      </c>
      <c r="V855" s="295" t="s">
        <v>32</v>
      </c>
      <c r="W855" s="299" t="s">
        <v>32</v>
      </c>
      <c r="X855" s="292" t="s">
        <v>377</v>
      </c>
      <c r="Y855" s="295" t="s">
        <v>32</v>
      </c>
      <c r="Z855" s="299" t="s">
        <v>32</v>
      </c>
      <c r="AA855" s="292" t="s">
        <v>377</v>
      </c>
      <c r="AB855" s="295" t="s">
        <v>32</v>
      </c>
      <c r="AC855" s="296" t="s">
        <v>32</v>
      </c>
      <c r="AD855" s="292" t="s">
        <v>377</v>
      </c>
      <c r="AE855" s="292" t="s">
        <v>377</v>
      </c>
      <c r="AF855" s="288" t="s">
        <v>377</v>
      </c>
      <c r="AG855" s="299" t="s">
        <v>32</v>
      </c>
      <c r="AH855" s="292" t="s">
        <v>377</v>
      </c>
      <c r="AI855" s="295" t="s">
        <v>32</v>
      </c>
      <c r="AJ855" s="299" t="s">
        <v>32</v>
      </c>
      <c r="AK855" s="292" t="s">
        <v>377</v>
      </c>
      <c r="AL855" s="295" t="s">
        <v>32</v>
      </c>
      <c r="AM855" s="292" t="s">
        <v>18</v>
      </c>
      <c r="AN855" s="292" t="s">
        <v>18</v>
      </c>
      <c r="AO855" s="288" t="s">
        <v>18</v>
      </c>
      <c r="AP855" s="289" t="s">
        <v>377</v>
      </c>
      <c r="AQ855" s="292" t="s">
        <v>18</v>
      </c>
      <c r="AR855" s="292" t="s">
        <v>377</v>
      </c>
      <c r="AS855" s="288" t="s">
        <v>377</v>
      </c>
      <c r="AT855" s="299" t="s">
        <v>32</v>
      </c>
      <c r="AU855" s="292" t="s">
        <v>377</v>
      </c>
      <c r="AV855" s="295" t="s">
        <v>32</v>
      </c>
      <c r="AW855" s="292" t="s">
        <v>377</v>
      </c>
      <c r="AX855" s="299" t="s">
        <v>32</v>
      </c>
      <c r="AY855" s="295" t="s">
        <v>32</v>
      </c>
      <c r="AZ855" s="292" t="s">
        <v>18</v>
      </c>
      <c r="BA855" s="299" t="s">
        <v>32</v>
      </c>
      <c r="BB855" s="295" t="s">
        <v>32</v>
      </c>
      <c r="BC855" s="296" t="s">
        <v>32</v>
      </c>
      <c r="BD855" s="292"/>
    </row>
    <row r="856" ht="12.75" customHeight="1">
      <c r="A856" s="293">
        <v>44798.418379201394</v>
      </c>
      <c r="B856" s="297" t="s">
        <v>375</v>
      </c>
      <c r="C856" s="298" t="s">
        <v>567</v>
      </c>
      <c r="D856" s="298" t="s">
        <v>16</v>
      </c>
      <c r="E856" s="285" t="s">
        <v>476</v>
      </c>
      <c r="F856" s="292" t="s">
        <v>1397</v>
      </c>
      <c r="G856" s="298" t="s">
        <v>17</v>
      </c>
      <c r="H856" s="298">
        <v>11.0</v>
      </c>
      <c r="I856" s="292" t="s">
        <v>479</v>
      </c>
      <c r="J856" s="292" t="s">
        <v>545</v>
      </c>
      <c r="K856" s="287" t="s">
        <v>545</v>
      </c>
      <c r="L856" s="292" t="s">
        <v>479</v>
      </c>
      <c r="M856" s="292" t="s">
        <v>481</v>
      </c>
      <c r="N856" s="292"/>
      <c r="O856" s="292"/>
      <c r="P856" s="292"/>
      <c r="Q856" s="299" t="s">
        <v>32</v>
      </c>
      <c r="R856" s="292" t="s">
        <v>377</v>
      </c>
      <c r="S856" s="295" t="s">
        <v>32</v>
      </c>
      <c r="T856" s="299" t="s">
        <v>32</v>
      </c>
      <c r="U856" s="292" t="s">
        <v>377</v>
      </c>
      <c r="V856" s="295" t="s">
        <v>32</v>
      </c>
      <c r="W856" s="299" t="s">
        <v>32</v>
      </c>
      <c r="X856" s="299" t="s">
        <v>32</v>
      </c>
      <c r="Y856" s="295" t="s">
        <v>32</v>
      </c>
      <c r="Z856" s="292" t="s">
        <v>377</v>
      </c>
      <c r="AA856" s="292" t="s">
        <v>377</v>
      </c>
      <c r="AB856" s="288" t="s">
        <v>377</v>
      </c>
      <c r="AC856" s="296" t="s">
        <v>32</v>
      </c>
      <c r="AD856" s="299" t="s">
        <v>32</v>
      </c>
      <c r="AE856" s="292" t="s">
        <v>377</v>
      </c>
      <c r="AF856" s="295" t="s">
        <v>32</v>
      </c>
      <c r="AG856" s="292" t="s">
        <v>377</v>
      </c>
      <c r="AH856" s="292" t="s">
        <v>377</v>
      </c>
      <c r="AI856" s="288" t="s">
        <v>377</v>
      </c>
      <c r="AJ856" s="292" t="s">
        <v>377</v>
      </c>
      <c r="AK856" s="292" t="s">
        <v>377</v>
      </c>
      <c r="AL856" s="288" t="s">
        <v>377</v>
      </c>
      <c r="AM856" s="299" t="s">
        <v>32</v>
      </c>
      <c r="AN856" s="292" t="s">
        <v>377</v>
      </c>
      <c r="AO856" s="295" t="s">
        <v>32</v>
      </c>
      <c r="AP856" s="289" t="s">
        <v>377</v>
      </c>
      <c r="AQ856" s="292" t="s">
        <v>18</v>
      </c>
      <c r="AR856" s="292" t="s">
        <v>377</v>
      </c>
      <c r="AS856" s="288" t="s">
        <v>377</v>
      </c>
      <c r="AT856" s="292" t="s">
        <v>377</v>
      </c>
      <c r="AU856" s="299" t="s">
        <v>32</v>
      </c>
      <c r="AV856" s="295" t="s">
        <v>32</v>
      </c>
      <c r="AW856" s="292" t="s">
        <v>377</v>
      </c>
      <c r="AX856" s="299" t="s">
        <v>32</v>
      </c>
      <c r="AY856" s="295" t="s">
        <v>32</v>
      </c>
      <c r="AZ856" s="299" t="s">
        <v>32</v>
      </c>
      <c r="BA856" s="299" t="s">
        <v>32</v>
      </c>
      <c r="BB856" s="295" t="s">
        <v>32</v>
      </c>
      <c r="BC856" s="289" t="s">
        <v>377</v>
      </c>
      <c r="BD856" s="292"/>
    </row>
    <row r="857" ht="12.75" customHeight="1">
      <c r="A857" s="293">
        <v>45266.92234671296</v>
      </c>
      <c r="B857" s="286" t="s">
        <v>486</v>
      </c>
      <c r="C857" s="287" t="s">
        <v>559</v>
      </c>
      <c r="D857" s="285" t="s">
        <v>16</v>
      </c>
      <c r="E857" s="285" t="s">
        <v>476</v>
      </c>
      <c r="F857" s="287" t="s">
        <v>1398</v>
      </c>
      <c r="G857" s="285" t="s">
        <v>21</v>
      </c>
      <c r="H857" s="285">
        <v>12.0</v>
      </c>
      <c r="I857" s="287" t="s">
        <v>479</v>
      </c>
      <c r="J857" s="287" t="s">
        <v>545</v>
      </c>
      <c r="K857" s="287" t="s">
        <v>545</v>
      </c>
      <c r="L857" s="287" t="s">
        <v>479</v>
      </c>
      <c r="M857" s="287" t="s">
        <v>481</v>
      </c>
      <c r="N857" s="287" t="s">
        <v>561</v>
      </c>
      <c r="O857" s="287"/>
      <c r="P857" s="287"/>
      <c r="Q857" s="294" t="s">
        <v>32</v>
      </c>
      <c r="R857" s="294" t="s">
        <v>32</v>
      </c>
      <c r="S857" s="295" t="s">
        <v>32</v>
      </c>
      <c r="T857" s="294" t="s">
        <v>32</v>
      </c>
      <c r="U857" s="287" t="s">
        <v>377</v>
      </c>
      <c r="V857" s="295" t="s">
        <v>32</v>
      </c>
      <c r="W857" s="294" t="s">
        <v>32</v>
      </c>
      <c r="X857" s="294" t="s">
        <v>32</v>
      </c>
      <c r="Y857" s="295" t="s">
        <v>32</v>
      </c>
      <c r="Z857" s="294" t="s">
        <v>32</v>
      </c>
      <c r="AA857" s="287" t="s">
        <v>377</v>
      </c>
      <c r="AB857" s="295" t="s">
        <v>32</v>
      </c>
      <c r="AC857" s="296" t="s">
        <v>32</v>
      </c>
      <c r="AD857" s="287" t="s">
        <v>377</v>
      </c>
      <c r="AE857" s="287" t="s">
        <v>377</v>
      </c>
      <c r="AF857" s="288" t="s">
        <v>377</v>
      </c>
      <c r="AG857" s="294" t="s">
        <v>32</v>
      </c>
      <c r="AH857" s="287" t="s">
        <v>377</v>
      </c>
      <c r="AI857" s="295" t="s">
        <v>32</v>
      </c>
      <c r="AJ857" s="294" t="s">
        <v>32</v>
      </c>
      <c r="AK857" s="287" t="s">
        <v>377</v>
      </c>
      <c r="AL857" s="295" t="s">
        <v>32</v>
      </c>
      <c r="AM857" s="287" t="s">
        <v>377</v>
      </c>
      <c r="AN857" s="287" t="s">
        <v>377</v>
      </c>
      <c r="AO857" s="288" t="s">
        <v>377</v>
      </c>
      <c r="AP857" s="289" t="s">
        <v>377</v>
      </c>
      <c r="AQ857" s="294" t="s">
        <v>32</v>
      </c>
      <c r="AR857" s="294" t="s">
        <v>32</v>
      </c>
      <c r="AS857" s="295" t="s">
        <v>32</v>
      </c>
      <c r="AT857" s="294" t="s">
        <v>32</v>
      </c>
      <c r="AU857" s="294" t="s">
        <v>32</v>
      </c>
      <c r="AV857" s="295" t="s">
        <v>32</v>
      </c>
      <c r="AW857" s="294" t="s">
        <v>32</v>
      </c>
      <c r="AX857" s="287" t="s">
        <v>377</v>
      </c>
      <c r="AY857" s="295" t="s">
        <v>32</v>
      </c>
      <c r="AZ857" s="294" t="s">
        <v>32</v>
      </c>
      <c r="BA857" s="294" t="s">
        <v>32</v>
      </c>
      <c r="BB857" s="295" t="s">
        <v>32</v>
      </c>
      <c r="BC857" s="296" t="s">
        <v>32</v>
      </c>
      <c r="BD857" s="292"/>
    </row>
    <row r="858" ht="12.75" customHeight="1">
      <c r="A858" s="293">
        <v>45268.155867615744</v>
      </c>
      <c r="B858" s="286" t="s">
        <v>486</v>
      </c>
      <c r="C858" s="287" t="s">
        <v>559</v>
      </c>
      <c r="D858" s="285" t="s">
        <v>16</v>
      </c>
      <c r="E858" s="285" t="s">
        <v>476</v>
      </c>
      <c r="F858" s="287" t="s">
        <v>1399</v>
      </c>
      <c r="G858" s="285" t="s">
        <v>21</v>
      </c>
      <c r="H858" s="285">
        <v>13.0</v>
      </c>
      <c r="I858" s="287" t="s">
        <v>479</v>
      </c>
      <c r="J858" s="287" t="s">
        <v>545</v>
      </c>
      <c r="K858" s="287" t="s">
        <v>545</v>
      </c>
      <c r="L858" s="287" t="s">
        <v>497</v>
      </c>
      <c r="M858" s="292"/>
      <c r="N858" s="292"/>
      <c r="O858" s="292"/>
      <c r="P858" s="292"/>
      <c r="Q858" s="287" t="s">
        <v>377</v>
      </c>
      <c r="R858" s="294" t="s">
        <v>32</v>
      </c>
      <c r="S858" s="295" t="s">
        <v>32</v>
      </c>
      <c r="T858" s="294" t="s">
        <v>32</v>
      </c>
      <c r="U858" s="294" t="s">
        <v>32</v>
      </c>
      <c r="V858" s="295" t="s">
        <v>32</v>
      </c>
      <c r="W858" s="287" t="s">
        <v>377</v>
      </c>
      <c r="X858" s="287" t="s">
        <v>377</v>
      </c>
      <c r="Y858" s="288" t="s">
        <v>377</v>
      </c>
      <c r="Z858" s="294" t="s">
        <v>32</v>
      </c>
      <c r="AA858" s="287" t="s">
        <v>18</v>
      </c>
      <c r="AB858" s="288" t="s">
        <v>377</v>
      </c>
      <c r="AC858" s="289" t="s">
        <v>377</v>
      </c>
      <c r="AD858" s="294" t="s">
        <v>32</v>
      </c>
      <c r="AE858" s="287" t="s">
        <v>377</v>
      </c>
      <c r="AF858" s="295" t="s">
        <v>32</v>
      </c>
      <c r="AG858" s="294" t="s">
        <v>32</v>
      </c>
      <c r="AH858" s="287" t="s">
        <v>377</v>
      </c>
      <c r="AI858" s="295" t="s">
        <v>32</v>
      </c>
      <c r="AJ858" s="287" t="s">
        <v>377</v>
      </c>
      <c r="AK858" s="287" t="s">
        <v>18</v>
      </c>
      <c r="AL858" s="288" t="s">
        <v>377</v>
      </c>
      <c r="AM858" s="287" t="s">
        <v>377</v>
      </c>
      <c r="AN858" s="287" t="s">
        <v>377</v>
      </c>
      <c r="AO858" s="288" t="s">
        <v>377</v>
      </c>
      <c r="AP858" s="289" t="s">
        <v>377</v>
      </c>
      <c r="AQ858" s="287" t="s">
        <v>377</v>
      </c>
      <c r="AR858" s="287" t="s">
        <v>377</v>
      </c>
      <c r="AS858" s="288" t="s">
        <v>377</v>
      </c>
      <c r="AT858" s="287" t="s">
        <v>377</v>
      </c>
      <c r="AU858" s="294" t="s">
        <v>32</v>
      </c>
      <c r="AV858" s="295" t="s">
        <v>32</v>
      </c>
      <c r="AW858" s="287" t="s">
        <v>377</v>
      </c>
      <c r="AX858" s="287" t="s">
        <v>377</v>
      </c>
      <c r="AY858" s="288" t="s">
        <v>377</v>
      </c>
      <c r="AZ858" s="294" t="s">
        <v>32</v>
      </c>
      <c r="BA858" s="287" t="s">
        <v>377</v>
      </c>
      <c r="BB858" s="295" t="s">
        <v>32</v>
      </c>
      <c r="BC858" s="296" t="s">
        <v>32</v>
      </c>
      <c r="BD858" s="292"/>
    </row>
    <row r="859" ht="12.75" customHeight="1">
      <c r="A859" s="293">
        <v>44785.69710056713</v>
      </c>
      <c r="B859" s="297" t="s">
        <v>486</v>
      </c>
      <c r="C859" s="298" t="s">
        <v>567</v>
      </c>
      <c r="D859" s="298" t="s">
        <v>16</v>
      </c>
      <c r="E859" s="285" t="s">
        <v>476</v>
      </c>
      <c r="F859" s="292" t="s">
        <v>1400</v>
      </c>
      <c r="G859" s="298" t="s">
        <v>21</v>
      </c>
      <c r="H859" s="298">
        <v>12.0</v>
      </c>
      <c r="I859" s="292" t="s">
        <v>479</v>
      </c>
      <c r="J859" s="292" t="s">
        <v>545</v>
      </c>
      <c r="K859" s="287" t="s">
        <v>545</v>
      </c>
      <c r="L859" s="292" t="s">
        <v>497</v>
      </c>
      <c r="M859" s="292" t="s">
        <v>586</v>
      </c>
      <c r="N859" s="292"/>
      <c r="O859" s="292"/>
      <c r="P859" s="292"/>
      <c r="Q859" s="299" t="s">
        <v>32</v>
      </c>
      <c r="R859" s="299" t="s">
        <v>32</v>
      </c>
      <c r="S859" s="295" t="s">
        <v>32</v>
      </c>
      <c r="T859" s="299" t="s">
        <v>32</v>
      </c>
      <c r="U859" s="299" t="s">
        <v>32</v>
      </c>
      <c r="V859" s="295" t="s">
        <v>32</v>
      </c>
      <c r="W859" s="299" t="s">
        <v>32</v>
      </c>
      <c r="X859" s="299" t="s">
        <v>32</v>
      </c>
      <c r="Y859" s="295" t="s">
        <v>32</v>
      </c>
      <c r="Z859" s="299" t="s">
        <v>32</v>
      </c>
      <c r="AA859" s="299" t="s">
        <v>32</v>
      </c>
      <c r="AB859" s="295" t="s">
        <v>32</v>
      </c>
      <c r="AC859" s="296" t="s">
        <v>32</v>
      </c>
      <c r="AD859" s="292" t="s">
        <v>377</v>
      </c>
      <c r="AE859" s="299" t="s">
        <v>32</v>
      </c>
      <c r="AF859" s="295" t="s">
        <v>32</v>
      </c>
      <c r="AG859" s="292" t="s">
        <v>377</v>
      </c>
      <c r="AH859" s="292" t="s">
        <v>377</v>
      </c>
      <c r="AI859" s="288" t="s">
        <v>377</v>
      </c>
      <c r="AJ859" s="299" t="s">
        <v>32</v>
      </c>
      <c r="AK859" s="299" t="s">
        <v>32</v>
      </c>
      <c r="AL859" s="295" t="s">
        <v>32</v>
      </c>
      <c r="AM859" s="299" t="s">
        <v>32</v>
      </c>
      <c r="AN859" s="292" t="s">
        <v>377</v>
      </c>
      <c r="AO859" s="295" t="s">
        <v>32</v>
      </c>
      <c r="AP859" s="296" t="s">
        <v>32</v>
      </c>
      <c r="AQ859" s="299" t="s">
        <v>32</v>
      </c>
      <c r="AR859" s="299" t="s">
        <v>32</v>
      </c>
      <c r="AS859" s="295" t="s">
        <v>32</v>
      </c>
      <c r="AT859" s="299" t="s">
        <v>32</v>
      </c>
      <c r="AU859" s="299" t="s">
        <v>32</v>
      </c>
      <c r="AV859" s="295" t="s">
        <v>32</v>
      </c>
      <c r="AW859" s="299" t="s">
        <v>32</v>
      </c>
      <c r="AX859" s="292" t="s">
        <v>377</v>
      </c>
      <c r="AY859" s="295" t="s">
        <v>32</v>
      </c>
      <c r="AZ859" s="299" t="s">
        <v>32</v>
      </c>
      <c r="BA859" s="299" t="s">
        <v>32</v>
      </c>
      <c r="BB859" s="288" t="s">
        <v>377</v>
      </c>
      <c r="BC859" s="289" t="s">
        <v>18</v>
      </c>
      <c r="BD859" s="292"/>
    </row>
    <row r="860" ht="12.75" customHeight="1">
      <c r="A860" s="293">
        <v>44785.70163614584</v>
      </c>
      <c r="B860" s="297" t="s">
        <v>486</v>
      </c>
      <c r="C860" s="298" t="s">
        <v>567</v>
      </c>
      <c r="D860" s="298" t="s">
        <v>16</v>
      </c>
      <c r="E860" s="285" t="s">
        <v>476</v>
      </c>
      <c r="F860" s="292" t="s">
        <v>1401</v>
      </c>
      <c r="G860" s="298" t="s">
        <v>21</v>
      </c>
      <c r="H860" s="298">
        <v>12.0</v>
      </c>
      <c r="I860" s="292" t="s">
        <v>479</v>
      </c>
      <c r="J860" s="292" t="s">
        <v>545</v>
      </c>
      <c r="K860" s="287" t="s">
        <v>545</v>
      </c>
      <c r="L860" s="292" t="s">
        <v>497</v>
      </c>
      <c r="M860" s="292" t="s">
        <v>586</v>
      </c>
      <c r="N860" s="292"/>
      <c r="O860" s="292"/>
      <c r="P860" s="292"/>
      <c r="Q860" s="299" t="s">
        <v>32</v>
      </c>
      <c r="R860" s="299" t="s">
        <v>32</v>
      </c>
      <c r="S860" s="295" t="s">
        <v>32</v>
      </c>
      <c r="T860" s="299" t="s">
        <v>32</v>
      </c>
      <c r="U860" s="299" t="s">
        <v>32</v>
      </c>
      <c r="V860" s="295" t="s">
        <v>32</v>
      </c>
      <c r="W860" s="299" t="s">
        <v>32</v>
      </c>
      <c r="X860" s="292" t="s">
        <v>377</v>
      </c>
      <c r="Y860" s="295" t="s">
        <v>32</v>
      </c>
      <c r="Z860" s="292" t="s">
        <v>377</v>
      </c>
      <c r="AA860" s="292" t="s">
        <v>377</v>
      </c>
      <c r="AB860" s="288" t="s">
        <v>377</v>
      </c>
      <c r="AC860" s="296" t="s">
        <v>32</v>
      </c>
      <c r="AD860" s="292" t="s">
        <v>377</v>
      </c>
      <c r="AE860" s="292" t="s">
        <v>18</v>
      </c>
      <c r="AF860" s="288" t="s">
        <v>377</v>
      </c>
      <c r="AG860" s="299" t="s">
        <v>32</v>
      </c>
      <c r="AH860" s="299" t="s">
        <v>32</v>
      </c>
      <c r="AI860" s="295" t="s">
        <v>32</v>
      </c>
      <c r="AJ860" s="299" t="s">
        <v>32</v>
      </c>
      <c r="AK860" s="292" t="s">
        <v>377</v>
      </c>
      <c r="AL860" s="295" t="s">
        <v>32</v>
      </c>
      <c r="AM860" s="292" t="s">
        <v>18</v>
      </c>
      <c r="AN860" s="292" t="s">
        <v>18</v>
      </c>
      <c r="AO860" s="288" t="s">
        <v>18</v>
      </c>
      <c r="AP860" s="289" t="s">
        <v>377</v>
      </c>
      <c r="AQ860" s="299" t="s">
        <v>32</v>
      </c>
      <c r="AR860" s="292" t="s">
        <v>18</v>
      </c>
      <c r="AS860" s="288" t="s">
        <v>377</v>
      </c>
      <c r="AT860" s="299" t="s">
        <v>32</v>
      </c>
      <c r="AU860" s="299" t="s">
        <v>32</v>
      </c>
      <c r="AV860" s="295" t="s">
        <v>32</v>
      </c>
      <c r="AW860" s="299" t="s">
        <v>32</v>
      </c>
      <c r="AX860" s="292" t="s">
        <v>377</v>
      </c>
      <c r="AY860" s="295" t="s">
        <v>32</v>
      </c>
      <c r="AZ860" s="292" t="s">
        <v>377</v>
      </c>
      <c r="BA860" s="292" t="s">
        <v>18</v>
      </c>
      <c r="BB860" s="295" t="s">
        <v>32</v>
      </c>
      <c r="BC860" s="289" t="s">
        <v>377</v>
      </c>
      <c r="BD860" s="292"/>
    </row>
    <row r="861" ht="12.75" customHeight="1">
      <c r="A861" s="293">
        <v>44785.705115081015</v>
      </c>
      <c r="B861" s="297" t="s">
        <v>486</v>
      </c>
      <c r="C861" s="298" t="s">
        <v>567</v>
      </c>
      <c r="D861" s="298" t="s">
        <v>16</v>
      </c>
      <c r="E861" s="285" t="s">
        <v>476</v>
      </c>
      <c r="F861" s="292" t="s">
        <v>1402</v>
      </c>
      <c r="G861" s="298" t="s">
        <v>17</v>
      </c>
      <c r="H861" s="298">
        <v>12.0</v>
      </c>
      <c r="I861" s="292" t="s">
        <v>479</v>
      </c>
      <c r="J861" s="292" t="s">
        <v>545</v>
      </c>
      <c r="K861" s="287" t="s">
        <v>545</v>
      </c>
      <c r="L861" s="292" t="s">
        <v>497</v>
      </c>
      <c r="M861" s="292" t="s">
        <v>586</v>
      </c>
      <c r="N861" s="292"/>
      <c r="O861" s="292"/>
      <c r="P861" s="292"/>
      <c r="Q861" s="299" t="s">
        <v>32</v>
      </c>
      <c r="R861" s="299" t="s">
        <v>32</v>
      </c>
      <c r="S861" s="295" t="s">
        <v>32</v>
      </c>
      <c r="T861" s="299" t="s">
        <v>32</v>
      </c>
      <c r="U861" s="299" t="s">
        <v>32</v>
      </c>
      <c r="V861" s="295" t="s">
        <v>32</v>
      </c>
      <c r="W861" s="299" t="s">
        <v>32</v>
      </c>
      <c r="X861" s="299" t="s">
        <v>32</v>
      </c>
      <c r="Y861" s="295" t="s">
        <v>32</v>
      </c>
      <c r="Z861" s="299" t="s">
        <v>32</v>
      </c>
      <c r="AA861" s="299" t="s">
        <v>32</v>
      </c>
      <c r="AB861" s="295" t="s">
        <v>32</v>
      </c>
      <c r="AC861" s="296" t="s">
        <v>32</v>
      </c>
      <c r="AD861" s="292" t="s">
        <v>377</v>
      </c>
      <c r="AE861" s="299" t="s">
        <v>32</v>
      </c>
      <c r="AF861" s="295" t="s">
        <v>32</v>
      </c>
      <c r="AG861" s="292" t="s">
        <v>377</v>
      </c>
      <c r="AH861" s="292" t="s">
        <v>377</v>
      </c>
      <c r="AI861" s="288" t="s">
        <v>377</v>
      </c>
      <c r="AJ861" s="299" t="s">
        <v>32</v>
      </c>
      <c r="AK861" s="299" t="s">
        <v>32</v>
      </c>
      <c r="AL861" s="295" t="s">
        <v>32</v>
      </c>
      <c r="AM861" s="299" t="s">
        <v>32</v>
      </c>
      <c r="AN861" s="292" t="s">
        <v>377</v>
      </c>
      <c r="AO861" s="295" t="s">
        <v>32</v>
      </c>
      <c r="AP861" s="296" t="s">
        <v>32</v>
      </c>
      <c r="AQ861" s="299" t="s">
        <v>32</v>
      </c>
      <c r="AR861" s="292" t="s">
        <v>377</v>
      </c>
      <c r="AS861" s="295" t="s">
        <v>32</v>
      </c>
      <c r="AT861" s="299" t="s">
        <v>32</v>
      </c>
      <c r="AU861" s="299" t="s">
        <v>32</v>
      </c>
      <c r="AV861" s="295" t="s">
        <v>32</v>
      </c>
      <c r="AW861" s="299" t="s">
        <v>32</v>
      </c>
      <c r="AX861" s="292" t="s">
        <v>377</v>
      </c>
      <c r="AY861" s="295" t="s">
        <v>32</v>
      </c>
      <c r="AZ861" s="299" t="s">
        <v>32</v>
      </c>
      <c r="BA861" s="299" t="s">
        <v>32</v>
      </c>
      <c r="BB861" s="288" t="s">
        <v>377</v>
      </c>
      <c r="BC861" s="289" t="s">
        <v>377</v>
      </c>
      <c r="BD861" s="292"/>
    </row>
    <row r="862" ht="12.75" customHeight="1">
      <c r="A862" s="293">
        <v>44785.71026835648</v>
      </c>
      <c r="B862" s="297" t="s">
        <v>486</v>
      </c>
      <c r="C862" s="298" t="s">
        <v>567</v>
      </c>
      <c r="D862" s="298" t="s">
        <v>16</v>
      </c>
      <c r="E862" s="285" t="s">
        <v>476</v>
      </c>
      <c r="F862" s="292" t="s">
        <v>1403</v>
      </c>
      <c r="G862" s="298" t="s">
        <v>21</v>
      </c>
      <c r="H862" s="298">
        <v>11.0</v>
      </c>
      <c r="I862" s="292" t="s">
        <v>479</v>
      </c>
      <c r="J862" s="292" t="s">
        <v>545</v>
      </c>
      <c r="K862" s="287" t="s">
        <v>545</v>
      </c>
      <c r="L862" s="292" t="s">
        <v>497</v>
      </c>
      <c r="M862" s="292" t="s">
        <v>586</v>
      </c>
      <c r="N862" s="292"/>
      <c r="O862" s="292"/>
      <c r="P862" s="292"/>
      <c r="Q862" s="299" t="s">
        <v>32</v>
      </c>
      <c r="R862" s="299" t="s">
        <v>32</v>
      </c>
      <c r="S862" s="295" t="s">
        <v>32</v>
      </c>
      <c r="T862" s="299" t="s">
        <v>32</v>
      </c>
      <c r="U862" s="299" t="s">
        <v>32</v>
      </c>
      <c r="V862" s="295" t="s">
        <v>32</v>
      </c>
      <c r="W862" s="292" t="s">
        <v>377</v>
      </c>
      <c r="X862" s="299" t="s">
        <v>32</v>
      </c>
      <c r="Y862" s="295" t="s">
        <v>32</v>
      </c>
      <c r="Z862" s="299" t="s">
        <v>32</v>
      </c>
      <c r="AA862" s="299" t="s">
        <v>32</v>
      </c>
      <c r="AB862" s="295" t="s">
        <v>32</v>
      </c>
      <c r="AC862" s="296" t="s">
        <v>32</v>
      </c>
      <c r="AD862" s="299" t="s">
        <v>32</v>
      </c>
      <c r="AE862" s="299" t="s">
        <v>32</v>
      </c>
      <c r="AF862" s="295" t="s">
        <v>32</v>
      </c>
      <c r="AG862" s="299" t="s">
        <v>32</v>
      </c>
      <c r="AH862" s="299" t="s">
        <v>32</v>
      </c>
      <c r="AI862" s="295" t="s">
        <v>32</v>
      </c>
      <c r="AJ862" s="299" t="s">
        <v>32</v>
      </c>
      <c r="AK862" s="299" t="s">
        <v>32</v>
      </c>
      <c r="AL862" s="295" t="s">
        <v>32</v>
      </c>
      <c r="AM862" s="299" t="s">
        <v>32</v>
      </c>
      <c r="AN862" s="299" t="s">
        <v>32</v>
      </c>
      <c r="AO862" s="295" t="s">
        <v>32</v>
      </c>
      <c r="AP862" s="296" t="s">
        <v>32</v>
      </c>
      <c r="AQ862" s="299" t="s">
        <v>32</v>
      </c>
      <c r="AR862" s="299" t="s">
        <v>32</v>
      </c>
      <c r="AS862" s="295" t="s">
        <v>32</v>
      </c>
      <c r="AT862" s="299" t="s">
        <v>32</v>
      </c>
      <c r="AU862" s="299" t="s">
        <v>32</v>
      </c>
      <c r="AV862" s="295" t="s">
        <v>32</v>
      </c>
      <c r="AW862" s="299" t="s">
        <v>32</v>
      </c>
      <c r="AX862" s="299" t="s">
        <v>32</v>
      </c>
      <c r="AY862" s="295" t="s">
        <v>32</v>
      </c>
      <c r="AZ862" s="299" t="s">
        <v>32</v>
      </c>
      <c r="BA862" s="299" t="s">
        <v>32</v>
      </c>
      <c r="BB862" s="288" t="s">
        <v>377</v>
      </c>
      <c r="BC862" s="289" t="s">
        <v>377</v>
      </c>
      <c r="BD862" s="292"/>
    </row>
    <row r="863" ht="12.75" customHeight="1">
      <c r="A863" s="293">
        <v>44785.71521119213</v>
      </c>
      <c r="B863" s="297" t="s">
        <v>486</v>
      </c>
      <c r="C863" s="298" t="s">
        <v>567</v>
      </c>
      <c r="D863" s="298" t="s">
        <v>16</v>
      </c>
      <c r="E863" s="285" t="s">
        <v>476</v>
      </c>
      <c r="F863" s="292" t="s">
        <v>1404</v>
      </c>
      <c r="G863" s="298" t="s">
        <v>21</v>
      </c>
      <c r="H863" s="298">
        <v>14.0</v>
      </c>
      <c r="I863" s="292" t="s">
        <v>479</v>
      </c>
      <c r="J863" s="292" t="s">
        <v>545</v>
      </c>
      <c r="K863" s="287" t="s">
        <v>545</v>
      </c>
      <c r="L863" s="292" t="s">
        <v>497</v>
      </c>
      <c r="M863" s="292" t="s">
        <v>586</v>
      </c>
      <c r="N863" s="292"/>
      <c r="O863" s="292"/>
      <c r="P863" s="292"/>
      <c r="Q863" s="299" t="s">
        <v>32</v>
      </c>
      <c r="R863" s="299" t="s">
        <v>32</v>
      </c>
      <c r="S863" s="295" t="s">
        <v>32</v>
      </c>
      <c r="T863" s="299" t="s">
        <v>32</v>
      </c>
      <c r="U863" s="299" t="s">
        <v>32</v>
      </c>
      <c r="V863" s="295" t="s">
        <v>32</v>
      </c>
      <c r="W863" s="299" t="s">
        <v>32</v>
      </c>
      <c r="X863" s="292" t="s">
        <v>377</v>
      </c>
      <c r="Y863" s="295" t="s">
        <v>32</v>
      </c>
      <c r="Z863" s="292" t="s">
        <v>377</v>
      </c>
      <c r="AA863" s="292" t="s">
        <v>18</v>
      </c>
      <c r="AB863" s="288" t="s">
        <v>377</v>
      </c>
      <c r="AC863" s="296" t="s">
        <v>32</v>
      </c>
      <c r="AD863" s="292" t="s">
        <v>377</v>
      </c>
      <c r="AE863" s="299" t="s">
        <v>32</v>
      </c>
      <c r="AF863" s="295" t="s">
        <v>32</v>
      </c>
      <c r="AG863" s="292" t="s">
        <v>377</v>
      </c>
      <c r="AH863" s="292" t="s">
        <v>18</v>
      </c>
      <c r="AI863" s="288" t="s">
        <v>377</v>
      </c>
      <c r="AJ863" s="292" t="s">
        <v>377</v>
      </c>
      <c r="AK863" s="292" t="s">
        <v>377</v>
      </c>
      <c r="AL863" s="288" t="s">
        <v>377</v>
      </c>
      <c r="AM863" s="292" t="s">
        <v>377</v>
      </c>
      <c r="AN863" s="299" t="s">
        <v>32</v>
      </c>
      <c r="AO863" s="295" t="s">
        <v>32</v>
      </c>
      <c r="AP863" s="289" t="s">
        <v>377</v>
      </c>
      <c r="AQ863" s="299" t="s">
        <v>32</v>
      </c>
      <c r="AR863" s="292" t="s">
        <v>377</v>
      </c>
      <c r="AS863" s="295" t="s">
        <v>32</v>
      </c>
      <c r="AT863" s="292" t="s">
        <v>18</v>
      </c>
      <c r="AU863" s="299" t="s">
        <v>32</v>
      </c>
      <c r="AV863" s="288" t="s">
        <v>377</v>
      </c>
      <c r="AW863" s="292" t="s">
        <v>377</v>
      </c>
      <c r="AX863" s="299" t="s">
        <v>32</v>
      </c>
      <c r="AY863" s="295" t="s">
        <v>32</v>
      </c>
      <c r="AZ863" s="299" t="s">
        <v>32</v>
      </c>
      <c r="BA863" s="292" t="s">
        <v>377</v>
      </c>
      <c r="BB863" s="295" t="s">
        <v>32</v>
      </c>
      <c r="BC863" s="289" t="s">
        <v>377</v>
      </c>
      <c r="BD863" s="292"/>
    </row>
    <row r="864" ht="12.75" customHeight="1">
      <c r="A864" s="293">
        <v>44788.59198546296</v>
      </c>
      <c r="B864" s="297" t="s">
        <v>486</v>
      </c>
      <c r="C864" s="298" t="s">
        <v>567</v>
      </c>
      <c r="D864" s="298" t="s">
        <v>16</v>
      </c>
      <c r="E864" s="285" t="s">
        <v>476</v>
      </c>
      <c r="F864" s="292" t="s">
        <v>1405</v>
      </c>
      <c r="G864" s="298" t="s">
        <v>21</v>
      </c>
      <c r="H864" s="298">
        <v>13.0</v>
      </c>
      <c r="I864" s="292" t="s">
        <v>479</v>
      </c>
      <c r="J864" s="292" t="s">
        <v>545</v>
      </c>
      <c r="K864" s="287" t="s">
        <v>545</v>
      </c>
      <c r="L864" s="292" t="s">
        <v>497</v>
      </c>
      <c r="M864" s="292" t="s">
        <v>586</v>
      </c>
      <c r="N864" s="292"/>
      <c r="O864" s="292"/>
      <c r="P864" s="292"/>
      <c r="Q864" s="299" t="s">
        <v>32</v>
      </c>
      <c r="R864" s="299" t="s">
        <v>32</v>
      </c>
      <c r="S864" s="295" t="s">
        <v>32</v>
      </c>
      <c r="T864" s="292" t="s">
        <v>377</v>
      </c>
      <c r="U864" s="299" t="s">
        <v>32</v>
      </c>
      <c r="V864" s="295" t="s">
        <v>32</v>
      </c>
      <c r="W864" s="292" t="s">
        <v>377</v>
      </c>
      <c r="X864" s="292" t="s">
        <v>377</v>
      </c>
      <c r="Y864" s="288" t="s">
        <v>377</v>
      </c>
      <c r="Z864" s="299" t="s">
        <v>32</v>
      </c>
      <c r="AA864" s="292" t="s">
        <v>18</v>
      </c>
      <c r="AB864" s="288" t="s">
        <v>377</v>
      </c>
      <c r="AC864" s="289" t="s">
        <v>377</v>
      </c>
      <c r="AD864" s="292" t="s">
        <v>377</v>
      </c>
      <c r="AE864" s="292" t="s">
        <v>377</v>
      </c>
      <c r="AF864" s="288" t="s">
        <v>377</v>
      </c>
      <c r="AG864" s="292" t="s">
        <v>377</v>
      </c>
      <c r="AH864" s="299" t="s">
        <v>32</v>
      </c>
      <c r="AI864" s="295" t="s">
        <v>32</v>
      </c>
      <c r="AJ864" s="292" t="s">
        <v>377</v>
      </c>
      <c r="AK864" s="292" t="s">
        <v>377</v>
      </c>
      <c r="AL864" s="288" t="s">
        <v>377</v>
      </c>
      <c r="AM864" s="292" t="s">
        <v>18</v>
      </c>
      <c r="AN864" s="292" t="s">
        <v>377</v>
      </c>
      <c r="AO864" s="288" t="s">
        <v>377</v>
      </c>
      <c r="AP864" s="289" t="s">
        <v>377</v>
      </c>
      <c r="AQ864" s="299" t="s">
        <v>32</v>
      </c>
      <c r="AR864" s="299" t="s">
        <v>32</v>
      </c>
      <c r="AS864" s="295" t="s">
        <v>32</v>
      </c>
      <c r="AT864" s="299" t="s">
        <v>32</v>
      </c>
      <c r="AU864" s="299" t="s">
        <v>32</v>
      </c>
      <c r="AV864" s="295" t="s">
        <v>32</v>
      </c>
      <c r="AW864" s="299" t="s">
        <v>32</v>
      </c>
      <c r="AX864" s="292" t="s">
        <v>377</v>
      </c>
      <c r="AY864" s="295" t="s">
        <v>32</v>
      </c>
      <c r="AZ864" s="292" t="s">
        <v>377</v>
      </c>
      <c r="BA864" s="299" t="s">
        <v>32</v>
      </c>
      <c r="BB864" s="295" t="s">
        <v>32</v>
      </c>
      <c r="BC864" s="289" t="s">
        <v>377</v>
      </c>
      <c r="BD864" s="292"/>
    </row>
    <row r="865" ht="12.75" customHeight="1">
      <c r="A865" s="293">
        <v>44788.60177864583</v>
      </c>
      <c r="B865" s="297" t="s">
        <v>486</v>
      </c>
      <c r="C865" s="298" t="s">
        <v>567</v>
      </c>
      <c r="D865" s="298" t="s">
        <v>16</v>
      </c>
      <c r="E865" s="285" t="s">
        <v>476</v>
      </c>
      <c r="F865" s="292" t="s">
        <v>1406</v>
      </c>
      <c r="G865" s="298" t="s">
        <v>21</v>
      </c>
      <c r="H865" s="298">
        <v>11.0</v>
      </c>
      <c r="I865" s="292" t="s">
        <v>479</v>
      </c>
      <c r="J865" s="292" t="s">
        <v>545</v>
      </c>
      <c r="K865" s="287" t="s">
        <v>545</v>
      </c>
      <c r="L865" s="292" t="s">
        <v>479</v>
      </c>
      <c r="M865" s="292" t="s">
        <v>481</v>
      </c>
      <c r="N865" s="292"/>
      <c r="O865" s="292"/>
      <c r="P865" s="292"/>
      <c r="Q865" s="299" t="s">
        <v>32</v>
      </c>
      <c r="R865" s="292" t="s">
        <v>377</v>
      </c>
      <c r="S865" s="295" t="s">
        <v>32</v>
      </c>
      <c r="T865" s="292" t="s">
        <v>18</v>
      </c>
      <c r="U865" s="299" t="s">
        <v>32</v>
      </c>
      <c r="V865" s="288" t="s">
        <v>377</v>
      </c>
      <c r="W865" s="292" t="s">
        <v>18</v>
      </c>
      <c r="X865" s="292" t="s">
        <v>18</v>
      </c>
      <c r="Y865" s="288" t="s">
        <v>18</v>
      </c>
      <c r="Z865" s="299" t="s">
        <v>32</v>
      </c>
      <c r="AA865" s="292" t="s">
        <v>18</v>
      </c>
      <c r="AB865" s="288" t="s">
        <v>377</v>
      </c>
      <c r="AC865" s="289" t="s">
        <v>377</v>
      </c>
      <c r="AD865" s="292" t="s">
        <v>377</v>
      </c>
      <c r="AE865" s="292" t="s">
        <v>18</v>
      </c>
      <c r="AF865" s="288" t="s">
        <v>377</v>
      </c>
      <c r="AG865" s="292" t="s">
        <v>377</v>
      </c>
      <c r="AH865" s="292" t="s">
        <v>18</v>
      </c>
      <c r="AI865" s="288" t="s">
        <v>377</v>
      </c>
      <c r="AJ865" s="292" t="s">
        <v>18</v>
      </c>
      <c r="AK865" s="292" t="s">
        <v>377</v>
      </c>
      <c r="AL865" s="288" t="s">
        <v>377</v>
      </c>
      <c r="AM865" s="292" t="s">
        <v>18</v>
      </c>
      <c r="AN865" s="292" t="s">
        <v>18</v>
      </c>
      <c r="AO865" s="288" t="s">
        <v>18</v>
      </c>
      <c r="AP865" s="289" t="s">
        <v>18</v>
      </c>
      <c r="AQ865" s="292" t="s">
        <v>18</v>
      </c>
      <c r="AR865" s="292" t="s">
        <v>377</v>
      </c>
      <c r="AS865" s="288" t="s">
        <v>377</v>
      </c>
      <c r="AT865" s="292" t="s">
        <v>377</v>
      </c>
      <c r="AU865" s="292" t="s">
        <v>377</v>
      </c>
      <c r="AV865" s="288" t="s">
        <v>377</v>
      </c>
      <c r="AW865" s="292" t="s">
        <v>18</v>
      </c>
      <c r="AX865" s="292" t="s">
        <v>377</v>
      </c>
      <c r="AY865" s="288" t="s">
        <v>377</v>
      </c>
      <c r="AZ865" s="292" t="s">
        <v>377</v>
      </c>
      <c r="BA865" s="292" t="s">
        <v>377</v>
      </c>
      <c r="BB865" s="295" t="s">
        <v>32</v>
      </c>
      <c r="BC865" s="296" t="s">
        <v>32</v>
      </c>
      <c r="BD865" s="292"/>
    </row>
    <row r="866" ht="12.75" customHeight="1">
      <c r="A866" s="293">
        <v>44788.67276563657</v>
      </c>
      <c r="B866" s="297" t="s">
        <v>486</v>
      </c>
      <c r="C866" s="298" t="s">
        <v>567</v>
      </c>
      <c r="D866" s="298" t="s">
        <v>16</v>
      </c>
      <c r="E866" s="285" t="s">
        <v>476</v>
      </c>
      <c r="F866" s="292" t="s">
        <v>1407</v>
      </c>
      <c r="G866" s="298" t="s">
        <v>21</v>
      </c>
      <c r="H866" s="298">
        <v>12.0</v>
      </c>
      <c r="I866" s="292" t="s">
        <v>479</v>
      </c>
      <c r="J866" s="292" t="s">
        <v>545</v>
      </c>
      <c r="K866" s="287" t="s">
        <v>545</v>
      </c>
      <c r="L866" s="292" t="s">
        <v>479</v>
      </c>
      <c r="M866" s="292" t="s">
        <v>481</v>
      </c>
      <c r="N866" s="292"/>
      <c r="O866" s="292"/>
      <c r="P866" s="292"/>
      <c r="Q866" s="292" t="s">
        <v>377</v>
      </c>
      <c r="R866" s="299" t="s">
        <v>32</v>
      </c>
      <c r="S866" s="295" t="s">
        <v>32</v>
      </c>
      <c r="T866" s="292" t="s">
        <v>377</v>
      </c>
      <c r="U866" s="299" t="s">
        <v>32</v>
      </c>
      <c r="V866" s="295" t="s">
        <v>32</v>
      </c>
      <c r="W866" s="299" t="s">
        <v>32</v>
      </c>
      <c r="X866" s="292" t="s">
        <v>377</v>
      </c>
      <c r="Y866" s="295" t="s">
        <v>32</v>
      </c>
      <c r="Z866" s="299" t="s">
        <v>32</v>
      </c>
      <c r="AA866" s="299" t="s">
        <v>32</v>
      </c>
      <c r="AB866" s="295" t="s">
        <v>32</v>
      </c>
      <c r="AC866" s="296" t="s">
        <v>32</v>
      </c>
      <c r="AD866" s="299" t="s">
        <v>32</v>
      </c>
      <c r="AE866" s="299" t="s">
        <v>32</v>
      </c>
      <c r="AF866" s="295" t="s">
        <v>32</v>
      </c>
      <c r="AG866" s="292" t="s">
        <v>377</v>
      </c>
      <c r="AH866" s="292" t="s">
        <v>377</v>
      </c>
      <c r="AI866" s="288" t="s">
        <v>377</v>
      </c>
      <c r="AJ866" s="299" t="s">
        <v>32</v>
      </c>
      <c r="AK866" s="292" t="s">
        <v>377</v>
      </c>
      <c r="AL866" s="295" t="s">
        <v>32</v>
      </c>
      <c r="AM866" s="292" t="s">
        <v>377</v>
      </c>
      <c r="AN866" s="292" t="s">
        <v>18</v>
      </c>
      <c r="AO866" s="288" t="s">
        <v>377</v>
      </c>
      <c r="AP866" s="289" t="s">
        <v>377</v>
      </c>
      <c r="AQ866" s="299" t="s">
        <v>32</v>
      </c>
      <c r="AR866" s="299" t="s">
        <v>32</v>
      </c>
      <c r="AS866" s="295" t="s">
        <v>32</v>
      </c>
      <c r="AT866" s="292" t="s">
        <v>377</v>
      </c>
      <c r="AU866" s="292" t="s">
        <v>377</v>
      </c>
      <c r="AV866" s="288" t="s">
        <v>377</v>
      </c>
      <c r="AW866" s="292" t="s">
        <v>377</v>
      </c>
      <c r="AX866" s="292" t="s">
        <v>377</v>
      </c>
      <c r="AY866" s="288" t="s">
        <v>377</v>
      </c>
      <c r="AZ866" s="299" t="s">
        <v>32</v>
      </c>
      <c r="BA866" s="299" t="s">
        <v>32</v>
      </c>
      <c r="BB866" s="295" t="s">
        <v>32</v>
      </c>
      <c r="BC866" s="296" t="s">
        <v>32</v>
      </c>
      <c r="BD866" s="292"/>
    </row>
    <row r="867" ht="12.75" customHeight="1">
      <c r="A867" s="293">
        <v>44788.72517509259</v>
      </c>
      <c r="B867" s="297" t="s">
        <v>486</v>
      </c>
      <c r="C867" s="298" t="s">
        <v>567</v>
      </c>
      <c r="D867" s="298" t="s">
        <v>16</v>
      </c>
      <c r="E867" s="285" t="s">
        <v>476</v>
      </c>
      <c r="F867" s="292" t="s">
        <v>1408</v>
      </c>
      <c r="G867" s="298" t="s">
        <v>17</v>
      </c>
      <c r="H867" s="298">
        <v>12.0</v>
      </c>
      <c r="I867" s="292" t="s">
        <v>479</v>
      </c>
      <c r="J867" s="292" t="s">
        <v>545</v>
      </c>
      <c r="K867" s="287" t="s">
        <v>545</v>
      </c>
      <c r="L867" s="292" t="s">
        <v>479</v>
      </c>
      <c r="M867" s="292" t="s">
        <v>481</v>
      </c>
      <c r="N867" s="292"/>
      <c r="O867" s="292"/>
      <c r="P867" s="292"/>
      <c r="Q867" s="299" t="s">
        <v>32</v>
      </c>
      <c r="R867" s="292" t="s">
        <v>377</v>
      </c>
      <c r="S867" s="295" t="s">
        <v>32</v>
      </c>
      <c r="T867" s="292" t="s">
        <v>18</v>
      </c>
      <c r="U867" s="299" t="s">
        <v>32</v>
      </c>
      <c r="V867" s="288" t="s">
        <v>377</v>
      </c>
      <c r="W867" s="292" t="s">
        <v>377</v>
      </c>
      <c r="X867" s="292" t="s">
        <v>377</v>
      </c>
      <c r="Y867" s="288" t="s">
        <v>377</v>
      </c>
      <c r="Z867" s="299" t="s">
        <v>32</v>
      </c>
      <c r="AA867" s="292" t="s">
        <v>377</v>
      </c>
      <c r="AB867" s="295" t="s">
        <v>32</v>
      </c>
      <c r="AC867" s="289" t="s">
        <v>377</v>
      </c>
      <c r="AD867" s="292" t="s">
        <v>377</v>
      </c>
      <c r="AE867" s="292" t="s">
        <v>18</v>
      </c>
      <c r="AF867" s="288" t="s">
        <v>377</v>
      </c>
      <c r="AG867" s="292" t="s">
        <v>377</v>
      </c>
      <c r="AH867" s="292" t="s">
        <v>18</v>
      </c>
      <c r="AI867" s="288" t="s">
        <v>377</v>
      </c>
      <c r="AJ867" s="292" t="s">
        <v>377</v>
      </c>
      <c r="AK867" s="292" t="s">
        <v>18</v>
      </c>
      <c r="AL867" s="288" t="s">
        <v>377</v>
      </c>
      <c r="AM867" s="292" t="s">
        <v>18</v>
      </c>
      <c r="AN867" s="292" t="s">
        <v>18</v>
      </c>
      <c r="AO867" s="288" t="s">
        <v>18</v>
      </c>
      <c r="AP867" s="289" t="s">
        <v>18</v>
      </c>
      <c r="AQ867" s="292" t="s">
        <v>18</v>
      </c>
      <c r="AR867" s="299" t="s">
        <v>32</v>
      </c>
      <c r="AS867" s="288" t="s">
        <v>377</v>
      </c>
      <c r="AT867" s="292" t="s">
        <v>377</v>
      </c>
      <c r="AU867" s="292" t="s">
        <v>18</v>
      </c>
      <c r="AV867" s="288" t="s">
        <v>377</v>
      </c>
      <c r="AW867" s="292" t="s">
        <v>377</v>
      </c>
      <c r="AX867" s="292" t="s">
        <v>377</v>
      </c>
      <c r="AY867" s="288" t="s">
        <v>377</v>
      </c>
      <c r="AZ867" s="299" t="s">
        <v>32</v>
      </c>
      <c r="BA867" s="292" t="s">
        <v>18</v>
      </c>
      <c r="BB867" s="295" t="s">
        <v>32</v>
      </c>
      <c r="BC867" s="296" t="s">
        <v>32</v>
      </c>
      <c r="BD867" s="292"/>
    </row>
    <row r="868" ht="12.75" customHeight="1">
      <c r="A868" s="293">
        <v>44788.72888501157</v>
      </c>
      <c r="B868" s="297" t="s">
        <v>486</v>
      </c>
      <c r="C868" s="298" t="s">
        <v>567</v>
      </c>
      <c r="D868" s="298" t="s">
        <v>16</v>
      </c>
      <c r="E868" s="285" t="s">
        <v>476</v>
      </c>
      <c r="F868" s="292" t="s">
        <v>1409</v>
      </c>
      <c r="G868" s="298" t="s">
        <v>21</v>
      </c>
      <c r="H868" s="298">
        <v>13.0</v>
      </c>
      <c r="I868" s="292" t="s">
        <v>479</v>
      </c>
      <c r="J868" s="292" t="s">
        <v>545</v>
      </c>
      <c r="K868" s="287" t="s">
        <v>545</v>
      </c>
      <c r="L868" s="292" t="s">
        <v>479</v>
      </c>
      <c r="M868" s="292" t="s">
        <v>481</v>
      </c>
      <c r="N868" s="292"/>
      <c r="O868" s="292"/>
      <c r="P868" s="292"/>
      <c r="Q868" s="299" t="s">
        <v>32</v>
      </c>
      <c r="R868" s="292" t="s">
        <v>377</v>
      </c>
      <c r="S868" s="295" t="s">
        <v>32</v>
      </c>
      <c r="T868" s="292" t="s">
        <v>18</v>
      </c>
      <c r="U868" s="292" t="s">
        <v>377</v>
      </c>
      <c r="V868" s="288" t="s">
        <v>377</v>
      </c>
      <c r="W868" s="292" t="s">
        <v>18</v>
      </c>
      <c r="X868" s="292" t="s">
        <v>18</v>
      </c>
      <c r="Y868" s="288" t="s">
        <v>18</v>
      </c>
      <c r="Z868" s="299" t="s">
        <v>32</v>
      </c>
      <c r="AA868" s="292" t="s">
        <v>377</v>
      </c>
      <c r="AB868" s="295" t="s">
        <v>32</v>
      </c>
      <c r="AC868" s="289" t="s">
        <v>377</v>
      </c>
      <c r="AD868" s="299" t="s">
        <v>32</v>
      </c>
      <c r="AE868" s="292" t="s">
        <v>377</v>
      </c>
      <c r="AF868" s="295" t="s">
        <v>32</v>
      </c>
      <c r="AG868" s="292" t="s">
        <v>377</v>
      </c>
      <c r="AH868" s="292" t="s">
        <v>18</v>
      </c>
      <c r="AI868" s="288" t="s">
        <v>377</v>
      </c>
      <c r="AJ868" s="292" t="s">
        <v>377</v>
      </c>
      <c r="AK868" s="292" t="s">
        <v>18</v>
      </c>
      <c r="AL868" s="288" t="s">
        <v>377</v>
      </c>
      <c r="AM868" s="292" t="s">
        <v>18</v>
      </c>
      <c r="AN868" s="292" t="s">
        <v>377</v>
      </c>
      <c r="AO868" s="288" t="s">
        <v>377</v>
      </c>
      <c r="AP868" s="289" t="s">
        <v>377</v>
      </c>
      <c r="AQ868" s="292" t="s">
        <v>18</v>
      </c>
      <c r="AR868" s="292" t="s">
        <v>18</v>
      </c>
      <c r="AS868" s="288" t="s">
        <v>18</v>
      </c>
      <c r="AT868" s="299" t="s">
        <v>32</v>
      </c>
      <c r="AU868" s="299" t="s">
        <v>32</v>
      </c>
      <c r="AV868" s="295" t="s">
        <v>32</v>
      </c>
      <c r="AW868" s="292" t="s">
        <v>377</v>
      </c>
      <c r="AX868" s="299" t="s">
        <v>32</v>
      </c>
      <c r="AY868" s="295" t="s">
        <v>32</v>
      </c>
      <c r="AZ868" s="299" t="s">
        <v>32</v>
      </c>
      <c r="BA868" s="292" t="s">
        <v>18</v>
      </c>
      <c r="BB868" s="295" t="s">
        <v>32</v>
      </c>
      <c r="BC868" s="296" t="s">
        <v>32</v>
      </c>
      <c r="BD868" s="292"/>
    </row>
    <row r="869" ht="12.75" customHeight="1">
      <c r="A869" s="293">
        <v>44788.737046168986</v>
      </c>
      <c r="B869" s="297" t="s">
        <v>486</v>
      </c>
      <c r="C869" s="298" t="s">
        <v>567</v>
      </c>
      <c r="D869" s="298" t="s">
        <v>16</v>
      </c>
      <c r="E869" s="285" t="s">
        <v>476</v>
      </c>
      <c r="F869" s="292" t="s">
        <v>1410</v>
      </c>
      <c r="G869" s="298" t="s">
        <v>17</v>
      </c>
      <c r="H869" s="298">
        <v>11.0</v>
      </c>
      <c r="I869" s="292" t="s">
        <v>479</v>
      </c>
      <c r="J869" s="292" t="s">
        <v>545</v>
      </c>
      <c r="K869" s="287" t="s">
        <v>545</v>
      </c>
      <c r="L869" s="292" t="s">
        <v>479</v>
      </c>
      <c r="M869" s="292" t="s">
        <v>481</v>
      </c>
      <c r="N869" s="292"/>
      <c r="O869" s="292"/>
      <c r="P869" s="292"/>
      <c r="Q869" s="299" t="s">
        <v>32</v>
      </c>
      <c r="R869" s="292" t="s">
        <v>377</v>
      </c>
      <c r="S869" s="295" t="s">
        <v>32</v>
      </c>
      <c r="T869" s="292" t="s">
        <v>377</v>
      </c>
      <c r="U869" s="299" t="s">
        <v>32</v>
      </c>
      <c r="V869" s="295" t="s">
        <v>32</v>
      </c>
      <c r="W869" s="292" t="s">
        <v>18</v>
      </c>
      <c r="X869" s="292" t="s">
        <v>377</v>
      </c>
      <c r="Y869" s="288" t="s">
        <v>377</v>
      </c>
      <c r="Z869" s="299" t="s">
        <v>32</v>
      </c>
      <c r="AA869" s="292" t="s">
        <v>377</v>
      </c>
      <c r="AB869" s="295" t="s">
        <v>32</v>
      </c>
      <c r="AC869" s="289" t="s">
        <v>377</v>
      </c>
      <c r="AD869" s="292" t="s">
        <v>377</v>
      </c>
      <c r="AE869" s="292" t="s">
        <v>377</v>
      </c>
      <c r="AF869" s="288" t="s">
        <v>377</v>
      </c>
      <c r="AG869" s="299" t="s">
        <v>32</v>
      </c>
      <c r="AH869" s="292" t="s">
        <v>377</v>
      </c>
      <c r="AI869" s="295" t="s">
        <v>32</v>
      </c>
      <c r="AJ869" s="292" t="s">
        <v>18</v>
      </c>
      <c r="AK869" s="292" t="s">
        <v>377</v>
      </c>
      <c r="AL869" s="288" t="s">
        <v>377</v>
      </c>
      <c r="AM869" s="292" t="s">
        <v>18</v>
      </c>
      <c r="AN869" s="292" t="s">
        <v>377</v>
      </c>
      <c r="AO869" s="288" t="s">
        <v>377</v>
      </c>
      <c r="AP869" s="289" t="s">
        <v>377</v>
      </c>
      <c r="AQ869" s="292" t="s">
        <v>18</v>
      </c>
      <c r="AR869" s="292" t="s">
        <v>377</v>
      </c>
      <c r="AS869" s="288" t="s">
        <v>377</v>
      </c>
      <c r="AT869" s="292" t="s">
        <v>377</v>
      </c>
      <c r="AU869" s="292" t="s">
        <v>377</v>
      </c>
      <c r="AV869" s="288" t="s">
        <v>377</v>
      </c>
      <c r="AW869" s="299" t="s">
        <v>32</v>
      </c>
      <c r="AX869" s="292" t="s">
        <v>18</v>
      </c>
      <c r="AY869" s="288" t="s">
        <v>377</v>
      </c>
      <c r="AZ869" s="299" t="s">
        <v>32</v>
      </c>
      <c r="BA869" s="292" t="s">
        <v>18</v>
      </c>
      <c r="BB869" s="295" t="s">
        <v>32</v>
      </c>
      <c r="BC869" s="296" t="s">
        <v>32</v>
      </c>
      <c r="BD869" s="292"/>
    </row>
    <row r="870" ht="12.75" customHeight="1">
      <c r="A870" s="293">
        <v>44789.74172760417</v>
      </c>
      <c r="B870" s="297" t="s">
        <v>486</v>
      </c>
      <c r="C870" s="298" t="s">
        <v>567</v>
      </c>
      <c r="D870" s="298" t="s">
        <v>16</v>
      </c>
      <c r="E870" s="285" t="s">
        <v>476</v>
      </c>
      <c r="F870" s="292" t="s">
        <v>1411</v>
      </c>
      <c r="G870" s="298" t="s">
        <v>21</v>
      </c>
      <c r="H870" s="298">
        <v>12.0</v>
      </c>
      <c r="I870" s="292" t="s">
        <v>479</v>
      </c>
      <c r="J870" s="292" t="s">
        <v>545</v>
      </c>
      <c r="K870" s="287" t="s">
        <v>545</v>
      </c>
      <c r="L870" s="292" t="s">
        <v>479</v>
      </c>
      <c r="M870" s="292" t="s">
        <v>481</v>
      </c>
      <c r="N870" s="292"/>
      <c r="O870" s="292"/>
      <c r="P870" s="292"/>
      <c r="Q870" s="299" t="s">
        <v>32</v>
      </c>
      <c r="R870" s="299" t="s">
        <v>32</v>
      </c>
      <c r="S870" s="295" t="s">
        <v>32</v>
      </c>
      <c r="T870" s="299" t="s">
        <v>32</v>
      </c>
      <c r="U870" s="299" t="s">
        <v>32</v>
      </c>
      <c r="V870" s="295" t="s">
        <v>32</v>
      </c>
      <c r="W870" s="299" t="s">
        <v>32</v>
      </c>
      <c r="X870" s="299" t="s">
        <v>32</v>
      </c>
      <c r="Y870" s="295" t="s">
        <v>32</v>
      </c>
      <c r="Z870" s="299" t="s">
        <v>32</v>
      </c>
      <c r="AA870" s="299" t="s">
        <v>32</v>
      </c>
      <c r="AB870" s="295" t="s">
        <v>32</v>
      </c>
      <c r="AC870" s="296" t="s">
        <v>32</v>
      </c>
      <c r="AD870" s="299" t="s">
        <v>32</v>
      </c>
      <c r="AE870" s="299" t="s">
        <v>32</v>
      </c>
      <c r="AF870" s="295" t="s">
        <v>32</v>
      </c>
      <c r="AG870" s="299" t="s">
        <v>32</v>
      </c>
      <c r="AH870" s="299" t="s">
        <v>32</v>
      </c>
      <c r="AI870" s="295" t="s">
        <v>32</v>
      </c>
      <c r="AJ870" s="299" t="s">
        <v>32</v>
      </c>
      <c r="AK870" s="299" t="s">
        <v>32</v>
      </c>
      <c r="AL870" s="295" t="s">
        <v>32</v>
      </c>
      <c r="AM870" s="292" t="s">
        <v>377</v>
      </c>
      <c r="AN870" s="292" t="s">
        <v>377</v>
      </c>
      <c r="AO870" s="288" t="s">
        <v>377</v>
      </c>
      <c r="AP870" s="296" t="s">
        <v>32</v>
      </c>
      <c r="AQ870" s="299" t="s">
        <v>32</v>
      </c>
      <c r="AR870" s="299" t="s">
        <v>32</v>
      </c>
      <c r="AS870" s="295" t="s">
        <v>32</v>
      </c>
      <c r="AT870" s="299" t="s">
        <v>32</v>
      </c>
      <c r="AU870" s="299" t="s">
        <v>32</v>
      </c>
      <c r="AV870" s="295" t="s">
        <v>32</v>
      </c>
      <c r="AW870" s="299" t="s">
        <v>32</v>
      </c>
      <c r="AX870" s="299" t="s">
        <v>32</v>
      </c>
      <c r="AY870" s="295" t="s">
        <v>32</v>
      </c>
      <c r="AZ870" s="299" t="s">
        <v>32</v>
      </c>
      <c r="BA870" s="299" t="s">
        <v>32</v>
      </c>
      <c r="BB870" s="295" t="s">
        <v>32</v>
      </c>
      <c r="BC870" s="289" t="s">
        <v>377</v>
      </c>
      <c r="BD870" s="292"/>
    </row>
    <row r="871" ht="12.75" customHeight="1">
      <c r="A871" s="293">
        <v>44789.74396818287</v>
      </c>
      <c r="B871" s="297" t="s">
        <v>486</v>
      </c>
      <c r="C871" s="298" t="s">
        <v>567</v>
      </c>
      <c r="D871" s="298" t="s">
        <v>16</v>
      </c>
      <c r="E871" s="285" t="s">
        <v>476</v>
      </c>
      <c r="F871" s="292" t="s">
        <v>1412</v>
      </c>
      <c r="G871" s="298" t="s">
        <v>21</v>
      </c>
      <c r="H871" s="298">
        <v>13.0</v>
      </c>
      <c r="I871" s="292" t="s">
        <v>479</v>
      </c>
      <c r="J871" s="292" t="s">
        <v>545</v>
      </c>
      <c r="K871" s="287" t="s">
        <v>545</v>
      </c>
      <c r="L871" s="292" t="s">
        <v>479</v>
      </c>
      <c r="M871" s="292" t="s">
        <v>481</v>
      </c>
      <c r="N871" s="292"/>
      <c r="O871" s="292"/>
      <c r="P871" s="292"/>
      <c r="Q871" s="299" t="s">
        <v>32</v>
      </c>
      <c r="R871" s="299" t="s">
        <v>32</v>
      </c>
      <c r="S871" s="295" t="s">
        <v>32</v>
      </c>
      <c r="T871" s="299" t="s">
        <v>32</v>
      </c>
      <c r="U871" s="299" t="s">
        <v>32</v>
      </c>
      <c r="V871" s="295" t="s">
        <v>32</v>
      </c>
      <c r="W871" s="299" t="s">
        <v>32</v>
      </c>
      <c r="X871" s="299" t="s">
        <v>32</v>
      </c>
      <c r="Y871" s="295" t="s">
        <v>32</v>
      </c>
      <c r="Z871" s="299" t="s">
        <v>32</v>
      </c>
      <c r="AA871" s="299" t="s">
        <v>32</v>
      </c>
      <c r="AB871" s="295" t="s">
        <v>32</v>
      </c>
      <c r="AC871" s="296" t="s">
        <v>32</v>
      </c>
      <c r="AD871" s="292" t="s">
        <v>377</v>
      </c>
      <c r="AE871" s="299" t="s">
        <v>32</v>
      </c>
      <c r="AF871" s="295" t="s">
        <v>32</v>
      </c>
      <c r="AG871" s="299" t="s">
        <v>32</v>
      </c>
      <c r="AH871" s="299" t="s">
        <v>32</v>
      </c>
      <c r="AI871" s="295" t="s">
        <v>32</v>
      </c>
      <c r="AJ871" s="299" t="s">
        <v>32</v>
      </c>
      <c r="AK871" s="292" t="s">
        <v>377</v>
      </c>
      <c r="AL871" s="295" t="s">
        <v>32</v>
      </c>
      <c r="AM871" s="299" t="s">
        <v>32</v>
      </c>
      <c r="AN871" s="292" t="s">
        <v>18</v>
      </c>
      <c r="AO871" s="288" t="s">
        <v>377</v>
      </c>
      <c r="AP871" s="296" t="s">
        <v>32</v>
      </c>
      <c r="AQ871" s="299" t="s">
        <v>32</v>
      </c>
      <c r="AR871" s="292" t="s">
        <v>377</v>
      </c>
      <c r="AS871" s="295" t="s">
        <v>32</v>
      </c>
      <c r="AT871" s="299" t="s">
        <v>32</v>
      </c>
      <c r="AU871" s="299" t="s">
        <v>32</v>
      </c>
      <c r="AV871" s="295" t="s">
        <v>32</v>
      </c>
      <c r="AW871" s="299" t="s">
        <v>32</v>
      </c>
      <c r="AX871" s="299" t="s">
        <v>32</v>
      </c>
      <c r="AY871" s="295" t="s">
        <v>32</v>
      </c>
      <c r="AZ871" s="299" t="s">
        <v>32</v>
      </c>
      <c r="BA871" s="299" t="s">
        <v>32</v>
      </c>
      <c r="BB871" s="295" t="s">
        <v>32</v>
      </c>
      <c r="BC871" s="289" t="s">
        <v>377</v>
      </c>
      <c r="BD871" s="292"/>
    </row>
    <row r="872" ht="12.75" customHeight="1">
      <c r="A872" s="293">
        <v>44789.75202497686</v>
      </c>
      <c r="B872" s="297" t="s">
        <v>486</v>
      </c>
      <c r="C872" s="298" t="s">
        <v>567</v>
      </c>
      <c r="D872" s="298" t="s">
        <v>16</v>
      </c>
      <c r="E872" s="285" t="s">
        <v>476</v>
      </c>
      <c r="F872" s="292" t="s">
        <v>1413</v>
      </c>
      <c r="G872" s="298" t="s">
        <v>17</v>
      </c>
      <c r="H872" s="298">
        <v>11.0</v>
      </c>
      <c r="I872" s="292" t="s">
        <v>479</v>
      </c>
      <c r="J872" s="292" t="s">
        <v>545</v>
      </c>
      <c r="K872" s="287" t="s">
        <v>545</v>
      </c>
      <c r="L872" s="292" t="s">
        <v>479</v>
      </c>
      <c r="M872" s="292" t="s">
        <v>481</v>
      </c>
      <c r="N872" s="292"/>
      <c r="O872" s="292"/>
      <c r="P872" s="292"/>
      <c r="Q872" s="299" t="s">
        <v>32</v>
      </c>
      <c r="R872" s="299" t="s">
        <v>32</v>
      </c>
      <c r="S872" s="295" t="s">
        <v>32</v>
      </c>
      <c r="T872" s="299" t="s">
        <v>32</v>
      </c>
      <c r="U872" s="299" t="s">
        <v>32</v>
      </c>
      <c r="V872" s="295" t="s">
        <v>32</v>
      </c>
      <c r="W872" s="292" t="s">
        <v>18</v>
      </c>
      <c r="X872" s="299" t="s">
        <v>32</v>
      </c>
      <c r="Y872" s="288" t="s">
        <v>377</v>
      </c>
      <c r="Z872" s="299" t="s">
        <v>32</v>
      </c>
      <c r="AA872" s="292" t="s">
        <v>377</v>
      </c>
      <c r="AB872" s="295" t="s">
        <v>32</v>
      </c>
      <c r="AC872" s="296" t="s">
        <v>32</v>
      </c>
      <c r="AD872" s="299" t="s">
        <v>32</v>
      </c>
      <c r="AE872" s="299" t="s">
        <v>32</v>
      </c>
      <c r="AF872" s="295" t="s">
        <v>32</v>
      </c>
      <c r="AG872" s="299" t="s">
        <v>32</v>
      </c>
      <c r="AH872" s="292" t="s">
        <v>377</v>
      </c>
      <c r="AI872" s="295" t="s">
        <v>32</v>
      </c>
      <c r="AJ872" s="299" t="s">
        <v>32</v>
      </c>
      <c r="AK872" s="299" t="s">
        <v>32</v>
      </c>
      <c r="AL872" s="295" t="s">
        <v>32</v>
      </c>
      <c r="AM872" s="292" t="s">
        <v>18</v>
      </c>
      <c r="AN872" s="292" t="s">
        <v>18</v>
      </c>
      <c r="AO872" s="288" t="s">
        <v>18</v>
      </c>
      <c r="AP872" s="289" t="s">
        <v>377</v>
      </c>
      <c r="AQ872" s="299" t="s">
        <v>32</v>
      </c>
      <c r="AR872" s="299" t="s">
        <v>32</v>
      </c>
      <c r="AS872" s="295" t="s">
        <v>32</v>
      </c>
      <c r="AT872" s="299" t="s">
        <v>32</v>
      </c>
      <c r="AU872" s="299" t="s">
        <v>32</v>
      </c>
      <c r="AV872" s="295" t="s">
        <v>32</v>
      </c>
      <c r="AW872" s="299" t="s">
        <v>32</v>
      </c>
      <c r="AX872" s="299" t="s">
        <v>32</v>
      </c>
      <c r="AY872" s="295" t="s">
        <v>32</v>
      </c>
      <c r="AZ872" s="299" t="s">
        <v>32</v>
      </c>
      <c r="BA872" s="299" t="s">
        <v>32</v>
      </c>
      <c r="BB872" s="295" t="s">
        <v>32</v>
      </c>
      <c r="BC872" s="296" t="s">
        <v>32</v>
      </c>
      <c r="BD872" s="292"/>
    </row>
    <row r="873" ht="12.75" customHeight="1">
      <c r="A873" s="293">
        <v>44789.75480170139</v>
      </c>
      <c r="B873" s="297" t="s">
        <v>486</v>
      </c>
      <c r="C873" s="298" t="s">
        <v>567</v>
      </c>
      <c r="D873" s="298" t="s">
        <v>16</v>
      </c>
      <c r="E873" s="285" t="s">
        <v>476</v>
      </c>
      <c r="F873" s="292" t="s">
        <v>1414</v>
      </c>
      <c r="G873" s="298" t="s">
        <v>21</v>
      </c>
      <c r="H873" s="298">
        <v>14.0</v>
      </c>
      <c r="I873" s="292" t="s">
        <v>479</v>
      </c>
      <c r="J873" s="292" t="s">
        <v>545</v>
      </c>
      <c r="K873" s="287" t="s">
        <v>545</v>
      </c>
      <c r="L873" s="292" t="s">
        <v>479</v>
      </c>
      <c r="M873" s="292" t="s">
        <v>481</v>
      </c>
      <c r="N873" s="292"/>
      <c r="O873" s="292"/>
      <c r="P873" s="292"/>
      <c r="Q873" s="299" t="s">
        <v>32</v>
      </c>
      <c r="R873" s="292" t="s">
        <v>377</v>
      </c>
      <c r="S873" s="295" t="s">
        <v>32</v>
      </c>
      <c r="T873" s="292" t="s">
        <v>18</v>
      </c>
      <c r="U873" s="299" t="s">
        <v>32</v>
      </c>
      <c r="V873" s="288" t="s">
        <v>377</v>
      </c>
      <c r="W873" s="292" t="s">
        <v>18</v>
      </c>
      <c r="X873" s="292" t="s">
        <v>377</v>
      </c>
      <c r="Y873" s="288" t="s">
        <v>377</v>
      </c>
      <c r="Z873" s="292" t="s">
        <v>377</v>
      </c>
      <c r="AA873" s="292" t="s">
        <v>377</v>
      </c>
      <c r="AB873" s="288" t="s">
        <v>377</v>
      </c>
      <c r="AC873" s="289" t="s">
        <v>377</v>
      </c>
      <c r="AD873" s="292" t="s">
        <v>377</v>
      </c>
      <c r="AE873" s="292" t="s">
        <v>377</v>
      </c>
      <c r="AF873" s="288" t="s">
        <v>377</v>
      </c>
      <c r="AG873" s="299" t="s">
        <v>32</v>
      </c>
      <c r="AH873" s="292" t="s">
        <v>18</v>
      </c>
      <c r="AI873" s="288" t="s">
        <v>377</v>
      </c>
      <c r="AJ873" s="292" t="s">
        <v>18</v>
      </c>
      <c r="AK873" s="299" t="s">
        <v>32</v>
      </c>
      <c r="AL873" s="288" t="s">
        <v>377</v>
      </c>
      <c r="AM873" s="292" t="s">
        <v>377</v>
      </c>
      <c r="AN873" s="292" t="s">
        <v>18</v>
      </c>
      <c r="AO873" s="288" t="s">
        <v>377</v>
      </c>
      <c r="AP873" s="289" t="s">
        <v>377</v>
      </c>
      <c r="AQ873" s="292" t="s">
        <v>377</v>
      </c>
      <c r="AR873" s="292" t="s">
        <v>18</v>
      </c>
      <c r="AS873" s="288" t="s">
        <v>377</v>
      </c>
      <c r="AT873" s="292" t="s">
        <v>377</v>
      </c>
      <c r="AU873" s="292" t="s">
        <v>377</v>
      </c>
      <c r="AV873" s="288" t="s">
        <v>377</v>
      </c>
      <c r="AW873" s="292" t="s">
        <v>377</v>
      </c>
      <c r="AX873" s="292" t="s">
        <v>18</v>
      </c>
      <c r="AY873" s="288" t="s">
        <v>377</v>
      </c>
      <c r="AZ873" s="292" t="s">
        <v>377</v>
      </c>
      <c r="BA873" s="299" t="s">
        <v>32</v>
      </c>
      <c r="BB873" s="295" t="s">
        <v>32</v>
      </c>
      <c r="BC873" s="296" t="s">
        <v>32</v>
      </c>
      <c r="BD873" s="292"/>
    </row>
    <row r="874" ht="12.75" customHeight="1">
      <c r="A874" s="293">
        <v>44789.76071777778</v>
      </c>
      <c r="B874" s="297" t="s">
        <v>486</v>
      </c>
      <c r="C874" s="298" t="s">
        <v>567</v>
      </c>
      <c r="D874" s="298" t="s">
        <v>16</v>
      </c>
      <c r="E874" s="285" t="s">
        <v>476</v>
      </c>
      <c r="F874" s="292" t="s">
        <v>547</v>
      </c>
      <c r="G874" s="298" t="s">
        <v>21</v>
      </c>
      <c r="H874" s="298">
        <v>11.0</v>
      </c>
      <c r="I874" s="292" t="s">
        <v>479</v>
      </c>
      <c r="J874" s="292" t="s">
        <v>545</v>
      </c>
      <c r="K874" s="287" t="s">
        <v>545</v>
      </c>
      <c r="L874" s="292" t="s">
        <v>479</v>
      </c>
      <c r="M874" s="292" t="s">
        <v>481</v>
      </c>
      <c r="N874" s="292"/>
      <c r="O874" s="292"/>
      <c r="P874" s="292"/>
      <c r="Q874" s="292" t="s">
        <v>377</v>
      </c>
      <c r="R874" s="292" t="s">
        <v>18</v>
      </c>
      <c r="S874" s="288" t="s">
        <v>377</v>
      </c>
      <c r="T874" s="292" t="s">
        <v>377</v>
      </c>
      <c r="U874" s="299" t="s">
        <v>32</v>
      </c>
      <c r="V874" s="295" t="s">
        <v>32</v>
      </c>
      <c r="W874" s="299" t="s">
        <v>32</v>
      </c>
      <c r="X874" s="292" t="s">
        <v>377</v>
      </c>
      <c r="Y874" s="295" t="s">
        <v>32</v>
      </c>
      <c r="Z874" s="292" t="s">
        <v>18</v>
      </c>
      <c r="AA874" s="292" t="s">
        <v>377</v>
      </c>
      <c r="AB874" s="288" t="s">
        <v>377</v>
      </c>
      <c r="AC874" s="289" t="s">
        <v>377</v>
      </c>
      <c r="AD874" s="292" t="s">
        <v>18</v>
      </c>
      <c r="AE874" s="292" t="s">
        <v>377</v>
      </c>
      <c r="AF874" s="288" t="s">
        <v>377</v>
      </c>
      <c r="AG874" s="292" t="s">
        <v>377</v>
      </c>
      <c r="AH874" s="292" t="s">
        <v>18</v>
      </c>
      <c r="AI874" s="288" t="s">
        <v>377</v>
      </c>
      <c r="AJ874" s="292" t="s">
        <v>377</v>
      </c>
      <c r="AK874" s="292" t="s">
        <v>377</v>
      </c>
      <c r="AL874" s="288" t="s">
        <v>377</v>
      </c>
      <c r="AM874" s="292" t="s">
        <v>377</v>
      </c>
      <c r="AN874" s="292" t="s">
        <v>377</v>
      </c>
      <c r="AO874" s="288" t="s">
        <v>377</v>
      </c>
      <c r="AP874" s="289" t="s">
        <v>377</v>
      </c>
      <c r="AQ874" s="299" t="s">
        <v>32</v>
      </c>
      <c r="AR874" s="292" t="s">
        <v>377</v>
      </c>
      <c r="AS874" s="295" t="s">
        <v>32</v>
      </c>
      <c r="AT874" s="292" t="s">
        <v>18</v>
      </c>
      <c r="AU874" s="292" t="s">
        <v>377</v>
      </c>
      <c r="AV874" s="288" t="s">
        <v>377</v>
      </c>
      <c r="AW874" s="292" t="s">
        <v>377</v>
      </c>
      <c r="AX874" s="292" t="s">
        <v>377</v>
      </c>
      <c r="AY874" s="288" t="s">
        <v>377</v>
      </c>
      <c r="AZ874" s="292" t="s">
        <v>377</v>
      </c>
      <c r="BA874" s="292" t="s">
        <v>377</v>
      </c>
      <c r="BB874" s="295" t="s">
        <v>32</v>
      </c>
      <c r="BC874" s="296" t="s">
        <v>32</v>
      </c>
      <c r="BD874" s="292"/>
    </row>
    <row r="875" ht="12.75" customHeight="1">
      <c r="A875" s="293">
        <v>44789.765382743055</v>
      </c>
      <c r="B875" s="297" t="s">
        <v>486</v>
      </c>
      <c r="C875" s="298" t="s">
        <v>567</v>
      </c>
      <c r="D875" s="298" t="s">
        <v>16</v>
      </c>
      <c r="E875" s="285" t="s">
        <v>476</v>
      </c>
      <c r="F875" s="292" t="s">
        <v>1415</v>
      </c>
      <c r="G875" s="298" t="s">
        <v>17</v>
      </c>
      <c r="H875" s="298">
        <v>11.0</v>
      </c>
      <c r="I875" s="292" t="s">
        <v>479</v>
      </c>
      <c r="J875" s="292" t="s">
        <v>545</v>
      </c>
      <c r="K875" s="287" t="s">
        <v>545</v>
      </c>
      <c r="L875" s="292" t="s">
        <v>479</v>
      </c>
      <c r="M875" s="292" t="s">
        <v>481</v>
      </c>
      <c r="N875" s="292"/>
      <c r="O875" s="292"/>
      <c r="P875" s="292"/>
      <c r="Q875" s="299" t="s">
        <v>32</v>
      </c>
      <c r="R875" s="299" t="s">
        <v>32</v>
      </c>
      <c r="S875" s="295" t="s">
        <v>32</v>
      </c>
      <c r="T875" s="299" t="s">
        <v>32</v>
      </c>
      <c r="U875" s="299" t="s">
        <v>32</v>
      </c>
      <c r="V875" s="295" t="s">
        <v>32</v>
      </c>
      <c r="W875" s="299" t="s">
        <v>32</v>
      </c>
      <c r="X875" s="299" t="s">
        <v>32</v>
      </c>
      <c r="Y875" s="295" t="s">
        <v>32</v>
      </c>
      <c r="Z875" s="299" t="s">
        <v>32</v>
      </c>
      <c r="AA875" s="292" t="s">
        <v>377</v>
      </c>
      <c r="AB875" s="295" t="s">
        <v>32</v>
      </c>
      <c r="AC875" s="296" t="s">
        <v>32</v>
      </c>
      <c r="AD875" s="299" t="s">
        <v>32</v>
      </c>
      <c r="AE875" s="299" t="s">
        <v>32</v>
      </c>
      <c r="AF875" s="295" t="s">
        <v>32</v>
      </c>
      <c r="AG875" s="299" t="s">
        <v>32</v>
      </c>
      <c r="AH875" s="292" t="s">
        <v>377</v>
      </c>
      <c r="AI875" s="295" t="s">
        <v>32</v>
      </c>
      <c r="AJ875" s="299" t="s">
        <v>32</v>
      </c>
      <c r="AK875" s="299" t="s">
        <v>32</v>
      </c>
      <c r="AL875" s="295" t="s">
        <v>32</v>
      </c>
      <c r="AM875" s="292" t="s">
        <v>18</v>
      </c>
      <c r="AN875" s="292" t="s">
        <v>18</v>
      </c>
      <c r="AO875" s="288" t="s">
        <v>18</v>
      </c>
      <c r="AP875" s="289" t="s">
        <v>377</v>
      </c>
      <c r="AQ875" s="299" t="s">
        <v>32</v>
      </c>
      <c r="AR875" s="299" t="s">
        <v>32</v>
      </c>
      <c r="AS875" s="295" t="s">
        <v>32</v>
      </c>
      <c r="AT875" s="299" t="s">
        <v>32</v>
      </c>
      <c r="AU875" s="299" t="s">
        <v>32</v>
      </c>
      <c r="AV875" s="295" t="s">
        <v>32</v>
      </c>
      <c r="AW875" s="299" t="s">
        <v>32</v>
      </c>
      <c r="AX875" s="299" t="s">
        <v>32</v>
      </c>
      <c r="AY875" s="295" t="s">
        <v>32</v>
      </c>
      <c r="AZ875" s="299" t="s">
        <v>32</v>
      </c>
      <c r="BA875" s="299" t="s">
        <v>32</v>
      </c>
      <c r="BB875" s="295" t="s">
        <v>32</v>
      </c>
      <c r="BC875" s="296" t="s">
        <v>32</v>
      </c>
      <c r="BD875" s="292"/>
    </row>
    <row r="876" ht="12.75" customHeight="1">
      <c r="A876" s="293">
        <v>44789.79850034723</v>
      </c>
      <c r="B876" s="297" t="s">
        <v>486</v>
      </c>
      <c r="C876" s="298" t="s">
        <v>567</v>
      </c>
      <c r="D876" s="298" t="s">
        <v>16</v>
      </c>
      <c r="E876" s="285" t="s">
        <v>476</v>
      </c>
      <c r="F876" s="292" t="s">
        <v>1416</v>
      </c>
      <c r="G876" s="298" t="s">
        <v>17</v>
      </c>
      <c r="H876" s="298">
        <v>11.0</v>
      </c>
      <c r="I876" s="292" t="s">
        <v>479</v>
      </c>
      <c r="J876" s="292" t="s">
        <v>545</v>
      </c>
      <c r="K876" s="287" t="s">
        <v>545</v>
      </c>
      <c r="L876" s="292" t="s">
        <v>479</v>
      </c>
      <c r="M876" s="292" t="s">
        <v>483</v>
      </c>
      <c r="N876" s="292"/>
      <c r="O876" s="292"/>
      <c r="P876" s="292"/>
      <c r="Q876" s="299" t="s">
        <v>32</v>
      </c>
      <c r="R876" s="299" t="s">
        <v>32</v>
      </c>
      <c r="S876" s="295" t="s">
        <v>32</v>
      </c>
      <c r="T876" s="292" t="s">
        <v>18</v>
      </c>
      <c r="U876" s="292" t="s">
        <v>377</v>
      </c>
      <c r="V876" s="288" t="s">
        <v>377</v>
      </c>
      <c r="W876" s="292" t="s">
        <v>377</v>
      </c>
      <c r="X876" s="292" t="s">
        <v>18</v>
      </c>
      <c r="Y876" s="288" t="s">
        <v>377</v>
      </c>
      <c r="Z876" s="299" t="s">
        <v>32</v>
      </c>
      <c r="AA876" s="292" t="s">
        <v>18</v>
      </c>
      <c r="AB876" s="288" t="s">
        <v>377</v>
      </c>
      <c r="AC876" s="289" t="s">
        <v>377</v>
      </c>
      <c r="AD876" s="292" t="s">
        <v>18</v>
      </c>
      <c r="AE876" s="292" t="s">
        <v>377</v>
      </c>
      <c r="AF876" s="288" t="s">
        <v>377</v>
      </c>
      <c r="AG876" s="292" t="s">
        <v>18</v>
      </c>
      <c r="AH876" s="292" t="s">
        <v>18</v>
      </c>
      <c r="AI876" s="288" t="s">
        <v>18</v>
      </c>
      <c r="AJ876" s="299" t="s">
        <v>32</v>
      </c>
      <c r="AK876" s="292" t="s">
        <v>377</v>
      </c>
      <c r="AL876" s="295" t="s">
        <v>32</v>
      </c>
      <c r="AM876" s="292" t="s">
        <v>18</v>
      </c>
      <c r="AN876" s="292" t="s">
        <v>18</v>
      </c>
      <c r="AO876" s="288" t="s">
        <v>18</v>
      </c>
      <c r="AP876" s="289" t="s">
        <v>377</v>
      </c>
      <c r="AQ876" s="292" t="s">
        <v>377</v>
      </c>
      <c r="AR876" s="299" t="s">
        <v>32</v>
      </c>
      <c r="AS876" s="295" t="s">
        <v>32</v>
      </c>
      <c r="AT876" s="299" t="s">
        <v>32</v>
      </c>
      <c r="AU876" s="299" t="s">
        <v>32</v>
      </c>
      <c r="AV876" s="295" t="s">
        <v>32</v>
      </c>
      <c r="AW876" s="292" t="s">
        <v>377</v>
      </c>
      <c r="AX876" s="292" t="s">
        <v>377</v>
      </c>
      <c r="AY876" s="288" t="s">
        <v>377</v>
      </c>
      <c r="AZ876" s="299" t="s">
        <v>32</v>
      </c>
      <c r="BA876" s="299" t="s">
        <v>32</v>
      </c>
      <c r="BB876" s="295" t="s">
        <v>32</v>
      </c>
      <c r="BC876" s="296" t="s">
        <v>32</v>
      </c>
      <c r="BD876" s="292"/>
    </row>
    <row r="877" ht="12.75" customHeight="1">
      <c r="A877" s="293">
        <v>44789.80464952547</v>
      </c>
      <c r="B877" s="297" t="s">
        <v>486</v>
      </c>
      <c r="C877" s="298" t="s">
        <v>567</v>
      </c>
      <c r="D877" s="298" t="s">
        <v>16</v>
      </c>
      <c r="E877" s="285" t="s">
        <v>476</v>
      </c>
      <c r="F877" s="292" t="s">
        <v>1417</v>
      </c>
      <c r="G877" s="298" t="s">
        <v>21</v>
      </c>
      <c r="H877" s="298">
        <v>11.0</v>
      </c>
      <c r="I877" s="292" t="s">
        <v>479</v>
      </c>
      <c r="J877" s="292" t="s">
        <v>545</v>
      </c>
      <c r="K877" s="287" t="s">
        <v>545</v>
      </c>
      <c r="L877" s="292" t="s">
        <v>479</v>
      </c>
      <c r="M877" s="292" t="s">
        <v>483</v>
      </c>
      <c r="N877" s="292"/>
      <c r="O877" s="292"/>
      <c r="P877" s="292"/>
      <c r="Q877" s="299" t="s">
        <v>32</v>
      </c>
      <c r="R877" s="299" t="s">
        <v>32</v>
      </c>
      <c r="S877" s="295" t="s">
        <v>32</v>
      </c>
      <c r="T877" s="292" t="s">
        <v>377</v>
      </c>
      <c r="U877" s="299" t="s">
        <v>32</v>
      </c>
      <c r="V877" s="295" t="s">
        <v>32</v>
      </c>
      <c r="W877" s="299" t="s">
        <v>32</v>
      </c>
      <c r="X877" s="292" t="s">
        <v>377</v>
      </c>
      <c r="Y877" s="295" t="s">
        <v>32</v>
      </c>
      <c r="Z877" s="292" t="s">
        <v>377</v>
      </c>
      <c r="AA877" s="292" t="s">
        <v>18</v>
      </c>
      <c r="AB877" s="288" t="s">
        <v>377</v>
      </c>
      <c r="AC877" s="289" t="s">
        <v>377</v>
      </c>
      <c r="AD877" s="292" t="s">
        <v>377</v>
      </c>
      <c r="AE877" s="299" t="s">
        <v>32</v>
      </c>
      <c r="AF877" s="295" t="s">
        <v>32</v>
      </c>
      <c r="AG877" s="292" t="s">
        <v>377</v>
      </c>
      <c r="AH877" s="299" t="s">
        <v>32</v>
      </c>
      <c r="AI877" s="295" t="s">
        <v>32</v>
      </c>
      <c r="AJ877" s="292" t="s">
        <v>18</v>
      </c>
      <c r="AK877" s="299" t="s">
        <v>32</v>
      </c>
      <c r="AL877" s="288" t="s">
        <v>377</v>
      </c>
      <c r="AM877" s="292" t="s">
        <v>18</v>
      </c>
      <c r="AN877" s="299" t="s">
        <v>32</v>
      </c>
      <c r="AO877" s="288" t="s">
        <v>377</v>
      </c>
      <c r="AP877" s="289" t="s">
        <v>377</v>
      </c>
      <c r="AQ877" s="292" t="s">
        <v>377</v>
      </c>
      <c r="AR877" s="299" t="s">
        <v>32</v>
      </c>
      <c r="AS877" s="295" t="s">
        <v>32</v>
      </c>
      <c r="AT877" s="292" t="s">
        <v>18</v>
      </c>
      <c r="AU877" s="292" t="s">
        <v>377</v>
      </c>
      <c r="AV877" s="288" t="s">
        <v>377</v>
      </c>
      <c r="AW877" s="299" t="s">
        <v>32</v>
      </c>
      <c r="AX877" s="292" t="s">
        <v>18</v>
      </c>
      <c r="AY877" s="288" t="s">
        <v>377</v>
      </c>
      <c r="AZ877" s="299" t="s">
        <v>32</v>
      </c>
      <c r="BA877" s="292" t="s">
        <v>18</v>
      </c>
      <c r="BB877" s="295" t="s">
        <v>32</v>
      </c>
      <c r="BC877" s="296" t="s">
        <v>32</v>
      </c>
      <c r="BD877" s="292"/>
    </row>
    <row r="878" ht="12.75" customHeight="1">
      <c r="A878" s="293">
        <v>44789.811558622685</v>
      </c>
      <c r="B878" s="297" t="s">
        <v>486</v>
      </c>
      <c r="C878" s="298" t="s">
        <v>567</v>
      </c>
      <c r="D878" s="298" t="s">
        <v>16</v>
      </c>
      <c r="E878" s="285" t="s">
        <v>476</v>
      </c>
      <c r="F878" s="292" t="s">
        <v>1418</v>
      </c>
      <c r="G878" s="298" t="s">
        <v>21</v>
      </c>
      <c r="H878" s="298">
        <v>11.0</v>
      </c>
      <c r="I878" s="292" t="s">
        <v>479</v>
      </c>
      <c r="J878" s="292" t="s">
        <v>545</v>
      </c>
      <c r="K878" s="287" t="s">
        <v>545</v>
      </c>
      <c r="L878" s="292" t="s">
        <v>479</v>
      </c>
      <c r="M878" s="292" t="s">
        <v>481</v>
      </c>
      <c r="N878" s="292"/>
      <c r="O878" s="292"/>
      <c r="P878" s="292"/>
      <c r="Q878" s="299" t="s">
        <v>32</v>
      </c>
      <c r="R878" s="299" t="s">
        <v>32</v>
      </c>
      <c r="S878" s="295" t="s">
        <v>32</v>
      </c>
      <c r="T878" s="299" t="s">
        <v>32</v>
      </c>
      <c r="U878" s="299" t="s">
        <v>32</v>
      </c>
      <c r="V878" s="295" t="s">
        <v>32</v>
      </c>
      <c r="W878" s="299" t="s">
        <v>32</v>
      </c>
      <c r="X878" s="292" t="s">
        <v>377</v>
      </c>
      <c r="Y878" s="295" t="s">
        <v>32</v>
      </c>
      <c r="Z878" s="299" t="s">
        <v>32</v>
      </c>
      <c r="AA878" s="292" t="s">
        <v>377</v>
      </c>
      <c r="AB878" s="295" t="s">
        <v>32</v>
      </c>
      <c r="AC878" s="296" t="s">
        <v>32</v>
      </c>
      <c r="AD878" s="292" t="s">
        <v>377</v>
      </c>
      <c r="AE878" s="299" t="s">
        <v>32</v>
      </c>
      <c r="AF878" s="295" t="s">
        <v>32</v>
      </c>
      <c r="AG878" s="292" t="s">
        <v>18</v>
      </c>
      <c r="AH878" s="292" t="s">
        <v>377</v>
      </c>
      <c r="AI878" s="288" t="s">
        <v>377</v>
      </c>
      <c r="AJ878" s="292" t="s">
        <v>377</v>
      </c>
      <c r="AK878" s="292" t="s">
        <v>18</v>
      </c>
      <c r="AL878" s="288" t="s">
        <v>377</v>
      </c>
      <c r="AM878" s="292" t="s">
        <v>18</v>
      </c>
      <c r="AN878" s="292" t="s">
        <v>18</v>
      </c>
      <c r="AO878" s="288" t="s">
        <v>18</v>
      </c>
      <c r="AP878" s="289" t="s">
        <v>377</v>
      </c>
      <c r="AQ878" s="299" t="s">
        <v>32</v>
      </c>
      <c r="AR878" s="292" t="s">
        <v>18</v>
      </c>
      <c r="AS878" s="288" t="s">
        <v>377</v>
      </c>
      <c r="AT878" s="299" t="s">
        <v>32</v>
      </c>
      <c r="AU878" s="292" t="s">
        <v>18</v>
      </c>
      <c r="AV878" s="288" t="s">
        <v>377</v>
      </c>
      <c r="AW878" s="292" t="s">
        <v>18</v>
      </c>
      <c r="AX878" s="299" t="s">
        <v>32</v>
      </c>
      <c r="AY878" s="288" t="s">
        <v>377</v>
      </c>
      <c r="AZ878" s="292" t="s">
        <v>18</v>
      </c>
      <c r="BA878" s="292" t="s">
        <v>377</v>
      </c>
      <c r="BB878" s="295" t="s">
        <v>32</v>
      </c>
      <c r="BC878" s="296" t="s">
        <v>32</v>
      </c>
      <c r="BD878" s="292"/>
    </row>
    <row r="879" ht="12.75" customHeight="1">
      <c r="A879" s="293">
        <v>44789.82373600695</v>
      </c>
      <c r="B879" s="297" t="s">
        <v>486</v>
      </c>
      <c r="C879" s="298" t="s">
        <v>567</v>
      </c>
      <c r="D879" s="298" t="s">
        <v>16</v>
      </c>
      <c r="E879" s="285" t="s">
        <v>476</v>
      </c>
      <c r="F879" s="292" t="s">
        <v>1419</v>
      </c>
      <c r="G879" s="298" t="s">
        <v>17</v>
      </c>
      <c r="H879" s="298">
        <v>12.0</v>
      </c>
      <c r="I879" s="292" t="s">
        <v>479</v>
      </c>
      <c r="J879" s="292" t="s">
        <v>545</v>
      </c>
      <c r="K879" s="287" t="s">
        <v>545</v>
      </c>
      <c r="L879" s="292" t="s">
        <v>479</v>
      </c>
      <c r="M879" s="292" t="s">
        <v>483</v>
      </c>
      <c r="N879" s="292"/>
      <c r="O879" s="292"/>
      <c r="P879" s="292"/>
      <c r="Q879" s="299" t="s">
        <v>32</v>
      </c>
      <c r="R879" s="299" t="s">
        <v>32</v>
      </c>
      <c r="S879" s="295" t="s">
        <v>32</v>
      </c>
      <c r="T879" s="292" t="s">
        <v>377</v>
      </c>
      <c r="U879" s="292" t="s">
        <v>377</v>
      </c>
      <c r="V879" s="288" t="s">
        <v>377</v>
      </c>
      <c r="W879" s="292" t="s">
        <v>377</v>
      </c>
      <c r="X879" s="292" t="s">
        <v>18</v>
      </c>
      <c r="Y879" s="288" t="s">
        <v>377</v>
      </c>
      <c r="Z879" s="299" t="s">
        <v>32</v>
      </c>
      <c r="AA879" s="299" t="s">
        <v>32</v>
      </c>
      <c r="AB879" s="295" t="s">
        <v>32</v>
      </c>
      <c r="AC879" s="289" t="s">
        <v>377</v>
      </c>
      <c r="AD879" s="292" t="s">
        <v>377</v>
      </c>
      <c r="AE879" s="292" t="s">
        <v>377</v>
      </c>
      <c r="AF879" s="288" t="s">
        <v>377</v>
      </c>
      <c r="AG879" s="292" t="s">
        <v>18</v>
      </c>
      <c r="AH879" s="292" t="s">
        <v>18</v>
      </c>
      <c r="AI879" s="288" t="s">
        <v>18</v>
      </c>
      <c r="AJ879" s="299" t="s">
        <v>32</v>
      </c>
      <c r="AK879" s="292" t="s">
        <v>377</v>
      </c>
      <c r="AL879" s="295" t="s">
        <v>32</v>
      </c>
      <c r="AM879" s="292" t="s">
        <v>18</v>
      </c>
      <c r="AN879" s="292" t="s">
        <v>18</v>
      </c>
      <c r="AO879" s="288" t="s">
        <v>18</v>
      </c>
      <c r="AP879" s="289" t="s">
        <v>377</v>
      </c>
      <c r="AQ879" s="292" t="s">
        <v>377</v>
      </c>
      <c r="AR879" s="299" t="s">
        <v>32</v>
      </c>
      <c r="AS879" s="295" t="s">
        <v>32</v>
      </c>
      <c r="AT879" s="299" t="s">
        <v>32</v>
      </c>
      <c r="AU879" s="299" t="s">
        <v>32</v>
      </c>
      <c r="AV879" s="295" t="s">
        <v>32</v>
      </c>
      <c r="AW879" s="292" t="s">
        <v>377</v>
      </c>
      <c r="AX879" s="292" t="s">
        <v>377</v>
      </c>
      <c r="AY879" s="288" t="s">
        <v>377</v>
      </c>
      <c r="AZ879" s="292" t="s">
        <v>377</v>
      </c>
      <c r="BA879" s="299" t="s">
        <v>32</v>
      </c>
      <c r="BB879" s="295" t="s">
        <v>32</v>
      </c>
      <c r="BC879" s="296" t="s">
        <v>32</v>
      </c>
      <c r="BD879" s="292"/>
    </row>
    <row r="880" ht="12.75" customHeight="1">
      <c r="A880" s="293">
        <v>44789.82596766204</v>
      </c>
      <c r="B880" s="297" t="s">
        <v>486</v>
      </c>
      <c r="C880" s="298" t="s">
        <v>567</v>
      </c>
      <c r="D880" s="298" t="s">
        <v>16</v>
      </c>
      <c r="E880" s="285" t="s">
        <v>476</v>
      </c>
      <c r="F880" s="292" t="s">
        <v>1420</v>
      </c>
      <c r="G880" s="298" t="s">
        <v>17</v>
      </c>
      <c r="H880" s="298">
        <v>11.0</v>
      </c>
      <c r="I880" s="292" t="s">
        <v>479</v>
      </c>
      <c r="J880" s="292" t="s">
        <v>545</v>
      </c>
      <c r="K880" s="287" t="s">
        <v>545</v>
      </c>
      <c r="L880" s="292" t="s">
        <v>479</v>
      </c>
      <c r="M880" s="292" t="s">
        <v>483</v>
      </c>
      <c r="N880" s="292"/>
      <c r="O880" s="292"/>
      <c r="P880" s="292"/>
      <c r="Q880" s="299" t="s">
        <v>32</v>
      </c>
      <c r="R880" s="299" t="s">
        <v>32</v>
      </c>
      <c r="S880" s="295" t="s">
        <v>32</v>
      </c>
      <c r="T880" s="292" t="s">
        <v>377</v>
      </c>
      <c r="U880" s="292" t="s">
        <v>377</v>
      </c>
      <c r="V880" s="288" t="s">
        <v>377</v>
      </c>
      <c r="W880" s="292" t="s">
        <v>377</v>
      </c>
      <c r="X880" s="292" t="s">
        <v>18</v>
      </c>
      <c r="Y880" s="288" t="s">
        <v>377</v>
      </c>
      <c r="Z880" s="299" t="s">
        <v>32</v>
      </c>
      <c r="AA880" s="292" t="s">
        <v>18</v>
      </c>
      <c r="AB880" s="288" t="s">
        <v>377</v>
      </c>
      <c r="AC880" s="289" t="s">
        <v>377</v>
      </c>
      <c r="AD880" s="292" t="s">
        <v>18</v>
      </c>
      <c r="AE880" s="292" t="s">
        <v>377</v>
      </c>
      <c r="AF880" s="288" t="s">
        <v>377</v>
      </c>
      <c r="AG880" s="292" t="s">
        <v>18</v>
      </c>
      <c r="AH880" s="292" t="s">
        <v>18</v>
      </c>
      <c r="AI880" s="288" t="s">
        <v>18</v>
      </c>
      <c r="AJ880" s="299" t="s">
        <v>32</v>
      </c>
      <c r="AK880" s="292" t="s">
        <v>377</v>
      </c>
      <c r="AL880" s="295" t="s">
        <v>32</v>
      </c>
      <c r="AM880" s="292" t="s">
        <v>18</v>
      </c>
      <c r="AN880" s="292" t="s">
        <v>18</v>
      </c>
      <c r="AO880" s="288" t="s">
        <v>18</v>
      </c>
      <c r="AP880" s="289" t="s">
        <v>377</v>
      </c>
      <c r="AQ880" s="292" t="s">
        <v>377</v>
      </c>
      <c r="AR880" s="299" t="s">
        <v>32</v>
      </c>
      <c r="AS880" s="295" t="s">
        <v>32</v>
      </c>
      <c r="AT880" s="299" t="s">
        <v>32</v>
      </c>
      <c r="AU880" s="299" t="s">
        <v>32</v>
      </c>
      <c r="AV880" s="295" t="s">
        <v>32</v>
      </c>
      <c r="AW880" s="292" t="s">
        <v>18</v>
      </c>
      <c r="AX880" s="292" t="s">
        <v>377</v>
      </c>
      <c r="AY880" s="288" t="s">
        <v>377</v>
      </c>
      <c r="AZ880" s="299" t="s">
        <v>32</v>
      </c>
      <c r="BA880" s="299" t="s">
        <v>32</v>
      </c>
      <c r="BB880" s="295" t="s">
        <v>32</v>
      </c>
      <c r="BC880" s="296" t="s">
        <v>32</v>
      </c>
      <c r="BD880" s="292"/>
    </row>
    <row r="881" ht="12.75" customHeight="1">
      <c r="A881" s="293">
        <v>44789.83173752315</v>
      </c>
      <c r="B881" s="297" t="s">
        <v>486</v>
      </c>
      <c r="C881" s="298" t="s">
        <v>567</v>
      </c>
      <c r="D881" s="298" t="s">
        <v>16</v>
      </c>
      <c r="E881" s="285" t="s">
        <v>476</v>
      </c>
      <c r="F881" s="292" t="s">
        <v>1421</v>
      </c>
      <c r="G881" s="298" t="s">
        <v>21</v>
      </c>
      <c r="H881" s="298">
        <v>11.0</v>
      </c>
      <c r="I881" s="292" t="s">
        <v>479</v>
      </c>
      <c r="J881" s="292" t="s">
        <v>545</v>
      </c>
      <c r="K881" s="287" t="s">
        <v>545</v>
      </c>
      <c r="L881" s="292" t="s">
        <v>479</v>
      </c>
      <c r="M881" s="292" t="s">
        <v>481</v>
      </c>
      <c r="N881" s="292"/>
      <c r="O881" s="292"/>
      <c r="P881" s="292"/>
      <c r="Q881" s="299" t="s">
        <v>32</v>
      </c>
      <c r="R881" s="292" t="s">
        <v>377</v>
      </c>
      <c r="S881" s="295" t="s">
        <v>32</v>
      </c>
      <c r="T881" s="299" t="s">
        <v>32</v>
      </c>
      <c r="U881" s="299" t="s">
        <v>32</v>
      </c>
      <c r="V881" s="295" t="s">
        <v>32</v>
      </c>
      <c r="W881" s="299" t="s">
        <v>32</v>
      </c>
      <c r="X881" s="292" t="s">
        <v>377</v>
      </c>
      <c r="Y881" s="295" t="s">
        <v>32</v>
      </c>
      <c r="Z881" s="299" t="s">
        <v>32</v>
      </c>
      <c r="AA881" s="299" t="s">
        <v>32</v>
      </c>
      <c r="AB881" s="295" t="s">
        <v>32</v>
      </c>
      <c r="AC881" s="296" t="s">
        <v>32</v>
      </c>
      <c r="AD881" s="292" t="s">
        <v>377</v>
      </c>
      <c r="AE881" s="292" t="s">
        <v>18</v>
      </c>
      <c r="AF881" s="288" t="s">
        <v>377</v>
      </c>
      <c r="AG881" s="292" t="s">
        <v>377</v>
      </c>
      <c r="AH881" s="292" t="s">
        <v>18</v>
      </c>
      <c r="AI881" s="288" t="s">
        <v>377</v>
      </c>
      <c r="AJ881" s="292" t="s">
        <v>377</v>
      </c>
      <c r="AK881" s="299" t="s">
        <v>32</v>
      </c>
      <c r="AL881" s="295" t="s">
        <v>32</v>
      </c>
      <c r="AM881" s="299" t="s">
        <v>32</v>
      </c>
      <c r="AN881" s="292" t="s">
        <v>377</v>
      </c>
      <c r="AO881" s="295" t="s">
        <v>32</v>
      </c>
      <c r="AP881" s="289" t="s">
        <v>377</v>
      </c>
      <c r="AQ881" s="292" t="s">
        <v>18</v>
      </c>
      <c r="AR881" s="292" t="s">
        <v>377</v>
      </c>
      <c r="AS881" s="288" t="s">
        <v>377</v>
      </c>
      <c r="AT881" s="292" t="s">
        <v>377</v>
      </c>
      <c r="AU881" s="299" t="s">
        <v>32</v>
      </c>
      <c r="AV881" s="295" t="s">
        <v>32</v>
      </c>
      <c r="AW881" s="292" t="s">
        <v>377</v>
      </c>
      <c r="AX881" s="292" t="s">
        <v>377</v>
      </c>
      <c r="AY881" s="288" t="s">
        <v>377</v>
      </c>
      <c r="AZ881" s="292" t="s">
        <v>377</v>
      </c>
      <c r="BA881" s="292" t="s">
        <v>377</v>
      </c>
      <c r="BB881" s="288" t="s">
        <v>377</v>
      </c>
      <c r="BC881" s="289" t="s">
        <v>377</v>
      </c>
      <c r="BD881" s="292"/>
    </row>
    <row r="882" ht="12.75" customHeight="1">
      <c r="A882" s="293">
        <v>45264.955271238425</v>
      </c>
      <c r="B882" s="286" t="s">
        <v>486</v>
      </c>
      <c r="C882" s="285" t="s">
        <v>559</v>
      </c>
      <c r="D882" s="285" t="s">
        <v>16</v>
      </c>
      <c r="E882" s="285" t="s">
        <v>577</v>
      </c>
      <c r="F882" s="287" t="s">
        <v>1422</v>
      </c>
      <c r="G882" s="285" t="s">
        <v>21</v>
      </c>
      <c r="H882" s="285">
        <v>17.0</v>
      </c>
      <c r="I882" s="287" t="s">
        <v>479</v>
      </c>
      <c r="J882" s="287" t="s">
        <v>545</v>
      </c>
      <c r="K882" s="287" t="s">
        <v>545</v>
      </c>
      <c r="L882" s="287" t="s">
        <v>497</v>
      </c>
      <c r="M882" s="292"/>
      <c r="N882" s="292"/>
      <c r="O882" s="285" t="s">
        <v>497</v>
      </c>
      <c r="P882" s="292"/>
      <c r="Q882" s="287" t="s">
        <v>377</v>
      </c>
      <c r="R882" s="287" t="s">
        <v>377</v>
      </c>
      <c r="S882" s="288" t="s">
        <v>377</v>
      </c>
      <c r="T882" s="287" t="s">
        <v>377</v>
      </c>
      <c r="U882" s="294" t="s">
        <v>32</v>
      </c>
      <c r="V882" s="295" t="s">
        <v>32</v>
      </c>
      <c r="W882" s="294" t="s">
        <v>32</v>
      </c>
      <c r="X882" s="294" t="s">
        <v>32</v>
      </c>
      <c r="Y882" s="295" t="s">
        <v>32</v>
      </c>
      <c r="Z882" s="294" t="s">
        <v>32</v>
      </c>
      <c r="AA882" s="287" t="s">
        <v>377</v>
      </c>
      <c r="AB882" s="295" t="s">
        <v>32</v>
      </c>
      <c r="AC882" s="296" t="s">
        <v>32</v>
      </c>
      <c r="AD882" s="294" t="s">
        <v>32</v>
      </c>
      <c r="AE882" s="287" t="s">
        <v>377</v>
      </c>
      <c r="AF882" s="295" t="s">
        <v>32</v>
      </c>
      <c r="AG882" s="287" t="s">
        <v>377</v>
      </c>
      <c r="AH882" s="287" t="s">
        <v>377</v>
      </c>
      <c r="AI882" s="288" t="s">
        <v>377</v>
      </c>
      <c r="AJ882" s="294" t="s">
        <v>32</v>
      </c>
      <c r="AK882" s="294" t="s">
        <v>32</v>
      </c>
      <c r="AL882" s="295" t="s">
        <v>32</v>
      </c>
      <c r="AM882" s="287" t="s">
        <v>18</v>
      </c>
      <c r="AN882" s="287" t="s">
        <v>18</v>
      </c>
      <c r="AO882" s="288" t="s">
        <v>18</v>
      </c>
      <c r="AP882" s="289" t="s">
        <v>377</v>
      </c>
      <c r="AQ882" s="287" t="s">
        <v>18</v>
      </c>
      <c r="AR882" s="287" t="s">
        <v>18</v>
      </c>
      <c r="AS882" s="288" t="s">
        <v>18</v>
      </c>
      <c r="AT882" s="294" t="s">
        <v>32</v>
      </c>
      <c r="AU882" s="294" t="s">
        <v>32</v>
      </c>
      <c r="AV882" s="295" t="s">
        <v>32</v>
      </c>
      <c r="AW882" s="287" t="s">
        <v>377</v>
      </c>
      <c r="AX882" s="294" t="s">
        <v>32</v>
      </c>
      <c r="AY882" s="295" t="s">
        <v>32</v>
      </c>
      <c r="AZ882" s="287" t="s">
        <v>377</v>
      </c>
      <c r="BA882" s="294" t="s">
        <v>32</v>
      </c>
      <c r="BB882" s="295" t="s">
        <v>32</v>
      </c>
      <c r="BC882" s="296" t="s">
        <v>32</v>
      </c>
      <c r="BD882" s="292"/>
    </row>
    <row r="883" ht="12.75" customHeight="1">
      <c r="A883" s="293">
        <v>45264.95893123843</v>
      </c>
      <c r="B883" s="286" t="s">
        <v>486</v>
      </c>
      <c r="C883" s="285" t="s">
        <v>559</v>
      </c>
      <c r="D883" s="285" t="s">
        <v>16</v>
      </c>
      <c r="E883" s="285" t="s">
        <v>577</v>
      </c>
      <c r="F883" s="287" t="s">
        <v>1423</v>
      </c>
      <c r="G883" s="285" t="s">
        <v>17</v>
      </c>
      <c r="H883" s="285">
        <v>18.0</v>
      </c>
      <c r="I883" s="287" t="s">
        <v>479</v>
      </c>
      <c r="J883" s="287" t="s">
        <v>545</v>
      </c>
      <c r="K883" s="287" t="s">
        <v>545</v>
      </c>
      <c r="L883" s="287" t="s">
        <v>497</v>
      </c>
      <c r="M883" s="292"/>
      <c r="N883" s="292"/>
      <c r="O883" s="285" t="s">
        <v>497</v>
      </c>
      <c r="P883" s="292"/>
      <c r="Q883" s="287" t="s">
        <v>377</v>
      </c>
      <c r="R883" s="287" t="s">
        <v>377</v>
      </c>
      <c r="S883" s="288" t="s">
        <v>377</v>
      </c>
      <c r="T883" s="287" t="s">
        <v>377</v>
      </c>
      <c r="U883" s="294" t="s">
        <v>32</v>
      </c>
      <c r="V883" s="295" t="s">
        <v>32</v>
      </c>
      <c r="W883" s="287" t="s">
        <v>377</v>
      </c>
      <c r="X883" s="287" t="s">
        <v>377</v>
      </c>
      <c r="Y883" s="288" t="s">
        <v>377</v>
      </c>
      <c r="Z883" s="294" t="s">
        <v>32</v>
      </c>
      <c r="AA883" s="287" t="s">
        <v>377</v>
      </c>
      <c r="AB883" s="295" t="s">
        <v>32</v>
      </c>
      <c r="AC883" s="289" t="s">
        <v>377</v>
      </c>
      <c r="AD883" s="287" t="s">
        <v>377</v>
      </c>
      <c r="AE883" s="287" t="s">
        <v>377</v>
      </c>
      <c r="AF883" s="288" t="s">
        <v>377</v>
      </c>
      <c r="AG883" s="294" t="s">
        <v>32</v>
      </c>
      <c r="AH883" s="287" t="s">
        <v>377</v>
      </c>
      <c r="AI883" s="295" t="s">
        <v>32</v>
      </c>
      <c r="AJ883" s="287" t="s">
        <v>377</v>
      </c>
      <c r="AK883" s="287" t="s">
        <v>377</v>
      </c>
      <c r="AL883" s="288" t="s">
        <v>377</v>
      </c>
      <c r="AM883" s="287" t="s">
        <v>377</v>
      </c>
      <c r="AN883" s="287" t="s">
        <v>377</v>
      </c>
      <c r="AO883" s="288" t="s">
        <v>377</v>
      </c>
      <c r="AP883" s="289" t="s">
        <v>377</v>
      </c>
      <c r="AQ883" s="294" t="s">
        <v>32</v>
      </c>
      <c r="AR883" s="287" t="s">
        <v>377</v>
      </c>
      <c r="AS883" s="295" t="s">
        <v>32</v>
      </c>
      <c r="AT883" s="294" t="s">
        <v>32</v>
      </c>
      <c r="AU883" s="294" t="s">
        <v>32</v>
      </c>
      <c r="AV883" s="295" t="s">
        <v>32</v>
      </c>
      <c r="AW883" s="287" t="s">
        <v>377</v>
      </c>
      <c r="AX883" s="287" t="s">
        <v>377</v>
      </c>
      <c r="AY883" s="288" t="s">
        <v>377</v>
      </c>
      <c r="AZ883" s="287" t="s">
        <v>377</v>
      </c>
      <c r="BA883" s="287" t="s">
        <v>377</v>
      </c>
      <c r="BB883" s="295" t="s">
        <v>32</v>
      </c>
      <c r="BC883" s="296" t="s">
        <v>32</v>
      </c>
      <c r="BD883" s="292"/>
    </row>
    <row r="884" ht="12.75" customHeight="1">
      <c r="A884" s="293">
        <v>45264.96282446759</v>
      </c>
      <c r="B884" s="286" t="s">
        <v>486</v>
      </c>
      <c r="C884" s="285" t="s">
        <v>559</v>
      </c>
      <c r="D884" s="285" t="s">
        <v>16</v>
      </c>
      <c r="E884" s="285" t="s">
        <v>577</v>
      </c>
      <c r="F884" s="287" t="s">
        <v>1424</v>
      </c>
      <c r="G884" s="285" t="s">
        <v>21</v>
      </c>
      <c r="H884" s="285">
        <v>21.0</v>
      </c>
      <c r="I884" s="287" t="s">
        <v>479</v>
      </c>
      <c r="J884" s="287" t="s">
        <v>545</v>
      </c>
      <c r="K884" s="287" t="s">
        <v>545</v>
      </c>
      <c r="L884" s="287" t="s">
        <v>497</v>
      </c>
      <c r="M884" s="292"/>
      <c r="N884" s="292"/>
      <c r="O884" s="285" t="s">
        <v>479</v>
      </c>
      <c r="P884" s="287" t="s">
        <v>788</v>
      </c>
      <c r="Q884" s="287" t="s">
        <v>377</v>
      </c>
      <c r="R884" s="294" t="s">
        <v>32</v>
      </c>
      <c r="S884" s="295" t="s">
        <v>32</v>
      </c>
      <c r="T884" s="287" t="s">
        <v>377</v>
      </c>
      <c r="U884" s="294" t="s">
        <v>32</v>
      </c>
      <c r="V884" s="295" t="s">
        <v>32</v>
      </c>
      <c r="W884" s="287" t="s">
        <v>377</v>
      </c>
      <c r="X884" s="287" t="s">
        <v>377</v>
      </c>
      <c r="Y884" s="288" t="s">
        <v>377</v>
      </c>
      <c r="Z884" s="294" t="s">
        <v>32</v>
      </c>
      <c r="AA884" s="287" t="s">
        <v>377</v>
      </c>
      <c r="AB884" s="295" t="s">
        <v>32</v>
      </c>
      <c r="AC884" s="289" t="s">
        <v>377</v>
      </c>
      <c r="AD884" s="287" t="s">
        <v>377</v>
      </c>
      <c r="AE884" s="287" t="s">
        <v>377</v>
      </c>
      <c r="AF884" s="288" t="s">
        <v>377</v>
      </c>
      <c r="AG884" s="287" t="s">
        <v>377</v>
      </c>
      <c r="AH884" s="287" t="s">
        <v>377</v>
      </c>
      <c r="AI884" s="288" t="s">
        <v>377</v>
      </c>
      <c r="AJ884" s="294" t="s">
        <v>32</v>
      </c>
      <c r="AK884" s="287" t="s">
        <v>377</v>
      </c>
      <c r="AL884" s="295" t="s">
        <v>32</v>
      </c>
      <c r="AM884" s="287" t="s">
        <v>377</v>
      </c>
      <c r="AN884" s="287" t="s">
        <v>377</v>
      </c>
      <c r="AO884" s="288" t="s">
        <v>377</v>
      </c>
      <c r="AP884" s="289" t="s">
        <v>377</v>
      </c>
      <c r="AQ884" s="287" t="s">
        <v>377</v>
      </c>
      <c r="AR884" s="287" t="s">
        <v>377</v>
      </c>
      <c r="AS884" s="288" t="s">
        <v>377</v>
      </c>
      <c r="AT884" s="294" t="s">
        <v>32</v>
      </c>
      <c r="AU884" s="294" t="s">
        <v>32</v>
      </c>
      <c r="AV884" s="295" t="s">
        <v>32</v>
      </c>
      <c r="AW884" s="287" t="s">
        <v>377</v>
      </c>
      <c r="AX884" s="287" t="s">
        <v>377</v>
      </c>
      <c r="AY884" s="288" t="s">
        <v>377</v>
      </c>
      <c r="AZ884" s="287" t="s">
        <v>377</v>
      </c>
      <c r="BA884" s="294" t="s">
        <v>32</v>
      </c>
      <c r="BB884" s="295" t="s">
        <v>32</v>
      </c>
      <c r="BC884" s="296" t="s">
        <v>32</v>
      </c>
      <c r="BD884" s="292"/>
    </row>
    <row r="885" ht="12.75" customHeight="1">
      <c r="A885" s="293">
        <v>45264.96532335648</v>
      </c>
      <c r="B885" s="286" t="s">
        <v>486</v>
      </c>
      <c r="C885" s="285" t="s">
        <v>559</v>
      </c>
      <c r="D885" s="285" t="s">
        <v>16</v>
      </c>
      <c r="E885" s="285" t="s">
        <v>577</v>
      </c>
      <c r="F885" s="287" t="s">
        <v>1425</v>
      </c>
      <c r="G885" s="285" t="s">
        <v>17</v>
      </c>
      <c r="H885" s="285">
        <v>16.0</v>
      </c>
      <c r="I885" s="287" t="s">
        <v>479</v>
      </c>
      <c r="J885" s="287" t="s">
        <v>545</v>
      </c>
      <c r="K885" s="287" t="s">
        <v>545</v>
      </c>
      <c r="L885" s="287" t="s">
        <v>497</v>
      </c>
      <c r="M885" s="292"/>
      <c r="N885" s="292"/>
      <c r="O885" s="285" t="s">
        <v>497</v>
      </c>
      <c r="P885" s="292"/>
      <c r="Q885" s="287" t="s">
        <v>377</v>
      </c>
      <c r="R885" s="287" t="s">
        <v>377</v>
      </c>
      <c r="S885" s="288" t="s">
        <v>377</v>
      </c>
      <c r="T885" s="287" t="s">
        <v>377</v>
      </c>
      <c r="U885" s="294" t="s">
        <v>32</v>
      </c>
      <c r="V885" s="295" t="s">
        <v>32</v>
      </c>
      <c r="W885" s="294" t="s">
        <v>32</v>
      </c>
      <c r="X885" s="287" t="s">
        <v>377</v>
      </c>
      <c r="Y885" s="295" t="s">
        <v>32</v>
      </c>
      <c r="Z885" s="287" t="s">
        <v>377</v>
      </c>
      <c r="AA885" s="287" t="s">
        <v>377</v>
      </c>
      <c r="AB885" s="288" t="s">
        <v>377</v>
      </c>
      <c r="AC885" s="289" t="s">
        <v>377</v>
      </c>
      <c r="AD885" s="287" t="s">
        <v>377</v>
      </c>
      <c r="AE885" s="287" t="s">
        <v>377</v>
      </c>
      <c r="AF885" s="288" t="s">
        <v>377</v>
      </c>
      <c r="AG885" s="287" t="s">
        <v>18</v>
      </c>
      <c r="AH885" s="287" t="s">
        <v>377</v>
      </c>
      <c r="AI885" s="288" t="s">
        <v>377</v>
      </c>
      <c r="AJ885" s="294" t="s">
        <v>32</v>
      </c>
      <c r="AK885" s="294" t="s">
        <v>32</v>
      </c>
      <c r="AL885" s="295" t="s">
        <v>32</v>
      </c>
      <c r="AM885" s="287" t="s">
        <v>18</v>
      </c>
      <c r="AN885" s="287" t="s">
        <v>377</v>
      </c>
      <c r="AO885" s="288" t="s">
        <v>377</v>
      </c>
      <c r="AP885" s="289" t="s">
        <v>377</v>
      </c>
      <c r="AQ885" s="294" t="s">
        <v>32</v>
      </c>
      <c r="AR885" s="294" t="s">
        <v>32</v>
      </c>
      <c r="AS885" s="295" t="s">
        <v>32</v>
      </c>
      <c r="AT885" s="294" t="s">
        <v>32</v>
      </c>
      <c r="AU885" s="294" t="s">
        <v>32</v>
      </c>
      <c r="AV885" s="295" t="s">
        <v>32</v>
      </c>
      <c r="AW885" s="287" t="s">
        <v>377</v>
      </c>
      <c r="AX885" s="294" t="s">
        <v>32</v>
      </c>
      <c r="AY885" s="295" t="s">
        <v>32</v>
      </c>
      <c r="AZ885" s="294" t="s">
        <v>32</v>
      </c>
      <c r="BA885" s="287" t="s">
        <v>377</v>
      </c>
      <c r="BB885" s="295" t="s">
        <v>32</v>
      </c>
      <c r="BC885" s="296" t="s">
        <v>32</v>
      </c>
      <c r="BD885" s="292"/>
    </row>
    <row r="886" ht="12.75" customHeight="1">
      <c r="A886" s="293">
        <v>45264.9679431713</v>
      </c>
      <c r="B886" s="286" t="s">
        <v>486</v>
      </c>
      <c r="C886" s="285" t="s">
        <v>559</v>
      </c>
      <c r="D886" s="285" t="s">
        <v>16</v>
      </c>
      <c r="E886" s="285" t="s">
        <v>577</v>
      </c>
      <c r="F886" s="287" t="s">
        <v>1426</v>
      </c>
      <c r="G886" s="285" t="s">
        <v>21</v>
      </c>
      <c r="H886" s="285">
        <v>17.0</v>
      </c>
      <c r="I886" s="287" t="s">
        <v>479</v>
      </c>
      <c r="J886" s="287" t="s">
        <v>545</v>
      </c>
      <c r="K886" s="287" t="s">
        <v>545</v>
      </c>
      <c r="L886" s="287" t="s">
        <v>497</v>
      </c>
      <c r="M886" s="292"/>
      <c r="N886" s="292"/>
      <c r="O886" s="285" t="s">
        <v>497</v>
      </c>
      <c r="P886" s="292"/>
      <c r="Q886" s="287" t="s">
        <v>377</v>
      </c>
      <c r="R886" s="287" t="s">
        <v>377</v>
      </c>
      <c r="S886" s="288" t="s">
        <v>377</v>
      </c>
      <c r="T886" s="287" t="s">
        <v>377</v>
      </c>
      <c r="U886" s="294" t="s">
        <v>32</v>
      </c>
      <c r="V886" s="295" t="s">
        <v>32</v>
      </c>
      <c r="W886" s="287" t="s">
        <v>377</v>
      </c>
      <c r="X886" s="287" t="s">
        <v>18</v>
      </c>
      <c r="Y886" s="288" t="s">
        <v>377</v>
      </c>
      <c r="Z886" s="287" t="s">
        <v>377</v>
      </c>
      <c r="AA886" s="287" t="s">
        <v>377</v>
      </c>
      <c r="AB886" s="288" t="s">
        <v>377</v>
      </c>
      <c r="AC886" s="289" t="s">
        <v>377</v>
      </c>
      <c r="AD886" s="287" t="s">
        <v>377</v>
      </c>
      <c r="AE886" s="287" t="s">
        <v>18</v>
      </c>
      <c r="AF886" s="288" t="s">
        <v>377</v>
      </c>
      <c r="AG886" s="287" t="s">
        <v>377</v>
      </c>
      <c r="AH886" s="287" t="s">
        <v>377</v>
      </c>
      <c r="AI886" s="288" t="s">
        <v>377</v>
      </c>
      <c r="AJ886" s="287" t="s">
        <v>377</v>
      </c>
      <c r="AK886" s="287" t="s">
        <v>377</v>
      </c>
      <c r="AL886" s="288" t="s">
        <v>377</v>
      </c>
      <c r="AM886" s="287" t="s">
        <v>18</v>
      </c>
      <c r="AN886" s="287" t="s">
        <v>377</v>
      </c>
      <c r="AO886" s="288" t="s">
        <v>377</v>
      </c>
      <c r="AP886" s="289" t="s">
        <v>377</v>
      </c>
      <c r="AQ886" s="294" t="s">
        <v>32</v>
      </c>
      <c r="AR886" s="287" t="s">
        <v>377</v>
      </c>
      <c r="AS886" s="295" t="s">
        <v>32</v>
      </c>
      <c r="AT886" s="294" t="s">
        <v>32</v>
      </c>
      <c r="AU886" s="294" t="s">
        <v>32</v>
      </c>
      <c r="AV886" s="295" t="s">
        <v>32</v>
      </c>
      <c r="AW886" s="287" t="s">
        <v>377</v>
      </c>
      <c r="AX886" s="287" t="s">
        <v>18</v>
      </c>
      <c r="AY886" s="288" t="s">
        <v>377</v>
      </c>
      <c r="AZ886" s="294" t="s">
        <v>32</v>
      </c>
      <c r="BA886" s="294" t="s">
        <v>32</v>
      </c>
      <c r="BB886" s="295" t="s">
        <v>32</v>
      </c>
      <c r="BC886" s="296" t="s">
        <v>32</v>
      </c>
      <c r="BD886" s="292"/>
    </row>
    <row r="887" ht="12.75" customHeight="1">
      <c r="A887" s="293">
        <v>45264.97038263889</v>
      </c>
      <c r="B887" s="286" t="s">
        <v>486</v>
      </c>
      <c r="C887" s="285" t="s">
        <v>559</v>
      </c>
      <c r="D887" s="285" t="s">
        <v>16</v>
      </c>
      <c r="E887" s="285" t="s">
        <v>577</v>
      </c>
      <c r="F887" s="287" t="s">
        <v>1427</v>
      </c>
      <c r="G887" s="285" t="s">
        <v>17</v>
      </c>
      <c r="H887" s="285">
        <v>16.0</v>
      </c>
      <c r="I887" s="287" t="s">
        <v>479</v>
      </c>
      <c r="J887" s="287" t="s">
        <v>545</v>
      </c>
      <c r="K887" s="287" t="s">
        <v>545</v>
      </c>
      <c r="L887" s="287" t="s">
        <v>497</v>
      </c>
      <c r="M887" s="292"/>
      <c r="N887" s="292"/>
      <c r="O887" s="285" t="s">
        <v>497</v>
      </c>
      <c r="P887" s="292"/>
      <c r="Q887" s="287" t="s">
        <v>377</v>
      </c>
      <c r="R887" s="287" t="s">
        <v>377</v>
      </c>
      <c r="S887" s="288" t="s">
        <v>377</v>
      </c>
      <c r="T887" s="287" t="s">
        <v>377</v>
      </c>
      <c r="U887" s="294" t="s">
        <v>32</v>
      </c>
      <c r="V887" s="295" t="s">
        <v>32</v>
      </c>
      <c r="W887" s="294" t="s">
        <v>32</v>
      </c>
      <c r="X887" s="294" t="s">
        <v>32</v>
      </c>
      <c r="Y887" s="295" t="s">
        <v>32</v>
      </c>
      <c r="Z887" s="287" t="s">
        <v>377</v>
      </c>
      <c r="AA887" s="287" t="s">
        <v>377</v>
      </c>
      <c r="AB887" s="288" t="s">
        <v>377</v>
      </c>
      <c r="AC887" s="289" t="s">
        <v>377</v>
      </c>
      <c r="AD887" s="287" t="s">
        <v>377</v>
      </c>
      <c r="AE887" s="287" t="s">
        <v>377</v>
      </c>
      <c r="AF887" s="288" t="s">
        <v>377</v>
      </c>
      <c r="AG887" s="287" t="s">
        <v>18</v>
      </c>
      <c r="AH887" s="287" t="s">
        <v>377</v>
      </c>
      <c r="AI887" s="288" t="s">
        <v>377</v>
      </c>
      <c r="AJ887" s="287" t="s">
        <v>377</v>
      </c>
      <c r="AK887" s="287" t="s">
        <v>377</v>
      </c>
      <c r="AL887" s="288" t="s">
        <v>377</v>
      </c>
      <c r="AM887" s="287" t="s">
        <v>18</v>
      </c>
      <c r="AN887" s="287" t="s">
        <v>18</v>
      </c>
      <c r="AO887" s="288" t="s">
        <v>18</v>
      </c>
      <c r="AP887" s="289" t="s">
        <v>377</v>
      </c>
      <c r="AQ887" s="294" t="s">
        <v>32</v>
      </c>
      <c r="AR887" s="287" t="s">
        <v>18</v>
      </c>
      <c r="AS887" s="288" t="s">
        <v>377</v>
      </c>
      <c r="AT887" s="294" t="s">
        <v>32</v>
      </c>
      <c r="AU887" s="294" t="s">
        <v>32</v>
      </c>
      <c r="AV887" s="295" t="s">
        <v>32</v>
      </c>
      <c r="AW887" s="287" t="s">
        <v>377</v>
      </c>
      <c r="AX887" s="287" t="s">
        <v>377</v>
      </c>
      <c r="AY887" s="288" t="s">
        <v>377</v>
      </c>
      <c r="AZ887" s="294" t="s">
        <v>32</v>
      </c>
      <c r="BA887" s="294" t="s">
        <v>32</v>
      </c>
      <c r="BB887" s="295" t="s">
        <v>32</v>
      </c>
      <c r="BC887" s="296" t="s">
        <v>32</v>
      </c>
      <c r="BD887" s="292"/>
    </row>
    <row r="888" ht="12.75" customHeight="1">
      <c r="A888" s="298">
        <v>8.0</v>
      </c>
      <c r="B888" s="297" t="s">
        <v>486</v>
      </c>
      <c r="C888" s="298" t="s">
        <v>567</v>
      </c>
      <c r="D888" s="298" t="s">
        <v>16</v>
      </c>
      <c r="E888" s="285" t="s">
        <v>577</v>
      </c>
      <c r="F888" s="292" t="s">
        <v>1428</v>
      </c>
      <c r="G888" s="298" t="s">
        <v>17</v>
      </c>
      <c r="H888" s="298">
        <v>16.0</v>
      </c>
      <c r="I888" s="292" t="s">
        <v>479</v>
      </c>
      <c r="J888" s="292" t="s">
        <v>545</v>
      </c>
      <c r="K888" s="287" t="s">
        <v>545</v>
      </c>
      <c r="L888" s="292" t="s">
        <v>497</v>
      </c>
      <c r="M888" s="292" t="s">
        <v>638</v>
      </c>
      <c r="N888" s="292"/>
      <c r="O888" s="298" t="s">
        <v>497</v>
      </c>
      <c r="P888" s="292" t="s">
        <v>612</v>
      </c>
      <c r="Q888" s="292" t="s">
        <v>377</v>
      </c>
      <c r="R888" s="292" t="s">
        <v>377</v>
      </c>
      <c r="S888" s="288" t="s">
        <v>377</v>
      </c>
      <c r="T888" s="292" t="s">
        <v>18</v>
      </c>
      <c r="U888" s="299" t="s">
        <v>32</v>
      </c>
      <c r="V888" s="288" t="s">
        <v>377</v>
      </c>
      <c r="W888" s="292" t="s">
        <v>377</v>
      </c>
      <c r="X888" s="292" t="s">
        <v>18</v>
      </c>
      <c r="Y888" s="288" t="s">
        <v>377</v>
      </c>
      <c r="Z888" s="299" t="s">
        <v>32</v>
      </c>
      <c r="AA888" s="299" t="s">
        <v>32</v>
      </c>
      <c r="AB888" s="295" t="s">
        <v>32</v>
      </c>
      <c r="AC888" s="289" t="s">
        <v>377</v>
      </c>
      <c r="AD888" s="292" t="s">
        <v>377</v>
      </c>
      <c r="AE888" s="299" t="s">
        <v>32</v>
      </c>
      <c r="AF888" s="295" t="s">
        <v>32</v>
      </c>
      <c r="AG888" s="292" t="s">
        <v>18</v>
      </c>
      <c r="AH888" s="292" t="s">
        <v>18</v>
      </c>
      <c r="AI888" s="288" t="s">
        <v>18</v>
      </c>
      <c r="AJ888" s="299" t="s">
        <v>32</v>
      </c>
      <c r="AK888" s="292" t="s">
        <v>377</v>
      </c>
      <c r="AL888" s="295" t="s">
        <v>32</v>
      </c>
      <c r="AM888" s="292" t="s">
        <v>18</v>
      </c>
      <c r="AN888" s="292" t="s">
        <v>18</v>
      </c>
      <c r="AO888" s="288" t="s">
        <v>18</v>
      </c>
      <c r="AP888" s="289" t="s">
        <v>377</v>
      </c>
      <c r="AQ888" s="299" t="s">
        <v>32</v>
      </c>
      <c r="AR888" s="292" t="s">
        <v>377</v>
      </c>
      <c r="AS888" s="295" t="s">
        <v>32</v>
      </c>
      <c r="AT888" s="299" t="s">
        <v>32</v>
      </c>
      <c r="AU888" s="299" t="s">
        <v>32</v>
      </c>
      <c r="AV888" s="295" t="s">
        <v>32</v>
      </c>
      <c r="AW888" s="299" t="s">
        <v>32</v>
      </c>
      <c r="AX888" s="292" t="s">
        <v>377</v>
      </c>
      <c r="AY888" s="295" t="s">
        <v>32</v>
      </c>
      <c r="AZ888" s="299" t="s">
        <v>32</v>
      </c>
      <c r="BA888" s="299" t="s">
        <v>32</v>
      </c>
      <c r="BB888" s="295" t="s">
        <v>32</v>
      </c>
      <c r="BC888" s="296" t="s">
        <v>32</v>
      </c>
      <c r="BD888" s="292"/>
    </row>
    <row r="889" ht="12.75" customHeight="1">
      <c r="A889" s="298">
        <v>10.0</v>
      </c>
      <c r="B889" s="297" t="s">
        <v>486</v>
      </c>
      <c r="C889" s="298" t="s">
        <v>567</v>
      </c>
      <c r="D889" s="298" t="s">
        <v>16</v>
      </c>
      <c r="E889" s="285" t="s">
        <v>577</v>
      </c>
      <c r="F889" s="292" t="s">
        <v>1429</v>
      </c>
      <c r="G889" s="298" t="s">
        <v>21</v>
      </c>
      <c r="H889" s="298">
        <v>15.0</v>
      </c>
      <c r="I889" s="292" t="s">
        <v>479</v>
      </c>
      <c r="J889" s="292" t="s">
        <v>545</v>
      </c>
      <c r="K889" s="287" t="s">
        <v>545</v>
      </c>
      <c r="L889" s="292" t="s">
        <v>497</v>
      </c>
      <c r="M889" s="292" t="s">
        <v>638</v>
      </c>
      <c r="N889" s="292"/>
      <c r="O889" s="298" t="s">
        <v>497</v>
      </c>
      <c r="P889" s="292" t="s">
        <v>612</v>
      </c>
      <c r="Q889" s="292" t="s">
        <v>377</v>
      </c>
      <c r="R889" s="299" t="s">
        <v>32</v>
      </c>
      <c r="S889" s="295" t="s">
        <v>32</v>
      </c>
      <c r="T889" s="292" t="s">
        <v>18</v>
      </c>
      <c r="U889" s="299" t="s">
        <v>32</v>
      </c>
      <c r="V889" s="288" t="s">
        <v>377</v>
      </c>
      <c r="W889" s="292" t="s">
        <v>18</v>
      </c>
      <c r="X889" s="292" t="s">
        <v>377</v>
      </c>
      <c r="Y889" s="288" t="s">
        <v>377</v>
      </c>
      <c r="Z889" s="292" t="s">
        <v>377</v>
      </c>
      <c r="AA889" s="292" t="s">
        <v>377</v>
      </c>
      <c r="AB889" s="288" t="s">
        <v>377</v>
      </c>
      <c r="AC889" s="289" t="s">
        <v>377</v>
      </c>
      <c r="AD889" s="292" t="s">
        <v>377</v>
      </c>
      <c r="AE889" s="292" t="s">
        <v>377</v>
      </c>
      <c r="AF889" s="288" t="s">
        <v>377</v>
      </c>
      <c r="AG889" s="292" t="s">
        <v>377</v>
      </c>
      <c r="AH889" s="292" t="s">
        <v>377</v>
      </c>
      <c r="AI889" s="288" t="s">
        <v>377</v>
      </c>
      <c r="AJ889" s="292" t="s">
        <v>377</v>
      </c>
      <c r="AK889" s="292" t="s">
        <v>377</v>
      </c>
      <c r="AL889" s="288" t="s">
        <v>377</v>
      </c>
      <c r="AM889" s="292" t="s">
        <v>377</v>
      </c>
      <c r="AN889" s="292" t="s">
        <v>377</v>
      </c>
      <c r="AO889" s="288" t="s">
        <v>377</v>
      </c>
      <c r="AP889" s="289" t="s">
        <v>377</v>
      </c>
      <c r="AQ889" s="292" t="s">
        <v>18</v>
      </c>
      <c r="AR889" s="292" t="s">
        <v>377</v>
      </c>
      <c r="AS889" s="288" t="s">
        <v>377</v>
      </c>
      <c r="AT889" s="299" t="s">
        <v>32</v>
      </c>
      <c r="AU889" s="292" t="s">
        <v>18</v>
      </c>
      <c r="AV889" s="288" t="s">
        <v>377</v>
      </c>
      <c r="AW889" s="292" t="s">
        <v>377</v>
      </c>
      <c r="AX889" s="292" t="s">
        <v>377</v>
      </c>
      <c r="AY889" s="288" t="s">
        <v>377</v>
      </c>
      <c r="AZ889" s="292" t="s">
        <v>377</v>
      </c>
      <c r="BA889" s="299" t="s">
        <v>32</v>
      </c>
      <c r="BB889" s="295" t="s">
        <v>32</v>
      </c>
      <c r="BC889" s="296" t="s">
        <v>32</v>
      </c>
      <c r="BD889" s="292"/>
    </row>
    <row r="890" ht="12.75" customHeight="1">
      <c r="A890" s="298">
        <v>11.0</v>
      </c>
      <c r="B890" s="297" t="s">
        <v>486</v>
      </c>
      <c r="C890" s="298" t="s">
        <v>567</v>
      </c>
      <c r="D890" s="298" t="s">
        <v>16</v>
      </c>
      <c r="E890" s="285" t="s">
        <v>577</v>
      </c>
      <c r="F890" s="292" t="s">
        <v>1430</v>
      </c>
      <c r="G890" s="298" t="s">
        <v>17</v>
      </c>
      <c r="H890" s="298">
        <v>17.0</v>
      </c>
      <c r="I890" s="292" t="s">
        <v>479</v>
      </c>
      <c r="J890" s="292" t="s">
        <v>545</v>
      </c>
      <c r="K890" s="287" t="s">
        <v>545</v>
      </c>
      <c r="L890" s="292" t="s">
        <v>479</v>
      </c>
      <c r="M890" s="292" t="s">
        <v>481</v>
      </c>
      <c r="N890" s="292"/>
      <c r="O890" s="298" t="s">
        <v>479</v>
      </c>
      <c r="P890" s="292" t="s">
        <v>629</v>
      </c>
      <c r="Q890" s="292" t="s">
        <v>377</v>
      </c>
      <c r="R890" s="292" t="s">
        <v>377</v>
      </c>
      <c r="S890" s="288" t="s">
        <v>377</v>
      </c>
      <c r="T890" s="299" t="s">
        <v>32</v>
      </c>
      <c r="U890" s="299" t="s">
        <v>32</v>
      </c>
      <c r="V890" s="295" t="s">
        <v>32</v>
      </c>
      <c r="W890" s="299" t="s">
        <v>32</v>
      </c>
      <c r="X890" s="292" t="s">
        <v>377</v>
      </c>
      <c r="Y890" s="295" t="s">
        <v>32</v>
      </c>
      <c r="Z890" s="299" t="s">
        <v>32</v>
      </c>
      <c r="AA890" s="292" t="s">
        <v>18</v>
      </c>
      <c r="AB890" s="288" t="s">
        <v>377</v>
      </c>
      <c r="AC890" s="289" t="s">
        <v>377</v>
      </c>
      <c r="AD890" s="292" t="s">
        <v>377</v>
      </c>
      <c r="AE890" s="292" t="s">
        <v>377</v>
      </c>
      <c r="AF890" s="288" t="s">
        <v>377</v>
      </c>
      <c r="AG890" s="292" t="s">
        <v>18</v>
      </c>
      <c r="AH890" s="292" t="s">
        <v>377</v>
      </c>
      <c r="AI890" s="288" t="s">
        <v>377</v>
      </c>
      <c r="AJ890" s="299" t="s">
        <v>32</v>
      </c>
      <c r="AK890" s="299" t="s">
        <v>32</v>
      </c>
      <c r="AL890" s="295" t="s">
        <v>32</v>
      </c>
      <c r="AM890" s="292" t="s">
        <v>18</v>
      </c>
      <c r="AN890" s="292" t="s">
        <v>18</v>
      </c>
      <c r="AO890" s="288" t="s">
        <v>18</v>
      </c>
      <c r="AP890" s="289" t="s">
        <v>377</v>
      </c>
      <c r="AQ890" s="299" t="s">
        <v>32</v>
      </c>
      <c r="AR890" s="292" t="s">
        <v>377</v>
      </c>
      <c r="AS890" s="295" t="s">
        <v>32</v>
      </c>
      <c r="AT890" s="292" t="s">
        <v>18</v>
      </c>
      <c r="AU890" s="292" t="s">
        <v>377</v>
      </c>
      <c r="AV890" s="288" t="s">
        <v>377</v>
      </c>
      <c r="AW890" s="292" t="s">
        <v>18</v>
      </c>
      <c r="AX890" s="292" t="s">
        <v>377</v>
      </c>
      <c r="AY890" s="288" t="s">
        <v>377</v>
      </c>
      <c r="AZ890" s="292" t="s">
        <v>18</v>
      </c>
      <c r="BA890" s="292" t="s">
        <v>18</v>
      </c>
      <c r="BB890" s="295" t="s">
        <v>32</v>
      </c>
      <c r="BC890" s="296" t="s">
        <v>32</v>
      </c>
      <c r="BD890" s="292"/>
    </row>
    <row r="891" ht="12.75" customHeight="1">
      <c r="A891" s="298">
        <v>13.0</v>
      </c>
      <c r="B891" s="297" t="s">
        <v>486</v>
      </c>
      <c r="C891" s="298" t="s">
        <v>567</v>
      </c>
      <c r="D891" s="298" t="s">
        <v>16</v>
      </c>
      <c r="E891" s="285" t="s">
        <v>577</v>
      </c>
      <c r="F891" s="292" t="s">
        <v>1431</v>
      </c>
      <c r="G891" s="298" t="s">
        <v>21</v>
      </c>
      <c r="H891" s="298">
        <v>15.0</v>
      </c>
      <c r="I891" s="292" t="s">
        <v>479</v>
      </c>
      <c r="J891" s="292" t="s">
        <v>545</v>
      </c>
      <c r="K891" s="287" t="s">
        <v>545</v>
      </c>
      <c r="L891" s="292" t="s">
        <v>479</v>
      </c>
      <c r="M891" s="292" t="s">
        <v>490</v>
      </c>
      <c r="N891" s="292"/>
      <c r="O891" s="298" t="s">
        <v>479</v>
      </c>
      <c r="P891" s="292" t="s">
        <v>796</v>
      </c>
      <c r="Q891" s="299" t="s">
        <v>32</v>
      </c>
      <c r="R891" s="299" t="s">
        <v>32</v>
      </c>
      <c r="S891" s="295" t="s">
        <v>32</v>
      </c>
      <c r="T891" s="292" t="s">
        <v>377</v>
      </c>
      <c r="U891" s="299" t="s">
        <v>32</v>
      </c>
      <c r="V891" s="295" t="s">
        <v>32</v>
      </c>
      <c r="W891" s="299" t="s">
        <v>32</v>
      </c>
      <c r="X891" s="292" t="s">
        <v>377</v>
      </c>
      <c r="Y891" s="295" t="s">
        <v>32</v>
      </c>
      <c r="Z891" s="299" t="s">
        <v>32</v>
      </c>
      <c r="AA891" s="299" t="s">
        <v>32</v>
      </c>
      <c r="AB891" s="295" t="s">
        <v>32</v>
      </c>
      <c r="AC891" s="296" t="s">
        <v>32</v>
      </c>
      <c r="AD891" s="292" t="s">
        <v>377</v>
      </c>
      <c r="AE891" s="292" t="s">
        <v>377</v>
      </c>
      <c r="AF891" s="288" t="s">
        <v>377</v>
      </c>
      <c r="AG891" s="299" t="s">
        <v>32</v>
      </c>
      <c r="AH891" s="299" t="s">
        <v>32</v>
      </c>
      <c r="AI891" s="295" t="s">
        <v>32</v>
      </c>
      <c r="AJ891" s="299" t="s">
        <v>32</v>
      </c>
      <c r="AK891" s="299" t="s">
        <v>32</v>
      </c>
      <c r="AL891" s="295" t="s">
        <v>32</v>
      </c>
      <c r="AM891" s="292" t="s">
        <v>377</v>
      </c>
      <c r="AN891" s="299" t="s">
        <v>32</v>
      </c>
      <c r="AO891" s="295" t="s">
        <v>32</v>
      </c>
      <c r="AP891" s="296" t="s">
        <v>32</v>
      </c>
      <c r="AQ891" s="299" t="s">
        <v>32</v>
      </c>
      <c r="AR891" s="299" t="s">
        <v>32</v>
      </c>
      <c r="AS891" s="295" t="s">
        <v>32</v>
      </c>
      <c r="AT891" s="299" t="s">
        <v>32</v>
      </c>
      <c r="AU891" s="299" t="s">
        <v>32</v>
      </c>
      <c r="AV891" s="295" t="s">
        <v>32</v>
      </c>
      <c r="AW891" s="299" t="s">
        <v>32</v>
      </c>
      <c r="AX891" s="299" t="s">
        <v>32</v>
      </c>
      <c r="AY891" s="295" t="s">
        <v>32</v>
      </c>
      <c r="AZ891" s="299" t="s">
        <v>32</v>
      </c>
      <c r="BA891" s="299" t="s">
        <v>32</v>
      </c>
      <c r="BB891" s="295" t="s">
        <v>32</v>
      </c>
      <c r="BC891" s="296" t="s">
        <v>32</v>
      </c>
      <c r="BD891" s="292"/>
    </row>
    <row r="892" ht="12.75" customHeight="1">
      <c r="A892" s="298">
        <v>15.0</v>
      </c>
      <c r="B892" s="297" t="s">
        <v>486</v>
      </c>
      <c r="C892" s="298" t="s">
        <v>567</v>
      </c>
      <c r="D892" s="298" t="s">
        <v>16</v>
      </c>
      <c r="E892" s="285" t="s">
        <v>577</v>
      </c>
      <c r="F892" s="292" t="s">
        <v>1432</v>
      </c>
      <c r="G892" s="298" t="s">
        <v>17</v>
      </c>
      <c r="H892" s="298">
        <v>18.0</v>
      </c>
      <c r="I892" s="292" t="s">
        <v>479</v>
      </c>
      <c r="J892" s="292" t="s">
        <v>545</v>
      </c>
      <c r="K892" s="287" t="s">
        <v>545</v>
      </c>
      <c r="L892" s="292" t="s">
        <v>479</v>
      </c>
      <c r="M892" s="292" t="s">
        <v>481</v>
      </c>
      <c r="N892" s="292"/>
      <c r="O892" s="298" t="s">
        <v>497</v>
      </c>
      <c r="P892" s="292" t="s">
        <v>612</v>
      </c>
      <c r="Q892" s="292" t="s">
        <v>377</v>
      </c>
      <c r="R892" s="292" t="s">
        <v>377</v>
      </c>
      <c r="S892" s="288" t="s">
        <v>377</v>
      </c>
      <c r="T892" s="292" t="s">
        <v>377</v>
      </c>
      <c r="U892" s="299" t="s">
        <v>32</v>
      </c>
      <c r="V892" s="295" t="s">
        <v>32</v>
      </c>
      <c r="W892" s="292" t="s">
        <v>18</v>
      </c>
      <c r="X892" s="292" t="s">
        <v>377</v>
      </c>
      <c r="Y892" s="288" t="s">
        <v>377</v>
      </c>
      <c r="Z892" s="292" t="s">
        <v>377</v>
      </c>
      <c r="AA892" s="292" t="s">
        <v>377</v>
      </c>
      <c r="AB892" s="288" t="s">
        <v>377</v>
      </c>
      <c r="AC892" s="289" t="s">
        <v>377</v>
      </c>
      <c r="AD892" s="292" t="s">
        <v>18</v>
      </c>
      <c r="AE892" s="292" t="s">
        <v>377</v>
      </c>
      <c r="AF892" s="288" t="s">
        <v>377</v>
      </c>
      <c r="AG892" s="292" t="s">
        <v>377</v>
      </c>
      <c r="AH892" s="292" t="s">
        <v>377</v>
      </c>
      <c r="AI892" s="288" t="s">
        <v>377</v>
      </c>
      <c r="AJ892" s="292" t="s">
        <v>377</v>
      </c>
      <c r="AK892" s="299" t="s">
        <v>32</v>
      </c>
      <c r="AL892" s="295" t="s">
        <v>32</v>
      </c>
      <c r="AM892" s="292" t="s">
        <v>18</v>
      </c>
      <c r="AN892" s="292" t="s">
        <v>18</v>
      </c>
      <c r="AO892" s="288" t="s">
        <v>18</v>
      </c>
      <c r="AP892" s="289" t="s">
        <v>377</v>
      </c>
      <c r="AQ892" s="292" t="s">
        <v>377</v>
      </c>
      <c r="AR892" s="292" t="s">
        <v>18</v>
      </c>
      <c r="AS892" s="288" t="s">
        <v>377</v>
      </c>
      <c r="AT892" s="299" t="s">
        <v>32</v>
      </c>
      <c r="AU892" s="299" t="s">
        <v>32</v>
      </c>
      <c r="AV892" s="295" t="s">
        <v>32</v>
      </c>
      <c r="AW892" s="299" t="s">
        <v>32</v>
      </c>
      <c r="AX892" s="292" t="s">
        <v>377</v>
      </c>
      <c r="AY892" s="295" t="s">
        <v>32</v>
      </c>
      <c r="AZ892" s="292" t="s">
        <v>377</v>
      </c>
      <c r="BA892" s="292" t="s">
        <v>377</v>
      </c>
      <c r="BB892" s="295" t="s">
        <v>32</v>
      </c>
      <c r="BC892" s="296" t="s">
        <v>32</v>
      </c>
      <c r="BD892" s="292"/>
    </row>
    <row r="893" ht="12.75" customHeight="1">
      <c r="A893" s="298">
        <v>17.0</v>
      </c>
      <c r="B893" s="297" t="s">
        <v>486</v>
      </c>
      <c r="C893" s="298" t="s">
        <v>567</v>
      </c>
      <c r="D893" s="298" t="s">
        <v>16</v>
      </c>
      <c r="E893" s="285" t="s">
        <v>577</v>
      </c>
      <c r="F893" s="292" t="s">
        <v>1433</v>
      </c>
      <c r="G893" s="298" t="s">
        <v>17</v>
      </c>
      <c r="H893" s="298">
        <v>15.0</v>
      </c>
      <c r="I893" s="292" t="s">
        <v>479</v>
      </c>
      <c r="J893" s="292" t="s">
        <v>545</v>
      </c>
      <c r="K893" s="287" t="s">
        <v>545</v>
      </c>
      <c r="L893" s="292" t="s">
        <v>479</v>
      </c>
      <c r="M893" s="292" t="s">
        <v>483</v>
      </c>
      <c r="N893" s="292"/>
      <c r="O893" s="298" t="s">
        <v>479</v>
      </c>
      <c r="P893" s="292" t="s">
        <v>580</v>
      </c>
      <c r="Q893" s="299" t="s">
        <v>32</v>
      </c>
      <c r="R893" s="299" t="s">
        <v>32</v>
      </c>
      <c r="S893" s="295" t="s">
        <v>32</v>
      </c>
      <c r="T893" s="292" t="s">
        <v>377</v>
      </c>
      <c r="U893" s="299" t="s">
        <v>32</v>
      </c>
      <c r="V893" s="295" t="s">
        <v>32</v>
      </c>
      <c r="W893" s="299" t="s">
        <v>32</v>
      </c>
      <c r="X893" s="292" t="s">
        <v>377</v>
      </c>
      <c r="Y893" s="295" t="s">
        <v>32</v>
      </c>
      <c r="Z893" s="292" t="s">
        <v>377</v>
      </c>
      <c r="AA893" s="299" t="s">
        <v>32</v>
      </c>
      <c r="AB893" s="295" t="s">
        <v>32</v>
      </c>
      <c r="AC893" s="296" t="s">
        <v>32</v>
      </c>
      <c r="AD893" s="292" t="s">
        <v>377</v>
      </c>
      <c r="AE893" s="299" t="s">
        <v>32</v>
      </c>
      <c r="AF893" s="295" t="s">
        <v>32</v>
      </c>
      <c r="AG893" s="299" t="s">
        <v>32</v>
      </c>
      <c r="AH893" s="299" t="s">
        <v>32</v>
      </c>
      <c r="AI893" s="295" t="s">
        <v>32</v>
      </c>
      <c r="AJ893" s="299" t="s">
        <v>32</v>
      </c>
      <c r="AK893" s="292" t="s">
        <v>377</v>
      </c>
      <c r="AL893" s="295" t="s">
        <v>32</v>
      </c>
      <c r="AM893" s="292" t="s">
        <v>18</v>
      </c>
      <c r="AN893" s="292" t="s">
        <v>377</v>
      </c>
      <c r="AO893" s="288" t="s">
        <v>377</v>
      </c>
      <c r="AP893" s="289" t="s">
        <v>377</v>
      </c>
      <c r="AQ893" s="299" t="s">
        <v>32</v>
      </c>
      <c r="AR893" s="299" t="s">
        <v>32</v>
      </c>
      <c r="AS893" s="295" t="s">
        <v>32</v>
      </c>
      <c r="AT893" s="299" t="s">
        <v>32</v>
      </c>
      <c r="AU893" s="299" t="s">
        <v>32</v>
      </c>
      <c r="AV893" s="295" t="s">
        <v>32</v>
      </c>
      <c r="AW893" s="292" t="s">
        <v>377</v>
      </c>
      <c r="AX893" s="292" t="s">
        <v>377</v>
      </c>
      <c r="AY893" s="288" t="s">
        <v>377</v>
      </c>
      <c r="AZ893" s="299" t="s">
        <v>32</v>
      </c>
      <c r="BA893" s="299" t="s">
        <v>32</v>
      </c>
      <c r="BB893" s="295" t="s">
        <v>32</v>
      </c>
      <c r="BC893" s="296" t="s">
        <v>32</v>
      </c>
      <c r="BD893" s="292"/>
    </row>
    <row r="894" ht="12.75" customHeight="1">
      <c r="A894" s="298">
        <v>19.0</v>
      </c>
      <c r="B894" s="297" t="s">
        <v>486</v>
      </c>
      <c r="C894" s="298" t="s">
        <v>567</v>
      </c>
      <c r="D894" s="298" t="s">
        <v>16</v>
      </c>
      <c r="E894" s="285" t="s">
        <v>577</v>
      </c>
      <c r="F894" s="292" t="s">
        <v>1434</v>
      </c>
      <c r="G894" s="298" t="s">
        <v>17</v>
      </c>
      <c r="H894" s="298">
        <v>15.0</v>
      </c>
      <c r="I894" s="292" t="s">
        <v>479</v>
      </c>
      <c r="J894" s="292" t="s">
        <v>545</v>
      </c>
      <c r="K894" s="287" t="s">
        <v>545</v>
      </c>
      <c r="L894" s="292" t="s">
        <v>479</v>
      </c>
      <c r="M894" s="292" t="s">
        <v>490</v>
      </c>
      <c r="N894" s="292"/>
      <c r="O894" s="298" t="s">
        <v>497</v>
      </c>
      <c r="P894" s="292" t="s">
        <v>612</v>
      </c>
      <c r="Q894" s="299" t="s">
        <v>32</v>
      </c>
      <c r="R894" s="299" t="s">
        <v>32</v>
      </c>
      <c r="S894" s="295" t="s">
        <v>32</v>
      </c>
      <c r="T894" s="299" t="s">
        <v>32</v>
      </c>
      <c r="U894" s="299" t="s">
        <v>32</v>
      </c>
      <c r="V894" s="295" t="s">
        <v>32</v>
      </c>
      <c r="W894" s="299" t="s">
        <v>32</v>
      </c>
      <c r="X894" s="299" t="s">
        <v>32</v>
      </c>
      <c r="Y894" s="295" t="s">
        <v>32</v>
      </c>
      <c r="Z894" s="299" t="s">
        <v>32</v>
      </c>
      <c r="AA894" s="292" t="s">
        <v>377</v>
      </c>
      <c r="AB894" s="295" t="s">
        <v>32</v>
      </c>
      <c r="AC894" s="296" t="s">
        <v>32</v>
      </c>
      <c r="AD894" s="292" t="s">
        <v>377</v>
      </c>
      <c r="AE894" s="299" t="s">
        <v>32</v>
      </c>
      <c r="AF894" s="295" t="s">
        <v>32</v>
      </c>
      <c r="AG894" s="292" t="s">
        <v>377</v>
      </c>
      <c r="AH894" s="299" t="s">
        <v>32</v>
      </c>
      <c r="AI894" s="295" t="s">
        <v>32</v>
      </c>
      <c r="AJ894" s="299" t="s">
        <v>32</v>
      </c>
      <c r="AK894" s="299" t="s">
        <v>32</v>
      </c>
      <c r="AL894" s="295" t="s">
        <v>32</v>
      </c>
      <c r="AM894" s="292" t="s">
        <v>377</v>
      </c>
      <c r="AN894" s="292" t="s">
        <v>377</v>
      </c>
      <c r="AO894" s="288" t="s">
        <v>377</v>
      </c>
      <c r="AP894" s="296" t="s">
        <v>32</v>
      </c>
      <c r="AQ894" s="299" t="s">
        <v>32</v>
      </c>
      <c r="AR894" s="299" t="s">
        <v>32</v>
      </c>
      <c r="AS894" s="295" t="s">
        <v>32</v>
      </c>
      <c r="AT894" s="299" t="s">
        <v>32</v>
      </c>
      <c r="AU894" s="299" t="s">
        <v>32</v>
      </c>
      <c r="AV894" s="295" t="s">
        <v>32</v>
      </c>
      <c r="AW894" s="292" t="s">
        <v>377</v>
      </c>
      <c r="AX894" s="299" t="s">
        <v>32</v>
      </c>
      <c r="AY894" s="295" t="s">
        <v>32</v>
      </c>
      <c r="AZ894" s="299" t="s">
        <v>32</v>
      </c>
      <c r="BA894" s="299" t="s">
        <v>32</v>
      </c>
      <c r="BB894" s="288" t="s">
        <v>377</v>
      </c>
      <c r="BC894" s="289" t="s">
        <v>377</v>
      </c>
      <c r="BD894" s="292"/>
    </row>
    <row r="895" ht="12.75" customHeight="1">
      <c r="A895" s="298">
        <v>20.0</v>
      </c>
      <c r="B895" s="297" t="s">
        <v>486</v>
      </c>
      <c r="C895" s="298" t="s">
        <v>567</v>
      </c>
      <c r="D895" s="298" t="s">
        <v>16</v>
      </c>
      <c r="E895" s="285" t="s">
        <v>577</v>
      </c>
      <c r="F895" s="292" t="s">
        <v>1435</v>
      </c>
      <c r="G895" s="298" t="s">
        <v>21</v>
      </c>
      <c r="H895" s="298">
        <v>15.0</v>
      </c>
      <c r="I895" s="292" t="s">
        <v>479</v>
      </c>
      <c r="J895" s="292" t="s">
        <v>545</v>
      </c>
      <c r="K895" s="287" t="s">
        <v>545</v>
      </c>
      <c r="L895" s="292" t="s">
        <v>479</v>
      </c>
      <c r="M895" s="292" t="s">
        <v>481</v>
      </c>
      <c r="N895" s="292"/>
      <c r="O895" s="298" t="s">
        <v>497</v>
      </c>
      <c r="P895" s="292" t="s">
        <v>612</v>
      </c>
      <c r="Q895" s="299" t="s">
        <v>32</v>
      </c>
      <c r="R895" s="299" t="s">
        <v>32</v>
      </c>
      <c r="S895" s="295" t="s">
        <v>32</v>
      </c>
      <c r="T895" s="299" t="s">
        <v>32</v>
      </c>
      <c r="U895" s="292" t="s">
        <v>377</v>
      </c>
      <c r="V895" s="295" t="s">
        <v>32</v>
      </c>
      <c r="W895" s="292" t="s">
        <v>377</v>
      </c>
      <c r="X895" s="299" t="s">
        <v>32</v>
      </c>
      <c r="Y895" s="295" t="s">
        <v>32</v>
      </c>
      <c r="Z895" s="299" t="s">
        <v>32</v>
      </c>
      <c r="AA895" s="292" t="s">
        <v>377</v>
      </c>
      <c r="AB895" s="295" t="s">
        <v>32</v>
      </c>
      <c r="AC895" s="296" t="s">
        <v>32</v>
      </c>
      <c r="AD895" s="292" t="s">
        <v>377</v>
      </c>
      <c r="AE895" s="292" t="s">
        <v>377</v>
      </c>
      <c r="AF895" s="288" t="s">
        <v>377</v>
      </c>
      <c r="AG895" s="292" t="s">
        <v>377</v>
      </c>
      <c r="AH895" s="292" t="s">
        <v>377</v>
      </c>
      <c r="AI895" s="288" t="s">
        <v>377</v>
      </c>
      <c r="AJ895" s="292" t="s">
        <v>377</v>
      </c>
      <c r="AK895" s="292" t="s">
        <v>377</v>
      </c>
      <c r="AL895" s="288" t="s">
        <v>377</v>
      </c>
      <c r="AM895" s="292" t="s">
        <v>377</v>
      </c>
      <c r="AN895" s="292" t="s">
        <v>18</v>
      </c>
      <c r="AO895" s="288" t="s">
        <v>377</v>
      </c>
      <c r="AP895" s="289" t="s">
        <v>377</v>
      </c>
      <c r="AQ895" s="299" t="s">
        <v>32</v>
      </c>
      <c r="AR895" s="299" t="s">
        <v>32</v>
      </c>
      <c r="AS895" s="295" t="s">
        <v>32</v>
      </c>
      <c r="AT895" s="299" t="s">
        <v>32</v>
      </c>
      <c r="AU895" s="299" t="s">
        <v>32</v>
      </c>
      <c r="AV895" s="295" t="s">
        <v>32</v>
      </c>
      <c r="AW895" s="292" t="s">
        <v>377</v>
      </c>
      <c r="AX895" s="299" t="s">
        <v>32</v>
      </c>
      <c r="AY895" s="295" t="s">
        <v>32</v>
      </c>
      <c r="AZ895" s="299" t="s">
        <v>32</v>
      </c>
      <c r="BA895" s="299" t="s">
        <v>32</v>
      </c>
      <c r="BB895" s="288" t="s">
        <v>377</v>
      </c>
      <c r="BC895" s="289" t="s">
        <v>377</v>
      </c>
      <c r="BD895" s="292"/>
    </row>
    <row r="896" ht="12.75" customHeight="1">
      <c r="A896" s="298">
        <v>21.0</v>
      </c>
      <c r="B896" s="297" t="s">
        <v>486</v>
      </c>
      <c r="C896" s="298" t="s">
        <v>567</v>
      </c>
      <c r="D896" s="298" t="s">
        <v>16</v>
      </c>
      <c r="E896" s="285" t="s">
        <v>577</v>
      </c>
      <c r="F896" s="292" t="s">
        <v>1436</v>
      </c>
      <c r="G896" s="298" t="s">
        <v>17</v>
      </c>
      <c r="H896" s="298">
        <v>17.0</v>
      </c>
      <c r="I896" s="292" t="s">
        <v>479</v>
      </c>
      <c r="J896" s="292" t="s">
        <v>545</v>
      </c>
      <c r="K896" s="287" t="s">
        <v>545</v>
      </c>
      <c r="L896" s="292" t="s">
        <v>479</v>
      </c>
      <c r="M896" s="292" t="s">
        <v>481</v>
      </c>
      <c r="N896" s="292"/>
      <c r="O896" s="298" t="s">
        <v>497</v>
      </c>
      <c r="P896" s="292" t="s">
        <v>612</v>
      </c>
      <c r="Q896" s="292" t="s">
        <v>377</v>
      </c>
      <c r="R896" s="292" t="s">
        <v>377</v>
      </c>
      <c r="S896" s="288" t="s">
        <v>377</v>
      </c>
      <c r="T896" s="292" t="s">
        <v>377</v>
      </c>
      <c r="U896" s="292" t="s">
        <v>377</v>
      </c>
      <c r="V896" s="288" t="s">
        <v>377</v>
      </c>
      <c r="W896" s="292" t="s">
        <v>18</v>
      </c>
      <c r="X896" s="292" t="s">
        <v>18</v>
      </c>
      <c r="Y896" s="288" t="s">
        <v>18</v>
      </c>
      <c r="Z896" s="299" t="s">
        <v>32</v>
      </c>
      <c r="AA896" s="292" t="s">
        <v>18</v>
      </c>
      <c r="AB896" s="288" t="s">
        <v>377</v>
      </c>
      <c r="AC896" s="289" t="s">
        <v>377</v>
      </c>
      <c r="AD896" s="292" t="s">
        <v>377</v>
      </c>
      <c r="AE896" s="292" t="s">
        <v>18</v>
      </c>
      <c r="AF896" s="288" t="s">
        <v>377</v>
      </c>
      <c r="AG896" s="292" t="s">
        <v>377</v>
      </c>
      <c r="AH896" s="292" t="s">
        <v>18</v>
      </c>
      <c r="AI896" s="288" t="s">
        <v>377</v>
      </c>
      <c r="AJ896" s="299" t="s">
        <v>32</v>
      </c>
      <c r="AK896" s="292" t="s">
        <v>18</v>
      </c>
      <c r="AL896" s="288" t="s">
        <v>377</v>
      </c>
      <c r="AM896" s="292" t="s">
        <v>18</v>
      </c>
      <c r="AN896" s="292" t="s">
        <v>377</v>
      </c>
      <c r="AO896" s="288" t="s">
        <v>377</v>
      </c>
      <c r="AP896" s="289" t="s">
        <v>377</v>
      </c>
      <c r="AQ896" s="299" t="s">
        <v>32</v>
      </c>
      <c r="AR896" s="299" t="s">
        <v>32</v>
      </c>
      <c r="AS896" s="295" t="s">
        <v>32</v>
      </c>
      <c r="AT896" s="299" t="s">
        <v>32</v>
      </c>
      <c r="AU896" s="299" t="s">
        <v>32</v>
      </c>
      <c r="AV896" s="295" t="s">
        <v>32</v>
      </c>
      <c r="AW896" s="299" t="s">
        <v>32</v>
      </c>
      <c r="AX896" s="292" t="s">
        <v>377</v>
      </c>
      <c r="AY896" s="295" t="s">
        <v>32</v>
      </c>
      <c r="AZ896" s="299" t="s">
        <v>32</v>
      </c>
      <c r="BA896" s="299" t="s">
        <v>32</v>
      </c>
      <c r="BB896" s="295" t="s">
        <v>32</v>
      </c>
      <c r="BC896" s="296" t="s">
        <v>32</v>
      </c>
      <c r="BD896" s="292"/>
    </row>
    <row r="897" ht="12.75" customHeight="1">
      <c r="A897" s="298">
        <v>25.0</v>
      </c>
      <c r="B897" s="297" t="s">
        <v>486</v>
      </c>
      <c r="C897" s="298" t="s">
        <v>567</v>
      </c>
      <c r="D897" s="298" t="s">
        <v>16</v>
      </c>
      <c r="E897" s="285" t="s">
        <v>577</v>
      </c>
      <c r="F897" s="292" t="s">
        <v>1437</v>
      </c>
      <c r="G897" s="298" t="s">
        <v>21</v>
      </c>
      <c r="H897" s="298">
        <v>15.0</v>
      </c>
      <c r="I897" s="292" t="s">
        <v>479</v>
      </c>
      <c r="J897" s="292" t="s">
        <v>545</v>
      </c>
      <c r="K897" s="287" t="s">
        <v>545</v>
      </c>
      <c r="L897" s="292" t="s">
        <v>479</v>
      </c>
      <c r="M897" s="292" t="s">
        <v>483</v>
      </c>
      <c r="N897" s="292"/>
      <c r="O897" s="298" t="s">
        <v>479</v>
      </c>
      <c r="P897" s="292" t="s">
        <v>627</v>
      </c>
      <c r="Q897" s="299" t="s">
        <v>32</v>
      </c>
      <c r="R897" s="299" t="s">
        <v>32</v>
      </c>
      <c r="S897" s="295" t="s">
        <v>32</v>
      </c>
      <c r="T897" s="292" t="s">
        <v>18</v>
      </c>
      <c r="U897" s="299" t="s">
        <v>32</v>
      </c>
      <c r="V897" s="288" t="s">
        <v>377</v>
      </c>
      <c r="W897" s="299" t="s">
        <v>32</v>
      </c>
      <c r="X897" s="299" t="s">
        <v>32</v>
      </c>
      <c r="Y897" s="295" t="s">
        <v>32</v>
      </c>
      <c r="Z897" s="299" t="s">
        <v>32</v>
      </c>
      <c r="AA897" s="299" t="s">
        <v>32</v>
      </c>
      <c r="AB897" s="295" t="s">
        <v>32</v>
      </c>
      <c r="AC897" s="296" t="s">
        <v>32</v>
      </c>
      <c r="AD897" s="299" t="s">
        <v>32</v>
      </c>
      <c r="AE897" s="299" t="s">
        <v>32</v>
      </c>
      <c r="AF897" s="295" t="s">
        <v>32</v>
      </c>
      <c r="AG897" s="299" t="s">
        <v>32</v>
      </c>
      <c r="AH897" s="299" t="s">
        <v>32</v>
      </c>
      <c r="AI897" s="295" t="s">
        <v>32</v>
      </c>
      <c r="AJ897" s="299" t="s">
        <v>32</v>
      </c>
      <c r="AK897" s="299" t="s">
        <v>32</v>
      </c>
      <c r="AL897" s="295" t="s">
        <v>32</v>
      </c>
      <c r="AM897" s="292" t="s">
        <v>18</v>
      </c>
      <c r="AN897" s="292" t="s">
        <v>18</v>
      </c>
      <c r="AO897" s="288" t="s">
        <v>18</v>
      </c>
      <c r="AP897" s="296" t="s">
        <v>32</v>
      </c>
      <c r="AQ897" s="299" t="s">
        <v>32</v>
      </c>
      <c r="AR897" s="299" t="s">
        <v>32</v>
      </c>
      <c r="AS897" s="295" t="s">
        <v>32</v>
      </c>
      <c r="AT897" s="299" t="s">
        <v>32</v>
      </c>
      <c r="AU897" s="299" t="s">
        <v>32</v>
      </c>
      <c r="AV897" s="295" t="s">
        <v>32</v>
      </c>
      <c r="AW897" s="299" t="s">
        <v>32</v>
      </c>
      <c r="AX897" s="299" t="s">
        <v>32</v>
      </c>
      <c r="AY897" s="295" t="s">
        <v>32</v>
      </c>
      <c r="AZ897" s="299" t="s">
        <v>32</v>
      </c>
      <c r="BA897" s="299" t="s">
        <v>32</v>
      </c>
      <c r="BB897" s="288" t="s">
        <v>377</v>
      </c>
      <c r="BC897" s="289" t="s">
        <v>377</v>
      </c>
      <c r="BD897" s="292"/>
    </row>
    <row r="898" ht="12.75" customHeight="1">
      <c r="A898" s="298">
        <v>27.0</v>
      </c>
      <c r="B898" s="297" t="s">
        <v>486</v>
      </c>
      <c r="C898" s="298" t="s">
        <v>567</v>
      </c>
      <c r="D898" s="298" t="s">
        <v>16</v>
      </c>
      <c r="E898" s="285" t="s">
        <v>577</v>
      </c>
      <c r="F898" s="292" t="s">
        <v>1438</v>
      </c>
      <c r="G898" s="298" t="s">
        <v>21</v>
      </c>
      <c r="H898" s="298">
        <v>16.0</v>
      </c>
      <c r="I898" s="292" t="s">
        <v>479</v>
      </c>
      <c r="J898" s="292" t="s">
        <v>545</v>
      </c>
      <c r="K898" s="287" t="s">
        <v>545</v>
      </c>
      <c r="L898" s="292" t="s">
        <v>479</v>
      </c>
      <c r="M898" s="292" t="s">
        <v>481</v>
      </c>
      <c r="N898" s="292"/>
      <c r="O898" s="298" t="s">
        <v>497</v>
      </c>
      <c r="P898" s="292" t="s">
        <v>612</v>
      </c>
      <c r="Q898" s="292" t="s">
        <v>377</v>
      </c>
      <c r="R898" s="292" t="s">
        <v>18</v>
      </c>
      <c r="S898" s="288" t="s">
        <v>377</v>
      </c>
      <c r="T898" s="292" t="s">
        <v>18</v>
      </c>
      <c r="U898" s="292" t="s">
        <v>18</v>
      </c>
      <c r="V898" s="288" t="s">
        <v>18</v>
      </c>
      <c r="W898" s="292" t="s">
        <v>18</v>
      </c>
      <c r="X898" s="292" t="s">
        <v>18</v>
      </c>
      <c r="Y898" s="288" t="s">
        <v>18</v>
      </c>
      <c r="Z898" s="292" t="s">
        <v>377</v>
      </c>
      <c r="AA898" s="292" t="s">
        <v>377</v>
      </c>
      <c r="AB898" s="288" t="s">
        <v>377</v>
      </c>
      <c r="AC898" s="289" t="s">
        <v>18</v>
      </c>
      <c r="AD898" s="292" t="s">
        <v>18</v>
      </c>
      <c r="AE898" s="292" t="s">
        <v>377</v>
      </c>
      <c r="AF898" s="288" t="s">
        <v>377</v>
      </c>
      <c r="AG898" s="292" t="s">
        <v>18</v>
      </c>
      <c r="AH898" s="292" t="s">
        <v>18</v>
      </c>
      <c r="AI898" s="288" t="s">
        <v>18</v>
      </c>
      <c r="AJ898" s="292" t="s">
        <v>377</v>
      </c>
      <c r="AK898" s="292" t="s">
        <v>18</v>
      </c>
      <c r="AL898" s="288" t="s">
        <v>377</v>
      </c>
      <c r="AM898" s="292" t="s">
        <v>18</v>
      </c>
      <c r="AN898" s="292" t="s">
        <v>18</v>
      </c>
      <c r="AO898" s="288" t="s">
        <v>18</v>
      </c>
      <c r="AP898" s="289" t="s">
        <v>18</v>
      </c>
      <c r="AQ898" s="299" t="s">
        <v>32</v>
      </c>
      <c r="AR898" s="292" t="s">
        <v>377</v>
      </c>
      <c r="AS898" s="295" t="s">
        <v>32</v>
      </c>
      <c r="AT898" s="292" t="s">
        <v>377</v>
      </c>
      <c r="AU898" s="299" t="s">
        <v>32</v>
      </c>
      <c r="AV898" s="295" t="s">
        <v>32</v>
      </c>
      <c r="AW898" s="292" t="s">
        <v>18</v>
      </c>
      <c r="AX898" s="292" t="s">
        <v>377</v>
      </c>
      <c r="AY898" s="288" t="s">
        <v>377</v>
      </c>
      <c r="AZ898" s="292" t="s">
        <v>377</v>
      </c>
      <c r="BA898" s="292" t="s">
        <v>377</v>
      </c>
      <c r="BB898" s="295" t="s">
        <v>32</v>
      </c>
      <c r="BC898" s="296" t="s">
        <v>32</v>
      </c>
      <c r="BD898" s="292"/>
    </row>
    <row r="899" ht="12.75" customHeight="1">
      <c r="A899" s="298">
        <v>29.0</v>
      </c>
      <c r="B899" s="297" t="s">
        <v>486</v>
      </c>
      <c r="C899" s="298" t="s">
        <v>567</v>
      </c>
      <c r="D899" s="298" t="s">
        <v>16</v>
      </c>
      <c r="E899" s="285" t="s">
        <v>577</v>
      </c>
      <c r="F899" s="292" t="s">
        <v>1439</v>
      </c>
      <c r="G899" s="298" t="s">
        <v>17</v>
      </c>
      <c r="H899" s="298">
        <v>15.0</v>
      </c>
      <c r="I899" s="292" t="s">
        <v>479</v>
      </c>
      <c r="J899" s="292" t="s">
        <v>545</v>
      </c>
      <c r="K899" s="287" t="s">
        <v>545</v>
      </c>
      <c r="L899" s="292" t="s">
        <v>479</v>
      </c>
      <c r="M899" s="292" t="s">
        <v>481</v>
      </c>
      <c r="N899" s="292"/>
      <c r="O899" s="298" t="s">
        <v>497</v>
      </c>
      <c r="P899" s="292" t="s">
        <v>612</v>
      </c>
      <c r="Q899" s="292" t="s">
        <v>377</v>
      </c>
      <c r="R899" s="292" t="s">
        <v>377</v>
      </c>
      <c r="S899" s="288" t="s">
        <v>377</v>
      </c>
      <c r="T899" s="292" t="s">
        <v>377</v>
      </c>
      <c r="U899" s="292" t="s">
        <v>377</v>
      </c>
      <c r="V899" s="288" t="s">
        <v>377</v>
      </c>
      <c r="W899" s="292" t="s">
        <v>377</v>
      </c>
      <c r="X899" s="292" t="s">
        <v>377</v>
      </c>
      <c r="Y899" s="288" t="s">
        <v>377</v>
      </c>
      <c r="Z899" s="299" t="s">
        <v>32</v>
      </c>
      <c r="AA899" s="292" t="s">
        <v>18</v>
      </c>
      <c r="AB899" s="288" t="s">
        <v>377</v>
      </c>
      <c r="AC899" s="289" t="s">
        <v>377</v>
      </c>
      <c r="AD899" s="292" t="s">
        <v>377</v>
      </c>
      <c r="AE899" s="299" t="s">
        <v>32</v>
      </c>
      <c r="AF899" s="295" t="s">
        <v>32</v>
      </c>
      <c r="AG899" s="292" t="s">
        <v>18</v>
      </c>
      <c r="AH899" s="292" t="s">
        <v>18</v>
      </c>
      <c r="AI899" s="288" t="s">
        <v>18</v>
      </c>
      <c r="AJ899" s="292" t="s">
        <v>377</v>
      </c>
      <c r="AK899" s="292" t="s">
        <v>18</v>
      </c>
      <c r="AL899" s="288" t="s">
        <v>377</v>
      </c>
      <c r="AM899" s="292" t="s">
        <v>18</v>
      </c>
      <c r="AN899" s="292" t="s">
        <v>18</v>
      </c>
      <c r="AO899" s="288" t="s">
        <v>18</v>
      </c>
      <c r="AP899" s="289" t="s">
        <v>377</v>
      </c>
      <c r="AQ899" s="292" t="s">
        <v>377</v>
      </c>
      <c r="AR899" s="292" t="s">
        <v>18</v>
      </c>
      <c r="AS899" s="288" t="s">
        <v>377</v>
      </c>
      <c r="AT899" s="292" t="s">
        <v>377</v>
      </c>
      <c r="AU899" s="292" t="s">
        <v>377</v>
      </c>
      <c r="AV899" s="288" t="s">
        <v>377</v>
      </c>
      <c r="AW899" s="292" t="s">
        <v>377</v>
      </c>
      <c r="AX899" s="292" t="s">
        <v>377</v>
      </c>
      <c r="AY899" s="288" t="s">
        <v>377</v>
      </c>
      <c r="AZ899" s="292" t="s">
        <v>377</v>
      </c>
      <c r="BA899" s="292" t="s">
        <v>18</v>
      </c>
      <c r="BB899" s="295" t="s">
        <v>32</v>
      </c>
      <c r="BC899" s="289" t="s">
        <v>377</v>
      </c>
      <c r="BD899" s="292"/>
    </row>
    <row r="900" ht="12.75" customHeight="1">
      <c r="A900" s="298">
        <v>31.0</v>
      </c>
      <c r="B900" s="297" t="s">
        <v>486</v>
      </c>
      <c r="C900" s="298" t="s">
        <v>567</v>
      </c>
      <c r="D900" s="298" t="s">
        <v>16</v>
      </c>
      <c r="E900" s="285" t="s">
        <v>577</v>
      </c>
      <c r="F900" s="292" t="s">
        <v>1440</v>
      </c>
      <c r="G900" s="298" t="s">
        <v>21</v>
      </c>
      <c r="H900" s="298">
        <v>15.0</v>
      </c>
      <c r="I900" s="292" t="s">
        <v>479</v>
      </c>
      <c r="J900" s="292" t="s">
        <v>545</v>
      </c>
      <c r="K900" s="287" t="s">
        <v>545</v>
      </c>
      <c r="L900" s="292" t="s">
        <v>479</v>
      </c>
      <c r="M900" s="292" t="s">
        <v>490</v>
      </c>
      <c r="N900" s="292"/>
      <c r="O900" s="298" t="s">
        <v>479</v>
      </c>
      <c r="P900" s="292" t="s">
        <v>796</v>
      </c>
      <c r="Q900" s="299" t="s">
        <v>32</v>
      </c>
      <c r="R900" s="292" t="s">
        <v>377</v>
      </c>
      <c r="S900" s="295" t="s">
        <v>32</v>
      </c>
      <c r="T900" s="292" t="s">
        <v>377</v>
      </c>
      <c r="U900" s="292" t="s">
        <v>18</v>
      </c>
      <c r="V900" s="288" t="s">
        <v>377</v>
      </c>
      <c r="W900" s="299" t="s">
        <v>32</v>
      </c>
      <c r="X900" s="299" t="s">
        <v>32</v>
      </c>
      <c r="Y900" s="295" t="s">
        <v>32</v>
      </c>
      <c r="Z900" s="292" t="s">
        <v>377</v>
      </c>
      <c r="AA900" s="299" t="s">
        <v>32</v>
      </c>
      <c r="AB900" s="295" t="s">
        <v>32</v>
      </c>
      <c r="AC900" s="289" t="s">
        <v>377</v>
      </c>
      <c r="AD900" s="299" t="s">
        <v>32</v>
      </c>
      <c r="AE900" s="292" t="s">
        <v>377</v>
      </c>
      <c r="AF900" s="295" t="s">
        <v>32</v>
      </c>
      <c r="AG900" s="299" t="s">
        <v>32</v>
      </c>
      <c r="AH900" s="292" t="s">
        <v>18</v>
      </c>
      <c r="AI900" s="288" t="s">
        <v>377</v>
      </c>
      <c r="AJ900" s="299" t="s">
        <v>32</v>
      </c>
      <c r="AK900" s="299" t="s">
        <v>32</v>
      </c>
      <c r="AL900" s="295" t="s">
        <v>32</v>
      </c>
      <c r="AM900" s="292" t="s">
        <v>377</v>
      </c>
      <c r="AN900" s="292" t="s">
        <v>18</v>
      </c>
      <c r="AO900" s="288" t="s">
        <v>377</v>
      </c>
      <c r="AP900" s="289" t="s">
        <v>377</v>
      </c>
      <c r="AQ900" s="299" t="s">
        <v>32</v>
      </c>
      <c r="AR900" s="299" t="s">
        <v>32</v>
      </c>
      <c r="AS900" s="295" t="s">
        <v>32</v>
      </c>
      <c r="AT900" s="299" t="s">
        <v>32</v>
      </c>
      <c r="AU900" s="299" t="s">
        <v>32</v>
      </c>
      <c r="AV900" s="295" t="s">
        <v>32</v>
      </c>
      <c r="AW900" s="299" t="s">
        <v>32</v>
      </c>
      <c r="AX900" s="292" t="s">
        <v>377</v>
      </c>
      <c r="AY900" s="295" t="s">
        <v>32</v>
      </c>
      <c r="AZ900" s="299" t="s">
        <v>32</v>
      </c>
      <c r="BA900" s="299" t="s">
        <v>32</v>
      </c>
      <c r="BB900" s="288" t="s">
        <v>377</v>
      </c>
      <c r="BC900" s="289" t="s">
        <v>377</v>
      </c>
      <c r="BD900" s="292"/>
    </row>
    <row r="901" ht="12.75" customHeight="1">
      <c r="A901" s="298">
        <v>57.0</v>
      </c>
      <c r="B901" s="297" t="s">
        <v>486</v>
      </c>
      <c r="C901" s="298" t="s">
        <v>567</v>
      </c>
      <c r="D901" s="298" t="s">
        <v>16</v>
      </c>
      <c r="E901" s="285" t="s">
        <v>577</v>
      </c>
      <c r="F901" s="292" t="s">
        <v>1441</v>
      </c>
      <c r="G901" s="298" t="s">
        <v>17</v>
      </c>
      <c r="H901" s="298">
        <v>15.0</v>
      </c>
      <c r="I901" s="292" t="s">
        <v>479</v>
      </c>
      <c r="J901" s="292" t="s">
        <v>545</v>
      </c>
      <c r="K901" s="287" t="s">
        <v>545</v>
      </c>
      <c r="L901" s="292" t="s">
        <v>497</v>
      </c>
      <c r="M901" s="292" t="s">
        <v>638</v>
      </c>
      <c r="N901" s="292"/>
      <c r="O901" s="298" t="s">
        <v>497</v>
      </c>
      <c r="P901" s="292" t="s">
        <v>612</v>
      </c>
      <c r="Q901" s="292" t="s">
        <v>377</v>
      </c>
      <c r="R901" s="292" t="s">
        <v>377</v>
      </c>
      <c r="S901" s="288" t="s">
        <v>377</v>
      </c>
      <c r="T901" s="299" t="s">
        <v>32</v>
      </c>
      <c r="U901" s="299" t="s">
        <v>32</v>
      </c>
      <c r="V901" s="295" t="s">
        <v>32</v>
      </c>
      <c r="W901" s="292" t="s">
        <v>377</v>
      </c>
      <c r="X901" s="292" t="s">
        <v>377</v>
      </c>
      <c r="Y901" s="288" t="s">
        <v>377</v>
      </c>
      <c r="Z901" s="299" t="s">
        <v>32</v>
      </c>
      <c r="AA901" s="292" t="s">
        <v>377</v>
      </c>
      <c r="AB901" s="295" t="s">
        <v>32</v>
      </c>
      <c r="AC901" s="289" t="s">
        <v>377</v>
      </c>
      <c r="AD901" s="299" t="s">
        <v>32</v>
      </c>
      <c r="AE901" s="292" t="s">
        <v>377</v>
      </c>
      <c r="AF901" s="295" t="s">
        <v>32</v>
      </c>
      <c r="AG901" s="292" t="s">
        <v>377</v>
      </c>
      <c r="AH901" s="292" t="s">
        <v>377</v>
      </c>
      <c r="AI901" s="288" t="s">
        <v>377</v>
      </c>
      <c r="AJ901" s="299" t="s">
        <v>32</v>
      </c>
      <c r="AK901" s="299" t="s">
        <v>32</v>
      </c>
      <c r="AL901" s="295" t="s">
        <v>32</v>
      </c>
      <c r="AM901" s="292" t="s">
        <v>377</v>
      </c>
      <c r="AN901" s="292" t="s">
        <v>377</v>
      </c>
      <c r="AO901" s="288" t="s">
        <v>377</v>
      </c>
      <c r="AP901" s="289" t="s">
        <v>377</v>
      </c>
      <c r="AQ901" s="299" t="s">
        <v>32</v>
      </c>
      <c r="AR901" s="299" t="s">
        <v>32</v>
      </c>
      <c r="AS901" s="295" t="s">
        <v>32</v>
      </c>
      <c r="AT901" s="299" t="s">
        <v>32</v>
      </c>
      <c r="AU901" s="299" t="s">
        <v>32</v>
      </c>
      <c r="AV901" s="295" t="s">
        <v>32</v>
      </c>
      <c r="AW901" s="299" t="s">
        <v>32</v>
      </c>
      <c r="AX901" s="299" t="s">
        <v>32</v>
      </c>
      <c r="AY901" s="295" t="s">
        <v>32</v>
      </c>
      <c r="AZ901" s="299" t="s">
        <v>32</v>
      </c>
      <c r="BA901" s="299" t="s">
        <v>32</v>
      </c>
      <c r="BB901" s="295" t="s">
        <v>32</v>
      </c>
      <c r="BC901" s="296" t="s">
        <v>32</v>
      </c>
      <c r="BD901" s="292"/>
    </row>
    <row r="902" ht="12.75" customHeight="1">
      <c r="A902" s="298">
        <v>59.0</v>
      </c>
      <c r="B902" s="297" t="s">
        <v>486</v>
      </c>
      <c r="C902" s="298" t="s">
        <v>567</v>
      </c>
      <c r="D902" s="298" t="s">
        <v>16</v>
      </c>
      <c r="E902" s="285" t="s">
        <v>577</v>
      </c>
      <c r="F902" s="292" t="s">
        <v>1442</v>
      </c>
      <c r="G902" s="298" t="s">
        <v>21</v>
      </c>
      <c r="H902" s="298">
        <v>15.0</v>
      </c>
      <c r="I902" s="292" t="s">
        <v>479</v>
      </c>
      <c r="J902" s="292" t="s">
        <v>545</v>
      </c>
      <c r="K902" s="287" t="s">
        <v>545</v>
      </c>
      <c r="L902" s="292" t="s">
        <v>497</v>
      </c>
      <c r="M902" s="292" t="s">
        <v>638</v>
      </c>
      <c r="N902" s="292"/>
      <c r="O902" s="298" t="s">
        <v>497</v>
      </c>
      <c r="P902" s="292" t="s">
        <v>612</v>
      </c>
      <c r="Q902" s="299" t="s">
        <v>32</v>
      </c>
      <c r="R902" s="292" t="s">
        <v>18</v>
      </c>
      <c r="S902" s="288" t="s">
        <v>377</v>
      </c>
      <c r="T902" s="292" t="s">
        <v>377</v>
      </c>
      <c r="U902" s="299" t="s">
        <v>32</v>
      </c>
      <c r="V902" s="295" t="s">
        <v>32</v>
      </c>
      <c r="W902" s="292" t="s">
        <v>18</v>
      </c>
      <c r="X902" s="292" t="s">
        <v>377</v>
      </c>
      <c r="Y902" s="288" t="s">
        <v>377</v>
      </c>
      <c r="Z902" s="299" t="s">
        <v>32</v>
      </c>
      <c r="AA902" s="292" t="s">
        <v>377</v>
      </c>
      <c r="AB902" s="295" t="s">
        <v>32</v>
      </c>
      <c r="AC902" s="289" t="s">
        <v>377</v>
      </c>
      <c r="AD902" s="292" t="s">
        <v>377</v>
      </c>
      <c r="AE902" s="292" t="s">
        <v>377</v>
      </c>
      <c r="AF902" s="288" t="s">
        <v>377</v>
      </c>
      <c r="AG902" s="292" t="s">
        <v>377</v>
      </c>
      <c r="AH902" s="292" t="s">
        <v>377</v>
      </c>
      <c r="AI902" s="288" t="s">
        <v>377</v>
      </c>
      <c r="AJ902" s="299" t="s">
        <v>32</v>
      </c>
      <c r="AK902" s="292" t="s">
        <v>377</v>
      </c>
      <c r="AL902" s="295" t="s">
        <v>32</v>
      </c>
      <c r="AM902" s="292" t="s">
        <v>18</v>
      </c>
      <c r="AN902" s="292" t="s">
        <v>377</v>
      </c>
      <c r="AO902" s="288" t="s">
        <v>377</v>
      </c>
      <c r="AP902" s="289" t="s">
        <v>377</v>
      </c>
      <c r="AQ902" s="299" t="s">
        <v>32</v>
      </c>
      <c r="AR902" s="299" t="s">
        <v>32</v>
      </c>
      <c r="AS902" s="295" t="s">
        <v>32</v>
      </c>
      <c r="AT902" s="292" t="s">
        <v>377</v>
      </c>
      <c r="AU902" s="292" t="s">
        <v>377</v>
      </c>
      <c r="AV902" s="288" t="s">
        <v>377</v>
      </c>
      <c r="AW902" s="292" t="s">
        <v>377</v>
      </c>
      <c r="AX902" s="292" t="s">
        <v>377</v>
      </c>
      <c r="AY902" s="288" t="s">
        <v>377</v>
      </c>
      <c r="AZ902" s="299" t="s">
        <v>32</v>
      </c>
      <c r="BA902" s="299" t="s">
        <v>32</v>
      </c>
      <c r="BB902" s="295" t="s">
        <v>32</v>
      </c>
      <c r="BC902" s="296" t="s">
        <v>32</v>
      </c>
      <c r="BD902" s="292"/>
    </row>
    <row r="903" ht="12.75" customHeight="1">
      <c r="A903" s="298">
        <v>60.0</v>
      </c>
      <c r="B903" s="297" t="s">
        <v>486</v>
      </c>
      <c r="C903" s="298" t="s">
        <v>567</v>
      </c>
      <c r="D903" s="298" t="s">
        <v>16</v>
      </c>
      <c r="E903" s="285" t="s">
        <v>577</v>
      </c>
      <c r="F903" s="292" t="s">
        <v>1443</v>
      </c>
      <c r="G903" s="298" t="s">
        <v>21</v>
      </c>
      <c r="H903" s="298">
        <v>16.0</v>
      </c>
      <c r="I903" s="292" t="s">
        <v>479</v>
      </c>
      <c r="J903" s="292" t="s">
        <v>545</v>
      </c>
      <c r="K903" s="287" t="s">
        <v>545</v>
      </c>
      <c r="L903" s="292" t="s">
        <v>497</v>
      </c>
      <c r="M903" s="292" t="s">
        <v>638</v>
      </c>
      <c r="N903" s="292"/>
      <c r="O903" s="298" t="s">
        <v>497</v>
      </c>
      <c r="P903" s="292" t="s">
        <v>612</v>
      </c>
      <c r="Q903" s="292" t="s">
        <v>377</v>
      </c>
      <c r="R903" s="299" t="s">
        <v>32</v>
      </c>
      <c r="S903" s="295" t="s">
        <v>32</v>
      </c>
      <c r="T903" s="292" t="s">
        <v>377</v>
      </c>
      <c r="U903" s="292" t="s">
        <v>377</v>
      </c>
      <c r="V903" s="288" t="s">
        <v>377</v>
      </c>
      <c r="W903" s="299" t="s">
        <v>32</v>
      </c>
      <c r="X903" s="299" t="s">
        <v>32</v>
      </c>
      <c r="Y903" s="295" t="s">
        <v>32</v>
      </c>
      <c r="Z903" s="299" t="s">
        <v>32</v>
      </c>
      <c r="AA903" s="292" t="s">
        <v>18</v>
      </c>
      <c r="AB903" s="288" t="s">
        <v>377</v>
      </c>
      <c r="AC903" s="289" t="s">
        <v>377</v>
      </c>
      <c r="AD903" s="299" t="s">
        <v>32</v>
      </c>
      <c r="AE903" s="292" t="s">
        <v>377</v>
      </c>
      <c r="AF903" s="295" t="s">
        <v>32</v>
      </c>
      <c r="AG903" s="292" t="s">
        <v>377</v>
      </c>
      <c r="AH903" s="292" t="s">
        <v>18</v>
      </c>
      <c r="AI903" s="288" t="s">
        <v>377</v>
      </c>
      <c r="AJ903" s="292" t="s">
        <v>18</v>
      </c>
      <c r="AK903" s="292" t="s">
        <v>18</v>
      </c>
      <c r="AL903" s="288" t="s">
        <v>18</v>
      </c>
      <c r="AM903" s="292" t="s">
        <v>18</v>
      </c>
      <c r="AN903" s="292" t="s">
        <v>18</v>
      </c>
      <c r="AO903" s="288" t="s">
        <v>18</v>
      </c>
      <c r="AP903" s="289" t="s">
        <v>377</v>
      </c>
      <c r="AQ903" s="292" t="s">
        <v>18</v>
      </c>
      <c r="AR903" s="292" t="s">
        <v>18</v>
      </c>
      <c r="AS903" s="288" t="s">
        <v>18</v>
      </c>
      <c r="AT903" s="299" t="s">
        <v>32</v>
      </c>
      <c r="AU903" s="299" t="s">
        <v>32</v>
      </c>
      <c r="AV903" s="295" t="s">
        <v>32</v>
      </c>
      <c r="AW903" s="292" t="s">
        <v>377</v>
      </c>
      <c r="AX903" s="292" t="s">
        <v>18</v>
      </c>
      <c r="AY903" s="288" t="s">
        <v>377</v>
      </c>
      <c r="AZ903" s="299" t="s">
        <v>32</v>
      </c>
      <c r="BA903" s="299" t="s">
        <v>32</v>
      </c>
      <c r="BB903" s="295" t="s">
        <v>32</v>
      </c>
      <c r="BC903" s="296" t="s">
        <v>32</v>
      </c>
      <c r="BD903" s="292"/>
    </row>
    <row r="904" ht="12.75" customHeight="1">
      <c r="A904" s="298">
        <v>63.0</v>
      </c>
      <c r="B904" s="297" t="s">
        <v>486</v>
      </c>
      <c r="C904" s="298" t="s">
        <v>567</v>
      </c>
      <c r="D904" s="298" t="s">
        <v>16</v>
      </c>
      <c r="E904" s="285" t="s">
        <v>577</v>
      </c>
      <c r="F904" s="292" t="s">
        <v>1444</v>
      </c>
      <c r="G904" s="298" t="s">
        <v>21</v>
      </c>
      <c r="H904" s="298">
        <v>16.0</v>
      </c>
      <c r="I904" s="292" t="s">
        <v>479</v>
      </c>
      <c r="J904" s="292" t="s">
        <v>545</v>
      </c>
      <c r="K904" s="287" t="s">
        <v>545</v>
      </c>
      <c r="L904" s="292" t="s">
        <v>497</v>
      </c>
      <c r="M904" s="292" t="s">
        <v>638</v>
      </c>
      <c r="N904" s="292"/>
      <c r="O904" s="298" t="s">
        <v>497</v>
      </c>
      <c r="P904" s="292" t="s">
        <v>612</v>
      </c>
      <c r="Q904" s="292" t="s">
        <v>377</v>
      </c>
      <c r="R904" s="292" t="s">
        <v>377</v>
      </c>
      <c r="S904" s="288" t="s">
        <v>377</v>
      </c>
      <c r="T904" s="292" t="s">
        <v>377</v>
      </c>
      <c r="U904" s="299" t="s">
        <v>32</v>
      </c>
      <c r="V904" s="295" t="s">
        <v>32</v>
      </c>
      <c r="W904" s="292" t="s">
        <v>377</v>
      </c>
      <c r="X904" s="292" t="s">
        <v>18</v>
      </c>
      <c r="Y904" s="288" t="s">
        <v>377</v>
      </c>
      <c r="Z904" s="292" t="s">
        <v>18</v>
      </c>
      <c r="AA904" s="292" t="s">
        <v>18</v>
      </c>
      <c r="AB904" s="288" t="s">
        <v>18</v>
      </c>
      <c r="AC904" s="289" t="s">
        <v>377</v>
      </c>
      <c r="AD904" s="292" t="s">
        <v>18</v>
      </c>
      <c r="AE904" s="292" t="s">
        <v>18</v>
      </c>
      <c r="AF904" s="288" t="s">
        <v>18</v>
      </c>
      <c r="AG904" s="292" t="s">
        <v>18</v>
      </c>
      <c r="AH904" s="292" t="s">
        <v>18</v>
      </c>
      <c r="AI904" s="288" t="s">
        <v>18</v>
      </c>
      <c r="AJ904" s="292" t="s">
        <v>377</v>
      </c>
      <c r="AK904" s="292" t="s">
        <v>18</v>
      </c>
      <c r="AL904" s="288" t="s">
        <v>377</v>
      </c>
      <c r="AM904" s="292" t="s">
        <v>18</v>
      </c>
      <c r="AN904" s="292" t="s">
        <v>18</v>
      </c>
      <c r="AO904" s="288" t="s">
        <v>18</v>
      </c>
      <c r="AP904" s="289" t="s">
        <v>18</v>
      </c>
      <c r="AQ904" s="292" t="s">
        <v>18</v>
      </c>
      <c r="AR904" s="292" t="s">
        <v>18</v>
      </c>
      <c r="AS904" s="288" t="s">
        <v>18</v>
      </c>
      <c r="AT904" s="299" t="s">
        <v>32</v>
      </c>
      <c r="AU904" s="292" t="s">
        <v>18</v>
      </c>
      <c r="AV904" s="288" t="s">
        <v>377</v>
      </c>
      <c r="AW904" s="292" t="s">
        <v>18</v>
      </c>
      <c r="AX904" s="292" t="s">
        <v>18</v>
      </c>
      <c r="AY904" s="288" t="s">
        <v>18</v>
      </c>
      <c r="AZ904" s="292" t="s">
        <v>377</v>
      </c>
      <c r="BA904" s="292" t="s">
        <v>18</v>
      </c>
      <c r="BB904" s="295" t="s">
        <v>32</v>
      </c>
      <c r="BC904" s="296" t="s">
        <v>32</v>
      </c>
      <c r="BD904" s="292"/>
    </row>
    <row r="905" ht="12.75" customHeight="1">
      <c r="A905" s="298">
        <v>65.0</v>
      </c>
      <c r="B905" s="297" t="s">
        <v>486</v>
      </c>
      <c r="C905" s="298" t="s">
        <v>567</v>
      </c>
      <c r="D905" s="298" t="s">
        <v>16</v>
      </c>
      <c r="E905" s="285" t="s">
        <v>577</v>
      </c>
      <c r="F905" s="292" t="s">
        <v>1445</v>
      </c>
      <c r="G905" s="298" t="s">
        <v>21</v>
      </c>
      <c r="H905" s="298">
        <v>16.0</v>
      </c>
      <c r="I905" s="292" t="s">
        <v>479</v>
      </c>
      <c r="J905" s="292" t="s">
        <v>545</v>
      </c>
      <c r="K905" s="287" t="s">
        <v>545</v>
      </c>
      <c r="L905" s="292" t="s">
        <v>497</v>
      </c>
      <c r="M905" s="292" t="s">
        <v>638</v>
      </c>
      <c r="N905" s="292"/>
      <c r="O905" s="298" t="s">
        <v>497</v>
      </c>
      <c r="P905" s="292" t="s">
        <v>612</v>
      </c>
      <c r="Q905" s="292" t="s">
        <v>18</v>
      </c>
      <c r="R905" s="292" t="s">
        <v>18</v>
      </c>
      <c r="S905" s="288" t="s">
        <v>18</v>
      </c>
      <c r="T905" s="292" t="s">
        <v>18</v>
      </c>
      <c r="U905" s="292" t="s">
        <v>377</v>
      </c>
      <c r="V905" s="288" t="s">
        <v>377</v>
      </c>
      <c r="W905" s="292" t="s">
        <v>18</v>
      </c>
      <c r="X905" s="292" t="s">
        <v>18</v>
      </c>
      <c r="Y905" s="288" t="s">
        <v>18</v>
      </c>
      <c r="Z905" s="292" t="s">
        <v>377</v>
      </c>
      <c r="AA905" s="292" t="s">
        <v>377</v>
      </c>
      <c r="AB905" s="288" t="s">
        <v>377</v>
      </c>
      <c r="AC905" s="289" t="s">
        <v>18</v>
      </c>
      <c r="AD905" s="292" t="s">
        <v>18</v>
      </c>
      <c r="AE905" s="292" t="s">
        <v>377</v>
      </c>
      <c r="AF905" s="288" t="s">
        <v>377</v>
      </c>
      <c r="AG905" s="292" t="s">
        <v>18</v>
      </c>
      <c r="AH905" s="292" t="s">
        <v>18</v>
      </c>
      <c r="AI905" s="288" t="s">
        <v>18</v>
      </c>
      <c r="AJ905" s="292" t="s">
        <v>377</v>
      </c>
      <c r="AK905" s="292" t="s">
        <v>377</v>
      </c>
      <c r="AL905" s="288" t="s">
        <v>377</v>
      </c>
      <c r="AM905" s="292" t="s">
        <v>18</v>
      </c>
      <c r="AN905" s="292" t="s">
        <v>18</v>
      </c>
      <c r="AO905" s="288" t="s">
        <v>18</v>
      </c>
      <c r="AP905" s="289" t="s">
        <v>18</v>
      </c>
      <c r="AQ905" s="292" t="s">
        <v>18</v>
      </c>
      <c r="AR905" s="292" t="s">
        <v>18</v>
      </c>
      <c r="AS905" s="288" t="s">
        <v>18</v>
      </c>
      <c r="AT905" s="299" t="s">
        <v>32</v>
      </c>
      <c r="AU905" s="299" t="s">
        <v>32</v>
      </c>
      <c r="AV905" s="295" t="s">
        <v>32</v>
      </c>
      <c r="AW905" s="292" t="s">
        <v>377</v>
      </c>
      <c r="AX905" s="292" t="s">
        <v>18</v>
      </c>
      <c r="AY905" s="288" t="s">
        <v>377</v>
      </c>
      <c r="AZ905" s="292" t="s">
        <v>18</v>
      </c>
      <c r="BA905" s="292" t="s">
        <v>377</v>
      </c>
      <c r="BB905" s="295" t="s">
        <v>32</v>
      </c>
      <c r="BC905" s="296" t="s">
        <v>32</v>
      </c>
      <c r="BD905" s="292"/>
    </row>
    <row r="906" ht="12.75" customHeight="1">
      <c r="A906" s="298">
        <v>67.0</v>
      </c>
      <c r="B906" s="297" t="s">
        <v>486</v>
      </c>
      <c r="C906" s="298" t="s">
        <v>567</v>
      </c>
      <c r="D906" s="298" t="s">
        <v>16</v>
      </c>
      <c r="E906" s="285" t="s">
        <v>577</v>
      </c>
      <c r="F906" s="292" t="s">
        <v>1446</v>
      </c>
      <c r="G906" s="298" t="s">
        <v>17</v>
      </c>
      <c r="H906" s="298">
        <v>16.0</v>
      </c>
      <c r="I906" s="292" t="s">
        <v>479</v>
      </c>
      <c r="J906" s="292" t="s">
        <v>545</v>
      </c>
      <c r="K906" s="287" t="s">
        <v>545</v>
      </c>
      <c r="L906" s="292" t="s">
        <v>497</v>
      </c>
      <c r="M906" s="292" t="s">
        <v>638</v>
      </c>
      <c r="N906" s="292"/>
      <c r="O906" s="298" t="s">
        <v>497</v>
      </c>
      <c r="P906" s="292" t="s">
        <v>612</v>
      </c>
      <c r="Q906" s="292" t="s">
        <v>377</v>
      </c>
      <c r="R906" s="299" t="s">
        <v>32</v>
      </c>
      <c r="S906" s="295" t="s">
        <v>32</v>
      </c>
      <c r="T906" s="292" t="s">
        <v>377</v>
      </c>
      <c r="U906" s="299" t="s">
        <v>32</v>
      </c>
      <c r="V906" s="295" t="s">
        <v>32</v>
      </c>
      <c r="W906" s="292" t="s">
        <v>377</v>
      </c>
      <c r="X906" s="292" t="s">
        <v>377</v>
      </c>
      <c r="Y906" s="288" t="s">
        <v>377</v>
      </c>
      <c r="Z906" s="299" t="s">
        <v>32</v>
      </c>
      <c r="AA906" s="292" t="s">
        <v>18</v>
      </c>
      <c r="AB906" s="288" t="s">
        <v>377</v>
      </c>
      <c r="AC906" s="289" t="s">
        <v>377</v>
      </c>
      <c r="AD906" s="299" t="s">
        <v>32</v>
      </c>
      <c r="AE906" s="292" t="s">
        <v>377</v>
      </c>
      <c r="AF906" s="295" t="s">
        <v>32</v>
      </c>
      <c r="AG906" s="292" t="s">
        <v>377</v>
      </c>
      <c r="AH906" s="292" t="s">
        <v>18</v>
      </c>
      <c r="AI906" s="288" t="s">
        <v>377</v>
      </c>
      <c r="AJ906" s="299" t="s">
        <v>32</v>
      </c>
      <c r="AK906" s="292" t="s">
        <v>18</v>
      </c>
      <c r="AL906" s="288" t="s">
        <v>377</v>
      </c>
      <c r="AM906" s="292" t="s">
        <v>18</v>
      </c>
      <c r="AN906" s="292" t="s">
        <v>18</v>
      </c>
      <c r="AO906" s="288" t="s">
        <v>18</v>
      </c>
      <c r="AP906" s="289" t="s">
        <v>377</v>
      </c>
      <c r="AQ906" s="292" t="s">
        <v>18</v>
      </c>
      <c r="AR906" s="299" t="s">
        <v>32</v>
      </c>
      <c r="AS906" s="288" t="s">
        <v>377</v>
      </c>
      <c r="AT906" s="299" t="s">
        <v>32</v>
      </c>
      <c r="AU906" s="299" t="s">
        <v>32</v>
      </c>
      <c r="AV906" s="295" t="s">
        <v>32</v>
      </c>
      <c r="AW906" s="292" t="s">
        <v>18</v>
      </c>
      <c r="AX906" s="292" t="s">
        <v>18</v>
      </c>
      <c r="AY906" s="288" t="s">
        <v>18</v>
      </c>
      <c r="AZ906" s="299" t="s">
        <v>32</v>
      </c>
      <c r="BA906" s="299" t="s">
        <v>32</v>
      </c>
      <c r="BB906" s="295" t="s">
        <v>32</v>
      </c>
      <c r="BC906" s="289" t="s">
        <v>377</v>
      </c>
      <c r="BD906" s="292"/>
    </row>
    <row r="907" ht="12.75" customHeight="1">
      <c r="A907" s="298">
        <v>68.0</v>
      </c>
      <c r="B907" s="297" t="s">
        <v>486</v>
      </c>
      <c r="C907" s="298" t="s">
        <v>567</v>
      </c>
      <c r="D907" s="298" t="s">
        <v>16</v>
      </c>
      <c r="E907" s="285" t="s">
        <v>577</v>
      </c>
      <c r="F907" s="292" t="s">
        <v>1447</v>
      </c>
      <c r="G907" s="298" t="s">
        <v>21</v>
      </c>
      <c r="H907" s="298">
        <v>15.0</v>
      </c>
      <c r="I907" s="292" t="s">
        <v>479</v>
      </c>
      <c r="J907" s="292" t="s">
        <v>545</v>
      </c>
      <c r="K907" s="287" t="s">
        <v>545</v>
      </c>
      <c r="L907" s="292" t="s">
        <v>497</v>
      </c>
      <c r="M907" s="292" t="s">
        <v>638</v>
      </c>
      <c r="N907" s="292"/>
      <c r="O907" s="298" t="s">
        <v>497</v>
      </c>
      <c r="P907" s="292" t="s">
        <v>612</v>
      </c>
      <c r="Q907" s="292" t="s">
        <v>377</v>
      </c>
      <c r="R907" s="292" t="s">
        <v>377</v>
      </c>
      <c r="S907" s="288" t="s">
        <v>377</v>
      </c>
      <c r="T907" s="292" t="s">
        <v>377</v>
      </c>
      <c r="U907" s="299" t="s">
        <v>32</v>
      </c>
      <c r="V907" s="295" t="s">
        <v>32</v>
      </c>
      <c r="W907" s="292" t="s">
        <v>18</v>
      </c>
      <c r="X907" s="299" t="s">
        <v>32</v>
      </c>
      <c r="Y907" s="288" t="s">
        <v>377</v>
      </c>
      <c r="Z907" s="292" t="s">
        <v>18</v>
      </c>
      <c r="AA907" s="292" t="s">
        <v>18</v>
      </c>
      <c r="AB907" s="288" t="s">
        <v>18</v>
      </c>
      <c r="AC907" s="289" t="s">
        <v>377</v>
      </c>
      <c r="AD907" s="292" t="s">
        <v>18</v>
      </c>
      <c r="AE907" s="292" t="s">
        <v>377</v>
      </c>
      <c r="AF907" s="288" t="s">
        <v>377</v>
      </c>
      <c r="AG907" s="292" t="s">
        <v>377</v>
      </c>
      <c r="AH907" s="292" t="s">
        <v>18</v>
      </c>
      <c r="AI907" s="288" t="s">
        <v>377</v>
      </c>
      <c r="AJ907" s="292" t="s">
        <v>377</v>
      </c>
      <c r="AK907" s="292" t="s">
        <v>377</v>
      </c>
      <c r="AL907" s="288" t="s">
        <v>377</v>
      </c>
      <c r="AM907" s="292" t="s">
        <v>18</v>
      </c>
      <c r="AN907" s="292" t="s">
        <v>18</v>
      </c>
      <c r="AO907" s="288" t="s">
        <v>18</v>
      </c>
      <c r="AP907" s="289" t="s">
        <v>377</v>
      </c>
      <c r="AQ907" s="292" t="s">
        <v>18</v>
      </c>
      <c r="AR907" s="292" t="s">
        <v>377</v>
      </c>
      <c r="AS907" s="288" t="s">
        <v>377</v>
      </c>
      <c r="AT907" s="299" t="s">
        <v>32</v>
      </c>
      <c r="AU907" s="299" t="s">
        <v>32</v>
      </c>
      <c r="AV907" s="295" t="s">
        <v>32</v>
      </c>
      <c r="AW907" s="292" t="s">
        <v>18</v>
      </c>
      <c r="AX907" s="292" t="s">
        <v>18</v>
      </c>
      <c r="AY907" s="288" t="s">
        <v>18</v>
      </c>
      <c r="AZ907" s="299" t="s">
        <v>32</v>
      </c>
      <c r="BA907" s="299" t="s">
        <v>32</v>
      </c>
      <c r="BB907" s="295" t="s">
        <v>32</v>
      </c>
      <c r="BC907" s="289" t="s">
        <v>377</v>
      </c>
      <c r="BD907" s="292"/>
    </row>
    <row r="908" ht="12.75" customHeight="1">
      <c r="A908" s="298">
        <v>71.0</v>
      </c>
      <c r="B908" s="297" t="s">
        <v>486</v>
      </c>
      <c r="C908" s="298" t="s">
        <v>567</v>
      </c>
      <c r="D908" s="298" t="s">
        <v>16</v>
      </c>
      <c r="E908" s="285" t="s">
        <v>577</v>
      </c>
      <c r="F908" s="292" t="s">
        <v>1448</v>
      </c>
      <c r="G908" s="298" t="s">
        <v>17</v>
      </c>
      <c r="H908" s="298">
        <v>16.0</v>
      </c>
      <c r="I908" s="292" t="s">
        <v>479</v>
      </c>
      <c r="J908" s="292" t="s">
        <v>545</v>
      </c>
      <c r="K908" s="287" t="s">
        <v>545</v>
      </c>
      <c r="L908" s="292" t="s">
        <v>497</v>
      </c>
      <c r="M908" s="292" t="s">
        <v>638</v>
      </c>
      <c r="N908" s="292"/>
      <c r="O908" s="298" t="s">
        <v>497</v>
      </c>
      <c r="P908" s="292" t="s">
        <v>612</v>
      </c>
      <c r="Q908" s="292" t="s">
        <v>377</v>
      </c>
      <c r="R908" s="292" t="s">
        <v>18</v>
      </c>
      <c r="S908" s="288" t="s">
        <v>377</v>
      </c>
      <c r="T908" s="292" t="s">
        <v>377</v>
      </c>
      <c r="U908" s="292" t="s">
        <v>377</v>
      </c>
      <c r="V908" s="288" t="s">
        <v>377</v>
      </c>
      <c r="W908" s="292" t="s">
        <v>377</v>
      </c>
      <c r="X908" s="292" t="s">
        <v>18</v>
      </c>
      <c r="Y908" s="288" t="s">
        <v>377</v>
      </c>
      <c r="Z908" s="292" t="s">
        <v>377</v>
      </c>
      <c r="AA908" s="292" t="s">
        <v>377</v>
      </c>
      <c r="AB908" s="288" t="s">
        <v>377</v>
      </c>
      <c r="AC908" s="289" t="s">
        <v>377</v>
      </c>
      <c r="AD908" s="292" t="s">
        <v>18</v>
      </c>
      <c r="AE908" s="292" t="s">
        <v>377</v>
      </c>
      <c r="AF908" s="288" t="s">
        <v>377</v>
      </c>
      <c r="AG908" s="292" t="s">
        <v>377</v>
      </c>
      <c r="AH908" s="292" t="s">
        <v>377</v>
      </c>
      <c r="AI908" s="288" t="s">
        <v>377</v>
      </c>
      <c r="AJ908" s="299" t="s">
        <v>32</v>
      </c>
      <c r="AK908" s="292" t="s">
        <v>377</v>
      </c>
      <c r="AL908" s="295" t="s">
        <v>32</v>
      </c>
      <c r="AM908" s="292" t="s">
        <v>18</v>
      </c>
      <c r="AN908" s="292" t="s">
        <v>18</v>
      </c>
      <c r="AO908" s="288" t="s">
        <v>18</v>
      </c>
      <c r="AP908" s="289" t="s">
        <v>377</v>
      </c>
      <c r="AQ908" s="292" t="s">
        <v>377</v>
      </c>
      <c r="AR908" s="292" t="s">
        <v>377</v>
      </c>
      <c r="AS908" s="288" t="s">
        <v>377</v>
      </c>
      <c r="AT908" s="299" t="s">
        <v>32</v>
      </c>
      <c r="AU908" s="299" t="s">
        <v>32</v>
      </c>
      <c r="AV908" s="295" t="s">
        <v>32</v>
      </c>
      <c r="AW908" s="292" t="s">
        <v>377</v>
      </c>
      <c r="AX908" s="299" t="s">
        <v>32</v>
      </c>
      <c r="AY908" s="295" t="s">
        <v>32</v>
      </c>
      <c r="AZ908" s="299" t="s">
        <v>32</v>
      </c>
      <c r="BA908" s="299" t="s">
        <v>32</v>
      </c>
      <c r="BB908" s="288" t="s">
        <v>377</v>
      </c>
      <c r="BC908" s="289" t="s">
        <v>377</v>
      </c>
      <c r="BD908" s="292"/>
    </row>
    <row r="909" ht="12.75" customHeight="1">
      <c r="A909" s="293">
        <v>45271.88472695602</v>
      </c>
      <c r="B909" s="286" t="s">
        <v>504</v>
      </c>
      <c r="C909" s="287" t="s">
        <v>559</v>
      </c>
      <c r="D909" s="285" t="s">
        <v>16</v>
      </c>
      <c r="E909" s="285" t="s">
        <v>476</v>
      </c>
      <c r="F909" s="287" t="s">
        <v>1449</v>
      </c>
      <c r="G909" s="285" t="s">
        <v>21</v>
      </c>
      <c r="H909" s="285">
        <v>12.0</v>
      </c>
      <c r="I909" s="287" t="s">
        <v>479</v>
      </c>
      <c r="J909" s="287" t="s">
        <v>545</v>
      </c>
      <c r="K909" s="287" t="s">
        <v>545</v>
      </c>
      <c r="L909" s="287" t="s">
        <v>497</v>
      </c>
      <c r="M909" s="292"/>
      <c r="N909" s="292"/>
      <c r="O909" s="292"/>
      <c r="P909" s="292"/>
      <c r="Q909" s="294" t="s">
        <v>32</v>
      </c>
      <c r="R909" s="287" t="s">
        <v>377</v>
      </c>
      <c r="S909" s="295" t="s">
        <v>32</v>
      </c>
      <c r="T909" s="287" t="s">
        <v>18</v>
      </c>
      <c r="U909" s="294" t="s">
        <v>32</v>
      </c>
      <c r="V909" s="288" t="s">
        <v>377</v>
      </c>
      <c r="W909" s="287" t="s">
        <v>18</v>
      </c>
      <c r="X909" s="287" t="s">
        <v>18</v>
      </c>
      <c r="Y909" s="288" t="s">
        <v>18</v>
      </c>
      <c r="Z909" s="287" t="s">
        <v>377</v>
      </c>
      <c r="AA909" s="287" t="s">
        <v>18</v>
      </c>
      <c r="AB909" s="288" t="s">
        <v>377</v>
      </c>
      <c r="AC909" s="289" t="s">
        <v>377</v>
      </c>
      <c r="AD909" s="287" t="s">
        <v>18</v>
      </c>
      <c r="AE909" s="287" t="s">
        <v>18</v>
      </c>
      <c r="AF909" s="288" t="s">
        <v>18</v>
      </c>
      <c r="AG909" s="287" t="s">
        <v>18</v>
      </c>
      <c r="AH909" s="287" t="s">
        <v>18</v>
      </c>
      <c r="AI909" s="288" t="s">
        <v>18</v>
      </c>
      <c r="AJ909" s="287" t="s">
        <v>18</v>
      </c>
      <c r="AK909" s="287" t="s">
        <v>18</v>
      </c>
      <c r="AL909" s="288" t="s">
        <v>18</v>
      </c>
      <c r="AM909" s="287" t="s">
        <v>18</v>
      </c>
      <c r="AN909" s="287" t="s">
        <v>18</v>
      </c>
      <c r="AO909" s="288" t="s">
        <v>18</v>
      </c>
      <c r="AP909" s="289" t="s">
        <v>18</v>
      </c>
      <c r="AQ909" s="287" t="s">
        <v>377</v>
      </c>
      <c r="AR909" s="294" t="s">
        <v>32</v>
      </c>
      <c r="AS909" s="295" t="s">
        <v>32</v>
      </c>
      <c r="AT909" s="294" t="s">
        <v>32</v>
      </c>
      <c r="AU909" s="287" t="s">
        <v>377</v>
      </c>
      <c r="AV909" s="295" t="s">
        <v>32</v>
      </c>
      <c r="AW909" s="294" t="s">
        <v>32</v>
      </c>
      <c r="AX909" s="287" t="s">
        <v>18</v>
      </c>
      <c r="AY909" s="288" t="s">
        <v>377</v>
      </c>
      <c r="AZ909" s="287" t="s">
        <v>18</v>
      </c>
      <c r="BA909" s="287" t="s">
        <v>18</v>
      </c>
      <c r="BB909" s="295" t="s">
        <v>32</v>
      </c>
      <c r="BC909" s="296" t="s">
        <v>32</v>
      </c>
      <c r="BD909" s="292"/>
    </row>
    <row r="910" ht="12.75" customHeight="1">
      <c r="A910" s="293">
        <v>44785.4584887963</v>
      </c>
      <c r="B910" s="297" t="s">
        <v>504</v>
      </c>
      <c r="C910" s="298" t="s">
        <v>567</v>
      </c>
      <c r="D910" s="298" t="s">
        <v>16</v>
      </c>
      <c r="E910" s="285" t="s">
        <v>476</v>
      </c>
      <c r="F910" s="292" t="s">
        <v>1450</v>
      </c>
      <c r="G910" s="298" t="s">
        <v>21</v>
      </c>
      <c r="H910" s="298">
        <v>11.0</v>
      </c>
      <c r="I910" s="292" t="s">
        <v>479</v>
      </c>
      <c r="J910" s="292" t="s">
        <v>545</v>
      </c>
      <c r="K910" s="287" t="s">
        <v>545</v>
      </c>
      <c r="L910" s="292" t="s">
        <v>497</v>
      </c>
      <c r="M910" s="292" t="s">
        <v>586</v>
      </c>
      <c r="N910" s="292"/>
      <c r="O910" s="292"/>
      <c r="P910" s="292"/>
      <c r="Q910" s="292" t="s">
        <v>377</v>
      </c>
      <c r="R910" s="299" t="s">
        <v>32</v>
      </c>
      <c r="S910" s="295" t="s">
        <v>32</v>
      </c>
      <c r="T910" s="292" t="s">
        <v>18</v>
      </c>
      <c r="U910" s="299" t="s">
        <v>32</v>
      </c>
      <c r="V910" s="288" t="s">
        <v>377</v>
      </c>
      <c r="W910" s="292" t="s">
        <v>18</v>
      </c>
      <c r="X910" s="292" t="s">
        <v>377</v>
      </c>
      <c r="Y910" s="288" t="s">
        <v>377</v>
      </c>
      <c r="Z910" s="292" t="s">
        <v>377</v>
      </c>
      <c r="AA910" s="292" t="s">
        <v>377</v>
      </c>
      <c r="AB910" s="288" t="s">
        <v>377</v>
      </c>
      <c r="AC910" s="289" t="s">
        <v>377</v>
      </c>
      <c r="AD910" s="292" t="s">
        <v>18</v>
      </c>
      <c r="AE910" s="292" t="s">
        <v>377</v>
      </c>
      <c r="AF910" s="288" t="s">
        <v>377</v>
      </c>
      <c r="AG910" s="292" t="s">
        <v>18</v>
      </c>
      <c r="AH910" s="292" t="s">
        <v>18</v>
      </c>
      <c r="AI910" s="288" t="s">
        <v>18</v>
      </c>
      <c r="AJ910" s="292" t="s">
        <v>18</v>
      </c>
      <c r="AK910" s="292" t="s">
        <v>377</v>
      </c>
      <c r="AL910" s="288" t="s">
        <v>377</v>
      </c>
      <c r="AM910" s="292" t="s">
        <v>377</v>
      </c>
      <c r="AN910" s="292" t="s">
        <v>18</v>
      </c>
      <c r="AO910" s="288" t="s">
        <v>377</v>
      </c>
      <c r="AP910" s="289" t="s">
        <v>18</v>
      </c>
      <c r="AQ910" s="299" t="s">
        <v>32</v>
      </c>
      <c r="AR910" s="292" t="s">
        <v>18</v>
      </c>
      <c r="AS910" s="288" t="s">
        <v>377</v>
      </c>
      <c r="AT910" s="299" t="s">
        <v>32</v>
      </c>
      <c r="AU910" s="299" t="s">
        <v>32</v>
      </c>
      <c r="AV910" s="295" t="s">
        <v>32</v>
      </c>
      <c r="AW910" s="292" t="s">
        <v>377</v>
      </c>
      <c r="AX910" s="292" t="s">
        <v>18</v>
      </c>
      <c r="AY910" s="288" t="s">
        <v>377</v>
      </c>
      <c r="AZ910" s="299" t="s">
        <v>32</v>
      </c>
      <c r="BA910" s="299" t="s">
        <v>32</v>
      </c>
      <c r="BB910" s="295" t="s">
        <v>32</v>
      </c>
      <c r="BC910" s="289" t="s">
        <v>377</v>
      </c>
      <c r="BD910" s="292"/>
    </row>
    <row r="911" ht="12.75" customHeight="1">
      <c r="A911" s="293">
        <v>45243.41045462963</v>
      </c>
      <c r="B911" s="286" t="s">
        <v>506</v>
      </c>
      <c r="C911" s="287" t="s">
        <v>559</v>
      </c>
      <c r="D911" s="285" t="s">
        <v>16</v>
      </c>
      <c r="E911" s="285" t="s">
        <v>476</v>
      </c>
      <c r="F911" s="287" t="s">
        <v>1451</v>
      </c>
      <c r="G911" s="285" t="s">
        <v>17</v>
      </c>
      <c r="H911" s="285">
        <v>12.0</v>
      </c>
      <c r="I911" s="287" t="s">
        <v>479</v>
      </c>
      <c r="J911" s="287" t="s">
        <v>545</v>
      </c>
      <c r="K911" s="287" t="s">
        <v>545</v>
      </c>
      <c r="L911" s="287" t="s">
        <v>479</v>
      </c>
      <c r="M911" s="287" t="s">
        <v>483</v>
      </c>
      <c r="N911" s="287" t="s">
        <v>561</v>
      </c>
      <c r="O911" s="287"/>
      <c r="P911" s="287"/>
      <c r="Q911" s="294" t="s">
        <v>32</v>
      </c>
      <c r="R911" s="294" t="s">
        <v>32</v>
      </c>
      <c r="S911" s="295" t="s">
        <v>32</v>
      </c>
      <c r="T911" s="287" t="s">
        <v>377</v>
      </c>
      <c r="U911" s="287" t="s">
        <v>377</v>
      </c>
      <c r="V911" s="288" t="s">
        <v>377</v>
      </c>
      <c r="W911" s="294" t="s">
        <v>32</v>
      </c>
      <c r="X911" s="294" t="s">
        <v>32</v>
      </c>
      <c r="Y911" s="295" t="s">
        <v>32</v>
      </c>
      <c r="Z911" s="294" t="s">
        <v>32</v>
      </c>
      <c r="AA911" s="294" t="s">
        <v>32</v>
      </c>
      <c r="AB911" s="295" t="s">
        <v>32</v>
      </c>
      <c r="AC911" s="296" t="s">
        <v>32</v>
      </c>
      <c r="AD911" s="294" t="s">
        <v>32</v>
      </c>
      <c r="AE911" s="287" t="s">
        <v>18</v>
      </c>
      <c r="AF911" s="288" t="s">
        <v>377</v>
      </c>
      <c r="AG911" s="294" t="s">
        <v>32</v>
      </c>
      <c r="AH911" s="294" t="s">
        <v>32</v>
      </c>
      <c r="AI911" s="295" t="s">
        <v>32</v>
      </c>
      <c r="AJ911" s="294" t="s">
        <v>32</v>
      </c>
      <c r="AK911" s="287" t="s">
        <v>18</v>
      </c>
      <c r="AL911" s="288" t="s">
        <v>377</v>
      </c>
      <c r="AM911" s="287" t="s">
        <v>18</v>
      </c>
      <c r="AN911" s="294" t="s">
        <v>32</v>
      </c>
      <c r="AO911" s="288" t="s">
        <v>377</v>
      </c>
      <c r="AP911" s="289" t="s">
        <v>377</v>
      </c>
      <c r="AQ911" s="294" t="s">
        <v>32</v>
      </c>
      <c r="AR911" s="287" t="s">
        <v>377</v>
      </c>
      <c r="AS911" s="295" t="s">
        <v>32</v>
      </c>
      <c r="AT911" s="294" t="s">
        <v>32</v>
      </c>
      <c r="AU911" s="294" t="s">
        <v>32</v>
      </c>
      <c r="AV911" s="295" t="s">
        <v>32</v>
      </c>
      <c r="AW911" s="287" t="s">
        <v>377</v>
      </c>
      <c r="AX911" s="294" t="s">
        <v>32</v>
      </c>
      <c r="AY911" s="295" t="s">
        <v>32</v>
      </c>
      <c r="AZ911" s="294" t="s">
        <v>32</v>
      </c>
      <c r="BA911" s="287" t="s">
        <v>377</v>
      </c>
      <c r="BB911" s="288" t="s">
        <v>18</v>
      </c>
      <c r="BC911" s="289" t="s">
        <v>377</v>
      </c>
      <c r="BD911" s="292"/>
    </row>
    <row r="912" ht="12.75" customHeight="1">
      <c r="A912" s="293">
        <v>45243.42669475694</v>
      </c>
      <c r="B912" s="286" t="s">
        <v>506</v>
      </c>
      <c r="C912" s="287" t="s">
        <v>559</v>
      </c>
      <c r="D912" s="285" t="s">
        <v>16</v>
      </c>
      <c r="E912" s="285" t="s">
        <v>476</v>
      </c>
      <c r="F912" s="287" t="s">
        <v>1452</v>
      </c>
      <c r="G912" s="285" t="s">
        <v>21</v>
      </c>
      <c r="H912" s="285">
        <v>12.0</v>
      </c>
      <c r="I912" s="287" t="s">
        <v>479</v>
      </c>
      <c r="J912" s="287" t="s">
        <v>545</v>
      </c>
      <c r="K912" s="287" t="s">
        <v>545</v>
      </c>
      <c r="L912" s="287" t="s">
        <v>479</v>
      </c>
      <c r="M912" s="287" t="s">
        <v>481</v>
      </c>
      <c r="N912" s="287" t="s">
        <v>561</v>
      </c>
      <c r="O912" s="287"/>
      <c r="P912" s="287"/>
      <c r="Q912" s="294" t="s">
        <v>32</v>
      </c>
      <c r="R912" s="287" t="s">
        <v>377</v>
      </c>
      <c r="S912" s="295" t="s">
        <v>32</v>
      </c>
      <c r="T912" s="294" t="s">
        <v>32</v>
      </c>
      <c r="U912" s="294" t="s">
        <v>32</v>
      </c>
      <c r="V912" s="295" t="s">
        <v>32</v>
      </c>
      <c r="W912" s="294" t="s">
        <v>32</v>
      </c>
      <c r="X912" s="294" t="s">
        <v>32</v>
      </c>
      <c r="Y912" s="295" t="s">
        <v>32</v>
      </c>
      <c r="Z912" s="294" t="s">
        <v>32</v>
      </c>
      <c r="AA912" s="287" t="s">
        <v>377</v>
      </c>
      <c r="AB912" s="295" t="s">
        <v>32</v>
      </c>
      <c r="AC912" s="296" t="s">
        <v>32</v>
      </c>
      <c r="AD912" s="294" t="s">
        <v>32</v>
      </c>
      <c r="AE912" s="294" t="s">
        <v>32</v>
      </c>
      <c r="AF912" s="295" t="s">
        <v>32</v>
      </c>
      <c r="AG912" s="287" t="s">
        <v>18</v>
      </c>
      <c r="AH912" s="287" t="s">
        <v>18</v>
      </c>
      <c r="AI912" s="288" t="s">
        <v>18</v>
      </c>
      <c r="AJ912" s="294" t="s">
        <v>32</v>
      </c>
      <c r="AK912" s="287" t="s">
        <v>377</v>
      </c>
      <c r="AL912" s="295" t="s">
        <v>32</v>
      </c>
      <c r="AM912" s="287" t="s">
        <v>18</v>
      </c>
      <c r="AN912" s="294" t="s">
        <v>32</v>
      </c>
      <c r="AO912" s="288" t="s">
        <v>377</v>
      </c>
      <c r="AP912" s="289" t="s">
        <v>377</v>
      </c>
      <c r="AQ912" s="287" t="s">
        <v>18</v>
      </c>
      <c r="AR912" s="294" t="s">
        <v>32</v>
      </c>
      <c r="AS912" s="288" t="s">
        <v>377</v>
      </c>
      <c r="AT912" s="294" t="s">
        <v>32</v>
      </c>
      <c r="AU912" s="294" t="s">
        <v>32</v>
      </c>
      <c r="AV912" s="295" t="s">
        <v>32</v>
      </c>
      <c r="AW912" s="287" t="s">
        <v>377</v>
      </c>
      <c r="AX912" s="294" t="s">
        <v>32</v>
      </c>
      <c r="AY912" s="295" t="s">
        <v>32</v>
      </c>
      <c r="AZ912" s="294" t="s">
        <v>32</v>
      </c>
      <c r="BA912" s="294" t="s">
        <v>32</v>
      </c>
      <c r="BB912" s="288" t="s">
        <v>377</v>
      </c>
      <c r="BC912" s="296" t="s">
        <v>32</v>
      </c>
      <c r="BD912" s="292"/>
    </row>
    <row r="913" ht="12.75" customHeight="1">
      <c r="A913" s="293">
        <v>45243.45237515046</v>
      </c>
      <c r="B913" s="286" t="s">
        <v>506</v>
      </c>
      <c r="C913" s="287" t="s">
        <v>559</v>
      </c>
      <c r="D913" s="285" t="s">
        <v>16</v>
      </c>
      <c r="E913" s="285" t="s">
        <v>476</v>
      </c>
      <c r="F913" s="287" t="s">
        <v>1453</v>
      </c>
      <c r="G913" s="285" t="s">
        <v>21</v>
      </c>
      <c r="H913" s="285">
        <v>12.0</v>
      </c>
      <c r="I913" s="287" t="s">
        <v>479</v>
      </c>
      <c r="J913" s="287" t="s">
        <v>545</v>
      </c>
      <c r="K913" s="287" t="s">
        <v>545</v>
      </c>
      <c r="L913" s="287" t="s">
        <v>479</v>
      </c>
      <c r="M913" s="287" t="s">
        <v>490</v>
      </c>
      <c r="N913" s="287" t="s">
        <v>561</v>
      </c>
      <c r="O913" s="287"/>
      <c r="P913" s="287"/>
      <c r="Q913" s="294" t="s">
        <v>32</v>
      </c>
      <c r="R913" s="287" t="s">
        <v>377</v>
      </c>
      <c r="S913" s="295" t="s">
        <v>32</v>
      </c>
      <c r="T913" s="287" t="s">
        <v>18</v>
      </c>
      <c r="U913" s="294" t="s">
        <v>32</v>
      </c>
      <c r="V913" s="288" t="s">
        <v>377</v>
      </c>
      <c r="W913" s="294" t="s">
        <v>32</v>
      </c>
      <c r="X913" s="287" t="s">
        <v>377</v>
      </c>
      <c r="Y913" s="295" t="s">
        <v>32</v>
      </c>
      <c r="Z913" s="294" t="s">
        <v>32</v>
      </c>
      <c r="AA913" s="287" t="s">
        <v>377</v>
      </c>
      <c r="AB913" s="295" t="s">
        <v>32</v>
      </c>
      <c r="AC913" s="289" t="s">
        <v>377</v>
      </c>
      <c r="AD913" s="287" t="s">
        <v>18</v>
      </c>
      <c r="AE913" s="287" t="s">
        <v>377</v>
      </c>
      <c r="AF913" s="288" t="s">
        <v>377</v>
      </c>
      <c r="AG913" s="287" t="s">
        <v>18</v>
      </c>
      <c r="AH913" s="294" t="s">
        <v>32</v>
      </c>
      <c r="AI913" s="288" t="s">
        <v>377</v>
      </c>
      <c r="AJ913" s="287" t="s">
        <v>18</v>
      </c>
      <c r="AK913" s="287" t="s">
        <v>377</v>
      </c>
      <c r="AL913" s="288" t="s">
        <v>377</v>
      </c>
      <c r="AM913" s="287" t="s">
        <v>377</v>
      </c>
      <c r="AN913" s="287" t="s">
        <v>18</v>
      </c>
      <c r="AO913" s="288" t="s">
        <v>377</v>
      </c>
      <c r="AP913" s="289" t="s">
        <v>377</v>
      </c>
      <c r="AQ913" s="294" t="s">
        <v>32</v>
      </c>
      <c r="AR913" s="287" t="s">
        <v>377</v>
      </c>
      <c r="AS913" s="295" t="s">
        <v>32</v>
      </c>
      <c r="AT913" s="287" t="s">
        <v>18</v>
      </c>
      <c r="AU913" s="294" t="s">
        <v>32</v>
      </c>
      <c r="AV913" s="288" t="s">
        <v>377</v>
      </c>
      <c r="AW913" s="287" t="s">
        <v>18</v>
      </c>
      <c r="AX913" s="294" t="s">
        <v>32</v>
      </c>
      <c r="AY913" s="288" t="s">
        <v>377</v>
      </c>
      <c r="AZ913" s="287" t="s">
        <v>377</v>
      </c>
      <c r="BA913" s="287" t="s">
        <v>18</v>
      </c>
      <c r="BB913" s="295" t="s">
        <v>32</v>
      </c>
      <c r="BC913" s="296" t="s">
        <v>32</v>
      </c>
      <c r="BD913" s="292"/>
    </row>
    <row r="914" ht="12.75" customHeight="1">
      <c r="A914" s="298">
        <v>36.0</v>
      </c>
      <c r="B914" s="297" t="s">
        <v>525</v>
      </c>
      <c r="C914" s="298" t="s">
        <v>567</v>
      </c>
      <c r="D914" s="298" t="s">
        <v>16</v>
      </c>
      <c r="E914" s="285" t="s">
        <v>577</v>
      </c>
      <c r="F914" s="292" t="s">
        <v>1454</v>
      </c>
      <c r="G914" s="298" t="s">
        <v>21</v>
      </c>
      <c r="H914" s="298">
        <v>15.0</v>
      </c>
      <c r="I914" s="292" t="s">
        <v>479</v>
      </c>
      <c r="J914" s="292" t="s">
        <v>545</v>
      </c>
      <c r="K914" s="287" t="s">
        <v>545</v>
      </c>
      <c r="L914" s="292" t="s">
        <v>479</v>
      </c>
      <c r="M914" s="292" t="s">
        <v>483</v>
      </c>
      <c r="N914" s="292"/>
      <c r="O914" s="298" t="s">
        <v>497</v>
      </c>
      <c r="P914" s="292" t="s">
        <v>612</v>
      </c>
      <c r="Q914" s="299" t="s">
        <v>32</v>
      </c>
      <c r="R914" s="299" t="s">
        <v>32</v>
      </c>
      <c r="S914" s="295" t="s">
        <v>32</v>
      </c>
      <c r="T914" s="292" t="s">
        <v>18</v>
      </c>
      <c r="U914" s="299" t="s">
        <v>32</v>
      </c>
      <c r="V914" s="288" t="s">
        <v>377</v>
      </c>
      <c r="W914" s="299" t="s">
        <v>32</v>
      </c>
      <c r="X914" s="292" t="s">
        <v>18</v>
      </c>
      <c r="Y914" s="288" t="s">
        <v>377</v>
      </c>
      <c r="Z914" s="299" t="s">
        <v>32</v>
      </c>
      <c r="AA914" s="299" t="s">
        <v>32</v>
      </c>
      <c r="AB914" s="295" t="s">
        <v>32</v>
      </c>
      <c r="AC914" s="296" t="s">
        <v>32</v>
      </c>
      <c r="AD914" s="292" t="s">
        <v>377</v>
      </c>
      <c r="AE914" s="299" t="s">
        <v>32</v>
      </c>
      <c r="AF914" s="295" t="s">
        <v>32</v>
      </c>
      <c r="AG914" s="292" t="s">
        <v>18</v>
      </c>
      <c r="AH914" s="292" t="s">
        <v>377</v>
      </c>
      <c r="AI914" s="288" t="s">
        <v>377</v>
      </c>
      <c r="AJ914" s="299" t="s">
        <v>32</v>
      </c>
      <c r="AK914" s="299" t="s">
        <v>32</v>
      </c>
      <c r="AL914" s="295" t="s">
        <v>32</v>
      </c>
      <c r="AM914" s="292" t="s">
        <v>377</v>
      </c>
      <c r="AN914" s="299" t="s">
        <v>32</v>
      </c>
      <c r="AO914" s="295" t="s">
        <v>32</v>
      </c>
      <c r="AP914" s="289" t="s">
        <v>377</v>
      </c>
      <c r="AQ914" s="299" t="s">
        <v>32</v>
      </c>
      <c r="AR914" s="299" t="s">
        <v>32</v>
      </c>
      <c r="AS914" s="295" t="s">
        <v>32</v>
      </c>
      <c r="AT914" s="299" t="s">
        <v>32</v>
      </c>
      <c r="AU914" s="299" t="s">
        <v>32</v>
      </c>
      <c r="AV914" s="295" t="s">
        <v>32</v>
      </c>
      <c r="AW914" s="299" t="s">
        <v>32</v>
      </c>
      <c r="AX914" s="299" t="s">
        <v>32</v>
      </c>
      <c r="AY914" s="295" t="s">
        <v>32</v>
      </c>
      <c r="AZ914" s="299" t="s">
        <v>32</v>
      </c>
      <c r="BA914" s="299" t="s">
        <v>32</v>
      </c>
      <c r="BB914" s="295" t="s">
        <v>32</v>
      </c>
      <c r="BC914" s="296" t="s">
        <v>32</v>
      </c>
      <c r="BD914" s="292"/>
    </row>
    <row r="915" ht="12.75" customHeight="1">
      <c r="A915" s="298">
        <v>43.0</v>
      </c>
      <c r="B915" s="297" t="s">
        <v>525</v>
      </c>
      <c r="C915" s="298" t="s">
        <v>567</v>
      </c>
      <c r="D915" s="298" t="s">
        <v>16</v>
      </c>
      <c r="E915" s="285" t="s">
        <v>577</v>
      </c>
      <c r="F915" s="292" t="s">
        <v>1455</v>
      </c>
      <c r="G915" s="298" t="s">
        <v>17</v>
      </c>
      <c r="H915" s="298">
        <v>15.0</v>
      </c>
      <c r="I915" s="292" t="s">
        <v>479</v>
      </c>
      <c r="J915" s="292" t="s">
        <v>545</v>
      </c>
      <c r="K915" s="287" t="s">
        <v>545</v>
      </c>
      <c r="L915" s="292" t="s">
        <v>479</v>
      </c>
      <c r="M915" s="292" t="s">
        <v>483</v>
      </c>
      <c r="N915" s="292"/>
      <c r="O915" s="298" t="s">
        <v>497</v>
      </c>
      <c r="P915" s="292" t="s">
        <v>612</v>
      </c>
      <c r="Q915" s="292" t="s">
        <v>377</v>
      </c>
      <c r="R915" s="292" t="s">
        <v>18</v>
      </c>
      <c r="S915" s="288" t="s">
        <v>377</v>
      </c>
      <c r="T915" s="292" t="s">
        <v>377</v>
      </c>
      <c r="U915" s="292" t="s">
        <v>377</v>
      </c>
      <c r="V915" s="288" t="s">
        <v>377</v>
      </c>
      <c r="W915" s="292" t="s">
        <v>377</v>
      </c>
      <c r="X915" s="292" t="s">
        <v>377</v>
      </c>
      <c r="Y915" s="288" t="s">
        <v>377</v>
      </c>
      <c r="Z915" s="292" t="s">
        <v>377</v>
      </c>
      <c r="AA915" s="292" t="s">
        <v>18</v>
      </c>
      <c r="AB915" s="288" t="s">
        <v>377</v>
      </c>
      <c r="AC915" s="289" t="s">
        <v>377</v>
      </c>
      <c r="AD915" s="292" t="s">
        <v>18</v>
      </c>
      <c r="AE915" s="299" t="s">
        <v>32</v>
      </c>
      <c r="AF915" s="288" t="s">
        <v>377</v>
      </c>
      <c r="AG915" s="292" t="s">
        <v>377</v>
      </c>
      <c r="AH915" s="299" t="s">
        <v>32</v>
      </c>
      <c r="AI915" s="295" t="s">
        <v>32</v>
      </c>
      <c r="AJ915" s="299" t="s">
        <v>32</v>
      </c>
      <c r="AK915" s="292" t="s">
        <v>377</v>
      </c>
      <c r="AL915" s="295" t="s">
        <v>32</v>
      </c>
      <c r="AM915" s="292" t="s">
        <v>18</v>
      </c>
      <c r="AN915" s="292" t="s">
        <v>18</v>
      </c>
      <c r="AO915" s="288" t="s">
        <v>18</v>
      </c>
      <c r="AP915" s="289" t="s">
        <v>377</v>
      </c>
      <c r="AQ915" s="299" t="s">
        <v>32</v>
      </c>
      <c r="AR915" s="299" t="s">
        <v>32</v>
      </c>
      <c r="AS915" s="295" t="s">
        <v>32</v>
      </c>
      <c r="AT915" s="299" t="s">
        <v>32</v>
      </c>
      <c r="AU915" s="299" t="s">
        <v>32</v>
      </c>
      <c r="AV915" s="295" t="s">
        <v>32</v>
      </c>
      <c r="AW915" s="299" t="s">
        <v>32</v>
      </c>
      <c r="AX915" s="292" t="s">
        <v>377</v>
      </c>
      <c r="AY915" s="295" t="s">
        <v>32</v>
      </c>
      <c r="AZ915" s="292" t="s">
        <v>377</v>
      </c>
      <c r="BA915" s="292" t="s">
        <v>377</v>
      </c>
      <c r="BB915" s="295" t="s">
        <v>32</v>
      </c>
      <c r="BC915" s="289" t="s">
        <v>377</v>
      </c>
      <c r="BD915" s="292"/>
    </row>
  </sheetData>
  <autoFilter ref="$A$1:$BA$915">
    <sortState ref="A1:BA915">
      <sortCondition ref="K1:K915"/>
    </sortState>
  </autoFilter>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30.13"/>
    <col customWidth="1" min="3" max="3" width="16.38"/>
    <col customWidth="1" min="4" max="4" width="18.13"/>
    <col customWidth="1" min="5" max="5" width="12.63"/>
    <col customWidth="1" min="6" max="6" width="15.5"/>
    <col customWidth="1" min="7" max="9" width="9.5"/>
    <col customWidth="1" min="10" max="10" width="8.0"/>
  </cols>
  <sheetData>
    <row r="1">
      <c r="A1" s="301" t="s">
        <v>312</v>
      </c>
      <c r="B1" s="10" t="s">
        <v>1456</v>
      </c>
      <c r="C1" s="10" t="s">
        <v>1457</v>
      </c>
      <c r="D1" s="10" t="s">
        <v>401</v>
      </c>
      <c r="E1" s="10" t="s">
        <v>403</v>
      </c>
      <c r="F1" s="10" t="s">
        <v>1458</v>
      </c>
      <c r="G1" s="10" t="s">
        <v>3</v>
      </c>
      <c r="H1" s="10" t="s">
        <v>1459</v>
      </c>
      <c r="I1" s="302" t="s">
        <v>1460</v>
      </c>
      <c r="J1" s="10" t="s">
        <v>402</v>
      </c>
      <c r="K1" s="10" t="s">
        <v>1461</v>
      </c>
      <c r="L1" s="36"/>
      <c r="M1" s="36"/>
      <c r="N1" s="36"/>
      <c r="O1" s="36"/>
      <c r="P1" s="36"/>
      <c r="Q1" s="36"/>
      <c r="R1" s="36"/>
      <c r="S1" s="36"/>
      <c r="T1" s="36"/>
      <c r="U1" s="36"/>
      <c r="V1" s="36"/>
      <c r="W1" s="36"/>
      <c r="X1" s="36"/>
      <c r="Y1" s="36"/>
      <c r="Z1" s="36"/>
      <c r="AA1" s="36"/>
      <c r="AB1" s="36"/>
      <c r="AC1" s="36"/>
    </row>
    <row r="2">
      <c r="A2" s="303">
        <v>1.0</v>
      </c>
      <c r="B2" s="304" t="s">
        <v>394</v>
      </c>
      <c r="C2" s="199" t="s">
        <v>396</v>
      </c>
      <c r="D2" s="153" t="s">
        <v>406</v>
      </c>
      <c r="E2" s="153" t="s">
        <v>405</v>
      </c>
      <c r="F2" s="305" t="s">
        <v>1462</v>
      </c>
      <c r="G2" s="306" t="s">
        <v>418</v>
      </c>
      <c r="H2" s="306" t="s">
        <v>415</v>
      </c>
      <c r="I2" s="307">
        <v>50495.0</v>
      </c>
      <c r="J2" s="37">
        <v>1.0</v>
      </c>
    </row>
    <row r="3">
      <c r="A3" s="303"/>
      <c r="B3" s="304" t="s">
        <v>394</v>
      </c>
      <c r="C3" s="199" t="s">
        <v>396</v>
      </c>
      <c r="D3" s="153" t="s">
        <v>406</v>
      </c>
      <c r="E3" s="153" t="s">
        <v>405</v>
      </c>
      <c r="F3" s="308" t="s">
        <v>1463</v>
      </c>
      <c r="G3" s="306" t="s">
        <v>418</v>
      </c>
      <c r="H3" s="306" t="s">
        <v>416</v>
      </c>
      <c r="I3" s="307">
        <v>50495.0</v>
      </c>
      <c r="J3" s="37">
        <v>0.0</v>
      </c>
    </row>
    <row r="4">
      <c r="A4" s="303"/>
      <c r="B4" s="304" t="s">
        <v>394</v>
      </c>
      <c r="C4" s="199" t="s">
        <v>396</v>
      </c>
      <c r="D4" s="153" t="s">
        <v>406</v>
      </c>
      <c r="E4" s="153" t="s">
        <v>405</v>
      </c>
      <c r="F4" s="309" t="s">
        <v>1464</v>
      </c>
      <c r="G4" s="306" t="s">
        <v>420</v>
      </c>
      <c r="H4" s="306" t="s">
        <v>415</v>
      </c>
      <c r="I4" s="307">
        <v>50495.0</v>
      </c>
      <c r="J4" s="37">
        <v>2.0</v>
      </c>
    </row>
    <row r="5">
      <c r="A5" s="303"/>
      <c r="B5" s="304" t="s">
        <v>394</v>
      </c>
      <c r="C5" s="199" t="s">
        <v>396</v>
      </c>
      <c r="D5" s="153" t="s">
        <v>406</v>
      </c>
      <c r="E5" s="153" t="s">
        <v>405</v>
      </c>
      <c r="F5" s="309" t="s">
        <v>1465</v>
      </c>
      <c r="G5" s="306" t="s">
        <v>420</v>
      </c>
      <c r="H5" s="306" t="s">
        <v>416</v>
      </c>
      <c r="I5" s="307">
        <v>50495.0</v>
      </c>
      <c r="J5" s="37">
        <v>1.0</v>
      </c>
    </row>
    <row r="6">
      <c r="A6" s="303"/>
      <c r="B6" s="304" t="s">
        <v>394</v>
      </c>
      <c r="C6" s="199" t="s">
        <v>396</v>
      </c>
      <c r="D6" s="153" t="s">
        <v>406</v>
      </c>
      <c r="E6" s="153" t="s">
        <v>405</v>
      </c>
      <c r="F6" s="310" t="s">
        <v>1466</v>
      </c>
      <c r="G6" s="306" t="s">
        <v>422</v>
      </c>
      <c r="H6" s="306" t="s">
        <v>415</v>
      </c>
      <c r="I6" s="307">
        <v>50495.0</v>
      </c>
      <c r="J6" s="37">
        <v>1.0</v>
      </c>
    </row>
    <row r="7">
      <c r="A7" s="303"/>
      <c r="B7" s="304" t="s">
        <v>394</v>
      </c>
      <c r="C7" s="199" t="s">
        <v>396</v>
      </c>
      <c r="D7" s="153" t="s">
        <v>406</v>
      </c>
      <c r="E7" s="153" t="s">
        <v>405</v>
      </c>
      <c r="F7" s="310" t="s">
        <v>1467</v>
      </c>
      <c r="G7" s="306" t="s">
        <v>422</v>
      </c>
      <c r="H7" s="306" t="s">
        <v>416</v>
      </c>
      <c r="I7" s="307">
        <v>50495.0</v>
      </c>
      <c r="J7" s="37">
        <v>2.0</v>
      </c>
    </row>
    <row r="8">
      <c r="A8" s="303"/>
      <c r="B8" s="304" t="s">
        <v>1468</v>
      </c>
      <c r="C8" s="153"/>
      <c r="D8" s="153"/>
      <c r="E8" s="153"/>
      <c r="F8" s="308"/>
      <c r="G8" s="306" t="s">
        <v>1468</v>
      </c>
      <c r="H8" s="306" t="s">
        <v>1468</v>
      </c>
      <c r="I8" s="311"/>
    </row>
    <row r="9">
      <c r="A9" s="303">
        <v>2.0</v>
      </c>
      <c r="B9" s="304" t="s">
        <v>394</v>
      </c>
      <c r="C9" s="199" t="s">
        <v>396</v>
      </c>
      <c r="D9" s="153" t="s">
        <v>406</v>
      </c>
      <c r="E9" s="153" t="s">
        <v>405</v>
      </c>
      <c r="F9" s="305" t="s">
        <v>1462</v>
      </c>
      <c r="G9" s="306" t="s">
        <v>418</v>
      </c>
      <c r="H9" s="306" t="s">
        <v>415</v>
      </c>
      <c r="I9" s="307">
        <v>50547.0</v>
      </c>
      <c r="J9" s="37">
        <v>1.0</v>
      </c>
    </row>
    <row r="10">
      <c r="A10" s="303"/>
      <c r="B10" s="304" t="s">
        <v>394</v>
      </c>
      <c r="C10" s="199" t="s">
        <v>396</v>
      </c>
      <c r="D10" s="153" t="s">
        <v>406</v>
      </c>
      <c r="E10" s="153" t="s">
        <v>405</v>
      </c>
      <c r="F10" s="308" t="s">
        <v>1463</v>
      </c>
      <c r="G10" s="306" t="s">
        <v>418</v>
      </c>
      <c r="H10" s="306" t="s">
        <v>416</v>
      </c>
      <c r="I10" s="307">
        <v>50547.0</v>
      </c>
      <c r="J10" s="37">
        <v>2.0</v>
      </c>
    </row>
    <row r="11">
      <c r="A11" s="303"/>
      <c r="B11" s="304" t="s">
        <v>394</v>
      </c>
      <c r="C11" s="199" t="s">
        <v>396</v>
      </c>
      <c r="D11" s="153" t="s">
        <v>406</v>
      </c>
      <c r="E11" s="153" t="s">
        <v>405</v>
      </c>
      <c r="F11" s="309" t="s">
        <v>1464</v>
      </c>
      <c r="G11" s="306" t="s">
        <v>420</v>
      </c>
      <c r="H11" s="306" t="s">
        <v>415</v>
      </c>
      <c r="I11" s="307">
        <v>50547.0</v>
      </c>
      <c r="J11" s="37">
        <v>1.0</v>
      </c>
    </row>
    <row r="12">
      <c r="A12" s="303"/>
      <c r="B12" s="304" t="s">
        <v>394</v>
      </c>
      <c r="C12" s="199" t="s">
        <v>396</v>
      </c>
      <c r="D12" s="153" t="s">
        <v>406</v>
      </c>
      <c r="E12" s="153" t="s">
        <v>405</v>
      </c>
      <c r="F12" s="309" t="s">
        <v>1465</v>
      </c>
      <c r="G12" s="306" t="s">
        <v>420</v>
      </c>
      <c r="H12" s="306" t="s">
        <v>416</v>
      </c>
      <c r="I12" s="307">
        <v>50547.0</v>
      </c>
      <c r="J12" s="37">
        <v>2.0</v>
      </c>
    </row>
    <row r="13">
      <c r="A13" s="303"/>
      <c r="B13" s="304" t="s">
        <v>394</v>
      </c>
      <c r="C13" s="199" t="s">
        <v>396</v>
      </c>
      <c r="D13" s="153" t="s">
        <v>406</v>
      </c>
      <c r="E13" s="153" t="s">
        <v>405</v>
      </c>
      <c r="F13" s="310" t="s">
        <v>1466</v>
      </c>
      <c r="G13" s="306" t="s">
        <v>422</v>
      </c>
      <c r="H13" s="306" t="s">
        <v>415</v>
      </c>
      <c r="I13" s="307">
        <v>50547.0</v>
      </c>
      <c r="J13" s="37">
        <v>2.0</v>
      </c>
    </row>
    <row r="14">
      <c r="A14" s="303"/>
      <c r="B14" s="304" t="s">
        <v>394</v>
      </c>
      <c r="C14" s="199" t="s">
        <v>396</v>
      </c>
      <c r="D14" s="153" t="s">
        <v>406</v>
      </c>
      <c r="E14" s="153" t="s">
        <v>405</v>
      </c>
      <c r="F14" s="310" t="s">
        <v>1467</v>
      </c>
      <c r="G14" s="306" t="s">
        <v>422</v>
      </c>
      <c r="H14" s="306" t="s">
        <v>416</v>
      </c>
      <c r="I14" s="307">
        <v>50547.0</v>
      </c>
      <c r="J14" s="37">
        <v>1.0</v>
      </c>
    </row>
    <row r="15">
      <c r="A15" s="303"/>
      <c r="B15" s="304" t="s">
        <v>1468</v>
      </c>
      <c r="C15" s="153"/>
      <c r="D15" s="153"/>
      <c r="E15" s="153"/>
      <c r="F15" s="308"/>
      <c r="G15" s="306" t="s">
        <v>1468</v>
      </c>
      <c r="H15" s="306" t="s">
        <v>1468</v>
      </c>
      <c r="I15" s="307"/>
    </row>
    <row r="16">
      <c r="A16" s="303">
        <v>3.0</v>
      </c>
      <c r="B16" s="304" t="s">
        <v>394</v>
      </c>
      <c r="C16" s="304" t="s">
        <v>396</v>
      </c>
      <c r="D16" s="153" t="s">
        <v>406</v>
      </c>
      <c r="E16" s="153" t="s">
        <v>405</v>
      </c>
      <c r="F16" s="305" t="s">
        <v>1462</v>
      </c>
      <c r="G16" s="306" t="s">
        <v>418</v>
      </c>
      <c r="H16" s="306" t="s">
        <v>415</v>
      </c>
      <c r="I16" s="307">
        <v>50550.0</v>
      </c>
      <c r="J16" s="37">
        <v>2.0</v>
      </c>
    </row>
    <row r="17">
      <c r="A17" s="303"/>
      <c r="B17" s="304" t="s">
        <v>394</v>
      </c>
      <c r="C17" s="304" t="s">
        <v>396</v>
      </c>
      <c r="D17" s="153" t="s">
        <v>406</v>
      </c>
      <c r="E17" s="153" t="s">
        <v>405</v>
      </c>
      <c r="F17" s="308" t="s">
        <v>1463</v>
      </c>
      <c r="G17" s="306" t="s">
        <v>418</v>
      </c>
      <c r="H17" s="306" t="s">
        <v>416</v>
      </c>
      <c r="I17" s="307">
        <v>50550.0</v>
      </c>
      <c r="J17" s="37">
        <v>1.0</v>
      </c>
    </row>
    <row r="18">
      <c r="A18" s="303"/>
      <c r="B18" s="304" t="s">
        <v>394</v>
      </c>
      <c r="C18" s="304" t="s">
        <v>396</v>
      </c>
      <c r="D18" s="153" t="s">
        <v>406</v>
      </c>
      <c r="E18" s="153" t="s">
        <v>405</v>
      </c>
      <c r="F18" s="309" t="s">
        <v>1464</v>
      </c>
      <c r="G18" s="306" t="s">
        <v>420</v>
      </c>
      <c r="H18" s="306" t="s">
        <v>415</v>
      </c>
      <c r="I18" s="307">
        <v>50550.0</v>
      </c>
      <c r="J18" s="37">
        <v>2.0</v>
      </c>
    </row>
    <row r="19">
      <c r="A19" s="303"/>
      <c r="B19" s="304" t="s">
        <v>394</v>
      </c>
      <c r="C19" s="304" t="s">
        <v>396</v>
      </c>
      <c r="D19" s="153" t="s">
        <v>406</v>
      </c>
      <c r="E19" s="153" t="s">
        <v>405</v>
      </c>
      <c r="F19" s="309" t="s">
        <v>1465</v>
      </c>
      <c r="G19" s="306" t="s">
        <v>420</v>
      </c>
      <c r="H19" s="306" t="s">
        <v>416</v>
      </c>
      <c r="I19" s="307">
        <v>50550.0</v>
      </c>
      <c r="J19" s="37">
        <v>0.0</v>
      </c>
    </row>
    <row r="20">
      <c r="A20" s="303"/>
      <c r="B20" s="304" t="s">
        <v>394</v>
      </c>
      <c r="C20" s="304" t="s">
        <v>396</v>
      </c>
      <c r="D20" s="153" t="s">
        <v>406</v>
      </c>
      <c r="E20" s="153" t="s">
        <v>405</v>
      </c>
      <c r="F20" s="310" t="s">
        <v>1466</v>
      </c>
      <c r="G20" s="306" t="s">
        <v>422</v>
      </c>
      <c r="H20" s="306" t="s">
        <v>415</v>
      </c>
      <c r="I20" s="307">
        <v>50550.0</v>
      </c>
      <c r="J20" s="37">
        <v>1.0</v>
      </c>
    </row>
    <row r="21">
      <c r="A21" s="303"/>
      <c r="B21" s="304" t="s">
        <v>394</v>
      </c>
      <c r="C21" s="304" t="s">
        <v>396</v>
      </c>
      <c r="D21" s="153" t="s">
        <v>406</v>
      </c>
      <c r="E21" s="153" t="s">
        <v>405</v>
      </c>
      <c r="F21" s="310" t="s">
        <v>1467</v>
      </c>
      <c r="G21" s="306" t="s">
        <v>422</v>
      </c>
      <c r="H21" s="306" t="s">
        <v>416</v>
      </c>
      <c r="I21" s="307">
        <v>50550.0</v>
      </c>
      <c r="J21" s="37">
        <v>0.0</v>
      </c>
    </row>
    <row r="22">
      <c r="A22" s="312"/>
      <c r="B22" s="37" t="s">
        <v>1468</v>
      </c>
      <c r="C22" s="37" t="s">
        <v>1468</v>
      </c>
      <c r="D22" s="37"/>
      <c r="E22" s="37"/>
      <c r="F22" s="37"/>
      <c r="G22" s="306" t="s">
        <v>1468</v>
      </c>
      <c r="H22" s="306" t="s">
        <v>1468</v>
      </c>
      <c r="I22" s="173"/>
    </row>
    <row r="23">
      <c r="A23" s="303">
        <v>4.0</v>
      </c>
      <c r="B23" s="304" t="s">
        <v>394</v>
      </c>
      <c r="C23" s="37" t="s">
        <v>396</v>
      </c>
      <c r="D23" s="153" t="s">
        <v>406</v>
      </c>
      <c r="E23" s="153" t="s">
        <v>405</v>
      </c>
      <c r="F23" s="305" t="s">
        <v>1462</v>
      </c>
      <c r="G23" s="306" t="s">
        <v>418</v>
      </c>
      <c r="H23" s="306" t="s">
        <v>415</v>
      </c>
      <c r="I23" s="307">
        <v>50553.0</v>
      </c>
      <c r="J23" s="37">
        <v>0.0</v>
      </c>
    </row>
    <row r="24">
      <c r="A24" s="303"/>
      <c r="B24" s="304" t="s">
        <v>394</v>
      </c>
      <c r="C24" s="37" t="s">
        <v>396</v>
      </c>
      <c r="D24" s="153" t="s">
        <v>406</v>
      </c>
      <c r="E24" s="153" t="s">
        <v>405</v>
      </c>
      <c r="F24" s="308" t="s">
        <v>1463</v>
      </c>
      <c r="G24" s="306" t="s">
        <v>418</v>
      </c>
      <c r="H24" s="306" t="s">
        <v>416</v>
      </c>
      <c r="I24" s="307">
        <v>50553.0</v>
      </c>
      <c r="J24" s="37">
        <v>0.0</v>
      </c>
    </row>
    <row r="25">
      <c r="A25" s="303"/>
      <c r="B25" s="304" t="s">
        <v>394</v>
      </c>
      <c r="C25" s="37" t="s">
        <v>396</v>
      </c>
      <c r="D25" s="153" t="s">
        <v>406</v>
      </c>
      <c r="E25" s="153" t="s">
        <v>405</v>
      </c>
      <c r="F25" s="309" t="s">
        <v>1464</v>
      </c>
      <c r="G25" s="306" t="s">
        <v>420</v>
      </c>
      <c r="H25" s="306" t="s">
        <v>415</v>
      </c>
      <c r="I25" s="307">
        <v>50553.0</v>
      </c>
      <c r="J25" s="37">
        <v>0.0</v>
      </c>
    </row>
    <row r="26">
      <c r="A26" s="303"/>
      <c r="B26" s="304" t="s">
        <v>394</v>
      </c>
      <c r="C26" s="37" t="s">
        <v>396</v>
      </c>
      <c r="D26" s="153" t="s">
        <v>406</v>
      </c>
      <c r="E26" s="153" t="s">
        <v>405</v>
      </c>
      <c r="F26" s="309" t="s">
        <v>1465</v>
      </c>
      <c r="G26" s="306" t="s">
        <v>420</v>
      </c>
      <c r="H26" s="306" t="s">
        <v>416</v>
      </c>
      <c r="I26" s="307">
        <v>50553.0</v>
      </c>
      <c r="J26" s="37">
        <v>1.0</v>
      </c>
    </row>
    <row r="27">
      <c r="A27" s="303"/>
      <c r="B27" s="304" t="s">
        <v>394</v>
      </c>
      <c r="C27" s="37" t="s">
        <v>396</v>
      </c>
      <c r="D27" s="153" t="s">
        <v>406</v>
      </c>
      <c r="E27" s="153" t="s">
        <v>405</v>
      </c>
      <c r="F27" s="310" t="s">
        <v>1466</v>
      </c>
      <c r="G27" s="306" t="s">
        <v>422</v>
      </c>
      <c r="H27" s="306" t="s">
        <v>415</v>
      </c>
      <c r="I27" s="307">
        <v>50553.0</v>
      </c>
      <c r="J27" s="37">
        <v>0.0</v>
      </c>
    </row>
    <row r="28">
      <c r="A28" s="303"/>
      <c r="B28" s="304" t="s">
        <v>394</v>
      </c>
      <c r="C28" s="37" t="s">
        <v>396</v>
      </c>
      <c r="D28" s="153" t="s">
        <v>406</v>
      </c>
      <c r="E28" s="153" t="s">
        <v>405</v>
      </c>
      <c r="F28" s="310" t="s">
        <v>1467</v>
      </c>
      <c r="G28" s="306" t="s">
        <v>422</v>
      </c>
      <c r="H28" s="306" t="s">
        <v>416</v>
      </c>
      <c r="I28" s="307">
        <v>50553.0</v>
      </c>
      <c r="J28" s="37">
        <v>1.0</v>
      </c>
    </row>
    <row r="29">
      <c r="A29" s="312"/>
      <c r="B29" s="37" t="s">
        <v>1468</v>
      </c>
      <c r="C29" s="37" t="s">
        <v>1468</v>
      </c>
      <c r="D29" s="37"/>
      <c r="E29" s="37"/>
      <c r="F29" s="37"/>
      <c r="G29" s="306" t="s">
        <v>1468</v>
      </c>
      <c r="H29" s="306" t="s">
        <v>1468</v>
      </c>
      <c r="I29" s="173"/>
    </row>
    <row r="30">
      <c r="A30" s="303">
        <v>5.0</v>
      </c>
      <c r="B30" s="304" t="s">
        <v>394</v>
      </c>
      <c r="C30" s="37" t="s">
        <v>396</v>
      </c>
      <c r="D30" s="153" t="s">
        <v>406</v>
      </c>
      <c r="E30" s="153" t="s">
        <v>405</v>
      </c>
      <c r="F30" s="305" t="s">
        <v>1462</v>
      </c>
      <c r="G30" s="306" t="s">
        <v>418</v>
      </c>
      <c r="H30" s="306" t="s">
        <v>415</v>
      </c>
      <c r="I30" s="307">
        <v>50558.0</v>
      </c>
      <c r="J30" s="37">
        <v>1.0</v>
      </c>
    </row>
    <row r="31">
      <c r="A31" s="303"/>
      <c r="B31" s="304" t="s">
        <v>394</v>
      </c>
      <c r="C31" s="37" t="s">
        <v>396</v>
      </c>
      <c r="D31" s="153" t="s">
        <v>406</v>
      </c>
      <c r="E31" s="153" t="s">
        <v>405</v>
      </c>
      <c r="F31" s="308" t="s">
        <v>1463</v>
      </c>
      <c r="G31" s="306" t="s">
        <v>418</v>
      </c>
      <c r="H31" s="306" t="s">
        <v>416</v>
      </c>
      <c r="I31" s="307">
        <v>50558.0</v>
      </c>
      <c r="J31" s="37">
        <v>0.0</v>
      </c>
    </row>
    <row r="32">
      <c r="A32" s="303"/>
      <c r="B32" s="304" t="s">
        <v>394</v>
      </c>
      <c r="C32" s="37" t="s">
        <v>396</v>
      </c>
      <c r="D32" s="153" t="s">
        <v>406</v>
      </c>
      <c r="E32" s="153" t="s">
        <v>405</v>
      </c>
      <c r="F32" s="309" t="s">
        <v>1464</v>
      </c>
      <c r="G32" s="306" t="s">
        <v>420</v>
      </c>
      <c r="H32" s="306" t="s">
        <v>415</v>
      </c>
      <c r="I32" s="307">
        <v>50558.0</v>
      </c>
      <c r="J32" s="37">
        <v>1.0</v>
      </c>
    </row>
    <row r="33">
      <c r="A33" s="303"/>
      <c r="B33" s="304" t="s">
        <v>394</v>
      </c>
      <c r="C33" s="37" t="s">
        <v>396</v>
      </c>
      <c r="D33" s="153" t="s">
        <v>406</v>
      </c>
      <c r="E33" s="153" t="s">
        <v>405</v>
      </c>
      <c r="F33" s="309" t="s">
        <v>1465</v>
      </c>
      <c r="G33" s="306" t="s">
        <v>420</v>
      </c>
      <c r="H33" s="306" t="s">
        <v>416</v>
      </c>
      <c r="I33" s="307">
        <v>50558.0</v>
      </c>
      <c r="J33" s="37">
        <v>1.0</v>
      </c>
    </row>
    <row r="34">
      <c r="A34" s="303"/>
      <c r="B34" s="304" t="s">
        <v>394</v>
      </c>
      <c r="C34" s="37" t="s">
        <v>396</v>
      </c>
      <c r="D34" s="153" t="s">
        <v>406</v>
      </c>
      <c r="E34" s="153" t="s">
        <v>405</v>
      </c>
      <c r="F34" s="310" t="s">
        <v>1466</v>
      </c>
      <c r="G34" s="306" t="s">
        <v>422</v>
      </c>
      <c r="H34" s="306" t="s">
        <v>415</v>
      </c>
      <c r="I34" s="307">
        <v>50558.0</v>
      </c>
      <c r="J34" s="37">
        <v>2.0</v>
      </c>
    </row>
    <row r="35">
      <c r="A35" s="303"/>
      <c r="B35" s="304" t="s">
        <v>394</v>
      </c>
      <c r="C35" s="37" t="s">
        <v>396</v>
      </c>
      <c r="D35" s="153" t="s">
        <v>406</v>
      </c>
      <c r="E35" s="153" t="s">
        <v>405</v>
      </c>
      <c r="F35" s="310" t="s">
        <v>1467</v>
      </c>
      <c r="G35" s="306" t="s">
        <v>422</v>
      </c>
      <c r="H35" s="306" t="s">
        <v>416</v>
      </c>
      <c r="I35" s="307">
        <v>50558.0</v>
      </c>
      <c r="J35" s="37">
        <v>1.0</v>
      </c>
    </row>
    <row r="36">
      <c r="A36" s="312"/>
      <c r="B36" s="37" t="s">
        <v>1468</v>
      </c>
      <c r="C36" s="37" t="s">
        <v>1468</v>
      </c>
      <c r="D36" s="37"/>
      <c r="E36" s="37"/>
      <c r="F36" s="37"/>
      <c r="G36" s="306" t="s">
        <v>1468</v>
      </c>
      <c r="H36" s="306" t="s">
        <v>1468</v>
      </c>
      <c r="I36" s="173"/>
    </row>
    <row r="37">
      <c r="A37" s="303">
        <v>7.0</v>
      </c>
      <c r="B37" s="304" t="s">
        <v>394</v>
      </c>
      <c r="C37" s="37" t="s">
        <v>396</v>
      </c>
      <c r="D37" s="153" t="s">
        <v>406</v>
      </c>
      <c r="E37" s="153" t="s">
        <v>405</v>
      </c>
      <c r="F37" s="305" t="s">
        <v>1462</v>
      </c>
      <c r="G37" s="306" t="s">
        <v>418</v>
      </c>
      <c r="H37" s="306" t="s">
        <v>415</v>
      </c>
      <c r="I37" s="307">
        <v>50765.0</v>
      </c>
      <c r="J37" s="37">
        <v>0.0</v>
      </c>
    </row>
    <row r="38">
      <c r="A38" s="303"/>
      <c r="B38" s="304" t="s">
        <v>394</v>
      </c>
      <c r="C38" s="37" t="s">
        <v>396</v>
      </c>
      <c r="D38" s="153" t="s">
        <v>406</v>
      </c>
      <c r="E38" s="153" t="s">
        <v>405</v>
      </c>
      <c r="F38" s="308" t="s">
        <v>1463</v>
      </c>
      <c r="G38" s="306" t="s">
        <v>418</v>
      </c>
      <c r="H38" s="306" t="s">
        <v>416</v>
      </c>
      <c r="I38" s="307">
        <v>50765.0</v>
      </c>
      <c r="J38" s="37">
        <v>1.0</v>
      </c>
    </row>
    <row r="39">
      <c r="A39" s="303"/>
      <c r="B39" s="304" t="s">
        <v>394</v>
      </c>
      <c r="C39" s="37" t="s">
        <v>396</v>
      </c>
      <c r="D39" s="153" t="s">
        <v>406</v>
      </c>
      <c r="E39" s="153" t="s">
        <v>405</v>
      </c>
      <c r="F39" s="309" t="s">
        <v>1464</v>
      </c>
      <c r="G39" s="306" t="s">
        <v>420</v>
      </c>
      <c r="H39" s="306" t="s">
        <v>415</v>
      </c>
      <c r="I39" s="307">
        <v>50765.0</v>
      </c>
      <c r="J39" s="37">
        <v>1.0</v>
      </c>
    </row>
    <row r="40">
      <c r="A40" s="303"/>
      <c r="B40" s="304" t="s">
        <v>394</v>
      </c>
      <c r="C40" s="37" t="s">
        <v>396</v>
      </c>
      <c r="D40" s="153" t="s">
        <v>406</v>
      </c>
      <c r="E40" s="153" t="s">
        <v>405</v>
      </c>
      <c r="F40" s="309" t="s">
        <v>1465</v>
      </c>
      <c r="G40" s="306" t="s">
        <v>420</v>
      </c>
      <c r="H40" s="306" t="s">
        <v>416</v>
      </c>
      <c r="I40" s="307">
        <v>50765.0</v>
      </c>
      <c r="J40" s="37">
        <v>1.0</v>
      </c>
    </row>
    <row r="41">
      <c r="A41" s="303"/>
      <c r="B41" s="304" t="s">
        <v>394</v>
      </c>
      <c r="C41" s="37" t="s">
        <v>396</v>
      </c>
      <c r="D41" s="153" t="s">
        <v>406</v>
      </c>
      <c r="E41" s="153" t="s">
        <v>405</v>
      </c>
      <c r="F41" s="310" t="s">
        <v>1466</v>
      </c>
      <c r="G41" s="306" t="s">
        <v>422</v>
      </c>
      <c r="H41" s="306" t="s">
        <v>415</v>
      </c>
      <c r="I41" s="307">
        <v>50765.0</v>
      </c>
      <c r="J41" s="37">
        <v>1.0</v>
      </c>
    </row>
    <row r="42">
      <c r="A42" s="303"/>
      <c r="B42" s="304" t="s">
        <v>394</v>
      </c>
      <c r="C42" s="37" t="s">
        <v>396</v>
      </c>
      <c r="D42" s="153" t="s">
        <v>406</v>
      </c>
      <c r="E42" s="153" t="s">
        <v>405</v>
      </c>
      <c r="F42" s="310" t="s">
        <v>1467</v>
      </c>
      <c r="G42" s="306" t="s">
        <v>422</v>
      </c>
      <c r="H42" s="306" t="s">
        <v>416</v>
      </c>
      <c r="I42" s="307">
        <v>50765.0</v>
      </c>
      <c r="J42" s="37">
        <v>1.0</v>
      </c>
    </row>
    <row r="43">
      <c r="A43" s="312"/>
      <c r="B43" s="37" t="s">
        <v>1468</v>
      </c>
      <c r="C43" s="37" t="s">
        <v>1468</v>
      </c>
      <c r="D43" s="37"/>
      <c r="E43" s="37"/>
      <c r="F43" s="37"/>
      <c r="G43" s="306" t="s">
        <v>1468</v>
      </c>
      <c r="H43" s="306" t="s">
        <v>1468</v>
      </c>
      <c r="I43" s="173"/>
    </row>
    <row r="44">
      <c r="A44" s="303">
        <v>8.0</v>
      </c>
      <c r="B44" s="304" t="s">
        <v>394</v>
      </c>
      <c r="C44" s="37" t="s">
        <v>396</v>
      </c>
      <c r="D44" s="153" t="s">
        <v>406</v>
      </c>
      <c r="E44" s="153" t="s">
        <v>405</v>
      </c>
      <c r="F44" s="305" t="s">
        <v>1462</v>
      </c>
      <c r="G44" s="306" t="s">
        <v>418</v>
      </c>
      <c r="H44" s="306" t="s">
        <v>415</v>
      </c>
      <c r="I44" s="307">
        <v>50796.0</v>
      </c>
      <c r="J44" s="37">
        <v>1.0</v>
      </c>
    </row>
    <row r="45">
      <c r="A45" s="303"/>
      <c r="B45" s="304" t="s">
        <v>394</v>
      </c>
      <c r="C45" s="37" t="s">
        <v>396</v>
      </c>
      <c r="D45" s="153" t="s">
        <v>406</v>
      </c>
      <c r="E45" s="153" t="s">
        <v>405</v>
      </c>
      <c r="F45" s="308" t="s">
        <v>1463</v>
      </c>
      <c r="G45" s="306" t="s">
        <v>418</v>
      </c>
      <c r="H45" s="306" t="s">
        <v>416</v>
      </c>
      <c r="I45" s="307">
        <v>50796.0</v>
      </c>
      <c r="J45" s="37">
        <v>1.0</v>
      </c>
    </row>
    <row r="46">
      <c r="A46" s="303"/>
      <c r="B46" s="304" t="s">
        <v>394</v>
      </c>
      <c r="C46" s="37" t="s">
        <v>396</v>
      </c>
      <c r="D46" s="153" t="s">
        <v>406</v>
      </c>
      <c r="E46" s="153" t="s">
        <v>405</v>
      </c>
      <c r="F46" s="309" t="s">
        <v>1464</v>
      </c>
      <c r="G46" s="306" t="s">
        <v>420</v>
      </c>
      <c r="H46" s="306" t="s">
        <v>415</v>
      </c>
      <c r="I46" s="307">
        <v>50796.0</v>
      </c>
      <c r="J46" s="37">
        <v>2.0</v>
      </c>
    </row>
    <row r="47">
      <c r="A47" s="303"/>
      <c r="B47" s="304" t="s">
        <v>394</v>
      </c>
      <c r="C47" s="37" t="s">
        <v>396</v>
      </c>
      <c r="D47" s="153" t="s">
        <v>406</v>
      </c>
      <c r="E47" s="153" t="s">
        <v>405</v>
      </c>
      <c r="F47" s="309" t="s">
        <v>1465</v>
      </c>
      <c r="G47" s="306" t="s">
        <v>420</v>
      </c>
      <c r="H47" s="306" t="s">
        <v>416</v>
      </c>
      <c r="I47" s="307">
        <v>50796.0</v>
      </c>
      <c r="J47" s="37">
        <v>0.0</v>
      </c>
    </row>
    <row r="48">
      <c r="A48" s="303"/>
      <c r="B48" s="304" t="s">
        <v>394</v>
      </c>
      <c r="C48" s="37" t="s">
        <v>396</v>
      </c>
      <c r="D48" s="153" t="s">
        <v>406</v>
      </c>
      <c r="E48" s="153" t="s">
        <v>405</v>
      </c>
      <c r="F48" s="310" t="s">
        <v>1466</v>
      </c>
      <c r="G48" s="306" t="s">
        <v>422</v>
      </c>
      <c r="H48" s="306" t="s">
        <v>415</v>
      </c>
      <c r="I48" s="307">
        <v>50796.0</v>
      </c>
      <c r="J48" s="37">
        <v>2.0</v>
      </c>
    </row>
    <row r="49">
      <c r="A49" s="303"/>
      <c r="B49" s="304" t="s">
        <v>394</v>
      </c>
      <c r="C49" s="37" t="s">
        <v>396</v>
      </c>
      <c r="D49" s="153" t="s">
        <v>406</v>
      </c>
      <c r="E49" s="153" t="s">
        <v>405</v>
      </c>
      <c r="F49" s="310" t="s">
        <v>1467</v>
      </c>
      <c r="G49" s="306" t="s">
        <v>422</v>
      </c>
      <c r="H49" s="306" t="s">
        <v>416</v>
      </c>
      <c r="I49" s="307">
        <v>50796.0</v>
      </c>
      <c r="J49" s="37">
        <v>2.0</v>
      </c>
    </row>
    <row r="50">
      <c r="A50" s="312"/>
      <c r="B50" s="37" t="s">
        <v>1468</v>
      </c>
      <c r="C50" s="37" t="s">
        <v>1468</v>
      </c>
      <c r="D50" s="37"/>
      <c r="E50" s="37"/>
      <c r="F50" s="37"/>
      <c r="G50" s="306" t="s">
        <v>1468</v>
      </c>
      <c r="H50" s="306" t="s">
        <v>1468</v>
      </c>
      <c r="I50" s="173"/>
    </row>
    <row r="51">
      <c r="A51" s="303">
        <v>9.0</v>
      </c>
      <c r="B51" s="304" t="s">
        <v>394</v>
      </c>
      <c r="C51" s="37" t="s">
        <v>396</v>
      </c>
      <c r="D51" s="153" t="s">
        <v>406</v>
      </c>
      <c r="E51" s="153" t="s">
        <v>405</v>
      </c>
      <c r="F51" s="305" t="s">
        <v>1462</v>
      </c>
      <c r="G51" s="306" t="s">
        <v>418</v>
      </c>
      <c r="H51" s="306" t="s">
        <v>415</v>
      </c>
      <c r="I51" s="307">
        <v>50854.0</v>
      </c>
      <c r="J51" s="37">
        <v>1.0</v>
      </c>
    </row>
    <row r="52">
      <c r="A52" s="303"/>
      <c r="B52" s="304" t="s">
        <v>394</v>
      </c>
      <c r="C52" s="37" t="s">
        <v>396</v>
      </c>
      <c r="D52" s="153" t="s">
        <v>406</v>
      </c>
      <c r="E52" s="153" t="s">
        <v>405</v>
      </c>
      <c r="F52" s="308" t="s">
        <v>1463</v>
      </c>
      <c r="G52" s="306" t="s">
        <v>418</v>
      </c>
      <c r="H52" s="306" t="s">
        <v>416</v>
      </c>
      <c r="I52" s="307">
        <v>50854.0</v>
      </c>
      <c r="J52" s="37">
        <v>0.0</v>
      </c>
    </row>
    <row r="53">
      <c r="A53" s="303"/>
      <c r="B53" s="304" t="s">
        <v>394</v>
      </c>
      <c r="C53" s="37" t="s">
        <v>396</v>
      </c>
      <c r="D53" s="153" t="s">
        <v>406</v>
      </c>
      <c r="E53" s="153" t="s">
        <v>405</v>
      </c>
      <c r="F53" s="309" t="s">
        <v>1464</v>
      </c>
      <c r="G53" s="306" t="s">
        <v>420</v>
      </c>
      <c r="H53" s="306" t="s">
        <v>415</v>
      </c>
      <c r="I53" s="307">
        <v>50854.0</v>
      </c>
      <c r="J53" s="37">
        <v>0.0</v>
      </c>
    </row>
    <row r="54">
      <c r="A54" s="303"/>
      <c r="B54" s="304" t="s">
        <v>394</v>
      </c>
      <c r="C54" s="37" t="s">
        <v>396</v>
      </c>
      <c r="D54" s="153" t="s">
        <v>406</v>
      </c>
      <c r="E54" s="153" t="s">
        <v>405</v>
      </c>
      <c r="F54" s="309" t="s">
        <v>1465</v>
      </c>
      <c r="G54" s="306" t="s">
        <v>420</v>
      </c>
      <c r="H54" s="306" t="s">
        <v>416</v>
      </c>
      <c r="I54" s="307">
        <v>50854.0</v>
      </c>
      <c r="J54" s="37">
        <v>1.0</v>
      </c>
    </row>
    <row r="55">
      <c r="A55" s="303"/>
      <c r="B55" s="304" t="s">
        <v>394</v>
      </c>
      <c r="C55" s="37" t="s">
        <v>396</v>
      </c>
      <c r="D55" s="153" t="s">
        <v>406</v>
      </c>
      <c r="E55" s="153" t="s">
        <v>405</v>
      </c>
      <c r="F55" s="310" t="s">
        <v>1466</v>
      </c>
      <c r="G55" s="306" t="s">
        <v>422</v>
      </c>
      <c r="H55" s="306" t="s">
        <v>415</v>
      </c>
      <c r="I55" s="307">
        <v>50854.0</v>
      </c>
      <c r="J55" s="37">
        <v>1.0</v>
      </c>
    </row>
    <row r="56">
      <c r="A56" s="303"/>
      <c r="B56" s="304" t="s">
        <v>394</v>
      </c>
      <c r="C56" s="37" t="s">
        <v>396</v>
      </c>
      <c r="D56" s="153" t="s">
        <v>406</v>
      </c>
      <c r="E56" s="153" t="s">
        <v>405</v>
      </c>
      <c r="F56" s="310" t="s">
        <v>1467</v>
      </c>
      <c r="G56" s="306" t="s">
        <v>422</v>
      </c>
      <c r="H56" s="306" t="s">
        <v>416</v>
      </c>
      <c r="I56" s="307">
        <v>50854.0</v>
      </c>
      <c r="J56" s="37">
        <v>0.0</v>
      </c>
    </row>
    <row r="57">
      <c r="A57" s="312"/>
      <c r="B57" s="37" t="s">
        <v>1468</v>
      </c>
      <c r="C57" s="37" t="s">
        <v>1468</v>
      </c>
      <c r="D57" s="37"/>
      <c r="E57" s="37"/>
      <c r="F57" s="37"/>
      <c r="G57" s="306" t="s">
        <v>1468</v>
      </c>
      <c r="H57" s="306" t="s">
        <v>1468</v>
      </c>
      <c r="I57" s="173"/>
    </row>
    <row r="58">
      <c r="A58" s="303">
        <v>10.0</v>
      </c>
      <c r="B58" s="304" t="s">
        <v>394</v>
      </c>
      <c r="C58" s="37" t="s">
        <v>396</v>
      </c>
      <c r="D58" s="153" t="s">
        <v>406</v>
      </c>
      <c r="E58" s="153" t="s">
        <v>405</v>
      </c>
      <c r="F58" s="305" t="s">
        <v>1462</v>
      </c>
      <c r="G58" s="306" t="s">
        <v>418</v>
      </c>
      <c r="H58" s="306" t="s">
        <v>415</v>
      </c>
      <c r="I58" s="307">
        <v>50977.0</v>
      </c>
      <c r="J58" s="37">
        <v>1.0</v>
      </c>
    </row>
    <row r="59">
      <c r="A59" s="303"/>
      <c r="B59" s="304" t="s">
        <v>394</v>
      </c>
      <c r="C59" s="37" t="s">
        <v>396</v>
      </c>
      <c r="D59" s="153" t="s">
        <v>406</v>
      </c>
      <c r="E59" s="153" t="s">
        <v>405</v>
      </c>
      <c r="F59" s="308" t="s">
        <v>1463</v>
      </c>
      <c r="G59" s="306" t="s">
        <v>418</v>
      </c>
      <c r="H59" s="306" t="s">
        <v>416</v>
      </c>
      <c r="I59" s="307">
        <v>50977.0</v>
      </c>
      <c r="J59" s="37">
        <v>0.0</v>
      </c>
    </row>
    <row r="60">
      <c r="A60" s="303"/>
      <c r="B60" s="304" t="s">
        <v>394</v>
      </c>
      <c r="C60" s="37" t="s">
        <v>396</v>
      </c>
      <c r="D60" s="153" t="s">
        <v>406</v>
      </c>
      <c r="E60" s="153" t="s">
        <v>405</v>
      </c>
      <c r="F60" s="309" t="s">
        <v>1464</v>
      </c>
      <c r="G60" s="306" t="s">
        <v>420</v>
      </c>
      <c r="H60" s="306" t="s">
        <v>415</v>
      </c>
      <c r="I60" s="307">
        <v>50977.0</v>
      </c>
      <c r="J60" s="37">
        <v>2.0</v>
      </c>
    </row>
    <row r="61">
      <c r="A61" s="303"/>
      <c r="B61" s="304" t="s">
        <v>394</v>
      </c>
      <c r="C61" s="37" t="s">
        <v>396</v>
      </c>
      <c r="D61" s="153" t="s">
        <v>406</v>
      </c>
      <c r="E61" s="153" t="s">
        <v>405</v>
      </c>
      <c r="F61" s="309" t="s">
        <v>1465</v>
      </c>
      <c r="G61" s="306" t="s">
        <v>420</v>
      </c>
      <c r="H61" s="306" t="s">
        <v>416</v>
      </c>
      <c r="I61" s="307">
        <v>50977.0</v>
      </c>
      <c r="J61" s="37">
        <v>1.0</v>
      </c>
    </row>
    <row r="62">
      <c r="A62" s="303"/>
      <c r="B62" s="304" t="s">
        <v>394</v>
      </c>
      <c r="C62" s="37" t="s">
        <v>396</v>
      </c>
      <c r="D62" s="153" t="s">
        <v>406</v>
      </c>
      <c r="E62" s="153" t="s">
        <v>405</v>
      </c>
      <c r="F62" s="310" t="s">
        <v>1466</v>
      </c>
      <c r="G62" s="306" t="s">
        <v>422</v>
      </c>
      <c r="H62" s="306" t="s">
        <v>415</v>
      </c>
      <c r="I62" s="307">
        <v>50977.0</v>
      </c>
      <c r="J62" s="37">
        <v>3.0</v>
      </c>
    </row>
    <row r="63">
      <c r="A63" s="303"/>
      <c r="B63" s="304" t="s">
        <v>394</v>
      </c>
      <c r="C63" s="37" t="s">
        <v>396</v>
      </c>
      <c r="D63" s="153" t="s">
        <v>406</v>
      </c>
      <c r="E63" s="153" t="s">
        <v>405</v>
      </c>
      <c r="F63" s="310" t="s">
        <v>1467</v>
      </c>
      <c r="G63" s="306" t="s">
        <v>422</v>
      </c>
      <c r="H63" s="306" t="s">
        <v>416</v>
      </c>
      <c r="I63" s="307">
        <v>50977.0</v>
      </c>
      <c r="J63" s="37">
        <v>1.0</v>
      </c>
    </row>
    <row r="64">
      <c r="A64" s="312"/>
      <c r="B64" s="37" t="s">
        <v>1468</v>
      </c>
      <c r="C64" s="37" t="s">
        <v>1468</v>
      </c>
      <c r="D64" s="37"/>
      <c r="E64" s="37"/>
      <c r="F64" s="37"/>
      <c r="G64" s="306" t="s">
        <v>1468</v>
      </c>
      <c r="H64" s="306" t="s">
        <v>1468</v>
      </c>
      <c r="I64" s="173"/>
    </row>
    <row r="65">
      <c r="A65" s="303">
        <v>11.0</v>
      </c>
      <c r="B65" s="304" t="s">
        <v>394</v>
      </c>
      <c r="C65" s="37" t="s">
        <v>396</v>
      </c>
      <c r="D65" s="153" t="s">
        <v>406</v>
      </c>
      <c r="E65" s="153" t="s">
        <v>405</v>
      </c>
      <c r="F65" s="305" t="s">
        <v>1462</v>
      </c>
      <c r="G65" s="306" t="s">
        <v>418</v>
      </c>
      <c r="H65" s="306" t="s">
        <v>415</v>
      </c>
      <c r="I65" s="307">
        <v>501344.0</v>
      </c>
      <c r="J65" s="37">
        <v>0.0</v>
      </c>
    </row>
    <row r="66">
      <c r="A66" s="303"/>
      <c r="B66" s="304" t="s">
        <v>394</v>
      </c>
      <c r="C66" s="37" t="s">
        <v>396</v>
      </c>
      <c r="D66" s="153" t="s">
        <v>406</v>
      </c>
      <c r="E66" s="153" t="s">
        <v>405</v>
      </c>
      <c r="F66" s="308" t="s">
        <v>1463</v>
      </c>
      <c r="G66" s="306" t="s">
        <v>418</v>
      </c>
      <c r="H66" s="306" t="s">
        <v>416</v>
      </c>
      <c r="I66" s="307">
        <v>501344.0</v>
      </c>
      <c r="J66" s="37">
        <v>0.0</v>
      </c>
    </row>
    <row r="67">
      <c r="A67" s="303"/>
      <c r="B67" s="304" t="s">
        <v>394</v>
      </c>
      <c r="C67" s="37" t="s">
        <v>396</v>
      </c>
      <c r="D67" s="153" t="s">
        <v>406</v>
      </c>
      <c r="E67" s="153" t="s">
        <v>405</v>
      </c>
      <c r="F67" s="309" t="s">
        <v>1464</v>
      </c>
      <c r="G67" s="306" t="s">
        <v>420</v>
      </c>
      <c r="H67" s="306" t="s">
        <v>415</v>
      </c>
      <c r="I67" s="307">
        <v>501344.0</v>
      </c>
      <c r="J67" s="37">
        <v>1.0</v>
      </c>
    </row>
    <row r="68">
      <c r="A68" s="303"/>
      <c r="B68" s="304" t="s">
        <v>394</v>
      </c>
      <c r="C68" s="37" t="s">
        <v>396</v>
      </c>
      <c r="D68" s="153" t="s">
        <v>406</v>
      </c>
      <c r="E68" s="153" t="s">
        <v>405</v>
      </c>
      <c r="F68" s="309" t="s">
        <v>1465</v>
      </c>
      <c r="G68" s="306" t="s">
        <v>420</v>
      </c>
      <c r="H68" s="306" t="s">
        <v>416</v>
      </c>
      <c r="I68" s="307">
        <v>501344.0</v>
      </c>
      <c r="J68" s="37">
        <v>1.0</v>
      </c>
    </row>
    <row r="69">
      <c r="A69" s="303"/>
      <c r="B69" s="304" t="s">
        <v>394</v>
      </c>
      <c r="C69" s="37" t="s">
        <v>396</v>
      </c>
      <c r="D69" s="153" t="s">
        <v>406</v>
      </c>
      <c r="E69" s="153" t="s">
        <v>405</v>
      </c>
      <c r="F69" s="310" t="s">
        <v>1466</v>
      </c>
      <c r="G69" s="306" t="s">
        <v>422</v>
      </c>
      <c r="H69" s="306" t="s">
        <v>415</v>
      </c>
      <c r="I69" s="307">
        <v>501344.0</v>
      </c>
      <c r="J69" s="37">
        <v>0.0</v>
      </c>
    </row>
    <row r="70">
      <c r="A70" s="303"/>
      <c r="B70" s="304" t="s">
        <v>394</v>
      </c>
      <c r="C70" s="37" t="s">
        <v>396</v>
      </c>
      <c r="D70" s="153" t="s">
        <v>406</v>
      </c>
      <c r="E70" s="153" t="s">
        <v>405</v>
      </c>
      <c r="F70" s="310" t="s">
        <v>1467</v>
      </c>
      <c r="G70" s="306" t="s">
        <v>422</v>
      </c>
      <c r="H70" s="306" t="s">
        <v>416</v>
      </c>
      <c r="I70" s="307">
        <v>501344.0</v>
      </c>
      <c r="J70" s="37">
        <v>0.0</v>
      </c>
    </row>
    <row r="71">
      <c r="A71" s="312"/>
      <c r="B71" s="37" t="s">
        <v>1468</v>
      </c>
      <c r="C71" s="37" t="s">
        <v>1468</v>
      </c>
      <c r="D71" s="37"/>
      <c r="E71" s="37"/>
      <c r="F71" s="37"/>
      <c r="G71" s="306" t="s">
        <v>1468</v>
      </c>
      <c r="H71" s="306" t="s">
        <v>1468</v>
      </c>
      <c r="I71" s="173"/>
    </row>
    <row r="72">
      <c r="A72" s="303">
        <v>12.0</v>
      </c>
      <c r="B72" s="304" t="s">
        <v>394</v>
      </c>
      <c r="C72" s="37" t="s">
        <v>396</v>
      </c>
      <c r="D72" s="153" t="s">
        <v>406</v>
      </c>
      <c r="E72" s="153" t="s">
        <v>405</v>
      </c>
      <c r="F72" s="305" t="s">
        <v>1462</v>
      </c>
      <c r="G72" s="306" t="s">
        <v>418</v>
      </c>
      <c r="H72" s="306" t="s">
        <v>415</v>
      </c>
      <c r="I72" s="307">
        <v>501432.0</v>
      </c>
      <c r="J72" s="37">
        <v>1.0</v>
      </c>
    </row>
    <row r="73">
      <c r="A73" s="303"/>
      <c r="B73" s="304" t="s">
        <v>394</v>
      </c>
      <c r="C73" s="37" t="s">
        <v>396</v>
      </c>
      <c r="D73" s="153" t="s">
        <v>406</v>
      </c>
      <c r="E73" s="153" t="s">
        <v>405</v>
      </c>
      <c r="F73" s="308" t="s">
        <v>1463</v>
      </c>
      <c r="G73" s="306" t="s">
        <v>418</v>
      </c>
      <c r="H73" s="306" t="s">
        <v>416</v>
      </c>
      <c r="I73" s="307">
        <v>501432.0</v>
      </c>
      <c r="J73" s="37">
        <v>2.0</v>
      </c>
    </row>
    <row r="74">
      <c r="A74" s="303"/>
      <c r="B74" s="304" t="s">
        <v>394</v>
      </c>
      <c r="C74" s="37" t="s">
        <v>396</v>
      </c>
      <c r="D74" s="153" t="s">
        <v>406</v>
      </c>
      <c r="E74" s="153" t="s">
        <v>405</v>
      </c>
      <c r="F74" s="309" t="s">
        <v>1464</v>
      </c>
      <c r="G74" s="306" t="s">
        <v>420</v>
      </c>
      <c r="H74" s="306" t="s">
        <v>415</v>
      </c>
      <c r="I74" s="307">
        <v>501432.0</v>
      </c>
      <c r="J74" s="37">
        <v>3.0</v>
      </c>
    </row>
    <row r="75">
      <c r="A75" s="303"/>
      <c r="B75" s="304" t="s">
        <v>394</v>
      </c>
      <c r="C75" s="37" t="s">
        <v>396</v>
      </c>
      <c r="D75" s="153" t="s">
        <v>406</v>
      </c>
      <c r="E75" s="153" t="s">
        <v>405</v>
      </c>
      <c r="F75" s="309" t="s">
        <v>1465</v>
      </c>
      <c r="G75" s="306" t="s">
        <v>420</v>
      </c>
      <c r="H75" s="306" t="s">
        <v>416</v>
      </c>
      <c r="I75" s="307">
        <v>501432.0</v>
      </c>
      <c r="J75" s="37">
        <v>1.0</v>
      </c>
    </row>
    <row r="76">
      <c r="A76" s="303"/>
      <c r="B76" s="304" t="s">
        <v>394</v>
      </c>
      <c r="C76" s="37" t="s">
        <v>396</v>
      </c>
      <c r="D76" s="153" t="s">
        <v>406</v>
      </c>
      <c r="E76" s="153" t="s">
        <v>405</v>
      </c>
      <c r="F76" s="310" t="s">
        <v>1466</v>
      </c>
      <c r="G76" s="306" t="s">
        <v>422</v>
      </c>
      <c r="H76" s="306" t="s">
        <v>415</v>
      </c>
      <c r="I76" s="307">
        <v>501432.0</v>
      </c>
      <c r="J76" s="37">
        <v>2.0</v>
      </c>
    </row>
    <row r="77">
      <c r="A77" s="303"/>
      <c r="B77" s="304" t="s">
        <v>394</v>
      </c>
      <c r="C77" s="37" t="s">
        <v>396</v>
      </c>
      <c r="D77" s="153" t="s">
        <v>406</v>
      </c>
      <c r="E77" s="153" t="s">
        <v>405</v>
      </c>
      <c r="F77" s="310" t="s">
        <v>1467</v>
      </c>
      <c r="G77" s="306" t="s">
        <v>422</v>
      </c>
      <c r="H77" s="306" t="s">
        <v>416</v>
      </c>
      <c r="I77" s="307">
        <v>501432.0</v>
      </c>
      <c r="J77" s="37">
        <v>1.0</v>
      </c>
    </row>
    <row r="78">
      <c r="A78" s="312"/>
      <c r="B78" s="37" t="s">
        <v>1468</v>
      </c>
      <c r="C78" s="37" t="s">
        <v>1468</v>
      </c>
      <c r="D78" s="37"/>
      <c r="E78" s="37"/>
      <c r="F78" s="37"/>
      <c r="G78" s="306" t="s">
        <v>1468</v>
      </c>
      <c r="H78" s="306" t="s">
        <v>1468</v>
      </c>
      <c r="I78" s="173"/>
    </row>
    <row r="79">
      <c r="A79" s="303">
        <v>13.0</v>
      </c>
      <c r="B79" s="304" t="s">
        <v>394</v>
      </c>
      <c r="C79" s="37" t="s">
        <v>396</v>
      </c>
      <c r="D79" s="153" t="s">
        <v>406</v>
      </c>
      <c r="E79" s="153" t="s">
        <v>405</v>
      </c>
      <c r="F79" s="305" t="s">
        <v>1462</v>
      </c>
      <c r="G79" s="306" t="s">
        <v>418</v>
      </c>
      <c r="H79" s="306" t="s">
        <v>415</v>
      </c>
      <c r="I79" s="307" t="s">
        <v>107</v>
      </c>
      <c r="J79" s="37">
        <v>2.0</v>
      </c>
    </row>
    <row r="80">
      <c r="A80" s="303"/>
      <c r="B80" s="304" t="s">
        <v>394</v>
      </c>
      <c r="C80" s="37" t="s">
        <v>396</v>
      </c>
      <c r="D80" s="153" t="s">
        <v>406</v>
      </c>
      <c r="E80" s="153" t="s">
        <v>405</v>
      </c>
      <c r="F80" s="308" t="s">
        <v>1463</v>
      </c>
      <c r="G80" s="306" t="s">
        <v>418</v>
      </c>
      <c r="H80" s="306" t="s">
        <v>416</v>
      </c>
      <c r="I80" s="307" t="s">
        <v>107</v>
      </c>
      <c r="J80" s="37">
        <v>1.0</v>
      </c>
    </row>
    <row r="81">
      <c r="A81" s="303"/>
      <c r="B81" s="304" t="s">
        <v>394</v>
      </c>
      <c r="C81" s="37" t="s">
        <v>396</v>
      </c>
      <c r="D81" s="153" t="s">
        <v>406</v>
      </c>
      <c r="E81" s="153" t="s">
        <v>405</v>
      </c>
      <c r="F81" s="309" t="s">
        <v>1464</v>
      </c>
      <c r="G81" s="306" t="s">
        <v>420</v>
      </c>
      <c r="H81" s="306" t="s">
        <v>415</v>
      </c>
      <c r="I81" s="307" t="s">
        <v>107</v>
      </c>
      <c r="J81" s="37">
        <v>2.0</v>
      </c>
    </row>
    <row r="82">
      <c r="A82" s="303"/>
      <c r="B82" s="304" t="s">
        <v>394</v>
      </c>
      <c r="C82" s="37" t="s">
        <v>396</v>
      </c>
      <c r="D82" s="153" t="s">
        <v>406</v>
      </c>
      <c r="E82" s="153" t="s">
        <v>405</v>
      </c>
      <c r="F82" s="309" t="s">
        <v>1465</v>
      </c>
      <c r="G82" s="306" t="s">
        <v>420</v>
      </c>
      <c r="H82" s="306" t="s">
        <v>416</v>
      </c>
      <c r="I82" s="307" t="s">
        <v>107</v>
      </c>
      <c r="J82" s="37">
        <v>1.0</v>
      </c>
    </row>
    <row r="83">
      <c r="A83" s="303"/>
      <c r="B83" s="304" t="s">
        <v>394</v>
      </c>
      <c r="C83" s="37" t="s">
        <v>396</v>
      </c>
      <c r="D83" s="153" t="s">
        <v>406</v>
      </c>
      <c r="E83" s="153" t="s">
        <v>405</v>
      </c>
      <c r="F83" s="310" t="s">
        <v>1466</v>
      </c>
      <c r="G83" s="306" t="s">
        <v>422</v>
      </c>
      <c r="H83" s="306" t="s">
        <v>415</v>
      </c>
      <c r="I83" s="307" t="s">
        <v>107</v>
      </c>
      <c r="J83" s="37">
        <v>1.0</v>
      </c>
    </row>
    <row r="84">
      <c r="A84" s="303"/>
      <c r="B84" s="304" t="s">
        <v>394</v>
      </c>
      <c r="C84" s="37" t="s">
        <v>396</v>
      </c>
      <c r="D84" s="153" t="s">
        <v>406</v>
      </c>
      <c r="E84" s="153" t="s">
        <v>405</v>
      </c>
      <c r="F84" s="310" t="s">
        <v>1467</v>
      </c>
      <c r="G84" s="306" t="s">
        <v>422</v>
      </c>
      <c r="H84" s="306" t="s">
        <v>416</v>
      </c>
      <c r="I84" s="307" t="s">
        <v>107</v>
      </c>
      <c r="J84" s="37">
        <v>2.0</v>
      </c>
    </row>
    <row r="85">
      <c r="A85" s="312"/>
      <c r="B85" s="37" t="s">
        <v>1468</v>
      </c>
      <c r="C85" s="37" t="s">
        <v>1468</v>
      </c>
      <c r="D85" s="37"/>
      <c r="E85" s="37"/>
      <c r="F85" s="37"/>
      <c r="G85" s="306" t="s">
        <v>1468</v>
      </c>
      <c r="H85" s="306" t="s">
        <v>1468</v>
      </c>
      <c r="I85" s="173"/>
    </row>
    <row r="86">
      <c r="A86" s="303">
        <v>14.0</v>
      </c>
      <c r="B86" s="304" t="s">
        <v>394</v>
      </c>
      <c r="C86" s="37" t="s">
        <v>396</v>
      </c>
      <c r="D86" s="153" t="s">
        <v>406</v>
      </c>
      <c r="E86" s="153" t="s">
        <v>405</v>
      </c>
      <c r="F86" s="305" t="s">
        <v>1462</v>
      </c>
      <c r="G86" s="306" t="s">
        <v>418</v>
      </c>
      <c r="H86" s="306" t="s">
        <v>415</v>
      </c>
      <c r="I86" s="307" t="s">
        <v>92</v>
      </c>
      <c r="J86" s="37">
        <v>10.0</v>
      </c>
    </row>
    <row r="87">
      <c r="A87" s="303"/>
      <c r="B87" s="304" t="s">
        <v>394</v>
      </c>
      <c r="C87" s="37" t="s">
        <v>396</v>
      </c>
      <c r="D87" s="153" t="s">
        <v>406</v>
      </c>
      <c r="E87" s="153" t="s">
        <v>405</v>
      </c>
      <c r="F87" s="308" t="s">
        <v>1463</v>
      </c>
      <c r="G87" s="306" t="s">
        <v>418</v>
      </c>
      <c r="H87" s="306" t="s">
        <v>416</v>
      </c>
      <c r="I87" s="307" t="s">
        <v>92</v>
      </c>
      <c r="J87" s="37">
        <v>12.0</v>
      </c>
    </row>
    <row r="88">
      <c r="A88" s="303"/>
      <c r="B88" s="304" t="s">
        <v>394</v>
      </c>
      <c r="C88" s="37" t="s">
        <v>396</v>
      </c>
      <c r="D88" s="153" t="s">
        <v>406</v>
      </c>
      <c r="E88" s="153" t="s">
        <v>405</v>
      </c>
      <c r="F88" s="309" t="s">
        <v>1464</v>
      </c>
      <c r="G88" s="306" t="s">
        <v>420</v>
      </c>
      <c r="H88" s="306" t="s">
        <v>415</v>
      </c>
      <c r="I88" s="307" t="s">
        <v>92</v>
      </c>
      <c r="J88" s="37">
        <v>10.0</v>
      </c>
    </row>
    <row r="89">
      <c r="A89" s="303"/>
      <c r="B89" s="304" t="s">
        <v>394</v>
      </c>
      <c r="C89" s="37" t="s">
        <v>396</v>
      </c>
      <c r="D89" s="153" t="s">
        <v>406</v>
      </c>
      <c r="E89" s="153" t="s">
        <v>405</v>
      </c>
      <c r="F89" s="309" t="s">
        <v>1465</v>
      </c>
      <c r="G89" s="306" t="s">
        <v>420</v>
      </c>
      <c r="H89" s="306" t="s">
        <v>416</v>
      </c>
      <c r="I89" s="307" t="s">
        <v>92</v>
      </c>
      <c r="J89" s="37">
        <v>11.0</v>
      </c>
    </row>
    <row r="90">
      <c r="A90" s="303"/>
      <c r="B90" s="304" t="s">
        <v>394</v>
      </c>
      <c r="C90" s="37" t="s">
        <v>396</v>
      </c>
      <c r="D90" s="153" t="s">
        <v>406</v>
      </c>
      <c r="E90" s="153" t="s">
        <v>405</v>
      </c>
      <c r="F90" s="310" t="s">
        <v>1466</v>
      </c>
      <c r="G90" s="306" t="s">
        <v>422</v>
      </c>
      <c r="H90" s="306" t="s">
        <v>415</v>
      </c>
      <c r="I90" s="307" t="s">
        <v>92</v>
      </c>
      <c r="J90" s="37">
        <v>9.0</v>
      </c>
    </row>
    <row r="91">
      <c r="A91" s="303"/>
      <c r="B91" s="304" t="s">
        <v>394</v>
      </c>
      <c r="C91" s="37" t="s">
        <v>396</v>
      </c>
      <c r="D91" s="153" t="s">
        <v>406</v>
      </c>
      <c r="E91" s="153" t="s">
        <v>405</v>
      </c>
      <c r="F91" s="310" t="s">
        <v>1467</v>
      </c>
      <c r="G91" s="306" t="s">
        <v>422</v>
      </c>
      <c r="H91" s="306" t="s">
        <v>416</v>
      </c>
      <c r="I91" s="307" t="s">
        <v>92</v>
      </c>
      <c r="J91" s="37">
        <v>13.0</v>
      </c>
    </row>
    <row r="92">
      <c r="A92" s="312"/>
      <c r="B92" s="37" t="s">
        <v>1468</v>
      </c>
      <c r="C92" s="37" t="s">
        <v>1468</v>
      </c>
      <c r="D92" s="37"/>
      <c r="E92" s="37"/>
      <c r="F92" s="37"/>
      <c r="G92" s="306" t="s">
        <v>1468</v>
      </c>
      <c r="H92" s="306" t="s">
        <v>1468</v>
      </c>
      <c r="I92" s="173"/>
    </row>
    <row r="93">
      <c r="A93" s="303">
        <v>15.0</v>
      </c>
      <c r="B93" s="304" t="s">
        <v>394</v>
      </c>
      <c r="C93" s="37" t="s">
        <v>396</v>
      </c>
      <c r="D93" s="153" t="s">
        <v>406</v>
      </c>
      <c r="E93" s="153" t="s">
        <v>405</v>
      </c>
      <c r="F93" s="305" t="s">
        <v>1462</v>
      </c>
      <c r="G93" s="306" t="s">
        <v>418</v>
      </c>
      <c r="H93" s="306" t="s">
        <v>415</v>
      </c>
      <c r="I93" s="307" t="s">
        <v>96</v>
      </c>
      <c r="J93" s="37">
        <v>2.0</v>
      </c>
    </row>
    <row r="94">
      <c r="A94" s="303"/>
      <c r="B94" s="304" t="s">
        <v>394</v>
      </c>
      <c r="C94" s="37" t="s">
        <v>396</v>
      </c>
      <c r="D94" s="153" t="s">
        <v>406</v>
      </c>
      <c r="E94" s="153" t="s">
        <v>405</v>
      </c>
      <c r="F94" s="308" t="s">
        <v>1463</v>
      </c>
      <c r="G94" s="306" t="s">
        <v>418</v>
      </c>
      <c r="H94" s="306" t="s">
        <v>416</v>
      </c>
      <c r="I94" s="307" t="s">
        <v>96</v>
      </c>
      <c r="J94" s="37">
        <v>2.0</v>
      </c>
    </row>
    <row r="95">
      <c r="A95" s="303"/>
      <c r="B95" s="304" t="s">
        <v>394</v>
      </c>
      <c r="C95" s="37" t="s">
        <v>396</v>
      </c>
      <c r="D95" s="153" t="s">
        <v>406</v>
      </c>
      <c r="E95" s="153" t="s">
        <v>405</v>
      </c>
      <c r="F95" s="309" t="s">
        <v>1464</v>
      </c>
      <c r="G95" s="306" t="s">
        <v>420</v>
      </c>
      <c r="H95" s="306" t="s">
        <v>415</v>
      </c>
      <c r="I95" s="307" t="s">
        <v>96</v>
      </c>
      <c r="J95" s="37">
        <v>5.0</v>
      </c>
    </row>
    <row r="96">
      <c r="A96" s="303"/>
      <c r="B96" s="304" t="s">
        <v>394</v>
      </c>
      <c r="C96" s="37" t="s">
        <v>396</v>
      </c>
      <c r="D96" s="153" t="s">
        <v>406</v>
      </c>
      <c r="E96" s="153" t="s">
        <v>405</v>
      </c>
      <c r="F96" s="309" t="s">
        <v>1465</v>
      </c>
      <c r="G96" s="306" t="s">
        <v>420</v>
      </c>
      <c r="H96" s="306" t="s">
        <v>416</v>
      </c>
      <c r="I96" s="307" t="s">
        <v>96</v>
      </c>
      <c r="J96" s="37">
        <v>3.0</v>
      </c>
    </row>
    <row r="97">
      <c r="A97" s="303"/>
      <c r="B97" s="304" t="s">
        <v>394</v>
      </c>
      <c r="C97" s="37" t="s">
        <v>396</v>
      </c>
      <c r="D97" s="153" t="s">
        <v>406</v>
      </c>
      <c r="E97" s="153" t="s">
        <v>405</v>
      </c>
      <c r="F97" s="310" t="s">
        <v>1466</v>
      </c>
      <c r="G97" s="306" t="s">
        <v>422</v>
      </c>
      <c r="H97" s="306" t="s">
        <v>415</v>
      </c>
      <c r="I97" s="307" t="s">
        <v>96</v>
      </c>
      <c r="J97" s="37">
        <v>2.0</v>
      </c>
    </row>
    <row r="98">
      <c r="A98" s="303"/>
      <c r="B98" s="304" t="s">
        <v>394</v>
      </c>
      <c r="C98" s="37" t="s">
        <v>396</v>
      </c>
      <c r="D98" s="153" t="s">
        <v>406</v>
      </c>
      <c r="E98" s="153" t="s">
        <v>405</v>
      </c>
      <c r="F98" s="310" t="s">
        <v>1467</v>
      </c>
      <c r="G98" s="306" t="s">
        <v>422</v>
      </c>
      <c r="H98" s="306" t="s">
        <v>416</v>
      </c>
      <c r="I98" s="307" t="s">
        <v>96</v>
      </c>
      <c r="J98" s="37">
        <v>3.0</v>
      </c>
    </row>
    <row r="99">
      <c r="A99" s="312"/>
      <c r="B99" s="37" t="s">
        <v>1468</v>
      </c>
      <c r="C99" s="37" t="s">
        <v>1468</v>
      </c>
      <c r="D99" s="37"/>
      <c r="E99" s="37"/>
      <c r="F99" s="37"/>
      <c r="G99" s="306" t="s">
        <v>1468</v>
      </c>
      <c r="H99" s="306" t="s">
        <v>1468</v>
      </c>
      <c r="I99" s="173"/>
    </row>
    <row r="100">
      <c r="A100" s="303">
        <v>16.0</v>
      </c>
      <c r="B100" s="304" t="s">
        <v>394</v>
      </c>
      <c r="C100" s="37" t="s">
        <v>396</v>
      </c>
      <c r="D100" s="153" t="s">
        <v>406</v>
      </c>
      <c r="E100" s="153" t="s">
        <v>405</v>
      </c>
      <c r="F100" s="305" t="s">
        <v>1462</v>
      </c>
      <c r="G100" s="306" t="s">
        <v>418</v>
      </c>
      <c r="H100" s="306" t="s">
        <v>415</v>
      </c>
      <c r="I100" s="307" t="s">
        <v>100</v>
      </c>
      <c r="J100" s="37">
        <v>10.0</v>
      </c>
    </row>
    <row r="101">
      <c r="A101" s="303"/>
      <c r="B101" s="304" t="s">
        <v>394</v>
      </c>
      <c r="C101" s="37" t="s">
        <v>396</v>
      </c>
      <c r="D101" s="153" t="s">
        <v>406</v>
      </c>
      <c r="E101" s="153" t="s">
        <v>405</v>
      </c>
      <c r="F101" s="308" t="s">
        <v>1463</v>
      </c>
      <c r="G101" s="306" t="s">
        <v>418</v>
      </c>
      <c r="H101" s="306" t="s">
        <v>416</v>
      </c>
      <c r="I101" s="307" t="s">
        <v>100</v>
      </c>
      <c r="J101" s="37">
        <v>6.0</v>
      </c>
    </row>
    <row r="102">
      <c r="A102" s="303"/>
      <c r="B102" s="304" t="s">
        <v>394</v>
      </c>
      <c r="C102" s="37" t="s">
        <v>396</v>
      </c>
      <c r="D102" s="153" t="s">
        <v>406</v>
      </c>
      <c r="E102" s="153" t="s">
        <v>405</v>
      </c>
      <c r="F102" s="309" t="s">
        <v>1464</v>
      </c>
      <c r="G102" s="306" t="s">
        <v>420</v>
      </c>
      <c r="H102" s="306" t="s">
        <v>415</v>
      </c>
      <c r="I102" s="307" t="s">
        <v>100</v>
      </c>
      <c r="J102" s="37">
        <v>7.0</v>
      </c>
    </row>
    <row r="103">
      <c r="A103" s="303"/>
      <c r="B103" s="304" t="s">
        <v>394</v>
      </c>
      <c r="C103" s="37" t="s">
        <v>396</v>
      </c>
      <c r="D103" s="153" t="s">
        <v>406</v>
      </c>
      <c r="E103" s="153" t="s">
        <v>405</v>
      </c>
      <c r="F103" s="309" t="s">
        <v>1465</v>
      </c>
      <c r="G103" s="306" t="s">
        <v>420</v>
      </c>
      <c r="H103" s="306" t="s">
        <v>416</v>
      </c>
      <c r="I103" s="307" t="s">
        <v>100</v>
      </c>
      <c r="J103" s="37">
        <v>11.0</v>
      </c>
    </row>
    <row r="104">
      <c r="A104" s="303"/>
      <c r="B104" s="304" t="s">
        <v>394</v>
      </c>
      <c r="C104" s="37" t="s">
        <v>396</v>
      </c>
      <c r="D104" s="153" t="s">
        <v>406</v>
      </c>
      <c r="E104" s="153" t="s">
        <v>405</v>
      </c>
      <c r="F104" s="310" t="s">
        <v>1466</v>
      </c>
      <c r="G104" s="306" t="s">
        <v>422</v>
      </c>
      <c r="H104" s="306" t="s">
        <v>415</v>
      </c>
      <c r="I104" s="307" t="s">
        <v>100</v>
      </c>
      <c r="J104" s="37">
        <v>9.0</v>
      </c>
    </row>
    <row r="105">
      <c r="A105" s="303"/>
      <c r="B105" s="304" t="s">
        <v>394</v>
      </c>
      <c r="C105" s="37" t="s">
        <v>396</v>
      </c>
      <c r="D105" s="153" t="s">
        <v>406</v>
      </c>
      <c r="E105" s="153" t="s">
        <v>405</v>
      </c>
      <c r="F105" s="310" t="s">
        <v>1467</v>
      </c>
      <c r="G105" s="306" t="s">
        <v>422</v>
      </c>
      <c r="H105" s="306" t="s">
        <v>416</v>
      </c>
      <c r="I105" s="307" t="s">
        <v>100</v>
      </c>
      <c r="J105" s="37">
        <v>5.0</v>
      </c>
    </row>
    <row r="106">
      <c r="A106" s="312"/>
      <c r="B106" s="37" t="s">
        <v>1468</v>
      </c>
      <c r="C106" s="37" t="s">
        <v>1468</v>
      </c>
      <c r="D106" s="37"/>
      <c r="E106" s="37"/>
      <c r="F106" s="37"/>
      <c r="G106" s="306" t="s">
        <v>1468</v>
      </c>
      <c r="H106" s="306" t="s">
        <v>1468</v>
      </c>
      <c r="I106" s="173"/>
    </row>
    <row r="107">
      <c r="A107" s="303">
        <v>17.0</v>
      </c>
      <c r="B107" s="304" t="s">
        <v>394</v>
      </c>
      <c r="C107" s="37" t="s">
        <v>396</v>
      </c>
      <c r="D107" s="153" t="s">
        <v>406</v>
      </c>
      <c r="E107" s="153" t="s">
        <v>407</v>
      </c>
      <c r="F107" s="305" t="s">
        <v>1462</v>
      </c>
      <c r="G107" s="306" t="s">
        <v>418</v>
      </c>
      <c r="H107" s="306" t="s">
        <v>415</v>
      </c>
      <c r="I107" s="307">
        <v>60133.0</v>
      </c>
      <c r="J107" s="37">
        <v>6.0</v>
      </c>
    </row>
    <row r="108">
      <c r="A108" s="303"/>
      <c r="B108" s="304" t="s">
        <v>394</v>
      </c>
      <c r="C108" s="37" t="s">
        <v>396</v>
      </c>
      <c r="D108" s="153" t="s">
        <v>406</v>
      </c>
      <c r="E108" s="153" t="s">
        <v>407</v>
      </c>
      <c r="F108" s="308" t="s">
        <v>1463</v>
      </c>
      <c r="G108" s="306" t="s">
        <v>418</v>
      </c>
      <c r="H108" s="306" t="s">
        <v>416</v>
      </c>
      <c r="I108" s="307">
        <v>60133.0</v>
      </c>
      <c r="J108" s="37">
        <v>6.0</v>
      </c>
    </row>
    <row r="109">
      <c r="A109" s="303"/>
      <c r="B109" s="304" t="s">
        <v>394</v>
      </c>
      <c r="C109" s="37" t="s">
        <v>396</v>
      </c>
      <c r="D109" s="153" t="s">
        <v>406</v>
      </c>
      <c r="E109" s="153" t="s">
        <v>407</v>
      </c>
      <c r="F109" s="309" t="s">
        <v>1464</v>
      </c>
      <c r="G109" s="306" t="s">
        <v>420</v>
      </c>
      <c r="H109" s="306" t="s">
        <v>415</v>
      </c>
      <c r="I109" s="307">
        <v>60133.0</v>
      </c>
      <c r="J109" s="37">
        <v>5.0</v>
      </c>
    </row>
    <row r="110">
      <c r="A110" s="303"/>
      <c r="B110" s="304" t="s">
        <v>394</v>
      </c>
      <c r="C110" s="37" t="s">
        <v>396</v>
      </c>
      <c r="D110" s="153" t="s">
        <v>406</v>
      </c>
      <c r="E110" s="153" t="s">
        <v>407</v>
      </c>
      <c r="F110" s="309" t="s">
        <v>1465</v>
      </c>
      <c r="G110" s="306" t="s">
        <v>420</v>
      </c>
      <c r="H110" s="306" t="s">
        <v>416</v>
      </c>
      <c r="I110" s="307">
        <v>60133.0</v>
      </c>
      <c r="J110" s="37">
        <v>7.0</v>
      </c>
    </row>
    <row r="111">
      <c r="A111" s="303"/>
      <c r="B111" s="304" t="s">
        <v>394</v>
      </c>
      <c r="C111" s="37" t="s">
        <v>396</v>
      </c>
      <c r="D111" s="153" t="s">
        <v>406</v>
      </c>
      <c r="E111" s="153" t="s">
        <v>407</v>
      </c>
      <c r="F111" s="310" t="s">
        <v>1466</v>
      </c>
      <c r="G111" s="306" t="s">
        <v>422</v>
      </c>
      <c r="H111" s="306" t="s">
        <v>415</v>
      </c>
      <c r="I111" s="307">
        <v>60133.0</v>
      </c>
      <c r="J111" s="37">
        <v>5.0</v>
      </c>
    </row>
    <row r="112">
      <c r="A112" s="303"/>
      <c r="B112" s="304" t="s">
        <v>394</v>
      </c>
      <c r="C112" s="37" t="s">
        <v>396</v>
      </c>
      <c r="D112" s="153" t="s">
        <v>406</v>
      </c>
      <c r="E112" s="153" t="s">
        <v>407</v>
      </c>
      <c r="F112" s="310" t="s">
        <v>1467</v>
      </c>
      <c r="G112" s="306" t="s">
        <v>422</v>
      </c>
      <c r="H112" s="306" t="s">
        <v>416</v>
      </c>
      <c r="I112" s="307">
        <v>60133.0</v>
      </c>
      <c r="J112" s="37">
        <v>9.0</v>
      </c>
    </row>
    <row r="113">
      <c r="A113" s="312"/>
      <c r="B113" s="37" t="s">
        <v>1468</v>
      </c>
      <c r="C113" s="37" t="s">
        <v>1468</v>
      </c>
      <c r="D113" s="37"/>
      <c r="E113" s="37"/>
      <c r="F113" s="37"/>
      <c r="G113" s="306" t="s">
        <v>1468</v>
      </c>
      <c r="H113" s="306" t="s">
        <v>1468</v>
      </c>
      <c r="I113" s="173"/>
    </row>
    <row r="114">
      <c r="A114" s="303">
        <v>18.0</v>
      </c>
      <c r="B114" s="304" t="s">
        <v>394</v>
      </c>
      <c r="C114" s="37" t="s">
        <v>396</v>
      </c>
      <c r="D114" s="153" t="s">
        <v>406</v>
      </c>
      <c r="E114" s="153" t="s">
        <v>407</v>
      </c>
      <c r="F114" s="305" t="s">
        <v>1462</v>
      </c>
      <c r="G114" s="306" t="s">
        <v>418</v>
      </c>
      <c r="H114" s="306" t="s">
        <v>415</v>
      </c>
      <c r="I114" s="307">
        <v>60136.0</v>
      </c>
      <c r="J114" s="37">
        <v>0.0</v>
      </c>
    </row>
    <row r="115">
      <c r="A115" s="303"/>
      <c r="B115" s="304" t="s">
        <v>394</v>
      </c>
      <c r="C115" s="37" t="s">
        <v>396</v>
      </c>
      <c r="D115" s="153" t="s">
        <v>406</v>
      </c>
      <c r="E115" s="153" t="s">
        <v>407</v>
      </c>
      <c r="F115" s="308" t="s">
        <v>1463</v>
      </c>
      <c r="G115" s="306" t="s">
        <v>418</v>
      </c>
      <c r="H115" s="306" t="s">
        <v>416</v>
      </c>
      <c r="I115" s="307">
        <v>60136.0</v>
      </c>
      <c r="J115" s="37">
        <v>1.0</v>
      </c>
    </row>
    <row r="116">
      <c r="A116" s="303"/>
      <c r="B116" s="304" t="s">
        <v>394</v>
      </c>
      <c r="C116" s="37" t="s">
        <v>396</v>
      </c>
      <c r="D116" s="153" t="s">
        <v>406</v>
      </c>
      <c r="E116" s="153" t="s">
        <v>407</v>
      </c>
      <c r="F116" s="309" t="s">
        <v>1464</v>
      </c>
      <c r="G116" s="306" t="s">
        <v>420</v>
      </c>
      <c r="H116" s="306" t="s">
        <v>415</v>
      </c>
      <c r="I116" s="307">
        <v>60136.0</v>
      </c>
      <c r="J116" s="37">
        <v>1.0</v>
      </c>
    </row>
    <row r="117">
      <c r="A117" s="303"/>
      <c r="B117" s="304" t="s">
        <v>394</v>
      </c>
      <c r="C117" s="37" t="s">
        <v>396</v>
      </c>
      <c r="D117" s="153" t="s">
        <v>406</v>
      </c>
      <c r="E117" s="153" t="s">
        <v>407</v>
      </c>
      <c r="F117" s="309" t="s">
        <v>1465</v>
      </c>
      <c r="G117" s="306" t="s">
        <v>420</v>
      </c>
      <c r="H117" s="306" t="s">
        <v>416</v>
      </c>
      <c r="I117" s="307">
        <v>60136.0</v>
      </c>
      <c r="J117" s="37">
        <v>1.0</v>
      </c>
    </row>
    <row r="118">
      <c r="A118" s="303"/>
      <c r="B118" s="304" t="s">
        <v>394</v>
      </c>
      <c r="C118" s="37" t="s">
        <v>396</v>
      </c>
      <c r="D118" s="153" t="s">
        <v>406</v>
      </c>
      <c r="E118" s="153" t="s">
        <v>407</v>
      </c>
      <c r="F118" s="310" t="s">
        <v>1466</v>
      </c>
      <c r="G118" s="306" t="s">
        <v>422</v>
      </c>
      <c r="H118" s="306" t="s">
        <v>415</v>
      </c>
      <c r="I118" s="307">
        <v>60136.0</v>
      </c>
      <c r="J118" s="37">
        <v>1.0</v>
      </c>
    </row>
    <row r="119">
      <c r="A119" s="303"/>
      <c r="B119" s="304" t="s">
        <v>394</v>
      </c>
      <c r="C119" s="37" t="s">
        <v>396</v>
      </c>
      <c r="D119" s="153" t="s">
        <v>406</v>
      </c>
      <c r="E119" s="153" t="s">
        <v>407</v>
      </c>
      <c r="F119" s="310" t="s">
        <v>1467</v>
      </c>
      <c r="G119" s="306" t="s">
        <v>422</v>
      </c>
      <c r="H119" s="306" t="s">
        <v>416</v>
      </c>
      <c r="I119" s="307">
        <v>60136.0</v>
      </c>
      <c r="J119" s="37">
        <v>1.0</v>
      </c>
    </row>
    <row r="120">
      <c r="A120" s="312"/>
      <c r="B120" s="37" t="s">
        <v>1468</v>
      </c>
      <c r="C120" s="37" t="s">
        <v>1468</v>
      </c>
      <c r="D120" s="37"/>
      <c r="E120" s="37"/>
      <c r="F120" s="37"/>
      <c r="G120" s="306" t="s">
        <v>1468</v>
      </c>
      <c r="H120" s="306" t="s">
        <v>1468</v>
      </c>
      <c r="I120" s="173"/>
    </row>
    <row r="121">
      <c r="A121" s="303">
        <v>19.0</v>
      </c>
      <c r="B121" s="304" t="s">
        <v>394</v>
      </c>
      <c r="C121" s="37" t="s">
        <v>396</v>
      </c>
      <c r="D121" s="153" t="s">
        <v>406</v>
      </c>
      <c r="E121" s="153" t="s">
        <v>407</v>
      </c>
      <c r="F121" s="305" t="s">
        <v>1462</v>
      </c>
      <c r="G121" s="306" t="s">
        <v>418</v>
      </c>
      <c r="H121" s="306" t="s">
        <v>415</v>
      </c>
      <c r="I121" s="307">
        <v>60181.0</v>
      </c>
      <c r="J121" s="37">
        <v>1.0</v>
      </c>
    </row>
    <row r="122">
      <c r="A122" s="303"/>
      <c r="B122" s="304" t="s">
        <v>394</v>
      </c>
      <c r="C122" s="37" t="s">
        <v>396</v>
      </c>
      <c r="D122" s="153" t="s">
        <v>406</v>
      </c>
      <c r="E122" s="153" t="s">
        <v>407</v>
      </c>
      <c r="F122" s="308" t="s">
        <v>1463</v>
      </c>
      <c r="G122" s="306" t="s">
        <v>418</v>
      </c>
      <c r="H122" s="306" t="s">
        <v>416</v>
      </c>
      <c r="I122" s="307">
        <v>60181.0</v>
      </c>
      <c r="J122" s="37">
        <v>0.0</v>
      </c>
    </row>
    <row r="123">
      <c r="A123" s="303"/>
      <c r="B123" s="304" t="s">
        <v>394</v>
      </c>
      <c r="C123" s="37" t="s">
        <v>396</v>
      </c>
      <c r="D123" s="153" t="s">
        <v>406</v>
      </c>
      <c r="E123" s="153" t="s">
        <v>407</v>
      </c>
      <c r="F123" s="309" t="s">
        <v>1464</v>
      </c>
      <c r="G123" s="306" t="s">
        <v>420</v>
      </c>
      <c r="H123" s="306" t="s">
        <v>415</v>
      </c>
      <c r="I123" s="307">
        <v>60181.0</v>
      </c>
      <c r="J123" s="37">
        <v>0.0</v>
      </c>
    </row>
    <row r="124">
      <c r="A124" s="303"/>
      <c r="B124" s="304" t="s">
        <v>394</v>
      </c>
      <c r="C124" s="37" t="s">
        <v>396</v>
      </c>
      <c r="D124" s="153" t="s">
        <v>406</v>
      </c>
      <c r="E124" s="153" t="s">
        <v>407</v>
      </c>
      <c r="F124" s="309" t="s">
        <v>1465</v>
      </c>
      <c r="G124" s="306" t="s">
        <v>420</v>
      </c>
      <c r="H124" s="306" t="s">
        <v>416</v>
      </c>
      <c r="I124" s="307">
        <v>60181.0</v>
      </c>
      <c r="J124" s="37">
        <v>0.0</v>
      </c>
    </row>
    <row r="125">
      <c r="A125" s="303"/>
      <c r="B125" s="304" t="s">
        <v>394</v>
      </c>
      <c r="C125" s="37" t="s">
        <v>396</v>
      </c>
      <c r="D125" s="153" t="s">
        <v>406</v>
      </c>
      <c r="E125" s="153" t="s">
        <v>407</v>
      </c>
      <c r="F125" s="310" t="s">
        <v>1466</v>
      </c>
      <c r="G125" s="306" t="s">
        <v>422</v>
      </c>
      <c r="H125" s="306" t="s">
        <v>415</v>
      </c>
      <c r="I125" s="307">
        <v>60181.0</v>
      </c>
      <c r="J125" s="37">
        <v>0.0</v>
      </c>
    </row>
    <row r="126">
      <c r="A126" s="303"/>
      <c r="B126" s="304" t="s">
        <v>394</v>
      </c>
      <c r="C126" s="37" t="s">
        <v>396</v>
      </c>
      <c r="D126" s="153" t="s">
        <v>406</v>
      </c>
      <c r="E126" s="153" t="s">
        <v>407</v>
      </c>
      <c r="F126" s="310" t="s">
        <v>1467</v>
      </c>
      <c r="G126" s="306" t="s">
        <v>422</v>
      </c>
      <c r="H126" s="306" t="s">
        <v>416</v>
      </c>
      <c r="I126" s="307">
        <v>60181.0</v>
      </c>
      <c r="J126" s="37">
        <v>0.0</v>
      </c>
    </row>
    <row r="127">
      <c r="A127" s="312"/>
      <c r="B127" s="37" t="s">
        <v>1468</v>
      </c>
      <c r="C127" s="37" t="s">
        <v>1468</v>
      </c>
      <c r="D127" s="37"/>
      <c r="E127" s="37"/>
      <c r="F127" s="37"/>
      <c r="G127" s="306" t="s">
        <v>1468</v>
      </c>
      <c r="H127" s="306" t="s">
        <v>1468</v>
      </c>
      <c r="I127" s="173"/>
    </row>
    <row r="128">
      <c r="A128" s="303">
        <v>20.0</v>
      </c>
      <c r="B128" s="304" t="s">
        <v>394</v>
      </c>
      <c r="C128" s="37" t="s">
        <v>396</v>
      </c>
      <c r="D128" s="153" t="s">
        <v>406</v>
      </c>
      <c r="E128" s="153" t="s">
        <v>407</v>
      </c>
      <c r="F128" s="305" t="s">
        <v>1462</v>
      </c>
      <c r="G128" s="306" t="s">
        <v>418</v>
      </c>
      <c r="H128" s="306" t="s">
        <v>415</v>
      </c>
      <c r="I128" s="307">
        <v>601330.0</v>
      </c>
      <c r="J128" s="37">
        <v>0.0</v>
      </c>
    </row>
    <row r="129">
      <c r="A129" s="303"/>
      <c r="B129" s="304" t="s">
        <v>394</v>
      </c>
      <c r="C129" s="37" t="s">
        <v>396</v>
      </c>
      <c r="D129" s="153" t="s">
        <v>406</v>
      </c>
      <c r="E129" s="153" t="s">
        <v>407</v>
      </c>
      <c r="F129" s="308" t="s">
        <v>1463</v>
      </c>
      <c r="G129" s="306" t="s">
        <v>418</v>
      </c>
      <c r="H129" s="306" t="s">
        <v>416</v>
      </c>
      <c r="I129" s="307">
        <v>601330.0</v>
      </c>
      <c r="J129" s="37">
        <v>0.0</v>
      </c>
    </row>
    <row r="130">
      <c r="A130" s="303"/>
      <c r="B130" s="304" t="s">
        <v>394</v>
      </c>
      <c r="C130" s="37" t="s">
        <v>396</v>
      </c>
      <c r="D130" s="153" t="s">
        <v>406</v>
      </c>
      <c r="E130" s="153" t="s">
        <v>407</v>
      </c>
      <c r="F130" s="309" t="s">
        <v>1464</v>
      </c>
      <c r="G130" s="306" t="s">
        <v>420</v>
      </c>
      <c r="H130" s="306" t="s">
        <v>415</v>
      </c>
      <c r="I130" s="307">
        <v>601330.0</v>
      </c>
      <c r="J130" s="37">
        <v>0.0</v>
      </c>
    </row>
    <row r="131">
      <c r="A131" s="303"/>
      <c r="B131" s="304" t="s">
        <v>394</v>
      </c>
      <c r="C131" s="37" t="s">
        <v>396</v>
      </c>
      <c r="D131" s="153" t="s">
        <v>406</v>
      </c>
      <c r="E131" s="153" t="s">
        <v>407</v>
      </c>
      <c r="F131" s="309" t="s">
        <v>1465</v>
      </c>
      <c r="G131" s="306" t="s">
        <v>420</v>
      </c>
      <c r="H131" s="306" t="s">
        <v>416</v>
      </c>
      <c r="I131" s="307">
        <v>601330.0</v>
      </c>
      <c r="J131" s="37">
        <v>0.0</v>
      </c>
    </row>
    <row r="132">
      <c r="A132" s="303"/>
      <c r="B132" s="304" t="s">
        <v>394</v>
      </c>
      <c r="C132" s="37" t="s">
        <v>396</v>
      </c>
      <c r="D132" s="153" t="s">
        <v>406</v>
      </c>
      <c r="E132" s="153" t="s">
        <v>407</v>
      </c>
      <c r="F132" s="310" t="s">
        <v>1466</v>
      </c>
      <c r="G132" s="306" t="s">
        <v>422</v>
      </c>
      <c r="H132" s="306" t="s">
        <v>415</v>
      </c>
      <c r="I132" s="307">
        <v>601330.0</v>
      </c>
      <c r="J132" s="37">
        <v>0.0</v>
      </c>
    </row>
    <row r="133">
      <c r="A133" s="303"/>
      <c r="B133" s="304" t="s">
        <v>394</v>
      </c>
      <c r="C133" s="37" t="s">
        <v>396</v>
      </c>
      <c r="D133" s="153" t="s">
        <v>406</v>
      </c>
      <c r="E133" s="153" t="s">
        <v>407</v>
      </c>
      <c r="F133" s="310" t="s">
        <v>1467</v>
      </c>
      <c r="G133" s="306" t="s">
        <v>422</v>
      </c>
      <c r="H133" s="306" t="s">
        <v>416</v>
      </c>
      <c r="I133" s="307">
        <v>601330.0</v>
      </c>
      <c r="J133" s="37">
        <v>0.0</v>
      </c>
    </row>
    <row r="134">
      <c r="A134" s="312"/>
      <c r="B134" s="37" t="s">
        <v>1468</v>
      </c>
      <c r="C134" s="37" t="s">
        <v>1468</v>
      </c>
      <c r="D134" s="37"/>
      <c r="E134" s="37"/>
      <c r="F134" s="37"/>
      <c r="G134" s="306" t="s">
        <v>1468</v>
      </c>
      <c r="H134" s="306" t="s">
        <v>1468</v>
      </c>
      <c r="I134" s="173"/>
    </row>
    <row r="135">
      <c r="A135" s="303">
        <v>21.0</v>
      </c>
      <c r="B135" s="304" t="s">
        <v>394</v>
      </c>
      <c r="C135" s="37" t="s">
        <v>396</v>
      </c>
      <c r="D135" s="153" t="s">
        <v>406</v>
      </c>
      <c r="E135" s="153" t="s">
        <v>407</v>
      </c>
      <c r="F135" s="305" t="s">
        <v>1462</v>
      </c>
      <c r="G135" s="306" t="s">
        <v>418</v>
      </c>
      <c r="H135" s="306" t="s">
        <v>415</v>
      </c>
      <c r="I135" s="307">
        <v>601331.0</v>
      </c>
      <c r="J135" s="37">
        <v>5.0</v>
      </c>
    </row>
    <row r="136">
      <c r="A136" s="303"/>
      <c r="B136" s="304" t="s">
        <v>394</v>
      </c>
      <c r="C136" s="37" t="s">
        <v>396</v>
      </c>
      <c r="D136" s="153" t="s">
        <v>406</v>
      </c>
      <c r="E136" s="153" t="s">
        <v>407</v>
      </c>
      <c r="F136" s="308" t="s">
        <v>1463</v>
      </c>
      <c r="G136" s="306" t="s">
        <v>418</v>
      </c>
      <c r="H136" s="306" t="s">
        <v>416</v>
      </c>
      <c r="I136" s="307">
        <v>601331.0</v>
      </c>
      <c r="J136" s="37">
        <v>4.0</v>
      </c>
    </row>
    <row r="137">
      <c r="A137" s="303"/>
      <c r="B137" s="304" t="s">
        <v>394</v>
      </c>
      <c r="C137" s="37" t="s">
        <v>396</v>
      </c>
      <c r="D137" s="153" t="s">
        <v>406</v>
      </c>
      <c r="E137" s="153" t="s">
        <v>407</v>
      </c>
      <c r="F137" s="309" t="s">
        <v>1464</v>
      </c>
      <c r="G137" s="306" t="s">
        <v>420</v>
      </c>
      <c r="H137" s="306" t="s">
        <v>415</v>
      </c>
      <c r="I137" s="307">
        <v>601331.0</v>
      </c>
      <c r="J137" s="37">
        <v>4.0</v>
      </c>
    </row>
    <row r="138">
      <c r="A138" s="303"/>
      <c r="B138" s="304" t="s">
        <v>394</v>
      </c>
      <c r="C138" s="37" t="s">
        <v>396</v>
      </c>
      <c r="D138" s="153" t="s">
        <v>406</v>
      </c>
      <c r="E138" s="153" t="s">
        <v>407</v>
      </c>
      <c r="F138" s="309" t="s">
        <v>1465</v>
      </c>
      <c r="G138" s="306" t="s">
        <v>420</v>
      </c>
      <c r="H138" s="306" t="s">
        <v>416</v>
      </c>
      <c r="I138" s="307">
        <v>601331.0</v>
      </c>
      <c r="J138" s="37">
        <v>3.0</v>
      </c>
    </row>
    <row r="139">
      <c r="A139" s="303"/>
      <c r="B139" s="304" t="s">
        <v>394</v>
      </c>
      <c r="C139" s="37" t="s">
        <v>396</v>
      </c>
      <c r="D139" s="153" t="s">
        <v>406</v>
      </c>
      <c r="E139" s="153" t="s">
        <v>407</v>
      </c>
      <c r="F139" s="310" t="s">
        <v>1466</v>
      </c>
      <c r="G139" s="306" t="s">
        <v>422</v>
      </c>
      <c r="H139" s="306" t="s">
        <v>415</v>
      </c>
      <c r="I139" s="307">
        <v>601331.0</v>
      </c>
      <c r="J139" s="37">
        <v>4.0</v>
      </c>
    </row>
    <row r="140">
      <c r="A140" s="303"/>
      <c r="B140" s="304" t="s">
        <v>394</v>
      </c>
      <c r="C140" s="37" t="s">
        <v>396</v>
      </c>
      <c r="D140" s="153" t="s">
        <v>406</v>
      </c>
      <c r="E140" s="153" t="s">
        <v>407</v>
      </c>
      <c r="F140" s="310" t="s">
        <v>1467</v>
      </c>
      <c r="G140" s="306" t="s">
        <v>422</v>
      </c>
      <c r="H140" s="306" t="s">
        <v>416</v>
      </c>
      <c r="I140" s="307">
        <v>601331.0</v>
      </c>
      <c r="J140" s="37">
        <v>5.0</v>
      </c>
    </row>
    <row r="141">
      <c r="A141" s="312"/>
      <c r="B141" s="37" t="s">
        <v>1468</v>
      </c>
      <c r="C141" s="37" t="s">
        <v>1468</v>
      </c>
      <c r="D141" s="37"/>
      <c r="E141" s="37"/>
      <c r="F141" s="37"/>
      <c r="G141" s="306" t="s">
        <v>1468</v>
      </c>
      <c r="H141" s="306" t="s">
        <v>1468</v>
      </c>
      <c r="I141" s="173"/>
    </row>
    <row r="142">
      <c r="A142" s="303">
        <v>22.0</v>
      </c>
      <c r="B142" s="304" t="s">
        <v>394</v>
      </c>
      <c r="C142" s="37" t="s">
        <v>396</v>
      </c>
      <c r="D142" s="153" t="s">
        <v>406</v>
      </c>
      <c r="E142" s="153" t="s">
        <v>407</v>
      </c>
      <c r="F142" s="305" t="s">
        <v>1462</v>
      </c>
      <c r="G142" s="306" t="s">
        <v>418</v>
      </c>
      <c r="H142" s="306" t="s">
        <v>415</v>
      </c>
      <c r="I142" s="307">
        <v>601391.0</v>
      </c>
      <c r="J142" s="37">
        <v>0.0</v>
      </c>
    </row>
    <row r="143">
      <c r="A143" s="303"/>
      <c r="B143" s="304" t="s">
        <v>394</v>
      </c>
      <c r="C143" s="37" t="s">
        <v>396</v>
      </c>
      <c r="D143" s="153" t="s">
        <v>406</v>
      </c>
      <c r="E143" s="153" t="s">
        <v>407</v>
      </c>
      <c r="F143" s="308" t="s">
        <v>1463</v>
      </c>
      <c r="G143" s="306" t="s">
        <v>418</v>
      </c>
      <c r="H143" s="306" t="s">
        <v>416</v>
      </c>
      <c r="I143" s="307">
        <v>601391.0</v>
      </c>
      <c r="J143" s="37">
        <v>1.0</v>
      </c>
    </row>
    <row r="144">
      <c r="A144" s="303"/>
      <c r="B144" s="304" t="s">
        <v>394</v>
      </c>
      <c r="C144" s="37" t="s">
        <v>396</v>
      </c>
      <c r="D144" s="153" t="s">
        <v>406</v>
      </c>
      <c r="E144" s="153" t="s">
        <v>407</v>
      </c>
      <c r="F144" s="309" t="s">
        <v>1464</v>
      </c>
      <c r="G144" s="306" t="s">
        <v>420</v>
      </c>
      <c r="H144" s="306" t="s">
        <v>415</v>
      </c>
      <c r="I144" s="307">
        <v>601391.0</v>
      </c>
      <c r="J144" s="37">
        <v>0.0</v>
      </c>
    </row>
    <row r="145">
      <c r="A145" s="303"/>
      <c r="B145" s="304" t="s">
        <v>394</v>
      </c>
      <c r="C145" s="37" t="s">
        <v>396</v>
      </c>
      <c r="D145" s="153" t="s">
        <v>406</v>
      </c>
      <c r="E145" s="153" t="s">
        <v>407</v>
      </c>
      <c r="F145" s="309" t="s">
        <v>1465</v>
      </c>
      <c r="G145" s="306" t="s">
        <v>420</v>
      </c>
      <c r="H145" s="306" t="s">
        <v>416</v>
      </c>
      <c r="I145" s="307">
        <v>601391.0</v>
      </c>
      <c r="J145" s="37">
        <v>0.0</v>
      </c>
    </row>
    <row r="146">
      <c r="A146" s="303"/>
      <c r="B146" s="304" t="s">
        <v>394</v>
      </c>
      <c r="C146" s="37" t="s">
        <v>396</v>
      </c>
      <c r="D146" s="153" t="s">
        <v>406</v>
      </c>
      <c r="E146" s="153" t="s">
        <v>407</v>
      </c>
      <c r="F146" s="310" t="s">
        <v>1466</v>
      </c>
      <c r="G146" s="306" t="s">
        <v>422</v>
      </c>
      <c r="H146" s="306" t="s">
        <v>415</v>
      </c>
      <c r="I146" s="307">
        <v>601391.0</v>
      </c>
      <c r="J146" s="37">
        <v>1.0</v>
      </c>
    </row>
    <row r="147">
      <c r="A147" s="303"/>
      <c r="B147" s="304" t="s">
        <v>394</v>
      </c>
      <c r="C147" s="37" t="s">
        <v>396</v>
      </c>
      <c r="D147" s="153" t="s">
        <v>406</v>
      </c>
      <c r="E147" s="153" t="s">
        <v>407</v>
      </c>
      <c r="F147" s="310" t="s">
        <v>1467</v>
      </c>
      <c r="G147" s="306" t="s">
        <v>422</v>
      </c>
      <c r="H147" s="306" t="s">
        <v>416</v>
      </c>
      <c r="I147" s="307">
        <v>601391.0</v>
      </c>
      <c r="J147" s="37">
        <v>0.0</v>
      </c>
    </row>
    <row r="148">
      <c r="A148" s="312"/>
      <c r="B148" s="37" t="s">
        <v>1468</v>
      </c>
      <c r="C148" s="37" t="s">
        <v>1468</v>
      </c>
      <c r="D148" s="37"/>
      <c r="E148" s="37"/>
      <c r="F148" s="37"/>
      <c r="G148" s="306" t="s">
        <v>1468</v>
      </c>
      <c r="H148" s="306" t="s">
        <v>1468</v>
      </c>
      <c r="I148" s="173"/>
    </row>
    <row r="149">
      <c r="A149" s="303">
        <v>23.0</v>
      </c>
      <c r="B149" s="304" t="s">
        <v>394</v>
      </c>
      <c r="C149" s="37" t="s">
        <v>396</v>
      </c>
      <c r="D149" s="153" t="s">
        <v>406</v>
      </c>
      <c r="E149" s="153" t="s">
        <v>407</v>
      </c>
      <c r="F149" s="305" t="s">
        <v>1462</v>
      </c>
      <c r="G149" s="306" t="s">
        <v>418</v>
      </c>
      <c r="H149" s="306" t="s">
        <v>415</v>
      </c>
      <c r="I149" s="307">
        <v>601444.0</v>
      </c>
      <c r="J149" s="37">
        <v>1.0</v>
      </c>
    </row>
    <row r="150">
      <c r="A150" s="303"/>
      <c r="B150" s="304" t="s">
        <v>394</v>
      </c>
      <c r="C150" s="37" t="s">
        <v>396</v>
      </c>
      <c r="D150" s="153" t="s">
        <v>406</v>
      </c>
      <c r="E150" s="153" t="s">
        <v>407</v>
      </c>
      <c r="F150" s="308" t="s">
        <v>1463</v>
      </c>
      <c r="G150" s="306" t="s">
        <v>418</v>
      </c>
      <c r="H150" s="306" t="s">
        <v>416</v>
      </c>
      <c r="I150" s="307">
        <v>601444.0</v>
      </c>
      <c r="J150" s="37">
        <v>1.0</v>
      </c>
    </row>
    <row r="151">
      <c r="A151" s="303"/>
      <c r="B151" s="304" t="s">
        <v>394</v>
      </c>
      <c r="C151" s="37" t="s">
        <v>396</v>
      </c>
      <c r="D151" s="153" t="s">
        <v>406</v>
      </c>
      <c r="E151" s="153" t="s">
        <v>407</v>
      </c>
      <c r="F151" s="309" t="s">
        <v>1464</v>
      </c>
      <c r="G151" s="306" t="s">
        <v>420</v>
      </c>
      <c r="H151" s="306" t="s">
        <v>415</v>
      </c>
      <c r="I151" s="307">
        <v>601444.0</v>
      </c>
      <c r="J151" s="37">
        <v>1.0</v>
      </c>
    </row>
    <row r="152">
      <c r="A152" s="303"/>
      <c r="B152" s="304" t="s">
        <v>394</v>
      </c>
      <c r="C152" s="37" t="s">
        <v>396</v>
      </c>
      <c r="D152" s="153" t="s">
        <v>406</v>
      </c>
      <c r="E152" s="153" t="s">
        <v>407</v>
      </c>
      <c r="F152" s="309" t="s">
        <v>1465</v>
      </c>
      <c r="G152" s="306" t="s">
        <v>420</v>
      </c>
      <c r="H152" s="306" t="s">
        <v>416</v>
      </c>
      <c r="I152" s="307">
        <v>601444.0</v>
      </c>
      <c r="J152" s="37">
        <v>1.0</v>
      </c>
    </row>
    <row r="153">
      <c r="A153" s="303"/>
      <c r="B153" s="304" t="s">
        <v>394</v>
      </c>
      <c r="C153" s="37" t="s">
        <v>396</v>
      </c>
      <c r="D153" s="153" t="s">
        <v>406</v>
      </c>
      <c r="E153" s="153" t="s">
        <v>407</v>
      </c>
      <c r="F153" s="310" t="s">
        <v>1466</v>
      </c>
      <c r="G153" s="306" t="s">
        <v>422</v>
      </c>
      <c r="H153" s="306" t="s">
        <v>415</v>
      </c>
      <c r="I153" s="307">
        <v>601444.0</v>
      </c>
      <c r="J153" s="37">
        <v>1.0</v>
      </c>
    </row>
    <row r="154">
      <c r="A154" s="303"/>
      <c r="B154" s="304" t="s">
        <v>394</v>
      </c>
      <c r="C154" s="37" t="s">
        <v>396</v>
      </c>
      <c r="D154" s="153" t="s">
        <v>406</v>
      </c>
      <c r="E154" s="153" t="s">
        <v>407</v>
      </c>
      <c r="F154" s="310" t="s">
        <v>1467</v>
      </c>
      <c r="G154" s="306" t="s">
        <v>422</v>
      </c>
      <c r="H154" s="306" t="s">
        <v>416</v>
      </c>
      <c r="I154" s="307">
        <v>601444.0</v>
      </c>
      <c r="J154" s="37">
        <v>0.0</v>
      </c>
    </row>
    <row r="155">
      <c r="A155" s="312"/>
      <c r="B155" s="37" t="s">
        <v>1468</v>
      </c>
      <c r="C155" s="37" t="s">
        <v>1468</v>
      </c>
      <c r="D155" s="37"/>
      <c r="E155" s="37"/>
      <c r="F155" s="37"/>
      <c r="G155" s="306" t="s">
        <v>1468</v>
      </c>
      <c r="H155" s="306" t="s">
        <v>1468</v>
      </c>
      <c r="I155" s="173"/>
    </row>
    <row r="156">
      <c r="A156" s="303">
        <v>24.0</v>
      </c>
      <c r="B156" s="304" t="s">
        <v>394</v>
      </c>
      <c r="C156" s="37" t="s">
        <v>396</v>
      </c>
      <c r="D156" s="153" t="s">
        <v>406</v>
      </c>
      <c r="E156" s="153" t="s">
        <v>407</v>
      </c>
      <c r="F156" s="305" t="s">
        <v>1462</v>
      </c>
      <c r="G156" s="306" t="s">
        <v>418</v>
      </c>
      <c r="H156" s="306" t="s">
        <v>415</v>
      </c>
      <c r="I156" s="307">
        <v>601448.0</v>
      </c>
      <c r="J156" s="37">
        <v>2.0</v>
      </c>
    </row>
    <row r="157">
      <c r="A157" s="303"/>
      <c r="B157" s="304" t="s">
        <v>394</v>
      </c>
      <c r="C157" s="37" t="s">
        <v>396</v>
      </c>
      <c r="D157" s="153" t="s">
        <v>406</v>
      </c>
      <c r="E157" s="153" t="s">
        <v>407</v>
      </c>
      <c r="F157" s="308" t="s">
        <v>1463</v>
      </c>
      <c r="G157" s="306" t="s">
        <v>418</v>
      </c>
      <c r="H157" s="306" t="s">
        <v>416</v>
      </c>
      <c r="I157" s="307">
        <v>601448.0</v>
      </c>
      <c r="J157" s="37">
        <v>1.0</v>
      </c>
    </row>
    <row r="158">
      <c r="A158" s="303"/>
      <c r="B158" s="304" t="s">
        <v>394</v>
      </c>
      <c r="C158" s="37" t="s">
        <v>396</v>
      </c>
      <c r="D158" s="153" t="s">
        <v>406</v>
      </c>
      <c r="E158" s="153" t="s">
        <v>407</v>
      </c>
      <c r="F158" s="309" t="s">
        <v>1464</v>
      </c>
      <c r="G158" s="306" t="s">
        <v>420</v>
      </c>
      <c r="H158" s="306" t="s">
        <v>415</v>
      </c>
      <c r="I158" s="307">
        <v>601448.0</v>
      </c>
      <c r="J158" s="37">
        <v>1.0</v>
      </c>
    </row>
    <row r="159">
      <c r="A159" s="303"/>
      <c r="B159" s="304" t="s">
        <v>394</v>
      </c>
      <c r="C159" s="37" t="s">
        <v>396</v>
      </c>
      <c r="D159" s="153" t="s">
        <v>406</v>
      </c>
      <c r="E159" s="153" t="s">
        <v>407</v>
      </c>
      <c r="F159" s="309" t="s">
        <v>1465</v>
      </c>
      <c r="G159" s="306" t="s">
        <v>420</v>
      </c>
      <c r="H159" s="306" t="s">
        <v>416</v>
      </c>
      <c r="I159" s="307">
        <v>601448.0</v>
      </c>
      <c r="J159" s="37">
        <v>1.0</v>
      </c>
    </row>
    <row r="160">
      <c r="A160" s="303"/>
      <c r="B160" s="304" t="s">
        <v>394</v>
      </c>
      <c r="C160" s="37" t="s">
        <v>396</v>
      </c>
      <c r="D160" s="153" t="s">
        <v>406</v>
      </c>
      <c r="E160" s="153" t="s">
        <v>407</v>
      </c>
      <c r="F160" s="310" t="s">
        <v>1466</v>
      </c>
      <c r="G160" s="306" t="s">
        <v>422</v>
      </c>
      <c r="H160" s="306" t="s">
        <v>415</v>
      </c>
      <c r="I160" s="307">
        <v>601448.0</v>
      </c>
      <c r="J160" s="37">
        <v>1.0</v>
      </c>
    </row>
    <row r="161">
      <c r="A161" s="303"/>
      <c r="B161" s="304" t="s">
        <v>394</v>
      </c>
      <c r="C161" s="37" t="s">
        <v>396</v>
      </c>
      <c r="D161" s="153" t="s">
        <v>406</v>
      </c>
      <c r="E161" s="153" t="s">
        <v>407</v>
      </c>
      <c r="F161" s="310" t="s">
        <v>1467</v>
      </c>
      <c r="G161" s="306" t="s">
        <v>422</v>
      </c>
      <c r="H161" s="306" t="s">
        <v>416</v>
      </c>
      <c r="I161" s="307">
        <v>601448.0</v>
      </c>
      <c r="J161" s="37">
        <v>1.0</v>
      </c>
    </row>
    <row r="162">
      <c r="A162" s="312"/>
      <c r="B162" s="37" t="s">
        <v>1468</v>
      </c>
      <c r="C162" s="37" t="s">
        <v>1468</v>
      </c>
      <c r="D162" s="37"/>
      <c r="E162" s="37"/>
      <c r="F162" s="37"/>
      <c r="G162" s="306" t="s">
        <v>1468</v>
      </c>
      <c r="H162" s="306" t="s">
        <v>1468</v>
      </c>
      <c r="I162" s="173"/>
    </row>
    <row r="163">
      <c r="A163" s="303">
        <v>25.0</v>
      </c>
      <c r="B163" s="304" t="s">
        <v>394</v>
      </c>
      <c r="C163" s="37" t="s">
        <v>396</v>
      </c>
      <c r="D163" s="153" t="s">
        <v>406</v>
      </c>
      <c r="E163" s="153" t="s">
        <v>407</v>
      </c>
      <c r="F163" s="305" t="s">
        <v>1462</v>
      </c>
      <c r="G163" s="306" t="s">
        <v>418</v>
      </c>
      <c r="H163" s="306" t="s">
        <v>415</v>
      </c>
      <c r="I163" s="307">
        <v>601511.0</v>
      </c>
      <c r="J163" s="37">
        <v>0.0</v>
      </c>
    </row>
    <row r="164">
      <c r="A164" s="303"/>
      <c r="B164" s="304" t="s">
        <v>394</v>
      </c>
      <c r="C164" s="37" t="s">
        <v>396</v>
      </c>
      <c r="D164" s="153" t="s">
        <v>406</v>
      </c>
      <c r="E164" s="153" t="s">
        <v>407</v>
      </c>
      <c r="F164" s="308" t="s">
        <v>1463</v>
      </c>
      <c r="G164" s="306" t="s">
        <v>418</v>
      </c>
      <c r="H164" s="306" t="s">
        <v>416</v>
      </c>
      <c r="I164" s="307">
        <v>601511.0</v>
      </c>
      <c r="J164" s="37">
        <v>0.0</v>
      </c>
    </row>
    <row r="165">
      <c r="A165" s="303"/>
      <c r="B165" s="304" t="s">
        <v>394</v>
      </c>
      <c r="C165" s="37" t="s">
        <v>396</v>
      </c>
      <c r="D165" s="153" t="s">
        <v>406</v>
      </c>
      <c r="E165" s="153" t="s">
        <v>407</v>
      </c>
      <c r="F165" s="309" t="s">
        <v>1464</v>
      </c>
      <c r="G165" s="306" t="s">
        <v>420</v>
      </c>
      <c r="H165" s="306" t="s">
        <v>415</v>
      </c>
      <c r="I165" s="307">
        <v>601511.0</v>
      </c>
      <c r="J165" s="37">
        <v>0.0</v>
      </c>
    </row>
    <row r="166">
      <c r="A166" s="303"/>
      <c r="B166" s="304" t="s">
        <v>394</v>
      </c>
      <c r="C166" s="37" t="s">
        <v>396</v>
      </c>
      <c r="D166" s="153" t="s">
        <v>406</v>
      </c>
      <c r="E166" s="153" t="s">
        <v>407</v>
      </c>
      <c r="F166" s="309" t="s">
        <v>1465</v>
      </c>
      <c r="G166" s="306" t="s">
        <v>420</v>
      </c>
      <c r="H166" s="306" t="s">
        <v>416</v>
      </c>
      <c r="I166" s="307">
        <v>601511.0</v>
      </c>
      <c r="J166" s="37">
        <v>1.0</v>
      </c>
    </row>
    <row r="167">
      <c r="A167" s="303"/>
      <c r="B167" s="304" t="s">
        <v>394</v>
      </c>
      <c r="C167" s="37" t="s">
        <v>396</v>
      </c>
      <c r="D167" s="153" t="s">
        <v>406</v>
      </c>
      <c r="E167" s="153" t="s">
        <v>407</v>
      </c>
      <c r="F167" s="310" t="s">
        <v>1466</v>
      </c>
      <c r="G167" s="306" t="s">
        <v>422</v>
      </c>
      <c r="H167" s="306" t="s">
        <v>415</v>
      </c>
      <c r="I167" s="307">
        <v>601511.0</v>
      </c>
      <c r="J167" s="37">
        <v>1.0</v>
      </c>
    </row>
    <row r="168">
      <c r="A168" s="303"/>
      <c r="B168" s="304" t="s">
        <v>394</v>
      </c>
      <c r="C168" s="37" t="s">
        <v>396</v>
      </c>
      <c r="D168" s="153" t="s">
        <v>406</v>
      </c>
      <c r="E168" s="153" t="s">
        <v>407</v>
      </c>
      <c r="F168" s="310" t="s">
        <v>1467</v>
      </c>
      <c r="G168" s="306" t="s">
        <v>422</v>
      </c>
      <c r="H168" s="306" t="s">
        <v>416</v>
      </c>
      <c r="I168" s="307">
        <v>601511.0</v>
      </c>
      <c r="J168" s="37">
        <v>0.0</v>
      </c>
    </row>
    <row r="169">
      <c r="A169" s="312"/>
      <c r="B169" s="37" t="s">
        <v>1468</v>
      </c>
      <c r="C169" s="37" t="s">
        <v>1468</v>
      </c>
      <c r="D169" s="37"/>
      <c r="E169" s="37"/>
      <c r="F169" s="37"/>
      <c r="G169" s="306" t="s">
        <v>1468</v>
      </c>
      <c r="H169" s="306" t="s">
        <v>1468</v>
      </c>
      <c r="I169" s="173"/>
    </row>
    <row r="170">
      <c r="A170" s="303">
        <v>26.0</v>
      </c>
      <c r="B170" s="304" t="s">
        <v>394</v>
      </c>
      <c r="C170" s="37" t="s">
        <v>396</v>
      </c>
      <c r="D170" s="153" t="s">
        <v>406</v>
      </c>
      <c r="E170" s="153" t="s">
        <v>407</v>
      </c>
      <c r="F170" s="305" t="s">
        <v>1462</v>
      </c>
      <c r="G170" s="306" t="s">
        <v>418</v>
      </c>
      <c r="H170" s="306" t="s">
        <v>415</v>
      </c>
      <c r="I170" s="307">
        <v>601514.0</v>
      </c>
      <c r="J170" s="37">
        <v>0.0</v>
      </c>
    </row>
    <row r="171">
      <c r="A171" s="303"/>
      <c r="B171" s="304" t="s">
        <v>394</v>
      </c>
      <c r="C171" s="37" t="s">
        <v>396</v>
      </c>
      <c r="D171" s="153" t="s">
        <v>406</v>
      </c>
      <c r="E171" s="153" t="s">
        <v>407</v>
      </c>
      <c r="F171" s="308" t="s">
        <v>1463</v>
      </c>
      <c r="G171" s="306" t="s">
        <v>418</v>
      </c>
      <c r="H171" s="306" t="s">
        <v>416</v>
      </c>
      <c r="I171" s="307">
        <v>601514.0</v>
      </c>
      <c r="J171" s="37">
        <v>1.0</v>
      </c>
    </row>
    <row r="172">
      <c r="A172" s="303"/>
      <c r="B172" s="304" t="s">
        <v>394</v>
      </c>
      <c r="C172" s="37" t="s">
        <v>396</v>
      </c>
      <c r="D172" s="153" t="s">
        <v>406</v>
      </c>
      <c r="E172" s="153" t="s">
        <v>407</v>
      </c>
      <c r="F172" s="309" t="s">
        <v>1464</v>
      </c>
      <c r="G172" s="306" t="s">
        <v>420</v>
      </c>
      <c r="H172" s="306" t="s">
        <v>415</v>
      </c>
      <c r="I172" s="307">
        <v>601514.0</v>
      </c>
      <c r="J172" s="37">
        <v>0.0</v>
      </c>
    </row>
    <row r="173">
      <c r="A173" s="303"/>
      <c r="B173" s="304" t="s">
        <v>394</v>
      </c>
      <c r="C173" s="37" t="s">
        <v>396</v>
      </c>
      <c r="D173" s="153" t="s">
        <v>406</v>
      </c>
      <c r="E173" s="153" t="s">
        <v>407</v>
      </c>
      <c r="F173" s="309" t="s">
        <v>1465</v>
      </c>
      <c r="G173" s="306" t="s">
        <v>420</v>
      </c>
      <c r="H173" s="306" t="s">
        <v>416</v>
      </c>
      <c r="I173" s="307">
        <v>601514.0</v>
      </c>
      <c r="J173" s="37">
        <v>1.0</v>
      </c>
    </row>
    <row r="174">
      <c r="A174" s="303"/>
      <c r="B174" s="304" t="s">
        <v>394</v>
      </c>
      <c r="C174" s="37" t="s">
        <v>396</v>
      </c>
      <c r="D174" s="153" t="s">
        <v>406</v>
      </c>
      <c r="E174" s="153" t="s">
        <v>407</v>
      </c>
      <c r="F174" s="310" t="s">
        <v>1466</v>
      </c>
      <c r="G174" s="306" t="s">
        <v>422</v>
      </c>
      <c r="H174" s="306" t="s">
        <v>415</v>
      </c>
      <c r="I174" s="307">
        <v>601514.0</v>
      </c>
      <c r="J174" s="37">
        <v>1.0</v>
      </c>
    </row>
    <row r="175">
      <c r="A175" s="303"/>
      <c r="B175" s="304" t="s">
        <v>394</v>
      </c>
      <c r="C175" s="37" t="s">
        <v>396</v>
      </c>
      <c r="D175" s="153" t="s">
        <v>406</v>
      </c>
      <c r="E175" s="153" t="s">
        <v>407</v>
      </c>
      <c r="F175" s="310" t="s">
        <v>1467</v>
      </c>
      <c r="G175" s="306" t="s">
        <v>422</v>
      </c>
      <c r="H175" s="306" t="s">
        <v>416</v>
      </c>
      <c r="I175" s="307">
        <v>601514.0</v>
      </c>
      <c r="J175" s="37">
        <v>1.0</v>
      </c>
    </row>
    <row r="176">
      <c r="A176" s="312"/>
      <c r="B176" s="37" t="s">
        <v>1468</v>
      </c>
      <c r="C176" s="37" t="s">
        <v>1468</v>
      </c>
      <c r="D176" s="37"/>
      <c r="E176" s="37"/>
      <c r="F176" s="37"/>
      <c r="G176" s="306" t="s">
        <v>1468</v>
      </c>
      <c r="H176" s="306" t="s">
        <v>1468</v>
      </c>
      <c r="I176" s="173"/>
    </row>
    <row r="177">
      <c r="A177" s="303">
        <v>27.0</v>
      </c>
      <c r="B177" s="304" t="s">
        <v>394</v>
      </c>
      <c r="C177" s="37" t="s">
        <v>396</v>
      </c>
      <c r="D177" s="153" t="s">
        <v>406</v>
      </c>
      <c r="E177" s="153" t="s">
        <v>407</v>
      </c>
      <c r="F177" s="305" t="s">
        <v>1462</v>
      </c>
      <c r="G177" s="306" t="s">
        <v>418</v>
      </c>
      <c r="H177" s="306" t="s">
        <v>415</v>
      </c>
      <c r="I177" s="307">
        <v>601563.0</v>
      </c>
      <c r="J177" s="37">
        <v>0.0</v>
      </c>
    </row>
    <row r="178">
      <c r="A178" s="303"/>
      <c r="B178" s="304" t="s">
        <v>394</v>
      </c>
      <c r="C178" s="37" t="s">
        <v>396</v>
      </c>
      <c r="D178" s="153" t="s">
        <v>406</v>
      </c>
      <c r="E178" s="153" t="s">
        <v>407</v>
      </c>
      <c r="F178" s="308" t="s">
        <v>1463</v>
      </c>
      <c r="G178" s="306" t="s">
        <v>418</v>
      </c>
      <c r="H178" s="306" t="s">
        <v>416</v>
      </c>
      <c r="I178" s="307">
        <v>601563.0</v>
      </c>
      <c r="J178" s="37">
        <v>1.0</v>
      </c>
    </row>
    <row r="179">
      <c r="A179" s="303"/>
      <c r="B179" s="304" t="s">
        <v>394</v>
      </c>
      <c r="C179" s="37" t="s">
        <v>396</v>
      </c>
      <c r="D179" s="153" t="s">
        <v>406</v>
      </c>
      <c r="E179" s="153" t="s">
        <v>407</v>
      </c>
      <c r="F179" s="309" t="s">
        <v>1464</v>
      </c>
      <c r="G179" s="306" t="s">
        <v>420</v>
      </c>
      <c r="H179" s="306" t="s">
        <v>415</v>
      </c>
      <c r="I179" s="307">
        <v>601563.0</v>
      </c>
      <c r="J179" s="37">
        <v>1.0</v>
      </c>
    </row>
    <row r="180">
      <c r="A180" s="303"/>
      <c r="B180" s="304" t="s">
        <v>394</v>
      </c>
      <c r="C180" s="37" t="s">
        <v>396</v>
      </c>
      <c r="D180" s="153" t="s">
        <v>406</v>
      </c>
      <c r="E180" s="153" t="s">
        <v>407</v>
      </c>
      <c r="F180" s="309" t="s">
        <v>1465</v>
      </c>
      <c r="G180" s="306" t="s">
        <v>420</v>
      </c>
      <c r="H180" s="306" t="s">
        <v>416</v>
      </c>
      <c r="I180" s="307">
        <v>601563.0</v>
      </c>
      <c r="J180" s="37">
        <v>0.0</v>
      </c>
    </row>
    <row r="181">
      <c r="A181" s="303"/>
      <c r="B181" s="304" t="s">
        <v>394</v>
      </c>
      <c r="C181" s="37" t="s">
        <v>396</v>
      </c>
      <c r="D181" s="153" t="s">
        <v>406</v>
      </c>
      <c r="E181" s="153" t="s">
        <v>407</v>
      </c>
      <c r="F181" s="310" t="s">
        <v>1466</v>
      </c>
      <c r="G181" s="306" t="s">
        <v>422</v>
      </c>
      <c r="H181" s="306" t="s">
        <v>415</v>
      </c>
      <c r="I181" s="307">
        <v>601563.0</v>
      </c>
      <c r="J181" s="37">
        <v>1.0</v>
      </c>
    </row>
    <row r="182">
      <c r="A182" s="303"/>
      <c r="B182" s="304" t="s">
        <v>394</v>
      </c>
      <c r="C182" s="37" t="s">
        <v>396</v>
      </c>
      <c r="D182" s="153" t="s">
        <v>406</v>
      </c>
      <c r="E182" s="153" t="s">
        <v>407</v>
      </c>
      <c r="F182" s="310" t="s">
        <v>1467</v>
      </c>
      <c r="G182" s="306" t="s">
        <v>422</v>
      </c>
      <c r="H182" s="306" t="s">
        <v>416</v>
      </c>
      <c r="I182" s="307">
        <v>601563.0</v>
      </c>
      <c r="J182" s="37">
        <v>1.0</v>
      </c>
    </row>
    <row r="183">
      <c r="A183" s="312"/>
      <c r="B183" s="37" t="s">
        <v>1468</v>
      </c>
      <c r="C183" s="37" t="s">
        <v>1468</v>
      </c>
      <c r="D183" s="37"/>
      <c r="E183" s="37"/>
      <c r="F183" s="37"/>
      <c r="G183" s="306" t="s">
        <v>1468</v>
      </c>
      <c r="H183" s="306" t="s">
        <v>1468</v>
      </c>
      <c r="I183" s="173"/>
    </row>
    <row r="184">
      <c r="A184" s="303">
        <v>28.0</v>
      </c>
      <c r="B184" s="304" t="s">
        <v>394</v>
      </c>
      <c r="C184" s="37" t="s">
        <v>396</v>
      </c>
      <c r="D184" s="153" t="s">
        <v>406</v>
      </c>
      <c r="E184" s="153" t="s">
        <v>407</v>
      </c>
      <c r="F184" s="305" t="s">
        <v>1462</v>
      </c>
      <c r="G184" s="306" t="s">
        <v>418</v>
      </c>
      <c r="H184" s="306" t="s">
        <v>415</v>
      </c>
      <c r="I184" s="307">
        <v>601570.0</v>
      </c>
      <c r="J184" s="37">
        <v>0.0</v>
      </c>
    </row>
    <row r="185">
      <c r="A185" s="303"/>
      <c r="B185" s="304" t="s">
        <v>394</v>
      </c>
      <c r="C185" s="37" t="s">
        <v>396</v>
      </c>
      <c r="D185" s="153" t="s">
        <v>406</v>
      </c>
      <c r="E185" s="153" t="s">
        <v>407</v>
      </c>
      <c r="F185" s="308" t="s">
        <v>1463</v>
      </c>
      <c r="G185" s="306" t="s">
        <v>418</v>
      </c>
      <c r="H185" s="306" t="s">
        <v>416</v>
      </c>
      <c r="I185" s="307">
        <v>601570.0</v>
      </c>
      <c r="J185" s="37">
        <v>0.0</v>
      </c>
    </row>
    <row r="186">
      <c r="A186" s="303"/>
      <c r="B186" s="304" t="s">
        <v>394</v>
      </c>
      <c r="C186" s="37" t="s">
        <v>396</v>
      </c>
      <c r="D186" s="153" t="s">
        <v>406</v>
      </c>
      <c r="E186" s="153" t="s">
        <v>407</v>
      </c>
      <c r="F186" s="309" t="s">
        <v>1464</v>
      </c>
      <c r="G186" s="306" t="s">
        <v>420</v>
      </c>
      <c r="H186" s="306" t="s">
        <v>415</v>
      </c>
      <c r="I186" s="307">
        <v>601570.0</v>
      </c>
      <c r="J186" s="37">
        <v>1.0</v>
      </c>
    </row>
    <row r="187">
      <c r="A187" s="303"/>
      <c r="B187" s="304" t="s">
        <v>394</v>
      </c>
      <c r="C187" s="37" t="s">
        <v>396</v>
      </c>
      <c r="D187" s="153" t="s">
        <v>406</v>
      </c>
      <c r="E187" s="153" t="s">
        <v>407</v>
      </c>
      <c r="F187" s="309" t="s">
        <v>1465</v>
      </c>
      <c r="G187" s="306" t="s">
        <v>420</v>
      </c>
      <c r="H187" s="306" t="s">
        <v>416</v>
      </c>
      <c r="I187" s="307">
        <v>601570.0</v>
      </c>
      <c r="J187" s="37">
        <v>1.0</v>
      </c>
    </row>
    <row r="188">
      <c r="A188" s="303"/>
      <c r="B188" s="304" t="s">
        <v>394</v>
      </c>
      <c r="C188" s="37" t="s">
        <v>396</v>
      </c>
      <c r="D188" s="153" t="s">
        <v>406</v>
      </c>
      <c r="E188" s="153" t="s">
        <v>407</v>
      </c>
      <c r="F188" s="310" t="s">
        <v>1466</v>
      </c>
      <c r="G188" s="306" t="s">
        <v>422</v>
      </c>
      <c r="H188" s="306" t="s">
        <v>415</v>
      </c>
      <c r="I188" s="307">
        <v>601570.0</v>
      </c>
      <c r="J188" s="37">
        <v>1.0</v>
      </c>
    </row>
    <row r="189">
      <c r="A189" s="303"/>
      <c r="B189" s="304" t="s">
        <v>394</v>
      </c>
      <c r="C189" s="37" t="s">
        <v>396</v>
      </c>
      <c r="D189" s="153" t="s">
        <v>406</v>
      </c>
      <c r="E189" s="153" t="s">
        <v>407</v>
      </c>
      <c r="F189" s="310" t="s">
        <v>1467</v>
      </c>
      <c r="G189" s="306" t="s">
        <v>422</v>
      </c>
      <c r="H189" s="306" t="s">
        <v>416</v>
      </c>
      <c r="I189" s="307">
        <v>601570.0</v>
      </c>
      <c r="J189" s="37">
        <v>0.0</v>
      </c>
    </row>
    <row r="190">
      <c r="A190" s="312"/>
      <c r="B190" s="37" t="s">
        <v>1468</v>
      </c>
      <c r="C190" s="37" t="s">
        <v>1468</v>
      </c>
      <c r="D190" s="37"/>
      <c r="E190" s="37"/>
      <c r="F190" s="37"/>
      <c r="G190" s="306" t="s">
        <v>1468</v>
      </c>
      <c r="H190" s="306" t="s">
        <v>1468</v>
      </c>
      <c r="I190" s="173"/>
    </row>
    <row r="191">
      <c r="A191" s="303">
        <v>29.0</v>
      </c>
      <c r="B191" s="304" t="s">
        <v>394</v>
      </c>
      <c r="C191" s="37" t="s">
        <v>396</v>
      </c>
      <c r="D191" s="153" t="s">
        <v>406</v>
      </c>
      <c r="E191" s="153" t="s">
        <v>407</v>
      </c>
      <c r="F191" s="305" t="s">
        <v>1462</v>
      </c>
      <c r="G191" s="306" t="s">
        <v>418</v>
      </c>
      <c r="H191" s="306" t="s">
        <v>415</v>
      </c>
      <c r="I191" s="307">
        <v>601571.0</v>
      </c>
      <c r="J191" s="37">
        <v>1.0</v>
      </c>
    </row>
    <row r="192">
      <c r="A192" s="303"/>
      <c r="B192" s="304" t="s">
        <v>394</v>
      </c>
      <c r="C192" s="37" t="s">
        <v>396</v>
      </c>
      <c r="D192" s="153" t="s">
        <v>406</v>
      </c>
      <c r="E192" s="153" t="s">
        <v>407</v>
      </c>
      <c r="F192" s="308" t="s">
        <v>1463</v>
      </c>
      <c r="G192" s="306" t="s">
        <v>418</v>
      </c>
      <c r="H192" s="306" t="s">
        <v>416</v>
      </c>
      <c r="I192" s="307">
        <v>601571.0</v>
      </c>
      <c r="J192" s="37">
        <v>1.0</v>
      </c>
    </row>
    <row r="193">
      <c r="A193" s="303"/>
      <c r="B193" s="304" t="s">
        <v>394</v>
      </c>
      <c r="C193" s="37" t="s">
        <v>396</v>
      </c>
      <c r="D193" s="153" t="s">
        <v>406</v>
      </c>
      <c r="E193" s="153" t="s">
        <v>407</v>
      </c>
      <c r="F193" s="309" t="s">
        <v>1464</v>
      </c>
      <c r="G193" s="306" t="s">
        <v>420</v>
      </c>
      <c r="H193" s="306" t="s">
        <v>415</v>
      </c>
      <c r="I193" s="307">
        <v>601571.0</v>
      </c>
      <c r="J193" s="37">
        <v>1.0</v>
      </c>
    </row>
    <row r="194">
      <c r="A194" s="303"/>
      <c r="B194" s="304" t="s">
        <v>394</v>
      </c>
      <c r="C194" s="37" t="s">
        <v>396</v>
      </c>
      <c r="D194" s="153" t="s">
        <v>406</v>
      </c>
      <c r="E194" s="153" t="s">
        <v>407</v>
      </c>
      <c r="F194" s="309" t="s">
        <v>1465</v>
      </c>
      <c r="G194" s="306" t="s">
        <v>420</v>
      </c>
      <c r="H194" s="306" t="s">
        <v>416</v>
      </c>
      <c r="I194" s="307">
        <v>601571.0</v>
      </c>
      <c r="J194" s="37">
        <v>0.0</v>
      </c>
    </row>
    <row r="195">
      <c r="A195" s="303"/>
      <c r="B195" s="304" t="s">
        <v>394</v>
      </c>
      <c r="C195" s="37" t="s">
        <v>396</v>
      </c>
      <c r="D195" s="153" t="s">
        <v>406</v>
      </c>
      <c r="E195" s="153" t="s">
        <v>407</v>
      </c>
      <c r="F195" s="310" t="s">
        <v>1466</v>
      </c>
      <c r="G195" s="306" t="s">
        <v>422</v>
      </c>
      <c r="H195" s="306" t="s">
        <v>415</v>
      </c>
      <c r="I195" s="307">
        <v>601571.0</v>
      </c>
      <c r="J195" s="37">
        <v>1.0</v>
      </c>
    </row>
    <row r="196">
      <c r="A196" s="303"/>
      <c r="B196" s="304" t="s">
        <v>394</v>
      </c>
      <c r="C196" s="37" t="s">
        <v>396</v>
      </c>
      <c r="D196" s="153" t="s">
        <v>406</v>
      </c>
      <c r="E196" s="153" t="s">
        <v>407</v>
      </c>
      <c r="F196" s="310" t="s">
        <v>1467</v>
      </c>
      <c r="G196" s="306" t="s">
        <v>422</v>
      </c>
      <c r="H196" s="306" t="s">
        <v>416</v>
      </c>
      <c r="I196" s="307">
        <v>601571.0</v>
      </c>
      <c r="J196" s="37">
        <v>0.0</v>
      </c>
    </row>
    <row r="197">
      <c r="A197" s="312"/>
      <c r="B197" s="37" t="s">
        <v>1468</v>
      </c>
      <c r="C197" s="37" t="s">
        <v>1468</v>
      </c>
      <c r="D197" s="37"/>
      <c r="E197" s="37"/>
      <c r="F197" s="37"/>
      <c r="G197" s="306" t="s">
        <v>1468</v>
      </c>
      <c r="H197" s="306" t="s">
        <v>1468</v>
      </c>
      <c r="I197" s="173"/>
    </row>
    <row r="198">
      <c r="A198" s="303">
        <v>30.0</v>
      </c>
      <c r="B198" s="304" t="s">
        <v>394</v>
      </c>
      <c r="C198" s="37" t="s">
        <v>396</v>
      </c>
      <c r="D198" s="153" t="s">
        <v>406</v>
      </c>
      <c r="E198" s="153" t="s">
        <v>407</v>
      </c>
      <c r="F198" s="305" t="s">
        <v>1462</v>
      </c>
      <c r="G198" s="306" t="s">
        <v>418</v>
      </c>
      <c r="H198" s="306" t="s">
        <v>415</v>
      </c>
      <c r="I198" s="307">
        <v>601580.0</v>
      </c>
      <c r="J198" s="37">
        <v>0.0</v>
      </c>
    </row>
    <row r="199">
      <c r="A199" s="303"/>
      <c r="B199" s="304" t="s">
        <v>394</v>
      </c>
      <c r="C199" s="37" t="s">
        <v>396</v>
      </c>
      <c r="D199" s="153" t="s">
        <v>406</v>
      </c>
      <c r="E199" s="153" t="s">
        <v>407</v>
      </c>
      <c r="F199" s="308" t="s">
        <v>1463</v>
      </c>
      <c r="G199" s="306" t="s">
        <v>418</v>
      </c>
      <c r="H199" s="306" t="s">
        <v>416</v>
      </c>
      <c r="I199" s="307">
        <v>601580.0</v>
      </c>
      <c r="J199" s="37">
        <v>0.0</v>
      </c>
    </row>
    <row r="200">
      <c r="A200" s="303"/>
      <c r="B200" s="304" t="s">
        <v>394</v>
      </c>
      <c r="C200" s="37" t="s">
        <v>396</v>
      </c>
      <c r="D200" s="153" t="s">
        <v>406</v>
      </c>
      <c r="E200" s="153" t="s">
        <v>407</v>
      </c>
      <c r="F200" s="309" t="s">
        <v>1464</v>
      </c>
      <c r="G200" s="306" t="s">
        <v>420</v>
      </c>
      <c r="H200" s="306" t="s">
        <v>415</v>
      </c>
      <c r="I200" s="307">
        <v>601580.0</v>
      </c>
      <c r="J200" s="37">
        <v>0.0</v>
      </c>
    </row>
    <row r="201">
      <c r="A201" s="303"/>
      <c r="B201" s="304" t="s">
        <v>394</v>
      </c>
      <c r="C201" s="37" t="s">
        <v>396</v>
      </c>
      <c r="D201" s="153" t="s">
        <v>406</v>
      </c>
      <c r="E201" s="153" t="s">
        <v>407</v>
      </c>
      <c r="F201" s="309" t="s">
        <v>1465</v>
      </c>
      <c r="G201" s="306" t="s">
        <v>420</v>
      </c>
      <c r="H201" s="306" t="s">
        <v>416</v>
      </c>
      <c r="I201" s="307">
        <v>601580.0</v>
      </c>
      <c r="J201" s="37">
        <v>0.0</v>
      </c>
    </row>
    <row r="202">
      <c r="A202" s="303"/>
      <c r="B202" s="304" t="s">
        <v>394</v>
      </c>
      <c r="C202" s="37" t="s">
        <v>396</v>
      </c>
      <c r="D202" s="153" t="s">
        <v>406</v>
      </c>
      <c r="E202" s="153" t="s">
        <v>407</v>
      </c>
      <c r="F202" s="310" t="s">
        <v>1466</v>
      </c>
      <c r="G202" s="306" t="s">
        <v>422</v>
      </c>
      <c r="H202" s="306" t="s">
        <v>415</v>
      </c>
      <c r="I202" s="307">
        <v>601580.0</v>
      </c>
      <c r="J202" s="37">
        <v>1.0</v>
      </c>
    </row>
    <row r="203">
      <c r="A203" s="303"/>
      <c r="B203" s="304" t="s">
        <v>394</v>
      </c>
      <c r="C203" s="37" t="s">
        <v>396</v>
      </c>
      <c r="D203" s="153" t="s">
        <v>406</v>
      </c>
      <c r="E203" s="153" t="s">
        <v>407</v>
      </c>
      <c r="F203" s="310" t="s">
        <v>1467</v>
      </c>
      <c r="G203" s="306" t="s">
        <v>422</v>
      </c>
      <c r="H203" s="306" t="s">
        <v>416</v>
      </c>
      <c r="I203" s="307">
        <v>601580.0</v>
      </c>
      <c r="J203" s="37">
        <v>1.0</v>
      </c>
    </row>
    <row r="204">
      <c r="A204" s="312"/>
      <c r="B204" s="37" t="s">
        <v>1468</v>
      </c>
      <c r="C204" s="37" t="s">
        <v>1468</v>
      </c>
      <c r="D204" s="37"/>
      <c r="E204" s="37"/>
      <c r="F204" s="37"/>
      <c r="G204" s="306" t="s">
        <v>1468</v>
      </c>
      <c r="H204" s="306" t="s">
        <v>1468</v>
      </c>
      <c r="I204" s="173"/>
    </row>
    <row r="205">
      <c r="A205" s="303">
        <v>31.0</v>
      </c>
      <c r="B205" s="304" t="s">
        <v>394</v>
      </c>
      <c r="C205" s="37" t="s">
        <v>396</v>
      </c>
      <c r="D205" s="153" t="s">
        <v>406</v>
      </c>
      <c r="E205" s="153" t="s">
        <v>407</v>
      </c>
      <c r="F205" s="305" t="s">
        <v>1462</v>
      </c>
      <c r="G205" s="306" t="s">
        <v>418</v>
      </c>
      <c r="H205" s="306" t="s">
        <v>415</v>
      </c>
      <c r="I205" s="307">
        <v>601614.0</v>
      </c>
      <c r="J205" s="37">
        <v>1.0</v>
      </c>
    </row>
    <row r="206">
      <c r="A206" s="303"/>
      <c r="B206" s="304" t="s">
        <v>394</v>
      </c>
      <c r="C206" s="37" t="s">
        <v>396</v>
      </c>
      <c r="D206" s="153" t="s">
        <v>406</v>
      </c>
      <c r="E206" s="153" t="s">
        <v>407</v>
      </c>
      <c r="F206" s="308" t="s">
        <v>1463</v>
      </c>
      <c r="G206" s="306" t="s">
        <v>418</v>
      </c>
      <c r="H206" s="306" t="s">
        <v>416</v>
      </c>
      <c r="I206" s="307">
        <v>601614.0</v>
      </c>
      <c r="J206" s="37">
        <v>0.0</v>
      </c>
    </row>
    <row r="207">
      <c r="A207" s="303"/>
      <c r="B207" s="304" t="s">
        <v>394</v>
      </c>
      <c r="C207" s="37" t="s">
        <v>396</v>
      </c>
      <c r="D207" s="153" t="s">
        <v>406</v>
      </c>
      <c r="E207" s="153" t="s">
        <v>407</v>
      </c>
      <c r="F207" s="309" t="s">
        <v>1464</v>
      </c>
      <c r="G207" s="306" t="s">
        <v>420</v>
      </c>
      <c r="H207" s="306" t="s">
        <v>415</v>
      </c>
      <c r="I207" s="307">
        <v>601614.0</v>
      </c>
      <c r="J207" s="37">
        <v>0.0</v>
      </c>
    </row>
    <row r="208">
      <c r="A208" s="303"/>
      <c r="B208" s="304" t="s">
        <v>394</v>
      </c>
      <c r="C208" s="37" t="s">
        <v>396</v>
      </c>
      <c r="D208" s="153" t="s">
        <v>406</v>
      </c>
      <c r="E208" s="153" t="s">
        <v>407</v>
      </c>
      <c r="F208" s="309" t="s">
        <v>1465</v>
      </c>
      <c r="G208" s="306" t="s">
        <v>420</v>
      </c>
      <c r="H208" s="306" t="s">
        <v>416</v>
      </c>
      <c r="I208" s="307">
        <v>601614.0</v>
      </c>
      <c r="J208" s="37">
        <v>1.0</v>
      </c>
    </row>
    <row r="209">
      <c r="A209" s="303"/>
      <c r="B209" s="304" t="s">
        <v>394</v>
      </c>
      <c r="C209" s="37" t="s">
        <v>396</v>
      </c>
      <c r="D209" s="153" t="s">
        <v>406</v>
      </c>
      <c r="E209" s="153" t="s">
        <v>407</v>
      </c>
      <c r="F209" s="310" t="s">
        <v>1466</v>
      </c>
      <c r="G209" s="306" t="s">
        <v>422</v>
      </c>
      <c r="H209" s="306" t="s">
        <v>415</v>
      </c>
      <c r="I209" s="307">
        <v>601614.0</v>
      </c>
      <c r="J209" s="37">
        <v>0.0</v>
      </c>
    </row>
    <row r="210">
      <c r="A210" s="303"/>
      <c r="B210" s="304" t="s">
        <v>394</v>
      </c>
      <c r="C210" s="37" t="s">
        <v>396</v>
      </c>
      <c r="D210" s="153" t="s">
        <v>406</v>
      </c>
      <c r="E210" s="153" t="s">
        <v>407</v>
      </c>
      <c r="F210" s="310" t="s">
        <v>1467</v>
      </c>
      <c r="G210" s="306" t="s">
        <v>422</v>
      </c>
      <c r="H210" s="306" t="s">
        <v>416</v>
      </c>
      <c r="I210" s="307">
        <v>601614.0</v>
      </c>
      <c r="J210" s="37">
        <v>0.0</v>
      </c>
    </row>
    <row r="211">
      <c r="A211" s="312"/>
      <c r="B211" s="37" t="s">
        <v>1468</v>
      </c>
      <c r="C211" s="37" t="s">
        <v>1468</v>
      </c>
      <c r="D211" s="37"/>
      <c r="E211" s="37"/>
      <c r="F211" s="37"/>
      <c r="G211" s="306" t="s">
        <v>1468</v>
      </c>
      <c r="H211" s="306" t="s">
        <v>1468</v>
      </c>
      <c r="I211" s="173"/>
    </row>
    <row r="212">
      <c r="A212" s="303">
        <v>32.0</v>
      </c>
      <c r="B212" s="304" t="s">
        <v>394</v>
      </c>
      <c r="C212" s="37" t="s">
        <v>396</v>
      </c>
      <c r="D212" s="153" t="s">
        <v>406</v>
      </c>
      <c r="E212" s="153" t="s">
        <v>407</v>
      </c>
      <c r="F212" s="305" t="s">
        <v>1462</v>
      </c>
      <c r="G212" s="306" t="s">
        <v>418</v>
      </c>
      <c r="H212" s="306" t="s">
        <v>415</v>
      </c>
      <c r="I212" s="307">
        <v>601678.0</v>
      </c>
      <c r="J212" s="37">
        <v>1.0</v>
      </c>
    </row>
    <row r="213">
      <c r="A213" s="303"/>
      <c r="B213" s="304" t="s">
        <v>394</v>
      </c>
      <c r="C213" s="37" t="s">
        <v>396</v>
      </c>
      <c r="D213" s="153" t="s">
        <v>406</v>
      </c>
      <c r="E213" s="153" t="s">
        <v>407</v>
      </c>
      <c r="F213" s="308" t="s">
        <v>1463</v>
      </c>
      <c r="G213" s="306" t="s">
        <v>418</v>
      </c>
      <c r="H213" s="306" t="s">
        <v>416</v>
      </c>
      <c r="I213" s="307">
        <v>601678.0</v>
      </c>
      <c r="J213" s="37">
        <v>1.0</v>
      </c>
    </row>
    <row r="214">
      <c r="A214" s="303"/>
      <c r="B214" s="304" t="s">
        <v>394</v>
      </c>
      <c r="C214" s="37" t="s">
        <v>396</v>
      </c>
      <c r="D214" s="153" t="s">
        <v>406</v>
      </c>
      <c r="E214" s="153" t="s">
        <v>407</v>
      </c>
      <c r="F214" s="309" t="s">
        <v>1464</v>
      </c>
      <c r="G214" s="306" t="s">
        <v>420</v>
      </c>
      <c r="H214" s="306" t="s">
        <v>415</v>
      </c>
      <c r="I214" s="307">
        <v>601678.0</v>
      </c>
      <c r="J214" s="37">
        <v>1.0</v>
      </c>
    </row>
    <row r="215">
      <c r="A215" s="303"/>
      <c r="B215" s="304" t="s">
        <v>394</v>
      </c>
      <c r="C215" s="37" t="s">
        <v>396</v>
      </c>
      <c r="D215" s="153" t="s">
        <v>406</v>
      </c>
      <c r="E215" s="153" t="s">
        <v>407</v>
      </c>
      <c r="F215" s="309" t="s">
        <v>1465</v>
      </c>
      <c r="G215" s="306" t="s">
        <v>420</v>
      </c>
      <c r="H215" s="306" t="s">
        <v>416</v>
      </c>
      <c r="I215" s="307">
        <v>601678.0</v>
      </c>
      <c r="J215" s="37">
        <v>1.0</v>
      </c>
    </row>
    <row r="216">
      <c r="A216" s="303"/>
      <c r="B216" s="304" t="s">
        <v>394</v>
      </c>
      <c r="C216" s="37" t="s">
        <v>396</v>
      </c>
      <c r="D216" s="153" t="s">
        <v>406</v>
      </c>
      <c r="E216" s="153" t="s">
        <v>407</v>
      </c>
      <c r="F216" s="310" t="s">
        <v>1466</v>
      </c>
      <c r="G216" s="306" t="s">
        <v>422</v>
      </c>
      <c r="H216" s="306" t="s">
        <v>415</v>
      </c>
      <c r="I216" s="307">
        <v>601678.0</v>
      </c>
      <c r="J216" s="37">
        <v>0.0</v>
      </c>
    </row>
    <row r="217">
      <c r="A217" s="303"/>
      <c r="B217" s="304" t="s">
        <v>394</v>
      </c>
      <c r="C217" s="37" t="s">
        <v>396</v>
      </c>
      <c r="D217" s="153" t="s">
        <v>406</v>
      </c>
      <c r="E217" s="153" t="s">
        <v>407</v>
      </c>
      <c r="F217" s="310" t="s">
        <v>1467</v>
      </c>
      <c r="G217" s="306" t="s">
        <v>422</v>
      </c>
      <c r="H217" s="306" t="s">
        <v>416</v>
      </c>
      <c r="I217" s="307">
        <v>601678.0</v>
      </c>
      <c r="J217" s="37">
        <v>0.0</v>
      </c>
    </row>
    <row r="218">
      <c r="A218" s="312"/>
      <c r="B218" s="37" t="s">
        <v>1468</v>
      </c>
      <c r="C218" s="37" t="s">
        <v>1468</v>
      </c>
      <c r="D218" s="37"/>
      <c r="E218" s="37"/>
      <c r="F218" s="37"/>
      <c r="G218" s="306" t="s">
        <v>1468</v>
      </c>
      <c r="H218" s="306" t="s">
        <v>1468</v>
      </c>
      <c r="I218" s="173"/>
    </row>
    <row r="219">
      <c r="A219" s="303">
        <v>33.0</v>
      </c>
      <c r="B219" s="304" t="s">
        <v>394</v>
      </c>
      <c r="C219" s="37" t="s">
        <v>396</v>
      </c>
      <c r="D219" s="153" t="s">
        <v>406</v>
      </c>
      <c r="E219" s="153" t="s">
        <v>407</v>
      </c>
      <c r="F219" s="305" t="s">
        <v>1462</v>
      </c>
      <c r="G219" s="306" t="s">
        <v>418</v>
      </c>
      <c r="H219" s="306" t="s">
        <v>415</v>
      </c>
      <c r="I219" s="307">
        <v>6010102.0</v>
      </c>
      <c r="J219" s="37">
        <v>2.0</v>
      </c>
    </row>
    <row r="220">
      <c r="A220" s="303"/>
      <c r="B220" s="304" t="s">
        <v>394</v>
      </c>
      <c r="C220" s="37" t="s">
        <v>396</v>
      </c>
      <c r="D220" s="153" t="s">
        <v>406</v>
      </c>
      <c r="E220" s="153" t="s">
        <v>407</v>
      </c>
      <c r="F220" s="308" t="s">
        <v>1463</v>
      </c>
      <c r="G220" s="306" t="s">
        <v>418</v>
      </c>
      <c r="H220" s="306" t="s">
        <v>416</v>
      </c>
      <c r="I220" s="307">
        <v>6010102.0</v>
      </c>
      <c r="J220" s="37">
        <v>1.0</v>
      </c>
    </row>
    <row r="221">
      <c r="A221" s="303"/>
      <c r="B221" s="304" t="s">
        <v>394</v>
      </c>
      <c r="C221" s="37" t="s">
        <v>396</v>
      </c>
      <c r="D221" s="153" t="s">
        <v>406</v>
      </c>
      <c r="E221" s="153" t="s">
        <v>407</v>
      </c>
      <c r="F221" s="309" t="s">
        <v>1464</v>
      </c>
      <c r="G221" s="306" t="s">
        <v>420</v>
      </c>
      <c r="H221" s="306" t="s">
        <v>415</v>
      </c>
      <c r="I221" s="307">
        <v>6010102.0</v>
      </c>
      <c r="J221" s="37">
        <v>3.0</v>
      </c>
    </row>
    <row r="222">
      <c r="A222" s="303"/>
      <c r="B222" s="304" t="s">
        <v>394</v>
      </c>
      <c r="C222" s="37" t="s">
        <v>396</v>
      </c>
      <c r="D222" s="153" t="s">
        <v>406</v>
      </c>
      <c r="E222" s="153" t="s">
        <v>407</v>
      </c>
      <c r="F222" s="309" t="s">
        <v>1465</v>
      </c>
      <c r="G222" s="306" t="s">
        <v>420</v>
      </c>
      <c r="H222" s="306" t="s">
        <v>416</v>
      </c>
      <c r="I222" s="307">
        <v>6010102.0</v>
      </c>
      <c r="J222" s="37">
        <v>2.0</v>
      </c>
    </row>
    <row r="223">
      <c r="A223" s="303"/>
      <c r="B223" s="304" t="s">
        <v>394</v>
      </c>
      <c r="C223" s="37" t="s">
        <v>396</v>
      </c>
      <c r="D223" s="153" t="s">
        <v>406</v>
      </c>
      <c r="E223" s="153" t="s">
        <v>407</v>
      </c>
      <c r="F223" s="310" t="s">
        <v>1466</v>
      </c>
      <c r="G223" s="306" t="s">
        <v>422</v>
      </c>
      <c r="H223" s="306" t="s">
        <v>415</v>
      </c>
      <c r="I223" s="307">
        <v>6010102.0</v>
      </c>
      <c r="J223" s="37">
        <v>1.0</v>
      </c>
    </row>
    <row r="224">
      <c r="A224" s="303"/>
      <c r="B224" s="304" t="s">
        <v>394</v>
      </c>
      <c r="C224" s="37" t="s">
        <v>396</v>
      </c>
      <c r="D224" s="153" t="s">
        <v>406</v>
      </c>
      <c r="E224" s="153" t="s">
        <v>407</v>
      </c>
      <c r="F224" s="310" t="s">
        <v>1467</v>
      </c>
      <c r="G224" s="306" t="s">
        <v>422</v>
      </c>
      <c r="H224" s="306" t="s">
        <v>416</v>
      </c>
      <c r="I224" s="307">
        <v>6010102.0</v>
      </c>
      <c r="J224" s="37">
        <v>1.0</v>
      </c>
    </row>
    <row r="225">
      <c r="A225" s="312"/>
      <c r="B225" s="37" t="s">
        <v>1468</v>
      </c>
      <c r="C225" s="37" t="s">
        <v>1468</v>
      </c>
      <c r="D225" s="37"/>
      <c r="E225" s="37"/>
      <c r="F225" s="37"/>
      <c r="G225" s="306" t="s">
        <v>1468</v>
      </c>
      <c r="H225" s="306" t="s">
        <v>1468</v>
      </c>
      <c r="I225" s="173"/>
    </row>
    <row r="226">
      <c r="A226" s="303">
        <v>34.0</v>
      </c>
      <c r="B226" s="304" t="s">
        <v>394</v>
      </c>
      <c r="C226" s="37" t="s">
        <v>396</v>
      </c>
      <c r="D226" s="153" t="s">
        <v>406</v>
      </c>
      <c r="E226" s="153" t="s">
        <v>407</v>
      </c>
      <c r="F226" s="305" t="s">
        <v>1462</v>
      </c>
      <c r="G226" s="306" t="s">
        <v>418</v>
      </c>
      <c r="H226" s="306" t="s">
        <v>415</v>
      </c>
      <c r="I226" s="307">
        <v>6010178.0</v>
      </c>
      <c r="J226" s="37">
        <v>1.0</v>
      </c>
    </row>
    <row r="227">
      <c r="A227" s="303"/>
      <c r="B227" s="304" t="s">
        <v>394</v>
      </c>
      <c r="C227" s="37" t="s">
        <v>396</v>
      </c>
      <c r="D227" s="153" t="s">
        <v>406</v>
      </c>
      <c r="E227" s="153" t="s">
        <v>407</v>
      </c>
      <c r="F227" s="308" t="s">
        <v>1463</v>
      </c>
      <c r="G227" s="306" t="s">
        <v>418</v>
      </c>
      <c r="H227" s="306" t="s">
        <v>416</v>
      </c>
      <c r="I227" s="307">
        <v>6010178.0</v>
      </c>
      <c r="J227" s="37">
        <v>0.0</v>
      </c>
    </row>
    <row r="228">
      <c r="A228" s="303"/>
      <c r="B228" s="304" t="s">
        <v>394</v>
      </c>
      <c r="C228" s="37" t="s">
        <v>396</v>
      </c>
      <c r="D228" s="153" t="s">
        <v>406</v>
      </c>
      <c r="E228" s="153" t="s">
        <v>407</v>
      </c>
      <c r="F228" s="309" t="s">
        <v>1464</v>
      </c>
      <c r="G228" s="306" t="s">
        <v>420</v>
      </c>
      <c r="H228" s="306" t="s">
        <v>415</v>
      </c>
      <c r="I228" s="307">
        <v>6010178.0</v>
      </c>
      <c r="J228" s="37">
        <v>0.0</v>
      </c>
    </row>
    <row r="229">
      <c r="A229" s="303"/>
      <c r="B229" s="304" t="s">
        <v>394</v>
      </c>
      <c r="C229" s="37" t="s">
        <v>396</v>
      </c>
      <c r="D229" s="153" t="s">
        <v>406</v>
      </c>
      <c r="E229" s="153" t="s">
        <v>407</v>
      </c>
      <c r="F229" s="309" t="s">
        <v>1465</v>
      </c>
      <c r="G229" s="306" t="s">
        <v>420</v>
      </c>
      <c r="H229" s="306" t="s">
        <v>416</v>
      </c>
      <c r="I229" s="307">
        <v>6010178.0</v>
      </c>
      <c r="J229" s="37">
        <v>0.0</v>
      </c>
    </row>
    <row r="230">
      <c r="A230" s="303"/>
      <c r="B230" s="304" t="s">
        <v>394</v>
      </c>
      <c r="C230" s="37" t="s">
        <v>396</v>
      </c>
      <c r="D230" s="153" t="s">
        <v>406</v>
      </c>
      <c r="E230" s="153" t="s">
        <v>407</v>
      </c>
      <c r="F230" s="310" t="s">
        <v>1466</v>
      </c>
      <c r="G230" s="306" t="s">
        <v>422</v>
      </c>
      <c r="H230" s="306" t="s">
        <v>415</v>
      </c>
      <c r="I230" s="307">
        <v>6010178.0</v>
      </c>
      <c r="J230" s="37">
        <v>0.0</v>
      </c>
    </row>
    <row r="231">
      <c r="A231" s="303"/>
      <c r="B231" s="304" t="s">
        <v>394</v>
      </c>
      <c r="C231" s="37" t="s">
        <v>396</v>
      </c>
      <c r="D231" s="153" t="s">
        <v>406</v>
      </c>
      <c r="E231" s="153" t="s">
        <v>407</v>
      </c>
      <c r="F231" s="310" t="s">
        <v>1467</v>
      </c>
      <c r="G231" s="306" t="s">
        <v>422</v>
      </c>
      <c r="H231" s="306" t="s">
        <v>416</v>
      </c>
      <c r="I231" s="307">
        <v>6010178.0</v>
      </c>
      <c r="J231" s="37">
        <v>1.0</v>
      </c>
    </row>
    <row r="232">
      <c r="A232" s="312"/>
      <c r="B232" s="37" t="s">
        <v>1468</v>
      </c>
      <c r="C232" s="37" t="s">
        <v>1468</v>
      </c>
      <c r="D232" s="37"/>
      <c r="E232" s="37"/>
      <c r="F232" s="37"/>
      <c r="G232" s="306" t="s">
        <v>1468</v>
      </c>
      <c r="H232" s="306" t="s">
        <v>1468</v>
      </c>
      <c r="I232" s="173"/>
    </row>
    <row r="233">
      <c r="A233" s="303">
        <v>35.0</v>
      </c>
      <c r="B233" s="304" t="s">
        <v>394</v>
      </c>
      <c r="C233" s="37" t="s">
        <v>396</v>
      </c>
      <c r="D233" s="153" t="s">
        <v>406</v>
      </c>
      <c r="E233" s="153" t="s">
        <v>407</v>
      </c>
      <c r="F233" s="305" t="s">
        <v>1462</v>
      </c>
      <c r="G233" s="306" t="s">
        <v>418</v>
      </c>
      <c r="H233" s="306" t="s">
        <v>415</v>
      </c>
      <c r="I233" s="307">
        <v>6010231.0</v>
      </c>
      <c r="J233" s="37">
        <v>5.0</v>
      </c>
    </row>
    <row r="234">
      <c r="A234" s="303"/>
      <c r="B234" s="304" t="s">
        <v>394</v>
      </c>
      <c r="C234" s="37" t="s">
        <v>396</v>
      </c>
      <c r="D234" s="153" t="s">
        <v>406</v>
      </c>
      <c r="E234" s="153" t="s">
        <v>407</v>
      </c>
      <c r="F234" s="308" t="s">
        <v>1463</v>
      </c>
      <c r="G234" s="306" t="s">
        <v>418</v>
      </c>
      <c r="H234" s="306" t="s">
        <v>416</v>
      </c>
      <c r="I234" s="307">
        <v>6010231.0</v>
      </c>
      <c r="J234" s="37">
        <v>5.0</v>
      </c>
    </row>
    <row r="235">
      <c r="A235" s="303"/>
      <c r="B235" s="304" t="s">
        <v>394</v>
      </c>
      <c r="C235" s="37" t="s">
        <v>396</v>
      </c>
      <c r="D235" s="153" t="s">
        <v>406</v>
      </c>
      <c r="E235" s="153" t="s">
        <v>407</v>
      </c>
      <c r="F235" s="309" t="s">
        <v>1464</v>
      </c>
      <c r="G235" s="306" t="s">
        <v>420</v>
      </c>
      <c r="H235" s="306" t="s">
        <v>415</v>
      </c>
      <c r="I235" s="307">
        <v>6010231.0</v>
      </c>
      <c r="J235" s="37">
        <v>7.0</v>
      </c>
    </row>
    <row r="236">
      <c r="A236" s="303"/>
      <c r="B236" s="304" t="s">
        <v>394</v>
      </c>
      <c r="C236" s="37" t="s">
        <v>396</v>
      </c>
      <c r="D236" s="153" t="s">
        <v>406</v>
      </c>
      <c r="E236" s="153" t="s">
        <v>407</v>
      </c>
      <c r="F236" s="309" t="s">
        <v>1465</v>
      </c>
      <c r="G236" s="306" t="s">
        <v>420</v>
      </c>
      <c r="H236" s="306" t="s">
        <v>416</v>
      </c>
      <c r="I236" s="307">
        <v>6010231.0</v>
      </c>
      <c r="J236" s="37">
        <v>8.0</v>
      </c>
    </row>
    <row r="237">
      <c r="A237" s="303"/>
      <c r="B237" s="304" t="s">
        <v>394</v>
      </c>
      <c r="C237" s="37" t="s">
        <v>396</v>
      </c>
      <c r="D237" s="153" t="s">
        <v>406</v>
      </c>
      <c r="E237" s="153" t="s">
        <v>407</v>
      </c>
      <c r="F237" s="310" t="s">
        <v>1466</v>
      </c>
      <c r="G237" s="306" t="s">
        <v>422</v>
      </c>
      <c r="H237" s="306" t="s">
        <v>415</v>
      </c>
      <c r="I237" s="307">
        <v>6010231.0</v>
      </c>
      <c r="J237" s="37">
        <v>5.0</v>
      </c>
    </row>
    <row r="238">
      <c r="A238" s="303"/>
      <c r="B238" s="304" t="s">
        <v>394</v>
      </c>
      <c r="C238" s="37" t="s">
        <v>396</v>
      </c>
      <c r="D238" s="153" t="s">
        <v>406</v>
      </c>
      <c r="E238" s="153" t="s">
        <v>407</v>
      </c>
      <c r="F238" s="310" t="s">
        <v>1467</v>
      </c>
      <c r="G238" s="306" t="s">
        <v>422</v>
      </c>
      <c r="H238" s="306" t="s">
        <v>416</v>
      </c>
      <c r="I238" s="307">
        <v>6010231.0</v>
      </c>
      <c r="J238" s="37">
        <v>8.0</v>
      </c>
    </row>
    <row r="239">
      <c r="A239" s="312"/>
      <c r="B239" s="37" t="s">
        <v>1468</v>
      </c>
      <c r="C239" s="37" t="s">
        <v>1468</v>
      </c>
      <c r="D239" s="37"/>
      <c r="E239" s="37"/>
      <c r="F239" s="37"/>
      <c r="G239" s="306" t="s">
        <v>1468</v>
      </c>
      <c r="H239" s="306" t="s">
        <v>1468</v>
      </c>
      <c r="I239" s="173"/>
    </row>
    <row r="240">
      <c r="A240" s="303">
        <v>36.0</v>
      </c>
      <c r="B240" s="304" t="s">
        <v>394</v>
      </c>
      <c r="C240" s="37" t="s">
        <v>396</v>
      </c>
      <c r="D240" s="153" t="s">
        <v>406</v>
      </c>
      <c r="E240" s="153" t="s">
        <v>407</v>
      </c>
      <c r="F240" s="305" t="s">
        <v>1462</v>
      </c>
      <c r="G240" s="306" t="s">
        <v>418</v>
      </c>
      <c r="H240" s="306" t="s">
        <v>415</v>
      </c>
      <c r="I240" s="307" t="s">
        <v>231</v>
      </c>
      <c r="J240" s="37">
        <v>1.0</v>
      </c>
    </row>
    <row r="241">
      <c r="A241" s="303"/>
      <c r="B241" s="304" t="s">
        <v>394</v>
      </c>
      <c r="C241" s="37" t="s">
        <v>396</v>
      </c>
      <c r="D241" s="153" t="s">
        <v>406</v>
      </c>
      <c r="E241" s="153" t="s">
        <v>407</v>
      </c>
      <c r="F241" s="308" t="s">
        <v>1463</v>
      </c>
      <c r="G241" s="306" t="s">
        <v>418</v>
      </c>
      <c r="H241" s="306" t="s">
        <v>416</v>
      </c>
      <c r="I241" s="307" t="s">
        <v>231</v>
      </c>
      <c r="J241" s="37">
        <v>1.0</v>
      </c>
    </row>
    <row r="242">
      <c r="A242" s="303"/>
      <c r="B242" s="304" t="s">
        <v>394</v>
      </c>
      <c r="C242" s="37" t="s">
        <v>396</v>
      </c>
      <c r="D242" s="153" t="s">
        <v>406</v>
      </c>
      <c r="E242" s="153" t="s">
        <v>407</v>
      </c>
      <c r="F242" s="309" t="s">
        <v>1464</v>
      </c>
      <c r="G242" s="306" t="s">
        <v>420</v>
      </c>
      <c r="H242" s="306" t="s">
        <v>415</v>
      </c>
      <c r="I242" s="307" t="s">
        <v>231</v>
      </c>
      <c r="J242" s="37">
        <v>2.0</v>
      </c>
    </row>
    <row r="243">
      <c r="A243" s="303"/>
      <c r="B243" s="304" t="s">
        <v>394</v>
      </c>
      <c r="C243" s="37" t="s">
        <v>396</v>
      </c>
      <c r="D243" s="153" t="s">
        <v>406</v>
      </c>
      <c r="E243" s="153" t="s">
        <v>407</v>
      </c>
      <c r="F243" s="309" t="s">
        <v>1465</v>
      </c>
      <c r="G243" s="306" t="s">
        <v>420</v>
      </c>
      <c r="H243" s="306" t="s">
        <v>416</v>
      </c>
      <c r="I243" s="307" t="s">
        <v>231</v>
      </c>
      <c r="J243" s="37">
        <v>0.0</v>
      </c>
    </row>
    <row r="244">
      <c r="A244" s="303"/>
      <c r="B244" s="304" t="s">
        <v>394</v>
      </c>
      <c r="C244" s="37" t="s">
        <v>396</v>
      </c>
      <c r="D244" s="153" t="s">
        <v>406</v>
      </c>
      <c r="E244" s="153" t="s">
        <v>407</v>
      </c>
      <c r="F244" s="310" t="s">
        <v>1466</v>
      </c>
      <c r="G244" s="306" t="s">
        <v>422</v>
      </c>
      <c r="H244" s="306" t="s">
        <v>415</v>
      </c>
      <c r="I244" s="307" t="s">
        <v>231</v>
      </c>
      <c r="J244" s="37">
        <v>3.0</v>
      </c>
    </row>
    <row r="245">
      <c r="A245" s="303"/>
      <c r="B245" s="304" t="s">
        <v>394</v>
      </c>
      <c r="C245" s="37" t="s">
        <v>396</v>
      </c>
      <c r="D245" s="153" t="s">
        <v>406</v>
      </c>
      <c r="E245" s="153" t="s">
        <v>407</v>
      </c>
      <c r="F245" s="310" t="s">
        <v>1467</v>
      </c>
      <c r="G245" s="306" t="s">
        <v>422</v>
      </c>
      <c r="H245" s="306" t="s">
        <v>416</v>
      </c>
      <c r="I245" s="307" t="s">
        <v>231</v>
      </c>
      <c r="J245" s="37">
        <v>1.0</v>
      </c>
    </row>
    <row r="246">
      <c r="A246" s="312"/>
      <c r="B246" s="37" t="s">
        <v>1468</v>
      </c>
      <c r="C246" s="37" t="s">
        <v>1468</v>
      </c>
      <c r="D246" s="37"/>
      <c r="E246" s="37"/>
      <c r="F246" s="37"/>
      <c r="G246" s="306" t="s">
        <v>1468</v>
      </c>
      <c r="H246" s="306" t="s">
        <v>1468</v>
      </c>
      <c r="I246" s="173"/>
    </row>
    <row r="247">
      <c r="A247" s="303">
        <v>37.0</v>
      </c>
      <c r="B247" s="304" t="s">
        <v>394</v>
      </c>
      <c r="C247" s="37" t="s">
        <v>396</v>
      </c>
      <c r="D247" s="153" t="s">
        <v>406</v>
      </c>
      <c r="E247" s="153" t="s">
        <v>409</v>
      </c>
      <c r="F247" s="305" t="s">
        <v>1462</v>
      </c>
      <c r="G247" s="306" t="s">
        <v>418</v>
      </c>
      <c r="H247" s="306" t="s">
        <v>415</v>
      </c>
      <c r="I247" s="307">
        <v>14045.0</v>
      </c>
      <c r="J247" s="37">
        <v>1.0</v>
      </c>
    </row>
    <row r="248">
      <c r="A248" s="303"/>
      <c r="B248" s="304" t="s">
        <v>394</v>
      </c>
      <c r="C248" s="37" t="s">
        <v>396</v>
      </c>
      <c r="D248" s="153" t="s">
        <v>406</v>
      </c>
      <c r="E248" s="153" t="s">
        <v>409</v>
      </c>
      <c r="F248" s="308" t="s">
        <v>1463</v>
      </c>
      <c r="G248" s="306" t="s">
        <v>418</v>
      </c>
      <c r="H248" s="306" t="s">
        <v>416</v>
      </c>
      <c r="I248" s="307">
        <v>14045.0</v>
      </c>
      <c r="J248" s="37">
        <v>1.0</v>
      </c>
    </row>
    <row r="249">
      <c r="A249" s="303"/>
      <c r="B249" s="304" t="s">
        <v>394</v>
      </c>
      <c r="C249" s="37" t="s">
        <v>396</v>
      </c>
      <c r="D249" s="153" t="s">
        <v>406</v>
      </c>
      <c r="E249" s="153" t="s">
        <v>409</v>
      </c>
      <c r="F249" s="309" t="s">
        <v>1464</v>
      </c>
      <c r="G249" s="306" t="s">
        <v>420</v>
      </c>
      <c r="H249" s="306" t="s">
        <v>415</v>
      </c>
      <c r="I249" s="307">
        <v>14045.0</v>
      </c>
      <c r="J249" s="37">
        <v>1.0</v>
      </c>
    </row>
    <row r="250">
      <c r="A250" s="303"/>
      <c r="B250" s="304" t="s">
        <v>394</v>
      </c>
      <c r="C250" s="37" t="s">
        <v>396</v>
      </c>
      <c r="D250" s="153" t="s">
        <v>406</v>
      </c>
      <c r="E250" s="153" t="s">
        <v>409</v>
      </c>
      <c r="F250" s="309" t="s">
        <v>1465</v>
      </c>
      <c r="G250" s="306" t="s">
        <v>420</v>
      </c>
      <c r="H250" s="306" t="s">
        <v>416</v>
      </c>
      <c r="I250" s="307">
        <v>14045.0</v>
      </c>
      <c r="J250" s="37">
        <v>1.0</v>
      </c>
    </row>
    <row r="251">
      <c r="A251" s="303"/>
      <c r="B251" s="304" t="s">
        <v>394</v>
      </c>
      <c r="C251" s="37" t="s">
        <v>396</v>
      </c>
      <c r="D251" s="153" t="s">
        <v>406</v>
      </c>
      <c r="E251" s="153" t="s">
        <v>409</v>
      </c>
      <c r="F251" s="310" t="s">
        <v>1466</v>
      </c>
      <c r="G251" s="306" t="s">
        <v>422</v>
      </c>
      <c r="H251" s="306" t="s">
        <v>415</v>
      </c>
      <c r="I251" s="307">
        <v>14045.0</v>
      </c>
      <c r="J251" s="37">
        <v>1.0</v>
      </c>
    </row>
    <row r="252">
      <c r="A252" s="303"/>
      <c r="B252" s="304" t="s">
        <v>394</v>
      </c>
      <c r="C252" s="37" t="s">
        <v>396</v>
      </c>
      <c r="D252" s="153" t="s">
        <v>406</v>
      </c>
      <c r="E252" s="153" t="s">
        <v>409</v>
      </c>
      <c r="F252" s="310" t="s">
        <v>1467</v>
      </c>
      <c r="G252" s="306" t="s">
        <v>422</v>
      </c>
      <c r="H252" s="306" t="s">
        <v>416</v>
      </c>
      <c r="I252" s="307">
        <v>14045.0</v>
      </c>
      <c r="J252" s="37">
        <v>0.0</v>
      </c>
    </row>
    <row r="253">
      <c r="A253" s="312"/>
      <c r="B253" s="37" t="s">
        <v>1468</v>
      </c>
      <c r="C253" s="37" t="s">
        <v>1468</v>
      </c>
      <c r="D253" s="37"/>
      <c r="E253" s="37"/>
      <c r="F253" s="37"/>
      <c r="G253" s="306" t="s">
        <v>1468</v>
      </c>
      <c r="H253" s="306" t="s">
        <v>1468</v>
      </c>
      <c r="I253" s="173"/>
    </row>
    <row r="254">
      <c r="A254" s="303">
        <v>38.0</v>
      </c>
      <c r="B254" s="304" t="s">
        <v>394</v>
      </c>
      <c r="C254" s="37" t="s">
        <v>396</v>
      </c>
      <c r="D254" s="153" t="s">
        <v>406</v>
      </c>
      <c r="E254" s="153" t="s">
        <v>409</v>
      </c>
      <c r="F254" s="305" t="s">
        <v>1462</v>
      </c>
      <c r="G254" s="306" t="s">
        <v>418</v>
      </c>
      <c r="H254" s="306" t="s">
        <v>415</v>
      </c>
      <c r="I254" s="307">
        <v>14141.0</v>
      </c>
      <c r="J254" s="37">
        <v>1.0</v>
      </c>
    </row>
    <row r="255">
      <c r="A255" s="303"/>
      <c r="B255" s="304" t="s">
        <v>394</v>
      </c>
      <c r="C255" s="37" t="s">
        <v>396</v>
      </c>
      <c r="D255" s="153" t="s">
        <v>406</v>
      </c>
      <c r="E255" s="153" t="s">
        <v>409</v>
      </c>
      <c r="F255" s="308" t="s">
        <v>1463</v>
      </c>
      <c r="G255" s="306" t="s">
        <v>418</v>
      </c>
      <c r="H255" s="306" t="s">
        <v>416</v>
      </c>
      <c r="I255" s="307">
        <v>14141.0</v>
      </c>
      <c r="J255" s="37">
        <v>0.0</v>
      </c>
    </row>
    <row r="256">
      <c r="A256" s="303"/>
      <c r="B256" s="304" t="s">
        <v>394</v>
      </c>
      <c r="C256" s="37" t="s">
        <v>396</v>
      </c>
      <c r="D256" s="153" t="s">
        <v>406</v>
      </c>
      <c r="E256" s="153" t="s">
        <v>409</v>
      </c>
      <c r="F256" s="309" t="s">
        <v>1464</v>
      </c>
      <c r="G256" s="306" t="s">
        <v>420</v>
      </c>
      <c r="H256" s="306" t="s">
        <v>415</v>
      </c>
      <c r="I256" s="307">
        <v>14141.0</v>
      </c>
      <c r="J256" s="37">
        <v>1.0</v>
      </c>
    </row>
    <row r="257">
      <c r="A257" s="303"/>
      <c r="B257" s="304" t="s">
        <v>394</v>
      </c>
      <c r="C257" s="37" t="s">
        <v>396</v>
      </c>
      <c r="D257" s="153" t="s">
        <v>406</v>
      </c>
      <c r="E257" s="153" t="s">
        <v>409</v>
      </c>
      <c r="F257" s="309" t="s">
        <v>1465</v>
      </c>
      <c r="G257" s="306" t="s">
        <v>420</v>
      </c>
      <c r="H257" s="306" t="s">
        <v>416</v>
      </c>
      <c r="I257" s="307">
        <v>14141.0</v>
      </c>
      <c r="J257" s="37">
        <v>0.0</v>
      </c>
    </row>
    <row r="258">
      <c r="A258" s="303"/>
      <c r="B258" s="304" t="s">
        <v>394</v>
      </c>
      <c r="C258" s="37" t="s">
        <v>396</v>
      </c>
      <c r="D258" s="153" t="s">
        <v>406</v>
      </c>
      <c r="E258" s="153" t="s">
        <v>409</v>
      </c>
      <c r="F258" s="310" t="s">
        <v>1466</v>
      </c>
      <c r="G258" s="306" t="s">
        <v>422</v>
      </c>
      <c r="H258" s="306" t="s">
        <v>415</v>
      </c>
      <c r="I258" s="307">
        <v>14141.0</v>
      </c>
      <c r="J258" s="37">
        <v>1.0</v>
      </c>
    </row>
    <row r="259">
      <c r="A259" s="303"/>
      <c r="B259" s="304" t="s">
        <v>394</v>
      </c>
      <c r="C259" s="37" t="s">
        <v>396</v>
      </c>
      <c r="D259" s="153" t="s">
        <v>406</v>
      </c>
      <c r="E259" s="153" t="s">
        <v>409</v>
      </c>
      <c r="F259" s="310" t="s">
        <v>1467</v>
      </c>
      <c r="G259" s="306" t="s">
        <v>422</v>
      </c>
      <c r="H259" s="306" t="s">
        <v>416</v>
      </c>
      <c r="I259" s="307">
        <v>14141.0</v>
      </c>
      <c r="J259" s="37">
        <v>0.0</v>
      </c>
    </row>
    <row r="260">
      <c r="A260" s="312"/>
      <c r="B260" s="37" t="s">
        <v>1468</v>
      </c>
      <c r="C260" s="37" t="s">
        <v>1468</v>
      </c>
      <c r="D260" s="37"/>
      <c r="E260" s="37"/>
      <c r="F260" s="37"/>
      <c r="G260" s="306" t="s">
        <v>1468</v>
      </c>
      <c r="H260" s="306" t="s">
        <v>1468</v>
      </c>
      <c r="I260" s="173"/>
    </row>
    <row r="261">
      <c r="A261" s="303">
        <v>39.0</v>
      </c>
      <c r="B261" s="304" t="s">
        <v>394</v>
      </c>
      <c r="C261" s="37" t="s">
        <v>396</v>
      </c>
      <c r="D261" s="153" t="s">
        <v>406</v>
      </c>
      <c r="E261" s="153" t="s">
        <v>409</v>
      </c>
      <c r="F261" s="305" t="s">
        <v>1462</v>
      </c>
      <c r="G261" s="306" t="s">
        <v>418</v>
      </c>
      <c r="H261" s="306" t="s">
        <v>415</v>
      </c>
      <c r="I261" s="307">
        <v>14894.0</v>
      </c>
      <c r="J261" s="37">
        <v>0.0</v>
      </c>
    </row>
    <row r="262">
      <c r="A262" s="303"/>
      <c r="B262" s="304" t="s">
        <v>394</v>
      </c>
      <c r="C262" s="37" t="s">
        <v>396</v>
      </c>
      <c r="D262" s="153" t="s">
        <v>406</v>
      </c>
      <c r="E262" s="153" t="s">
        <v>409</v>
      </c>
      <c r="F262" s="308" t="s">
        <v>1463</v>
      </c>
      <c r="G262" s="306" t="s">
        <v>418</v>
      </c>
      <c r="H262" s="306" t="s">
        <v>416</v>
      </c>
      <c r="I262" s="307">
        <v>14894.0</v>
      </c>
      <c r="J262" s="37">
        <v>1.0</v>
      </c>
    </row>
    <row r="263">
      <c r="A263" s="303"/>
      <c r="B263" s="304" t="s">
        <v>394</v>
      </c>
      <c r="C263" s="37" t="s">
        <v>396</v>
      </c>
      <c r="D263" s="153" t="s">
        <v>406</v>
      </c>
      <c r="E263" s="153" t="s">
        <v>409</v>
      </c>
      <c r="F263" s="309" t="s">
        <v>1464</v>
      </c>
      <c r="G263" s="306" t="s">
        <v>420</v>
      </c>
      <c r="H263" s="306" t="s">
        <v>415</v>
      </c>
      <c r="I263" s="307">
        <v>14894.0</v>
      </c>
      <c r="J263" s="37">
        <v>0.0</v>
      </c>
    </row>
    <row r="264">
      <c r="A264" s="303"/>
      <c r="B264" s="304" t="s">
        <v>394</v>
      </c>
      <c r="C264" s="37" t="s">
        <v>396</v>
      </c>
      <c r="D264" s="153" t="s">
        <v>406</v>
      </c>
      <c r="E264" s="153" t="s">
        <v>409</v>
      </c>
      <c r="F264" s="309" t="s">
        <v>1465</v>
      </c>
      <c r="G264" s="306" t="s">
        <v>420</v>
      </c>
      <c r="H264" s="306" t="s">
        <v>416</v>
      </c>
      <c r="I264" s="307">
        <v>14894.0</v>
      </c>
      <c r="J264" s="37">
        <v>1.0</v>
      </c>
    </row>
    <row r="265">
      <c r="A265" s="303"/>
      <c r="B265" s="304" t="s">
        <v>394</v>
      </c>
      <c r="C265" s="37" t="s">
        <v>396</v>
      </c>
      <c r="D265" s="153" t="s">
        <v>406</v>
      </c>
      <c r="E265" s="153" t="s">
        <v>409</v>
      </c>
      <c r="F265" s="310" t="s">
        <v>1466</v>
      </c>
      <c r="G265" s="306" t="s">
        <v>422</v>
      </c>
      <c r="H265" s="306" t="s">
        <v>415</v>
      </c>
      <c r="I265" s="307">
        <v>14894.0</v>
      </c>
      <c r="J265" s="37">
        <v>0.0</v>
      </c>
    </row>
    <row r="266">
      <c r="A266" s="303"/>
      <c r="B266" s="304" t="s">
        <v>394</v>
      </c>
      <c r="C266" s="37" t="s">
        <v>396</v>
      </c>
      <c r="D266" s="153" t="s">
        <v>406</v>
      </c>
      <c r="E266" s="153" t="s">
        <v>409</v>
      </c>
      <c r="F266" s="310" t="s">
        <v>1467</v>
      </c>
      <c r="G266" s="306" t="s">
        <v>422</v>
      </c>
      <c r="H266" s="306" t="s">
        <v>416</v>
      </c>
      <c r="I266" s="307">
        <v>14894.0</v>
      </c>
      <c r="J266" s="37">
        <v>0.0</v>
      </c>
    </row>
    <row r="267">
      <c r="A267" s="312"/>
      <c r="B267" s="37" t="s">
        <v>1468</v>
      </c>
      <c r="C267" s="37" t="s">
        <v>1468</v>
      </c>
      <c r="D267" s="37"/>
      <c r="E267" s="37"/>
      <c r="F267" s="37"/>
      <c r="G267" s="306" t="s">
        <v>1468</v>
      </c>
      <c r="H267" s="306" t="s">
        <v>1468</v>
      </c>
      <c r="I267" s="173"/>
    </row>
    <row r="268">
      <c r="A268" s="303">
        <v>40.0</v>
      </c>
      <c r="B268" s="304" t="s">
        <v>394</v>
      </c>
      <c r="C268" s="37" t="s">
        <v>396</v>
      </c>
      <c r="D268" s="153" t="s">
        <v>406</v>
      </c>
      <c r="E268" s="153" t="s">
        <v>409</v>
      </c>
      <c r="F268" s="305" t="s">
        <v>1462</v>
      </c>
      <c r="G268" s="306" t="s">
        <v>418</v>
      </c>
      <c r="H268" s="306" t="s">
        <v>415</v>
      </c>
      <c r="I268" s="307">
        <v>14975.0</v>
      </c>
      <c r="J268" s="37">
        <v>3.0</v>
      </c>
    </row>
    <row r="269">
      <c r="A269" s="303"/>
      <c r="B269" s="304" t="s">
        <v>394</v>
      </c>
      <c r="C269" s="37" t="s">
        <v>396</v>
      </c>
      <c r="D269" s="153" t="s">
        <v>406</v>
      </c>
      <c r="E269" s="153" t="s">
        <v>409</v>
      </c>
      <c r="F269" s="308" t="s">
        <v>1463</v>
      </c>
      <c r="G269" s="306" t="s">
        <v>418</v>
      </c>
      <c r="H269" s="306" t="s">
        <v>416</v>
      </c>
      <c r="I269" s="307">
        <v>14975.0</v>
      </c>
      <c r="J269" s="37">
        <v>2.0</v>
      </c>
    </row>
    <row r="270">
      <c r="A270" s="303"/>
      <c r="B270" s="304" t="s">
        <v>394</v>
      </c>
      <c r="C270" s="37" t="s">
        <v>396</v>
      </c>
      <c r="D270" s="153" t="s">
        <v>406</v>
      </c>
      <c r="E270" s="153" t="s">
        <v>409</v>
      </c>
      <c r="F270" s="309" t="s">
        <v>1464</v>
      </c>
      <c r="G270" s="306" t="s">
        <v>420</v>
      </c>
      <c r="H270" s="306" t="s">
        <v>415</v>
      </c>
      <c r="I270" s="307">
        <v>14975.0</v>
      </c>
      <c r="J270" s="37">
        <v>3.0</v>
      </c>
    </row>
    <row r="271">
      <c r="A271" s="303"/>
      <c r="B271" s="304" t="s">
        <v>394</v>
      </c>
      <c r="C271" s="37" t="s">
        <v>396</v>
      </c>
      <c r="D271" s="153" t="s">
        <v>406</v>
      </c>
      <c r="E271" s="153" t="s">
        <v>409</v>
      </c>
      <c r="F271" s="309" t="s">
        <v>1465</v>
      </c>
      <c r="G271" s="306" t="s">
        <v>420</v>
      </c>
      <c r="H271" s="306" t="s">
        <v>416</v>
      </c>
      <c r="I271" s="307">
        <v>14975.0</v>
      </c>
      <c r="J271" s="37">
        <v>3.0</v>
      </c>
    </row>
    <row r="272">
      <c r="A272" s="303"/>
      <c r="B272" s="304" t="s">
        <v>394</v>
      </c>
      <c r="C272" s="37" t="s">
        <v>396</v>
      </c>
      <c r="D272" s="153" t="s">
        <v>406</v>
      </c>
      <c r="E272" s="153" t="s">
        <v>409</v>
      </c>
      <c r="F272" s="310" t="s">
        <v>1466</v>
      </c>
      <c r="G272" s="306" t="s">
        <v>422</v>
      </c>
      <c r="H272" s="306" t="s">
        <v>415</v>
      </c>
      <c r="I272" s="307">
        <v>14975.0</v>
      </c>
      <c r="J272" s="37">
        <v>2.0</v>
      </c>
    </row>
    <row r="273">
      <c r="A273" s="303"/>
      <c r="B273" s="304" t="s">
        <v>394</v>
      </c>
      <c r="C273" s="37" t="s">
        <v>396</v>
      </c>
      <c r="D273" s="153" t="s">
        <v>406</v>
      </c>
      <c r="E273" s="153" t="s">
        <v>409</v>
      </c>
      <c r="F273" s="310" t="s">
        <v>1467</v>
      </c>
      <c r="G273" s="306" t="s">
        <v>422</v>
      </c>
      <c r="H273" s="306" t="s">
        <v>416</v>
      </c>
      <c r="I273" s="307">
        <v>14975.0</v>
      </c>
      <c r="J273" s="37">
        <v>3.0</v>
      </c>
    </row>
    <row r="274">
      <c r="A274" s="312"/>
      <c r="B274" s="37" t="s">
        <v>1468</v>
      </c>
      <c r="C274" s="37" t="s">
        <v>1468</v>
      </c>
      <c r="D274" s="37"/>
      <c r="E274" s="37"/>
      <c r="F274" s="37"/>
      <c r="G274" s="306" t="s">
        <v>1468</v>
      </c>
      <c r="H274" s="306" t="s">
        <v>1468</v>
      </c>
      <c r="I274" s="173"/>
    </row>
    <row r="275">
      <c r="A275" s="303">
        <v>41.0</v>
      </c>
      <c r="B275" s="304" t="s">
        <v>394</v>
      </c>
      <c r="C275" s="37" t="s">
        <v>396</v>
      </c>
      <c r="D275" s="153" t="s">
        <v>406</v>
      </c>
      <c r="E275" s="153" t="s">
        <v>409</v>
      </c>
      <c r="F275" s="305" t="s">
        <v>1462</v>
      </c>
      <c r="G275" s="306" t="s">
        <v>418</v>
      </c>
      <c r="H275" s="306" t="s">
        <v>415</v>
      </c>
      <c r="I275" s="307">
        <v>15219.0</v>
      </c>
      <c r="J275" s="37">
        <v>0.0</v>
      </c>
    </row>
    <row r="276">
      <c r="A276" s="303"/>
      <c r="B276" s="304" t="s">
        <v>394</v>
      </c>
      <c r="C276" s="37" t="s">
        <v>396</v>
      </c>
      <c r="D276" s="153" t="s">
        <v>406</v>
      </c>
      <c r="E276" s="153" t="s">
        <v>409</v>
      </c>
      <c r="F276" s="308" t="s">
        <v>1463</v>
      </c>
      <c r="G276" s="306" t="s">
        <v>418</v>
      </c>
      <c r="H276" s="306" t="s">
        <v>416</v>
      </c>
      <c r="I276" s="307">
        <v>15219.0</v>
      </c>
      <c r="J276" s="37">
        <v>2.0</v>
      </c>
    </row>
    <row r="277">
      <c r="A277" s="303"/>
      <c r="B277" s="304" t="s">
        <v>394</v>
      </c>
      <c r="C277" s="37" t="s">
        <v>396</v>
      </c>
      <c r="D277" s="153" t="s">
        <v>406</v>
      </c>
      <c r="E277" s="153" t="s">
        <v>409</v>
      </c>
      <c r="F277" s="309" t="s">
        <v>1464</v>
      </c>
      <c r="G277" s="306" t="s">
        <v>420</v>
      </c>
      <c r="H277" s="306" t="s">
        <v>415</v>
      </c>
      <c r="I277" s="307">
        <v>15219.0</v>
      </c>
      <c r="J277" s="37">
        <v>0.0</v>
      </c>
    </row>
    <row r="278">
      <c r="A278" s="303"/>
      <c r="B278" s="304" t="s">
        <v>394</v>
      </c>
      <c r="C278" s="37" t="s">
        <v>396</v>
      </c>
      <c r="D278" s="153" t="s">
        <v>406</v>
      </c>
      <c r="E278" s="153" t="s">
        <v>409</v>
      </c>
      <c r="F278" s="309" t="s">
        <v>1465</v>
      </c>
      <c r="G278" s="306" t="s">
        <v>420</v>
      </c>
      <c r="H278" s="306" t="s">
        <v>416</v>
      </c>
      <c r="I278" s="307">
        <v>15219.0</v>
      </c>
      <c r="J278" s="37">
        <v>0.0</v>
      </c>
    </row>
    <row r="279">
      <c r="A279" s="303"/>
      <c r="B279" s="304" t="s">
        <v>394</v>
      </c>
      <c r="C279" s="37" t="s">
        <v>396</v>
      </c>
      <c r="D279" s="153" t="s">
        <v>406</v>
      </c>
      <c r="E279" s="153" t="s">
        <v>409</v>
      </c>
      <c r="F279" s="310" t="s">
        <v>1466</v>
      </c>
      <c r="G279" s="306" t="s">
        <v>422</v>
      </c>
      <c r="H279" s="306" t="s">
        <v>415</v>
      </c>
      <c r="I279" s="307">
        <v>15219.0</v>
      </c>
      <c r="J279" s="37">
        <v>0.0</v>
      </c>
    </row>
    <row r="280">
      <c r="A280" s="303"/>
      <c r="B280" s="304" t="s">
        <v>394</v>
      </c>
      <c r="C280" s="37" t="s">
        <v>396</v>
      </c>
      <c r="D280" s="153" t="s">
        <v>406</v>
      </c>
      <c r="E280" s="153" t="s">
        <v>409</v>
      </c>
      <c r="F280" s="310" t="s">
        <v>1467</v>
      </c>
      <c r="G280" s="306" t="s">
        <v>422</v>
      </c>
      <c r="H280" s="306" t="s">
        <v>416</v>
      </c>
      <c r="I280" s="307">
        <v>15219.0</v>
      </c>
      <c r="J280" s="37">
        <v>1.0</v>
      </c>
    </row>
    <row r="281">
      <c r="A281" s="312"/>
      <c r="B281" s="37" t="s">
        <v>1468</v>
      </c>
      <c r="C281" s="37" t="s">
        <v>1468</v>
      </c>
      <c r="D281" s="37"/>
      <c r="E281" s="37"/>
      <c r="F281" s="37"/>
      <c r="G281" s="306" t="s">
        <v>1468</v>
      </c>
      <c r="H281" s="306" t="s">
        <v>1468</v>
      </c>
      <c r="I281" s="173"/>
    </row>
    <row r="282">
      <c r="A282" s="303">
        <v>42.0</v>
      </c>
      <c r="B282" s="304" t="s">
        <v>394</v>
      </c>
      <c r="C282" s="37" t="s">
        <v>396</v>
      </c>
      <c r="D282" s="153" t="s">
        <v>406</v>
      </c>
      <c r="E282" s="153" t="s">
        <v>409</v>
      </c>
      <c r="F282" s="305" t="s">
        <v>1462</v>
      </c>
      <c r="G282" s="306" t="s">
        <v>418</v>
      </c>
      <c r="H282" s="306" t="s">
        <v>415</v>
      </c>
      <c r="I282" s="307">
        <v>15220.0</v>
      </c>
      <c r="J282" s="37">
        <v>0.0</v>
      </c>
    </row>
    <row r="283">
      <c r="A283" s="303"/>
      <c r="B283" s="304" t="s">
        <v>394</v>
      </c>
      <c r="C283" s="37" t="s">
        <v>396</v>
      </c>
      <c r="D283" s="153" t="s">
        <v>406</v>
      </c>
      <c r="E283" s="153" t="s">
        <v>409</v>
      </c>
      <c r="F283" s="308" t="s">
        <v>1463</v>
      </c>
      <c r="G283" s="306" t="s">
        <v>418</v>
      </c>
      <c r="H283" s="306" t="s">
        <v>416</v>
      </c>
      <c r="I283" s="307">
        <v>15220.0</v>
      </c>
      <c r="J283" s="37">
        <v>0.0</v>
      </c>
    </row>
    <row r="284">
      <c r="A284" s="303"/>
      <c r="B284" s="304" t="s">
        <v>394</v>
      </c>
      <c r="C284" s="37" t="s">
        <v>396</v>
      </c>
      <c r="D284" s="153" t="s">
        <v>406</v>
      </c>
      <c r="E284" s="153" t="s">
        <v>409</v>
      </c>
      <c r="F284" s="309" t="s">
        <v>1464</v>
      </c>
      <c r="G284" s="306" t="s">
        <v>420</v>
      </c>
      <c r="H284" s="306" t="s">
        <v>415</v>
      </c>
      <c r="I284" s="307">
        <v>15220.0</v>
      </c>
      <c r="J284" s="37">
        <v>0.0</v>
      </c>
    </row>
    <row r="285">
      <c r="A285" s="303"/>
      <c r="B285" s="304" t="s">
        <v>394</v>
      </c>
      <c r="C285" s="37" t="s">
        <v>396</v>
      </c>
      <c r="D285" s="153" t="s">
        <v>406</v>
      </c>
      <c r="E285" s="153" t="s">
        <v>409</v>
      </c>
      <c r="F285" s="309" t="s">
        <v>1465</v>
      </c>
      <c r="G285" s="306" t="s">
        <v>420</v>
      </c>
      <c r="H285" s="306" t="s">
        <v>416</v>
      </c>
      <c r="I285" s="307">
        <v>15220.0</v>
      </c>
      <c r="J285" s="37">
        <v>0.0</v>
      </c>
    </row>
    <row r="286">
      <c r="A286" s="303"/>
      <c r="B286" s="304" t="s">
        <v>394</v>
      </c>
      <c r="C286" s="37" t="s">
        <v>396</v>
      </c>
      <c r="D286" s="153" t="s">
        <v>406</v>
      </c>
      <c r="E286" s="153" t="s">
        <v>409</v>
      </c>
      <c r="F286" s="310" t="s">
        <v>1466</v>
      </c>
      <c r="G286" s="306" t="s">
        <v>422</v>
      </c>
      <c r="H286" s="306" t="s">
        <v>415</v>
      </c>
      <c r="I286" s="307">
        <v>15220.0</v>
      </c>
      <c r="J286" s="37">
        <v>1.0</v>
      </c>
    </row>
    <row r="287">
      <c r="A287" s="303"/>
      <c r="B287" s="304" t="s">
        <v>394</v>
      </c>
      <c r="C287" s="37" t="s">
        <v>396</v>
      </c>
      <c r="D287" s="153" t="s">
        <v>406</v>
      </c>
      <c r="E287" s="153" t="s">
        <v>409</v>
      </c>
      <c r="F287" s="310" t="s">
        <v>1467</v>
      </c>
      <c r="G287" s="306" t="s">
        <v>422</v>
      </c>
      <c r="H287" s="306" t="s">
        <v>416</v>
      </c>
      <c r="I287" s="307">
        <v>15220.0</v>
      </c>
      <c r="J287" s="37">
        <v>0.0</v>
      </c>
    </row>
    <row r="288">
      <c r="A288" s="312"/>
      <c r="B288" s="37" t="s">
        <v>1468</v>
      </c>
      <c r="C288" s="37" t="s">
        <v>1468</v>
      </c>
      <c r="D288" s="37"/>
      <c r="E288" s="37"/>
      <c r="F288" s="37"/>
      <c r="G288" s="306" t="s">
        <v>1468</v>
      </c>
      <c r="H288" s="306" t="s">
        <v>1468</v>
      </c>
      <c r="I288" s="173"/>
    </row>
    <row r="289">
      <c r="A289" s="303">
        <v>43.0</v>
      </c>
      <c r="B289" s="304" t="s">
        <v>394</v>
      </c>
      <c r="C289" s="37" t="s">
        <v>396</v>
      </c>
      <c r="D289" s="153" t="s">
        <v>406</v>
      </c>
      <c r="E289" s="153" t="s">
        <v>409</v>
      </c>
      <c r="F289" s="305" t="s">
        <v>1462</v>
      </c>
      <c r="G289" s="306" t="s">
        <v>418</v>
      </c>
      <c r="H289" s="306" t="s">
        <v>415</v>
      </c>
      <c r="I289" s="307">
        <v>15304.0</v>
      </c>
      <c r="J289" s="37">
        <v>2.0</v>
      </c>
    </row>
    <row r="290">
      <c r="A290" s="303"/>
      <c r="B290" s="304" t="s">
        <v>394</v>
      </c>
      <c r="C290" s="37" t="s">
        <v>396</v>
      </c>
      <c r="D290" s="153" t="s">
        <v>406</v>
      </c>
      <c r="E290" s="153" t="s">
        <v>409</v>
      </c>
      <c r="F290" s="308" t="s">
        <v>1463</v>
      </c>
      <c r="G290" s="306" t="s">
        <v>418</v>
      </c>
      <c r="H290" s="306" t="s">
        <v>416</v>
      </c>
      <c r="I290" s="307">
        <v>15304.0</v>
      </c>
      <c r="J290" s="37">
        <v>2.0</v>
      </c>
    </row>
    <row r="291">
      <c r="A291" s="303"/>
      <c r="B291" s="304" t="s">
        <v>394</v>
      </c>
      <c r="C291" s="37" t="s">
        <v>396</v>
      </c>
      <c r="D291" s="153" t="s">
        <v>406</v>
      </c>
      <c r="E291" s="153" t="s">
        <v>409</v>
      </c>
      <c r="F291" s="309" t="s">
        <v>1464</v>
      </c>
      <c r="G291" s="306" t="s">
        <v>420</v>
      </c>
      <c r="H291" s="306" t="s">
        <v>415</v>
      </c>
      <c r="I291" s="307">
        <v>15304.0</v>
      </c>
      <c r="J291" s="37">
        <v>2.0</v>
      </c>
    </row>
    <row r="292">
      <c r="A292" s="303"/>
      <c r="B292" s="304" t="s">
        <v>394</v>
      </c>
      <c r="C292" s="37" t="s">
        <v>396</v>
      </c>
      <c r="D292" s="153" t="s">
        <v>406</v>
      </c>
      <c r="E292" s="153" t="s">
        <v>409</v>
      </c>
      <c r="F292" s="309" t="s">
        <v>1465</v>
      </c>
      <c r="G292" s="306" t="s">
        <v>420</v>
      </c>
      <c r="H292" s="306" t="s">
        <v>416</v>
      </c>
      <c r="I292" s="307">
        <v>15304.0</v>
      </c>
      <c r="J292" s="37">
        <v>0.0</v>
      </c>
    </row>
    <row r="293">
      <c r="A293" s="303"/>
      <c r="B293" s="304" t="s">
        <v>394</v>
      </c>
      <c r="C293" s="37" t="s">
        <v>396</v>
      </c>
      <c r="D293" s="153" t="s">
        <v>406</v>
      </c>
      <c r="E293" s="153" t="s">
        <v>409</v>
      </c>
      <c r="F293" s="310" t="s">
        <v>1466</v>
      </c>
      <c r="G293" s="306" t="s">
        <v>422</v>
      </c>
      <c r="H293" s="306" t="s">
        <v>415</v>
      </c>
      <c r="I293" s="307">
        <v>15304.0</v>
      </c>
      <c r="J293" s="37">
        <v>1.0</v>
      </c>
    </row>
    <row r="294">
      <c r="A294" s="303"/>
      <c r="B294" s="304" t="s">
        <v>394</v>
      </c>
      <c r="C294" s="37" t="s">
        <v>396</v>
      </c>
      <c r="D294" s="153" t="s">
        <v>406</v>
      </c>
      <c r="E294" s="153" t="s">
        <v>409</v>
      </c>
      <c r="F294" s="310" t="s">
        <v>1467</v>
      </c>
      <c r="G294" s="306" t="s">
        <v>422</v>
      </c>
      <c r="H294" s="306" t="s">
        <v>416</v>
      </c>
      <c r="I294" s="307">
        <v>15304.0</v>
      </c>
      <c r="J294" s="37">
        <v>2.0</v>
      </c>
    </row>
    <row r="295">
      <c r="A295" s="312"/>
      <c r="B295" s="37" t="s">
        <v>1468</v>
      </c>
      <c r="C295" s="37" t="s">
        <v>1468</v>
      </c>
      <c r="D295" s="37"/>
      <c r="E295" s="37"/>
      <c r="F295" s="37"/>
      <c r="G295" s="306" t="s">
        <v>1468</v>
      </c>
      <c r="H295" s="306" t="s">
        <v>1468</v>
      </c>
      <c r="I295" s="173"/>
    </row>
    <row r="296">
      <c r="A296" s="303">
        <v>44.0</v>
      </c>
      <c r="B296" s="304" t="s">
        <v>394</v>
      </c>
      <c r="C296" s="37" t="s">
        <v>396</v>
      </c>
      <c r="D296" s="153" t="s">
        <v>406</v>
      </c>
      <c r="E296" s="153" t="s">
        <v>409</v>
      </c>
      <c r="F296" s="305" t="s">
        <v>1462</v>
      </c>
      <c r="G296" s="306" t="s">
        <v>418</v>
      </c>
      <c r="H296" s="306" t="s">
        <v>415</v>
      </c>
      <c r="I296" s="307">
        <v>15383.0</v>
      </c>
      <c r="J296" s="37">
        <v>0.0</v>
      </c>
    </row>
    <row r="297">
      <c r="A297" s="303"/>
      <c r="B297" s="304" t="s">
        <v>394</v>
      </c>
      <c r="C297" s="37" t="s">
        <v>396</v>
      </c>
      <c r="D297" s="153" t="s">
        <v>406</v>
      </c>
      <c r="E297" s="153" t="s">
        <v>409</v>
      </c>
      <c r="F297" s="308" t="s">
        <v>1463</v>
      </c>
      <c r="G297" s="306" t="s">
        <v>418</v>
      </c>
      <c r="H297" s="306" t="s">
        <v>416</v>
      </c>
      <c r="I297" s="307">
        <v>15383.0</v>
      </c>
      <c r="J297" s="37">
        <v>0.0</v>
      </c>
    </row>
    <row r="298">
      <c r="A298" s="303"/>
      <c r="B298" s="304" t="s">
        <v>394</v>
      </c>
      <c r="C298" s="37" t="s">
        <v>396</v>
      </c>
      <c r="D298" s="153" t="s">
        <v>406</v>
      </c>
      <c r="E298" s="153" t="s">
        <v>409</v>
      </c>
      <c r="F298" s="309" t="s">
        <v>1464</v>
      </c>
      <c r="G298" s="306" t="s">
        <v>420</v>
      </c>
      <c r="H298" s="306" t="s">
        <v>415</v>
      </c>
      <c r="I298" s="307">
        <v>15383.0</v>
      </c>
      <c r="J298" s="37">
        <v>1.0</v>
      </c>
    </row>
    <row r="299">
      <c r="A299" s="303"/>
      <c r="B299" s="304" t="s">
        <v>394</v>
      </c>
      <c r="C299" s="37" t="s">
        <v>396</v>
      </c>
      <c r="D299" s="153" t="s">
        <v>406</v>
      </c>
      <c r="E299" s="153" t="s">
        <v>409</v>
      </c>
      <c r="F299" s="309" t="s">
        <v>1465</v>
      </c>
      <c r="G299" s="306" t="s">
        <v>420</v>
      </c>
      <c r="H299" s="306" t="s">
        <v>416</v>
      </c>
      <c r="I299" s="307">
        <v>15383.0</v>
      </c>
      <c r="J299" s="37">
        <v>0.0</v>
      </c>
    </row>
    <row r="300">
      <c r="A300" s="303"/>
      <c r="B300" s="304" t="s">
        <v>394</v>
      </c>
      <c r="C300" s="37" t="s">
        <v>396</v>
      </c>
      <c r="D300" s="153" t="s">
        <v>406</v>
      </c>
      <c r="E300" s="153" t="s">
        <v>409</v>
      </c>
      <c r="F300" s="310" t="s">
        <v>1466</v>
      </c>
      <c r="G300" s="306" t="s">
        <v>422</v>
      </c>
      <c r="H300" s="306" t="s">
        <v>415</v>
      </c>
      <c r="I300" s="307">
        <v>15383.0</v>
      </c>
      <c r="J300" s="37">
        <v>0.0</v>
      </c>
    </row>
    <row r="301">
      <c r="A301" s="303"/>
      <c r="B301" s="304" t="s">
        <v>394</v>
      </c>
      <c r="C301" s="37" t="s">
        <v>396</v>
      </c>
      <c r="D301" s="153" t="s">
        <v>406</v>
      </c>
      <c r="E301" s="153" t="s">
        <v>409</v>
      </c>
      <c r="F301" s="310" t="s">
        <v>1467</v>
      </c>
      <c r="G301" s="306" t="s">
        <v>422</v>
      </c>
      <c r="H301" s="306" t="s">
        <v>416</v>
      </c>
      <c r="I301" s="307">
        <v>15383.0</v>
      </c>
      <c r="J301" s="37">
        <v>0.0</v>
      </c>
    </row>
    <row r="302">
      <c r="A302" s="312"/>
      <c r="B302" s="37" t="s">
        <v>1468</v>
      </c>
      <c r="C302" s="37" t="s">
        <v>1468</v>
      </c>
      <c r="D302" s="37"/>
      <c r="E302" s="37"/>
      <c r="F302" s="37"/>
      <c r="G302" s="306" t="s">
        <v>1468</v>
      </c>
      <c r="H302" s="306" t="s">
        <v>1468</v>
      </c>
      <c r="I302" s="173"/>
    </row>
    <row r="303">
      <c r="A303" s="303">
        <v>45.0</v>
      </c>
      <c r="B303" s="304" t="s">
        <v>394</v>
      </c>
      <c r="C303" s="37" t="s">
        <v>396</v>
      </c>
      <c r="D303" s="153" t="s">
        <v>406</v>
      </c>
      <c r="E303" s="153" t="s">
        <v>409</v>
      </c>
      <c r="F303" s="305" t="s">
        <v>1462</v>
      </c>
      <c r="G303" s="306" t="s">
        <v>418</v>
      </c>
      <c r="H303" s="306" t="s">
        <v>415</v>
      </c>
      <c r="I303" s="307">
        <v>15478.0</v>
      </c>
      <c r="J303" s="37">
        <v>0.0</v>
      </c>
    </row>
    <row r="304">
      <c r="A304" s="303"/>
      <c r="B304" s="304" t="s">
        <v>394</v>
      </c>
      <c r="C304" s="37" t="s">
        <v>396</v>
      </c>
      <c r="D304" s="153" t="s">
        <v>406</v>
      </c>
      <c r="E304" s="153" t="s">
        <v>409</v>
      </c>
      <c r="F304" s="308" t="s">
        <v>1463</v>
      </c>
      <c r="G304" s="306" t="s">
        <v>418</v>
      </c>
      <c r="H304" s="306" t="s">
        <v>416</v>
      </c>
      <c r="I304" s="307">
        <v>15478.0</v>
      </c>
      <c r="J304" s="37">
        <v>2.0</v>
      </c>
    </row>
    <row r="305">
      <c r="A305" s="303"/>
      <c r="B305" s="304" t="s">
        <v>394</v>
      </c>
      <c r="C305" s="37" t="s">
        <v>396</v>
      </c>
      <c r="D305" s="153" t="s">
        <v>406</v>
      </c>
      <c r="E305" s="153" t="s">
        <v>409</v>
      </c>
      <c r="F305" s="309" t="s">
        <v>1464</v>
      </c>
      <c r="G305" s="306" t="s">
        <v>420</v>
      </c>
      <c r="H305" s="306" t="s">
        <v>415</v>
      </c>
      <c r="I305" s="307">
        <v>15478.0</v>
      </c>
      <c r="J305" s="37">
        <v>1.0</v>
      </c>
    </row>
    <row r="306">
      <c r="A306" s="303"/>
      <c r="B306" s="304" t="s">
        <v>394</v>
      </c>
      <c r="C306" s="37" t="s">
        <v>396</v>
      </c>
      <c r="D306" s="153" t="s">
        <v>406</v>
      </c>
      <c r="E306" s="153" t="s">
        <v>409</v>
      </c>
      <c r="F306" s="309" t="s">
        <v>1465</v>
      </c>
      <c r="G306" s="306" t="s">
        <v>420</v>
      </c>
      <c r="H306" s="306" t="s">
        <v>416</v>
      </c>
      <c r="I306" s="307">
        <v>15478.0</v>
      </c>
      <c r="J306" s="37">
        <v>0.0</v>
      </c>
    </row>
    <row r="307">
      <c r="A307" s="303"/>
      <c r="B307" s="304" t="s">
        <v>394</v>
      </c>
      <c r="C307" s="37" t="s">
        <v>396</v>
      </c>
      <c r="D307" s="153" t="s">
        <v>406</v>
      </c>
      <c r="E307" s="153" t="s">
        <v>409</v>
      </c>
      <c r="F307" s="310" t="s">
        <v>1466</v>
      </c>
      <c r="G307" s="306" t="s">
        <v>422</v>
      </c>
      <c r="H307" s="306" t="s">
        <v>415</v>
      </c>
      <c r="I307" s="307">
        <v>15478.0</v>
      </c>
      <c r="J307" s="37">
        <v>0.0</v>
      </c>
    </row>
    <row r="308">
      <c r="A308" s="303"/>
      <c r="B308" s="304" t="s">
        <v>394</v>
      </c>
      <c r="C308" s="37" t="s">
        <v>396</v>
      </c>
      <c r="D308" s="153" t="s">
        <v>406</v>
      </c>
      <c r="E308" s="153" t="s">
        <v>409</v>
      </c>
      <c r="F308" s="310" t="s">
        <v>1467</v>
      </c>
      <c r="G308" s="306" t="s">
        <v>422</v>
      </c>
      <c r="H308" s="306" t="s">
        <v>416</v>
      </c>
      <c r="I308" s="307">
        <v>15478.0</v>
      </c>
      <c r="J308" s="37">
        <v>2.0</v>
      </c>
    </row>
    <row r="309">
      <c r="A309" s="312"/>
      <c r="B309" s="37" t="s">
        <v>1468</v>
      </c>
      <c r="C309" s="37" t="s">
        <v>1468</v>
      </c>
      <c r="D309" s="37"/>
      <c r="E309" s="37"/>
      <c r="F309" s="37"/>
      <c r="G309" s="306" t="s">
        <v>1468</v>
      </c>
      <c r="H309" s="306" t="s">
        <v>1468</v>
      </c>
      <c r="I309" s="173"/>
    </row>
    <row r="310">
      <c r="A310" s="303">
        <v>46.0</v>
      </c>
      <c r="B310" s="304" t="s">
        <v>394</v>
      </c>
      <c r="C310" s="37" t="s">
        <v>396</v>
      </c>
      <c r="D310" s="153" t="s">
        <v>406</v>
      </c>
      <c r="E310" s="153" t="s">
        <v>409</v>
      </c>
      <c r="F310" s="305" t="s">
        <v>1462</v>
      </c>
      <c r="G310" s="306" t="s">
        <v>418</v>
      </c>
      <c r="H310" s="306" t="s">
        <v>415</v>
      </c>
      <c r="I310" s="307">
        <v>20104.0</v>
      </c>
      <c r="J310" s="37">
        <v>3.0</v>
      </c>
    </row>
    <row r="311">
      <c r="A311" s="303"/>
      <c r="B311" s="304" t="s">
        <v>394</v>
      </c>
      <c r="C311" s="37" t="s">
        <v>396</v>
      </c>
      <c r="D311" s="153" t="s">
        <v>406</v>
      </c>
      <c r="E311" s="153" t="s">
        <v>409</v>
      </c>
      <c r="F311" s="308" t="s">
        <v>1463</v>
      </c>
      <c r="G311" s="306" t="s">
        <v>418</v>
      </c>
      <c r="H311" s="306" t="s">
        <v>416</v>
      </c>
      <c r="I311" s="307">
        <v>20104.0</v>
      </c>
      <c r="J311" s="37">
        <v>2.0</v>
      </c>
    </row>
    <row r="312">
      <c r="A312" s="303"/>
      <c r="B312" s="304" t="s">
        <v>394</v>
      </c>
      <c r="C312" s="37" t="s">
        <v>396</v>
      </c>
      <c r="D312" s="153" t="s">
        <v>406</v>
      </c>
      <c r="E312" s="153" t="s">
        <v>409</v>
      </c>
      <c r="F312" s="309" t="s">
        <v>1464</v>
      </c>
      <c r="G312" s="306" t="s">
        <v>420</v>
      </c>
      <c r="H312" s="306" t="s">
        <v>415</v>
      </c>
      <c r="I312" s="307">
        <v>20104.0</v>
      </c>
      <c r="J312" s="37">
        <v>4.0</v>
      </c>
    </row>
    <row r="313">
      <c r="A313" s="303"/>
      <c r="B313" s="304" t="s">
        <v>394</v>
      </c>
      <c r="C313" s="37" t="s">
        <v>396</v>
      </c>
      <c r="D313" s="153" t="s">
        <v>406</v>
      </c>
      <c r="E313" s="153" t="s">
        <v>409</v>
      </c>
      <c r="F313" s="309" t="s">
        <v>1465</v>
      </c>
      <c r="G313" s="306" t="s">
        <v>420</v>
      </c>
      <c r="H313" s="306" t="s">
        <v>416</v>
      </c>
      <c r="I313" s="307">
        <v>20104.0</v>
      </c>
      <c r="J313" s="37">
        <v>3.0</v>
      </c>
    </row>
    <row r="314">
      <c r="A314" s="303"/>
      <c r="B314" s="304" t="s">
        <v>394</v>
      </c>
      <c r="C314" s="37" t="s">
        <v>396</v>
      </c>
      <c r="D314" s="153" t="s">
        <v>406</v>
      </c>
      <c r="E314" s="153" t="s">
        <v>409</v>
      </c>
      <c r="F314" s="310" t="s">
        <v>1466</v>
      </c>
      <c r="G314" s="306" t="s">
        <v>422</v>
      </c>
      <c r="H314" s="306" t="s">
        <v>415</v>
      </c>
      <c r="I314" s="307">
        <v>20104.0</v>
      </c>
      <c r="J314" s="37">
        <v>3.0</v>
      </c>
    </row>
    <row r="315">
      <c r="A315" s="303"/>
      <c r="B315" s="304" t="s">
        <v>394</v>
      </c>
      <c r="C315" s="37" t="s">
        <v>396</v>
      </c>
      <c r="D315" s="153" t="s">
        <v>406</v>
      </c>
      <c r="E315" s="153" t="s">
        <v>409</v>
      </c>
      <c r="F315" s="310" t="s">
        <v>1467</v>
      </c>
      <c r="G315" s="306" t="s">
        <v>422</v>
      </c>
      <c r="H315" s="306" t="s">
        <v>416</v>
      </c>
      <c r="I315" s="307">
        <v>20104.0</v>
      </c>
      <c r="J315" s="37">
        <v>1.0</v>
      </c>
    </row>
    <row r="316">
      <c r="A316" s="312"/>
      <c r="B316" s="37" t="s">
        <v>1468</v>
      </c>
      <c r="C316" s="37" t="s">
        <v>1468</v>
      </c>
      <c r="D316" s="37"/>
      <c r="E316" s="37"/>
      <c r="F316" s="37"/>
      <c r="G316" s="306" t="s">
        <v>1468</v>
      </c>
      <c r="H316" s="306" t="s">
        <v>1468</v>
      </c>
      <c r="I316" s="173"/>
    </row>
    <row r="317">
      <c r="A317" s="303">
        <v>47.0</v>
      </c>
      <c r="B317" s="304" t="s">
        <v>394</v>
      </c>
      <c r="C317" s="37" t="s">
        <v>396</v>
      </c>
      <c r="D317" s="153" t="s">
        <v>406</v>
      </c>
      <c r="E317" s="153" t="s">
        <v>409</v>
      </c>
      <c r="F317" s="305" t="s">
        <v>1462</v>
      </c>
      <c r="G317" s="306" t="s">
        <v>418</v>
      </c>
      <c r="H317" s="306" t="s">
        <v>415</v>
      </c>
      <c r="I317" s="307">
        <v>20123.0</v>
      </c>
      <c r="J317" s="37">
        <v>0.0</v>
      </c>
    </row>
    <row r="318">
      <c r="A318" s="303"/>
      <c r="B318" s="304" t="s">
        <v>394</v>
      </c>
      <c r="C318" s="37" t="s">
        <v>396</v>
      </c>
      <c r="D318" s="153" t="s">
        <v>406</v>
      </c>
      <c r="E318" s="153" t="s">
        <v>409</v>
      </c>
      <c r="F318" s="308" t="s">
        <v>1463</v>
      </c>
      <c r="G318" s="306" t="s">
        <v>418</v>
      </c>
      <c r="H318" s="306" t="s">
        <v>416</v>
      </c>
      <c r="I318" s="307">
        <v>20123.0</v>
      </c>
      <c r="J318" s="37">
        <v>1.0</v>
      </c>
    </row>
    <row r="319">
      <c r="A319" s="303"/>
      <c r="B319" s="304" t="s">
        <v>394</v>
      </c>
      <c r="C319" s="37" t="s">
        <v>396</v>
      </c>
      <c r="D319" s="153" t="s">
        <v>406</v>
      </c>
      <c r="E319" s="153" t="s">
        <v>409</v>
      </c>
      <c r="F319" s="309" t="s">
        <v>1464</v>
      </c>
      <c r="G319" s="306" t="s">
        <v>420</v>
      </c>
      <c r="H319" s="306" t="s">
        <v>415</v>
      </c>
      <c r="I319" s="307">
        <v>20123.0</v>
      </c>
      <c r="J319" s="37">
        <v>0.0</v>
      </c>
    </row>
    <row r="320">
      <c r="A320" s="303"/>
      <c r="B320" s="304" t="s">
        <v>394</v>
      </c>
      <c r="C320" s="37" t="s">
        <v>396</v>
      </c>
      <c r="D320" s="153" t="s">
        <v>406</v>
      </c>
      <c r="E320" s="153" t="s">
        <v>409</v>
      </c>
      <c r="F320" s="309" t="s">
        <v>1465</v>
      </c>
      <c r="G320" s="306" t="s">
        <v>420</v>
      </c>
      <c r="H320" s="306" t="s">
        <v>416</v>
      </c>
      <c r="I320" s="307">
        <v>20123.0</v>
      </c>
      <c r="J320" s="37">
        <v>0.0</v>
      </c>
    </row>
    <row r="321">
      <c r="A321" s="303"/>
      <c r="B321" s="304" t="s">
        <v>394</v>
      </c>
      <c r="C321" s="37" t="s">
        <v>396</v>
      </c>
      <c r="D321" s="153" t="s">
        <v>406</v>
      </c>
      <c r="E321" s="153" t="s">
        <v>409</v>
      </c>
      <c r="F321" s="310" t="s">
        <v>1466</v>
      </c>
      <c r="G321" s="306" t="s">
        <v>422</v>
      </c>
      <c r="H321" s="306" t="s">
        <v>415</v>
      </c>
      <c r="I321" s="307">
        <v>20123.0</v>
      </c>
      <c r="J321" s="37">
        <v>1.0</v>
      </c>
    </row>
    <row r="322">
      <c r="A322" s="303"/>
      <c r="B322" s="304" t="s">
        <v>394</v>
      </c>
      <c r="C322" s="37" t="s">
        <v>396</v>
      </c>
      <c r="D322" s="153" t="s">
        <v>406</v>
      </c>
      <c r="E322" s="153" t="s">
        <v>409</v>
      </c>
      <c r="F322" s="310" t="s">
        <v>1467</v>
      </c>
      <c r="G322" s="306" t="s">
        <v>422</v>
      </c>
      <c r="H322" s="306" t="s">
        <v>416</v>
      </c>
      <c r="I322" s="307">
        <v>20123.0</v>
      </c>
      <c r="J322" s="37">
        <v>1.0</v>
      </c>
    </row>
    <row r="323">
      <c r="A323" s="312"/>
      <c r="B323" s="37" t="s">
        <v>1468</v>
      </c>
      <c r="C323" s="37" t="s">
        <v>1468</v>
      </c>
      <c r="D323" s="37"/>
      <c r="E323" s="37"/>
      <c r="F323" s="37"/>
      <c r="G323" s="306" t="s">
        <v>1468</v>
      </c>
      <c r="H323" s="306" t="s">
        <v>1468</v>
      </c>
      <c r="I323" s="173"/>
    </row>
    <row r="324">
      <c r="A324" s="303">
        <v>48.0</v>
      </c>
      <c r="B324" s="304" t="s">
        <v>394</v>
      </c>
      <c r="C324" s="37" t="s">
        <v>396</v>
      </c>
      <c r="D324" s="153" t="s">
        <v>406</v>
      </c>
      <c r="E324" s="153" t="s">
        <v>409</v>
      </c>
      <c r="F324" s="305" t="s">
        <v>1462</v>
      </c>
      <c r="G324" s="306" t="s">
        <v>418</v>
      </c>
      <c r="H324" s="306" t="s">
        <v>415</v>
      </c>
      <c r="I324" s="307" t="s">
        <v>55</v>
      </c>
      <c r="J324" s="37">
        <v>11.0</v>
      </c>
    </row>
    <row r="325">
      <c r="A325" s="303"/>
      <c r="B325" s="304" t="s">
        <v>394</v>
      </c>
      <c r="C325" s="37" t="s">
        <v>396</v>
      </c>
      <c r="D325" s="153" t="s">
        <v>406</v>
      </c>
      <c r="E325" s="153" t="s">
        <v>409</v>
      </c>
      <c r="F325" s="308" t="s">
        <v>1463</v>
      </c>
      <c r="G325" s="306" t="s">
        <v>418</v>
      </c>
      <c r="H325" s="306" t="s">
        <v>416</v>
      </c>
      <c r="I325" s="307" t="s">
        <v>55</v>
      </c>
      <c r="J325" s="37">
        <v>14.0</v>
      </c>
    </row>
    <row r="326">
      <c r="A326" s="303"/>
      <c r="B326" s="304" t="s">
        <v>394</v>
      </c>
      <c r="C326" s="37" t="s">
        <v>396</v>
      </c>
      <c r="D326" s="153" t="s">
        <v>406</v>
      </c>
      <c r="E326" s="153" t="s">
        <v>409</v>
      </c>
      <c r="F326" s="309" t="s">
        <v>1464</v>
      </c>
      <c r="G326" s="306" t="s">
        <v>420</v>
      </c>
      <c r="H326" s="306" t="s">
        <v>415</v>
      </c>
      <c r="I326" s="307" t="s">
        <v>55</v>
      </c>
      <c r="J326" s="37">
        <v>11.0</v>
      </c>
    </row>
    <row r="327">
      <c r="A327" s="303"/>
      <c r="B327" s="304" t="s">
        <v>394</v>
      </c>
      <c r="C327" s="37" t="s">
        <v>396</v>
      </c>
      <c r="D327" s="153" t="s">
        <v>406</v>
      </c>
      <c r="E327" s="153" t="s">
        <v>409</v>
      </c>
      <c r="F327" s="309" t="s">
        <v>1465</v>
      </c>
      <c r="G327" s="306" t="s">
        <v>420</v>
      </c>
      <c r="H327" s="306" t="s">
        <v>416</v>
      </c>
      <c r="I327" s="307" t="s">
        <v>55</v>
      </c>
      <c r="J327" s="37">
        <v>9.0</v>
      </c>
    </row>
    <row r="328">
      <c r="A328" s="303"/>
      <c r="B328" s="304" t="s">
        <v>394</v>
      </c>
      <c r="C328" s="37" t="s">
        <v>396</v>
      </c>
      <c r="D328" s="153" t="s">
        <v>406</v>
      </c>
      <c r="E328" s="153" t="s">
        <v>409</v>
      </c>
      <c r="F328" s="310" t="s">
        <v>1466</v>
      </c>
      <c r="G328" s="306" t="s">
        <v>422</v>
      </c>
      <c r="H328" s="306" t="s">
        <v>415</v>
      </c>
      <c r="I328" s="307" t="s">
        <v>55</v>
      </c>
      <c r="J328" s="37">
        <v>13.0</v>
      </c>
    </row>
    <row r="329">
      <c r="A329" s="303"/>
      <c r="B329" s="304" t="s">
        <v>394</v>
      </c>
      <c r="C329" s="37" t="s">
        <v>396</v>
      </c>
      <c r="D329" s="153" t="s">
        <v>406</v>
      </c>
      <c r="E329" s="153" t="s">
        <v>409</v>
      </c>
      <c r="F329" s="310" t="s">
        <v>1467</v>
      </c>
      <c r="G329" s="306" t="s">
        <v>422</v>
      </c>
      <c r="H329" s="306" t="s">
        <v>416</v>
      </c>
      <c r="I329" s="307" t="s">
        <v>55</v>
      </c>
      <c r="J329" s="37">
        <v>11.0</v>
      </c>
    </row>
    <row r="330">
      <c r="A330" s="312"/>
      <c r="B330" s="37" t="s">
        <v>1468</v>
      </c>
      <c r="C330" s="37" t="s">
        <v>1468</v>
      </c>
      <c r="D330" s="37"/>
      <c r="E330" s="37"/>
      <c r="F330" s="37"/>
      <c r="G330" s="306" t="s">
        <v>1468</v>
      </c>
      <c r="H330" s="306" t="s">
        <v>1468</v>
      </c>
      <c r="I330" s="173"/>
    </row>
    <row r="331">
      <c r="A331" s="303">
        <v>49.0</v>
      </c>
      <c r="B331" s="304" t="s">
        <v>394</v>
      </c>
      <c r="C331" s="37" t="s">
        <v>396</v>
      </c>
      <c r="D331" s="153" t="s">
        <v>406</v>
      </c>
      <c r="E331" s="153" t="s">
        <v>409</v>
      </c>
      <c r="F331" s="305" t="s">
        <v>1462</v>
      </c>
      <c r="G331" s="306" t="s">
        <v>418</v>
      </c>
      <c r="H331" s="306" t="s">
        <v>415</v>
      </c>
      <c r="I331" s="307" t="s">
        <v>61</v>
      </c>
      <c r="J331" s="37">
        <v>5.0</v>
      </c>
    </row>
    <row r="332">
      <c r="A332" s="303"/>
      <c r="B332" s="304" t="s">
        <v>394</v>
      </c>
      <c r="C332" s="37" t="s">
        <v>396</v>
      </c>
      <c r="D332" s="153" t="s">
        <v>406</v>
      </c>
      <c r="E332" s="153" t="s">
        <v>409</v>
      </c>
      <c r="F332" s="308" t="s">
        <v>1463</v>
      </c>
      <c r="G332" s="306" t="s">
        <v>418</v>
      </c>
      <c r="H332" s="306" t="s">
        <v>416</v>
      </c>
      <c r="I332" s="307" t="s">
        <v>61</v>
      </c>
      <c r="J332" s="37">
        <v>5.0</v>
      </c>
    </row>
    <row r="333">
      <c r="A333" s="303"/>
      <c r="B333" s="304" t="s">
        <v>394</v>
      </c>
      <c r="C333" s="37" t="s">
        <v>396</v>
      </c>
      <c r="D333" s="153" t="s">
        <v>406</v>
      </c>
      <c r="E333" s="153" t="s">
        <v>409</v>
      </c>
      <c r="F333" s="309" t="s">
        <v>1464</v>
      </c>
      <c r="G333" s="306" t="s">
        <v>420</v>
      </c>
      <c r="H333" s="306" t="s">
        <v>415</v>
      </c>
      <c r="I333" s="307" t="s">
        <v>61</v>
      </c>
      <c r="J333" s="37">
        <v>6.0</v>
      </c>
    </row>
    <row r="334">
      <c r="A334" s="303"/>
      <c r="B334" s="304" t="s">
        <v>394</v>
      </c>
      <c r="C334" s="37" t="s">
        <v>396</v>
      </c>
      <c r="D334" s="153" t="s">
        <v>406</v>
      </c>
      <c r="E334" s="153" t="s">
        <v>409</v>
      </c>
      <c r="F334" s="309" t="s">
        <v>1465</v>
      </c>
      <c r="G334" s="306" t="s">
        <v>420</v>
      </c>
      <c r="H334" s="306" t="s">
        <v>416</v>
      </c>
      <c r="I334" s="307" t="s">
        <v>61</v>
      </c>
      <c r="J334" s="37">
        <v>4.0</v>
      </c>
    </row>
    <row r="335">
      <c r="A335" s="303"/>
      <c r="B335" s="304" t="s">
        <v>394</v>
      </c>
      <c r="C335" s="37" t="s">
        <v>396</v>
      </c>
      <c r="D335" s="153" t="s">
        <v>406</v>
      </c>
      <c r="E335" s="153" t="s">
        <v>409</v>
      </c>
      <c r="F335" s="310" t="s">
        <v>1466</v>
      </c>
      <c r="G335" s="306" t="s">
        <v>422</v>
      </c>
      <c r="H335" s="306" t="s">
        <v>415</v>
      </c>
      <c r="I335" s="307" t="s">
        <v>61</v>
      </c>
      <c r="J335" s="37">
        <v>5.0</v>
      </c>
    </row>
    <row r="336">
      <c r="A336" s="303"/>
      <c r="B336" s="304" t="s">
        <v>394</v>
      </c>
      <c r="C336" s="37" t="s">
        <v>396</v>
      </c>
      <c r="D336" s="153" t="s">
        <v>406</v>
      </c>
      <c r="E336" s="153" t="s">
        <v>409</v>
      </c>
      <c r="F336" s="310" t="s">
        <v>1467</v>
      </c>
      <c r="G336" s="306" t="s">
        <v>422</v>
      </c>
      <c r="H336" s="306" t="s">
        <v>416</v>
      </c>
      <c r="I336" s="307" t="s">
        <v>61</v>
      </c>
      <c r="J336" s="37">
        <v>5.0</v>
      </c>
    </row>
    <row r="337">
      <c r="A337" s="312"/>
      <c r="B337" s="37" t="s">
        <v>1468</v>
      </c>
      <c r="C337" s="37" t="s">
        <v>1468</v>
      </c>
      <c r="D337" s="37"/>
      <c r="E337" s="37"/>
      <c r="F337" s="37"/>
      <c r="G337" s="306" t="s">
        <v>1468</v>
      </c>
      <c r="H337" s="306" t="s">
        <v>1468</v>
      </c>
      <c r="I337" s="173"/>
    </row>
    <row r="338">
      <c r="A338" s="303">
        <v>50.0</v>
      </c>
      <c r="B338" s="304" t="s">
        <v>394</v>
      </c>
      <c r="C338" s="37" t="s">
        <v>396</v>
      </c>
      <c r="D338" s="153" t="s">
        <v>406</v>
      </c>
      <c r="E338" s="153" t="s">
        <v>409</v>
      </c>
      <c r="F338" s="305" t="s">
        <v>1462</v>
      </c>
      <c r="G338" s="306" t="s">
        <v>418</v>
      </c>
      <c r="H338" s="306" t="s">
        <v>415</v>
      </c>
      <c r="I338" s="307" t="s">
        <v>49</v>
      </c>
      <c r="J338" s="37">
        <v>12.0</v>
      </c>
    </row>
    <row r="339">
      <c r="A339" s="303"/>
      <c r="B339" s="304" t="s">
        <v>394</v>
      </c>
      <c r="C339" s="37" t="s">
        <v>396</v>
      </c>
      <c r="D339" s="153" t="s">
        <v>406</v>
      </c>
      <c r="E339" s="153" t="s">
        <v>409</v>
      </c>
      <c r="F339" s="308" t="s">
        <v>1463</v>
      </c>
      <c r="G339" s="306" t="s">
        <v>418</v>
      </c>
      <c r="H339" s="306" t="s">
        <v>416</v>
      </c>
      <c r="I339" s="307" t="s">
        <v>49</v>
      </c>
      <c r="J339" s="37">
        <v>9.0</v>
      </c>
    </row>
    <row r="340">
      <c r="A340" s="303"/>
      <c r="B340" s="304" t="s">
        <v>394</v>
      </c>
      <c r="C340" s="37" t="s">
        <v>396</v>
      </c>
      <c r="D340" s="153" t="s">
        <v>406</v>
      </c>
      <c r="E340" s="153" t="s">
        <v>409</v>
      </c>
      <c r="F340" s="309" t="s">
        <v>1464</v>
      </c>
      <c r="G340" s="306" t="s">
        <v>420</v>
      </c>
      <c r="H340" s="306" t="s">
        <v>415</v>
      </c>
      <c r="I340" s="307" t="s">
        <v>49</v>
      </c>
      <c r="J340" s="37">
        <v>11.0</v>
      </c>
    </row>
    <row r="341">
      <c r="A341" s="303"/>
      <c r="B341" s="304" t="s">
        <v>394</v>
      </c>
      <c r="C341" s="37" t="s">
        <v>396</v>
      </c>
      <c r="D341" s="153" t="s">
        <v>406</v>
      </c>
      <c r="E341" s="153" t="s">
        <v>409</v>
      </c>
      <c r="F341" s="309" t="s">
        <v>1465</v>
      </c>
      <c r="G341" s="306" t="s">
        <v>420</v>
      </c>
      <c r="H341" s="306" t="s">
        <v>416</v>
      </c>
      <c r="I341" s="307" t="s">
        <v>49</v>
      </c>
      <c r="J341" s="37">
        <v>11.0</v>
      </c>
    </row>
    <row r="342">
      <c r="A342" s="303"/>
      <c r="B342" s="304" t="s">
        <v>394</v>
      </c>
      <c r="C342" s="37" t="s">
        <v>396</v>
      </c>
      <c r="D342" s="153" t="s">
        <v>406</v>
      </c>
      <c r="E342" s="153" t="s">
        <v>409</v>
      </c>
      <c r="F342" s="310" t="s">
        <v>1466</v>
      </c>
      <c r="G342" s="306" t="s">
        <v>422</v>
      </c>
      <c r="H342" s="306" t="s">
        <v>415</v>
      </c>
      <c r="I342" s="307" t="s">
        <v>49</v>
      </c>
      <c r="J342" s="37">
        <v>11.0</v>
      </c>
    </row>
    <row r="343">
      <c r="A343" s="303"/>
      <c r="B343" s="304" t="s">
        <v>394</v>
      </c>
      <c r="C343" s="37" t="s">
        <v>396</v>
      </c>
      <c r="D343" s="153" t="s">
        <v>406</v>
      </c>
      <c r="E343" s="153" t="s">
        <v>409</v>
      </c>
      <c r="F343" s="310" t="s">
        <v>1467</v>
      </c>
      <c r="G343" s="306" t="s">
        <v>422</v>
      </c>
      <c r="H343" s="306" t="s">
        <v>416</v>
      </c>
      <c r="I343" s="307" t="s">
        <v>49</v>
      </c>
      <c r="J343" s="37">
        <v>13.0</v>
      </c>
    </row>
    <row r="344">
      <c r="A344" s="312"/>
      <c r="B344" s="37" t="s">
        <v>1468</v>
      </c>
      <c r="C344" s="37" t="s">
        <v>1468</v>
      </c>
      <c r="D344" s="37"/>
      <c r="E344" s="37"/>
      <c r="F344" s="37"/>
      <c r="G344" s="306" t="s">
        <v>1468</v>
      </c>
      <c r="H344" s="306" t="s">
        <v>1468</v>
      </c>
      <c r="I344" s="173"/>
    </row>
    <row r="345">
      <c r="A345" s="303">
        <v>51.0</v>
      </c>
      <c r="B345" s="304" t="s">
        <v>394</v>
      </c>
      <c r="C345" s="37" t="s">
        <v>396</v>
      </c>
      <c r="D345" s="153" t="s">
        <v>406</v>
      </c>
      <c r="E345" s="153" t="s">
        <v>409</v>
      </c>
      <c r="F345" s="305" t="s">
        <v>1462</v>
      </c>
      <c r="G345" s="306" t="s">
        <v>418</v>
      </c>
      <c r="H345" s="306" t="s">
        <v>415</v>
      </c>
      <c r="I345" s="307" t="s">
        <v>53</v>
      </c>
      <c r="J345" s="37">
        <v>3.0</v>
      </c>
    </row>
    <row r="346">
      <c r="A346" s="303"/>
      <c r="B346" s="304" t="s">
        <v>394</v>
      </c>
      <c r="C346" s="37" t="s">
        <v>396</v>
      </c>
      <c r="D346" s="153" t="s">
        <v>406</v>
      </c>
      <c r="E346" s="153" t="s">
        <v>409</v>
      </c>
      <c r="F346" s="308" t="s">
        <v>1463</v>
      </c>
      <c r="G346" s="306" t="s">
        <v>418</v>
      </c>
      <c r="H346" s="306" t="s">
        <v>416</v>
      </c>
      <c r="I346" s="307" t="s">
        <v>53</v>
      </c>
      <c r="J346" s="37">
        <v>4.0</v>
      </c>
    </row>
    <row r="347">
      <c r="A347" s="303"/>
      <c r="B347" s="304" t="s">
        <v>394</v>
      </c>
      <c r="C347" s="37" t="s">
        <v>396</v>
      </c>
      <c r="D347" s="153" t="s">
        <v>406</v>
      </c>
      <c r="E347" s="153" t="s">
        <v>409</v>
      </c>
      <c r="F347" s="309" t="s">
        <v>1464</v>
      </c>
      <c r="G347" s="306" t="s">
        <v>420</v>
      </c>
      <c r="H347" s="306" t="s">
        <v>415</v>
      </c>
      <c r="I347" s="307" t="s">
        <v>53</v>
      </c>
      <c r="J347" s="37">
        <v>4.0</v>
      </c>
    </row>
    <row r="348">
      <c r="A348" s="303"/>
      <c r="B348" s="304" t="s">
        <v>394</v>
      </c>
      <c r="C348" s="37" t="s">
        <v>396</v>
      </c>
      <c r="D348" s="153" t="s">
        <v>406</v>
      </c>
      <c r="E348" s="153" t="s">
        <v>409</v>
      </c>
      <c r="F348" s="309" t="s">
        <v>1465</v>
      </c>
      <c r="G348" s="306" t="s">
        <v>420</v>
      </c>
      <c r="H348" s="306" t="s">
        <v>416</v>
      </c>
      <c r="I348" s="307" t="s">
        <v>53</v>
      </c>
      <c r="J348" s="37">
        <v>3.0</v>
      </c>
    </row>
    <row r="349">
      <c r="A349" s="303"/>
      <c r="B349" s="304" t="s">
        <v>394</v>
      </c>
      <c r="C349" s="37" t="s">
        <v>396</v>
      </c>
      <c r="D349" s="153" t="s">
        <v>406</v>
      </c>
      <c r="E349" s="153" t="s">
        <v>409</v>
      </c>
      <c r="F349" s="310" t="s">
        <v>1466</v>
      </c>
      <c r="G349" s="306" t="s">
        <v>422</v>
      </c>
      <c r="H349" s="306" t="s">
        <v>415</v>
      </c>
      <c r="I349" s="307" t="s">
        <v>53</v>
      </c>
      <c r="J349" s="37">
        <v>4.0</v>
      </c>
    </row>
    <row r="350">
      <c r="A350" s="303"/>
      <c r="B350" s="304" t="s">
        <v>394</v>
      </c>
      <c r="C350" s="37" t="s">
        <v>396</v>
      </c>
      <c r="D350" s="153" t="s">
        <v>406</v>
      </c>
      <c r="E350" s="153" t="s">
        <v>409</v>
      </c>
      <c r="F350" s="310" t="s">
        <v>1467</v>
      </c>
      <c r="G350" s="306" t="s">
        <v>422</v>
      </c>
      <c r="H350" s="306" t="s">
        <v>416</v>
      </c>
      <c r="I350" s="307" t="s">
        <v>53</v>
      </c>
      <c r="J350" s="37">
        <v>5.0</v>
      </c>
    </row>
    <row r="351">
      <c r="A351" s="312"/>
      <c r="B351" s="37" t="s">
        <v>1468</v>
      </c>
      <c r="C351" s="37" t="s">
        <v>1468</v>
      </c>
      <c r="D351" s="37"/>
      <c r="E351" s="37"/>
      <c r="F351" s="37"/>
      <c r="G351" s="306" t="s">
        <v>1468</v>
      </c>
      <c r="H351" s="306" t="s">
        <v>1468</v>
      </c>
      <c r="I351" s="173"/>
    </row>
    <row r="352">
      <c r="A352" s="303">
        <v>52.0</v>
      </c>
      <c r="B352" s="304" t="s">
        <v>394</v>
      </c>
      <c r="C352" s="37" t="s">
        <v>396</v>
      </c>
      <c r="D352" s="153" t="s">
        <v>406</v>
      </c>
      <c r="E352" s="153" t="s">
        <v>410</v>
      </c>
      <c r="F352" s="305" t="s">
        <v>1462</v>
      </c>
      <c r="G352" s="306" t="s">
        <v>418</v>
      </c>
      <c r="H352" s="306" t="s">
        <v>415</v>
      </c>
      <c r="I352" s="307">
        <v>86809.0</v>
      </c>
      <c r="J352" s="37">
        <v>0.0</v>
      </c>
    </row>
    <row r="353">
      <c r="A353" s="303"/>
      <c r="B353" s="304" t="s">
        <v>394</v>
      </c>
      <c r="C353" s="37" t="s">
        <v>396</v>
      </c>
      <c r="D353" s="153" t="s">
        <v>406</v>
      </c>
      <c r="E353" s="153" t="s">
        <v>410</v>
      </c>
      <c r="F353" s="308" t="s">
        <v>1463</v>
      </c>
      <c r="G353" s="306" t="s">
        <v>418</v>
      </c>
      <c r="H353" s="306" t="s">
        <v>416</v>
      </c>
      <c r="I353" s="307">
        <v>86809.0</v>
      </c>
      <c r="J353" s="37">
        <v>0.0</v>
      </c>
    </row>
    <row r="354">
      <c r="A354" s="303"/>
      <c r="B354" s="304" t="s">
        <v>394</v>
      </c>
      <c r="C354" s="37" t="s">
        <v>396</v>
      </c>
      <c r="D354" s="153" t="s">
        <v>406</v>
      </c>
      <c r="E354" s="153" t="s">
        <v>410</v>
      </c>
      <c r="F354" s="309" t="s">
        <v>1464</v>
      </c>
      <c r="G354" s="306" t="s">
        <v>420</v>
      </c>
      <c r="H354" s="306" t="s">
        <v>415</v>
      </c>
      <c r="I354" s="307">
        <v>86809.0</v>
      </c>
      <c r="J354" s="37">
        <v>1.0</v>
      </c>
    </row>
    <row r="355">
      <c r="A355" s="303"/>
      <c r="B355" s="304" t="s">
        <v>394</v>
      </c>
      <c r="C355" s="37" t="s">
        <v>396</v>
      </c>
      <c r="D355" s="153" t="s">
        <v>406</v>
      </c>
      <c r="E355" s="153" t="s">
        <v>410</v>
      </c>
      <c r="F355" s="309" t="s">
        <v>1465</v>
      </c>
      <c r="G355" s="306" t="s">
        <v>420</v>
      </c>
      <c r="H355" s="306" t="s">
        <v>416</v>
      </c>
      <c r="I355" s="307">
        <v>86809.0</v>
      </c>
      <c r="J355" s="37">
        <v>1.0</v>
      </c>
    </row>
    <row r="356">
      <c r="A356" s="303"/>
      <c r="B356" s="304" t="s">
        <v>394</v>
      </c>
      <c r="C356" s="37" t="s">
        <v>396</v>
      </c>
      <c r="D356" s="153" t="s">
        <v>406</v>
      </c>
      <c r="E356" s="153" t="s">
        <v>410</v>
      </c>
      <c r="F356" s="310" t="s">
        <v>1466</v>
      </c>
      <c r="G356" s="306" t="s">
        <v>422</v>
      </c>
      <c r="H356" s="306" t="s">
        <v>415</v>
      </c>
      <c r="I356" s="307">
        <v>86809.0</v>
      </c>
      <c r="J356" s="37">
        <v>0.0</v>
      </c>
    </row>
    <row r="357">
      <c r="A357" s="303"/>
      <c r="B357" s="304" t="s">
        <v>394</v>
      </c>
      <c r="C357" s="37" t="s">
        <v>396</v>
      </c>
      <c r="D357" s="153" t="s">
        <v>406</v>
      </c>
      <c r="E357" s="153" t="s">
        <v>410</v>
      </c>
      <c r="F357" s="310" t="s">
        <v>1467</v>
      </c>
      <c r="G357" s="306" t="s">
        <v>422</v>
      </c>
      <c r="H357" s="306" t="s">
        <v>416</v>
      </c>
      <c r="I357" s="307">
        <v>86809.0</v>
      </c>
      <c r="J357" s="37">
        <v>1.0</v>
      </c>
    </row>
    <row r="358">
      <c r="A358" s="312"/>
      <c r="B358" s="37" t="s">
        <v>1468</v>
      </c>
      <c r="C358" s="37" t="s">
        <v>1468</v>
      </c>
      <c r="D358" s="37"/>
      <c r="E358" s="37"/>
      <c r="F358" s="37"/>
      <c r="G358" s="306" t="s">
        <v>1468</v>
      </c>
      <c r="H358" s="306" t="s">
        <v>1468</v>
      </c>
      <c r="I358" s="173"/>
    </row>
    <row r="359">
      <c r="A359" s="303">
        <v>53.0</v>
      </c>
      <c r="B359" s="304" t="s">
        <v>394</v>
      </c>
      <c r="C359" s="37" t="s">
        <v>396</v>
      </c>
      <c r="D359" s="153" t="s">
        <v>406</v>
      </c>
      <c r="E359" s="153" t="s">
        <v>410</v>
      </c>
      <c r="F359" s="305" t="s">
        <v>1462</v>
      </c>
      <c r="G359" s="306" t="s">
        <v>418</v>
      </c>
      <c r="H359" s="306" t="s">
        <v>415</v>
      </c>
      <c r="I359" s="307">
        <v>88327.0</v>
      </c>
      <c r="J359" s="37">
        <v>1.0</v>
      </c>
    </row>
    <row r="360">
      <c r="A360" s="303"/>
      <c r="B360" s="304" t="s">
        <v>394</v>
      </c>
      <c r="C360" s="37" t="s">
        <v>396</v>
      </c>
      <c r="D360" s="153" t="s">
        <v>406</v>
      </c>
      <c r="E360" s="153" t="s">
        <v>410</v>
      </c>
      <c r="F360" s="308" t="s">
        <v>1463</v>
      </c>
      <c r="G360" s="306" t="s">
        <v>418</v>
      </c>
      <c r="H360" s="306" t="s">
        <v>416</v>
      </c>
      <c r="I360" s="307">
        <v>88327.0</v>
      </c>
      <c r="J360" s="37">
        <v>1.0</v>
      </c>
    </row>
    <row r="361">
      <c r="A361" s="303"/>
      <c r="B361" s="304" t="s">
        <v>394</v>
      </c>
      <c r="C361" s="37" t="s">
        <v>396</v>
      </c>
      <c r="D361" s="153" t="s">
        <v>406</v>
      </c>
      <c r="E361" s="153" t="s">
        <v>410</v>
      </c>
      <c r="F361" s="309" t="s">
        <v>1464</v>
      </c>
      <c r="G361" s="306" t="s">
        <v>420</v>
      </c>
      <c r="H361" s="306" t="s">
        <v>415</v>
      </c>
      <c r="I361" s="307">
        <v>88327.0</v>
      </c>
      <c r="J361" s="37">
        <v>1.0</v>
      </c>
    </row>
    <row r="362">
      <c r="A362" s="303"/>
      <c r="B362" s="304" t="s">
        <v>394</v>
      </c>
      <c r="C362" s="37" t="s">
        <v>396</v>
      </c>
      <c r="D362" s="153" t="s">
        <v>406</v>
      </c>
      <c r="E362" s="153" t="s">
        <v>410</v>
      </c>
      <c r="F362" s="309" t="s">
        <v>1465</v>
      </c>
      <c r="G362" s="306" t="s">
        <v>420</v>
      </c>
      <c r="H362" s="306" t="s">
        <v>416</v>
      </c>
      <c r="I362" s="307">
        <v>88327.0</v>
      </c>
      <c r="J362" s="37">
        <v>1.0</v>
      </c>
    </row>
    <row r="363">
      <c r="A363" s="303"/>
      <c r="B363" s="304" t="s">
        <v>394</v>
      </c>
      <c r="C363" s="37" t="s">
        <v>396</v>
      </c>
      <c r="D363" s="153" t="s">
        <v>406</v>
      </c>
      <c r="E363" s="153" t="s">
        <v>410</v>
      </c>
      <c r="F363" s="310" t="s">
        <v>1466</v>
      </c>
      <c r="G363" s="306" t="s">
        <v>422</v>
      </c>
      <c r="H363" s="306" t="s">
        <v>415</v>
      </c>
      <c r="I363" s="307">
        <v>88327.0</v>
      </c>
      <c r="J363" s="37">
        <v>0.0</v>
      </c>
    </row>
    <row r="364">
      <c r="A364" s="303"/>
      <c r="B364" s="304" t="s">
        <v>394</v>
      </c>
      <c r="C364" s="37" t="s">
        <v>396</v>
      </c>
      <c r="D364" s="153" t="s">
        <v>406</v>
      </c>
      <c r="E364" s="153" t="s">
        <v>410</v>
      </c>
      <c r="F364" s="310" t="s">
        <v>1467</v>
      </c>
      <c r="G364" s="306" t="s">
        <v>422</v>
      </c>
      <c r="H364" s="306" t="s">
        <v>416</v>
      </c>
      <c r="I364" s="307">
        <v>88327.0</v>
      </c>
      <c r="J364" s="37">
        <v>1.0</v>
      </c>
    </row>
    <row r="365">
      <c r="A365" s="312"/>
      <c r="B365" s="37" t="s">
        <v>1468</v>
      </c>
      <c r="C365" s="37" t="s">
        <v>1468</v>
      </c>
      <c r="D365" s="37"/>
      <c r="E365" s="37"/>
      <c r="F365" s="37"/>
      <c r="G365" s="306" t="s">
        <v>1468</v>
      </c>
      <c r="H365" s="306" t="s">
        <v>1468</v>
      </c>
      <c r="I365" s="173"/>
    </row>
    <row r="366">
      <c r="A366" s="303">
        <v>54.0</v>
      </c>
      <c r="B366" s="304" t="s">
        <v>394</v>
      </c>
      <c r="C366" s="37" t="s">
        <v>396</v>
      </c>
      <c r="D366" s="153" t="s">
        <v>406</v>
      </c>
      <c r="E366" s="153" t="s">
        <v>410</v>
      </c>
      <c r="F366" s="305" t="s">
        <v>1462</v>
      </c>
      <c r="G366" s="306" t="s">
        <v>418</v>
      </c>
      <c r="H366" s="306" t="s">
        <v>415</v>
      </c>
      <c r="I366" s="307" t="s">
        <v>338</v>
      </c>
      <c r="J366" s="37">
        <v>3.0</v>
      </c>
    </row>
    <row r="367">
      <c r="A367" s="303"/>
      <c r="B367" s="304" t="s">
        <v>394</v>
      </c>
      <c r="C367" s="37" t="s">
        <v>396</v>
      </c>
      <c r="D367" s="153" t="s">
        <v>406</v>
      </c>
      <c r="E367" s="153" t="s">
        <v>410</v>
      </c>
      <c r="F367" s="308" t="s">
        <v>1463</v>
      </c>
      <c r="G367" s="306" t="s">
        <v>418</v>
      </c>
      <c r="H367" s="306" t="s">
        <v>416</v>
      </c>
      <c r="I367" s="307" t="s">
        <v>338</v>
      </c>
      <c r="J367" s="37">
        <v>2.0</v>
      </c>
    </row>
    <row r="368">
      <c r="A368" s="303"/>
      <c r="B368" s="304" t="s">
        <v>394</v>
      </c>
      <c r="C368" s="37" t="s">
        <v>396</v>
      </c>
      <c r="D368" s="153" t="s">
        <v>406</v>
      </c>
      <c r="E368" s="153" t="s">
        <v>410</v>
      </c>
      <c r="F368" s="309" t="s">
        <v>1464</v>
      </c>
      <c r="G368" s="306" t="s">
        <v>420</v>
      </c>
      <c r="H368" s="306" t="s">
        <v>415</v>
      </c>
      <c r="I368" s="307" t="s">
        <v>338</v>
      </c>
      <c r="J368" s="37">
        <v>1.0</v>
      </c>
    </row>
    <row r="369">
      <c r="A369" s="303"/>
      <c r="B369" s="304" t="s">
        <v>394</v>
      </c>
      <c r="C369" s="37" t="s">
        <v>396</v>
      </c>
      <c r="D369" s="153" t="s">
        <v>406</v>
      </c>
      <c r="E369" s="153" t="s">
        <v>410</v>
      </c>
      <c r="F369" s="309" t="s">
        <v>1465</v>
      </c>
      <c r="G369" s="306" t="s">
        <v>420</v>
      </c>
      <c r="H369" s="306" t="s">
        <v>416</v>
      </c>
      <c r="I369" s="307" t="s">
        <v>338</v>
      </c>
      <c r="J369" s="37">
        <v>1.0</v>
      </c>
    </row>
    <row r="370">
      <c r="A370" s="303"/>
      <c r="B370" s="304" t="s">
        <v>394</v>
      </c>
      <c r="C370" s="37" t="s">
        <v>396</v>
      </c>
      <c r="D370" s="153" t="s">
        <v>406</v>
      </c>
      <c r="E370" s="153" t="s">
        <v>410</v>
      </c>
      <c r="F370" s="310" t="s">
        <v>1466</v>
      </c>
      <c r="G370" s="306" t="s">
        <v>422</v>
      </c>
      <c r="H370" s="306" t="s">
        <v>415</v>
      </c>
      <c r="I370" s="307" t="s">
        <v>338</v>
      </c>
      <c r="J370" s="37">
        <v>1.0</v>
      </c>
    </row>
    <row r="371">
      <c r="A371" s="303"/>
      <c r="B371" s="304" t="s">
        <v>394</v>
      </c>
      <c r="C371" s="37" t="s">
        <v>396</v>
      </c>
      <c r="D371" s="153" t="s">
        <v>406</v>
      </c>
      <c r="E371" s="153" t="s">
        <v>410</v>
      </c>
      <c r="F371" s="310" t="s">
        <v>1467</v>
      </c>
      <c r="G371" s="306" t="s">
        <v>422</v>
      </c>
      <c r="H371" s="306" t="s">
        <v>416</v>
      </c>
      <c r="I371" s="307" t="s">
        <v>338</v>
      </c>
      <c r="J371" s="37">
        <v>3.0</v>
      </c>
    </row>
    <row r="372">
      <c r="A372" s="312"/>
      <c r="B372" s="37" t="s">
        <v>1468</v>
      </c>
      <c r="C372" s="37" t="s">
        <v>1468</v>
      </c>
      <c r="D372" s="37"/>
      <c r="E372" s="37"/>
      <c r="F372" s="37"/>
      <c r="G372" s="306" t="s">
        <v>1468</v>
      </c>
      <c r="H372" s="306" t="s">
        <v>1468</v>
      </c>
      <c r="I372" s="173"/>
    </row>
    <row r="373">
      <c r="A373" s="303">
        <v>55.0</v>
      </c>
      <c r="B373" s="304" t="s">
        <v>394</v>
      </c>
      <c r="C373" s="37" t="s">
        <v>396</v>
      </c>
      <c r="D373" s="153" t="s">
        <v>406</v>
      </c>
      <c r="E373" s="153" t="s">
        <v>410</v>
      </c>
      <c r="F373" s="305" t="s">
        <v>1462</v>
      </c>
      <c r="G373" s="306" t="s">
        <v>418</v>
      </c>
      <c r="H373" s="306" t="s">
        <v>415</v>
      </c>
      <c r="I373" s="307" t="s">
        <v>339</v>
      </c>
      <c r="J373" s="37">
        <v>1.0</v>
      </c>
    </row>
    <row r="374">
      <c r="A374" s="303"/>
      <c r="B374" s="304" t="s">
        <v>394</v>
      </c>
      <c r="C374" s="37" t="s">
        <v>396</v>
      </c>
      <c r="D374" s="153" t="s">
        <v>406</v>
      </c>
      <c r="E374" s="153" t="s">
        <v>410</v>
      </c>
      <c r="F374" s="308" t="s">
        <v>1463</v>
      </c>
      <c r="G374" s="306" t="s">
        <v>418</v>
      </c>
      <c r="H374" s="306" t="s">
        <v>416</v>
      </c>
      <c r="I374" s="307" t="s">
        <v>339</v>
      </c>
      <c r="J374" s="37">
        <v>1.0</v>
      </c>
    </row>
    <row r="375">
      <c r="A375" s="303"/>
      <c r="B375" s="304" t="s">
        <v>394</v>
      </c>
      <c r="C375" s="37" t="s">
        <v>396</v>
      </c>
      <c r="D375" s="153" t="s">
        <v>406</v>
      </c>
      <c r="E375" s="153" t="s">
        <v>410</v>
      </c>
      <c r="F375" s="309" t="s">
        <v>1464</v>
      </c>
      <c r="G375" s="306" t="s">
        <v>420</v>
      </c>
      <c r="H375" s="306" t="s">
        <v>415</v>
      </c>
      <c r="I375" s="307" t="s">
        <v>339</v>
      </c>
      <c r="J375" s="37">
        <v>1.0</v>
      </c>
    </row>
    <row r="376">
      <c r="A376" s="303"/>
      <c r="B376" s="304" t="s">
        <v>394</v>
      </c>
      <c r="C376" s="37" t="s">
        <v>396</v>
      </c>
      <c r="D376" s="153" t="s">
        <v>406</v>
      </c>
      <c r="E376" s="153" t="s">
        <v>410</v>
      </c>
      <c r="F376" s="309" t="s">
        <v>1465</v>
      </c>
      <c r="G376" s="306" t="s">
        <v>420</v>
      </c>
      <c r="H376" s="306" t="s">
        <v>416</v>
      </c>
      <c r="I376" s="307" t="s">
        <v>339</v>
      </c>
      <c r="J376" s="37">
        <v>1.0</v>
      </c>
    </row>
    <row r="377">
      <c r="A377" s="303"/>
      <c r="B377" s="304" t="s">
        <v>394</v>
      </c>
      <c r="C377" s="37" t="s">
        <v>396</v>
      </c>
      <c r="D377" s="153" t="s">
        <v>406</v>
      </c>
      <c r="E377" s="153" t="s">
        <v>410</v>
      </c>
      <c r="F377" s="310" t="s">
        <v>1466</v>
      </c>
      <c r="G377" s="306" t="s">
        <v>422</v>
      </c>
      <c r="H377" s="306" t="s">
        <v>415</v>
      </c>
      <c r="I377" s="307" t="s">
        <v>339</v>
      </c>
      <c r="J377" s="37">
        <v>1.0</v>
      </c>
    </row>
    <row r="378">
      <c r="A378" s="303"/>
      <c r="B378" s="304" t="s">
        <v>394</v>
      </c>
      <c r="C378" s="37" t="s">
        <v>396</v>
      </c>
      <c r="D378" s="153" t="s">
        <v>406</v>
      </c>
      <c r="E378" s="153" t="s">
        <v>410</v>
      </c>
      <c r="F378" s="310" t="s">
        <v>1467</v>
      </c>
      <c r="G378" s="306" t="s">
        <v>422</v>
      </c>
      <c r="H378" s="306" t="s">
        <v>416</v>
      </c>
      <c r="I378" s="307" t="s">
        <v>339</v>
      </c>
      <c r="J378" s="37">
        <v>0.0</v>
      </c>
    </row>
    <row r="379">
      <c r="A379" s="312"/>
      <c r="B379" s="37" t="s">
        <v>1468</v>
      </c>
      <c r="C379" s="37" t="s">
        <v>1468</v>
      </c>
      <c r="D379" s="37"/>
      <c r="E379" s="37"/>
      <c r="F379" s="37"/>
      <c r="G379" s="306" t="s">
        <v>1468</v>
      </c>
      <c r="H379" s="306" t="s">
        <v>1468</v>
      </c>
      <c r="I379" s="173"/>
    </row>
    <row r="380">
      <c r="A380" s="303">
        <v>56.0</v>
      </c>
      <c r="B380" s="304" t="s">
        <v>394</v>
      </c>
      <c r="C380" s="37" t="s">
        <v>396</v>
      </c>
      <c r="D380" s="153" t="s">
        <v>406</v>
      </c>
      <c r="E380" s="153" t="s">
        <v>410</v>
      </c>
      <c r="F380" s="305" t="s">
        <v>1462</v>
      </c>
      <c r="G380" s="306" t="s">
        <v>418</v>
      </c>
      <c r="H380" s="306" t="s">
        <v>415</v>
      </c>
      <c r="I380" s="307" t="s">
        <v>1469</v>
      </c>
      <c r="J380" s="37">
        <v>1.0</v>
      </c>
    </row>
    <row r="381">
      <c r="A381" s="303"/>
      <c r="B381" s="304" t="s">
        <v>394</v>
      </c>
      <c r="C381" s="37" t="s">
        <v>396</v>
      </c>
      <c r="D381" s="153" t="s">
        <v>406</v>
      </c>
      <c r="E381" s="153" t="s">
        <v>410</v>
      </c>
      <c r="F381" s="308" t="s">
        <v>1463</v>
      </c>
      <c r="G381" s="306" t="s">
        <v>418</v>
      </c>
      <c r="H381" s="306" t="s">
        <v>416</v>
      </c>
      <c r="I381" s="307" t="s">
        <v>1469</v>
      </c>
      <c r="J381" s="37">
        <v>4.0</v>
      </c>
    </row>
    <row r="382">
      <c r="A382" s="303"/>
      <c r="B382" s="304" t="s">
        <v>394</v>
      </c>
      <c r="C382" s="37" t="s">
        <v>396</v>
      </c>
      <c r="D382" s="153" t="s">
        <v>406</v>
      </c>
      <c r="E382" s="153" t="s">
        <v>410</v>
      </c>
      <c r="F382" s="309" t="s">
        <v>1464</v>
      </c>
      <c r="G382" s="306" t="s">
        <v>420</v>
      </c>
      <c r="H382" s="306" t="s">
        <v>415</v>
      </c>
      <c r="I382" s="307" t="s">
        <v>1469</v>
      </c>
      <c r="J382" s="37">
        <v>3.0</v>
      </c>
    </row>
    <row r="383">
      <c r="A383" s="303"/>
      <c r="B383" s="304" t="s">
        <v>394</v>
      </c>
      <c r="C383" s="37" t="s">
        <v>396</v>
      </c>
      <c r="D383" s="153" t="s">
        <v>406</v>
      </c>
      <c r="E383" s="153" t="s">
        <v>410</v>
      </c>
      <c r="F383" s="309" t="s">
        <v>1465</v>
      </c>
      <c r="G383" s="306" t="s">
        <v>420</v>
      </c>
      <c r="H383" s="306" t="s">
        <v>416</v>
      </c>
      <c r="I383" s="307" t="s">
        <v>1469</v>
      </c>
      <c r="J383" s="37">
        <v>2.0</v>
      </c>
    </row>
    <row r="384">
      <c r="A384" s="303"/>
      <c r="B384" s="304" t="s">
        <v>394</v>
      </c>
      <c r="C384" s="37" t="s">
        <v>396</v>
      </c>
      <c r="D384" s="153" t="s">
        <v>406</v>
      </c>
      <c r="E384" s="153" t="s">
        <v>410</v>
      </c>
      <c r="F384" s="310" t="s">
        <v>1466</v>
      </c>
      <c r="G384" s="306" t="s">
        <v>422</v>
      </c>
      <c r="H384" s="306" t="s">
        <v>415</v>
      </c>
      <c r="I384" s="307" t="s">
        <v>1469</v>
      </c>
      <c r="J384" s="37">
        <v>3.0</v>
      </c>
    </row>
    <row r="385">
      <c r="A385" s="303"/>
      <c r="B385" s="304" t="s">
        <v>394</v>
      </c>
      <c r="C385" s="37" t="s">
        <v>396</v>
      </c>
      <c r="D385" s="153" t="s">
        <v>406</v>
      </c>
      <c r="E385" s="153" t="s">
        <v>410</v>
      </c>
      <c r="F385" s="310" t="s">
        <v>1467</v>
      </c>
      <c r="G385" s="306" t="s">
        <v>422</v>
      </c>
      <c r="H385" s="306" t="s">
        <v>416</v>
      </c>
      <c r="I385" s="307" t="s">
        <v>1469</v>
      </c>
      <c r="J385" s="37">
        <v>1.0</v>
      </c>
    </row>
    <row r="386">
      <c r="A386" s="312"/>
      <c r="B386" s="37" t="s">
        <v>1468</v>
      </c>
      <c r="C386" s="37" t="s">
        <v>1468</v>
      </c>
      <c r="D386" s="37"/>
      <c r="E386" s="37"/>
      <c r="F386" s="37"/>
      <c r="G386" s="306" t="s">
        <v>1468</v>
      </c>
      <c r="H386" s="306" t="s">
        <v>1468</v>
      </c>
      <c r="I386" s="173"/>
    </row>
    <row r="387">
      <c r="A387" s="303">
        <v>57.0</v>
      </c>
      <c r="B387" s="304" t="s">
        <v>394</v>
      </c>
      <c r="C387" s="37" t="s">
        <v>396</v>
      </c>
      <c r="D387" s="153" t="s">
        <v>406</v>
      </c>
      <c r="E387" s="153" t="s">
        <v>410</v>
      </c>
      <c r="F387" s="305" t="s">
        <v>1462</v>
      </c>
      <c r="G387" s="306" t="s">
        <v>418</v>
      </c>
      <c r="H387" s="306" t="s">
        <v>415</v>
      </c>
      <c r="I387" s="307" t="s">
        <v>342</v>
      </c>
      <c r="J387" s="37">
        <v>1.0</v>
      </c>
    </row>
    <row r="388">
      <c r="A388" s="303"/>
      <c r="B388" s="304" t="s">
        <v>394</v>
      </c>
      <c r="C388" s="37" t="s">
        <v>396</v>
      </c>
      <c r="D388" s="153" t="s">
        <v>406</v>
      </c>
      <c r="E388" s="153" t="s">
        <v>410</v>
      </c>
      <c r="F388" s="308" t="s">
        <v>1463</v>
      </c>
      <c r="G388" s="306" t="s">
        <v>418</v>
      </c>
      <c r="H388" s="306" t="s">
        <v>416</v>
      </c>
      <c r="I388" s="307" t="s">
        <v>342</v>
      </c>
      <c r="J388" s="37">
        <v>1.0</v>
      </c>
    </row>
    <row r="389">
      <c r="A389" s="303"/>
      <c r="B389" s="304" t="s">
        <v>394</v>
      </c>
      <c r="C389" s="37" t="s">
        <v>396</v>
      </c>
      <c r="D389" s="153" t="s">
        <v>406</v>
      </c>
      <c r="E389" s="153" t="s">
        <v>410</v>
      </c>
      <c r="F389" s="309" t="s">
        <v>1464</v>
      </c>
      <c r="G389" s="306" t="s">
        <v>420</v>
      </c>
      <c r="H389" s="306" t="s">
        <v>415</v>
      </c>
      <c r="I389" s="307" t="s">
        <v>342</v>
      </c>
      <c r="J389" s="37">
        <v>0.0</v>
      </c>
    </row>
    <row r="390">
      <c r="A390" s="303"/>
      <c r="B390" s="304" t="s">
        <v>394</v>
      </c>
      <c r="C390" s="37" t="s">
        <v>396</v>
      </c>
      <c r="D390" s="153" t="s">
        <v>406</v>
      </c>
      <c r="E390" s="153" t="s">
        <v>410</v>
      </c>
      <c r="F390" s="309" t="s">
        <v>1465</v>
      </c>
      <c r="G390" s="306" t="s">
        <v>420</v>
      </c>
      <c r="H390" s="306" t="s">
        <v>416</v>
      </c>
      <c r="I390" s="307" t="s">
        <v>342</v>
      </c>
      <c r="J390" s="37">
        <v>3.0</v>
      </c>
    </row>
    <row r="391">
      <c r="A391" s="303"/>
      <c r="B391" s="304" t="s">
        <v>394</v>
      </c>
      <c r="C391" s="37" t="s">
        <v>396</v>
      </c>
      <c r="D391" s="153" t="s">
        <v>406</v>
      </c>
      <c r="E391" s="153" t="s">
        <v>410</v>
      </c>
      <c r="F391" s="310" t="s">
        <v>1466</v>
      </c>
      <c r="G391" s="306" t="s">
        <v>422</v>
      </c>
      <c r="H391" s="306" t="s">
        <v>415</v>
      </c>
      <c r="I391" s="307" t="s">
        <v>342</v>
      </c>
      <c r="J391" s="37">
        <v>1.0</v>
      </c>
    </row>
    <row r="392">
      <c r="A392" s="303"/>
      <c r="B392" s="304" t="s">
        <v>394</v>
      </c>
      <c r="C392" s="37" t="s">
        <v>396</v>
      </c>
      <c r="D392" s="153" t="s">
        <v>406</v>
      </c>
      <c r="E392" s="153" t="s">
        <v>410</v>
      </c>
      <c r="F392" s="310" t="s">
        <v>1467</v>
      </c>
      <c r="G392" s="306" t="s">
        <v>422</v>
      </c>
      <c r="H392" s="306" t="s">
        <v>416</v>
      </c>
      <c r="I392" s="307" t="s">
        <v>342</v>
      </c>
      <c r="J392" s="37">
        <v>1.0</v>
      </c>
    </row>
    <row r="393">
      <c r="A393" s="312"/>
      <c r="B393" s="37" t="s">
        <v>1468</v>
      </c>
      <c r="C393" s="37" t="s">
        <v>1468</v>
      </c>
      <c r="D393" s="37"/>
      <c r="E393" s="37"/>
      <c r="F393" s="37"/>
      <c r="G393" s="306" t="s">
        <v>1468</v>
      </c>
      <c r="H393" s="306" t="s">
        <v>1468</v>
      </c>
      <c r="I393" s="173"/>
    </row>
    <row r="394">
      <c r="A394" s="303">
        <v>58.0</v>
      </c>
      <c r="B394" s="304" t="s">
        <v>394</v>
      </c>
      <c r="C394" s="37" t="s">
        <v>396</v>
      </c>
      <c r="D394" s="153" t="s">
        <v>406</v>
      </c>
      <c r="E394" s="153" t="s">
        <v>411</v>
      </c>
      <c r="F394" s="305" t="s">
        <v>1462</v>
      </c>
      <c r="G394" s="306" t="s">
        <v>418</v>
      </c>
      <c r="H394" s="306" t="s">
        <v>415</v>
      </c>
      <c r="I394" s="307">
        <v>64028.0</v>
      </c>
      <c r="J394" s="37">
        <v>1.0</v>
      </c>
    </row>
    <row r="395">
      <c r="A395" s="303"/>
      <c r="B395" s="304" t="s">
        <v>394</v>
      </c>
      <c r="C395" s="37" t="s">
        <v>396</v>
      </c>
      <c r="D395" s="153" t="s">
        <v>406</v>
      </c>
      <c r="E395" s="153" t="s">
        <v>411</v>
      </c>
      <c r="F395" s="308" t="s">
        <v>1463</v>
      </c>
      <c r="G395" s="306" t="s">
        <v>418</v>
      </c>
      <c r="H395" s="306" t="s">
        <v>416</v>
      </c>
      <c r="I395" s="307">
        <v>64028.0</v>
      </c>
      <c r="J395" s="37">
        <v>2.0</v>
      </c>
    </row>
    <row r="396">
      <c r="A396" s="303"/>
      <c r="B396" s="304" t="s">
        <v>394</v>
      </c>
      <c r="C396" s="37" t="s">
        <v>396</v>
      </c>
      <c r="D396" s="153" t="s">
        <v>406</v>
      </c>
      <c r="E396" s="153" t="s">
        <v>411</v>
      </c>
      <c r="F396" s="309" t="s">
        <v>1464</v>
      </c>
      <c r="G396" s="306" t="s">
        <v>420</v>
      </c>
      <c r="H396" s="306" t="s">
        <v>415</v>
      </c>
      <c r="I396" s="307">
        <v>64028.0</v>
      </c>
      <c r="J396" s="37">
        <v>2.0</v>
      </c>
    </row>
    <row r="397">
      <c r="A397" s="303"/>
      <c r="B397" s="304" t="s">
        <v>394</v>
      </c>
      <c r="C397" s="37" t="s">
        <v>396</v>
      </c>
      <c r="D397" s="153" t="s">
        <v>406</v>
      </c>
      <c r="E397" s="153" t="s">
        <v>411</v>
      </c>
      <c r="F397" s="309" t="s">
        <v>1465</v>
      </c>
      <c r="G397" s="306" t="s">
        <v>420</v>
      </c>
      <c r="H397" s="306" t="s">
        <v>416</v>
      </c>
      <c r="I397" s="307">
        <v>64028.0</v>
      </c>
      <c r="J397" s="37">
        <v>2.0</v>
      </c>
    </row>
    <row r="398">
      <c r="A398" s="303"/>
      <c r="B398" s="304" t="s">
        <v>394</v>
      </c>
      <c r="C398" s="37" t="s">
        <v>396</v>
      </c>
      <c r="D398" s="153" t="s">
        <v>406</v>
      </c>
      <c r="E398" s="153" t="s">
        <v>411</v>
      </c>
      <c r="F398" s="310" t="s">
        <v>1466</v>
      </c>
      <c r="G398" s="306" t="s">
        <v>422</v>
      </c>
      <c r="H398" s="306" t="s">
        <v>415</v>
      </c>
      <c r="I398" s="307">
        <v>64028.0</v>
      </c>
      <c r="J398" s="37">
        <v>2.0</v>
      </c>
    </row>
    <row r="399">
      <c r="A399" s="303"/>
      <c r="B399" s="304" t="s">
        <v>394</v>
      </c>
      <c r="C399" s="37" t="s">
        <v>396</v>
      </c>
      <c r="D399" s="153" t="s">
        <v>406</v>
      </c>
      <c r="E399" s="153" t="s">
        <v>411</v>
      </c>
      <c r="F399" s="310" t="s">
        <v>1467</v>
      </c>
      <c r="G399" s="306" t="s">
        <v>422</v>
      </c>
      <c r="H399" s="306" t="s">
        <v>416</v>
      </c>
      <c r="I399" s="307">
        <v>64028.0</v>
      </c>
      <c r="J399" s="37">
        <v>2.0</v>
      </c>
    </row>
    <row r="400">
      <c r="A400" s="312"/>
      <c r="B400" s="37" t="s">
        <v>1468</v>
      </c>
      <c r="C400" s="37" t="s">
        <v>1468</v>
      </c>
      <c r="D400" s="37"/>
      <c r="E400" s="37"/>
      <c r="F400" s="37"/>
      <c r="G400" s="306" t="s">
        <v>1468</v>
      </c>
      <c r="H400" s="306" t="s">
        <v>1468</v>
      </c>
      <c r="I400" s="173"/>
    </row>
    <row r="401">
      <c r="A401" s="303">
        <v>59.0</v>
      </c>
      <c r="B401" s="304" t="s">
        <v>394</v>
      </c>
      <c r="C401" s="37" t="s">
        <v>396</v>
      </c>
      <c r="D401" s="153" t="s">
        <v>406</v>
      </c>
      <c r="E401" s="153" t="s">
        <v>411</v>
      </c>
      <c r="F401" s="313" t="s">
        <v>1462</v>
      </c>
      <c r="G401" s="306" t="s">
        <v>418</v>
      </c>
      <c r="H401" s="306" t="s">
        <v>415</v>
      </c>
      <c r="I401" s="307">
        <v>64048.0</v>
      </c>
      <c r="J401" s="37">
        <v>1.0</v>
      </c>
    </row>
    <row r="402">
      <c r="A402" s="303"/>
      <c r="B402" s="304" t="s">
        <v>394</v>
      </c>
      <c r="C402" s="37" t="s">
        <v>396</v>
      </c>
      <c r="D402" s="153" t="s">
        <v>406</v>
      </c>
      <c r="E402" s="153" t="s">
        <v>411</v>
      </c>
      <c r="F402" s="308" t="s">
        <v>1463</v>
      </c>
      <c r="G402" s="306" t="s">
        <v>418</v>
      </c>
      <c r="H402" s="306" t="s">
        <v>416</v>
      </c>
      <c r="I402" s="307">
        <v>64048.0</v>
      </c>
      <c r="J402" s="37">
        <v>1.0</v>
      </c>
    </row>
    <row r="403">
      <c r="A403" s="303"/>
      <c r="B403" s="304" t="s">
        <v>394</v>
      </c>
      <c r="C403" s="37" t="s">
        <v>396</v>
      </c>
      <c r="D403" s="153" t="s">
        <v>406</v>
      </c>
      <c r="E403" s="153" t="s">
        <v>411</v>
      </c>
      <c r="F403" s="309" t="s">
        <v>1464</v>
      </c>
      <c r="G403" s="306" t="s">
        <v>420</v>
      </c>
      <c r="H403" s="306" t="s">
        <v>415</v>
      </c>
      <c r="I403" s="307">
        <v>64048.0</v>
      </c>
      <c r="J403" s="37">
        <v>1.0</v>
      </c>
    </row>
    <row r="404">
      <c r="A404" s="303"/>
      <c r="B404" s="304" t="s">
        <v>394</v>
      </c>
      <c r="C404" s="37" t="s">
        <v>396</v>
      </c>
      <c r="D404" s="153" t="s">
        <v>406</v>
      </c>
      <c r="E404" s="153" t="s">
        <v>411</v>
      </c>
      <c r="F404" s="309" t="s">
        <v>1465</v>
      </c>
      <c r="G404" s="306" t="s">
        <v>420</v>
      </c>
      <c r="H404" s="306" t="s">
        <v>416</v>
      </c>
      <c r="I404" s="307">
        <v>64048.0</v>
      </c>
      <c r="J404" s="37">
        <v>1.0</v>
      </c>
    </row>
    <row r="405">
      <c r="A405" s="303"/>
      <c r="B405" s="304" t="s">
        <v>394</v>
      </c>
      <c r="C405" s="37" t="s">
        <v>396</v>
      </c>
      <c r="D405" s="153" t="s">
        <v>406</v>
      </c>
      <c r="E405" s="153" t="s">
        <v>411</v>
      </c>
      <c r="F405" s="310" t="s">
        <v>1466</v>
      </c>
      <c r="G405" s="306" t="s">
        <v>422</v>
      </c>
      <c r="H405" s="306" t="s">
        <v>415</v>
      </c>
      <c r="I405" s="307">
        <v>64048.0</v>
      </c>
      <c r="J405" s="37">
        <v>1.0</v>
      </c>
    </row>
    <row r="406">
      <c r="A406" s="303"/>
      <c r="B406" s="304" t="s">
        <v>394</v>
      </c>
      <c r="C406" s="37" t="s">
        <v>396</v>
      </c>
      <c r="D406" s="153" t="s">
        <v>406</v>
      </c>
      <c r="E406" s="153" t="s">
        <v>411</v>
      </c>
      <c r="F406" s="310" t="s">
        <v>1467</v>
      </c>
      <c r="G406" s="306" t="s">
        <v>422</v>
      </c>
      <c r="H406" s="306" t="s">
        <v>416</v>
      </c>
      <c r="I406" s="307">
        <v>64048.0</v>
      </c>
      <c r="J406" s="37">
        <v>2.0</v>
      </c>
    </row>
    <row r="407">
      <c r="A407" s="312"/>
      <c r="B407" s="37" t="s">
        <v>1468</v>
      </c>
      <c r="C407" s="37" t="s">
        <v>1468</v>
      </c>
      <c r="D407" s="37"/>
      <c r="E407" s="37"/>
      <c r="F407" s="37"/>
      <c r="G407" s="306" t="s">
        <v>1468</v>
      </c>
      <c r="H407" s="306" t="s">
        <v>1468</v>
      </c>
      <c r="I407" s="173"/>
    </row>
    <row r="408">
      <c r="A408" s="303">
        <v>60.0</v>
      </c>
      <c r="B408" s="304" t="s">
        <v>394</v>
      </c>
      <c r="C408" s="37" t="s">
        <v>396</v>
      </c>
      <c r="D408" s="153" t="s">
        <v>406</v>
      </c>
      <c r="E408" s="153" t="s">
        <v>411</v>
      </c>
      <c r="F408" s="313" t="s">
        <v>1462</v>
      </c>
      <c r="G408" s="306" t="s">
        <v>418</v>
      </c>
      <c r="H408" s="306" t="s">
        <v>415</v>
      </c>
      <c r="I408" s="307">
        <v>64115.0</v>
      </c>
      <c r="J408" s="37">
        <v>2.0</v>
      </c>
    </row>
    <row r="409">
      <c r="A409" s="303"/>
      <c r="B409" s="304" t="s">
        <v>394</v>
      </c>
      <c r="C409" s="37" t="s">
        <v>396</v>
      </c>
      <c r="D409" s="153" t="s">
        <v>406</v>
      </c>
      <c r="E409" s="153" t="s">
        <v>411</v>
      </c>
      <c r="F409" s="308" t="s">
        <v>1463</v>
      </c>
      <c r="G409" s="306" t="s">
        <v>418</v>
      </c>
      <c r="H409" s="306" t="s">
        <v>416</v>
      </c>
      <c r="I409" s="307">
        <v>64115.0</v>
      </c>
      <c r="J409" s="37">
        <v>1.0</v>
      </c>
    </row>
    <row r="410">
      <c r="A410" s="303"/>
      <c r="B410" s="304" t="s">
        <v>394</v>
      </c>
      <c r="C410" s="37" t="s">
        <v>396</v>
      </c>
      <c r="D410" s="153" t="s">
        <v>406</v>
      </c>
      <c r="E410" s="153" t="s">
        <v>411</v>
      </c>
      <c r="F410" s="309" t="s">
        <v>1464</v>
      </c>
      <c r="G410" s="306" t="s">
        <v>420</v>
      </c>
      <c r="H410" s="306" t="s">
        <v>415</v>
      </c>
      <c r="I410" s="307">
        <v>64115.0</v>
      </c>
      <c r="J410" s="37">
        <v>2.0</v>
      </c>
    </row>
    <row r="411">
      <c r="A411" s="303"/>
      <c r="B411" s="304" t="s">
        <v>394</v>
      </c>
      <c r="C411" s="37" t="s">
        <v>396</v>
      </c>
      <c r="D411" s="153" t="s">
        <v>406</v>
      </c>
      <c r="E411" s="153" t="s">
        <v>411</v>
      </c>
      <c r="F411" s="309" t="s">
        <v>1465</v>
      </c>
      <c r="G411" s="306" t="s">
        <v>420</v>
      </c>
      <c r="H411" s="306" t="s">
        <v>416</v>
      </c>
      <c r="I411" s="307">
        <v>64115.0</v>
      </c>
      <c r="J411" s="37">
        <v>0.0</v>
      </c>
    </row>
    <row r="412">
      <c r="A412" s="303"/>
      <c r="B412" s="304" t="s">
        <v>394</v>
      </c>
      <c r="C412" s="37" t="s">
        <v>396</v>
      </c>
      <c r="D412" s="153" t="s">
        <v>406</v>
      </c>
      <c r="E412" s="153" t="s">
        <v>411</v>
      </c>
      <c r="F412" s="310" t="s">
        <v>1466</v>
      </c>
      <c r="G412" s="306" t="s">
        <v>422</v>
      </c>
      <c r="H412" s="306" t="s">
        <v>415</v>
      </c>
      <c r="I412" s="307">
        <v>64115.0</v>
      </c>
      <c r="J412" s="37">
        <v>1.0</v>
      </c>
    </row>
    <row r="413">
      <c r="A413" s="303"/>
      <c r="B413" s="304" t="s">
        <v>394</v>
      </c>
      <c r="C413" s="37" t="s">
        <v>396</v>
      </c>
      <c r="D413" s="153" t="s">
        <v>406</v>
      </c>
      <c r="E413" s="153" t="s">
        <v>411</v>
      </c>
      <c r="F413" s="310" t="s">
        <v>1467</v>
      </c>
      <c r="G413" s="306" t="s">
        <v>422</v>
      </c>
      <c r="H413" s="306" t="s">
        <v>416</v>
      </c>
      <c r="I413" s="307">
        <v>64115.0</v>
      </c>
      <c r="J413" s="37">
        <v>1.0</v>
      </c>
    </row>
    <row r="414">
      <c r="A414" s="312"/>
      <c r="B414" s="37" t="s">
        <v>1468</v>
      </c>
      <c r="C414" s="37" t="s">
        <v>1468</v>
      </c>
      <c r="D414" s="37"/>
      <c r="E414" s="37"/>
      <c r="F414" s="37"/>
      <c r="G414" s="306" t="s">
        <v>1468</v>
      </c>
      <c r="H414" s="306" t="s">
        <v>1468</v>
      </c>
      <c r="I414" s="173"/>
    </row>
    <row r="415">
      <c r="A415" s="312"/>
      <c r="B415" s="37" t="s">
        <v>1468</v>
      </c>
      <c r="C415" s="37" t="s">
        <v>1468</v>
      </c>
      <c r="D415" s="37"/>
      <c r="E415" s="37"/>
      <c r="F415" s="37"/>
      <c r="G415" s="306" t="s">
        <v>1468</v>
      </c>
      <c r="H415" s="306" t="s">
        <v>1468</v>
      </c>
      <c r="I415" s="173"/>
    </row>
    <row r="416">
      <c r="A416" s="303">
        <v>61.0</v>
      </c>
      <c r="B416" s="304" t="s">
        <v>394</v>
      </c>
      <c r="C416" s="37" t="s">
        <v>396</v>
      </c>
      <c r="D416" s="153" t="s">
        <v>406</v>
      </c>
      <c r="E416" s="153" t="s">
        <v>411</v>
      </c>
      <c r="F416" s="313" t="s">
        <v>1462</v>
      </c>
      <c r="G416" s="306" t="s">
        <v>418</v>
      </c>
      <c r="H416" s="306" t="s">
        <v>415</v>
      </c>
      <c r="I416" s="307">
        <v>64346.0</v>
      </c>
      <c r="J416" s="37">
        <v>1.0</v>
      </c>
    </row>
    <row r="417">
      <c r="A417" s="303"/>
      <c r="B417" s="304" t="s">
        <v>394</v>
      </c>
      <c r="C417" s="37" t="s">
        <v>396</v>
      </c>
      <c r="D417" s="153" t="s">
        <v>406</v>
      </c>
      <c r="E417" s="153" t="s">
        <v>411</v>
      </c>
      <c r="F417" s="308" t="s">
        <v>1463</v>
      </c>
      <c r="G417" s="306" t="s">
        <v>418</v>
      </c>
      <c r="H417" s="306" t="s">
        <v>416</v>
      </c>
      <c r="I417" s="307">
        <v>64346.0</v>
      </c>
      <c r="J417" s="37">
        <v>0.0</v>
      </c>
    </row>
    <row r="418">
      <c r="A418" s="303"/>
      <c r="B418" s="304" t="s">
        <v>394</v>
      </c>
      <c r="C418" s="37" t="s">
        <v>396</v>
      </c>
      <c r="D418" s="153" t="s">
        <v>406</v>
      </c>
      <c r="E418" s="153" t="s">
        <v>411</v>
      </c>
      <c r="F418" s="309" t="s">
        <v>1464</v>
      </c>
      <c r="G418" s="306" t="s">
        <v>420</v>
      </c>
      <c r="H418" s="306" t="s">
        <v>415</v>
      </c>
      <c r="I418" s="307">
        <v>64346.0</v>
      </c>
      <c r="J418" s="37">
        <v>1.0</v>
      </c>
    </row>
    <row r="419">
      <c r="A419" s="303"/>
      <c r="B419" s="304" t="s">
        <v>394</v>
      </c>
      <c r="C419" s="37" t="s">
        <v>396</v>
      </c>
      <c r="D419" s="153" t="s">
        <v>406</v>
      </c>
      <c r="E419" s="153" t="s">
        <v>411</v>
      </c>
      <c r="F419" s="309" t="s">
        <v>1465</v>
      </c>
      <c r="G419" s="306" t="s">
        <v>420</v>
      </c>
      <c r="H419" s="306" t="s">
        <v>416</v>
      </c>
      <c r="I419" s="307">
        <v>64346.0</v>
      </c>
      <c r="J419" s="37">
        <v>1.0</v>
      </c>
    </row>
    <row r="420">
      <c r="A420" s="303"/>
      <c r="B420" s="304" t="s">
        <v>394</v>
      </c>
      <c r="C420" s="37" t="s">
        <v>396</v>
      </c>
      <c r="D420" s="153" t="s">
        <v>406</v>
      </c>
      <c r="E420" s="153" t="s">
        <v>411</v>
      </c>
      <c r="F420" s="310" t="s">
        <v>1466</v>
      </c>
      <c r="G420" s="306" t="s">
        <v>422</v>
      </c>
      <c r="H420" s="306" t="s">
        <v>415</v>
      </c>
      <c r="I420" s="307">
        <v>64346.0</v>
      </c>
      <c r="J420" s="37">
        <v>0.0</v>
      </c>
    </row>
    <row r="421">
      <c r="A421" s="303"/>
      <c r="B421" s="304" t="s">
        <v>394</v>
      </c>
      <c r="C421" s="37" t="s">
        <v>396</v>
      </c>
      <c r="D421" s="153" t="s">
        <v>406</v>
      </c>
      <c r="E421" s="153" t="s">
        <v>411</v>
      </c>
      <c r="F421" s="310" t="s">
        <v>1467</v>
      </c>
      <c r="G421" s="306" t="s">
        <v>422</v>
      </c>
      <c r="H421" s="306" t="s">
        <v>416</v>
      </c>
      <c r="I421" s="307">
        <v>64346.0</v>
      </c>
      <c r="J421" s="37">
        <v>1.0</v>
      </c>
    </row>
    <row r="422">
      <c r="A422" s="312"/>
      <c r="B422" s="37" t="s">
        <v>1468</v>
      </c>
      <c r="C422" s="37" t="s">
        <v>1468</v>
      </c>
      <c r="D422" s="37"/>
      <c r="E422" s="37"/>
      <c r="F422" s="37"/>
      <c r="G422" s="306" t="s">
        <v>1468</v>
      </c>
      <c r="H422" s="306" t="s">
        <v>1468</v>
      </c>
      <c r="I422" s="173"/>
    </row>
    <row r="423">
      <c r="A423" s="303">
        <v>62.0</v>
      </c>
      <c r="B423" s="304" t="s">
        <v>394</v>
      </c>
      <c r="C423" s="37" t="s">
        <v>396</v>
      </c>
      <c r="D423" s="153" t="s">
        <v>406</v>
      </c>
      <c r="E423" s="153" t="s">
        <v>411</v>
      </c>
      <c r="F423" s="313" t="s">
        <v>1462</v>
      </c>
      <c r="G423" s="306" t="s">
        <v>418</v>
      </c>
      <c r="H423" s="306" t="s">
        <v>415</v>
      </c>
      <c r="I423" s="307">
        <v>64641.0</v>
      </c>
      <c r="J423" s="37">
        <v>1.0</v>
      </c>
    </row>
    <row r="424">
      <c r="A424" s="303"/>
      <c r="B424" s="304" t="s">
        <v>394</v>
      </c>
      <c r="C424" s="37" t="s">
        <v>396</v>
      </c>
      <c r="D424" s="153" t="s">
        <v>406</v>
      </c>
      <c r="E424" s="153" t="s">
        <v>411</v>
      </c>
      <c r="F424" s="308" t="s">
        <v>1463</v>
      </c>
      <c r="G424" s="306" t="s">
        <v>418</v>
      </c>
      <c r="H424" s="306" t="s">
        <v>416</v>
      </c>
      <c r="I424" s="307">
        <v>64641.0</v>
      </c>
      <c r="J424" s="37">
        <v>0.0</v>
      </c>
    </row>
    <row r="425">
      <c r="A425" s="303"/>
      <c r="B425" s="304" t="s">
        <v>394</v>
      </c>
      <c r="C425" s="37" t="s">
        <v>396</v>
      </c>
      <c r="D425" s="153" t="s">
        <v>406</v>
      </c>
      <c r="E425" s="153" t="s">
        <v>411</v>
      </c>
      <c r="F425" s="309" t="s">
        <v>1464</v>
      </c>
      <c r="G425" s="306" t="s">
        <v>420</v>
      </c>
      <c r="H425" s="306" t="s">
        <v>415</v>
      </c>
      <c r="I425" s="307">
        <v>64641.0</v>
      </c>
      <c r="J425" s="37">
        <v>1.0</v>
      </c>
    </row>
    <row r="426">
      <c r="A426" s="303"/>
      <c r="B426" s="304" t="s">
        <v>394</v>
      </c>
      <c r="C426" s="37" t="s">
        <v>396</v>
      </c>
      <c r="D426" s="153" t="s">
        <v>406</v>
      </c>
      <c r="E426" s="153" t="s">
        <v>411</v>
      </c>
      <c r="F426" s="309" t="s">
        <v>1465</v>
      </c>
      <c r="G426" s="306" t="s">
        <v>420</v>
      </c>
      <c r="H426" s="306" t="s">
        <v>416</v>
      </c>
      <c r="I426" s="307">
        <v>64641.0</v>
      </c>
      <c r="J426" s="37">
        <v>0.0</v>
      </c>
    </row>
    <row r="427">
      <c r="A427" s="303"/>
      <c r="B427" s="304" t="s">
        <v>394</v>
      </c>
      <c r="C427" s="37" t="s">
        <v>396</v>
      </c>
      <c r="D427" s="153" t="s">
        <v>406</v>
      </c>
      <c r="E427" s="153" t="s">
        <v>411</v>
      </c>
      <c r="F427" s="310" t="s">
        <v>1466</v>
      </c>
      <c r="G427" s="306" t="s">
        <v>422</v>
      </c>
      <c r="H427" s="306" t="s">
        <v>415</v>
      </c>
      <c r="I427" s="307">
        <v>64641.0</v>
      </c>
      <c r="J427" s="37">
        <v>0.0</v>
      </c>
    </row>
    <row r="428">
      <c r="A428" s="303"/>
      <c r="B428" s="304" t="s">
        <v>394</v>
      </c>
      <c r="C428" s="37" t="s">
        <v>396</v>
      </c>
      <c r="D428" s="153" t="s">
        <v>406</v>
      </c>
      <c r="E428" s="153" t="s">
        <v>411</v>
      </c>
      <c r="F428" s="310" t="s">
        <v>1467</v>
      </c>
      <c r="G428" s="306" t="s">
        <v>422</v>
      </c>
      <c r="H428" s="306" t="s">
        <v>416</v>
      </c>
      <c r="I428" s="307">
        <v>64641.0</v>
      </c>
      <c r="J428" s="37">
        <v>0.0</v>
      </c>
    </row>
    <row r="429">
      <c r="A429" s="312"/>
      <c r="B429" s="37" t="s">
        <v>1468</v>
      </c>
      <c r="C429" s="37" t="s">
        <v>1468</v>
      </c>
      <c r="D429" s="37"/>
      <c r="E429" s="37"/>
      <c r="F429" s="37"/>
      <c r="G429" s="306" t="s">
        <v>1468</v>
      </c>
      <c r="H429" s="306" t="s">
        <v>1468</v>
      </c>
      <c r="I429" s="173"/>
    </row>
    <row r="430">
      <c r="A430" s="303">
        <v>63.0</v>
      </c>
      <c r="B430" s="304" t="s">
        <v>394</v>
      </c>
      <c r="C430" s="37" t="s">
        <v>396</v>
      </c>
      <c r="D430" s="153" t="s">
        <v>406</v>
      </c>
      <c r="E430" s="153" t="s">
        <v>411</v>
      </c>
      <c r="F430" s="313" t="s">
        <v>1462</v>
      </c>
      <c r="G430" s="306" t="s">
        <v>418</v>
      </c>
      <c r="H430" s="306" t="s">
        <v>415</v>
      </c>
      <c r="I430" s="307">
        <v>64829.0</v>
      </c>
      <c r="J430" s="37">
        <v>1.0</v>
      </c>
    </row>
    <row r="431">
      <c r="A431" s="303"/>
      <c r="B431" s="304" t="s">
        <v>394</v>
      </c>
      <c r="C431" s="37" t="s">
        <v>396</v>
      </c>
      <c r="D431" s="153" t="s">
        <v>406</v>
      </c>
      <c r="E431" s="153" t="s">
        <v>411</v>
      </c>
      <c r="F431" s="308" t="s">
        <v>1463</v>
      </c>
      <c r="G431" s="306" t="s">
        <v>418</v>
      </c>
      <c r="H431" s="306" t="s">
        <v>416</v>
      </c>
      <c r="I431" s="307">
        <v>64829.0</v>
      </c>
      <c r="J431" s="37">
        <v>0.0</v>
      </c>
    </row>
    <row r="432">
      <c r="A432" s="303"/>
      <c r="B432" s="304" t="s">
        <v>394</v>
      </c>
      <c r="C432" s="37" t="s">
        <v>396</v>
      </c>
      <c r="D432" s="153" t="s">
        <v>406</v>
      </c>
      <c r="E432" s="153" t="s">
        <v>411</v>
      </c>
      <c r="F432" s="309" t="s">
        <v>1464</v>
      </c>
      <c r="G432" s="306" t="s">
        <v>420</v>
      </c>
      <c r="H432" s="306" t="s">
        <v>415</v>
      </c>
      <c r="I432" s="307">
        <v>64829.0</v>
      </c>
      <c r="J432" s="37">
        <v>1.0</v>
      </c>
    </row>
    <row r="433">
      <c r="A433" s="303"/>
      <c r="B433" s="304" t="s">
        <v>394</v>
      </c>
      <c r="C433" s="37" t="s">
        <v>396</v>
      </c>
      <c r="D433" s="153" t="s">
        <v>406</v>
      </c>
      <c r="E433" s="153" t="s">
        <v>411</v>
      </c>
      <c r="F433" s="309" t="s">
        <v>1465</v>
      </c>
      <c r="G433" s="306" t="s">
        <v>420</v>
      </c>
      <c r="H433" s="306" t="s">
        <v>416</v>
      </c>
      <c r="I433" s="307">
        <v>64829.0</v>
      </c>
      <c r="J433" s="37">
        <v>0.0</v>
      </c>
    </row>
    <row r="434">
      <c r="A434" s="303"/>
      <c r="B434" s="304" t="s">
        <v>394</v>
      </c>
      <c r="C434" s="37" t="s">
        <v>396</v>
      </c>
      <c r="D434" s="153" t="s">
        <v>406</v>
      </c>
      <c r="E434" s="153" t="s">
        <v>411</v>
      </c>
      <c r="F434" s="310" t="s">
        <v>1466</v>
      </c>
      <c r="G434" s="306" t="s">
        <v>422</v>
      </c>
      <c r="H434" s="306" t="s">
        <v>415</v>
      </c>
      <c r="I434" s="307">
        <v>64829.0</v>
      </c>
      <c r="J434" s="37">
        <v>1.0</v>
      </c>
    </row>
    <row r="435">
      <c r="A435" s="303"/>
      <c r="B435" s="304" t="s">
        <v>394</v>
      </c>
      <c r="C435" s="37" t="s">
        <v>396</v>
      </c>
      <c r="D435" s="153" t="s">
        <v>406</v>
      </c>
      <c r="E435" s="153" t="s">
        <v>411</v>
      </c>
      <c r="F435" s="310" t="s">
        <v>1467</v>
      </c>
      <c r="G435" s="306" t="s">
        <v>422</v>
      </c>
      <c r="H435" s="306" t="s">
        <v>416</v>
      </c>
      <c r="I435" s="307">
        <v>64829.0</v>
      </c>
      <c r="J435" s="37">
        <v>1.0</v>
      </c>
    </row>
    <row r="436">
      <c r="A436" s="312"/>
      <c r="B436" s="37" t="s">
        <v>1468</v>
      </c>
      <c r="C436" s="37" t="s">
        <v>1468</v>
      </c>
      <c r="D436" s="37"/>
      <c r="E436" s="37"/>
      <c r="F436" s="37"/>
      <c r="G436" s="306" t="s">
        <v>1468</v>
      </c>
      <c r="H436" s="306" t="s">
        <v>1468</v>
      </c>
      <c r="I436" s="173"/>
    </row>
    <row r="437">
      <c r="A437" s="303">
        <v>64.0</v>
      </c>
      <c r="B437" s="304" t="s">
        <v>394</v>
      </c>
      <c r="C437" s="37" t="s">
        <v>396</v>
      </c>
      <c r="D437" s="153" t="s">
        <v>406</v>
      </c>
      <c r="E437" s="153" t="s">
        <v>411</v>
      </c>
      <c r="F437" s="313" t="s">
        <v>1462</v>
      </c>
      <c r="G437" s="306" t="s">
        <v>418</v>
      </c>
      <c r="H437" s="306" t="s">
        <v>415</v>
      </c>
      <c r="I437" s="307">
        <v>64949.0</v>
      </c>
      <c r="J437" s="37">
        <v>1.0</v>
      </c>
    </row>
    <row r="438">
      <c r="A438" s="303"/>
      <c r="B438" s="304" t="s">
        <v>394</v>
      </c>
      <c r="C438" s="37" t="s">
        <v>396</v>
      </c>
      <c r="D438" s="153" t="s">
        <v>406</v>
      </c>
      <c r="E438" s="153" t="s">
        <v>411</v>
      </c>
      <c r="F438" s="308" t="s">
        <v>1463</v>
      </c>
      <c r="G438" s="306" t="s">
        <v>418</v>
      </c>
      <c r="H438" s="306" t="s">
        <v>416</v>
      </c>
      <c r="I438" s="307">
        <v>64949.0</v>
      </c>
      <c r="J438" s="37">
        <v>1.0</v>
      </c>
    </row>
    <row r="439">
      <c r="A439" s="303"/>
      <c r="B439" s="304" t="s">
        <v>394</v>
      </c>
      <c r="C439" s="37" t="s">
        <v>396</v>
      </c>
      <c r="D439" s="153" t="s">
        <v>406</v>
      </c>
      <c r="E439" s="153" t="s">
        <v>411</v>
      </c>
      <c r="F439" s="309" t="s">
        <v>1464</v>
      </c>
      <c r="G439" s="306" t="s">
        <v>420</v>
      </c>
      <c r="H439" s="306" t="s">
        <v>415</v>
      </c>
      <c r="I439" s="307">
        <v>64949.0</v>
      </c>
      <c r="J439" s="37">
        <v>0.0</v>
      </c>
    </row>
    <row r="440">
      <c r="A440" s="303"/>
      <c r="B440" s="304" t="s">
        <v>394</v>
      </c>
      <c r="C440" s="37" t="s">
        <v>396</v>
      </c>
      <c r="D440" s="153" t="s">
        <v>406</v>
      </c>
      <c r="E440" s="153" t="s">
        <v>411</v>
      </c>
      <c r="F440" s="309" t="s">
        <v>1465</v>
      </c>
      <c r="G440" s="306" t="s">
        <v>420</v>
      </c>
      <c r="H440" s="306" t="s">
        <v>416</v>
      </c>
      <c r="I440" s="307">
        <v>64949.0</v>
      </c>
      <c r="J440" s="37">
        <v>0.0</v>
      </c>
    </row>
    <row r="441">
      <c r="A441" s="303"/>
      <c r="B441" s="304" t="s">
        <v>394</v>
      </c>
      <c r="C441" s="37" t="s">
        <v>396</v>
      </c>
      <c r="D441" s="153" t="s">
        <v>406</v>
      </c>
      <c r="E441" s="153" t="s">
        <v>411</v>
      </c>
      <c r="F441" s="310" t="s">
        <v>1466</v>
      </c>
      <c r="G441" s="306" t="s">
        <v>422</v>
      </c>
      <c r="H441" s="306" t="s">
        <v>415</v>
      </c>
      <c r="I441" s="307">
        <v>64949.0</v>
      </c>
      <c r="J441" s="37">
        <v>1.0</v>
      </c>
    </row>
    <row r="442">
      <c r="A442" s="303"/>
      <c r="B442" s="304" t="s">
        <v>394</v>
      </c>
      <c r="C442" s="37" t="s">
        <v>396</v>
      </c>
      <c r="D442" s="153" t="s">
        <v>406</v>
      </c>
      <c r="E442" s="153" t="s">
        <v>411</v>
      </c>
      <c r="F442" s="310" t="s">
        <v>1467</v>
      </c>
      <c r="G442" s="306" t="s">
        <v>422</v>
      </c>
      <c r="H442" s="306" t="s">
        <v>416</v>
      </c>
      <c r="I442" s="307">
        <v>64949.0</v>
      </c>
      <c r="J442" s="37">
        <v>0.0</v>
      </c>
    </row>
    <row r="443">
      <c r="A443" s="312"/>
      <c r="B443" s="37" t="s">
        <v>1468</v>
      </c>
      <c r="C443" s="37" t="s">
        <v>1468</v>
      </c>
      <c r="D443" s="37"/>
      <c r="E443" s="37"/>
      <c r="F443" s="37"/>
      <c r="G443" s="306" t="s">
        <v>1468</v>
      </c>
      <c r="H443" s="306" t="s">
        <v>1468</v>
      </c>
      <c r="I443" s="173"/>
    </row>
    <row r="444">
      <c r="A444" s="303">
        <v>65.0</v>
      </c>
      <c r="B444" s="304" t="s">
        <v>394</v>
      </c>
      <c r="C444" s="37" t="s">
        <v>396</v>
      </c>
      <c r="D444" s="153" t="s">
        <v>406</v>
      </c>
      <c r="E444" s="153" t="s">
        <v>411</v>
      </c>
      <c r="F444" s="313" t="s">
        <v>1462</v>
      </c>
      <c r="G444" s="306" t="s">
        <v>418</v>
      </c>
      <c r="H444" s="306" t="s">
        <v>415</v>
      </c>
      <c r="I444" s="307">
        <v>64996.0</v>
      </c>
      <c r="J444" s="37">
        <v>1.0</v>
      </c>
    </row>
    <row r="445">
      <c r="A445" s="303"/>
      <c r="B445" s="304" t="s">
        <v>394</v>
      </c>
      <c r="C445" s="37" t="s">
        <v>396</v>
      </c>
      <c r="D445" s="153" t="s">
        <v>406</v>
      </c>
      <c r="E445" s="153" t="s">
        <v>411</v>
      </c>
      <c r="F445" s="308" t="s">
        <v>1463</v>
      </c>
      <c r="G445" s="306" t="s">
        <v>418</v>
      </c>
      <c r="H445" s="306" t="s">
        <v>416</v>
      </c>
      <c r="I445" s="307">
        <v>64996.0</v>
      </c>
      <c r="J445" s="37">
        <v>0.0</v>
      </c>
    </row>
    <row r="446">
      <c r="A446" s="303"/>
      <c r="B446" s="304" t="s">
        <v>394</v>
      </c>
      <c r="C446" s="37" t="s">
        <v>396</v>
      </c>
      <c r="D446" s="153" t="s">
        <v>406</v>
      </c>
      <c r="E446" s="153" t="s">
        <v>411</v>
      </c>
      <c r="F446" s="309" t="s">
        <v>1464</v>
      </c>
      <c r="G446" s="306" t="s">
        <v>420</v>
      </c>
      <c r="H446" s="306" t="s">
        <v>415</v>
      </c>
      <c r="I446" s="307">
        <v>64996.0</v>
      </c>
      <c r="J446" s="37">
        <v>1.0</v>
      </c>
    </row>
    <row r="447">
      <c r="A447" s="303"/>
      <c r="B447" s="304" t="s">
        <v>394</v>
      </c>
      <c r="C447" s="37" t="s">
        <v>396</v>
      </c>
      <c r="D447" s="153" t="s">
        <v>406</v>
      </c>
      <c r="E447" s="153" t="s">
        <v>411</v>
      </c>
      <c r="F447" s="309" t="s">
        <v>1465</v>
      </c>
      <c r="G447" s="306" t="s">
        <v>420</v>
      </c>
      <c r="H447" s="306" t="s">
        <v>416</v>
      </c>
      <c r="I447" s="307">
        <v>64996.0</v>
      </c>
      <c r="J447" s="37">
        <v>1.0</v>
      </c>
    </row>
    <row r="448">
      <c r="A448" s="303"/>
      <c r="B448" s="304" t="s">
        <v>394</v>
      </c>
      <c r="C448" s="37" t="s">
        <v>396</v>
      </c>
      <c r="D448" s="153" t="s">
        <v>406</v>
      </c>
      <c r="E448" s="153" t="s">
        <v>411</v>
      </c>
      <c r="F448" s="310" t="s">
        <v>1466</v>
      </c>
      <c r="G448" s="306" t="s">
        <v>422</v>
      </c>
      <c r="H448" s="306" t="s">
        <v>415</v>
      </c>
      <c r="I448" s="307">
        <v>64996.0</v>
      </c>
      <c r="J448" s="37">
        <v>0.0</v>
      </c>
    </row>
    <row r="449">
      <c r="A449" s="303"/>
      <c r="B449" s="304" t="s">
        <v>394</v>
      </c>
      <c r="C449" s="37" t="s">
        <v>396</v>
      </c>
      <c r="D449" s="153" t="s">
        <v>406</v>
      </c>
      <c r="E449" s="153" t="s">
        <v>411</v>
      </c>
      <c r="F449" s="310" t="s">
        <v>1467</v>
      </c>
      <c r="G449" s="306" t="s">
        <v>422</v>
      </c>
      <c r="H449" s="306" t="s">
        <v>416</v>
      </c>
      <c r="I449" s="307">
        <v>64996.0</v>
      </c>
      <c r="J449" s="37">
        <v>1.0</v>
      </c>
    </row>
    <row r="450">
      <c r="A450" s="312"/>
      <c r="B450" s="37" t="s">
        <v>1468</v>
      </c>
      <c r="C450" s="37" t="s">
        <v>1468</v>
      </c>
      <c r="D450" s="37"/>
      <c r="E450" s="37"/>
      <c r="F450" s="37"/>
      <c r="G450" s="306" t="s">
        <v>1468</v>
      </c>
      <c r="H450" s="306" t="s">
        <v>1468</v>
      </c>
      <c r="I450" s="173"/>
    </row>
    <row r="451">
      <c r="A451" s="303">
        <v>66.0</v>
      </c>
      <c r="B451" s="304" t="s">
        <v>394</v>
      </c>
      <c r="C451" s="37" t="s">
        <v>396</v>
      </c>
      <c r="D451" s="153" t="s">
        <v>406</v>
      </c>
      <c r="E451" s="153" t="s">
        <v>411</v>
      </c>
      <c r="F451" s="313" t="s">
        <v>1462</v>
      </c>
      <c r="G451" s="306" t="s">
        <v>418</v>
      </c>
      <c r="H451" s="306" t="s">
        <v>415</v>
      </c>
      <c r="I451" s="307">
        <v>65199.0</v>
      </c>
      <c r="J451" s="37">
        <v>1.0</v>
      </c>
    </row>
    <row r="452">
      <c r="A452" s="303"/>
      <c r="B452" s="304" t="s">
        <v>394</v>
      </c>
      <c r="C452" s="37" t="s">
        <v>396</v>
      </c>
      <c r="D452" s="153" t="s">
        <v>406</v>
      </c>
      <c r="E452" s="153" t="s">
        <v>411</v>
      </c>
      <c r="F452" s="308" t="s">
        <v>1463</v>
      </c>
      <c r="G452" s="306" t="s">
        <v>418</v>
      </c>
      <c r="H452" s="306" t="s">
        <v>416</v>
      </c>
      <c r="I452" s="307">
        <v>65199.0</v>
      </c>
      <c r="J452" s="37">
        <v>1.0</v>
      </c>
    </row>
    <row r="453">
      <c r="A453" s="303"/>
      <c r="B453" s="304" t="s">
        <v>394</v>
      </c>
      <c r="C453" s="37" t="s">
        <v>396</v>
      </c>
      <c r="D453" s="153" t="s">
        <v>406</v>
      </c>
      <c r="E453" s="153" t="s">
        <v>411</v>
      </c>
      <c r="F453" s="309" t="s">
        <v>1464</v>
      </c>
      <c r="G453" s="306" t="s">
        <v>420</v>
      </c>
      <c r="H453" s="306" t="s">
        <v>415</v>
      </c>
      <c r="I453" s="307">
        <v>65199.0</v>
      </c>
      <c r="J453" s="37">
        <v>1.0</v>
      </c>
    </row>
    <row r="454">
      <c r="A454" s="303"/>
      <c r="B454" s="304" t="s">
        <v>394</v>
      </c>
      <c r="C454" s="37" t="s">
        <v>396</v>
      </c>
      <c r="D454" s="153" t="s">
        <v>406</v>
      </c>
      <c r="E454" s="153" t="s">
        <v>411</v>
      </c>
      <c r="F454" s="309" t="s">
        <v>1465</v>
      </c>
      <c r="G454" s="306" t="s">
        <v>420</v>
      </c>
      <c r="H454" s="306" t="s">
        <v>416</v>
      </c>
      <c r="I454" s="307">
        <v>65199.0</v>
      </c>
      <c r="J454" s="37">
        <v>1.0</v>
      </c>
    </row>
    <row r="455">
      <c r="A455" s="303"/>
      <c r="B455" s="304" t="s">
        <v>394</v>
      </c>
      <c r="C455" s="37" t="s">
        <v>396</v>
      </c>
      <c r="D455" s="153" t="s">
        <v>406</v>
      </c>
      <c r="E455" s="153" t="s">
        <v>411</v>
      </c>
      <c r="F455" s="310" t="s">
        <v>1466</v>
      </c>
      <c r="G455" s="306" t="s">
        <v>422</v>
      </c>
      <c r="H455" s="306" t="s">
        <v>415</v>
      </c>
      <c r="I455" s="307">
        <v>65199.0</v>
      </c>
      <c r="J455" s="37">
        <v>0.0</v>
      </c>
    </row>
    <row r="456">
      <c r="A456" s="303"/>
      <c r="B456" s="304" t="s">
        <v>394</v>
      </c>
      <c r="C456" s="37" t="s">
        <v>396</v>
      </c>
      <c r="D456" s="153" t="s">
        <v>406</v>
      </c>
      <c r="E456" s="153" t="s">
        <v>411</v>
      </c>
      <c r="F456" s="310" t="s">
        <v>1467</v>
      </c>
      <c r="G456" s="306" t="s">
        <v>422</v>
      </c>
      <c r="H456" s="306" t="s">
        <v>416</v>
      </c>
      <c r="I456" s="307">
        <v>65199.0</v>
      </c>
      <c r="J456" s="37">
        <v>1.0</v>
      </c>
    </row>
    <row r="457">
      <c r="A457" s="312"/>
      <c r="B457" s="37" t="s">
        <v>1468</v>
      </c>
      <c r="C457" s="37" t="s">
        <v>1468</v>
      </c>
      <c r="D457" s="37"/>
      <c r="E457" s="37"/>
      <c r="F457" s="37"/>
      <c r="G457" s="306" t="s">
        <v>1468</v>
      </c>
      <c r="H457" s="306" t="s">
        <v>1468</v>
      </c>
      <c r="I457" s="173"/>
    </row>
    <row r="458">
      <c r="A458" s="303">
        <v>67.0</v>
      </c>
      <c r="B458" s="304" t="s">
        <v>394</v>
      </c>
      <c r="C458" s="37" t="s">
        <v>396</v>
      </c>
      <c r="D458" s="153" t="s">
        <v>406</v>
      </c>
      <c r="E458" s="153" t="s">
        <v>411</v>
      </c>
      <c r="F458" s="313" t="s">
        <v>1462</v>
      </c>
      <c r="G458" s="306" t="s">
        <v>418</v>
      </c>
      <c r="H458" s="306" t="s">
        <v>415</v>
      </c>
      <c r="I458" s="307" t="s">
        <v>329</v>
      </c>
      <c r="J458" s="37">
        <v>5.0</v>
      </c>
    </row>
    <row r="459">
      <c r="A459" s="303"/>
      <c r="B459" s="304" t="s">
        <v>394</v>
      </c>
      <c r="C459" s="37" t="s">
        <v>396</v>
      </c>
      <c r="D459" s="153" t="s">
        <v>406</v>
      </c>
      <c r="E459" s="153" t="s">
        <v>411</v>
      </c>
      <c r="F459" s="308" t="s">
        <v>1463</v>
      </c>
      <c r="G459" s="306" t="s">
        <v>418</v>
      </c>
      <c r="H459" s="306" t="s">
        <v>416</v>
      </c>
      <c r="I459" s="307" t="s">
        <v>329</v>
      </c>
      <c r="J459" s="37">
        <v>3.0</v>
      </c>
    </row>
    <row r="460">
      <c r="A460" s="303"/>
      <c r="B460" s="304" t="s">
        <v>394</v>
      </c>
      <c r="C460" s="37" t="s">
        <v>396</v>
      </c>
      <c r="D460" s="153" t="s">
        <v>406</v>
      </c>
      <c r="E460" s="153" t="s">
        <v>411</v>
      </c>
      <c r="F460" s="309" t="s">
        <v>1464</v>
      </c>
      <c r="G460" s="306" t="s">
        <v>420</v>
      </c>
      <c r="H460" s="306" t="s">
        <v>415</v>
      </c>
      <c r="I460" s="307" t="s">
        <v>329</v>
      </c>
      <c r="J460" s="37">
        <v>4.0</v>
      </c>
    </row>
    <row r="461">
      <c r="A461" s="303"/>
      <c r="B461" s="304" t="s">
        <v>394</v>
      </c>
      <c r="C461" s="37" t="s">
        <v>396</v>
      </c>
      <c r="D461" s="153" t="s">
        <v>406</v>
      </c>
      <c r="E461" s="153" t="s">
        <v>411</v>
      </c>
      <c r="F461" s="309" t="s">
        <v>1465</v>
      </c>
      <c r="G461" s="306" t="s">
        <v>420</v>
      </c>
      <c r="H461" s="306" t="s">
        <v>416</v>
      </c>
      <c r="I461" s="307" t="s">
        <v>329</v>
      </c>
      <c r="J461" s="37">
        <v>5.0</v>
      </c>
    </row>
    <row r="462">
      <c r="A462" s="303"/>
      <c r="B462" s="304" t="s">
        <v>394</v>
      </c>
      <c r="C462" s="37" t="s">
        <v>396</v>
      </c>
      <c r="D462" s="153" t="s">
        <v>406</v>
      </c>
      <c r="E462" s="153" t="s">
        <v>411</v>
      </c>
      <c r="F462" s="310" t="s">
        <v>1466</v>
      </c>
      <c r="G462" s="306" t="s">
        <v>422</v>
      </c>
      <c r="H462" s="306" t="s">
        <v>415</v>
      </c>
      <c r="I462" s="307" t="s">
        <v>329</v>
      </c>
      <c r="J462" s="37">
        <v>4.0</v>
      </c>
    </row>
    <row r="463">
      <c r="A463" s="303"/>
      <c r="B463" s="304" t="s">
        <v>394</v>
      </c>
      <c r="C463" s="37" t="s">
        <v>396</v>
      </c>
      <c r="D463" s="153" t="s">
        <v>406</v>
      </c>
      <c r="E463" s="153" t="s">
        <v>411</v>
      </c>
      <c r="F463" s="310" t="s">
        <v>1467</v>
      </c>
      <c r="G463" s="306" t="s">
        <v>422</v>
      </c>
      <c r="H463" s="306" t="s">
        <v>416</v>
      </c>
      <c r="I463" s="307" t="s">
        <v>329</v>
      </c>
      <c r="J463" s="37">
        <v>4.0</v>
      </c>
    </row>
    <row r="464">
      <c r="A464" s="312"/>
      <c r="B464" s="37" t="s">
        <v>1468</v>
      </c>
      <c r="C464" s="37" t="s">
        <v>1468</v>
      </c>
      <c r="D464" s="37"/>
      <c r="E464" s="37"/>
      <c r="F464" s="37"/>
      <c r="G464" s="306" t="s">
        <v>1468</v>
      </c>
      <c r="H464" s="306" t="s">
        <v>1468</v>
      </c>
      <c r="I464" s="173"/>
    </row>
    <row r="465">
      <c r="A465" s="303">
        <v>68.0</v>
      </c>
      <c r="B465" s="304" t="s">
        <v>394</v>
      </c>
      <c r="C465" s="37" t="s">
        <v>396</v>
      </c>
      <c r="D465" s="153" t="s">
        <v>406</v>
      </c>
      <c r="E465" s="153" t="s">
        <v>411</v>
      </c>
      <c r="F465" s="313" t="s">
        <v>1462</v>
      </c>
      <c r="G465" s="306" t="s">
        <v>418</v>
      </c>
      <c r="H465" s="306" t="s">
        <v>415</v>
      </c>
      <c r="I465" s="307" t="s">
        <v>330</v>
      </c>
      <c r="J465" s="37">
        <v>2.0</v>
      </c>
    </row>
    <row r="466">
      <c r="A466" s="303"/>
      <c r="B466" s="304" t="s">
        <v>394</v>
      </c>
      <c r="C466" s="37" t="s">
        <v>396</v>
      </c>
      <c r="D466" s="153" t="s">
        <v>406</v>
      </c>
      <c r="E466" s="153" t="s">
        <v>411</v>
      </c>
      <c r="F466" s="308" t="s">
        <v>1463</v>
      </c>
      <c r="G466" s="306" t="s">
        <v>418</v>
      </c>
      <c r="H466" s="306" t="s">
        <v>416</v>
      </c>
      <c r="I466" s="307" t="s">
        <v>330</v>
      </c>
      <c r="J466" s="37">
        <v>0.0</v>
      </c>
    </row>
    <row r="467">
      <c r="A467" s="303"/>
      <c r="B467" s="304" t="s">
        <v>394</v>
      </c>
      <c r="C467" s="37" t="s">
        <v>396</v>
      </c>
      <c r="D467" s="153" t="s">
        <v>406</v>
      </c>
      <c r="E467" s="153" t="s">
        <v>411</v>
      </c>
      <c r="F467" s="309" t="s">
        <v>1464</v>
      </c>
      <c r="G467" s="306" t="s">
        <v>420</v>
      </c>
      <c r="H467" s="306" t="s">
        <v>415</v>
      </c>
      <c r="I467" s="307" t="s">
        <v>330</v>
      </c>
      <c r="J467" s="37">
        <v>0.0</v>
      </c>
    </row>
    <row r="468">
      <c r="A468" s="303"/>
      <c r="B468" s="304" t="s">
        <v>394</v>
      </c>
      <c r="C468" s="37" t="s">
        <v>396</v>
      </c>
      <c r="D468" s="153" t="s">
        <v>406</v>
      </c>
      <c r="E468" s="153" t="s">
        <v>411</v>
      </c>
      <c r="F468" s="309" t="s">
        <v>1465</v>
      </c>
      <c r="G468" s="306" t="s">
        <v>420</v>
      </c>
      <c r="H468" s="306" t="s">
        <v>416</v>
      </c>
      <c r="I468" s="307" t="s">
        <v>330</v>
      </c>
      <c r="J468" s="37">
        <v>1.0</v>
      </c>
    </row>
    <row r="469">
      <c r="A469" s="303"/>
      <c r="B469" s="304" t="s">
        <v>394</v>
      </c>
      <c r="C469" s="37" t="s">
        <v>396</v>
      </c>
      <c r="D469" s="153" t="s">
        <v>406</v>
      </c>
      <c r="E469" s="153" t="s">
        <v>411</v>
      </c>
      <c r="F469" s="310" t="s">
        <v>1466</v>
      </c>
      <c r="G469" s="306" t="s">
        <v>422</v>
      </c>
      <c r="H469" s="306" t="s">
        <v>415</v>
      </c>
      <c r="I469" s="307" t="s">
        <v>330</v>
      </c>
      <c r="J469" s="37">
        <v>1.0</v>
      </c>
    </row>
    <row r="470">
      <c r="A470" s="303"/>
      <c r="B470" s="304" t="s">
        <v>394</v>
      </c>
      <c r="C470" s="37" t="s">
        <v>396</v>
      </c>
      <c r="D470" s="153" t="s">
        <v>406</v>
      </c>
      <c r="E470" s="153" t="s">
        <v>411</v>
      </c>
      <c r="F470" s="310" t="s">
        <v>1467</v>
      </c>
      <c r="G470" s="306" t="s">
        <v>422</v>
      </c>
      <c r="H470" s="306" t="s">
        <v>416</v>
      </c>
      <c r="I470" s="307" t="s">
        <v>330</v>
      </c>
      <c r="J470" s="37">
        <v>1.0</v>
      </c>
    </row>
    <row r="471">
      <c r="A471" s="312"/>
      <c r="B471" s="37" t="s">
        <v>1468</v>
      </c>
      <c r="C471" s="37" t="s">
        <v>1468</v>
      </c>
      <c r="D471" s="37"/>
      <c r="E471" s="37"/>
      <c r="F471" s="37"/>
      <c r="G471" s="306" t="s">
        <v>1468</v>
      </c>
      <c r="H471" s="306" t="s">
        <v>1468</v>
      </c>
      <c r="I471" s="173"/>
    </row>
    <row r="472">
      <c r="A472" s="303">
        <v>69.0</v>
      </c>
      <c r="B472" s="304" t="s">
        <v>394</v>
      </c>
      <c r="C472" s="37" t="s">
        <v>396</v>
      </c>
      <c r="D472" s="153" t="s">
        <v>406</v>
      </c>
      <c r="E472" s="153" t="s">
        <v>411</v>
      </c>
      <c r="F472" s="313" t="s">
        <v>1462</v>
      </c>
      <c r="G472" s="306" t="s">
        <v>418</v>
      </c>
      <c r="H472" s="306" t="s">
        <v>415</v>
      </c>
      <c r="I472" s="307" t="s">
        <v>333</v>
      </c>
      <c r="J472" s="37">
        <v>5.0</v>
      </c>
    </row>
    <row r="473">
      <c r="A473" s="303"/>
      <c r="B473" s="304" t="s">
        <v>394</v>
      </c>
      <c r="C473" s="37" t="s">
        <v>396</v>
      </c>
      <c r="D473" s="153" t="s">
        <v>406</v>
      </c>
      <c r="E473" s="153" t="s">
        <v>411</v>
      </c>
      <c r="F473" s="308" t="s">
        <v>1463</v>
      </c>
      <c r="G473" s="306" t="s">
        <v>418</v>
      </c>
      <c r="H473" s="306" t="s">
        <v>416</v>
      </c>
      <c r="I473" s="307" t="s">
        <v>333</v>
      </c>
      <c r="J473" s="37">
        <v>4.0</v>
      </c>
    </row>
    <row r="474">
      <c r="A474" s="303"/>
      <c r="B474" s="304" t="s">
        <v>394</v>
      </c>
      <c r="C474" s="37" t="s">
        <v>396</v>
      </c>
      <c r="D474" s="153" t="s">
        <v>406</v>
      </c>
      <c r="E474" s="153" t="s">
        <v>411</v>
      </c>
      <c r="F474" s="309" t="s">
        <v>1464</v>
      </c>
      <c r="G474" s="306" t="s">
        <v>420</v>
      </c>
      <c r="H474" s="306" t="s">
        <v>415</v>
      </c>
      <c r="I474" s="307" t="s">
        <v>333</v>
      </c>
      <c r="J474" s="37">
        <v>6.0</v>
      </c>
    </row>
    <row r="475">
      <c r="A475" s="303"/>
      <c r="B475" s="304" t="s">
        <v>394</v>
      </c>
      <c r="C475" s="37" t="s">
        <v>396</v>
      </c>
      <c r="D475" s="153" t="s">
        <v>406</v>
      </c>
      <c r="E475" s="153" t="s">
        <v>411</v>
      </c>
      <c r="F475" s="309" t="s">
        <v>1465</v>
      </c>
      <c r="G475" s="306" t="s">
        <v>420</v>
      </c>
      <c r="H475" s="306" t="s">
        <v>416</v>
      </c>
      <c r="I475" s="307" t="s">
        <v>333</v>
      </c>
      <c r="J475" s="37">
        <v>4.0</v>
      </c>
    </row>
    <row r="476">
      <c r="A476" s="303"/>
      <c r="B476" s="304" t="s">
        <v>394</v>
      </c>
      <c r="C476" s="37" t="s">
        <v>396</v>
      </c>
      <c r="D476" s="153" t="s">
        <v>406</v>
      </c>
      <c r="E476" s="153" t="s">
        <v>411</v>
      </c>
      <c r="F476" s="310" t="s">
        <v>1466</v>
      </c>
      <c r="G476" s="306" t="s">
        <v>422</v>
      </c>
      <c r="H476" s="306" t="s">
        <v>415</v>
      </c>
      <c r="I476" s="307" t="s">
        <v>333</v>
      </c>
      <c r="J476" s="37">
        <v>4.0</v>
      </c>
    </row>
    <row r="477">
      <c r="A477" s="303"/>
      <c r="B477" s="304" t="s">
        <v>394</v>
      </c>
      <c r="C477" s="37" t="s">
        <v>396</v>
      </c>
      <c r="D477" s="153" t="s">
        <v>406</v>
      </c>
      <c r="E477" s="153" t="s">
        <v>411</v>
      </c>
      <c r="F477" s="310" t="s">
        <v>1467</v>
      </c>
      <c r="G477" s="306" t="s">
        <v>422</v>
      </c>
      <c r="H477" s="306" t="s">
        <v>416</v>
      </c>
      <c r="I477" s="307" t="s">
        <v>333</v>
      </c>
      <c r="J477" s="37">
        <v>6.0</v>
      </c>
    </row>
    <row r="478">
      <c r="A478" s="312"/>
      <c r="B478" s="37" t="s">
        <v>1468</v>
      </c>
      <c r="C478" s="37" t="s">
        <v>1468</v>
      </c>
      <c r="D478" s="37"/>
      <c r="E478" s="37"/>
      <c r="F478" s="37"/>
      <c r="G478" s="306" t="s">
        <v>1468</v>
      </c>
      <c r="H478" s="306" t="s">
        <v>1468</v>
      </c>
      <c r="I478" s="173"/>
    </row>
    <row r="479">
      <c r="A479" s="303">
        <v>70.0</v>
      </c>
      <c r="B479" s="304" t="s">
        <v>394</v>
      </c>
      <c r="C479" s="37" t="s">
        <v>396</v>
      </c>
      <c r="D479" s="153" t="s">
        <v>406</v>
      </c>
      <c r="E479" s="153" t="s">
        <v>411</v>
      </c>
      <c r="F479" s="313" t="s">
        <v>1462</v>
      </c>
      <c r="G479" s="306" t="s">
        <v>418</v>
      </c>
      <c r="H479" s="306" t="s">
        <v>415</v>
      </c>
      <c r="I479" s="307" t="s">
        <v>334</v>
      </c>
      <c r="J479" s="37">
        <v>4.0</v>
      </c>
    </row>
    <row r="480">
      <c r="A480" s="303"/>
      <c r="B480" s="304" t="s">
        <v>394</v>
      </c>
      <c r="C480" s="37" t="s">
        <v>396</v>
      </c>
      <c r="D480" s="153" t="s">
        <v>406</v>
      </c>
      <c r="E480" s="153" t="s">
        <v>411</v>
      </c>
      <c r="F480" s="308" t="s">
        <v>1463</v>
      </c>
      <c r="G480" s="306" t="s">
        <v>418</v>
      </c>
      <c r="H480" s="306" t="s">
        <v>416</v>
      </c>
      <c r="I480" s="307" t="s">
        <v>334</v>
      </c>
      <c r="J480" s="37">
        <v>3.0</v>
      </c>
    </row>
    <row r="481">
      <c r="A481" s="303"/>
      <c r="B481" s="304" t="s">
        <v>394</v>
      </c>
      <c r="C481" s="37" t="s">
        <v>396</v>
      </c>
      <c r="D481" s="153" t="s">
        <v>406</v>
      </c>
      <c r="E481" s="153" t="s">
        <v>411</v>
      </c>
      <c r="F481" s="309" t="s">
        <v>1464</v>
      </c>
      <c r="G481" s="306" t="s">
        <v>420</v>
      </c>
      <c r="H481" s="306" t="s">
        <v>415</v>
      </c>
      <c r="I481" s="307" t="s">
        <v>334</v>
      </c>
      <c r="J481" s="37">
        <v>2.0</v>
      </c>
    </row>
    <row r="482">
      <c r="A482" s="303"/>
      <c r="B482" s="304" t="s">
        <v>394</v>
      </c>
      <c r="C482" s="37" t="s">
        <v>396</v>
      </c>
      <c r="D482" s="153" t="s">
        <v>406</v>
      </c>
      <c r="E482" s="153" t="s">
        <v>411</v>
      </c>
      <c r="F482" s="309" t="s">
        <v>1465</v>
      </c>
      <c r="G482" s="306" t="s">
        <v>420</v>
      </c>
      <c r="H482" s="306" t="s">
        <v>416</v>
      </c>
      <c r="I482" s="307" t="s">
        <v>334</v>
      </c>
      <c r="J482" s="37">
        <v>2.0</v>
      </c>
    </row>
    <row r="483">
      <c r="A483" s="303"/>
      <c r="B483" s="304" t="s">
        <v>394</v>
      </c>
      <c r="C483" s="37" t="s">
        <v>396</v>
      </c>
      <c r="D483" s="153" t="s">
        <v>406</v>
      </c>
      <c r="E483" s="153" t="s">
        <v>411</v>
      </c>
      <c r="F483" s="310" t="s">
        <v>1466</v>
      </c>
      <c r="G483" s="306" t="s">
        <v>422</v>
      </c>
      <c r="H483" s="306" t="s">
        <v>415</v>
      </c>
      <c r="I483" s="307" t="s">
        <v>334</v>
      </c>
      <c r="J483" s="37">
        <v>2.0</v>
      </c>
    </row>
    <row r="484">
      <c r="A484" s="303"/>
      <c r="B484" s="304" t="s">
        <v>394</v>
      </c>
      <c r="C484" s="37" t="s">
        <v>396</v>
      </c>
      <c r="D484" s="153" t="s">
        <v>406</v>
      </c>
      <c r="E484" s="153" t="s">
        <v>411</v>
      </c>
      <c r="F484" s="310" t="s">
        <v>1467</v>
      </c>
      <c r="G484" s="306" t="s">
        <v>422</v>
      </c>
      <c r="H484" s="306" t="s">
        <v>416</v>
      </c>
      <c r="I484" s="307" t="s">
        <v>334</v>
      </c>
      <c r="J484" s="37">
        <v>2.0</v>
      </c>
    </row>
    <row r="485">
      <c r="A485" s="312"/>
      <c r="B485" s="37" t="s">
        <v>1468</v>
      </c>
      <c r="C485" s="37" t="s">
        <v>1468</v>
      </c>
      <c r="D485" s="37"/>
      <c r="E485" s="37"/>
      <c r="F485" s="37"/>
      <c r="G485" s="306" t="s">
        <v>1468</v>
      </c>
      <c r="H485" s="306" t="s">
        <v>1468</v>
      </c>
      <c r="I485" s="173"/>
    </row>
    <row r="486">
      <c r="A486" s="303">
        <v>71.0</v>
      </c>
      <c r="B486" s="304" t="s">
        <v>394</v>
      </c>
      <c r="C486" s="37" t="s">
        <v>396</v>
      </c>
      <c r="D486" s="153" t="s">
        <v>406</v>
      </c>
      <c r="E486" s="153" t="s">
        <v>412</v>
      </c>
      <c r="F486" s="313" t="s">
        <v>1462</v>
      </c>
      <c r="G486" s="306" t="s">
        <v>418</v>
      </c>
      <c r="H486" s="306" t="s">
        <v>415</v>
      </c>
      <c r="I486" s="307">
        <v>36167.0</v>
      </c>
      <c r="J486" s="37">
        <v>1.0</v>
      </c>
    </row>
    <row r="487">
      <c r="A487" s="303"/>
      <c r="B487" s="304" t="s">
        <v>394</v>
      </c>
      <c r="C487" s="37" t="s">
        <v>396</v>
      </c>
      <c r="D487" s="153" t="s">
        <v>406</v>
      </c>
      <c r="E487" s="153" t="s">
        <v>412</v>
      </c>
      <c r="F487" s="308" t="s">
        <v>1463</v>
      </c>
      <c r="G487" s="306" t="s">
        <v>418</v>
      </c>
      <c r="H487" s="306" t="s">
        <v>416</v>
      </c>
      <c r="I487" s="307">
        <v>36167.0</v>
      </c>
      <c r="J487" s="37">
        <v>1.0</v>
      </c>
    </row>
    <row r="488">
      <c r="A488" s="303"/>
      <c r="B488" s="304" t="s">
        <v>394</v>
      </c>
      <c r="C488" s="37" t="s">
        <v>396</v>
      </c>
      <c r="D488" s="153" t="s">
        <v>406</v>
      </c>
      <c r="E488" s="153" t="s">
        <v>412</v>
      </c>
      <c r="F488" s="309" t="s">
        <v>1464</v>
      </c>
      <c r="G488" s="306" t="s">
        <v>420</v>
      </c>
      <c r="H488" s="306" t="s">
        <v>415</v>
      </c>
      <c r="I488" s="307">
        <v>36167.0</v>
      </c>
      <c r="J488" s="37">
        <v>1.0</v>
      </c>
    </row>
    <row r="489">
      <c r="A489" s="303"/>
      <c r="B489" s="304" t="s">
        <v>394</v>
      </c>
      <c r="C489" s="37" t="s">
        <v>396</v>
      </c>
      <c r="D489" s="153" t="s">
        <v>406</v>
      </c>
      <c r="E489" s="153" t="s">
        <v>412</v>
      </c>
      <c r="F489" s="309" t="s">
        <v>1465</v>
      </c>
      <c r="G489" s="306" t="s">
        <v>420</v>
      </c>
      <c r="H489" s="306" t="s">
        <v>416</v>
      </c>
      <c r="I489" s="307">
        <v>36167.0</v>
      </c>
      <c r="J489" s="37">
        <v>0.0</v>
      </c>
    </row>
    <row r="490">
      <c r="A490" s="303"/>
      <c r="B490" s="304" t="s">
        <v>394</v>
      </c>
      <c r="C490" s="37" t="s">
        <v>396</v>
      </c>
      <c r="D490" s="153" t="s">
        <v>406</v>
      </c>
      <c r="E490" s="153" t="s">
        <v>412</v>
      </c>
      <c r="F490" s="310" t="s">
        <v>1466</v>
      </c>
      <c r="G490" s="306" t="s">
        <v>422</v>
      </c>
      <c r="H490" s="306" t="s">
        <v>415</v>
      </c>
      <c r="I490" s="307">
        <v>36167.0</v>
      </c>
      <c r="J490" s="37">
        <v>1.0</v>
      </c>
    </row>
    <row r="491">
      <c r="A491" s="303"/>
      <c r="B491" s="304" t="s">
        <v>394</v>
      </c>
      <c r="C491" s="37" t="s">
        <v>396</v>
      </c>
      <c r="D491" s="153" t="s">
        <v>406</v>
      </c>
      <c r="E491" s="153" t="s">
        <v>412</v>
      </c>
      <c r="F491" s="310" t="s">
        <v>1467</v>
      </c>
      <c r="G491" s="306" t="s">
        <v>422</v>
      </c>
      <c r="H491" s="306" t="s">
        <v>416</v>
      </c>
      <c r="I491" s="307">
        <v>36167.0</v>
      </c>
      <c r="J491" s="37">
        <v>0.0</v>
      </c>
    </row>
    <row r="492">
      <c r="A492" s="312"/>
      <c r="B492" s="37" t="s">
        <v>1468</v>
      </c>
      <c r="C492" s="37" t="s">
        <v>1468</v>
      </c>
      <c r="D492" s="37"/>
      <c r="E492" s="37"/>
      <c r="F492" s="37"/>
      <c r="G492" s="306" t="s">
        <v>1468</v>
      </c>
      <c r="H492" s="306" t="s">
        <v>1468</v>
      </c>
      <c r="I492" s="173"/>
    </row>
    <row r="493">
      <c r="A493" s="303">
        <v>72.0</v>
      </c>
      <c r="B493" s="304" t="s">
        <v>394</v>
      </c>
      <c r="C493" s="37" t="s">
        <v>396</v>
      </c>
      <c r="D493" s="153" t="s">
        <v>406</v>
      </c>
      <c r="E493" s="153" t="s">
        <v>412</v>
      </c>
      <c r="F493" s="313" t="s">
        <v>1462</v>
      </c>
      <c r="G493" s="306" t="s">
        <v>418</v>
      </c>
      <c r="H493" s="306" t="s">
        <v>415</v>
      </c>
      <c r="I493" s="307">
        <v>36207.0</v>
      </c>
      <c r="J493" s="37">
        <v>1.0</v>
      </c>
    </row>
    <row r="494">
      <c r="A494" s="303"/>
      <c r="B494" s="304" t="s">
        <v>394</v>
      </c>
      <c r="C494" s="37" t="s">
        <v>396</v>
      </c>
      <c r="D494" s="153" t="s">
        <v>406</v>
      </c>
      <c r="E494" s="153" t="s">
        <v>412</v>
      </c>
      <c r="F494" s="308" t="s">
        <v>1463</v>
      </c>
      <c r="G494" s="306" t="s">
        <v>418</v>
      </c>
      <c r="H494" s="306" t="s">
        <v>416</v>
      </c>
      <c r="I494" s="307">
        <v>36207.0</v>
      </c>
      <c r="J494" s="37">
        <v>2.0</v>
      </c>
    </row>
    <row r="495">
      <c r="A495" s="303"/>
      <c r="B495" s="304" t="s">
        <v>394</v>
      </c>
      <c r="C495" s="37" t="s">
        <v>396</v>
      </c>
      <c r="D495" s="153" t="s">
        <v>406</v>
      </c>
      <c r="E495" s="153" t="s">
        <v>412</v>
      </c>
      <c r="F495" s="309" t="s">
        <v>1464</v>
      </c>
      <c r="G495" s="306" t="s">
        <v>420</v>
      </c>
      <c r="H495" s="306" t="s">
        <v>415</v>
      </c>
      <c r="I495" s="307">
        <v>36207.0</v>
      </c>
      <c r="J495" s="37">
        <v>1.0</v>
      </c>
    </row>
    <row r="496">
      <c r="A496" s="303"/>
      <c r="B496" s="304" t="s">
        <v>394</v>
      </c>
      <c r="C496" s="37" t="s">
        <v>396</v>
      </c>
      <c r="D496" s="153" t="s">
        <v>406</v>
      </c>
      <c r="E496" s="153" t="s">
        <v>412</v>
      </c>
      <c r="F496" s="309" t="s">
        <v>1465</v>
      </c>
      <c r="G496" s="306" t="s">
        <v>420</v>
      </c>
      <c r="H496" s="306" t="s">
        <v>416</v>
      </c>
      <c r="I496" s="307">
        <v>36207.0</v>
      </c>
      <c r="J496" s="37">
        <v>1.0</v>
      </c>
    </row>
    <row r="497">
      <c r="A497" s="303"/>
      <c r="B497" s="304" t="s">
        <v>394</v>
      </c>
      <c r="C497" s="37" t="s">
        <v>396</v>
      </c>
      <c r="D497" s="153" t="s">
        <v>406</v>
      </c>
      <c r="E497" s="153" t="s">
        <v>412</v>
      </c>
      <c r="F497" s="310" t="s">
        <v>1466</v>
      </c>
      <c r="G497" s="306" t="s">
        <v>422</v>
      </c>
      <c r="H497" s="306" t="s">
        <v>415</v>
      </c>
      <c r="I497" s="307">
        <v>36207.0</v>
      </c>
      <c r="J497" s="37">
        <v>1.0</v>
      </c>
    </row>
    <row r="498">
      <c r="A498" s="303"/>
      <c r="B498" s="304" t="s">
        <v>394</v>
      </c>
      <c r="C498" s="37" t="s">
        <v>396</v>
      </c>
      <c r="D498" s="153" t="s">
        <v>406</v>
      </c>
      <c r="E498" s="153" t="s">
        <v>412</v>
      </c>
      <c r="F498" s="310" t="s">
        <v>1467</v>
      </c>
      <c r="G498" s="306" t="s">
        <v>422</v>
      </c>
      <c r="H498" s="306" t="s">
        <v>416</v>
      </c>
      <c r="I498" s="307">
        <v>36207.0</v>
      </c>
      <c r="J498" s="37">
        <v>1.0</v>
      </c>
    </row>
    <row r="499">
      <c r="A499" s="312"/>
      <c r="B499" s="37" t="s">
        <v>1468</v>
      </c>
      <c r="C499" s="37" t="s">
        <v>1468</v>
      </c>
      <c r="D499" s="37"/>
      <c r="E499" s="37"/>
      <c r="F499" s="37"/>
      <c r="G499" s="306" t="s">
        <v>1468</v>
      </c>
      <c r="H499" s="306" t="s">
        <v>1468</v>
      </c>
      <c r="I499" s="173"/>
    </row>
    <row r="500">
      <c r="A500" s="303">
        <v>73.0</v>
      </c>
      <c r="B500" s="304" t="s">
        <v>394</v>
      </c>
      <c r="C500" s="37" t="s">
        <v>396</v>
      </c>
      <c r="D500" s="153" t="s">
        <v>406</v>
      </c>
      <c r="E500" s="153" t="s">
        <v>412</v>
      </c>
      <c r="F500" s="313" t="s">
        <v>1462</v>
      </c>
      <c r="G500" s="306" t="s">
        <v>418</v>
      </c>
      <c r="H500" s="306" t="s">
        <v>415</v>
      </c>
      <c r="I500" s="307">
        <v>36831.0</v>
      </c>
      <c r="J500" s="37">
        <v>0.0</v>
      </c>
    </row>
    <row r="501">
      <c r="A501" s="303"/>
      <c r="B501" s="304" t="s">
        <v>394</v>
      </c>
      <c r="C501" s="37" t="s">
        <v>396</v>
      </c>
      <c r="D501" s="153" t="s">
        <v>406</v>
      </c>
      <c r="E501" s="153" t="s">
        <v>412</v>
      </c>
      <c r="F501" s="308" t="s">
        <v>1463</v>
      </c>
      <c r="G501" s="306" t="s">
        <v>418</v>
      </c>
      <c r="H501" s="306" t="s">
        <v>416</v>
      </c>
      <c r="I501" s="307">
        <v>36831.0</v>
      </c>
      <c r="J501" s="37">
        <v>1.0</v>
      </c>
    </row>
    <row r="502">
      <c r="A502" s="303"/>
      <c r="B502" s="304" t="s">
        <v>394</v>
      </c>
      <c r="C502" s="37" t="s">
        <v>396</v>
      </c>
      <c r="D502" s="153" t="s">
        <v>406</v>
      </c>
      <c r="E502" s="153" t="s">
        <v>412</v>
      </c>
      <c r="F502" s="309" t="s">
        <v>1464</v>
      </c>
      <c r="G502" s="306" t="s">
        <v>420</v>
      </c>
      <c r="H502" s="306" t="s">
        <v>415</v>
      </c>
      <c r="I502" s="307">
        <v>36831.0</v>
      </c>
      <c r="J502" s="37">
        <v>1.0</v>
      </c>
    </row>
    <row r="503">
      <c r="A503" s="303"/>
      <c r="B503" s="304" t="s">
        <v>394</v>
      </c>
      <c r="C503" s="37" t="s">
        <v>396</v>
      </c>
      <c r="D503" s="153" t="s">
        <v>406</v>
      </c>
      <c r="E503" s="153" t="s">
        <v>412</v>
      </c>
      <c r="F503" s="309" t="s">
        <v>1465</v>
      </c>
      <c r="G503" s="306" t="s">
        <v>420</v>
      </c>
      <c r="H503" s="306" t="s">
        <v>416</v>
      </c>
      <c r="I503" s="307">
        <v>36831.0</v>
      </c>
      <c r="J503" s="37">
        <v>1.0</v>
      </c>
    </row>
    <row r="504">
      <c r="A504" s="303"/>
      <c r="B504" s="304" t="s">
        <v>394</v>
      </c>
      <c r="C504" s="37" t="s">
        <v>396</v>
      </c>
      <c r="D504" s="153" t="s">
        <v>406</v>
      </c>
      <c r="E504" s="153" t="s">
        <v>412</v>
      </c>
      <c r="F504" s="310" t="s">
        <v>1466</v>
      </c>
      <c r="G504" s="306" t="s">
        <v>422</v>
      </c>
      <c r="H504" s="306" t="s">
        <v>415</v>
      </c>
      <c r="I504" s="307">
        <v>36831.0</v>
      </c>
      <c r="J504" s="37">
        <v>1.0</v>
      </c>
    </row>
    <row r="505">
      <c r="A505" s="303"/>
      <c r="B505" s="304" t="s">
        <v>394</v>
      </c>
      <c r="C505" s="37" t="s">
        <v>396</v>
      </c>
      <c r="D505" s="153" t="s">
        <v>406</v>
      </c>
      <c r="E505" s="153" t="s">
        <v>412</v>
      </c>
      <c r="F505" s="310" t="s">
        <v>1467</v>
      </c>
      <c r="G505" s="306" t="s">
        <v>422</v>
      </c>
      <c r="H505" s="306" t="s">
        <v>416</v>
      </c>
      <c r="I505" s="307">
        <v>36831.0</v>
      </c>
      <c r="J505" s="37">
        <v>1.0</v>
      </c>
    </row>
    <row r="506">
      <c r="A506" s="312"/>
      <c r="B506" s="37" t="s">
        <v>1468</v>
      </c>
      <c r="C506" s="37" t="s">
        <v>1468</v>
      </c>
      <c r="D506" s="37"/>
      <c r="E506" s="37"/>
      <c r="F506" s="37"/>
      <c r="G506" s="306" t="s">
        <v>1468</v>
      </c>
      <c r="H506" s="306" t="s">
        <v>1468</v>
      </c>
      <c r="I506" s="173"/>
    </row>
    <row r="507">
      <c r="A507" s="303">
        <v>74.0</v>
      </c>
      <c r="B507" s="304" t="s">
        <v>394</v>
      </c>
      <c r="C507" s="37" t="s">
        <v>396</v>
      </c>
      <c r="D507" s="153" t="s">
        <v>406</v>
      </c>
      <c r="E507" s="153" t="s">
        <v>412</v>
      </c>
      <c r="F507" s="313" t="s">
        <v>1462</v>
      </c>
      <c r="G507" s="306" t="s">
        <v>418</v>
      </c>
      <c r="H507" s="306" t="s">
        <v>415</v>
      </c>
      <c r="I507" s="307" t="s">
        <v>1470</v>
      </c>
      <c r="J507" s="37">
        <v>0.0</v>
      </c>
    </row>
    <row r="508">
      <c r="A508" s="303"/>
      <c r="B508" s="304" t="s">
        <v>394</v>
      </c>
      <c r="C508" s="37" t="s">
        <v>396</v>
      </c>
      <c r="D508" s="153" t="s">
        <v>406</v>
      </c>
      <c r="E508" s="153" t="s">
        <v>412</v>
      </c>
      <c r="F508" s="308" t="s">
        <v>1463</v>
      </c>
      <c r="G508" s="306" t="s">
        <v>418</v>
      </c>
      <c r="H508" s="306" t="s">
        <v>416</v>
      </c>
      <c r="I508" s="307" t="s">
        <v>1470</v>
      </c>
      <c r="J508" s="37">
        <v>0.0</v>
      </c>
    </row>
    <row r="509">
      <c r="A509" s="303"/>
      <c r="B509" s="304" t="s">
        <v>394</v>
      </c>
      <c r="C509" s="37" t="s">
        <v>396</v>
      </c>
      <c r="D509" s="153" t="s">
        <v>406</v>
      </c>
      <c r="E509" s="153" t="s">
        <v>412</v>
      </c>
      <c r="F509" s="309" t="s">
        <v>1464</v>
      </c>
      <c r="G509" s="306" t="s">
        <v>420</v>
      </c>
      <c r="H509" s="306" t="s">
        <v>415</v>
      </c>
      <c r="I509" s="307" t="s">
        <v>1470</v>
      </c>
      <c r="J509" s="37">
        <v>1.0</v>
      </c>
    </row>
    <row r="510">
      <c r="A510" s="303"/>
      <c r="B510" s="304" t="s">
        <v>394</v>
      </c>
      <c r="C510" s="37" t="s">
        <v>396</v>
      </c>
      <c r="D510" s="153" t="s">
        <v>406</v>
      </c>
      <c r="E510" s="153" t="s">
        <v>412</v>
      </c>
      <c r="F510" s="309" t="s">
        <v>1465</v>
      </c>
      <c r="G510" s="306" t="s">
        <v>420</v>
      </c>
      <c r="H510" s="306" t="s">
        <v>416</v>
      </c>
      <c r="I510" s="307" t="s">
        <v>1470</v>
      </c>
      <c r="J510" s="37">
        <v>1.0</v>
      </c>
    </row>
    <row r="511">
      <c r="A511" s="303"/>
      <c r="B511" s="304" t="s">
        <v>394</v>
      </c>
      <c r="C511" s="37" t="s">
        <v>396</v>
      </c>
      <c r="D511" s="153" t="s">
        <v>406</v>
      </c>
      <c r="E511" s="153" t="s">
        <v>412</v>
      </c>
      <c r="F511" s="310" t="s">
        <v>1466</v>
      </c>
      <c r="G511" s="306" t="s">
        <v>422</v>
      </c>
      <c r="H511" s="306" t="s">
        <v>415</v>
      </c>
      <c r="I511" s="307" t="s">
        <v>1470</v>
      </c>
      <c r="J511" s="37">
        <v>1.0</v>
      </c>
    </row>
    <row r="512">
      <c r="A512" s="303"/>
      <c r="B512" s="304" t="s">
        <v>394</v>
      </c>
      <c r="C512" s="37" t="s">
        <v>396</v>
      </c>
      <c r="D512" s="153" t="s">
        <v>406</v>
      </c>
      <c r="E512" s="153" t="s">
        <v>412</v>
      </c>
      <c r="F512" s="310" t="s">
        <v>1467</v>
      </c>
      <c r="G512" s="306" t="s">
        <v>422</v>
      </c>
      <c r="H512" s="306" t="s">
        <v>416</v>
      </c>
      <c r="I512" s="307" t="s">
        <v>1470</v>
      </c>
      <c r="J512" s="37">
        <v>1.0</v>
      </c>
    </row>
    <row r="513">
      <c r="A513" s="312"/>
      <c r="B513" s="37" t="s">
        <v>1468</v>
      </c>
      <c r="C513" s="37" t="s">
        <v>1468</v>
      </c>
      <c r="D513" s="37"/>
      <c r="E513" s="37"/>
      <c r="F513" s="37"/>
      <c r="G513" s="306" t="s">
        <v>1468</v>
      </c>
      <c r="H513" s="306" t="s">
        <v>1468</v>
      </c>
      <c r="I513" s="173"/>
    </row>
    <row r="514">
      <c r="A514" s="303">
        <v>75.0</v>
      </c>
      <c r="B514" s="304" t="s">
        <v>394</v>
      </c>
      <c r="C514" s="37" t="s">
        <v>396</v>
      </c>
      <c r="D514" s="153" t="s">
        <v>406</v>
      </c>
      <c r="E514" s="153" t="s">
        <v>412</v>
      </c>
      <c r="F514" s="313" t="s">
        <v>1462</v>
      </c>
      <c r="G514" s="306" t="s">
        <v>418</v>
      </c>
      <c r="H514" s="306" t="s">
        <v>415</v>
      </c>
      <c r="I514" s="307" t="s">
        <v>315</v>
      </c>
      <c r="J514" s="37">
        <v>1.0</v>
      </c>
    </row>
    <row r="515">
      <c r="A515" s="303"/>
      <c r="B515" s="304" t="s">
        <v>394</v>
      </c>
      <c r="C515" s="37" t="s">
        <v>396</v>
      </c>
      <c r="D515" s="153" t="s">
        <v>406</v>
      </c>
      <c r="E515" s="153" t="s">
        <v>412</v>
      </c>
      <c r="F515" s="308" t="s">
        <v>1463</v>
      </c>
      <c r="G515" s="306" t="s">
        <v>418</v>
      </c>
      <c r="H515" s="306" t="s">
        <v>416</v>
      </c>
      <c r="I515" s="307" t="s">
        <v>315</v>
      </c>
      <c r="J515" s="37">
        <v>0.0</v>
      </c>
    </row>
    <row r="516">
      <c r="A516" s="303"/>
      <c r="B516" s="304" t="s">
        <v>394</v>
      </c>
      <c r="C516" s="37" t="s">
        <v>396</v>
      </c>
      <c r="D516" s="153" t="s">
        <v>406</v>
      </c>
      <c r="E516" s="153" t="s">
        <v>412</v>
      </c>
      <c r="F516" s="309" t="s">
        <v>1464</v>
      </c>
      <c r="G516" s="306" t="s">
        <v>420</v>
      </c>
      <c r="H516" s="306" t="s">
        <v>415</v>
      </c>
      <c r="I516" s="307" t="s">
        <v>315</v>
      </c>
      <c r="J516" s="37">
        <v>0.0</v>
      </c>
    </row>
    <row r="517">
      <c r="A517" s="303"/>
      <c r="B517" s="304" t="s">
        <v>394</v>
      </c>
      <c r="C517" s="37" t="s">
        <v>396</v>
      </c>
      <c r="D517" s="153" t="s">
        <v>406</v>
      </c>
      <c r="E517" s="153" t="s">
        <v>412</v>
      </c>
      <c r="F517" s="309" t="s">
        <v>1465</v>
      </c>
      <c r="G517" s="306" t="s">
        <v>420</v>
      </c>
      <c r="H517" s="306" t="s">
        <v>416</v>
      </c>
      <c r="I517" s="307" t="s">
        <v>315</v>
      </c>
      <c r="J517" s="37">
        <v>2.0</v>
      </c>
    </row>
    <row r="518">
      <c r="A518" s="303"/>
      <c r="B518" s="304" t="s">
        <v>394</v>
      </c>
      <c r="C518" s="37" t="s">
        <v>396</v>
      </c>
      <c r="D518" s="153" t="s">
        <v>406</v>
      </c>
      <c r="E518" s="153" t="s">
        <v>412</v>
      </c>
      <c r="F518" s="310" t="s">
        <v>1466</v>
      </c>
      <c r="G518" s="306" t="s">
        <v>422</v>
      </c>
      <c r="H518" s="306" t="s">
        <v>415</v>
      </c>
      <c r="I518" s="307" t="s">
        <v>315</v>
      </c>
      <c r="J518" s="37">
        <v>1.0</v>
      </c>
    </row>
    <row r="519">
      <c r="A519" s="303"/>
      <c r="B519" s="304" t="s">
        <v>394</v>
      </c>
      <c r="C519" s="37" t="s">
        <v>396</v>
      </c>
      <c r="D519" s="153" t="s">
        <v>406</v>
      </c>
      <c r="E519" s="153" t="s">
        <v>412</v>
      </c>
      <c r="F519" s="310" t="s">
        <v>1467</v>
      </c>
      <c r="G519" s="306" t="s">
        <v>422</v>
      </c>
      <c r="H519" s="306" t="s">
        <v>416</v>
      </c>
      <c r="I519" s="307" t="s">
        <v>315</v>
      </c>
      <c r="J519" s="37">
        <v>1.0</v>
      </c>
    </row>
    <row r="520">
      <c r="A520" s="312"/>
      <c r="B520" s="37" t="s">
        <v>1468</v>
      </c>
      <c r="C520" s="37" t="s">
        <v>1468</v>
      </c>
      <c r="D520" s="37"/>
      <c r="E520" s="37"/>
      <c r="F520" s="37"/>
      <c r="G520" s="306" t="s">
        <v>1468</v>
      </c>
      <c r="H520" s="306" t="s">
        <v>1468</v>
      </c>
      <c r="I520" s="173"/>
    </row>
    <row r="521">
      <c r="A521" s="303">
        <v>76.0</v>
      </c>
      <c r="B521" s="304" t="s">
        <v>394</v>
      </c>
      <c r="C521" s="37" t="s">
        <v>396</v>
      </c>
      <c r="D521" s="153" t="s">
        <v>406</v>
      </c>
      <c r="E521" s="153" t="s">
        <v>412</v>
      </c>
      <c r="F521" s="313" t="s">
        <v>1462</v>
      </c>
      <c r="G521" s="306" t="s">
        <v>418</v>
      </c>
      <c r="H521" s="306" t="s">
        <v>415</v>
      </c>
      <c r="I521" s="307" t="s">
        <v>1471</v>
      </c>
      <c r="J521" s="37">
        <v>3.0</v>
      </c>
    </row>
    <row r="522">
      <c r="A522" s="303"/>
      <c r="B522" s="304" t="s">
        <v>394</v>
      </c>
      <c r="C522" s="37" t="s">
        <v>396</v>
      </c>
      <c r="D522" s="153" t="s">
        <v>406</v>
      </c>
      <c r="E522" s="153" t="s">
        <v>412</v>
      </c>
      <c r="F522" s="308" t="s">
        <v>1463</v>
      </c>
      <c r="G522" s="306" t="s">
        <v>418</v>
      </c>
      <c r="H522" s="306" t="s">
        <v>416</v>
      </c>
      <c r="I522" s="307" t="s">
        <v>1471</v>
      </c>
      <c r="J522" s="37">
        <v>2.0</v>
      </c>
    </row>
    <row r="523">
      <c r="A523" s="303"/>
      <c r="B523" s="304" t="s">
        <v>394</v>
      </c>
      <c r="C523" s="37" t="s">
        <v>396</v>
      </c>
      <c r="D523" s="153" t="s">
        <v>406</v>
      </c>
      <c r="E523" s="153" t="s">
        <v>412</v>
      </c>
      <c r="F523" s="309" t="s">
        <v>1464</v>
      </c>
      <c r="G523" s="306" t="s">
        <v>420</v>
      </c>
      <c r="H523" s="306" t="s">
        <v>415</v>
      </c>
      <c r="I523" s="307" t="s">
        <v>1471</v>
      </c>
      <c r="J523" s="37">
        <v>1.0</v>
      </c>
    </row>
    <row r="524">
      <c r="A524" s="303"/>
      <c r="B524" s="304" t="s">
        <v>394</v>
      </c>
      <c r="C524" s="37" t="s">
        <v>396</v>
      </c>
      <c r="D524" s="153" t="s">
        <v>406</v>
      </c>
      <c r="E524" s="153" t="s">
        <v>412</v>
      </c>
      <c r="F524" s="309" t="s">
        <v>1465</v>
      </c>
      <c r="G524" s="306" t="s">
        <v>420</v>
      </c>
      <c r="H524" s="306" t="s">
        <v>416</v>
      </c>
      <c r="I524" s="307" t="s">
        <v>1471</v>
      </c>
      <c r="J524" s="37">
        <v>2.0</v>
      </c>
    </row>
    <row r="525">
      <c r="A525" s="303"/>
      <c r="B525" s="304" t="s">
        <v>394</v>
      </c>
      <c r="C525" s="37" t="s">
        <v>396</v>
      </c>
      <c r="D525" s="153" t="s">
        <v>406</v>
      </c>
      <c r="E525" s="153" t="s">
        <v>412</v>
      </c>
      <c r="F525" s="310" t="s">
        <v>1466</v>
      </c>
      <c r="G525" s="306" t="s">
        <v>422</v>
      </c>
      <c r="H525" s="306" t="s">
        <v>415</v>
      </c>
      <c r="I525" s="307" t="s">
        <v>1471</v>
      </c>
      <c r="J525" s="37">
        <v>1.0</v>
      </c>
    </row>
    <row r="526">
      <c r="A526" s="303"/>
      <c r="B526" s="304" t="s">
        <v>394</v>
      </c>
      <c r="C526" s="37" t="s">
        <v>396</v>
      </c>
      <c r="D526" s="153" t="s">
        <v>406</v>
      </c>
      <c r="E526" s="153" t="s">
        <v>412</v>
      </c>
      <c r="F526" s="310" t="s">
        <v>1467</v>
      </c>
      <c r="G526" s="306" t="s">
        <v>422</v>
      </c>
      <c r="H526" s="306" t="s">
        <v>416</v>
      </c>
      <c r="I526" s="307" t="s">
        <v>1471</v>
      </c>
      <c r="J526" s="37">
        <v>1.0</v>
      </c>
    </row>
    <row r="527">
      <c r="A527" s="312"/>
      <c r="B527" s="37" t="s">
        <v>1468</v>
      </c>
      <c r="C527" s="37" t="s">
        <v>1468</v>
      </c>
      <c r="D527" s="37"/>
      <c r="E527" s="37"/>
      <c r="F527" s="37"/>
      <c r="G527" s="306" t="s">
        <v>1468</v>
      </c>
      <c r="H527" s="306" t="s">
        <v>1468</v>
      </c>
      <c r="I527" s="173"/>
    </row>
    <row r="528">
      <c r="A528" s="303">
        <v>77.0</v>
      </c>
      <c r="B528" s="304" t="s">
        <v>394</v>
      </c>
      <c r="C528" s="37" t="s">
        <v>396</v>
      </c>
      <c r="D528" s="153" t="s">
        <v>406</v>
      </c>
      <c r="E528" s="153" t="s">
        <v>412</v>
      </c>
      <c r="F528" s="313" t="s">
        <v>1462</v>
      </c>
      <c r="G528" s="306" t="s">
        <v>418</v>
      </c>
      <c r="H528" s="306" t="s">
        <v>415</v>
      </c>
      <c r="I528" s="307" t="s">
        <v>317</v>
      </c>
      <c r="J528" s="37">
        <v>1.0</v>
      </c>
    </row>
    <row r="529">
      <c r="A529" s="303"/>
      <c r="B529" s="304" t="s">
        <v>394</v>
      </c>
      <c r="C529" s="37" t="s">
        <v>396</v>
      </c>
      <c r="D529" s="153" t="s">
        <v>406</v>
      </c>
      <c r="E529" s="153" t="s">
        <v>412</v>
      </c>
      <c r="F529" s="308" t="s">
        <v>1463</v>
      </c>
      <c r="G529" s="306" t="s">
        <v>418</v>
      </c>
      <c r="H529" s="306" t="s">
        <v>416</v>
      </c>
      <c r="I529" s="307" t="s">
        <v>317</v>
      </c>
      <c r="J529" s="37">
        <v>1.0</v>
      </c>
    </row>
    <row r="530">
      <c r="A530" s="303"/>
      <c r="B530" s="304" t="s">
        <v>394</v>
      </c>
      <c r="C530" s="37" t="s">
        <v>396</v>
      </c>
      <c r="D530" s="153" t="s">
        <v>406</v>
      </c>
      <c r="E530" s="153" t="s">
        <v>412</v>
      </c>
      <c r="F530" s="309" t="s">
        <v>1464</v>
      </c>
      <c r="G530" s="306" t="s">
        <v>420</v>
      </c>
      <c r="H530" s="306" t="s">
        <v>415</v>
      </c>
      <c r="I530" s="307" t="s">
        <v>317</v>
      </c>
      <c r="J530" s="37">
        <v>0.0</v>
      </c>
    </row>
    <row r="531">
      <c r="A531" s="303"/>
      <c r="B531" s="304" t="s">
        <v>394</v>
      </c>
      <c r="C531" s="37" t="s">
        <v>396</v>
      </c>
      <c r="D531" s="153" t="s">
        <v>406</v>
      </c>
      <c r="E531" s="153" t="s">
        <v>412</v>
      </c>
      <c r="F531" s="309" t="s">
        <v>1465</v>
      </c>
      <c r="G531" s="306" t="s">
        <v>420</v>
      </c>
      <c r="H531" s="306" t="s">
        <v>416</v>
      </c>
      <c r="I531" s="307" t="s">
        <v>317</v>
      </c>
      <c r="J531" s="37">
        <v>0.0</v>
      </c>
    </row>
    <row r="532">
      <c r="A532" s="303"/>
      <c r="B532" s="304" t="s">
        <v>394</v>
      </c>
      <c r="C532" s="37" t="s">
        <v>396</v>
      </c>
      <c r="D532" s="153" t="s">
        <v>406</v>
      </c>
      <c r="E532" s="153" t="s">
        <v>412</v>
      </c>
      <c r="F532" s="310" t="s">
        <v>1466</v>
      </c>
      <c r="G532" s="306" t="s">
        <v>422</v>
      </c>
      <c r="H532" s="306" t="s">
        <v>415</v>
      </c>
      <c r="I532" s="307" t="s">
        <v>317</v>
      </c>
      <c r="J532" s="37">
        <v>1.0</v>
      </c>
    </row>
    <row r="533">
      <c r="A533" s="303"/>
      <c r="B533" s="304" t="s">
        <v>394</v>
      </c>
      <c r="C533" s="37" t="s">
        <v>396</v>
      </c>
      <c r="D533" s="153" t="s">
        <v>406</v>
      </c>
      <c r="E533" s="153" t="s">
        <v>412</v>
      </c>
      <c r="F533" s="310" t="s">
        <v>1467</v>
      </c>
      <c r="G533" s="306" t="s">
        <v>422</v>
      </c>
      <c r="H533" s="306" t="s">
        <v>416</v>
      </c>
      <c r="I533" s="307" t="s">
        <v>317</v>
      </c>
      <c r="J533" s="37">
        <v>1.0</v>
      </c>
    </row>
    <row r="534">
      <c r="A534" s="312"/>
      <c r="B534" s="37"/>
      <c r="C534" s="37" t="s">
        <v>1468</v>
      </c>
      <c r="D534" s="37"/>
      <c r="E534" s="37"/>
      <c r="F534" s="37"/>
      <c r="G534" s="79"/>
      <c r="H534" s="79"/>
      <c r="I534" s="173"/>
    </row>
    <row r="535">
      <c r="A535" s="312"/>
      <c r="B535" s="37"/>
      <c r="C535" s="37" t="s">
        <v>1468</v>
      </c>
      <c r="D535" s="37"/>
      <c r="E535" s="37"/>
      <c r="F535" s="37"/>
      <c r="G535" s="79"/>
      <c r="H535" s="79"/>
      <c r="I535" s="173"/>
    </row>
    <row r="536">
      <c r="A536" s="312"/>
      <c r="B536" s="37"/>
      <c r="C536" s="37" t="s">
        <v>1468</v>
      </c>
      <c r="D536" s="37"/>
      <c r="E536" s="37"/>
      <c r="F536" s="37"/>
      <c r="G536" s="79"/>
      <c r="H536" s="79"/>
      <c r="I536" s="173"/>
    </row>
    <row r="537">
      <c r="A537" s="303">
        <v>78.0</v>
      </c>
      <c r="B537" s="304" t="s">
        <v>394</v>
      </c>
      <c r="C537" s="304" t="s">
        <v>396</v>
      </c>
      <c r="D537" s="199" t="s">
        <v>408</v>
      </c>
      <c r="E537" s="153" t="s">
        <v>405</v>
      </c>
      <c r="F537" s="313" t="s">
        <v>1462</v>
      </c>
      <c r="G537" s="306" t="s">
        <v>418</v>
      </c>
      <c r="H537" s="306" t="s">
        <v>415</v>
      </c>
      <c r="I537" s="307" t="s">
        <v>106</v>
      </c>
      <c r="J537" s="37">
        <v>2.0</v>
      </c>
    </row>
    <row r="538">
      <c r="A538" s="303"/>
      <c r="B538" s="304" t="s">
        <v>394</v>
      </c>
      <c r="C538" s="304" t="s">
        <v>396</v>
      </c>
      <c r="D538" s="199" t="s">
        <v>408</v>
      </c>
      <c r="E538" s="153" t="s">
        <v>405</v>
      </c>
      <c r="F538" s="308" t="s">
        <v>1463</v>
      </c>
      <c r="G538" s="306" t="s">
        <v>418</v>
      </c>
      <c r="H538" s="306" t="s">
        <v>416</v>
      </c>
      <c r="I538" s="307" t="s">
        <v>106</v>
      </c>
      <c r="J538" s="37">
        <v>4.0</v>
      </c>
    </row>
    <row r="539">
      <c r="A539" s="303"/>
      <c r="B539" s="304" t="s">
        <v>394</v>
      </c>
      <c r="C539" s="304" t="s">
        <v>396</v>
      </c>
      <c r="D539" s="199" t="s">
        <v>408</v>
      </c>
      <c r="E539" s="153" t="s">
        <v>405</v>
      </c>
      <c r="F539" s="309" t="s">
        <v>1464</v>
      </c>
      <c r="G539" s="306" t="s">
        <v>420</v>
      </c>
      <c r="H539" s="306" t="s">
        <v>415</v>
      </c>
      <c r="I539" s="307" t="s">
        <v>106</v>
      </c>
      <c r="J539" s="37">
        <v>4.0</v>
      </c>
    </row>
    <row r="540">
      <c r="A540" s="303"/>
      <c r="B540" s="304" t="s">
        <v>394</v>
      </c>
      <c r="C540" s="304" t="s">
        <v>396</v>
      </c>
      <c r="D540" s="199" t="s">
        <v>408</v>
      </c>
      <c r="E540" s="153" t="s">
        <v>405</v>
      </c>
      <c r="F540" s="309" t="s">
        <v>1465</v>
      </c>
      <c r="G540" s="306" t="s">
        <v>420</v>
      </c>
      <c r="H540" s="306" t="s">
        <v>416</v>
      </c>
      <c r="I540" s="307" t="s">
        <v>106</v>
      </c>
      <c r="J540" s="37">
        <v>4.0</v>
      </c>
    </row>
    <row r="541">
      <c r="A541" s="303"/>
      <c r="B541" s="304"/>
      <c r="C541" s="304" t="s">
        <v>1468</v>
      </c>
      <c r="D541" s="199"/>
      <c r="E541" s="153"/>
      <c r="F541" s="37"/>
      <c r="G541" s="306"/>
      <c r="H541" s="306"/>
      <c r="I541" s="307"/>
    </row>
    <row r="542">
      <c r="A542" s="303">
        <v>79.0</v>
      </c>
      <c r="B542" s="304" t="s">
        <v>394</v>
      </c>
      <c r="C542" s="304" t="s">
        <v>396</v>
      </c>
      <c r="D542" s="199" t="s">
        <v>408</v>
      </c>
      <c r="E542" s="153" t="s">
        <v>407</v>
      </c>
      <c r="F542" s="313" t="s">
        <v>1462</v>
      </c>
      <c r="G542" s="306" t="s">
        <v>418</v>
      </c>
      <c r="H542" s="306" t="s">
        <v>415</v>
      </c>
      <c r="I542" s="307">
        <v>60133.0</v>
      </c>
      <c r="J542" s="37">
        <v>14.0</v>
      </c>
    </row>
    <row r="543">
      <c r="A543" s="303"/>
      <c r="B543" s="304" t="s">
        <v>394</v>
      </c>
      <c r="C543" s="304" t="s">
        <v>396</v>
      </c>
      <c r="D543" s="199" t="s">
        <v>408</v>
      </c>
      <c r="E543" s="153" t="s">
        <v>407</v>
      </c>
      <c r="F543" s="308" t="s">
        <v>1463</v>
      </c>
      <c r="G543" s="306" t="s">
        <v>418</v>
      </c>
      <c r="H543" s="306" t="s">
        <v>416</v>
      </c>
      <c r="I543" s="307">
        <v>60133.0</v>
      </c>
      <c r="J543" s="37">
        <v>17.0</v>
      </c>
    </row>
    <row r="544">
      <c r="A544" s="303"/>
      <c r="B544" s="304" t="s">
        <v>394</v>
      </c>
      <c r="C544" s="304" t="s">
        <v>396</v>
      </c>
      <c r="D544" s="199" t="s">
        <v>408</v>
      </c>
      <c r="E544" s="153" t="s">
        <v>407</v>
      </c>
      <c r="F544" s="309" t="s">
        <v>1464</v>
      </c>
      <c r="G544" s="306" t="s">
        <v>420</v>
      </c>
      <c r="H544" s="306" t="s">
        <v>415</v>
      </c>
      <c r="I544" s="307">
        <v>60133.0</v>
      </c>
      <c r="J544" s="37">
        <v>13.0</v>
      </c>
    </row>
    <row r="545">
      <c r="A545" s="303"/>
      <c r="B545" s="304" t="s">
        <v>394</v>
      </c>
      <c r="C545" s="304" t="s">
        <v>396</v>
      </c>
      <c r="D545" s="199" t="s">
        <v>408</v>
      </c>
      <c r="E545" s="153" t="s">
        <v>407</v>
      </c>
      <c r="F545" s="309" t="s">
        <v>1465</v>
      </c>
      <c r="G545" s="306" t="s">
        <v>420</v>
      </c>
      <c r="H545" s="306" t="s">
        <v>416</v>
      </c>
      <c r="I545" s="307">
        <v>60133.0</v>
      </c>
      <c r="J545" s="37">
        <v>17.0</v>
      </c>
    </row>
    <row r="546">
      <c r="A546" s="312"/>
      <c r="B546" s="37"/>
      <c r="C546" s="37" t="s">
        <v>1468</v>
      </c>
      <c r="D546" s="37"/>
      <c r="E546" s="37"/>
      <c r="F546" s="37"/>
      <c r="G546" s="79"/>
      <c r="H546" s="79"/>
      <c r="I546" s="173"/>
    </row>
    <row r="547">
      <c r="A547" s="312"/>
      <c r="B547" s="37"/>
      <c r="C547" s="37" t="s">
        <v>1468</v>
      </c>
      <c r="D547" s="37"/>
      <c r="E547" s="37"/>
      <c r="F547" s="37"/>
      <c r="G547" s="79"/>
      <c r="H547" s="79"/>
      <c r="I547" s="173"/>
    </row>
    <row r="548">
      <c r="A548" s="314">
        <v>80.0</v>
      </c>
      <c r="B548" s="315" t="s">
        <v>394</v>
      </c>
      <c r="C548" s="315" t="s">
        <v>396</v>
      </c>
      <c r="D548" s="315" t="s">
        <v>408</v>
      </c>
      <c r="E548" s="316" t="s">
        <v>407</v>
      </c>
      <c r="F548" s="317" t="s">
        <v>1462</v>
      </c>
      <c r="G548" s="318" t="s">
        <v>418</v>
      </c>
      <c r="H548" s="318" t="s">
        <v>415</v>
      </c>
      <c r="I548" s="319">
        <v>601331.0</v>
      </c>
      <c r="J548" s="320">
        <v>7.0</v>
      </c>
    </row>
    <row r="549">
      <c r="A549" s="321"/>
      <c r="B549" s="315" t="s">
        <v>394</v>
      </c>
      <c r="C549" s="315" t="s">
        <v>396</v>
      </c>
      <c r="D549" s="315" t="s">
        <v>408</v>
      </c>
      <c r="E549" s="316" t="s">
        <v>407</v>
      </c>
      <c r="F549" s="322" t="s">
        <v>1463</v>
      </c>
      <c r="G549" s="318" t="s">
        <v>418</v>
      </c>
      <c r="H549" s="318" t="s">
        <v>416</v>
      </c>
      <c r="I549" s="319">
        <v>601331.0</v>
      </c>
      <c r="J549" s="320">
        <v>5.0</v>
      </c>
    </row>
    <row r="550">
      <c r="A550" s="321"/>
      <c r="B550" s="315" t="s">
        <v>394</v>
      </c>
      <c r="C550" s="315" t="s">
        <v>396</v>
      </c>
      <c r="D550" s="315" t="s">
        <v>408</v>
      </c>
      <c r="E550" s="316" t="s">
        <v>407</v>
      </c>
      <c r="F550" s="322" t="s">
        <v>1464</v>
      </c>
      <c r="G550" s="318" t="s">
        <v>420</v>
      </c>
      <c r="H550" s="318" t="s">
        <v>415</v>
      </c>
      <c r="I550" s="319">
        <v>601331.0</v>
      </c>
      <c r="J550" s="320">
        <v>7.0</v>
      </c>
    </row>
    <row r="551">
      <c r="A551" s="321"/>
      <c r="B551" s="315" t="s">
        <v>394</v>
      </c>
      <c r="C551" s="315" t="s">
        <v>396</v>
      </c>
      <c r="D551" s="315" t="s">
        <v>408</v>
      </c>
      <c r="E551" s="316" t="s">
        <v>407</v>
      </c>
      <c r="F551" s="322" t="s">
        <v>1465</v>
      </c>
      <c r="G551" s="318" t="s">
        <v>420</v>
      </c>
      <c r="H551" s="318" t="s">
        <v>416</v>
      </c>
      <c r="I551" s="319">
        <v>601331.0</v>
      </c>
      <c r="J551" s="320">
        <v>4.0</v>
      </c>
    </row>
    <row r="552">
      <c r="A552" s="312"/>
      <c r="B552" s="37"/>
      <c r="C552" s="37" t="s">
        <v>1468</v>
      </c>
      <c r="D552" s="37"/>
      <c r="E552" s="37"/>
      <c r="F552" s="37"/>
      <c r="G552" s="79"/>
      <c r="H552" s="79"/>
      <c r="I552" s="173"/>
    </row>
    <row r="553">
      <c r="A553" s="314">
        <v>81.0</v>
      </c>
      <c r="B553" s="315" t="s">
        <v>394</v>
      </c>
      <c r="C553" s="315" t="s">
        <v>396</v>
      </c>
      <c r="D553" s="315" t="s">
        <v>408</v>
      </c>
      <c r="E553" s="316" t="s">
        <v>407</v>
      </c>
      <c r="F553" s="317" t="s">
        <v>1462</v>
      </c>
      <c r="G553" s="318" t="s">
        <v>418</v>
      </c>
      <c r="H553" s="318" t="s">
        <v>415</v>
      </c>
      <c r="I553" s="319">
        <v>6010231.0</v>
      </c>
      <c r="J553" s="320">
        <v>11.0</v>
      </c>
    </row>
    <row r="554">
      <c r="A554" s="321"/>
      <c r="B554" s="315" t="s">
        <v>394</v>
      </c>
      <c r="C554" s="315" t="s">
        <v>396</v>
      </c>
      <c r="D554" s="315" t="s">
        <v>408</v>
      </c>
      <c r="E554" s="316" t="s">
        <v>407</v>
      </c>
      <c r="F554" s="322" t="s">
        <v>1463</v>
      </c>
      <c r="G554" s="318" t="s">
        <v>418</v>
      </c>
      <c r="H554" s="318" t="s">
        <v>416</v>
      </c>
      <c r="I554" s="319">
        <v>6010231.0</v>
      </c>
      <c r="J554" s="320">
        <v>12.0</v>
      </c>
    </row>
    <row r="555">
      <c r="A555" s="321"/>
      <c r="B555" s="315" t="s">
        <v>394</v>
      </c>
      <c r="C555" s="315" t="s">
        <v>396</v>
      </c>
      <c r="D555" s="315" t="s">
        <v>408</v>
      </c>
      <c r="E555" s="316" t="s">
        <v>407</v>
      </c>
      <c r="F555" s="322" t="s">
        <v>1464</v>
      </c>
      <c r="G555" s="318" t="s">
        <v>420</v>
      </c>
      <c r="H555" s="318" t="s">
        <v>415</v>
      </c>
      <c r="I555" s="319">
        <v>6010231.0</v>
      </c>
      <c r="J555" s="320">
        <v>5.0</v>
      </c>
    </row>
    <row r="556">
      <c r="A556" s="321"/>
      <c r="B556" s="315" t="s">
        <v>394</v>
      </c>
      <c r="C556" s="315" t="s">
        <v>396</v>
      </c>
      <c r="D556" s="315" t="s">
        <v>408</v>
      </c>
      <c r="E556" s="316" t="s">
        <v>407</v>
      </c>
      <c r="F556" s="322" t="s">
        <v>1465</v>
      </c>
      <c r="G556" s="318" t="s">
        <v>420</v>
      </c>
      <c r="H556" s="318" t="s">
        <v>416</v>
      </c>
      <c r="I556" s="319">
        <v>6010231.0</v>
      </c>
      <c r="J556" s="320">
        <v>7.0</v>
      </c>
    </row>
    <row r="557">
      <c r="A557" s="312"/>
      <c r="B557" s="37"/>
      <c r="C557" s="37" t="s">
        <v>1468</v>
      </c>
      <c r="D557" s="37"/>
      <c r="E557" s="37"/>
      <c r="F557" s="37"/>
      <c r="G557" s="79"/>
      <c r="H557" s="79"/>
      <c r="I557" s="173"/>
    </row>
    <row r="558">
      <c r="A558" s="314">
        <v>82.0</v>
      </c>
      <c r="B558" s="315" t="s">
        <v>394</v>
      </c>
      <c r="C558" s="315" t="s">
        <v>396</v>
      </c>
      <c r="D558" s="315" t="s">
        <v>408</v>
      </c>
      <c r="E558" s="316" t="s">
        <v>407</v>
      </c>
      <c r="F558" s="317" t="s">
        <v>1462</v>
      </c>
      <c r="G558" s="318" t="s">
        <v>418</v>
      </c>
      <c r="H558" s="318" t="s">
        <v>415</v>
      </c>
      <c r="I558" s="319" t="s">
        <v>231</v>
      </c>
      <c r="J558" s="320">
        <v>6.0</v>
      </c>
    </row>
    <row r="559">
      <c r="A559" s="321"/>
      <c r="B559" s="315" t="s">
        <v>394</v>
      </c>
      <c r="C559" s="315" t="s">
        <v>396</v>
      </c>
      <c r="D559" s="315" t="s">
        <v>408</v>
      </c>
      <c r="E559" s="316" t="s">
        <v>407</v>
      </c>
      <c r="F559" s="322" t="s">
        <v>1463</v>
      </c>
      <c r="G559" s="318" t="s">
        <v>418</v>
      </c>
      <c r="H559" s="318" t="s">
        <v>416</v>
      </c>
      <c r="I559" s="319" t="s">
        <v>231</v>
      </c>
      <c r="J559" s="320">
        <v>2.0</v>
      </c>
    </row>
    <row r="560">
      <c r="A560" s="321"/>
      <c r="B560" s="315" t="s">
        <v>394</v>
      </c>
      <c r="C560" s="315" t="s">
        <v>396</v>
      </c>
      <c r="D560" s="315" t="s">
        <v>408</v>
      </c>
      <c r="E560" s="316" t="s">
        <v>407</v>
      </c>
      <c r="F560" s="322" t="s">
        <v>1464</v>
      </c>
      <c r="G560" s="318" t="s">
        <v>420</v>
      </c>
      <c r="H560" s="318" t="s">
        <v>415</v>
      </c>
      <c r="I560" s="319" t="s">
        <v>231</v>
      </c>
      <c r="J560" s="320">
        <v>1.0</v>
      </c>
    </row>
    <row r="561">
      <c r="A561" s="321"/>
      <c r="B561" s="315" t="s">
        <v>394</v>
      </c>
      <c r="C561" s="315" t="s">
        <v>396</v>
      </c>
      <c r="D561" s="315" t="s">
        <v>408</v>
      </c>
      <c r="E561" s="316" t="s">
        <v>407</v>
      </c>
      <c r="F561" s="322" t="s">
        <v>1465</v>
      </c>
      <c r="G561" s="318" t="s">
        <v>420</v>
      </c>
      <c r="H561" s="318" t="s">
        <v>416</v>
      </c>
      <c r="I561" s="319" t="s">
        <v>231</v>
      </c>
      <c r="J561" s="320">
        <v>2.0</v>
      </c>
    </row>
    <row r="562">
      <c r="A562" s="312"/>
      <c r="B562" s="37"/>
      <c r="C562" s="37" t="s">
        <v>1468</v>
      </c>
      <c r="D562" s="37"/>
      <c r="E562" s="37"/>
      <c r="F562" s="37"/>
      <c r="G562" s="79"/>
      <c r="H562" s="79"/>
      <c r="I562" s="173"/>
    </row>
    <row r="563">
      <c r="A563" s="314">
        <v>83.0</v>
      </c>
      <c r="B563" s="315" t="s">
        <v>394</v>
      </c>
      <c r="C563" s="315" t="s">
        <v>396</v>
      </c>
      <c r="D563" s="315" t="s">
        <v>408</v>
      </c>
      <c r="E563" s="316" t="s">
        <v>407</v>
      </c>
      <c r="F563" s="317" t="s">
        <v>1462</v>
      </c>
      <c r="G563" s="318" t="s">
        <v>418</v>
      </c>
      <c r="H563" s="318" t="s">
        <v>415</v>
      </c>
      <c r="I563" s="319" t="s">
        <v>29</v>
      </c>
      <c r="J563" s="320">
        <v>10.0</v>
      </c>
    </row>
    <row r="564">
      <c r="A564" s="321"/>
      <c r="B564" s="315" t="s">
        <v>394</v>
      </c>
      <c r="C564" s="315" t="s">
        <v>396</v>
      </c>
      <c r="D564" s="315" t="s">
        <v>408</v>
      </c>
      <c r="E564" s="316" t="s">
        <v>407</v>
      </c>
      <c r="F564" s="322" t="s">
        <v>1463</v>
      </c>
      <c r="G564" s="318" t="s">
        <v>418</v>
      </c>
      <c r="H564" s="318" t="s">
        <v>416</v>
      </c>
      <c r="I564" s="319" t="s">
        <v>29</v>
      </c>
      <c r="J564" s="320">
        <v>16.0</v>
      </c>
    </row>
    <row r="565">
      <c r="A565" s="321"/>
      <c r="B565" s="315" t="s">
        <v>394</v>
      </c>
      <c r="C565" s="315" t="s">
        <v>396</v>
      </c>
      <c r="D565" s="315" t="s">
        <v>408</v>
      </c>
      <c r="E565" s="316" t="s">
        <v>407</v>
      </c>
      <c r="F565" s="322" t="s">
        <v>1464</v>
      </c>
      <c r="G565" s="318" t="s">
        <v>420</v>
      </c>
      <c r="H565" s="318" t="s">
        <v>415</v>
      </c>
      <c r="I565" s="319" t="s">
        <v>29</v>
      </c>
      <c r="J565" s="320">
        <v>17.0</v>
      </c>
    </row>
    <row r="566">
      <c r="A566" s="321"/>
      <c r="B566" s="315" t="s">
        <v>394</v>
      </c>
      <c r="C566" s="315" t="s">
        <v>396</v>
      </c>
      <c r="D566" s="315" t="s">
        <v>408</v>
      </c>
      <c r="E566" s="316" t="s">
        <v>407</v>
      </c>
      <c r="F566" s="322" t="s">
        <v>1465</v>
      </c>
      <c r="G566" s="318" t="s">
        <v>420</v>
      </c>
      <c r="H566" s="318" t="s">
        <v>416</v>
      </c>
      <c r="I566" s="319" t="s">
        <v>29</v>
      </c>
      <c r="J566" s="320">
        <v>7.0</v>
      </c>
    </row>
    <row r="567">
      <c r="A567" s="312"/>
      <c r="B567" s="37"/>
      <c r="C567" s="37" t="s">
        <v>1468</v>
      </c>
      <c r="D567" s="37"/>
      <c r="E567" s="37"/>
      <c r="F567" s="37"/>
      <c r="G567" s="79"/>
      <c r="H567" s="79"/>
      <c r="I567" s="173"/>
    </row>
    <row r="568">
      <c r="A568" s="314">
        <v>84.0</v>
      </c>
      <c r="B568" s="315" t="s">
        <v>394</v>
      </c>
      <c r="C568" s="315" t="s">
        <v>396</v>
      </c>
      <c r="D568" s="315" t="s">
        <v>408</v>
      </c>
      <c r="E568" s="316" t="s">
        <v>409</v>
      </c>
      <c r="F568" s="317" t="s">
        <v>1462</v>
      </c>
      <c r="G568" s="318" t="s">
        <v>418</v>
      </c>
      <c r="H568" s="318" t="s">
        <v>415</v>
      </c>
      <c r="I568" s="319" t="s">
        <v>55</v>
      </c>
      <c r="J568" s="320">
        <v>20.0</v>
      </c>
    </row>
    <row r="569">
      <c r="A569" s="321"/>
      <c r="B569" s="315" t="s">
        <v>394</v>
      </c>
      <c r="C569" s="315" t="s">
        <v>396</v>
      </c>
      <c r="D569" s="315" t="s">
        <v>408</v>
      </c>
      <c r="E569" s="316" t="s">
        <v>409</v>
      </c>
      <c r="F569" s="322" t="s">
        <v>1463</v>
      </c>
      <c r="G569" s="318" t="s">
        <v>418</v>
      </c>
      <c r="H569" s="318" t="s">
        <v>416</v>
      </c>
      <c r="I569" s="319" t="s">
        <v>55</v>
      </c>
      <c r="J569" s="320">
        <v>17.0</v>
      </c>
    </row>
    <row r="570">
      <c r="A570" s="321"/>
      <c r="B570" s="315" t="s">
        <v>394</v>
      </c>
      <c r="C570" s="315" t="s">
        <v>396</v>
      </c>
      <c r="D570" s="315" t="s">
        <v>408</v>
      </c>
      <c r="E570" s="316" t="s">
        <v>409</v>
      </c>
      <c r="F570" s="322" t="s">
        <v>1464</v>
      </c>
      <c r="G570" s="318" t="s">
        <v>420</v>
      </c>
      <c r="H570" s="318" t="s">
        <v>415</v>
      </c>
      <c r="I570" s="319" t="s">
        <v>55</v>
      </c>
      <c r="J570" s="320">
        <v>15.0</v>
      </c>
    </row>
    <row r="571">
      <c r="A571" s="321"/>
      <c r="B571" s="315" t="s">
        <v>394</v>
      </c>
      <c r="C571" s="315" t="s">
        <v>396</v>
      </c>
      <c r="D571" s="315" t="s">
        <v>408</v>
      </c>
      <c r="E571" s="316" t="s">
        <v>409</v>
      </c>
      <c r="F571" s="322" t="s">
        <v>1465</v>
      </c>
      <c r="G571" s="318" t="s">
        <v>420</v>
      </c>
      <c r="H571" s="318" t="s">
        <v>416</v>
      </c>
      <c r="I571" s="319" t="s">
        <v>55</v>
      </c>
      <c r="J571" s="320">
        <v>15.0</v>
      </c>
    </row>
    <row r="572">
      <c r="A572" s="312"/>
      <c r="B572" s="37"/>
      <c r="C572" s="37" t="s">
        <v>1468</v>
      </c>
      <c r="D572" s="37"/>
      <c r="E572" s="37"/>
      <c r="F572" s="37"/>
      <c r="G572" s="79"/>
      <c r="H572" s="79"/>
      <c r="I572" s="173"/>
    </row>
    <row r="573">
      <c r="A573" s="314">
        <v>85.0</v>
      </c>
      <c r="B573" s="315" t="s">
        <v>394</v>
      </c>
      <c r="C573" s="315" t="s">
        <v>396</v>
      </c>
      <c r="D573" s="315" t="s">
        <v>408</v>
      </c>
      <c r="E573" s="316" t="s">
        <v>410</v>
      </c>
      <c r="F573" s="317" t="s">
        <v>1462</v>
      </c>
      <c r="G573" s="318" t="s">
        <v>418</v>
      </c>
      <c r="H573" s="318" t="s">
        <v>415</v>
      </c>
      <c r="I573" s="319" t="s">
        <v>338</v>
      </c>
      <c r="J573" s="320">
        <v>6.0</v>
      </c>
    </row>
    <row r="574">
      <c r="A574" s="321"/>
      <c r="B574" s="315" t="s">
        <v>394</v>
      </c>
      <c r="C574" s="315" t="s">
        <v>396</v>
      </c>
      <c r="D574" s="315" t="s">
        <v>408</v>
      </c>
      <c r="E574" s="316" t="s">
        <v>410</v>
      </c>
      <c r="F574" s="322" t="s">
        <v>1463</v>
      </c>
      <c r="G574" s="318" t="s">
        <v>418</v>
      </c>
      <c r="H574" s="318" t="s">
        <v>416</v>
      </c>
      <c r="I574" s="319" t="s">
        <v>338</v>
      </c>
      <c r="J574" s="320">
        <v>6.0</v>
      </c>
    </row>
    <row r="575">
      <c r="A575" s="321"/>
      <c r="B575" s="315" t="s">
        <v>394</v>
      </c>
      <c r="C575" s="315" t="s">
        <v>396</v>
      </c>
      <c r="D575" s="315" t="s">
        <v>408</v>
      </c>
      <c r="E575" s="316" t="s">
        <v>410</v>
      </c>
      <c r="F575" s="322" t="s">
        <v>1464</v>
      </c>
      <c r="G575" s="318" t="s">
        <v>420</v>
      </c>
      <c r="H575" s="318" t="s">
        <v>415</v>
      </c>
      <c r="I575" s="319" t="s">
        <v>338</v>
      </c>
      <c r="J575" s="320">
        <v>6.0</v>
      </c>
    </row>
    <row r="576">
      <c r="A576" s="321"/>
      <c r="B576" s="315" t="s">
        <v>394</v>
      </c>
      <c r="C576" s="315" t="s">
        <v>396</v>
      </c>
      <c r="D576" s="315" t="s">
        <v>408</v>
      </c>
      <c r="E576" s="316" t="s">
        <v>410</v>
      </c>
      <c r="F576" s="322" t="s">
        <v>1465</v>
      </c>
      <c r="G576" s="318" t="s">
        <v>420</v>
      </c>
      <c r="H576" s="318" t="s">
        <v>416</v>
      </c>
      <c r="I576" s="319" t="s">
        <v>338</v>
      </c>
      <c r="J576" s="320">
        <v>7.0</v>
      </c>
    </row>
    <row r="577">
      <c r="A577" s="312"/>
      <c r="B577" s="37"/>
      <c r="C577" s="37" t="s">
        <v>1468</v>
      </c>
      <c r="D577" s="37"/>
      <c r="E577" s="37"/>
      <c r="F577" s="37"/>
      <c r="G577" s="79"/>
      <c r="H577" s="79"/>
      <c r="I577" s="173"/>
    </row>
    <row r="578">
      <c r="A578" s="314">
        <v>86.0</v>
      </c>
      <c r="B578" s="315" t="s">
        <v>394</v>
      </c>
      <c r="C578" s="315" t="s">
        <v>396</v>
      </c>
      <c r="D578" s="315" t="s">
        <v>408</v>
      </c>
      <c r="E578" s="316" t="s">
        <v>410</v>
      </c>
      <c r="F578" s="317" t="s">
        <v>1462</v>
      </c>
      <c r="G578" s="318" t="s">
        <v>418</v>
      </c>
      <c r="H578" s="318" t="s">
        <v>415</v>
      </c>
      <c r="I578" s="319" t="s">
        <v>339</v>
      </c>
      <c r="J578" s="320">
        <v>1.0</v>
      </c>
    </row>
    <row r="579">
      <c r="A579" s="321"/>
      <c r="B579" s="315" t="s">
        <v>394</v>
      </c>
      <c r="C579" s="315" t="s">
        <v>396</v>
      </c>
      <c r="D579" s="315" t="s">
        <v>408</v>
      </c>
      <c r="E579" s="316" t="s">
        <v>410</v>
      </c>
      <c r="F579" s="322" t="s">
        <v>1463</v>
      </c>
      <c r="G579" s="318" t="s">
        <v>418</v>
      </c>
      <c r="H579" s="318" t="s">
        <v>416</v>
      </c>
      <c r="I579" s="319" t="s">
        <v>339</v>
      </c>
      <c r="J579" s="320">
        <v>2.0</v>
      </c>
    </row>
    <row r="580">
      <c r="A580" s="321"/>
      <c r="B580" s="315" t="s">
        <v>394</v>
      </c>
      <c r="C580" s="315" t="s">
        <v>396</v>
      </c>
      <c r="D580" s="315" t="s">
        <v>408</v>
      </c>
      <c r="E580" s="316" t="s">
        <v>410</v>
      </c>
      <c r="F580" s="322" t="s">
        <v>1464</v>
      </c>
      <c r="G580" s="318" t="s">
        <v>420</v>
      </c>
      <c r="H580" s="318" t="s">
        <v>415</v>
      </c>
      <c r="I580" s="319" t="s">
        <v>339</v>
      </c>
      <c r="J580" s="320">
        <v>2.0</v>
      </c>
    </row>
    <row r="581">
      <c r="A581" s="321"/>
      <c r="B581" s="315" t="s">
        <v>394</v>
      </c>
      <c r="C581" s="315" t="s">
        <v>396</v>
      </c>
      <c r="D581" s="315" t="s">
        <v>408</v>
      </c>
      <c r="E581" s="316" t="s">
        <v>410</v>
      </c>
      <c r="F581" s="322" t="s">
        <v>1465</v>
      </c>
      <c r="G581" s="318" t="s">
        <v>420</v>
      </c>
      <c r="H581" s="318" t="s">
        <v>416</v>
      </c>
      <c r="I581" s="319" t="s">
        <v>339</v>
      </c>
      <c r="J581" s="320">
        <v>2.0</v>
      </c>
    </row>
    <row r="582">
      <c r="A582" s="312"/>
      <c r="B582" s="37"/>
      <c r="C582" s="37" t="s">
        <v>1468</v>
      </c>
      <c r="D582" s="37"/>
      <c r="E582" s="37"/>
      <c r="F582" s="37"/>
      <c r="G582" s="79"/>
      <c r="H582" s="79"/>
      <c r="I582" s="173"/>
    </row>
    <row r="583">
      <c r="A583" s="314">
        <v>87.0</v>
      </c>
      <c r="B583" s="315" t="s">
        <v>394</v>
      </c>
      <c r="C583" s="315" t="s">
        <v>396</v>
      </c>
      <c r="D583" s="315" t="s">
        <v>408</v>
      </c>
      <c r="E583" s="316" t="s">
        <v>412</v>
      </c>
      <c r="F583" s="317" t="s">
        <v>1462</v>
      </c>
      <c r="G583" s="318" t="s">
        <v>418</v>
      </c>
      <c r="H583" s="318" t="s">
        <v>415</v>
      </c>
      <c r="I583" s="319" t="s">
        <v>87</v>
      </c>
      <c r="J583" s="320">
        <v>3.0</v>
      </c>
    </row>
    <row r="584">
      <c r="A584" s="321"/>
      <c r="B584" s="315" t="s">
        <v>394</v>
      </c>
      <c r="C584" s="315" t="s">
        <v>396</v>
      </c>
      <c r="D584" s="315" t="s">
        <v>408</v>
      </c>
      <c r="E584" s="316" t="s">
        <v>412</v>
      </c>
      <c r="F584" s="322" t="s">
        <v>1463</v>
      </c>
      <c r="G584" s="318" t="s">
        <v>418</v>
      </c>
      <c r="H584" s="318" t="s">
        <v>416</v>
      </c>
      <c r="I584" s="319" t="s">
        <v>87</v>
      </c>
      <c r="J584" s="320">
        <v>4.0</v>
      </c>
    </row>
    <row r="585">
      <c r="A585" s="321"/>
      <c r="B585" s="315" t="s">
        <v>394</v>
      </c>
      <c r="C585" s="315" t="s">
        <v>396</v>
      </c>
      <c r="D585" s="315" t="s">
        <v>408</v>
      </c>
      <c r="E585" s="316" t="s">
        <v>412</v>
      </c>
      <c r="F585" s="322" t="s">
        <v>1464</v>
      </c>
      <c r="G585" s="318" t="s">
        <v>420</v>
      </c>
      <c r="H585" s="318" t="s">
        <v>415</v>
      </c>
      <c r="I585" s="319" t="s">
        <v>87</v>
      </c>
      <c r="J585" s="320">
        <v>7.0</v>
      </c>
    </row>
    <row r="586">
      <c r="A586" s="321"/>
      <c r="B586" s="315" t="s">
        <v>394</v>
      </c>
      <c r="C586" s="315" t="s">
        <v>396</v>
      </c>
      <c r="D586" s="315" t="s">
        <v>408</v>
      </c>
      <c r="E586" s="316" t="s">
        <v>412</v>
      </c>
      <c r="F586" s="322" t="s">
        <v>1465</v>
      </c>
      <c r="G586" s="318" t="s">
        <v>420</v>
      </c>
      <c r="H586" s="318" t="s">
        <v>416</v>
      </c>
      <c r="I586" s="319" t="s">
        <v>87</v>
      </c>
      <c r="J586" s="320">
        <v>6.0</v>
      </c>
    </row>
    <row r="587">
      <c r="A587" s="312"/>
      <c r="B587" s="37"/>
      <c r="C587" s="37"/>
      <c r="D587" s="37"/>
      <c r="E587" s="37"/>
      <c r="F587" s="37"/>
      <c r="G587" s="79"/>
      <c r="H587" s="79"/>
      <c r="I587" s="173"/>
    </row>
    <row r="588">
      <c r="A588" s="312"/>
      <c r="B588" s="37"/>
      <c r="C588" s="37"/>
      <c r="D588" s="37"/>
      <c r="E588" s="37"/>
      <c r="F588" s="37"/>
      <c r="G588" s="79"/>
      <c r="H588" s="79"/>
      <c r="I588" s="173"/>
    </row>
    <row r="589">
      <c r="A589" s="312"/>
      <c r="B589" s="37"/>
      <c r="C589" s="37"/>
      <c r="D589" s="37"/>
      <c r="E589" s="37"/>
      <c r="F589" s="37"/>
      <c r="G589" s="79"/>
      <c r="H589" s="79"/>
      <c r="I589" s="173"/>
    </row>
    <row r="590">
      <c r="A590" s="314">
        <v>89.0</v>
      </c>
      <c r="B590" s="323" t="s">
        <v>1472</v>
      </c>
      <c r="C590" s="315" t="s">
        <v>396</v>
      </c>
      <c r="D590" s="323" t="s">
        <v>406</v>
      </c>
      <c r="E590" s="316" t="s">
        <v>405</v>
      </c>
      <c r="F590" s="324" t="s">
        <v>1473</v>
      </c>
      <c r="G590" s="318" t="s">
        <v>421</v>
      </c>
      <c r="H590" s="318" t="s">
        <v>415</v>
      </c>
      <c r="I590" s="319">
        <v>50495.0</v>
      </c>
      <c r="J590" s="320">
        <v>1.0</v>
      </c>
    </row>
    <row r="591">
      <c r="A591" s="321"/>
      <c r="B591" s="323" t="s">
        <v>1472</v>
      </c>
      <c r="C591" s="315" t="s">
        <v>396</v>
      </c>
      <c r="D591" s="323" t="s">
        <v>406</v>
      </c>
      <c r="E591" s="316" t="s">
        <v>405</v>
      </c>
      <c r="F591" s="324" t="s">
        <v>1474</v>
      </c>
      <c r="G591" s="318" t="s">
        <v>421</v>
      </c>
      <c r="H591" s="318" t="s">
        <v>416</v>
      </c>
      <c r="I591" s="319">
        <v>50495.0</v>
      </c>
      <c r="J591" s="320">
        <v>2.0</v>
      </c>
    </row>
    <row r="592">
      <c r="A592" s="321"/>
      <c r="B592" s="323" t="s">
        <v>1472</v>
      </c>
      <c r="C592" s="315" t="s">
        <v>396</v>
      </c>
      <c r="D592" s="323" t="s">
        <v>406</v>
      </c>
      <c r="E592" s="316" t="s">
        <v>405</v>
      </c>
      <c r="F592" s="325" t="s">
        <v>1466</v>
      </c>
      <c r="G592" s="318" t="s">
        <v>422</v>
      </c>
      <c r="H592" s="318" t="s">
        <v>415</v>
      </c>
      <c r="I592" s="319">
        <v>50495.0</v>
      </c>
      <c r="J592" s="320">
        <v>1.0</v>
      </c>
    </row>
    <row r="593">
      <c r="A593" s="321"/>
      <c r="B593" s="323" t="s">
        <v>1472</v>
      </c>
      <c r="C593" s="315" t="s">
        <v>396</v>
      </c>
      <c r="D593" s="323" t="s">
        <v>406</v>
      </c>
      <c r="E593" s="316" t="s">
        <v>405</v>
      </c>
      <c r="F593" s="325" t="s">
        <v>1467</v>
      </c>
      <c r="G593" s="318" t="s">
        <v>422</v>
      </c>
      <c r="H593" s="318" t="s">
        <v>416</v>
      </c>
      <c r="I593" s="319">
        <v>50495.0</v>
      </c>
      <c r="J593" s="320">
        <v>2.0</v>
      </c>
    </row>
    <row r="594">
      <c r="A594" s="312"/>
      <c r="B594" s="37"/>
      <c r="C594" s="37"/>
      <c r="D594" s="37"/>
      <c r="E594" s="37"/>
      <c r="F594" s="37"/>
      <c r="G594" s="79"/>
      <c r="H594" s="79"/>
      <c r="I594" s="173"/>
    </row>
    <row r="595">
      <c r="A595" s="314">
        <v>90.0</v>
      </c>
      <c r="B595" s="323" t="s">
        <v>1472</v>
      </c>
      <c r="C595" s="315" t="s">
        <v>396</v>
      </c>
      <c r="D595" s="323" t="s">
        <v>406</v>
      </c>
      <c r="E595" s="316" t="s">
        <v>405</v>
      </c>
      <c r="F595" s="324" t="s">
        <v>1473</v>
      </c>
      <c r="G595" s="318" t="s">
        <v>421</v>
      </c>
      <c r="H595" s="318" t="s">
        <v>415</v>
      </c>
      <c r="I595" s="319">
        <v>50536.0</v>
      </c>
      <c r="J595" s="320">
        <v>0.0</v>
      </c>
    </row>
    <row r="596">
      <c r="A596" s="321"/>
      <c r="B596" s="323" t="s">
        <v>1472</v>
      </c>
      <c r="C596" s="315" t="s">
        <v>396</v>
      </c>
      <c r="D596" s="323" t="s">
        <v>406</v>
      </c>
      <c r="E596" s="316" t="s">
        <v>405</v>
      </c>
      <c r="F596" s="324" t="s">
        <v>1474</v>
      </c>
      <c r="G596" s="318" t="s">
        <v>421</v>
      </c>
      <c r="H596" s="318" t="s">
        <v>416</v>
      </c>
      <c r="I596" s="319">
        <v>50536.0</v>
      </c>
      <c r="J596" s="320">
        <v>1.0</v>
      </c>
    </row>
    <row r="597">
      <c r="A597" s="321"/>
      <c r="B597" s="323" t="s">
        <v>1472</v>
      </c>
      <c r="C597" s="315" t="s">
        <v>396</v>
      </c>
      <c r="D597" s="323" t="s">
        <v>406</v>
      </c>
      <c r="E597" s="316" t="s">
        <v>405</v>
      </c>
      <c r="F597" s="325" t="s">
        <v>1466</v>
      </c>
      <c r="G597" s="318" t="s">
        <v>422</v>
      </c>
      <c r="H597" s="318" t="s">
        <v>415</v>
      </c>
      <c r="I597" s="319">
        <v>50536.0</v>
      </c>
      <c r="J597" s="320">
        <v>0.0</v>
      </c>
    </row>
    <row r="598">
      <c r="A598" s="321"/>
      <c r="B598" s="323" t="s">
        <v>1472</v>
      </c>
      <c r="C598" s="315" t="s">
        <v>396</v>
      </c>
      <c r="D598" s="323" t="s">
        <v>406</v>
      </c>
      <c r="E598" s="316" t="s">
        <v>405</v>
      </c>
      <c r="F598" s="325" t="s">
        <v>1467</v>
      </c>
      <c r="G598" s="318" t="s">
        <v>422</v>
      </c>
      <c r="H598" s="318" t="s">
        <v>416</v>
      </c>
      <c r="I598" s="319">
        <v>50536.0</v>
      </c>
      <c r="J598" s="320">
        <v>2.0</v>
      </c>
    </row>
    <row r="599">
      <c r="A599" s="312"/>
      <c r="B599" s="37"/>
      <c r="C599" s="37"/>
      <c r="D599" s="37"/>
      <c r="E599" s="37"/>
      <c r="F599" s="37"/>
      <c r="G599" s="79"/>
      <c r="H599" s="79"/>
      <c r="I599" s="173"/>
    </row>
    <row r="600">
      <c r="A600" s="314">
        <v>91.0</v>
      </c>
      <c r="B600" s="323" t="s">
        <v>1472</v>
      </c>
      <c r="C600" s="315" t="s">
        <v>396</v>
      </c>
      <c r="D600" s="323" t="s">
        <v>406</v>
      </c>
      <c r="E600" s="316" t="s">
        <v>405</v>
      </c>
      <c r="F600" s="326" t="s">
        <v>1473</v>
      </c>
      <c r="G600" s="327" t="s">
        <v>421</v>
      </c>
      <c r="H600" s="318" t="s">
        <v>415</v>
      </c>
      <c r="I600" s="319">
        <v>50547.0</v>
      </c>
      <c r="J600" s="320">
        <v>2.0</v>
      </c>
    </row>
    <row r="601">
      <c r="A601" s="321"/>
      <c r="B601" s="323" t="s">
        <v>1472</v>
      </c>
      <c r="C601" s="315" t="s">
        <v>396</v>
      </c>
      <c r="D601" s="323" t="s">
        <v>406</v>
      </c>
      <c r="E601" s="316" t="s">
        <v>405</v>
      </c>
      <c r="F601" s="326" t="s">
        <v>1474</v>
      </c>
      <c r="G601" s="327" t="s">
        <v>421</v>
      </c>
      <c r="H601" s="318" t="s">
        <v>416</v>
      </c>
      <c r="I601" s="319">
        <v>50547.0</v>
      </c>
      <c r="J601" s="320">
        <v>1.0</v>
      </c>
    </row>
    <row r="602">
      <c r="A602" s="321"/>
      <c r="B602" s="323" t="s">
        <v>1472</v>
      </c>
      <c r="C602" s="315" t="s">
        <v>396</v>
      </c>
      <c r="D602" s="323" t="s">
        <v>406</v>
      </c>
      <c r="E602" s="316" t="s">
        <v>405</v>
      </c>
      <c r="F602" s="328" t="s">
        <v>1466</v>
      </c>
      <c r="G602" s="327" t="s">
        <v>422</v>
      </c>
      <c r="H602" s="318" t="s">
        <v>415</v>
      </c>
      <c r="I602" s="319">
        <v>50547.0</v>
      </c>
      <c r="J602" s="320">
        <v>2.0</v>
      </c>
    </row>
    <row r="603">
      <c r="A603" s="321"/>
      <c r="B603" s="323" t="s">
        <v>1472</v>
      </c>
      <c r="C603" s="315" t="s">
        <v>396</v>
      </c>
      <c r="D603" s="323" t="s">
        <v>406</v>
      </c>
      <c r="E603" s="316" t="s">
        <v>405</v>
      </c>
      <c r="F603" s="328" t="s">
        <v>1467</v>
      </c>
      <c r="G603" s="327" t="s">
        <v>422</v>
      </c>
      <c r="H603" s="318" t="s">
        <v>416</v>
      </c>
      <c r="I603" s="319">
        <v>50547.0</v>
      </c>
      <c r="J603" s="320">
        <v>1.0</v>
      </c>
    </row>
    <row r="604">
      <c r="A604" s="312"/>
      <c r="B604" s="37"/>
      <c r="C604" s="37"/>
      <c r="D604" s="37"/>
      <c r="E604" s="37"/>
      <c r="F604" s="37"/>
      <c r="G604" s="79"/>
      <c r="H604" s="79"/>
      <c r="I604" s="173"/>
    </row>
    <row r="605">
      <c r="A605" s="314">
        <v>92.0</v>
      </c>
      <c r="B605" s="323" t="s">
        <v>1472</v>
      </c>
      <c r="C605" s="315" t="s">
        <v>396</v>
      </c>
      <c r="D605" s="315" t="s">
        <v>406</v>
      </c>
      <c r="E605" s="316" t="s">
        <v>405</v>
      </c>
      <c r="F605" s="326" t="s">
        <v>1473</v>
      </c>
      <c r="G605" s="327" t="s">
        <v>421</v>
      </c>
      <c r="H605" s="318" t="s">
        <v>415</v>
      </c>
      <c r="I605" s="319">
        <v>50550.0</v>
      </c>
      <c r="J605" s="320">
        <v>1.0</v>
      </c>
    </row>
    <row r="606">
      <c r="A606" s="321"/>
      <c r="B606" s="323" t="s">
        <v>1472</v>
      </c>
      <c r="C606" s="315" t="s">
        <v>396</v>
      </c>
      <c r="D606" s="315" t="s">
        <v>406</v>
      </c>
      <c r="E606" s="316" t="s">
        <v>405</v>
      </c>
      <c r="F606" s="326" t="s">
        <v>1474</v>
      </c>
      <c r="G606" s="327" t="s">
        <v>421</v>
      </c>
      <c r="H606" s="318" t="s">
        <v>416</v>
      </c>
      <c r="I606" s="319">
        <v>50550.0</v>
      </c>
      <c r="J606" s="320">
        <v>0.0</v>
      </c>
    </row>
    <row r="607">
      <c r="A607" s="321"/>
      <c r="B607" s="323" t="s">
        <v>1472</v>
      </c>
      <c r="C607" s="315" t="s">
        <v>396</v>
      </c>
      <c r="D607" s="315" t="s">
        <v>406</v>
      </c>
      <c r="E607" s="316" t="s">
        <v>405</v>
      </c>
      <c r="F607" s="328" t="s">
        <v>1466</v>
      </c>
      <c r="G607" s="327" t="s">
        <v>422</v>
      </c>
      <c r="H607" s="318" t="s">
        <v>415</v>
      </c>
      <c r="I607" s="319">
        <v>50550.0</v>
      </c>
      <c r="J607" s="320">
        <v>1.0</v>
      </c>
    </row>
    <row r="608">
      <c r="A608" s="321"/>
      <c r="B608" s="323" t="s">
        <v>1472</v>
      </c>
      <c r="C608" s="315" t="s">
        <v>396</v>
      </c>
      <c r="D608" s="315" t="s">
        <v>406</v>
      </c>
      <c r="E608" s="316" t="s">
        <v>405</v>
      </c>
      <c r="F608" s="328" t="s">
        <v>1467</v>
      </c>
      <c r="G608" s="327" t="s">
        <v>422</v>
      </c>
      <c r="H608" s="318" t="s">
        <v>416</v>
      </c>
      <c r="I608" s="319">
        <v>50550.0</v>
      </c>
      <c r="J608" s="320">
        <v>0.0</v>
      </c>
    </row>
    <row r="609">
      <c r="A609" s="312"/>
      <c r="B609" s="37"/>
      <c r="C609" s="37"/>
      <c r="D609" s="37"/>
      <c r="E609" s="37"/>
      <c r="F609" s="37"/>
      <c r="G609" s="79"/>
      <c r="H609" s="79"/>
      <c r="I609" s="173"/>
    </row>
    <row r="610">
      <c r="A610" s="314">
        <v>93.0</v>
      </c>
      <c r="B610" s="323" t="s">
        <v>1472</v>
      </c>
      <c r="C610" s="315" t="s">
        <v>396</v>
      </c>
      <c r="D610" s="315" t="s">
        <v>406</v>
      </c>
      <c r="E610" s="316" t="s">
        <v>405</v>
      </c>
      <c r="F610" s="326" t="s">
        <v>1473</v>
      </c>
      <c r="G610" s="327" t="s">
        <v>421</v>
      </c>
      <c r="H610" s="318" t="s">
        <v>415</v>
      </c>
      <c r="I610" s="319">
        <v>50558.0</v>
      </c>
      <c r="J610" s="320">
        <v>2.0</v>
      </c>
      <c r="L610" s="37">
        <f>SUMIFS(J610:J613,B610:B613,B610)</f>
        <v>6</v>
      </c>
    </row>
    <row r="611">
      <c r="A611" s="321"/>
      <c r="B611" s="323" t="s">
        <v>1472</v>
      </c>
      <c r="C611" s="315" t="s">
        <v>396</v>
      </c>
      <c r="D611" s="315" t="s">
        <v>406</v>
      </c>
      <c r="E611" s="316" t="s">
        <v>405</v>
      </c>
      <c r="F611" s="326" t="s">
        <v>1474</v>
      </c>
      <c r="G611" s="327" t="s">
        <v>421</v>
      </c>
      <c r="H611" s="318" t="s">
        <v>416</v>
      </c>
      <c r="I611" s="319">
        <v>50558.0</v>
      </c>
      <c r="J611" s="320">
        <v>1.0</v>
      </c>
    </row>
    <row r="612">
      <c r="A612" s="321"/>
      <c r="B612" s="323" t="s">
        <v>1472</v>
      </c>
      <c r="C612" s="315" t="s">
        <v>396</v>
      </c>
      <c r="D612" s="315" t="s">
        <v>406</v>
      </c>
      <c r="E612" s="316" t="s">
        <v>405</v>
      </c>
      <c r="F612" s="328" t="s">
        <v>1466</v>
      </c>
      <c r="G612" s="327" t="s">
        <v>422</v>
      </c>
      <c r="H612" s="318" t="s">
        <v>415</v>
      </c>
      <c r="I612" s="319">
        <v>50558.0</v>
      </c>
      <c r="J612" s="320">
        <v>2.0</v>
      </c>
    </row>
    <row r="613">
      <c r="A613" s="321"/>
      <c r="B613" s="323" t="s">
        <v>1472</v>
      </c>
      <c r="C613" s="315" t="s">
        <v>396</v>
      </c>
      <c r="D613" s="315" t="s">
        <v>406</v>
      </c>
      <c r="E613" s="316" t="s">
        <v>405</v>
      </c>
      <c r="F613" s="328" t="s">
        <v>1467</v>
      </c>
      <c r="G613" s="327" t="s">
        <v>422</v>
      </c>
      <c r="H613" s="318" t="s">
        <v>416</v>
      </c>
      <c r="I613" s="319">
        <v>50558.0</v>
      </c>
      <c r="J613" s="320">
        <v>1.0</v>
      </c>
    </row>
    <row r="614">
      <c r="A614" s="312"/>
      <c r="B614" s="37"/>
      <c r="C614" s="37"/>
      <c r="D614" s="37"/>
      <c r="E614" s="37"/>
      <c r="F614" s="37"/>
      <c r="G614" s="79"/>
      <c r="H614" s="79"/>
      <c r="I614" s="173"/>
    </row>
    <row r="615">
      <c r="A615" s="314">
        <v>94.0</v>
      </c>
      <c r="B615" s="323" t="s">
        <v>1472</v>
      </c>
      <c r="C615" s="315" t="s">
        <v>396</v>
      </c>
      <c r="D615" s="315" t="s">
        <v>406</v>
      </c>
      <c r="E615" s="316" t="s">
        <v>405</v>
      </c>
      <c r="F615" s="329" t="s">
        <v>1473</v>
      </c>
      <c r="G615" s="327" t="s">
        <v>421</v>
      </c>
      <c r="H615" s="318" t="s">
        <v>415</v>
      </c>
      <c r="I615" s="319">
        <v>50715.0</v>
      </c>
      <c r="J615" s="320">
        <v>1.0</v>
      </c>
    </row>
    <row r="616">
      <c r="A616" s="321"/>
      <c r="B616" s="323" t="s">
        <v>1472</v>
      </c>
      <c r="C616" s="315" t="s">
        <v>396</v>
      </c>
      <c r="D616" s="315" t="s">
        <v>406</v>
      </c>
      <c r="E616" s="316" t="s">
        <v>405</v>
      </c>
      <c r="F616" s="329" t="s">
        <v>1474</v>
      </c>
      <c r="G616" s="327" t="s">
        <v>421</v>
      </c>
      <c r="H616" s="318" t="s">
        <v>416</v>
      </c>
      <c r="I616" s="319">
        <v>50715.0</v>
      </c>
      <c r="J616" s="320">
        <v>1.0</v>
      </c>
    </row>
    <row r="617">
      <c r="A617" s="321"/>
      <c r="B617" s="323" t="s">
        <v>1472</v>
      </c>
      <c r="C617" s="315" t="s">
        <v>396</v>
      </c>
      <c r="D617" s="315" t="s">
        <v>406</v>
      </c>
      <c r="E617" s="316" t="s">
        <v>405</v>
      </c>
      <c r="F617" s="330" t="s">
        <v>1466</v>
      </c>
      <c r="G617" s="327" t="s">
        <v>422</v>
      </c>
      <c r="H617" s="318" t="s">
        <v>415</v>
      </c>
      <c r="I617" s="319">
        <v>50715.0</v>
      </c>
      <c r="J617" s="320">
        <v>0.0</v>
      </c>
    </row>
    <row r="618">
      <c r="A618" s="321"/>
      <c r="B618" s="323" t="s">
        <v>1472</v>
      </c>
      <c r="C618" s="315" t="s">
        <v>396</v>
      </c>
      <c r="D618" s="315" t="s">
        <v>406</v>
      </c>
      <c r="E618" s="316" t="s">
        <v>405</v>
      </c>
      <c r="F618" s="330" t="s">
        <v>1467</v>
      </c>
      <c r="G618" s="327" t="s">
        <v>422</v>
      </c>
      <c r="H618" s="318" t="s">
        <v>416</v>
      </c>
      <c r="I618" s="319">
        <v>50715.0</v>
      </c>
      <c r="J618" s="320">
        <v>0.0</v>
      </c>
    </row>
    <row r="619">
      <c r="A619" s="312"/>
      <c r="B619" s="37"/>
      <c r="C619" s="37"/>
      <c r="D619" s="37"/>
      <c r="E619" s="37"/>
      <c r="F619" s="37"/>
      <c r="G619" s="79"/>
      <c r="H619" s="79"/>
      <c r="I619" s="173"/>
    </row>
    <row r="620">
      <c r="A620" s="314">
        <v>95.0</v>
      </c>
      <c r="B620" s="323" t="s">
        <v>1472</v>
      </c>
      <c r="C620" s="315" t="s">
        <v>396</v>
      </c>
      <c r="D620" s="315" t="s">
        <v>406</v>
      </c>
      <c r="E620" s="316" t="s">
        <v>405</v>
      </c>
      <c r="F620" s="329" t="s">
        <v>1473</v>
      </c>
      <c r="G620" s="327" t="s">
        <v>421</v>
      </c>
      <c r="H620" s="318" t="s">
        <v>415</v>
      </c>
      <c r="I620" s="319">
        <v>50765.0</v>
      </c>
      <c r="J620" s="320">
        <v>1.0</v>
      </c>
    </row>
    <row r="621">
      <c r="A621" s="321"/>
      <c r="B621" s="323" t="s">
        <v>1472</v>
      </c>
      <c r="C621" s="315" t="s">
        <v>396</v>
      </c>
      <c r="D621" s="315" t="s">
        <v>406</v>
      </c>
      <c r="E621" s="316" t="s">
        <v>405</v>
      </c>
      <c r="F621" s="329" t="s">
        <v>1474</v>
      </c>
      <c r="G621" s="327" t="s">
        <v>421</v>
      </c>
      <c r="H621" s="318" t="s">
        <v>416</v>
      </c>
      <c r="I621" s="319">
        <v>50765.0</v>
      </c>
      <c r="J621" s="320">
        <v>2.0</v>
      </c>
    </row>
    <row r="622">
      <c r="A622" s="321"/>
      <c r="B622" s="323" t="s">
        <v>1472</v>
      </c>
      <c r="C622" s="315" t="s">
        <v>396</v>
      </c>
      <c r="D622" s="315" t="s">
        <v>406</v>
      </c>
      <c r="E622" s="316" t="s">
        <v>405</v>
      </c>
      <c r="F622" s="330" t="s">
        <v>1466</v>
      </c>
      <c r="G622" s="327" t="s">
        <v>422</v>
      </c>
      <c r="H622" s="318" t="s">
        <v>415</v>
      </c>
      <c r="I622" s="319">
        <v>50765.0</v>
      </c>
      <c r="J622" s="320">
        <v>1.0</v>
      </c>
    </row>
    <row r="623">
      <c r="A623" s="321"/>
      <c r="B623" s="323" t="s">
        <v>1472</v>
      </c>
      <c r="C623" s="315" t="s">
        <v>396</v>
      </c>
      <c r="D623" s="315" t="s">
        <v>406</v>
      </c>
      <c r="E623" s="316" t="s">
        <v>405</v>
      </c>
      <c r="F623" s="330" t="s">
        <v>1467</v>
      </c>
      <c r="G623" s="327" t="s">
        <v>422</v>
      </c>
      <c r="H623" s="318" t="s">
        <v>416</v>
      </c>
      <c r="I623" s="319">
        <v>50765.0</v>
      </c>
      <c r="J623" s="320">
        <v>1.0</v>
      </c>
    </row>
    <row r="624">
      <c r="A624" s="312"/>
      <c r="B624" s="37"/>
      <c r="C624" s="37"/>
      <c r="D624" s="37"/>
      <c r="E624" s="37"/>
      <c r="F624" s="37"/>
      <c r="G624" s="79"/>
      <c r="H624" s="79"/>
      <c r="I624" s="173"/>
    </row>
    <row r="625">
      <c r="A625" s="314">
        <v>96.0</v>
      </c>
      <c r="B625" s="323" t="s">
        <v>1472</v>
      </c>
      <c r="C625" s="315" t="s">
        <v>396</v>
      </c>
      <c r="D625" s="315" t="s">
        <v>406</v>
      </c>
      <c r="E625" s="316" t="s">
        <v>405</v>
      </c>
      <c r="F625" s="329" t="s">
        <v>1473</v>
      </c>
      <c r="G625" s="327" t="s">
        <v>421</v>
      </c>
      <c r="H625" s="318" t="s">
        <v>415</v>
      </c>
      <c r="I625" s="319">
        <v>50796.0</v>
      </c>
      <c r="J625" s="320">
        <v>1.0</v>
      </c>
    </row>
    <row r="626">
      <c r="A626" s="321"/>
      <c r="B626" s="323" t="s">
        <v>1472</v>
      </c>
      <c r="C626" s="315" t="s">
        <v>396</v>
      </c>
      <c r="D626" s="315" t="s">
        <v>406</v>
      </c>
      <c r="E626" s="316" t="s">
        <v>405</v>
      </c>
      <c r="F626" s="329" t="s">
        <v>1474</v>
      </c>
      <c r="G626" s="327" t="s">
        <v>421</v>
      </c>
      <c r="H626" s="318" t="s">
        <v>416</v>
      </c>
      <c r="I626" s="319">
        <v>50796.0</v>
      </c>
      <c r="J626" s="320">
        <v>1.0</v>
      </c>
    </row>
    <row r="627">
      <c r="A627" s="321"/>
      <c r="B627" s="323" t="s">
        <v>1472</v>
      </c>
      <c r="C627" s="315" t="s">
        <v>396</v>
      </c>
      <c r="D627" s="315" t="s">
        <v>406</v>
      </c>
      <c r="E627" s="316" t="s">
        <v>405</v>
      </c>
      <c r="F627" s="330" t="s">
        <v>1466</v>
      </c>
      <c r="G627" s="327" t="s">
        <v>422</v>
      </c>
      <c r="H627" s="318" t="s">
        <v>415</v>
      </c>
      <c r="I627" s="319">
        <v>50796.0</v>
      </c>
      <c r="J627" s="320">
        <v>2.0</v>
      </c>
    </row>
    <row r="628">
      <c r="A628" s="321"/>
      <c r="B628" s="323" t="s">
        <v>1472</v>
      </c>
      <c r="C628" s="315" t="s">
        <v>396</v>
      </c>
      <c r="D628" s="315" t="s">
        <v>406</v>
      </c>
      <c r="E628" s="316" t="s">
        <v>405</v>
      </c>
      <c r="F628" s="330" t="s">
        <v>1467</v>
      </c>
      <c r="G628" s="327" t="s">
        <v>422</v>
      </c>
      <c r="H628" s="318" t="s">
        <v>416</v>
      </c>
      <c r="I628" s="319">
        <v>50796.0</v>
      </c>
      <c r="J628" s="320">
        <v>2.0</v>
      </c>
    </row>
    <row r="629">
      <c r="A629" s="312"/>
      <c r="B629" s="37"/>
      <c r="C629" s="37"/>
      <c r="D629" s="37"/>
      <c r="E629" s="37"/>
      <c r="F629" s="37"/>
      <c r="G629" s="79"/>
      <c r="H629" s="79"/>
      <c r="I629" s="173"/>
    </row>
    <row r="630">
      <c r="A630" s="314">
        <v>97.0</v>
      </c>
      <c r="B630" s="323" t="s">
        <v>1472</v>
      </c>
      <c r="C630" s="315" t="s">
        <v>396</v>
      </c>
      <c r="D630" s="315" t="s">
        <v>406</v>
      </c>
      <c r="E630" s="316" t="s">
        <v>405</v>
      </c>
      <c r="F630" s="329" t="s">
        <v>1473</v>
      </c>
      <c r="G630" s="327" t="s">
        <v>421</v>
      </c>
      <c r="H630" s="318" t="s">
        <v>415</v>
      </c>
      <c r="I630" s="319">
        <v>50854.0</v>
      </c>
      <c r="J630" s="320">
        <v>1.0</v>
      </c>
    </row>
    <row r="631">
      <c r="A631" s="321"/>
      <c r="B631" s="323" t="s">
        <v>1472</v>
      </c>
      <c r="C631" s="315" t="s">
        <v>396</v>
      </c>
      <c r="D631" s="315" t="s">
        <v>406</v>
      </c>
      <c r="E631" s="316" t="s">
        <v>405</v>
      </c>
      <c r="F631" s="329" t="s">
        <v>1474</v>
      </c>
      <c r="G631" s="327" t="s">
        <v>421</v>
      </c>
      <c r="H631" s="318" t="s">
        <v>416</v>
      </c>
      <c r="I631" s="319">
        <v>50854.0</v>
      </c>
      <c r="J631" s="320">
        <v>1.0</v>
      </c>
    </row>
    <row r="632">
      <c r="A632" s="321"/>
      <c r="B632" s="323" t="s">
        <v>1472</v>
      </c>
      <c r="C632" s="315" t="s">
        <v>396</v>
      </c>
      <c r="D632" s="315" t="s">
        <v>406</v>
      </c>
      <c r="E632" s="316" t="s">
        <v>405</v>
      </c>
      <c r="F632" s="330" t="s">
        <v>1466</v>
      </c>
      <c r="G632" s="327" t="s">
        <v>422</v>
      </c>
      <c r="H632" s="318" t="s">
        <v>415</v>
      </c>
      <c r="I632" s="319">
        <v>50854.0</v>
      </c>
      <c r="J632" s="320">
        <v>1.0</v>
      </c>
    </row>
    <row r="633">
      <c r="A633" s="321"/>
      <c r="B633" s="323" t="s">
        <v>1472</v>
      </c>
      <c r="C633" s="315" t="s">
        <v>396</v>
      </c>
      <c r="D633" s="315" t="s">
        <v>406</v>
      </c>
      <c r="E633" s="316" t="s">
        <v>405</v>
      </c>
      <c r="F633" s="330" t="s">
        <v>1467</v>
      </c>
      <c r="G633" s="327" t="s">
        <v>422</v>
      </c>
      <c r="H633" s="318" t="s">
        <v>416</v>
      </c>
      <c r="I633" s="319">
        <v>50854.0</v>
      </c>
      <c r="J633" s="320">
        <v>0.0</v>
      </c>
    </row>
    <row r="634">
      <c r="A634" s="312"/>
      <c r="B634" s="37"/>
      <c r="C634" s="37"/>
      <c r="D634" s="37"/>
      <c r="E634" s="37"/>
      <c r="F634" s="37"/>
      <c r="G634" s="79"/>
      <c r="H634" s="79"/>
      <c r="I634" s="173"/>
    </row>
    <row r="635">
      <c r="A635" s="314">
        <v>98.0</v>
      </c>
      <c r="B635" s="323" t="s">
        <v>1472</v>
      </c>
      <c r="C635" s="315" t="s">
        <v>396</v>
      </c>
      <c r="D635" s="315" t="s">
        <v>406</v>
      </c>
      <c r="E635" s="316" t="s">
        <v>405</v>
      </c>
      <c r="F635" s="329" t="s">
        <v>1473</v>
      </c>
      <c r="G635" s="327" t="s">
        <v>421</v>
      </c>
      <c r="H635" s="318" t="s">
        <v>415</v>
      </c>
      <c r="I635" s="319">
        <v>50912.0</v>
      </c>
      <c r="J635" s="320">
        <v>1.0</v>
      </c>
    </row>
    <row r="636">
      <c r="A636" s="321"/>
      <c r="B636" s="323" t="s">
        <v>1472</v>
      </c>
      <c r="C636" s="315" t="s">
        <v>396</v>
      </c>
      <c r="D636" s="315" t="s">
        <v>406</v>
      </c>
      <c r="E636" s="316" t="s">
        <v>405</v>
      </c>
      <c r="F636" s="329" t="s">
        <v>1474</v>
      </c>
      <c r="G636" s="327" t="s">
        <v>421</v>
      </c>
      <c r="H636" s="318" t="s">
        <v>416</v>
      </c>
      <c r="I636" s="319">
        <v>50912.0</v>
      </c>
      <c r="J636" s="320">
        <v>1.0</v>
      </c>
    </row>
    <row r="637">
      <c r="A637" s="321"/>
      <c r="B637" s="323" t="s">
        <v>1472</v>
      </c>
      <c r="C637" s="315" t="s">
        <v>396</v>
      </c>
      <c r="D637" s="315" t="s">
        <v>406</v>
      </c>
      <c r="E637" s="316" t="s">
        <v>405</v>
      </c>
      <c r="F637" s="330" t="s">
        <v>1466</v>
      </c>
      <c r="G637" s="327" t="s">
        <v>422</v>
      </c>
      <c r="H637" s="318" t="s">
        <v>415</v>
      </c>
      <c r="I637" s="319">
        <v>50912.0</v>
      </c>
      <c r="J637" s="320">
        <v>1.0</v>
      </c>
    </row>
    <row r="638">
      <c r="A638" s="321"/>
      <c r="B638" s="323" t="s">
        <v>1472</v>
      </c>
      <c r="C638" s="315" t="s">
        <v>396</v>
      </c>
      <c r="D638" s="315" t="s">
        <v>406</v>
      </c>
      <c r="E638" s="316" t="s">
        <v>405</v>
      </c>
      <c r="F638" s="330" t="s">
        <v>1467</v>
      </c>
      <c r="G638" s="327" t="s">
        <v>422</v>
      </c>
      <c r="H638" s="318" t="s">
        <v>416</v>
      </c>
      <c r="I638" s="319">
        <v>50912.0</v>
      </c>
      <c r="J638" s="320">
        <v>1.0</v>
      </c>
    </row>
    <row r="639">
      <c r="A639" s="312"/>
      <c r="B639" s="37"/>
      <c r="C639" s="37"/>
      <c r="D639" s="37"/>
      <c r="E639" s="37"/>
      <c r="F639" s="37"/>
      <c r="G639" s="79"/>
      <c r="H639" s="79"/>
      <c r="I639" s="173"/>
    </row>
    <row r="640">
      <c r="A640" s="314">
        <v>99.0</v>
      </c>
      <c r="B640" s="323" t="s">
        <v>1472</v>
      </c>
      <c r="C640" s="315" t="s">
        <v>396</v>
      </c>
      <c r="D640" s="315" t="s">
        <v>406</v>
      </c>
      <c r="E640" s="316" t="s">
        <v>405</v>
      </c>
      <c r="F640" s="329" t="s">
        <v>1473</v>
      </c>
      <c r="G640" s="327" t="s">
        <v>421</v>
      </c>
      <c r="H640" s="318" t="s">
        <v>415</v>
      </c>
      <c r="I640" s="319">
        <v>50977.0</v>
      </c>
      <c r="J640" s="320">
        <v>3.0</v>
      </c>
    </row>
    <row r="641">
      <c r="A641" s="321"/>
      <c r="B641" s="323" t="s">
        <v>1472</v>
      </c>
      <c r="C641" s="315" t="s">
        <v>396</v>
      </c>
      <c r="D641" s="315" t="s">
        <v>406</v>
      </c>
      <c r="E641" s="316" t="s">
        <v>405</v>
      </c>
      <c r="F641" s="329" t="s">
        <v>1474</v>
      </c>
      <c r="G641" s="327" t="s">
        <v>421</v>
      </c>
      <c r="H641" s="318" t="s">
        <v>416</v>
      </c>
      <c r="I641" s="319">
        <v>50977.0</v>
      </c>
      <c r="J641" s="320">
        <v>1.0</v>
      </c>
    </row>
    <row r="642">
      <c r="A642" s="321"/>
      <c r="B642" s="323" t="s">
        <v>1472</v>
      </c>
      <c r="C642" s="315" t="s">
        <v>396</v>
      </c>
      <c r="D642" s="315" t="s">
        <v>406</v>
      </c>
      <c r="E642" s="316" t="s">
        <v>405</v>
      </c>
      <c r="F642" s="330" t="s">
        <v>1466</v>
      </c>
      <c r="G642" s="327" t="s">
        <v>422</v>
      </c>
      <c r="H642" s="318" t="s">
        <v>415</v>
      </c>
      <c r="I642" s="319">
        <v>50977.0</v>
      </c>
      <c r="J642" s="320">
        <v>3.0</v>
      </c>
    </row>
    <row r="643">
      <c r="A643" s="321"/>
      <c r="B643" s="323" t="s">
        <v>1472</v>
      </c>
      <c r="C643" s="315" t="s">
        <v>396</v>
      </c>
      <c r="D643" s="315" t="s">
        <v>406</v>
      </c>
      <c r="E643" s="316" t="s">
        <v>405</v>
      </c>
      <c r="F643" s="330" t="s">
        <v>1467</v>
      </c>
      <c r="G643" s="327" t="s">
        <v>422</v>
      </c>
      <c r="H643" s="318" t="s">
        <v>416</v>
      </c>
      <c r="I643" s="319">
        <v>50977.0</v>
      </c>
      <c r="J643" s="320">
        <v>1.0</v>
      </c>
    </row>
    <row r="644">
      <c r="A644" s="312"/>
      <c r="B644" s="37"/>
      <c r="C644" s="37"/>
      <c r="D644" s="37"/>
      <c r="E644" s="37"/>
      <c r="F644" s="37"/>
      <c r="G644" s="79"/>
      <c r="H644" s="79"/>
      <c r="I644" s="173"/>
    </row>
    <row r="645">
      <c r="A645" s="314">
        <v>100.0</v>
      </c>
      <c r="B645" s="323" t="s">
        <v>1472</v>
      </c>
      <c r="C645" s="315" t="s">
        <v>396</v>
      </c>
      <c r="D645" s="315" t="s">
        <v>406</v>
      </c>
      <c r="E645" s="316" t="s">
        <v>405</v>
      </c>
      <c r="F645" s="329" t="s">
        <v>1473</v>
      </c>
      <c r="G645" s="327" t="s">
        <v>421</v>
      </c>
      <c r="H645" s="318" t="s">
        <v>415</v>
      </c>
      <c r="I645" s="319">
        <v>501432.0</v>
      </c>
      <c r="J645" s="320">
        <v>2.0</v>
      </c>
    </row>
    <row r="646">
      <c r="A646" s="321"/>
      <c r="B646" s="323" t="s">
        <v>1472</v>
      </c>
      <c r="C646" s="315" t="s">
        <v>396</v>
      </c>
      <c r="D646" s="315" t="s">
        <v>406</v>
      </c>
      <c r="E646" s="316" t="s">
        <v>405</v>
      </c>
      <c r="F646" s="329" t="s">
        <v>1474</v>
      </c>
      <c r="G646" s="327" t="s">
        <v>421</v>
      </c>
      <c r="H646" s="318" t="s">
        <v>416</v>
      </c>
      <c r="I646" s="319">
        <v>501432.0</v>
      </c>
      <c r="J646" s="320">
        <v>1.0</v>
      </c>
    </row>
    <row r="647">
      <c r="A647" s="321"/>
      <c r="B647" s="323" t="s">
        <v>1472</v>
      </c>
      <c r="C647" s="315" t="s">
        <v>396</v>
      </c>
      <c r="D647" s="315" t="s">
        <v>406</v>
      </c>
      <c r="E647" s="316" t="s">
        <v>405</v>
      </c>
      <c r="F647" s="330" t="s">
        <v>1466</v>
      </c>
      <c r="G647" s="327" t="s">
        <v>422</v>
      </c>
      <c r="H647" s="318" t="s">
        <v>415</v>
      </c>
      <c r="I647" s="319">
        <v>501432.0</v>
      </c>
      <c r="J647" s="320">
        <v>3.0</v>
      </c>
    </row>
    <row r="648">
      <c r="A648" s="321"/>
      <c r="B648" s="323" t="s">
        <v>1472</v>
      </c>
      <c r="C648" s="315" t="s">
        <v>396</v>
      </c>
      <c r="D648" s="315" t="s">
        <v>406</v>
      </c>
      <c r="E648" s="316" t="s">
        <v>405</v>
      </c>
      <c r="F648" s="330" t="s">
        <v>1467</v>
      </c>
      <c r="G648" s="327" t="s">
        <v>422</v>
      </c>
      <c r="H648" s="318" t="s">
        <v>416</v>
      </c>
      <c r="I648" s="319">
        <v>501432.0</v>
      </c>
      <c r="J648" s="320">
        <v>1.0</v>
      </c>
    </row>
    <row r="649">
      <c r="A649" s="312"/>
      <c r="B649" s="37"/>
      <c r="C649" s="37"/>
      <c r="D649" s="37"/>
      <c r="E649" s="37"/>
      <c r="F649" s="37"/>
      <c r="G649" s="79"/>
      <c r="H649" s="79"/>
      <c r="I649" s="173"/>
    </row>
    <row r="650">
      <c r="A650" s="314">
        <v>101.0</v>
      </c>
      <c r="B650" s="323" t="s">
        <v>1472</v>
      </c>
      <c r="C650" s="315" t="s">
        <v>396</v>
      </c>
      <c r="D650" s="315" t="s">
        <v>406</v>
      </c>
      <c r="E650" s="316" t="s">
        <v>405</v>
      </c>
      <c r="F650" s="329" t="s">
        <v>1473</v>
      </c>
      <c r="G650" s="327" t="s">
        <v>421</v>
      </c>
      <c r="H650" s="318" t="s">
        <v>415</v>
      </c>
      <c r="I650" s="319" t="s">
        <v>107</v>
      </c>
      <c r="J650" s="320">
        <v>1.0</v>
      </c>
    </row>
    <row r="651">
      <c r="A651" s="321"/>
      <c r="B651" s="323" t="s">
        <v>1472</v>
      </c>
      <c r="C651" s="315" t="s">
        <v>396</v>
      </c>
      <c r="D651" s="315" t="s">
        <v>406</v>
      </c>
      <c r="E651" s="316" t="s">
        <v>405</v>
      </c>
      <c r="F651" s="329" t="s">
        <v>1474</v>
      </c>
      <c r="G651" s="327" t="s">
        <v>421</v>
      </c>
      <c r="H651" s="318" t="s">
        <v>416</v>
      </c>
      <c r="I651" s="319" t="s">
        <v>107</v>
      </c>
      <c r="J651" s="320">
        <v>2.0</v>
      </c>
    </row>
    <row r="652">
      <c r="A652" s="321"/>
      <c r="B652" s="323" t="s">
        <v>1472</v>
      </c>
      <c r="C652" s="315" t="s">
        <v>396</v>
      </c>
      <c r="D652" s="315" t="s">
        <v>406</v>
      </c>
      <c r="E652" s="316" t="s">
        <v>405</v>
      </c>
      <c r="F652" s="330" t="s">
        <v>1466</v>
      </c>
      <c r="G652" s="327" t="s">
        <v>422</v>
      </c>
      <c r="H652" s="318" t="s">
        <v>415</v>
      </c>
      <c r="I652" s="319" t="s">
        <v>107</v>
      </c>
      <c r="J652" s="320">
        <v>1.0</v>
      </c>
    </row>
    <row r="653">
      <c r="A653" s="321"/>
      <c r="B653" s="323" t="s">
        <v>1472</v>
      </c>
      <c r="C653" s="315" t="s">
        <v>396</v>
      </c>
      <c r="D653" s="315" t="s">
        <v>406</v>
      </c>
      <c r="E653" s="316" t="s">
        <v>405</v>
      </c>
      <c r="F653" s="330" t="s">
        <v>1467</v>
      </c>
      <c r="G653" s="327" t="s">
        <v>422</v>
      </c>
      <c r="H653" s="318" t="s">
        <v>416</v>
      </c>
      <c r="I653" s="319" t="s">
        <v>107</v>
      </c>
      <c r="J653" s="320">
        <v>2.0</v>
      </c>
    </row>
    <row r="654">
      <c r="A654" s="312"/>
      <c r="B654" s="37"/>
      <c r="C654" s="37"/>
      <c r="D654" s="37"/>
      <c r="E654" s="37"/>
      <c r="F654" s="37"/>
      <c r="G654" s="79"/>
      <c r="H654" s="79"/>
      <c r="I654" s="173"/>
    </row>
    <row r="655">
      <c r="A655" s="314">
        <v>102.0</v>
      </c>
      <c r="B655" s="323" t="s">
        <v>1472</v>
      </c>
      <c r="C655" s="315" t="s">
        <v>396</v>
      </c>
      <c r="D655" s="315" t="s">
        <v>406</v>
      </c>
      <c r="E655" s="316" t="s">
        <v>405</v>
      </c>
      <c r="F655" s="329" t="s">
        <v>1473</v>
      </c>
      <c r="G655" s="327" t="s">
        <v>421</v>
      </c>
      <c r="H655" s="318" t="s">
        <v>415</v>
      </c>
      <c r="I655" s="319" t="s">
        <v>92</v>
      </c>
      <c r="J655" s="320">
        <v>10.0</v>
      </c>
    </row>
    <row r="656">
      <c r="A656" s="321"/>
      <c r="B656" s="323" t="s">
        <v>1472</v>
      </c>
      <c r="C656" s="315" t="s">
        <v>396</v>
      </c>
      <c r="D656" s="315" t="s">
        <v>406</v>
      </c>
      <c r="E656" s="316" t="s">
        <v>405</v>
      </c>
      <c r="F656" s="329" t="s">
        <v>1474</v>
      </c>
      <c r="G656" s="327" t="s">
        <v>421</v>
      </c>
      <c r="H656" s="318" t="s">
        <v>416</v>
      </c>
      <c r="I656" s="319" t="s">
        <v>92</v>
      </c>
      <c r="J656" s="320">
        <v>14.0</v>
      </c>
    </row>
    <row r="657">
      <c r="A657" s="321"/>
      <c r="B657" s="323" t="s">
        <v>1472</v>
      </c>
      <c r="C657" s="315" t="s">
        <v>396</v>
      </c>
      <c r="D657" s="315" t="s">
        <v>406</v>
      </c>
      <c r="E657" s="316" t="s">
        <v>405</v>
      </c>
      <c r="F657" s="330" t="s">
        <v>1466</v>
      </c>
      <c r="G657" s="327" t="s">
        <v>422</v>
      </c>
      <c r="H657" s="318" t="s">
        <v>415</v>
      </c>
      <c r="I657" s="319" t="s">
        <v>92</v>
      </c>
      <c r="J657" s="320">
        <v>11.0</v>
      </c>
    </row>
    <row r="658">
      <c r="A658" s="321"/>
      <c r="B658" s="323" t="s">
        <v>1472</v>
      </c>
      <c r="C658" s="315" t="s">
        <v>396</v>
      </c>
      <c r="D658" s="315" t="s">
        <v>406</v>
      </c>
      <c r="E658" s="316" t="s">
        <v>405</v>
      </c>
      <c r="F658" s="330" t="s">
        <v>1467</v>
      </c>
      <c r="G658" s="327" t="s">
        <v>422</v>
      </c>
      <c r="H658" s="318" t="s">
        <v>416</v>
      </c>
      <c r="I658" s="319" t="s">
        <v>92</v>
      </c>
      <c r="J658" s="320">
        <v>14.0</v>
      </c>
    </row>
    <row r="659">
      <c r="A659" s="312"/>
      <c r="B659" s="37"/>
      <c r="C659" s="37"/>
      <c r="D659" s="37"/>
      <c r="E659" s="37"/>
      <c r="F659" s="37"/>
      <c r="G659" s="79"/>
      <c r="H659" s="79"/>
      <c r="I659" s="173"/>
    </row>
    <row r="660">
      <c r="A660" s="314">
        <v>103.0</v>
      </c>
      <c r="B660" s="323" t="s">
        <v>1472</v>
      </c>
      <c r="C660" s="315" t="s">
        <v>396</v>
      </c>
      <c r="D660" s="315" t="s">
        <v>406</v>
      </c>
      <c r="E660" s="316" t="s">
        <v>405</v>
      </c>
      <c r="F660" s="329" t="s">
        <v>1473</v>
      </c>
      <c r="G660" s="327" t="s">
        <v>421</v>
      </c>
      <c r="H660" s="318" t="s">
        <v>415</v>
      </c>
      <c r="I660" s="319" t="s">
        <v>100</v>
      </c>
      <c r="J660" s="320">
        <v>9.0</v>
      </c>
    </row>
    <row r="661">
      <c r="A661" s="321"/>
      <c r="B661" s="323" t="s">
        <v>1472</v>
      </c>
      <c r="C661" s="315" t="s">
        <v>396</v>
      </c>
      <c r="D661" s="315" t="s">
        <v>406</v>
      </c>
      <c r="E661" s="316" t="s">
        <v>405</v>
      </c>
      <c r="F661" s="329" t="s">
        <v>1474</v>
      </c>
      <c r="G661" s="327" t="s">
        <v>421</v>
      </c>
      <c r="H661" s="318" t="s">
        <v>416</v>
      </c>
      <c r="I661" s="319" t="s">
        <v>100</v>
      </c>
      <c r="J661" s="320">
        <v>5.0</v>
      </c>
    </row>
    <row r="662">
      <c r="A662" s="321"/>
      <c r="B662" s="323" t="s">
        <v>1472</v>
      </c>
      <c r="C662" s="315" t="s">
        <v>396</v>
      </c>
      <c r="D662" s="315" t="s">
        <v>406</v>
      </c>
      <c r="E662" s="316" t="s">
        <v>405</v>
      </c>
      <c r="F662" s="330" t="s">
        <v>1466</v>
      </c>
      <c r="G662" s="327" t="s">
        <v>422</v>
      </c>
      <c r="H662" s="318" t="s">
        <v>415</v>
      </c>
      <c r="I662" s="319" t="s">
        <v>100</v>
      </c>
      <c r="J662" s="320">
        <v>10.0</v>
      </c>
    </row>
    <row r="663">
      <c r="A663" s="321"/>
      <c r="B663" s="323" t="s">
        <v>1472</v>
      </c>
      <c r="C663" s="315" t="s">
        <v>396</v>
      </c>
      <c r="D663" s="315" t="s">
        <v>406</v>
      </c>
      <c r="E663" s="316" t="s">
        <v>405</v>
      </c>
      <c r="F663" s="330" t="s">
        <v>1467</v>
      </c>
      <c r="G663" s="327" t="s">
        <v>422</v>
      </c>
      <c r="H663" s="318" t="s">
        <v>416</v>
      </c>
      <c r="I663" s="319" t="s">
        <v>100</v>
      </c>
      <c r="J663" s="320">
        <v>5.0</v>
      </c>
    </row>
    <row r="664">
      <c r="A664" s="312"/>
      <c r="B664" s="37"/>
      <c r="C664" s="37"/>
      <c r="D664" s="37"/>
      <c r="E664" s="37"/>
      <c r="F664" s="37"/>
      <c r="G664" s="79"/>
      <c r="H664" s="79"/>
      <c r="I664" s="173"/>
    </row>
    <row r="665">
      <c r="A665" s="314">
        <v>104.0</v>
      </c>
      <c r="B665" s="323" t="s">
        <v>1472</v>
      </c>
      <c r="C665" s="315" t="s">
        <v>396</v>
      </c>
      <c r="D665" s="315" t="s">
        <v>406</v>
      </c>
      <c r="E665" s="316" t="s">
        <v>407</v>
      </c>
      <c r="F665" s="329" t="s">
        <v>1473</v>
      </c>
      <c r="G665" s="327" t="s">
        <v>421</v>
      </c>
      <c r="H665" s="318" t="s">
        <v>415</v>
      </c>
      <c r="I665" s="319">
        <v>60133.0</v>
      </c>
      <c r="J665" s="320">
        <v>6.0</v>
      </c>
    </row>
    <row r="666">
      <c r="A666" s="321"/>
      <c r="B666" s="323" t="s">
        <v>1472</v>
      </c>
      <c r="C666" s="315" t="s">
        <v>396</v>
      </c>
      <c r="D666" s="315" t="s">
        <v>406</v>
      </c>
      <c r="E666" s="316" t="s">
        <v>407</v>
      </c>
      <c r="F666" s="329" t="s">
        <v>1474</v>
      </c>
      <c r="G666" s="327" t="s">
        <v>421</v>
      </c>
      <c r="H666" s="318" t="s">
        <v>416</v>
      </c>
      <c r="I666" s="319">
        <v>60133.0</v>
      </c>
      <c r="J666" s="320">
        <v>10.0</v>
      </c>
    </row>
    <row r="667">
      <c r="A667" s="321"/>
      <c r="B667" s="323" t="s">
        <v>1472</v>
      </c>
      <c r="C667" s="315" t="s">
        <v>396</v>
      </c>
      <c r="D667" s="315" t="s">
        <v>406</v>
      </c>
      <c r="E667" s="316" t="s">
        <v>407</v>
      </c>
      <c r="F667" s="330" t="s">
        <v>1466</v>
      </c>
      <c r="G667" s="327" t="s">
        <v>422</v>
      </c>
      <c r="H667" s="318" t="s">
        <v>415</v>
      </c>
      <c r="I667" s="319">
        <v>60133.0</v>
      </c>
      <c r="J667" s="320">
        <v>5.0</v>
      </c>
    </row>
    <row r="668">
      <c r="A668" s="321"/>
      <c r="B668" s="323" t="s">
        <v>1472</v>
      </c>
      <c r="C668" s="315" t="s">
        <v>396</v>
      </c>
      <c r="D668" s="315" t="s">
        <v>406</v>
      </c>
      <c r="E668" s="316" t="s">
        <v>407</v>
      </c>
      <c r="F668" s="330" t="s">
        <v>1467</v>
      </c>
      <c r="G668" s="327" t="s">
        <v>422</v>
      </c>
      <c r="H668" s="318" t="s">
        <v>416</v>
      </c>
      <c r="I668" s="319">
        <v>60133.0</v>
      </c>
      <c r="J668" s="320">
        <v>10.0</v>
      </c>
    </row>
    <row r="669">
      <c r="A669" s="312"/>
      <c r="B669" s="37"/>
      <c r="C669" s="37"/>
      <c r="D669" s="37"/>
      <c r="E669" s="37"/>
      <c r="F669" s="37"/>
      <c r="G669" s="79"/>
      <c r="H669" s="79"/>
      <c r="I669" s="173"/>
    </row>
    <row r="670">
      <c r="A670" s="314">
        <v>105.0</v>
      </c>
      <c r="B670" s="323" t="s">
        <v>1472</v>
      </c>
      <c r="C670" s="315" t="s">
        <v>396</v>
      </c>
      <c r="D670" s="315" t="s">
        <v>406</v>
      </c>
      <c r="E670" s="316" t="s">
        <v>407</v>
      </c>
      <c r="F670" s="329" t="s">
        <v>1473</v>
      </c>
      <c r="G670" s="327" t="s">
        <v>421</v>
      </c>
      <c r="H670" s="318" t="s">
        <v>415</v>
      </c>
      <c r="I670" s="319">
        <v>601331.0</v>
      </c>
      <c r="J670" s="320">
        <v>4.0</v>
      </c>
    </row>
    <row r="671">
      <c r="A671" s="321"/>
      <c r="B671" s="323" t="s">
        <v>1472</v>
      </c>
      <c r="C671" s="315" t="s">
        <v>396</v>
      </c>
      <c r="D671" s="315" t="s">
        <v>406</v>
      </c>
      <c r="E671" s="316" t="s">
        <v>407</v>
      </c>
      <c r="F671" s="329" t="s">
        <v>1474</v>
      </c>
      <c r="G671" s="327" t="s">
        <v>421</v>
      </c>
      <c r="H671" s="318" t="s">
        <v>416</v>
      </c>
      <c r="I671" s="319">
        <v>601331.0</v>
      </c>
      <c r="J671" s="320">
        <v>6.0</v>
      </c>
    </row>
    <row r="672">
      <c r="A672" s="321"/>
      <c r="B672" s="323" t="s">
        <v>1472</v>
      </c>
      <c r="C672" s="315" t="s">
        <v>396</v>
      </c>
      <c r="D672" s="315" t="s">
        <v>406</v>
      </c>
      <c r="E672" s="316" t="s">
        <v>407</v>
      </c>
      <c r="F672" s="330" t="s">
        <v>1466</v>
      </c>
      <c r="G672" s="327" t="s">
        <v>422</v>
      </c>
      <c r="H672" s="318" t="s">
        <v>415</v>
      </c>
      <c r="I672" s="319">
        <v>601331.0</v>
      </c>
      <c r="J672" s="320">
        <v>4.0</v>
      </c>
    </row>
    <row r="673">
      <c r="A673" s="321"/>
      <c r="B673" s="323" t="s">
        <v>1472</v>
      </c>
      <c r="C673" s="315" t="s">
        <v>396</v>
      </c>
      <c r="D673" s="315" t="s">
        <v>406</v>
      </c>
      <c r="E673" s="316" t="s">
        <v>407</v>
      </c>
      <c r="F673" s="330" t="s">
        <v>1467</v>
      </c>
      <c r="G673" s="327" t="s">
        <v>422</v>
      </c>
      <c r="H673" s="318" t="s">
        <v>416</v>
      </c>
      <c r="I673" s="319">
        <v>601331.0</v>
      </c>
      <c r="J673" s="320">
        <v>5.0</v>
      </c>
    </row>
    <row r="674">
      <c r="A674" s="312"/>
      <c r="B674" s="37"/>
      <c r="C674" s="37"/>
      <c r="D674" s="37"/>
      <c r="E674" s="37"/>
      <c r="F674" s="37"/>
      <c r="G674" s="79"/>
      <c r="H674" s="79"/>
      <c r="I674" s="173"/>
    </row>
    <row r="675">
      <c r="A675" s="314">
        <v>106.0</v>
      </c>
      <c r="B675" s="323" t="s">
        <v>1472</v>
      </c>
      <c r="C675" s="315" t="s">
        <v>396</v>
      </c>
      <c r="D675" s="315" t="s">
        <v>406</v>
      </c>
      <c r="E675" s="316" t="s">
        <v>407</v>
      </c>
      <c r="F675" s="329" t="s">
        <v>1473</v>
      </c>
      <c r="G675" s="327" t="s">
        <v>421</v>
      </c>
      <c r="H675" s="318" t="s">
        <v>415</v>
      </c>
      <c r="I675" s="319">
        <v>601448.0</v>
      </c>
      <c r="J675" s="320">
        <v>1.0</v>
      </c>
    </row>
    <row r="676">
      <c r="A676" s="321"/>
      <c r="B676" s="323" t="s">
        <v>1472</v>
      </c>
      <c r="C676" s="315" t="s">
        <v>396</v>
      </c>
      <c r="D676" s="315" t="s">
        <v>406</v>
      </c>
      <c r="E676" s="316" t="s">
        <v>407</v>
      </c>
      <c r="F676" s="329" t="s">
        <v>1474</v>
      </c>
      <c r="G676" s="327" t="s">
        <v>421</v>
      </c>
      <c r="H676" s="318" t="s">
        <v>416</v>
      </c>
      <c r="I676" s="319">
        <v>601448.0</v>
      </c>
      <c r="J676" s="320">
        <v>2.0</v>
      </c>
    </row>
    <row r="677">
      <c r="A677" s="321"/>
      <c r="B677" s="323" t="s">
        <v>1472</v>
      </c>
      <c r="C677" s="315" t="s">
        <v>396</v>
      </c>
      <c r="D677" s="315" t="s">
        <v>406</v>
      </c>
      <c r="E677" s="316" t="s">
        <v>407</v>
      </c>
      <c r="F677" s="330" t="s">
        <v>1466</v>
      </c>
      <c r="G677" s="327" t="s">
        <v>422</v>
      </c>
      <c r="H677" s="318" t="s">
        <v>415</v>
      </c>
      <c r="I677" s="319">
        <v>601448.0</v>
      </c>
      <c r="J677" s="320">
        <v>1.0</v>
      </c>
    </row>
    <row r="678">
      <c r="A678" s="321"/>
      <c r="B678" s="323" t="s">
        <v>1472</v>
      </c>
      <c r="C678" s="315" t="s">
        <v>396</v>
      </c>
      <c r="D678" s="315" t="s">
        <v>406</v>
      </c>
      <c r="E678" s="316" t="s">
        <v>407</v>
      </c>
      <c r="F678" s="330" t="s">
        <v>1467</v>
      </c>
      <c r="G678" s="327" t="s">
        <v>422</v>
      </c>
      <c r="H678" s="318" t="s">
        <v>416</v>
      </c>
      <c r="I678" s="319">
        <v>601448.0</v>
      </c>
      <c r="J678" s="320">
        <v>1.0</v>
      </c>
    </row>
    <row r="679">
      <c r="A679" s="312"/>
      <c r="B679" s="37"/>
      <c r="C679" s="37"/>
      <c r="D679" s="37"/>
      <c r="E679" s="37"/>
      <c r="F679" s="37"/>
      <c r="G679" s="79"/>
      <c r="H679" s="79"/>
      <c r="I679" s="173"/>
    </row>
    <row r="680">
      <c r="A680" s="314">
        <v>107.0</v>
      </c>
      <c r="B680" s="323" t="s">
        <v>1472</v>
      </c>
      <c r="C680" s="315" t="s">
        <v>396</v>
      </c>
      <c r="D680" s="315" t="s">
        <v>406</v>
      </c>
      <c r="E680" s="316" t="s">
        <v>407</v>
      </c>
      <c r="F680" s="329" t="s">
        <v>1473</v>
      </c>
      <c r="G680" s="327" t="s">
        <v>421</v>
      </c>
      <c r="H680" s="318" t="s">
        <v>415</v>
      </c>
      <c r="I680" s="319">
        <v>601514.0</v>
      </c>
      <c r="J680" s="320">
        <v>2.0</v>
      </c>
    </row>
    <row r="681">
      <c r="A681" s="321"/>
      <c r="B681" s="323" t="s">
        <v>1472</v>
      </c>
      <c r="C681" s="315" t="s">
        <v>396</v>
      </c>
      <c r="D681" s="315" t="s">
        <v>406</v>
      </c>
      <c r="E681" s="316" t="s">
        <v>407</v>
      </c>
      <c r="F681" s="329" t="s">
        <v>1474</v>
      </c>
      <c r="G681" s="327" t="s">
        <v>421</v>
      </c>
      <c r="H681" s="318" t="s">
        <v>416</v>
      </c>
      <c r="I681" s="319">
        <v>601514.0</v>
      </c>
      <c r="J681" s="320">
        <v>2.0</v>
      </c>
    </row>
    <row r="682">
      <c r="A682" s="321"/>
      <c r="B682" s="323" t="s">
        <v>1472</v>
      </c>
      <c r="C682" s="315" t="s">
        <v>396</v>
      </c>
      <c r="D682" s="315" t="s">
        <v>406</v>
      </c>
      <c r="E682" s="316" t="s">
        <v>407</v>
      </c>
      <c r="F682" s="330" t="s">
        <v>1466</v>
      </c>
      <c r="G682" s="327" t="s">
        <v>422</v>
      </c>
      <c r="H682" s="318" t="s">
        <v>415</v>
      </c>
      <c r="I682" s="319">
        <v>601514.0</v>
      </c>
      <c r="J682" s="320">
        <v>1.0</v>
      </c>
    </row>
    <row r="683">
      <c r="A683" s="321"/>
      <c r="B683" s="323" t="s">
        <v>1472</v>
      </c>
      <c r="C683" s="315" t="s">
        <v>396</v>
      </c>
      <c r="D683" s="315" t="s">
        <v>406</v>
      </c>
      <c r="E683" s="316" t="s">
        <v>407</v>
      </c>
      <c r="F683" s="330" t="s">
        <v>1467</v>
      </c>
      <c r="G683" s="327" t="s">
        <v>422</v>
      </c>
      <c r="H683" s="318" t="s">
        <v>416</v>
      </c>
      <c r="I683" s="319">
        <v>601514.0</v>
      </c>
      <c r="J683" s="320">
        <v>1.0</v>
      </c>
    </row>
    <row r="684">
      <c r="A684" s="312"/>
      <c r="B684" s="37"/>
      <c r="C684" s="37"/>
      <c r="D684" s="37"/>
      <c r="E684" s="37"/>
      <c r="F684" s="37"/>
      <c r="G684" s="79"/>
      <c r="H684" s="79"/>
      <c r="I684" s="173"/>
    </row>
    <row r="685">
      <c r="A685" s="314">
        <v>108.0</v>
      </c>
      <c r="B685" s="323" t="s">
        <v>1472</v>
      </c>
      <c r="C685" s="315" t="s">
        <v>396</v>
      </c>
      <c r="D685" s="315" t="s">
        <v>406</v>
      </c>
      <c r="E685" s="316" t="s">
        <v>407</v>
      </c>
      <c r="F685" s="329" t="s">
        <v>1473</v>
      </c>
      <c r="G685" s="327" t="s">
        <v>421</v>
      </c>
      <c r="H685" s="318" t="s">
        <v>415</v>
      </c>
      <c r="I685" s="319">
        <v>601614.0</v>
      </c>
      <c r="J685" s="320">
        <v>1.0</v>
      </c>
    </row>
    <row r="686">
      <c r="A686" s="321"/>
      <c r="B686" s="323" t="s">
        <v>1472</v>
      </c>
      <c r="C686" s="315" t="s">
        <v>396</v>
      </c>
      <c r="D686" s="315" t="s">
        <v>406</v>
      </c>
      <c r="E686" s="316" t="s">
        <v>407</v>
      </c>
      <c r="F686" s="329" t="s">
        <v>1474</v>
      </c>
      <c r="G686" s="327" t="s">
        <v>421</v>
      </c>
      <c r="H686" s="318" t="s">
        <v>416</v>
      </c>
      <c r="I686" s="319">
        <v>601614.0</v>
      </c>
      <c r="J686" s="320">
        <v>0.0</v>
      </c>
    </row>
    <row r="687">
      <c r="A687" s="321"/>
      <c r="B687" s="323" t="s">
        <v>1472</v>
      </c>
      <c r="C687" s="315" t="s">
        <v>396</v>
      </c>
      <c r="D687" s="315" t="s">
        <v>406</v>
      </c>
      <c r="E687" s="316" t="s">
        <v>407</v>
      </c>
      <c r="F687" s="330" t="s">
        <v>1466</v>
      </c>
      <c r="G687" s="327" t="s">
        <v>422</v>
      </c>
      <c r="H687" s="318" t="s">
        <v>415</v>
      </c>
      <c r="I687" s="319">
        <v>601614.0</v>
      </c>
      <c r="J687" s="320">
        <v>0.0</v>
      </c>
    </row>
    <row r="688">
      <c r="A688" s="321"/>
      <c r="B688" s="323" t="s">
        <v>1472</v>
      </c>
      <c r="C688" s="315" t="s">
        <v>396</v>
      </c>
      <c r="D688" s="315" t="s">
        <v>406</v>
      </c>
      <c r="E688" s="316" t="s">
        <v>407</v>
      </c>
      <c r="F688" s="330" t="s">
        <v>1467</v>
      </c>
      <c r="G688" s="327" t="s">
        <v>422</v>
      </c>
      <c r="H688" s="318" t="s">
        <v>416</v>
      </c>
      <c r="I688" s="319">
        <v>601614.0</v>
      </c>
      <c r="J688" s="320">
        <v>0.0</v>
      </c>
    </row>
    <row r="689">
      <c r="A689" s="312"/>
      <c r="B689" s="37"/>
      <c r="C689" s="37"/>
      <c r="D689" s="37"/>
      <c r="E689" s="37"/>
      <c r="F689" s="37"/>
      <c r="G689" s="79"/>
      <c r="H689" s="79"/>
      <c r="I689" s="173"/>
    </row>
    <row r="690">
      <c r="A690" s="314">
        <v>109.0</v>
      </c>
      <c r="B690" s="323" t="s">
        <v>1472</v>
      </c>
      <c r="C690" s="315" t="s">
        <v>396</v>
      </c>
      <c r="D690" s="315" t="s">
        <v>406</v>
      </c>
      <c r="E690" s="316" t="s">
        <v>407</v>
      </c>
      <c r="F690" s="329" t="s">
        <v>1473</v>
      </c>
      <c r="G690" s="327" t="s">
        <v>421</v>
      </c>
      <c r="H690" s="318" t="s">
        <v>415</v>
      </c>
      <c r="I690" s="319">
        <v>6010231.0</v>
      </c>
      <c r="J690" s="320">
        <v>6.0</v>
      </c>
    </row>
    <row r="691">
      <c r="A691" s="321"/>
      <c r="B691" s="323" t="s">
        <v>1472</v>
      </c>
      <c r="C691" s="315" t="s">
        <v>396</v>
      </c>
      <c r="D691" s="315" t="s">
        <v>406</v>
      </c>
      <c r="E691" s="316" t="s">
        <v>407</v>
      </c>
      <c r="F691" s="329" t="s">
        <v>1474</v>
      </c>
      <c r="G691" s="327" t="s">
        <v>421</v>
      </c>
      <c r="H691" s="318" t="s">
        <v>416</v>
      </c>
      <c r="I691" s="319">
        <v>6010231.0</v>
      </c>
      <c r="J691" s="320">
        <v>9.0</v>
      </c>
    </row>
    <row r="692">
      <c r="A692" s="321"/>
      <c r="B692" s="323" t="s">
        <v>1472</v>
      </c>
      <c r="C692" s="315" t="s">
        <v>396</v>
      </c>
      <c r="D692" s="315" t="s">
        <v>406</v>
      </c>
      <c r="E692" s="316" t="s">
        <v>407</v>
      </c>
      <c r="F692" s="330" t="s">
        <v>1466</v>
      </c>
      <c r="G692" s="327" t="s">
        <v>422</v>
      </c>
      <c r="H692" s="318" t="s">
        <v>415</v>
      </c>
      <c r="I692" s="319">
        <v>6010231.0</v>
      </c>
      <c r="J692" s="320">
        <v>6.0</v>
      </c>
    </row>
    <row r="693">
      <c r="A693" s="321"/>
      <c r="B693" s="323" t="s">
        <v>1472</v>
      </c>
      <c r="C693" s="315" t="s">
        <v>396</v>
      </c>
      <c r="D693" s="315" t="s">
        <v>406</v>
      </c>
      <c r="E693" s="316" t="s">
        <v>407</v>
      </c>
      <c r="F693" s="330" t="s">
        <v>1467</v>
      </c>
      <c r="G693" s="327" t="s">
        <v>422</v>
      </c>
      <c r="H693" s="318" t="s">
        <v>416</v>
      </c>
      <c r="I693" s="319">
        <v>6010231.0</v>
      </c>
      <c r="J693" s="320">
        <v>8.0</v>
      </c>
    </row>
    <row r="694">
      <c r="A694" s="312"/>
      <c r="B694" s="37"/>
      <c r="C694" s="37"/>
      <c r="D694" s="37"/>
      <c r="E694" s="37"/>
      <c r="F694" s="37"/>
      <c r="G694" s="79"/>
      <c r="H694" s="79"/>
      <c r="I694" s="173"/>
    </row>
    <row r="695">
      <c r="A695" s="314">
        <v>110.0</v>
      </c>
      <c r="B695" s="323" t="s">
        <v>1472</v>
      </c>
      <c r="C695" s="315" t="s">
        <v>396</v>
      </c>
      <c r="D695" s="315" t="s">
        <v>406</v>
      </c>
      <c r="E695" s="316" t="s">
        <v>407</v>
      </c>
      <c r="F695" s="329" t="s">
        <v>1473</v>
      </c>
      <c r="G695" s="327" t="s">
        <v>421</v>
      </c>
      <c r="H695" s="318" t="s">
        <v>415</v>
      </c>
      <c r="I695" s="319" t="s">
        <v>231</v>
      </c>
      <c r="J695" s="320">
        <v>2.0</v>
      </c>
    </row>
    <row r="696">
      <c r="A696" s="321"/>
      <c r="B696" s="323" t="s">
        <v>1472</v>
      </c>
      <c r="C696" s="315" t="s">
        <v>396</v>
      </c>
      <c r="D696" s="315" t="s">
        <v>406</v>
      </c>
      <c r="E696" s="316" t="s">
        <v>407</v>
      </c>
      <c r="F696" s="329" t="s">
        <v>1474</v>
      </c>
      <c r="G696" s="327" t="s">
        <v>421</v>
      </c>
      <c r="H696" s="318" t="s">
        <v>416</v>
      </c>
      <c r="I696" s="319" t="s">
        <v>231</v>
      </c>
      <c r="J696" s="320">
        <v>1.0</v>
      </c>
    </row>
    <row r="697">
      <c r="A697" s="321"/>
      <c r="B697" s="323" t="s">
        <v>1472</v>
      </c>
      <c r="C697" s="315" t="s">
        <v>396</v>
      </c>
      <c r="D697" s="315" t="s">
        <v>406</v>
      </c>
      <c r="E697" s="316" t="s">
        <v>407</v>
      </c>
      <c r="F697" s="330" t="s">
        <v>1466</v>
      </c>
      <c r="G697" s="327" t="s">
        <v>422</v>
      </c>
      <c r="H697" s="318" t="s">
        <v>415</v>
      </c>
      <c r="I697" s="319" t="s">
        <v>231</v>
      </c>
      <c r="J697" s="320">
        <v>4.0</v>
      </c>
    </row>
    <row r="698">
      <c r="A698" s="321"/>
      <c r="B698" s="323" t="s">
        <v>1472</v>
      </c>
      <c r="C698" s="315" t="s">
        <v>396</v>
      </c>
      <c r="D698" s="315" t="s">
        <v>406</v>
      </c>
      <c r="E698" s="316" t="s">
        <v>407</v>
      </c>
      <c r="F698" s="330" t="s">
        <v>1467</v>
      </c>
      <c r="G698" s="327" t="s">
        <v>422</v>
      </c>
      <c r="H698" s="318" t="s">
        <v>416</v>
      </c>
      <c r="I698" s="319" t="s">
        <v>231</v>
      </c>
      <c r="J698" s="320">
        <v>1.0</v>
      </c>
    </row>
    <row r="699">
      <c r="A699" s="312"/>
      <c r="B699" s="37"/>
      <c r="C699" s="37"/>
      <c r="D699" s="37"/>
      <c r="E699" s="37"/>
      <c r="F699" s="37"/>
      <c r="G699" s="79"/>
      <c r="H699" s="79"/>
      <c r="I699" s="173"/>
    </row>
    <row r="700">
      <c r="A700" s="314">
        <v>111.0</v>
      </c>
      <c r="B700" s="323" t="s">
        <v>1472</v>
      </c>
      <c r="C700" s="315" t="s">
        <v>396</v>
      </c>
      <c r="D700" s="315" t="s">
        <v>406</v>
      </c>
      <c r="E700" s="316" t="s">
        <v>407</v>
      </c>
      <c r="F700" s="329" t="s">
        <v>1473</v>
      </c>
      <c r="G700" s="327" t="s">
        <v>421</v>
      </c>
      <c r="H700" s="318" t="s">
        <v>415</v>
      </c>
      <c r="I700" s="319">
        <v>14045.0</v>
      </c>
      <c r="J700" s="320">
        <v>1.0</v>
      </c>
    </row>
    <row r="701">
      <c r="A701" s="321"/>
      <c r="B701" s="323" t="s">
        <v>1472</v>
      </c>
      <c r="C701" s="315" t="s">
        <v>396</v>
      </c>
      <c r="D701" s="315" t="s">
        <v>406</v>
      </c>
      <c r="E701" s="316" t="s">
        <v>407</v>
      </c>
      <c r="F701" s="329" t="s">
        <v>1474</v>
      </c>
      <c r="G701" s="327" t="s">
        <v>421</v>
      </c>
      <c r="H701" s="318" t="s">
        <v>416</v>
      </c>
      <c r="I701" s="319">
        <v>14045.0</v>
      </c>
      <c r="J701" s="320">
        <v>0.0</v>
      </c>
    </row>
    <row r="702">
      <c r="A702" s="321"/>
      <c r="B702" s="323" t="s">
        <v>1472</v>
      </c>
      <c r="C702" s="315" t="s">
        <v>396</v>
      </c>
      <c r="D702" s="315" t="s">
        <v>406</v>
      </c>
      <c r="E702" s="316" t="s">
        <v>407</v>
      </c>
      <c r="F702" s="330" t="s">
        <v>1466</v>
      </c>
      <c r="G702" s="327" t="s">
        <v>422</v>
      </c>
      <c r="H702" s="318" t="s">
        <v>415</v>
      </c>
      <c r="I702" s="319">
        <v>14045.0</v>
      </c>
      <c r="J702" s="320">
        <v>1.0</v>
      </c>
    </row>
    <row r="703">
      <c r="A703" s="321"/>
      <c r="B703" s="323" t="s">
        <v>1472</v>
      </c>
      <c r="C703" s="315" t="s">
        <v>396</v>
      </c>
      <c r="D703" s="315" t="s">
        <v>406</v>
      </c>
      <c r="E703" s="316" t="s">
        <v>407</v>
      </c>
      <c r="F703" s="330" t="s">
        <v>1467</v>
      </c>
      <c r="G703" s="327" t="s">
        <v>422</v>
      </c>
      <c r="H703" s="318" t="s">
        <v>416</v>
      </c>
      <c r="I703" s="319">
        <v>14045.0</v>
      </c>
      <c r="J703" s="320">
        <v>0.0</v>
      </c>
    </row>
    <row r="704">
      <c r="A704" s="312"/>
      <c r="B704" s="37"/>
      <c r="C704" s="37"/>
      <c r="D704" s="37"/>
      <c r="E704" s="37"/>
      <c r="F704" s="37"/>
      <c r="G704" s="79"/>
      <c r="H704" s="79"/>
      <c r="I704" s="173"/>
    </row>
    <row r="705">
      <c r="A705" s="314">
        <v>112.0</v>
      </c>
      <c r="B705" s="323" t="s">
        <v>1472</v>
      </c>
      <c r="C705" s="315" t="s">
        <v>396</v>
      </c>
      <c r="D705" s="315" t="s">
        <v>406</v>
      </c>
      <c r="E705" s="316" t="s">
        <v>407</v>
      </c>
      <c r="F705" s="329" t="s">
        <v>1473</v>
      </c>
      <c r="G705" s="327" t="s">
        <v>421</v>
      </c>
      <c r="H705" s="318" t="s">
        <v>415</v>
      </c>
      <c r="I705" s="319">
        <v>14141.0</v>
      </c>
      <c r="J705" s="320">
        <v>1.0</v>
      </c>
    </row>
    <row r="706">
      <c r="A706" s="321"/>
      <c r="B706" s="323" t="s">
        <v>1472</v>
      </c>
      <c r="C706" s="315" t="s">
        <v>396</v>
      </c>
      <c r="D706" s="315" t="s">
        <v>406</v>
      </c>
      <c r="E706" s="316" t="s">
        <v>407</v>
      </c>
      <c r="F706" s="329" t="s">
        <v>1474</v>
      </c>
      <c r="G706" s="327" t="s">
        <v>421</v>
      </c>
      <c r="H706" s="318" t="s">
        <v>416</v>
      </c>
      <c r="I706" s="319">
        <v>14141.0</v>
      </c>
      <c r="J706" s="320">
        <v>0.0</v>
      </c>
    </row>
    <row r="707">
      <c r="A707" s="321"/>
      <c r="B707" s="323" t="s">
        <v>1472</v>
      </c>
      <c r="C707" s="315" t="s">
        <v>396</v>
      </c>
      <c r="D707" s="315" t="s">
        <v>406</v>
      </c>
      <c r="E707" s="316" t="s">
        <v>407</v>
      </c>
      <c r="F707" s="330" t="s">
        <v>1466</v>
      </c>
      <c r="G707" s="327" t="s">
        <v>422</v>
      </c>
      <c r="H707" s="318" t="s">
        <v>415</v>
      </c>
      <c r="I707" s="319">
        <v>14141.0</v>
      </c>
      <c r="J707" s="320">
        <v>1.0</v>
      </c>
    </row>
    <row r="708">
      <c r="A708" s="321"/>
      <c r="B708" s="323" t="s">
        <v>1472</v>
      </c>
      <c r="C708" s="315" t="s">
        <v>396</v>
      </c>
      <c r="D708" s="315" t="s">
        <v>406</v>
      </c>
      <c r="E708" s="316" t="s">
        <v>407</v>
      </c>
      <c r="F708" s="330" t="s">
        <v>1467</v>
      </c>
      <c r="G708" s="327" t="s">
        <v>422</v>
      </c>
      <c r="H708" s="318" t="s">
        <v>416</v>
      </c>
      <c r="I708" s="319">
        <v>14141.0</v>
      </c>
      <c r="J708" s="320">
        <v>0.0</v>
      </c>
    </row>
    <row r="709">
      <c r="A709" s="312"/>
      <c r="B709" s="37"/>
      <c r="C709" s="37"/>
      <c r="D709" s="37"/>
      <c r="E709" s="37"/>
      <c r="F709" s="37"/>
      <c r="G709" s="79"/>
      <c r="H709" s="79"/>
      <c r="I709" s="173"/>
    </row>
    <row r="710">
      <c r="A710" s="314">
        <v>113.0</v>
      </c>
      <c r="B710" s="323" t="s">
        <v>1472</v>
      </c>
      <c r="C710" s="315" t="s">
        <v>396</v>
      </c>
      <c r="D710" s="315" t="s">
        <v>406</v>
      </c>
      <c r="E710" s="316" t="s">
        <v>407</v>
      </c>
      <c r="F710" s="329" t="s">
        <v>1473</v>
      </c>
      <c r="G710" s="327" t="s">
        <v>421</v>
      </c>
      <c r="H710" s="318" t="s">
        <v>415</v>
      </c>
      <c r="I710" s="319">
        <v>14894.0</v>
      </c>
      <c r="J710" s="320">
        <v>0.0</v>
      </c>
    </row>
    <row r="711">
      <c r="A711" s="321"/>
      <c r="B711" s="323" t="s">
        <v>1472</v>
      </c>
      <c r="C711" s="315" t="s">
        <v>396</v>
      </c>
      <c r="D711" s="315" t="s">
        <v>406</v>
      </c>
      <c r="E711" s="316" t="s">
        <v>407</v>
      </c>
      <c r="F711" s="329" t="s">
        <v>1474</v>
      </c>
      <c r="G711" s="327" t="s">
        <v>421</v>
      </c>
      <c r="H711" s="318" t="s">
        <v>416</v>
      </c>
      <c r="I711" s="319">
        <v>14894.0</v>
      </c>
      <c r="J711" s="320">
        <v>0.0</v>
      </c>
    </row>
    <row r="712">
      <c r="A712" s="321"/>
      <c r="B712" s="323" t="s">
        <v>1472</v>
      </c>
      <c r="C712" s="315" t="s">
        <v>396</v>
      </c>
      <c r="D712" s="315" t="s">
        <v>406</v>
      </c>
      <c r="E712" s="316" t="s">
        <v>407</v>
      </c>
      <c r="F712" s="330" t="s">
        <v>1466</v>
      </c>
      <c r="G712" s="327" t="s">
        <v>422</v>
      </c>
      <c r="H712" s="318" t="s">
        <v>415</v>
      </c>
      <c r="I712" s="319">
        <v>14894.0</v>
      </c>
      <c r="J712" s="320">
        <v>0.0</v>
      </c>
    </row>
    <row r="713">
      <c r="A713" s="321"/>
      <c r="B713" s="323" t="s">
        <v>1472</v>
      </c>
      <c r="C713" s="315" t="s">
        <v>396</v>
      </c>
      <c r="D713" s="315" t="s">
        <v>406</v>
      </c>
      <c r="E713" s="316" t="s">
        <v>407</v>
      </c>
      <c r="F713" s="330" t="s">
        <v>1467</v>
      </c>
      <c r="G713" s="327" t="s">
        <v>422</v>
      </c>
      <c r="H713" s="318" t="s">
        <v>416</v>
      </c>
      <c r="I713" s="319">
        <v>14894.0</v>
      </c>
      <c r="J713" s="320">
        <v>0.0</v>
      </c>
    </row>
    <row r="714">
      <c r="A714" s="312"/>
      <c r="B714" s="37"/>
      <c r="C714" s="37"/>
      <c r="D714" s="37"/>
      <c r="E714" s="37"/>
      <c r="F714" s="37"/>
      <c r="G714" s="79"/>
      <c r="H714" s="79"/>
      <c r="I714" s="173"/>
    </row>
    <row r="715">
      <c r="A715" s="314">
        <v>114.0</v>
      </c>
      <c r="B715" s="323" t="s">
        <v>1472</v>
      </c>
      <c r="C715" s="315" t="s">
        <v>396</v>
      </c>
      <c r="D715" s="315" t="s">
        <v>406</v>
      </c>
      <c r="E715" s="316" t="s">
        <v>407</v>
      </c>
      <c r="F715" s="329" t="s">
        <v>1473</v>
      </c>
      <c r="G715" s="327" t="s">
        <v>421</v>
      </c>
      <c r="H715" s="318" t="s">
        <v>415</v>
      </c>
      <c r="I715" s="319">
        <v>14975.0</v>
      </c>
      <c r="J715" s="320">
        <v>2.0</v>
      </c>
    </row>
    <row r="716">
      <c r="A716" s="321"/>
      <c r="B716" s="323" t="s">
        <v>1472</v>
      </c>
      <c r="C716" s="315" t="s">
        <v>396</v>
      </c>
      <c r="D716" s="315" t="s">
        <v>406</v>
      </c>
      <c r="E716" s="316" t="s">
        <v>407</v>
      </c>
      <c r="F716" s="329" t="s">
        <v>1474</v>
      </c>
      <c r="G716" s="327" t="s">
        <v>421</v>
      </c>
      <c r="H716" s="318" t="s">
        <v>416</v>
      </c>
      <c r="I716" s="319">
        <v>14975.0</v>
      </c>
      <c r="J716" s="320">
        <v>3.0</v>
      </c>
    </row>
    <row r="717">
      <c r="A717" s="321"/>
      <c r="B717" s="323" t="s">
        <v>1472</v>
      </c>
      <c r="C717" s="315" t="s">
        <v>396</v>
      </c>
      <c r="D717" s="315" t="s">
        <v>406</v>
      </c>
      <c r="E717" s="316" t="s">
        <v>407</v>
      </c>
      <c r="F717" s="330" t="s">
        <v>1466</v>
      </c>
      <c r="G717" s="327" t="s">
        <v>422</v>
      </c>
      <c r="H717" s="318" t="s">
        <v>415</v>
      </c>
      <c r="I717" s="319">
        <v>14975.0</v>
      </c>
      <c r="J717" s="320">
        <v>2.0</v>
      </c>
    </row>
    <row r="718">
      <c r="A718" s="321"/>
      <c r="B718" s="323" t="s">
        <v>1472</v>
      </c>
      <c r="C718" s="315" t="s">
        <v>396</v>
      </c>
      <c r="D718" s="315" t="s">
        <v>406</v>
      </c>
      <c r="E718" s="316" t="s">
        <v>407</v>
      </c>
      <c r="F718" s="330" t="s">
        <v>1467</v>
      </c>
      <c r="G718" s="327" t="s">
        <v>422</v>
      </c>
      <c r="H718" s="318" t="s">
        <v>416</v>
      </c>
      <c r="I718" s="319">
        <v>14975.0</v>
      </c>
      <c r="J718" s="320">
        <v>3.0</v>
      </c>
    </row>
    <row r="719">
      <c r="A719" s="312"/>
      <c r="B719" s="37"/>
      <c r="C719" s="37"/>
      <c r="D719" s="37"/>
      <c r="E719" s="37"/>
      <c r="F719" s="37"/>
      <c r="G719" s="79"/>
      <c r="H719" s="79"/>
      <c r="I719" s="173"/>
    </row>
    <row r="720">
      <c r="A720" s="314">
        <v>115.0</v>
      </c>
      <c r="B720" s="323" t="s">
        <v>1472</v>
      </c>
      <c r="C720" s="315" t="s">
        <v>396</v>
      </c>
      <c r="D720" s="315" t="s">
        <v>406</v>
      </c>
      <c r="E720" s="316" t="s">
        <v>407</v>
      </c>
      <c r="F720" s="329" t="s">
        <v>1473</v>
      </c>
      <c r="G720" s="327" t="s">
        <v>421</v>
      </c>
      <c r="H720" s="318" t="s">
        <v>415</v>
      </c>
      <c r="I720" s="319">
        <v>15219.0</v>
      </c>
      <c r="J720" s="320">
        <v>0.0</v>
      </c>
    </row>
    <row r="721">
      <c r="A721" s="321"/>
      <c r="B721" s="323" t="s">
        <v>1472</v>
      </c>
      <c r="C721" s="315" t="s">
        <v>396</v>
      </c>
      <c r="D721" s="315" t="s">
        <v>406</v>
      </c>
      <c r="E721" s="316" t="s">
        <v>407</v>
      </c>
      <c r="F721" s="329" t="s">
        <v>1474</v>
      </c>
      <c r="G721" s="327" t="s">
        <v>421</v>
      </c>
      <c r="H721" s="318" t="s">
        <v>416</v>
      </c>
      <c r="I721" s="319">
        <v>15219.0</v>
      </c>
      <c r="J721" s="320">
        <v>1.0</v>
      </c>
    </row>
    <row r="722">
      <c r="A722" s="321"/>
      <c r="B722" s="323" t="s">
        <v>1472</v>
      </c>
      <c r="C722" s="315" t="s">
        <v>396</v>
      </c>
      <c r="D722" s="315" t="s">
        <v>406</v>
      </c>
      <c r="E722" s="316" t="s">
        <v>407</v>
      </c>
      <c r="F722" s="330" t="s">
        <v>1466</v>
      </c>
      <c r="G722" s="327" t="s">
        <v>422</v>
      </c>
      <c r="H722" s="318" t="s">
        <v>415</v>
      </c>
      <c r="I722" s="319">
        <v>15219.0</v>
      </c>
      <c r="J722" s="320">
        <v>0.0</v>
      </c>
    </row>
    <row r="723">
      <c r="A723" s="321"/>
      <c r="B723" s="323" t="s">
        <v>1472</v>
      </c>
      <c r="C723" s="315" t="s">
        <v>396</v>
      </c>
      <c r="D723" s="315" t="s">
        <v>406</v>
      </c>
      <c r="E723" s="316" t="s">
        <v>407</v>
      </c>
      <c r="F723" s="330" t="s">
        <v>1467</v>
      </c>
      <c r="G723" s="327" t="s">
        <v>422</v>
      </c>
      <c r="H723" s="318" t="s">
        <v>416</v>
      </c>
      <c r="I723" s="319">
        <v>15219.0</v>
      </c>
      <c r="J723" s="320">
        <v>1.0</v>
      </c>
    </row>
    <row r="724">
      <c r="A724" s="312"/>
      <c r="B724" s="37"/>
      <c r="C724" s="37"/>
      <c r="D724" s="37"/>
      <c r="E724" s="37"/>
      <c r="F724" s="37"/>
      <c r="G724" s="79"/>
      <c r="H724" s="79"/>
      <c r="I724" s="173"/>
    </row>
    <row r="725">
      <c r="A725" s="314">
        <v>116.0</v>
      </c>
      <c r="B725" s="323" t="s">
        <v>1472</v>
      </c>
      <c r="C725" s="315" t="s">
        <v>396</v>
      </c>
      <c r="D725" s="315" t="s">
        <v>406</v>
      </c>
      <c r="E725" s="316" t="s">
        <v>407</v>
      </c>
      <c r="F725" s="329" t="s">
        <v>1473</v>
      </c>
      <c r="G725" s="327" t="s">
        <v>421</v>
      </c>
      <c r="H725" s="318" t="s">
        <v>415</v>
      </c>
      <c r="I725" s="319">
        <v>15220.0</v>
      </c>
      <c r="J725" s="320">
        <v>1.0</v>
      </c>
    </row>
    <row r="726">
      <c r="A726" s="321"/>
      <c r="B726" s="323" t="s">
        <v>1472</v>
      </c>
      <c r="C726" s="315" t="s">
        <v>396</v>
      </c>
      <c r="D726" s="315" t="s">
        <v>406</v>
      </c>
      <c r="E726" s="316" t="s">
        <v>407</v>
      </c>
      <c r="F726" s="329" t="s">
        <v>1474</v>
      </c>
      <c r="G726" s="327" t="s">
        <v>421</v>
      </c>
      <c r="H726" s="318" t="s">
        <v>416</v>
      </c>
      <c r="I726" s="319">
        <v>15220.0</v>
      </c>
      <c r="J726" s="320">
        <v>0.0</v>
      </c>
    </row>
    <row r="727">
      <c r="A727" s="321"/>
      <c r="B727" s="323" t="s">
        <v>1472</v>
      </c>
      <c r="C727" s="315" t="s">
        <v>396</v>
      </c>
      <c r="D727" s="315" t="s">
        <v>406</v>
      </c>
      <c r="E727" s="316" t="s">
        <v>407</v>
      </c>
      <c r="F727" s="330" t="s">
        <v>1466</v>
      </c>
      <c r="G727" s="327" t="s">
        <v>422</v>
      </c>
      <c r="H727" s="318" t="s">
        <v>415</v>
      </c>
      <c r="I727" s="319">
        <v>15220.0</v>
      </c>
      <c r="J727" s="320">
        <v>1.0</v>
      </c>
    </row>
    <row r="728">
      <c r="A728" s="321"/>
      <c r="B728" s="323" t="s">
        <v>1472</v>
      </c>
      <c r="C728" s="315" t="s">
        <v>396</v>
      </c>
      <c r="D728" s="315" t="s">
        <v>406</v>
      </c>
      <c r="E728" s="316" t="s">
        <v>407</v>
      </c>
      <c r="F728" s="330" t="s">
        <v>1467</v>
      </c>
      <c r="G728" s="327" t="s">
        <v>422</v>
      </c>
      <c r="H728" s="318" t="s">
        <v>416</v>
      </c>
      <c r="I728" s="319">
        <v>15220.0</v>
      </c>
      <c r="J728" s="320">
        <v>0.0</v>
      </c>
    </row>
    <row r="729">
      <c r="A729" s="312"/>
      <c r="B729" s="37"/>
      <c r="C729" s="37"/>
      <c r="D729" s="37"/>
      <c r="E729" s="37"/>
      <c r="F729" s="37"/>
      <c r="G729" s="79"/>
      <c r="H729" s="79"/>
      <c r="I729" s="173"/>
    </row>
    <row r="730">
      <c r="A730" s="314">
        <v>117.0</v>
      </c>
      <c r="B730" s="323" t="s">
        <v>1472</v>
      </c>
      <c r="C730" s="315" t="s">
        <v>396</v>
      </c>
      <c r="D730" s="315" t="s">
        <v>406</v>
      </c>
      <c r="E730" s="316" t="s">
        <v>407</v>
      </c>
      <c r="F730" s="329" t="s">
        <v>1473</v>
      </c>
      <c r="G730" s="327" t="s">
        <v>421</v>
      </c>
      <c r="H730" s="318" t="s">
        <v>415</v>
      </c>
      <c r="I730" s="319">
        <v>15304.0</v>
      </c>
      <c r="J730" s="320">
        <v>1.0</v>
      </c>
    </row>
    <row r="731">
      <c r="A731" s="321"/>
      <c r="B731" s="323" t="s">
        <v>1472</v>
      </c>
      <c r="C731" s="315" t="s">
        <v>396</v>
      </c>
      <c r="D731" s="315" t="s">
        <v>406</v>
      </c>
      <c r="E731" s="316" t="s">
        <v>407</v>
      </c>
      <c r="F731" s="329" t="s">
        <v>1474</v>
      </c>
      <c r="G731" s="327" t="s">
        <v>421</v>
      </c>
      <c r="H731" s="318" t="s">
        <v>416</v>
      </c>
      <c r="I731" s="319">
        <v>15304.0</v>
      </c>
      <c r="J731" s="320">
        <v>2.0</v>
      </c>
    </row>
    <row r="732">
      <c r="A732" s="321"/>
      <c r="B732" s="323" t="s">
        <v>1472</v>
      </c>
      <c r="C732" s="315" t="s">
        <v>396</v>
      </c>
      <c r="D732" s="315" t="s">
        <v>406</v>
      </c>
      <c r="E732" s="316" t="s">
        <v>407</v>
      </c>
      <c r="F732" s="330" t="s">
        <v>1466</v>
      </c>
      <c r="G732" s="327" t="s">
        <v>422</v>
      </c>
      <c r="H732" s="318" t="s">
        <v>415</v>
      </c>
      <c r="I732" s="319">
        <v>15304.0</v>
      </c>
      <c r="J732" s="320">
        <v>1.0</v>
      </c>
    </row>
    <row r="733">
      <c r="A733" s="321"/>
      <c r="B733" s="323" t="s">
        <v>1472</v>
      </c>
      <c r="C733" s="315" t="s">
        <v>396</v>
      </c>
      <c r="D733" s="315" t="s">
        <v>406</v>
      </c>
      <c r="E733" s="316" t="s">
        <v>407</v>
      </c>
      <c r="F733" s="330" t="s">
        <v>1467</v>
      </c>
      <c r="G733" s="327" t="s">
        <v>422</v>
      </c>
      <c r="H733" s="318" t="s">
        <v>416</v>
      </c>
      <c r="I733" s="319">
        <v>15304.0</v>
      </c>
      <c r="J733" s="320">
        <v>2.0</v>
      </c>
    </row>
    <row r="734">
      <c r="A734" s="312"/>
      <c r="B734" s="37"/>
      <c r="C734" s="37"/>
      <c r="D734" s="37"/>
      <c r="E734" s="37"/>
      <c r="F734" s="37"/>
      <c r="G734" s="79"/>
      <c r="H734" s="79"/>
      <c r="I734" s="173"/>
    </row>
    <row r="735">
      <c r="A735" s="314">
        <v>118.0</v>
      </c>
      <c r="B735" s="323" t="s">
        <v>1472</v>
      </c>
      <c r="C735" s="315" t="s">
        <v>396</v>
      </c>
      <c r="D735" s="315" t="s">
        <v>406</v>
      </c>
      <c r="E735" s="316" t="s">
        <v>407</v>
      </c>
      <c r="F735" s="329" t="s">
        <v>1473</v>
      </c>
      <c r="G735" s="327" t="s">
        <v>421</v>
      </c>
      <c r="H735" s="318" t="s">
        <v>415</v>
      </c>
      <c r="I735" s="319">
        <v>15383.0</v>
      </c>
      <c r="J735" s="320">
        <v>0.0</v>
      </c>
    </row>
    <row r="736">
      <c r="A736" s="321"/>
      <c r="B736" s="323" t="s">
        <v>1472</v>
      </c>
      <c r="C736" s="315" t="s">
        <v>396</v>
      </c>
      <c r="D736" s="315" t="s">
        <v>406</v>
      </c>
      <c r="E736" s="316" t="s">
        <v>407</v>
      </c>
      <c r="F736" s="329" t="s">
        <v>1474</v>
      </c>
      <c r="G736" s="327" t="s">
        <v>421</v>
      </c>
      <c r="H736" s="318" t="s">
        <v>416</v>
      </c>
      <c r="I736" s="319">
        <v>15383.0</v>
      </c>
      <c r="J736" s="320">
        <v>1.0</v>
      </c>
    </row>
    <row r="737">
      <c r="A737" s="321"/>
      <c r="B737" s="323" t="s">
        <v>1472</v>
      </c>
      <c r="C737" s="315" t="s">
        <v>396</v>
      </c>
      <c r="D737" s="315" t="s">
        <v>406</v>
      </c>
      <c r="E737" s="316" t="s">
        <v>407</v>
      </c>
      <c r="F737" s="330" t="s">
        <v>1466</v>
      </c>
      <c r="G737" s="327" t="s">
        <v>422</v>
      </c>
      <c r="H737" s="318" t="s">
        <v>415</v>
      </c>
      <c r="I737" s="319">
        <v>15383.0</v>
      </c>
      <c r="J737" s="320">
        <v>0.0</v>
      </c>
    </row>
    <row r="738">
      <c r="A738" s="321"/>
      <c r="B738" s="323" t="s">
        <v>1472</v>
      </c>
      <c r="C738" s="315" t="s">
        <v>396</v>
      </c>
      <c r="D738" s="315" t="s">
        <v>406</v>
      </c>
      <c r="E738" s="316" t="s">
        <v>407</v>
      </c>
      <c r="F738" s="330" t="s">
        <v>1467</v>
      </c>
      <c r="G738" s="327" t="s">
        <v>422</v>
      </c>
      <c r="H738" s="318" t="s">
        <v>416</v>
      </c>
      <c r="I738" s="319">
        <v>15383.0</v>
      </c>
      <c r="J738" s="320">
        <v>0.0</v>
      </c>
    </row>
    <row r="739">
      <c r="A739" s="312"/>
      <c r="B739" s="37"/>
      <c r="C739" s="37"/>
      <c r="D739" s="37"/>
      <c r="E739" s="37"/>
      <c r="F739" s="37"/>
      <c r="G739" s="79"/>
      <c r="H739" s="79"/>
      <c r="I739" s="173"/>
    </row>
    <row r="740">
      <c r="A740" s="314">
        <v>119.0</v>
      </c>
      <c r="B740" s="323" t="s">
        <v>1472</v>
      </c>
      <c r="C740" s="315" t="s">
        <v>396</v>
      </c>
      <c r="D740" s="315" t="s">
        <v>406</v>
      </c>
      <c r="E740" s="316" t="s">
        <v>407</v>
      </c>
      <c r="F740" s="329" t="s">
        <v>1473</v>
      </c>
      <c r="G740" s="327" t="s">
        <v>421</v>
      </c>
      <c r="H740" s="318" t="s">
        <v>415</v>
      </c>
      <c r="I740" s="319">
        <v>15478.0</v>
      </c>
      <c r="J740" s="320">
        <v>0.0</v>
      </c>
    </row>
    <row r="741">
      <c r="A741" s="321"/>
      <c r="B741" s="323" t="s">
        <v>1472</v>
      </c>
      <c r="C741" s="315" t="s">
        <v>396</v>
      </c>
      <c r="D741" s="315" t="s">
        <v>406</v>
      </c>
      <c r="E741" s="316" t="s">
        <v>407</v>
      </c>
      <c r="F741" s="329" t="s">
        <v>1474</v>
      </c>
      <c r="G741" s="327" t="s">
        <v>421</v>
      </c>
      <c r="H741" s="318" t="s">
        <v>416</v>
      </c>
      <c r="I741" s="319">
        <v>15478.0</v>
      </c>
      <c r="J741" s="320">
        <v>2.0</v>
      </c>
    </row>
    <row r="742">
      <c r="A742" s="321"/>
      <c r="B742" s="323" t="s">
        <v>1472</v>
      </c>
      <c r="C742" s="315" t="s">
        <v>396</v>
      </c>
      <c r="D742" s="315" t="s">
        <v>406</v>
      </c>
      <c r="E742" s="316" t="s">
        <v>407</v>
      </c>
      <c r="F742" s="330" t="s">
        <v>1466</v>
      </c>
      <c r="G742" s="327" t="s">
        <v>422</v>
      </c>
      <c r="H742" s="318" t="s">
        <v>415</v>
      </c>
      <c r="I742" s="319">
        <v>15478.0</v>
      </c>
      <c r="J742" s="320">
        <v>0.0</v>
      </c>
    </row>
    <row r="743">
      <c r="A743" s="321"/>
      <c r="B743" s="323" t="s">
        <v>1472</v>
      </c>
      <c r="C743" s="315" t="s">
        <v>396</v>
      </c>
      <c r="D743" s="315" t="s">
        <v>406</v>
      </c>
      <c r="E743" s="316" t="s">
        <v>407</v>
      </c>
      <c r="F743" s="330" t="s">
        <v>1467</v>
      </c>
      <c r="G743" s="327" t="s">
        <v>422</v>
      </c>
      <c r="H743" s="318" t="s">
        <v>416</v>
      </c>
      <c r="I743" s="319">
        <v>15478.0</v>
      </c>
      <c r="J743" s="320">
        <v>2.0</v>
      </c>
    </row>
    <row r="744">
      <c r="A744" s="312"/>
      <c r="B744" s="37"/>
      <c r="C744" s="37"/>
      <c r="D744" s="37"/>
      <c r="E744" s="37"/>
      <c r="F744" s="37"/>
      <c r="G744" s="79"/>
      <c r="H744" s="79"/>
      <c r="I744" s="173"/>
    </row>
    <row r="745">
      <c r="A745" s="314">
        <v>120.0</v>
      </c>
      <c r="B745" s="323" t="s">
        <v>1472</v>
      </c>
      <c r="C745" s="315" t="s">
        <v>396</v>
      </c>
      <c r="D745" s="315" t="s">
        <v>406</v>
      </c>
      <c r="E745" s="316" t="s">
        <v>407</v>
      </c>
      <c r="F745" s="329" t="s">
        <v>1473</v>
      </c>
      <c r="G745" s="327" t="s">
        <v>421</v>
      </c>
      <c r="H745" s="318" t="s">
        <v>415</v>
      </c>
      <c r="I745" s="319">
        <v>20104.0</v>
      </c>
      <c r="J745" s="320">
        <v>3.0</v>
      </c>
    </row>
    <row r="746">
      <c r="A746" s="321"/>
      <c r="B746" s="323" t="s">
        <v>1472</v>
      </c>
      <c r="C746" s="315" t="s">
        <v>396</v>
      </c>
      <c r="D746" s="315" t="s">
        <v>406</v>
      </c>
      <c r="E746" s="316" t="s">
        <v>407</v>
      </c>
      <c r="F746" s="329" t="s">
        <v>1474</v>
      </c>
      <c r="G746" s="327" t="s">
        <v>421</v>
      </c>
      <c r="H746" s="318" t="s">
        <v>416</v>
      </c>
      <c r="I746" s="319">
        <v>20104.0</v>
      </c>
      <c r="J746" s="320">
        <v>1.0</v>
      </c>
    </row>
    <row r="747">
      <c r="A747" s="321"/>
      <c r="B747" s="323" t="s">
        <v>1472</v>
      </c>
      <c r="C747" s="315" t="s">
        <v>396</v>
      </c>
      <c r="D747" s="315" t="s">
        <v>406</v>
      </c>
      <c r="E747" s="316" t="s">
        <v>407</v>
      </c>
      <c r="F747" s="330" t="s">
        <v>1466</v>
      </c>
      <c r="G747" s="327" t="s">
        <v>422</v>
      </c>
      <c r="H747" s="318" t="s">
        <v>415</v>
      </c>
      <c r="I747" s="319">
        <v>20104.0</v>
      </c>
      <c r="J747" s="320">
        <v>3.0</v>
      </c>
    </row>
    <row r="748">
      <c r="A748" s="321"/>
      <c r="B748" s="323" t="s">
        <v>1472</v>
      </c>
      <c r="C748" s="315" t="s">
        <v>396</v>
      </c>
      <c r="D748" s="315" t="s">
        <v>406</v>
      </c>
      <c r="E748" s="316" t="s">
        <v>407</v>
      </c>
      <c r="F748" s="330" t="s">
        <v>1467</v>
      </c>
      <c r="G748" s="327" t="s">
        <v>422</v>
      </c>
      <c r="H748" s="318" t="s">
        <v>416</v>
      </c>
      <c r="I748" s="319">
        <v>20104.0</v>
      </c>
      <c r="J748" s="320">
        <v>1.0</v>
      </c>
    </row>
    <row r="749">
      <c r="A749" s="312"/>
      <c r="B749" s="37"/>
      <c r="C749" s="37"/>
      <c r="D749" s="37"/>
      <c r="E749" s="37"/>
      <c r="F749" s="37"/>
      <c r="G749" s="79"/>
      <c r="H749" s="79"/>
      <c r="I749" s="173"/>
    </row>
    <row r="750">
      <c r="A750" s="314">
        <v>121.0</v>
      </c>
      <c r="B750" s="323" t="s">
        <v>1472</v>
      </c>
      <c r="C750" s="315" t="s">
        <v>396</v>
      </c>
      <c r="D750" s="315" t="s">
        <v>406</v>
      </c>
      <c r="E750" s="316" t="s">
        <v>407</v>
      </c>
      <c r="F750" s="329" t="s">
        <v>1473</v>
      </c>
      <c r="G750" s="327" t="s">
        <v>421</v>
      </c>
      <c r="H750" s="318" t="s">
        <v>415</v>
      </c>
      <c r="I750" s="319">
        <v>20123.0</v>
      </c>
      <c r="J750" s="320">
        <v>1.0</v>
      </c>
    </row>
    <row r="751">
      <c r="A751" s="321"/>
      <c r="B751" s="323" t="s">
        <v>1472</v>
      </c>
      <c r="C751" s="315" t="s">
        <v>396</v>
      </c>
      <c r="D751" s="315" t="s">
        <v>406</v>
      </c>
      <c r="E751" s="316" t="s">
        <v>407</v>
      </c>
      <c r="F751" s="329" t="s">
        <v>1474</v>
      </c>
      <c r="G751" s="327" t="s">
        <v>421</v>
      </c>
      <c r="H751" s="318" t="s">
        <v>416</v>
      </c>
      <c r="I751" s="319">
        <v>20123.0</v>
      </c>
      <c r="J751" s="320">
        <v>0.0</v>
      </c>
    </row>
    <row r="752">
      <c r="A752" s="321"/>
      <c r="B752" s="323" t="s">
        <v>1472</v>
      </c>
      <c r="C752" s="315" t="s">
        <v>396</v>
      </c>
      <c r="D752" s="315" t="s">
        <v>406</v>
      </c>
      <c r="E752" s="316" t="s">
        <v>407</v>
      </c>
      <c r="F752" s="330" t="s">
        <v>1466</v>
      </c>
      <c r="G752" s="327" t="s">
        <v>422</v>
      </c>
      <c r="H752" s="318" t="s">
        <v>415</v>
      </c>
      <c r="I752" s="319">
        <v>20123.0</v>
      </c>
      <c r="J752" s="320">
        <v>1.0</v>
      </c>
    </row>
    <row r="753">
      <c r="A753" s="321"/>
      <c r="B753" s="323" t="s">
        <v>1472</v>
      </c>
      <c r="C753" s="315" t="s">
        <v>396</v>
      </c>
      <c r="D753" s="315" t="s">
        <v>406</v>
      </c>
      <c r="E753" s="316" t="s">
        <v>407</v>
      </c>
      <c r="F753" s="330" t="s">
        <v>1467</v>
      </c>
      <c r="G753" s="327" t="s">
        <v>422</v>
      </c>
      <c r="H753" s="318" t="s">
        <v>416</v>
      </c>
      <c r="I753" s="319">
        <v>20123.0</v>
      </c>
      <c r="J753" s="320">
        <v>1.0</v>
      </c>
    </row>
    <row r="754">
      <c r="A754" s="312"/>
      <c r="B754" s="37"/>
      <c r="C754" s="37"/>
      <c r="D754" s="37"/>
      <c r="E754" s="37"/>
      <c r="F754" s="37"/>
      <c r="G754" s="79"/>
      <c r="H754" s="79"/>
      <c r="I754" s="173"/>
    </row>
    <row r="755">
      <c r="A755" s="314">
        <v>122.0</v>
      </c>
      <c r="B755" s="323" t="s">
        <v>1472</v>
      </c>
      <c r="C755" s="315" t="s">
        <v>396</v>
      </c>
      <c r="D755" s="315" t="s">
        <v>406</v>
      </c>
      <c r="E755" s="316" t="s">
        <v>407</v>
      </c>
      <c r="F755" s="329" t="s">
        <v>1473</v>
      </c>
      <c r="G755" s="327" t="s">
        <v>421</v>
      </c>
      <c r="H755" s="318" t="s">
        <v>415</v>
      </c>
      <c r="I755" s="319" t="s">
        <v>55</v>
      </c>
      <c r="J755" s="320">
        <v>14.0</v>
      </c>
    </row>
    <row r="756">
      <c r="A756" s="321"/>
      <c r="B756" s="323" t="s">
        <v>1472</v>
      </c>
      <c r="C756" s="315" t="s">
        <v>396</v>
      </c>
      <c r="D756" s="315" t="s">
        <v>406</v>
      </c>
      <c r="E756" s="316" t="s">
        <v>407</v>
      </c>
      <c r="F756" s="329" t="s">
        <v>1474</v>
      </c>
      <c r="G756" s="327" t="s">
        <v>421</v>
      </c>
      <c r="H756" s="318" t="s">
        <v>416</v>
      </c>
      <c r="I756" s="319" t="s">
        <v>55</v>
      </c>
      <c r="J756" s="320">
        <v>11.0</v>
      </c>
    </row>
    <row r="757">
      <c r="A757" s="321"/>
      <c r="B757" s="323" t="s">
        <v>1472</v>
      </c>
      <c r="C757" s="315" t="s">
        <v>396</v>
      </c>
      <c r="D757" s="315" t="s">
        <v>406</v>
      </c>
      <c r="E757" s="316" t="s">
        <v>407</v>
      </c>
      <c r="F757" s="330" t="s">
        <v>1466</v>
      </c>
      <c r="G757" s="327" t="s">
        <v>422</v>
      </c>
      <c r="H757" s="318" t="s">
        <v>415</v>
      </c>
      <c r="I757" s="319" t="s">
        <v>55</v>
      </c>
      <c r="J757" s="320">
        <v>14.0</v>
      </c>
    </row>
    <row r="758">
      <c r="A758" s="321"/>
      <c r="B758" s="323" t="s">
        <v>1472</v>
      </c>
      <c r="C758" s="315" t="s">
        <v>396</v>
      </c>
      <c r="D758" s="315" t="s">
        <v>406</v>
      </c>
      <c r="E758" s="316" t="s">
        <v>407</v>
      </c>
      <c r="F758" s="330" t="s">
        <v>1467</v>
      </c>
      <c r="G758" s="327" t="s">
        <v>422</v>
      </c>
      <c r="H758" s="318" t="s">
        <v>416</v>
      </c>
      <c r="I758" s="319" t="s">
        <v>55</v>
      </c>
      <c r="J758" s="320">
        <v>12.0</v>
      </c>
    </row>
    <row r="759">
      <c r="A759" s="312"/>
      <c r="B759" s="37"/>
      <c r="C759" s="37"/>
      <c r="D759" s="37"/>
      <c r="E759" s="37"/>
      <c r="F759" s="37"/>
      <c r="G759" s="79"/>
      <c r="H759" s="79"/>
      <c r="I759" s="173"/>
    </row>
    <row r="760">
      <c r="A760" s="314">
        <v>123.0</v>
      </c>
      <c r="B760" s="323" t="s">
        <v>1472</v>
      </c>
      <c r="C760" s="315" t="s">
        <v>396</v>
      </c>
      <c r="D760" s="315" t="s">
        <v>406</v>
      </c>
      <c r="E760" s="316" t="s">
        <v>407</v>
      </c>
      <c r="F760" s="329" t="s">
        <v>1473</v>
      </c>
      <c r="G760" s="327" t="s">
        <v>421</v>
      </c>
      <c r="H760" s="318" t="s">
        <v>415</v>
      </c>
      <c r="I760" s="319" t="s">
        <v>61</v>
      </c>
      <c r="J760" s="320">
        <v>5.0</v>
      </c>
    </row>
    <row r="761">
      <c r="A761" s="321"/>
      <c r="B761" s="323" t="s">
        <v>1472</v>
      </c>
      <c r="C761" s="315" t="s">
        <v>396</v>
      </c>
      <c r="D761" s="315" t="s">
        <v>406</v>
      </c>
      <c r="E761" s="316" t="s">
        <v>407</v>
      </c>
      <c r="F761" s="329" t="s">
        <v>1474</v>
      </c>
      <c r="G761" s="327" t="s">
        <v>421</v>
      </c>
      <c r="H761" s="318" t="s">
        <v>416</v>
      </c>
      <c r="I761" s="319" t="s">
        <v>61</v>
      </c>
      <c r="J761" s="320">
        <v>5.0</v>
      </c>
    </row>
    <row r="762">
      <c r="A762" s="321"/>
      <c r="B762" s="323" t="s">
        <v>1472</v>
      </c>
      <c r="C762" s="315" t="s">
        <v>396</v>
      </c>
      <c r="D762" s="315" t="s">
        <v>406</v>
      </c>
      <c r="E762" s="316" t="s">
        <v>407</v>
      </c>
      <c r="F762" s="330" t="s">
        <v>1466</v>
      </c>
      <c r="G762" s="327" t="s">
        <v>422</v>
      </c>
      <c r="H762" s="318" t="s">
        <v>415</v>
      </c>
      <c r="I762" s="319" t="s">
        <v>61</v>
      </c>
      <c r="J762" s="320">
        <v>5.0</v>
      </c>
    </row>
    <row r="763">
      <c r="A763" s="321"/>
      <c r="B763" s="323" t="s">
        <v>1472</v>
      </c>
      <c r="C763" s="315" t="s">
        <v>396</v>
      </c>
      <c r="D763" s="315" t="s">
        <v>406</v>
      </c>
      <c r="E763" s="316" t="s">
        <v>407</v>
      </c>
      <c r="F763" s="330" t="s">
        <v>1467</v>
      </c>
      <c r="G763" s="327" t="s">
        <v>422</v>
      </c>
      <c r="H763" s="318" t="s">
        <v>416</v>
      </c>
      <c r="I763" s="319" t="s">
        <v>61</v>
      </c>
      <c r="J763" s="320">
        <v>6.0</v>
      </c>
    </row>
    <row r="764">
      <c r="A764" s="312"/>
      <c r="B764" s="37"/>
      <c r="C764" s="37"/>
      <c r="D764" s="37"/>
      <c r="E764" s="37"/>
      <c r="F764" s="37"/>
      <c r="G764" s="79"/>
      <c r="H764" s="79"/>
      <c r="I764" s="173"/>
    </row>
    <row r="765">
      <c r="A765" s="314">
        <v>124.0</v>
      </c>
      <c r="B765" s="323" t="s">
        <v>1472</v>
      </c>
      <c r="C765" s="315" t="s">
        <v>396</v>
      </c>
      <c r="D765" s="315" t="s">
        <v>406</v>
      </c>
      <c r="E765" s="316" t="s">
        <v>407</v>
      </c>
      <c r="F765" s="329" t="s">
        <v>1473</v>
      </c>
      <c r="G765" s="327" t="s">
        <v>421</v>
      </c>
      <c r="H765" s="318" t="s">
        <v>415</v>
      </c>
      <c r="I765" s="319" t="s">
        <v>49</v>
      </c>
      <c r="J765" s="320">
        <v>11.0</v>
      </c>
    </row>
    <row r="766">
      <c r="A766" s="321"/>
      <c r="B766" s="323" t="s">
        <v>1472</v>
      </c>
      <c r="C766" s="315" t="s">
        <v>396</v>
      </c>
      <c r="D766" s="315" t="s">
        <v>406</v>
      </c>
      <c r="E766" s="316" t="s">
        <v>407</v>
      </c>
      <c r="F766" s="329" t="s">
        <v>1474</v>
      </c>
      <c r="G766" s="327" t="s">
        <v>421</v>
      </c>
      <c r="H766" s="318" t="s">
        <v>416</v>
      </c>
      <c r="I766" s="319" t="s">
        <v>49</v>
      </c>
      <c r="J766" s="320">
        <v>13.0</v>
      </c>
    </row>
    <row r="767">
      <c r="A767" s="321"/>
      <c r="B767" s="323" t="s">
        <v>1472</v>
      </c>
      <c r="C767" s="315" t="s">
        <v>396</v>
      </c>
      <c r="D767" s="315" t="s">
        <v>406</v>
      </c>
      <c r="E767" s="316" t="s">
        <v>407</v>
      </c>
      <c r="F767" s="330" t="s">
        <v>1466</v>
      </c>
      <c r="G767" s="327" t="s">
        <v>422</v>
      </c>
      <c r="H767" s="318" t="s">
        <v>415</v>
      </c>
      <c r="I767" s="319" t="s">
        <v>49</v>
      </c>
      <c r="J767" s="320">
        <v>12.0</v>
      </c>
    </row>
    <row r="768">
      <c r="A768" s="321"/>
      <c r="B768" s="323" t="s">
        <v>1472</v>
      </c>
      <c r="C768" s="315" t="s">
        <v>396</v>
      </c>
      <c r="D768" s="315" t="s">
        <v>406</v>
      </c>
      <c r="E768" s="316" t="s">
        <v>407</v>
      </c>
      <c r="F768" s="330" t="s">
        <v>1467</v>
      </c>
      <c r="G768" s="327" t="s">
        <v>422</v>
      </c>
      <c r="H768" s="318" t="s">
        <v>416</v>
      </c>
      <c r="I768" s="319" t="s">
        <v>49</v>
      </c>
      <c r="J768" s="320">
        <v>13.0</v>
      </c>
    </row>
    <row r="769">
      <c r="A769" s="312"/>
      <c r="B769" s="37"/>
      <c r="C769" s="37"/>
      <c r="D769" s="37"/>
      <c r="E769" s="37"/>
      <c r="F769" s="37"/>
      <c r="G769" s="79"/>
      <c r="H769" s="79"/>
      <c r="I769" s="173"/>
    </row>
    <row r="770">
      <c r="A770" s="314">
        <v>125.0</v>
      </c>
      <c r="B770" s="323" t="s">
        <v>1472</v>
      </c>
      <c r="C770" s="315" t="s">
        <v>396</v>
      </c>
      <c r="D770" s="315" t="s">
        <v>406</v>
      </c>
      <c r="E770" s="316" t="s">
        <v>407</v>
      </c>
      <c r="F770" s="329" t="s">
        <v>1473</v>
      </c>
      <c r="G770" s="327" t="s">
        <v>421</v>
      </c>
      <c r="H770" s="318" t="s">
        <v>415</v>
      </c>
      <c r="I770" s="319" t="s">
        <v>53</v>
      </c>
      <c r="J770" s="320">
        <v>4.0</v>
      </c>
    </row>
    <row r="771">
      <c r="A771" s="321"/>
      <c r="B771" s="323" t="s">
        <v>1472</v>
      </c>
      <c r="C771" s="315" t="s">
        <v>396</v>
      </c>
      <c r="D771" s="315" t="s">
        <v>406</v>
      </c>
      <c r="E771" s="316" t="s">
        <v>407</v>
      </c>
      <c r="F771" s="329" t="s">
        <v>1474</v>
      </c>
      <c r="G771" s="327" t="s">
        <v>421</v>
      </c>
      <c r="H771" s="318" t="s">
        <v>416</v>
      </c>
      <c r="I771" s="319" t="s">
        <v>53</v>
      </c>
      <c r="J771" s="320">
        <v>5.0</v>
      </c>
    </row>
    <row r="772">
      <c r="A772" s="321"/>
      <c r="B772" s="323" t="s">
        <v>1472</v>
      </c>
      <c r="C772" s="315" t="s">
        <v>396</v>
      </c>
      <c r="D772" s="315" t="s">
        <v>406</v>
      </c>
      <c r="E772" s="316" t="s">
        <v>407</v>
      </c>
      <c r="F772" s="330" t="s">
        <v>1466</v>
      </c>
      <c r="G772" s="327" t="s">
        <v>422</v>
      </c>
      <c r="H772" s="318" t="s">
        <v>415</v>
      </c>
      <c r="I772" s="319" t="s">
        <v>53</v>
      </c>
      <c r="J772" s="320">
        <v>4.0</v>
      </c>
    </row>
    <row r="773">
      <c r="A773" s="321"/>
      <c r="B773" s="323" t="s">
        <v>1472</v>
      </c>
      <c r="C773" s="315" t="s">
        <v>396</v>
      </c>
      <c r="D773" s="315" t="s">
        <v>406</v>
      </c>
      <c r="E773" s="316" t="s">
        <v>407</v>
      </c>
      <c r="F773" s="330" t="s">
        <v>1467</v>
      </c>
      <c r="G773" s="327" t="s">
        <v>422</v>
      </c>
      <c r="H773" s="318" t="s">
        <v>416</v>
      </c>
      <c r="I773" s="319" t="s">
        <v>53</v>
      </c>
      <c r="J773" s="320">
        <v>5.0</v>
      </c>
    </row>
    <row r="774">
      <c r="A774" s="312"/>
      <c r="B774" s="37"/>
      <c r="C774" s="37"/>
      <c r="D774" s="37"/>
      <c r="E774" s="37"/>
      <c r="F774" s="37"/>
      <c r="G774" s="79"/>
      <c r="H774" s="79"/>
      <c r="I774" s="173"/>
    </row>
    <row r="775">
      <c r="A775" s="314">
        <v>126.0</v>
      </c>
      <c r="B775" s="323" t="s">
        <v>1472</v>
      </c>
      <c r="C775" s="315" t="s">
        <v>396</v>
      </c>
      <c r="D775" s="315" t="s">
        <v>406</v>
      </c>
      <c r="E775" s="316" t="s">
        <v>410</v>
      </c>
      <c r="F775" s="329" t="s">
        <v>1473</v>
      </c>
      <c r="G775" s="327" t="s">
        <v>421</v>
      </c>
      <c r="H775" s="318" t="s">
        <v>415</v>
      </c>
      <c r="I775" s="319">
        <v>86809.0</v>
      </c>
      <c r="J775" s="320">
        <v>0.0</v>
      </c>
    </row>
    <row r="776">
      <c r="A776" s="321"/>
      <c r="B776" s="323" t="s">
        <v>1472</v>
      </c>
      <c r="C776" s="315" t="s">
        <v>396</v>
      </c>
      <c r="D776" s="315" t="s">
        <v>406</v>
      </c>
      <c r="E776" s="316" t="s">
        <v>410</v>
      </c>
      <c r="F776" s="329" t="s">
        <v>1474</v>
      </c>
      <c r="G776" s="327" t="s">
        <v>421</v>
      </c>
      <c r="H776" s="318" t="s">
        <v>416</v>
      </c>
      <c r="I776" s="319">
        <v>86809.0</v>
      </c>
      <c r="J776" s="320">
        <v>1.0</v>
      </c>
    </row>
    <row r="777">
      <c r="A777" s="321"/>
      <c r="B777" s="323" t="s">
        <v>1472</v>
      </c>
      <c r="C777" s="315" t="s">
        <v>396</v>
      </c>
      <c r="D777" s="315" t="s">
        <v>406</v>
      </c>
      <c r="E777" s="316" t="s">
        <v>410</v>
      </c>
      <c r="F777" s="330" t="s">
        <v>1466</v>
      </c>
      <c r="G777" s="327" t="s">
        <v>422</v>
      </c>
      <c r="H777" s="318" t="s">
        <v>415</v>
      </c>
      <c r="I777" s="319">
        <v>86809.0</v>
      </c>
      <c r="J777" s="320">
        <v>0.0</v>
      </c>
    </row>
    <row r="778">
      <c r="A778" s="321"/>
      <c r="B778" s="323" t="s">
        <v>1472</v>
      </c>
      <c r="C778" s="315" t="s">
        <v>396</v>
      </c>
      <c r="D778" s="315" t="s">
        <v>406</v>
      </c>
      <c r="E778" s="316" t="s">
        <v>410</v>
      </c>
      <c r="F778" s="330" t="s">
        <v>1467</v>
      </c>
      <c r="G778" s="327" t="s">
        <v>422</v>
      </c>
      <c r="H778" s="318" t="s">
        <v>416</v>
      </c>
      <c r="I778" s="319">
        <v>86809.0</v>
      </c>
      <c r="J778" s="320">
        <v>1.0</v>
      </c>
    </row>
    <row r="779">
      <c r="A779" s="312"/>
      <c r="B779" s="37"/>
      <c r="C779" s="37"/>
      <c r="D779" s="37"/>
      <c r="E779" s="37"/>
      <c r="F779" s="37"/>
      <c r="G779" s="79"/>
      <c r="H779" s="79"/>
      <c r="I779" s="173"/>
    </row>
    <row r="780">
      <c r="A780" s="314">
        <v>127.0</v>
      </c>
      <c r="B780" s="323" t="s">
        <v>1472</v>
      </c>
      <c r="C780" s="315" t="s">
        <v>396</v>
      </c>
      <c r="D780" s="315" t="s">
        <v>406</v>
      </c>
      <c r="E780" s="316" t="s">
        <v>410</v>
      </c>
      <c r="F780" s="329" t="s">
        <v>1473</v>
      </c>
      <c r="G780" s="327" t="s">
        <v>421</v>
      </c>
      <c r="H780" s="318" t="s">
        <v>415</v>
      </c>
      <c r="I780" s="319">
        <v>88327.0</v>
      </c>
      <c r="J780" s="320">
        <v>0.0</v>
      </c>
    </row>
    <row r="781">
      <c r="A781" s="321"/>
      <c r="B781" s="323" t="s">
        <v>1472</v>
      </c>
      <c r="C781" s="315" t="s">
        <v>396</v>
      </c>
      <c r="D781" s="315" t="s">
        <v>406</v>
      </c>
      <c r="E781" s="316" t="s">
        <v>410</v>
      </c>
      <c r="F781" s="329" t="s">
        <v>1474</v>
      </c>
      <c r="G781" s="327" t="s">
        <v>421</v>
      </c>
      <c r="H781" s="318" t="s">
        <v>416</v>
      </c>
      <c r="I781" s="319">
        <v>88327.0</v>
      </c>
      <c r="J781" s="320">
        <v>1.0</v>
      </c>
    </row>
    <row r="782">
      <c r="A782" s="321"/>
      <c r="B782" s="323" t="s">
        <v>1472</v>
      </c>
      <c r="C782" s="315" t="s">
        <v>396</v>
      </c>
      <c r="D782" s="315" t="s">
        <v>406</v>
      </c>
      <c r="E782" s="316" t="s">
        <v>410</v>
      </c>
      <c r="F782" s="330" t="s">
        <v>1466</v>
      </c>
      <c r="G782" s="327" t="s">
        <v>422</v>
      </c>
      <c r="H782" s="318" t="s">
        <v>415</v>
      </c>
      <c r="I782" s="319">
        <v>88327.0</v>
      </c>
      <c r="J782" s="320">
        <v>0.0</v>
      </c>
    </row>
    <row r="783">
      <c r="A783" s="321"/>
      <c r="B783" s="323" t="s">
        <v>1472</v>
      </c>
      <c r="C783" s="315" t="s">
        <v>396</v>
      </c>
      <c r="D783" s="315" t="s">
        <v>406</v>
      </c>
      <c r="E783" s="316" t="s">
        <v>410</v>
      </c>
      <c r="F783" s="330" t="s">
        <v>1467</v>
      </c>
      <c r="G783" s="327" t="s">
        <v>422</v>
      </c>
      <c r="H783" s="318" t="s">
        <v>416</v>
      </c>
      <c r="I783" s="319">
        <v>88327.0</v>
      </c>
      <c r="J783" s="320">
        <v>0.0</v>
      </c>
    </row>
    <row r="784">
      <c r="A784" s="312"/>
      <c r="B784" s="37"/>
      <c r="C784" s="37"/>
      <c r="D784" s="37"/>
      <c r="E784" s="37"/>
      <c r="F784" s="37"/>
      <c r="G784" s="79"/>
      <c r="H784" s="79"/>
      <c r="I784" s="173"/>
    </row>
    <row r="785">
      <c r="A785" s="314">
        <v>128.0</v>
      </c>
      <c r="B785" s="323" t="s">
        <v>1472</v>
      </c>
      <c r="C785" s="315" t="s">
        <v>396</v>
      </c>
      <c r="D785" s="315" t="s">
        <v>406</v>
      </c>
      <c r="E785" s="316" t="s">
        <v>410</v>
      </c>
      <c r="F785" s="329" t="s">
        <v>1473</v>
      </c>
      <c r="G785" s="327" t="s">
        <v>421</v>
      </c>
      <c r="H785" s="318" t="s">
        <v>415</v>
      </c>
      <c r="I785" s="319" t="s">
        <v>338</v>
      </c>
      <c r="J785" s="320">
        <v>1.0</v>
      </c>
    </row>
    <row r="786">
      <c r="A786" s="321"/>
      <c r="B786" s="323" t="s">
        <v>1472</v>
      </c>
      <c r="C786" s="315" t="s">
        <v>396</v>
      </c>
      <c r="D786" s="315" t="s">
        <v>406</v>
      </c>
      <c r="E786" s="316" t="s">
        <v>410</v>
      </c>
      <c r="F786" s="329" t="s">
        <v>1474</v>
      </c>
      <c r="G786" s="327" t="s">
        <v>421</v>
      </c>
      <c r="H786" s="318" t="s">
        <v>416</v>
      </c>
      <c r="I786" s="319" t="s">
        <v>338</v>
      </c>
      <c r="J786" s="320">
        <v>1.0</v>
      </c>
    </row>
    <row r="787">
      <c r="A787" s="321"/>
      <c r="B787" s="323" t="s">
        <v>1472</v>
      </c>
      <c r="C787" s="315" t="s">
        <v>396</v>
      </c>
      <c r="D787" s="315" t="s">
        <v>406</v>
      </c>
      <c r="E787" s="316" t="s">
        <v>410</v>
      </c>
      <c r="F787" s="330" t="s">
        <v>1466</v>
      </c>
      <c r="G787" s="327" t="s">
        <v>422</v>
      </c>
      <c r="H787" s="318" t="s">
        <v>415</v>
      </c>
      <c r="I787" s="319" t="s">
        <v>338</v>
      </c>
      <c r="J787" s="320">
        <v>1.0</v>
      </c>
    </row>
    <row r="788">
      <c r="A788" s="321"/>
      <c r="B788" s="323" t="s">
        <v>1472</v>
      </c>
      <c r="C788" s="315" t="s">
        <v>396</v>
      </c>
      <c r="D788" s="315" t="s">
        <v>406</v>
      </c>
      <c r="E788" s="316" t="s">
        <v>410</v>
      </c>
      <c r="F788" s="330" t="s">
        <v>1467</v>
      </c>
      <c r="G788" s="327" t="s">
        <v>422</v>
      </c>
      <c r="H788" s="318" t="s">
        <v>416</v>
      </c>
      <c r="I788" s="319" t="s">
        <v>338</v>
      </c>
      <c r="J788" s="320">
        <v>3.0</v>
      </c>
    </row>
    <row r="789">
      <c r="A789" s="312"/>
      <c r="B789" s="37"/>
      <c r="C789" s="37"/>
      <c r="D789" s="37"/>
      <c r="E789" s="37"/>
      <c r="F789" s="37"/>
      <c r="G789" s="79"/>
      <c r="H789" s="79"/>
      <c r="I789" s="173"/>
    </row>
    <row r="790">
      <c r="A790" s="314">
        <v>129.0</v>
      </c>
      <c r="B790" s="323" t="s">
        <v>1472</v>
      </c>
      <c r="C790" s="315" t="s">
        <v>396</v>
      </c>
      <c r="D790" s="315" t="s">
        <v>406</v>
      </c>
      <c r="E790" s="316" t="s">
        <v>410</v>
      </c>
      <c r="F790" s="329" t="s">
        <v>1473</v>
      </c>
      <c r="G790" s="327" t="s">
        <v>421</v>
      </c>
      <c r="H790" s="318" t="s">
        <v>415</v>
      </c>
      <c r="I790" s="319" t="s">
        <v>339</v>
      </c>
      <c r="J790" s="320">
        <v>2.0</v>
      </c>
    </row>
    <row r="791">
      <c r="A791" s="321"/>
      <c r="B791" s="323" t="s">
        <v>1472</v>
      </c>
      <c r="C791" s="315" t="s">
        <v>396</v>
      </c>
      <c r="D791" s="315" t="s">
        <v>406</v>
      </c>
      <c r="E791" s="316" t="s">
        <v>410</v>
      </c>
      <c r="F791" s="329" t="s">
        <v>1474</v>
      </c>
      <c r="G791" s="327" t="s">
        <v>421</v>
      </c>
      <c r="H791" s="318" t="s">
        <v>416</v>
      </c>
      <c r="I791" s="319" t="s">
        <v>339</v>
      </c>
      <c r="J791" s="320">
        <v>0.0</v>
      </c>
    </row>
    <row r="792">
      <c r="A792" s="321"/>
      <c r="B792" s="323" t="s">
        <v>1472</v>
      </c>
      <c r="C792" s="315" t="s">
        <v>396</v>
      </c>
      <c r="D792" s="315" t="s">
        <v>406</v>
      </c>
      <c r="E792" s="316" t="s">
        <v>410</v>
      </c>
      <c r="F792" s="330" t="s">
        <v>1466</v>
      </c>
      <c r="G792" s="327" t="s">
        <v>422</v>
      </c>
      <c r="H792" s="318" t="s">
        <v>415</v>
      </c>
      <c r="I792" s="319" t="s">
        <v>339</v>
      </c>
      <c r="J792" s="320">
        <v>1.0</v>
      </c>
    </row>
    <row r="793">
      <c r="A793" s="321"/>
      <c r="B793" s="323" t="s">
        <v>1472</v>
      </c>
      <c r="C793" s="315" t="s">
        <v>396</v>
      </c>
      <c r="D793" s="315" t="s">
        <v>406</v>
      </c>
      <c r="E793" s="316" t="s">
        <v>410</v>
      </c>
      <c r="F793" s="330" t="s">
        <v>1467</v>
      </c>
      <c r="G793" s="327" t="s">
        <v>422</v>
      </c>
      <c r="H793" s="318" t="s">
        <v>416</v>
      </c>
      <c r="I793" s="319" t="s">
        <v>339</v>
      </c>
      <c r="J793" s="320">
        <v>0.0</v>
      </c>
    </row>
    <row r="794">
      <c r="A794" s="312"/>
      <c r="B794" s="37"/>
      <c r="C794" s="37"/>
      <c r="D794" s="37"/>
      <c r="E794" s="37"/>
      <c r="F794" s="37"/>
      <c r="G794" s="79"/>
      <c r="H794" s="79"/>
      <c r="I794" s="173"/>
    </row>
    <row r="795">
      <c r="A795" s="314">
        <v>130.0</v>
      </c>
      <c r="B795" s="323" t="s">
        <v>1472</v>
      </c>
      <c r="C795" s="315" t="s">
        <v>396</v>
      </c>
      <c r="D795" s="315" t="s">
        <v>406</v>
      </c>
      <c r="E795" s="316" t="s">
        <v>410</v>
      </c>
      <c r="F795" s="329" t="s">
        <v>1473</v>
      </c>
      <c r="G795" s="327" t="s">
        <v>421</v>
      </c>
      <c r="H795" s="318" t="s">
        <v>415</v>
      </c>
      <c r="I795" s="319" t="s">
        <v>342</v>
      </c>
      <c r="J795" s="320">
        <v>1.0</v>
      </c>
    </row>
    <row r="796">
      <c r="A796" s="321"/>
      <c r="B796" s="323" t="s">
        <v>1472</v>
      </c>
      <c r="C796" s="315" t="s">
        <v>396</v>
      </c>
      <c r="D796" s="315" t="s">
        <v>406</v>
      </c>
      <c r="E796" s="316" t="s">
        <v>410</v>
      </c>
      <c r="F796" s="329" t="s">
        <v>1474</v>
      </c>
      <c r="G796" s="327" t="s">
        <v>421</v>
      </c>
      <c r="H796" s="318" t="s">
        <v>416</v>
      </c>
      <c r="I796" s="319" t="s">
        <v>342</v>
      </c>
      <c r="J796" s="320">
        <v>2.0</v>
      </c>
    </row>
    <row r="797">
      <c r="A797" s="321"/>
      <c r="B797" s="323" t="s">
        <v>1472</v>
      </c>
      <c r="C797" s="315" t="s">
        <v>396</v>
      </c>
      <c r="D797" s="315" t="s">
        <v>406</v>
      </c>
      <c r="E797" s="316" t="s">
        <v>410</v>
      </c>
      <c r="F797" s="330" t="s">
        <v>1466</v>
      </c>
      <c r="G797" s="327" t="s">
        <v>422</v>
      </c>
      <c r="H797" s="318" t="s">
        <v>415</v>
      </c>
      <c r="I797" s="319" t="s">
        <v>342</v>
      </c>
      <c r="J797" s="320">
        <v>1.0</v>
      </c>
    </row>
    <row r="798">
      <c r="A798" s="321"/>
      <c r="B798" s="323" t="s">
        <v>1472</v>
      </c>
      <c r="C798" s="315" t="s">
        <v>396</v>
      </c>
      <c r="D798" s="315" t="s">
        <v>406</v>
      </c>
      <c r="E798" s="316" t="s">
        <v>410</v>
      </c>
      <c r="F798" s="330" t="s">
        <v>1467</v>
      </c>
      <c r="G798" s="327" t="s">
        <v>422</v>
      </c>
      <c r="H798" s="318" t="s">
        <v>416</v>
      </c>
      <c r="I798" s="319" t="s">
        <v>342</v>
      </c>
      <c r="J798" s="320">
        <v>1.0</v>
      </c>
    </row>
    <row r="799">
      <c r="A799" s="312"/>
      <c r="B799" s="37"/>
      <c r="C799" s="37"/>
      <c r="D799" s="37"/>
      <c r="E799" s="37"/>
      <c r="F799" s="37"/>
      <c r="G799" s="79"/>
      <c r="H799" s="79"/>
      <c r="I799" s="173"/>
    </row>
    <row r="800">
      <c r="A800" s="314">
        <v>131.0</v>
      </c>
      <c r="B800" s="323" t="s">
        <v>1472</v>
      </c>
      <c r="C800" s="315" t="s">
        <v>396</v>
      </c>
      <c r="D800" s="315" t="s">
        <v>406</v>
      </c>
      <c r="E800" s="316" t="s">
        <v>411</v>
      </c>
      <c r="F800" s="329" t="s">
        <v>1473</v>
      </c>
      <c r="G800" s="327" t="s">
        <v>421</v>
      </c>
      <c r="H800" s="318" t="s">
        <v>415</v>
      </c>
      <c r="I800" s="319">
        <v>64028.0</v>
      </c>
      <c r="J800" s="320">
        <v>3.0</v>
      </c>
    </row>
    <row r="801">
      <c r="A801" s="321"/>
      <c r="B801" s="323" t="s">
        <v>1472</v>
      </c>
      <c r="C801" s="315" t="s">
        <v>396</v>
      </c>
      <c r="D801" s="315" t="s">
        <v>406</v>
      </c>
      <c r="E801" s="316" t="s">
        <v>411</v>
      </c>
      <c r="F801" s="329" t="s">
        <v>1474</v>
      </c>
      <c r="G801" s="327" t="s">
        <v>421</v>
      </c>
      <c r="H801" s="318" t="s">
        <v>416</v>
      </c>
      <c r="I801" s="319">
        <v>64028.0</v>
      </c>
      <c r="J801" s="320">
        <v>3.0</v>
      </c>
    </row>
    <row r="802">
      <c r="A802" s="321"/>
      <c r="B802" s="323" t="s">
        <v>1472</v>
      </c>
      <c r="C802" s="315" t="s">
        <v>396</v>
      </c>
      <c r="D802" s="315" t="s">
        <v>406</v>
      </c>
      <c r="E802" s="316" t="s">
        <v>411</v>
      </c>
      <c r="F802" s="330" t="s">
        <v>1466</v>
      </c>
      <c r="G802" s="327" t="s">
        <v>422</v>
      </c>
      <c r="H802" s="318" t="s">
        <v>415</v>
      </c>
      <c r="I802" s="319">
        <v>64028.0</v>
      </c>
      <c r="J802" s="320">
        <v>3.0</v>
      </c>
    </row>
    <row r="803">
      <c r="A803" s="321"/>
      <c r="B803" s="323" t="s">
        <v>1472</v>
      </c>
      <c r="C803" s="315" t="s">
        <v>396</v>
      </c>
      <c r="D803" s="315" t="s">
        <v>406</v>
      </c>
      <c r="E803" s="316" t="s">
        <v>411</v>
      </c>
      <c r="F803" s="330" t="s">
        <v>1467</v>
      </c>
      <c r="G803" s="327" t="s">
        <v>422</v>
      </c>
      <c r="H803" s="318" t="s">
        <v>416</v>
      </c>
      <c r="I803" s="319">
        <v>64028.0</v>
      </c>
      <c r="J803" s="320">
        <v>3.0</v>
      </c>
    </row>
    <row r="804">
      <c r="A804" s="312"/>
      <c r="B804" s="37"/>
      <c r="C804" s="37"/>
      <c r="D804" s="37"/>
      <c r="E804" s="37"/>
      <c r="F804" s="37"/>
      <c r="G804" s="79"/>
      <c r="H804" s="79"/>
      <c r="I804" s="173"/>
    </row>
    <row r="805">
      <c r="A805" s="314">
        <v>132.0</v>
      </c>
      <c r="B805" s="323" t="s">
        <v>1472</v>
      </c>
      <c r="C805" s="315" t="s">
        <v>396</v>
      </c>
      <c r="D805" s="315" t="s">
        <v>406</v>
      </c>
      <c r="E805" s="316" t="s">
        <v>411</v>
      </c>
      <c r="F805" s="329" t="s">
        <v>1473</v>
      </c>
      <c r="G805" s="327" t="s">
        <v>421</v>
      </c>
      <c r="H805" s="318" t="s">
        <v>415</v>
      </c>
      <c r="I805" s="319">
        <v>64048.0</v>
      </c>
      <c r="J805" s="320">
        <v>1.0</v>
      </c>
    </row>
    <row r="806">
      <c r="A806" s="321"/>
      <c r="B806" s="323" t="s">
        <v>1472</v>
      </c>
      <c r="C806" s="315" t="s">
        <v>396</v>
      </c>
      <c r="D806" s="315" t="s">
        <v>406</v>
      </c>
      <c r="E806" s="316" t="s">
        <v>411</v>
      </c>
      <c r="F806" s="329" t="s">
        <v>1474</v>
      </c>
      <c r="G806" s="327" t="s">
        <v>421</v>
      </c>
      <c r="H806" s="318" t="s">
        <v>416</v>
      </c>
      <c r="I806" s="319">
        <v>64048.0</v>
      </c>
      <c r="J806" s="320">
        <v>2.0</v>
      </c>
    </row>
    <row r="807">
      <c r="A807" s="321"/>
      <c r="B807" s="323" t="s">
        <v>1472</v>
      </c>
      <c r="C807" s="315" t="s">
        <v>396</v>
      </c>
      <c r="D807" s="315" t="s">
        <v>406</v>
      </c>
      <c r="E807" s="316" t="s">
        <v>411</v>
      </c>
      <c r="F807" s="330" t="s">
        <v>1466</v>
      </c>
      <c r="G807" s="327" t="s">
        <v>422</v>
      </c>
      <c r="H807" s="318" t="s">
        <v>415</v>
      </c>
      <c r="I807" s="319">
        <v>64048.0</v>
      </c>
      <c r="J807" s="320">
        <v>1.0</v>
      </c>
    </row>
    <row r="808">
      <c r="A808" s="321"/>
      <c r="B808" s="323" t="s">
        <v>1472</v>
      </c>
      <c r="C808" s="315" t="s">
        <v>396</v>
      </c>
      <c r="D808" s="315" t="s">
        <v>406</v>
      </c>
      <c r="E808" s="316" t="s">
        <v>411</v>
      </c>
      <c r="F808" s="330" t="s">
        <v>1467</v>
      </c>
      <c r="G808" s="327" t="s">
        <v>422</v>
      </c>
      <c r="H808" s="318" t="s">
        <v>416</v>
      </c>
      <c r="I808" s="319">
        <v>64048.0</v>
      </c>
      <c r="J808" s="320">
        <v>2.0</v>
      </c>
    </row>
    <row r="809">
      <c r="A809" s="312"/>
      <c r="B809" s="37"/>
      <c r="C809" s="37"/>
      <c r="D809" s="37"/>
      <c r="E809" s="37"/>
      <c r="F809" s="37"/>
      <c r="G809" s="79"/>
      <c r="H809" s="79"/>
      <c r="I809" s="173"/>
    </row>
    <row r="810">
      <c r="A810" s="314">
        <v>133.0</v>
      </c>
      <c r="B810" s="323" t="s">
        <v>1472</v>
      </c>
      <c r="C810" s="315" t="s">
        <v>396</v>
      </c>
      <c r="D810" s="315" t="s">
        <v>406</v>
      </c>
      <c r="E810" s="316" t="s">
        <v>411</v>
      </c>
      <c r="F810" s="329" t="s">
        <v>1473</v>
      </c>
      <c r="G810" s="327" t="s">
        <v>421</v>
      </c>
      <c r="H810" s="318" t="s">
        <v>415</v>
      </c>
      <c r="I810" s="319">
        <v>64115.0</v>
      </c>
      <c r="J810" s="320">
        <v>1.0</v>
      </c>
    </row>
    <row r="811">
      <c r="A811" s="321"/>
      <c r="B811" s="323" t="s">
        <v>1472</v>
      </c>
      <c r="C811" s="315" t="s">
        <v>396</v>
      </c>
      <c r="D811" s="315" t="s">
        <v>406</v>
      </c>
      <c r="E811" s="316" t="s">
        <v>411</v>
      </c>
      <c r="F811" s="329" t="s">
        <v>1474</v>
      </c>
      <c r="G811" s="327" t="s">
        <v>421</v>
      </c>
      <c r="H811" s="318" t="s">
        <v>416</v>
      </c>
      <c r="I811" s="319">
        <v>64115.0</v>
      </c>
      <c r="J811" s="320">
        <v>1.0</v>
      </c>
    </row>
    <row r="812">
      <c r="A812" s="321"/>
      <c r="B812" s="323" t="s">
        <v>1472</v>
      </c>
      <c r="C812" s="315" t="s">
        <v>396</v>
      </c>
      <c r="D812" s="315" t="s">
        <v>406</v>
      </c>
      <c r="E812" s="316" t="s">
        <v>411</v>
      </c>
      <c r="F812" s="330" t="s">
        <v>1466</v>
      </c>
      <c r="G812" s="327" t="s">
        <v>422</v>
      </c>
      <c r="H812" s="318" t="s">
        <v>415</v>
      </c>
      <c r="I812" s="319">
        <v>64115.0</v>
      </c>
      <c r="J812" s="320">
        <v>1.0</v>
      </c>
    </row>
    <row r="813">
      <c r="A813" s="321"/>
      <c r="B813" s="323" t="s">
        <v>1472</v>
      </c>
      <c r="C813" s="315" t="s">
        <v>396</v>
      </c>
      <c r="D813" s="315" t="s">
        <v>406</v>
      </c>
      <c r="E813" s="316" t="s">
        <v>411</v>
      </c>
      <c r="F813" s="330" t="s">
        <v>1467</v>
      </c>
      <c r="G813" s="327" t="s">
        <v>422</v>
      </c>
      <c r="H813" s="318" t="s">
        <v>416</v>
      </c>
      <c r="I813" s="319">
        <v>64115.0</v>
      </c>
      <c r="J813" s="320">
        <v>1.0</v>
      </c>
    </row>
    <row r="814">
      <c r="A814" s="312"/>
      <c r="B814" s="37"/>
      <c r="C814" s="37"/>
      <c r="D814" s="37"/>
      <c r="E814" s="37"/>
      <c r="F814" s="37"/>
      <c r="G814" s="79"/>
      <c r="H814" s="79"/>
      <c r="I814" s="173"/>
    </row>
    <row r="815">
      <c r="A815" s="314">
        <v>134.0</v>
      </c>
      <c r="B815" s="323" t="s">
        <v>1472</v>
      </c>
      <c r="C815" s="315" t="s">
        <v>396</v>
      </c>
      <c r="D815" s="315" t="s">
        <v>406</v>
      </c>
      <c r="E815" s="316" t="s">
        <v>411</v>
      </c>
      <c r="F815" s="329" t="s">
        <v>1473</v>
      </c>
      <c r="G815" s="327" t="s">
        <v>421</v>
      </c>
      <c r="H815" s="318" t="s">
        <v>415</v>
      </c>
      <c r="I815" s="319">
        <v>64346.0</v>
      </c>
      <c r="J815" s="320">
        <v>1.0</v>
      </c>
    </row>
    <row r="816">
      <c r="A816" s="321"/>
      <c r="B816" s="323" t="s">
        <v>1472</v>
      </c>
      <c r="C816" s="315" t="s">
        <v>396</v>
      </c>
      <c r="D816" s="315" t="s">
        <v>406</v>
      </c>
      <c r="E816" s="316" t="s">
        <v>411</v>
      </c>
      <c r="F816" s="329" t="s">
        <v>1474</v>
      </c>
      <c r="G816" s="327" t="s">
        <v>421</v>
      </c>
      <c r="H816" s="318" t="s">
        <v>416</v>
      </c>
      <c r="I816" s="319">
        <v>64346.0</v>
      </c>
      <c r="J816" s="320">
        <v>0.0</v>
      </c>
    </row>
    <row r="817">
      <c r="A817" s="321"/>
      <c r="B817" s="323" t="s">
        <v>1472</v>
      </c>
      <c r="C817" s="315" t="s">
        <v>396</v>
      </c>
      <c r="D817" s="315" t="s">
        <v>406</v>
      </c>
      <c r="E817" s="316" t="s">
        <v>411</v>
      </c>
      <c r="F817" s="330" t="s">
        <v>1466</v>
      </c>
      <c r="G817" s="327" t="s">
        <v>422</v>
      </c>
      <c r="H817" s="318" t="s">
        <v>415</v>
      </c>
      <c r="I817" s="319">
        <v>64346.0</v>
      </c>
      <c r="J817" s="320">
        <v>0.0</v>
      </c>
    </row>
    <row r="818">
      <c r="A818" s="321"/>
      <c r="B818" s="323" t="s">
        <v>1472</v>
      </c>
      <c r="C818" s="315" t="s">
        <v>396</v>
      </c>
      <c r="D818" s="315" t="s">
        <v>406</v>
      </c>
      <c r="E818" s="316" t="s">
        <v>411</v>
      </c>
      <c r="F818" s="330" t="s">
        <v>1467</v>
      </c>
      <c r="G818" s="327" t="s">
        <v>422</v>
      </c>
      <c r="H818" s="318" t="s">
        <v>416</v>
      </c>
      <c r="I818" s="319">
        <v>64346.0</v>
      </c>
      <c r="J818" s="320">
        <v>1.0</v>
      </c>
    </row>
    <row r="819">
      <c r="A819" s="312"/>
      <c r="B819" s="37"/>
      <c r="C819" s="37"/>
      <c r="D819" s="37"/>
      <c r="E819" s="37"/>
      <c r="F819" s="37"/>
      <c r="G819" s="79"/>
      <c r="H819" s="79"/>
      <c r="I819" s="173"/>
    </row>
    <row r="820">
      <c r="A820" s="314">
        <v>135.0</v>
      </c>
      <c r="B820" s="323" t="s">
        <v>1472</v>
      </c>
      <c r="C820" s="315" t="s">
        <v>396</v>
      </c>
      <c r="D820" s="315" t="s">
        <v>406</v>
      </c>
      <c r="E820" s="316" t="s">
        <v>411</v>
      </c>
      <c r="F820" s="329" t="s">
        <v>1473</v>
      </c>
      <c r="G820" s="327" t="s">
        <v>421</v>
      </c>
      <c r="H820" s="318" t="s">
        <v>415</v>
      </c>
      <c r="I820" s="319">
        <v>64641.0</v>
      </c>
      <c r="J820" s="320">
        <v>0.0</v>
      </c>
    </row>
    <row r="821">
      <c r="A821" s="321"/>
      <c r="B821" s="323" t="s">
        <v>1472</v>
      </c>
      <c r="C821" s="315" t="s">
        <v>396</v>
      </c>
      <c r="D821" s="315" t="s">
        <v>406</v>
      </c>
      <c r="E821" s="316" t="s">
        <v>411</v>
      </c>
      <c r="F821" s="329" t="s">
        <v>1474</v>
      </c>
      <c r="G821" s="327" t="s">
        <v>421</v>
      </c>
      <c r="H821" s="318" t="s">
        <v>416</v>
      </c>
      <c r="I821" s="319">
        <v>64641.0</v>
      </c>
      <c r="J821" s="320">
        <v>0.0</v>
      </c>
    </row>
    <row r="822">
      <c r="A822" s="321"/>
      <c r="B822" s="323" t="s">
        <v>1472</v>
      </c>
      <c r="C822" s="315" t="s">
        <v>396</v>
      </c>
      <c r="D822" s="315" t="s">
        <v>406</v>
      </c>
      <c r="E822" s="316" t="s">
        <v>411</v>
      </c>
      <c r="F822" s="330" t="s">
        <v>1466</v>
      </c>
      <c r="G822" s="327" t="s">
        <v>422</v>
      </c>
      <c r="H822" s="318" t="s">
        <v>415</v>
      </c>
      <c r="I822" s="319">
        <v>64641.0</v>
      </c>
      <c r="J822" s="320">
        <v>0.0</v>
      </c>
    </row>
    <row r="823">
      <c r="A823" s="321"/>
      <c r="B823" s="323" t="s">
        <v>1472</v>
      </c>
      <c r="C823" s="315" t="s">
        <v>396</v>
      </c>
      <c r="D823" s="315" t="s">
        <v>406</v>
      </c>
      <c r="E823" s="316" t="s">
        <v>411</v>
      </c>
      <c r="F823" s="330" t="s">
        <v>1467</v>
      </c>
      <c r="G823" s="327" t="s">
        <v>422</v>
      </c>
      <c r="H823" s="318" t="s">
        <v>416</v>
      </c>
      <c r="I823" s="319">
        <v>64641.0</v>
      </c>
      <c r="J823" s="320">
        <v>0.0</v>
      </c>
    </row>
    <row r="824">
      <c r="A824" s="312"/>
      <c r="B824" s="37"/>
      <c r="C824" s="37"/>
      <c r="D824" s="37"/>
      <c r="E824" s="37"/>
      <c r="F824" s="37"/>
      <c r="G824" s="79"/>
      <c r="H824" s="79"/>
      <c r="I824" s="173"/>
    </row>
    <row r="825">
      <c r="A825" s="314">
        <v>136.0</v>
      </c>
      <c r="B825" s="323" t="s">
        <v>1472</v>
      </c>
      <c r="C825" s="315" t="s">
        <v>396</v>
      </c>
      <c r="D825" s="315" t="s">
        <v>406</v>
      </c>
      <c r="E825" s="316" t="s">
        <v>411</v>
      </c>
      <c r="F825" s="329" t="s">
        <v>1473</v>
      </c>
      <c r="G825" s="327" t="s">
        <v>421</v>
      </c>
      <c r="H825" s="318" t="s">
        <v>415</v>
      </c>
      <c r="I825" s="319">
        <v>64829.0</v>
      </c>
      <c r="J825" s="320">
        <v>1.0</v>
      </c>
    </row>
    <row r="826">
      <c r="A826" s="321"/>
      <c r="B826" s="323" t="s">
        <v>1472</v>
      </c>
      <c r="C826" s="315" t="s">
        <v>396</v>
      </c>
      <c r="D826" s="315" t="s">
        <v>406</v>
      </c>
      <c r="E826" s="316" t="s">
        <v>411</v>
      </c>
      <c r="F826" s="329" t="s">
        <v>1474</v>
      </c>
      <c r="G826" s="327" t="s">
        <v>421</v>
      </c>
      <c r="H826" s="318" t="s">
        <v>416</v>
      </c>
      <c r="I826" s="319">
        <v>64829.0</v>
      </c>
      <c r="J826" s="320">
        <v>0.0</v>
      </c>
    </row>
    <row r="827">
      <c r="A827" s="321"/>
      <c r="B827" s="323" t="s">
        <v>1472</v>
      </c>
      <c r="C827" s="315" t="s">
        <v>396</v>
      </c>
      <c r="D827" s="315" t="s">
        <v>406</v>
      </c>
      <c r="E827" s="316" t="s">
        <v>411</v>
      </c>
      <c r="F827" s="330" t="s">
        <v>1466</v>
      </c>
      <c r="G827" s="327" t="s">
        <v>422</v>
      </c>
      <c r="H827" s="318" t="s">
        <v>415</v>
      </c>
      <c r="I827" s="319">
        <v>64829.0</v>
      </c>
      <c r="J827" s="320">
        <v>1.0</v>
      </c>
    </row>
    <row r="828">
      <c r="A828" s="321"/>
      <c r="B828" s="323" t="s">
        <v>1472</v>
      </c>
      <c r="C828" s="315" t="s">
        <v>396</v>
      </c>
      <c r="D828" s="315" t="s">
        <v>406</v>
      </c>
      <c r="E828" s="316" t="s">
        <v>411</v>
      </c>
      <c r="F828" s="330" t="s">
        <v>1467</v>
      </c>
      <c r="G828" s="327" t="s">
        <v>422</v>
      </c>
      <c r="H828" s="318" t="s">
        <v>416</v>
      </c>
      <c r="I828" s="319">
        <v>64829.0</v>
      </c>
      <c r="J828" s="320">
        <v>1.0</v>
      </c>
    </row>
    <row r="829">
      <c r="A829" s="312"/>
      <c r="B829" s="37"/>
      <c r="C829" s="37"/>
      <c r="D829" s="37"/>
      <c r="E829" s="37"/>
      <c r="F829" s="37"/>
      <c r="G829" s="79"/>
      <c r="H829" s="79"/>
      <c r="I829" s="173"/>
    </row>
    <row r="830">
      <c r="A830" s="312"/>
      <c r="B830" s="37"/>
      <c r="C830" s="37"/>
      <c r="D830" s="37"/>
      <c r="E830" s="37"/>
      <c r="F830" s="37"/>
      <c r="G830" s="79"/>
      <c r="H830" s="79"/>
      <c r="I830" s="173"/>
    </row>
    <row r="831">
      <c r="A831" s="314">
        <v>137.0</v>
      </c>
      <c r="B831" s="323" t="s">
        <v>1472</v>
      </c>
      <c r="C831" s="315" t="s">
        <v>396</v>
      </c>
      <c r="D831" s="315" t="s">
        <v>406</v>
      </c>
      <c r="E831" s="316" t="s">
        <v>411</v>
      </c>
      <c r="F831" s="329" t="s">
        <v>1473</v>
      </c>
      <c r="G831" s="327" t="s">
        <v>421</v>
      </c>
      <c r="H831" s="318" t="s">
        <v>415</v>
      </c>
      <c r="I831" s="319">
        <v>64996.0</v>
      </c>
      <c r="J831" s="320">
        <v>0.0</v>
      </c>
    </row>
    <row r="832">
      <c r="A832" s="321"/>
      <c r="B832" s="323" t="s">
        <v>1472</v>
      </c>
      <c r="C832" s="315" t="s">
        <v>396</v>
      </c>
      <c r="D832" s="315" t="s">
        <v>406</v>
      </c>
      <c r="E832" s="316" t="s">
        <v>411</v>
      </c>
      <c r="F832" s="329" t="s">
        <v>1474</v>
      </c>
      <c r="G832" s="327" t="s">
        <v>421</v>
      </c>
      <c r="H832" s="318" t="s">
        <v>416</v>
      </c>
      <c r="I832" s="319">
        <v>64996.0</v>
      </c>
      <c r="J832" s="320">
        <v>1.0</v>
      </c>
    </row>
    <row r="833">
      <c r="A833" s="321"/>
      <c r="B833" s="323" t="s">
        <v>1472</v>
      </c>
      <c r="C833" s="315" t="s">
        <v>396</v>
      </c>
      <c r="D833" s="315" t="s">
        <v>406</v>
      </c>
      <c r="E833" s="316" t="s">
        <v>411</v>
      </c>
      <c r="F833" s="330" t="s">
        <v>1466</v>
      </c>
      <c r="G833" s="327" t="s">
        <v>422</v>
      </c>
      <c r="H833" s="318" t="s">
        <v>415</v>
      </c>
      <c r="I833" s="319">
        <v>64996.0</v>
      </c>
      <c r="J833" s="320">
        <v>0.0</v>
      </c>
    </row>
    <row r="834">
      <c r="A834" s="321"/>
      <c r="B834" s="323" t="s">
        <v>1472</v>
      </c>
      <c r="C834" s="315" t="s">
        <v>396</v>
      </c>
      <c r="D834" s="315" t="s">
        <v>406</v>
      </c>
      <c r="E834" s="316" t="s">
        <v>411</v>
      </c>
      <c r="F834" s="330" t="s">
        <v>1467</v>
      </c>
      <c r="G834" s="327" t="s">
        <v>422</v>
      </c>
      <c r="H834" s="318" t="s">
        <v>416</v>
      </c>
      <c r="I834" s="319">
        <v>64996.0</v>
      </c>
      <c r="J834" s="320">
        <v>1.0</v>
      </c>
    </row>
    <row r="835">
      <c r="A835" s="312"/>
      <c r="B835" s="37"/>
      <c r="C835" s="37"/>
      <c r="D835" s="37"/>
      <c r="E835" s="37"/>
      <c r="F835" s="37"/>
      <c r="G835" s="79"/>
      <c r="H835" s="79"/>
      <c r="I835" s="173"/>
    </row>
    <row r="836">
      <c r="A836" s="314">
        <v>138.0</v>
      </c>
      <c r="B836" s="323" t="s">
        <v>1472</v>
      </c>
      <c r="C836" s="315" t="s">
        <v>396</v>
      </c>
      <c r="D836" s="315" t="s">
        <v>406</v>
      </c>
      <c r="E836" s="316" t="s">
        <v>411</v>
      </c>
      <c r="F836" s="329" t="s">
        <v>1473</v>
      </c>
      <c r="G836" s="327" t="s">
        <v>421</v>
      </c>
      <c r="H836" s="318" t="s">
        <v>415</v>
      </c>
      <c r="I836" s="319">
        <v>65199.0</v>
      </c>
      <c r="J836" s="320">
        <v>0.0</v>
      </c>
    </row>
    <row r="837">
      <c r="A837" s="321"/>
      <c r="B837" s="323" t="s">
        <v>1472</v>
      </c>
      <c r="C837" s="315" t="s">
        <v>396</v>
      </c>
      <c r="D837" s="315" t="s">
        <v>406</v>
      </c>
      <c r="E837" s="316" t="s">
        <v>411</v>
      </c>
      <c r="F837" s="329" t="s">
        <v>1474</v>
      </c>
      <c r="G837" s="327" t="s">
        <v>421</v>
      </c>
      <c r="H837" s="318" t="s">
        <v>416</v>
      </c>
      <c r="I837" s="319">
        <v>65199.0</v>
      </c>
      <c r="J837" s="320">
        <v>1.0</v>
      </c>
    </row>
    <row r="838">
      <c r="A838" s="321"/>
      <c r="B838" s="323" t="s">
        <v>1472</v>
      </c>
      <c r="C838" s="315" t="s">
        <v>396</v>
      </c>
      <c r="D838" s="315" t="s">
        <v>406</v>
      </c>
      <c r="E838" s="316" t="s">
        <v>411</v>
      </c>
      <c r="F838" s="330" t="s">
        <v>1466</v>
      </c>
      <c r="G838" s="327" t="s">
        <v>422</v>
      </c>
      <c r="H838" s="318" t="s">
        <v>415</v>
      </c>
      <c r="I838" s="319">
        <v>65199.0</v>
      </c>
      <c r="J838" s="320">
        <v>0.0</v>
      </c>
    </row>
    <row r="839">
      <c r="A839" s="321"/>
      <c r="B839" s="323" t="s">
        <v>1472</v>
      </c>
      <c r="C839" s="315" t="s">
        <v>396</v>
      </c>
      <c r="D839" s="315" t="s">
        <v>406</v>
      </c>
      <c r="E839" s="316" t="s">
        <v>411</v>
      </c>
      <c r="F839" s="330" t="s">
        <v>1467</v>
      </c>
      <c r="G839" s="327" t="s">
        <v>422</v>
      </c>
      <c r="H839" s="318" t="s">
        <v>416</v>
      </c>
      <c r="I839" s="319">
        <v>65199.0</v>
      </c>
      <c r="J839" s="320">
        <v>1.0</v>
      </c>
    </row>
    <row r="840">
      <c r="A840" s="312"/>
      <c r="B840" s="37"/>
      <c r="C840" s="37"/>
      <c r="D840" s="37"/>
      <c r="E840" s="37"/>
      <c r="F840" s="37"/>
      <c r="G840" s="79"/>
      <c r="H840" s="79"/>
      <c r="I840" s="173"/>
    </row>
    <row r="841">
      <c r="A841" s="312"/>
      <c r="B841" s="37"/>
      <c r="C841" s="37"/>
      <c r="D841" s="37"/>
      <c r="E841" s="37"/>
      <c r="F841" s="37"/>
      <c r="G841" s="79"/>
      <c r="H841" s="79"/>
      <c r="I841" s="173"/>
    </row>
    <row r="842">
      <c r="A842" s="314">
        <v>139.0</v>
      </c>
      <c r="B842" s="323" t="s">
        <v>1472</v>
      </c>
      <c r="C842" s="315" t="s">
        <v>396</v>
      </c>
      <c r="D842" s="315" t="s">
        <v>406</v>
      </c>
      <c r="E842" s="316" t="s">
        <v>411</v>
      </c>
      <c r="F842" s="329" t="s">
        <v>1473</v>
      </c>
      <c r="G842" s="327" t="s">
        <v>421</v>
      </c>
      <c r="H842" s="318" t="s">
        <v>415</v>
      </c>
      <c r="I842" s="319" t="s">
        <v>329</v>
      </c>
      <c r="J842" s="320">
        <v>5.0</v>
      </c>
    </row>
    <row r="843">
      <c r="A843" s="321"/>
      <c r="B843" s="323" t="s">
        <v>1472</v>
      </c>
      <c r="C843" s="315" t="s">
        <v>396</v>
      </c>
      <c r="D843" s="315" t="s">
        <v>406</v>
      </c>
      <c r="E843" s="316" t="s">
        <v>411</v>
      </c>
      <c r="F843" s="329" t="s">
        <v>1474</v>
      </c>
      <c r="G843" s="327" t="s">
        <v>421</v>
      </c>
      <c r="H843" s="318" t="s">
        <v>416</v>
      </c>
      <c r="I843" s="319" t="s">
        <v>329</v>
      </c>
      <c r="J843" s="320">
        <v>6.0</v>
      </c>
    </row>
    <row r="844">
      <c r="A844" s="321"/>
      <c r="B844" s="323" t="s">
        <v>1472</v>
      </c>
      <c r="C844" s="315" t="s">
        <v>396</v>
      </c>
      <c r="D844" s="315" t="s">
        <v>406</v>
      </c>
      <c r="E844" s="316" t="s">
        <v>411</v>
      </c>
      <c r="F844" s="330" t="s">
        <v>1466</v>
      </c>
      <c r="G844" s="327" t="s">
        <v>422</v>
      </c>
      <c r="H844" s="318" t="s">
        <v>415</v>
      </c>
      <c r="I844" s="319" t="s">
        <v>329</v>
      </c>
      <c r="J844" s="320">
        <v>4.0</v>
      </c>
    </row>
    <row r="845">
      <c r="A845" s="321"/>
      <c r="B845" s="323" t="s">
        <v>1472</v>
      </c>
      <c r="C845" s="315" t="s">
        <v>396</v>
      </c>
      <c r="D845" s="315" t="s">
        <v>406</v>
      </c>
      <c r="E845" s="316" t="s">
        <v>411</v>
      </c>
      <c r="F845" s="330" t="s">
        <v>1467</v>
      </c>
      <c r="G845" s="327" t="s">
        <v>422</v>
      </c>
      <c r="H845" s="318" t="s">
        <v>416</v>
      </c>
      <c r="I845" s="319" t="s">
        <v>329</v>
      </c>
      <c r="J845" s="320">
        <v>4.0</v>
      </c>
    </row>
    <row r="846">
      <c r="A846" s="312"/>
      <c r="B846" s="37"/>
      <c r="C846" s="37"/>
      <c r="D846" s="37"/>
      <c r="E846" s="37"/>
      <c r="F846" s="37"/>
      <c r="G846" s="79"/>
      <c r="H846" s="79"/>
      <c r="I846" s="173"/>
    </row>
    <row r="847">
      <c r="A847" s="312"/>
      <c r="B847" s="37"/>
      <c r="C847" s="37"/>
      <c r="D847" s="37"/>
      <c r="E847" s="37"/>
      <c r="F847" s="37"/>
      <c r="G847" s="79"/>
      <c r="H847" s="79"/>
      <c r="I847" s="173"/>
    </row>
    <row r="848">
      <c r="A848" s="314">
        <v>140.0</v>
      </c>
      <c r="B848" s="323" t="s">
        <v>1472</v>
      </c>
      <c r="C848" s="315" t="s">
        <v>396</v>
      </c>
      <c r="D848" s="315" t="s">
        <v>406</v>
      </c>
      <c r="E848" s="316" t="s">
        <v>411</v>
      </c>
      <c r="F848" s="329" t="s">
        <v>1473</v>
      </c>
      <c r="G848" s="327" t="s">
        <v>421</v>
      </c>
      <c r="H848" s="318" t="s">
        <v>415</v>
      </c>
      <c r="I848" s="319" t="s">
        <v>333</v>
      </c>
      <c r="J848" s="320">
        <v>6.0</v>
      </c>
    </row>
    <row r="849">
      <c r="A849" s="321"/>
      <c r="B849" s="323" t="s">
        <v>1472</v>
      </c>
      <c r="C849" s="315" t="s">
        <v>396</v>
      </c>
      <c r="D849" s="315" t="s">
        <v>406</v>
      </c>
      <c r="E849" s="316" t="s">
        <v>411</v>
      </c>
      <c r="F849" s="329" t="s">
        <v>1474</v>
      </c>
      <c r="G849" s="327" t="s">
        <v>421</v>
      </c>
      <c r="H849" s="318" t="s">
        <v>416</v>
      </c>
      <c r="I849" s="319" t="s">
        <v>333</v>
      </c>
      <c r="J849" s="320">
        <v>7.0</v>
      </c>
    </row>
    <row r="850">
      <c r="A850" s="321"/>
      <c r="B850" s="323" t="s">
        <v>1472</v>
      </c>
      <c r="C850" s="315" t="s">
        <v>396</v>
      </c>
      <c r="D850" s="315" t="s">
        <v>406</v>
      </c>
      <c r="E850" s="316" t="s">
        <v>411</v>
      </c>
      <c r="F850" s="330" t="s">
        <v>1466</v>
      </c>
      <c r="G850" s="327" t="s">
        <v>422</v>
      </c>
      <c r="H850" s="318" t="s">
        <v>415</v>
      </c>
      <c r="I850" s="319" t="s">
        <v>333</v>
      </c>
      <c r="J850" s="320">
        <v>5.0</v>
      </c>
    </row>
    <row r="851">
      <c r="A851" s="321"/>
      <c r="B851" s="323" t="s">
        <v>1472</v>
      </c>
      <c r="C851" s="315" t="s">
        <v>396</v>
      </c>
      <c r="D851" s="315" t="s">
        <v>406</v>
      </c>
      <c r="E851" s="316" t="s">
        <v>411</v>
      </c>
      <c r="F851" s="330" t="s">
        <v>1467</v>
      </c>
      <c r="G851" s="327" t="s">
        <v>422</v>
      </c>
      <c r="H851" s="318" t="s">
        <v>416</v>
      </c>
      <c r="I851" s="319" t="s">
        <v>333</v>
      </c>
      <c r="J851" s="320">
        <v>7.0</v>
      </c>
    </row>
    <row r="852">
      <c r="A852" s="312"/>
      <c r="B852" s="37"/>
      <c r="C852" s="37"/>
      <c r="D852" s="37"/>
      <c r="E852" s="37"/>
      <c r="F852" s="37"/>
      <c r="G852" s="79"/>
      <c r="H852" s="79"/>
      <c r="I852" s="173"/>
    </row>
    <row r="853">
      <c r="A853" s="314">
        <v>141.0</v>
      </c>
      <c r="B853" s="323" t="s">
        <v>1472</v>
      </c>
      <c r="C853" s="315" t="s">
        <v>396</v>
      </c>
      <c r="D853" s="315" t="s">
        <v>406</v>
      </c>
      <c r="E853" s="316" t="s">
        <v>412</v>
      </c>
      <c r="F853" s="329" t="s">
        <v>1473</v>
      </c>
      <c r="G853" s="327" t="s">
        <v>421</v>
      </c>
      <c r="H853" s="318" t="s">
        <v>415</v>
      </c>
      <c r="I853" s="319">
        <v>36207.0</v>
      </c>
      <c r="J853" s="320">
        <v>1.0</v>
      </c>
    </row>
    <row r="854">
      <c r="A854" s="321"/>
      <c r="B854" s="323" t="s">
        <v>1472</v>
      </c>
      <c r="C854" s="315" t="s">
        <v>396</v>
      </c>
      <c r="D854" s="315" t="s">
        <v>406</v>
      </c>
      <c r="E854" s="316" t="s">
        <v>412</v>
      </c>
      <c r="F854" s="329" t="s">
        <v>1474</v>
      </c>
      <c r="G854" s="327" t="s">
        <v>421</v>
      </c>
      <c r="H854" s="318" t="s">
        <v>416</v>
      </c>
      <c r="I854" s="319">
        <v>36207.0</v>
      </c>
      <c r="J854" s="320">
        <v>1.0</v>
      </c>
    </row>
    <row r="855">
      <c r="A855" s="321"/>
      <c r="B855" s="323" t="s">
        <v>1472</v>
      </c>
      <c r="C855" s="315" t="s">
        <v>396</v>
      </c>
      <c r="D855" s="315" t="s">
        <v>406</v>
      </c>
      <c r="E855" s="316" t="s">
        <v>412</v>
      </c>
      <c r="F855" s="330" t="s">
        <v>1466</v>
      </c>
      <c r="G855" s="327" t="s">
        <v>422</v>
      </c>
      <c r="H855" s="318" t="s">
        <v>415</v>
      </c>
      <c r="I855" s="319">
        <v>36207.0</v>
      </c>
      <c r="J855" s="320">
        <v>1.0</v>
      </c>
    </row>
    <row r="856">
      <c r="A856" s="321"/>
      <c r="B856" s="323" t="s">
        <v>1472</v>
      </c>
      <c r="C856" s="315" t="s">
        <v>396</v>
      </c>
      <c r="D856" s="315" t="s">
        <v>406</v>
      </c>
      <c r="E856" s="316" t="s">
        <v>412</v>
      </c>
      <c r="F856" s="330" t="s">
        <v>1467</v>
      </c>
      <c r="G856" s="327" t="s">
        <v>422</v>
      </c>
      <c r="H856" s="318" t="s">
        <v>416</v>
      </c>
      <c r="I856" s="319">
        <v>36207.0</v>
      </c>
      <c r="J856" s="320">
        <v>1.0</v>
      </c>
    </row>
    <row r="857">
      <c r="A857" s="312"/>
      <c r="B857" s="37"/>
      <c r="C857" s="37"/>
      <c r="D857" s="37"/>
      <c r="E857" s="37"/>
      <c r="F857" s="37"/>
      <c r="G857" s="79"/>
      <c r="H857" s="79"/>
      <c r="I857" s="173"/>
    </row>
    <row r="858">
      <c r="A858" s="312"/>
      <c r="B858" s="37"/>
      <c r="C858" s="37"/>
      <c r="D858" s="37"/>
      <c r="E858" s="37"/>
      <c r="F858" s="37"/>
      <c r="G858" s="79"/>
      <c r="H858" s="79"/>
      <c r="I858" s="173"/>
    </row>
    <row r="859">
      <c r="A859" s="314">
        <v>142.0</v>
      </c>
      <c r="B859" s="323" t="s">
        <v>1472</v>
      </c>
      <c r="C859" s="315" t="s">
        <v>396</v>
      </c>
      <c r="D859" s="315" t="s">
        <v>406</v>
      </c>
      <c r="E859" s="316" t="s">
        <v>412</v>
      </c>
      <c r="F859" s="329" t="s">
        <v>1473</v>
      </c>
      <c r="G859" s="327" t="s">
        <v>421</v>
      </c>
      <c r="H859" s="318" t="s">
        <v>415</v>
      </c>
      <c r="I859" s="319" t="s">
        <v>1470</v>
      </c>
      <c r="J859" s="320">
        <v>1.0</v>
      </c>
    </row>
    <row r="860">
      <c r="A860" s="321"/>
      <c r="B860" s="323" t="s">
        <v>1472</v>
      </c>
      <c r="C860" s="315" t="s">
        <v>396</v>
      </c>
      <c r="D860" s="315" t="s">
        <v>406</v>
      </c>
      <c r="E860" s="316" t="s">
        <v>412</v>
      </c>
      <c r="F860" s="329" t="s">
        <v>1474</v>
      </c>
      <c r="G860" s="327" t="s">
        <v>421</v>
      </c>
      <c r="H860" s="318" t="s">
        <v>416</v>
      </c>
      <c r="I860" s="319" t="s">
        <v>1470</v>
      </c>
      <c r="J860" s="320">
        <v>1.0</v>
      </c>
    </row>
    <row r="861">
      <c r="A861" s="321"/>
      <c r="B861" s="323" t="s">
        <v>1472</v>
      </c>
      <c r="C861" s="315" t="s">
        <v>396</v>
      </c>
      <c r="D861" s="315" t="s">
        <v>406</v>
      </c>
      <c r="E861" s="316" t="s">
        <v>412</v>
      </c>
      <c r="F861" s="330" t="s">
        <v>1466</v>
      </c>
      <c r="G861" s="327" t="s">
        <v>422</v>
      </c>
      <c r="H861" s="318" t="s">
        <v>415</v>
      </c>
      <c r="I861" s="319" t="s">
        <v>1470</v>
      </c>
      <c r="J861" s="320">
        <v>1.0</v>
      </c>
    </row>
    <row r="862">
      <c r="A862" s="321"/>
      <c r="B862" s="323" t="s">
        <v>1472</v>
      </c>
      <c r="C862" s="315" t="s">
        <v>396</v>
      </c>
      <c r="D862" s="315" t="s">
        <v>406</v>
      </c>
      <c r="E862" s="316" t="s">
        <v>412</v>
      </c>
      <c r="F862" s="330" t="s">
        <v>1467</v>
      </c>
      <c r="G862" s="327" t="s">
        <v>422</v>
      </c>
      <c r="H862" s="318" t="s">
        <v>416</v>
      </c>
      <c r="I862" s="319" t="s">
        <v>1470</v>
      </c>
      <c r="J862" s="320">
        <v>1.0</v>
      </c>
    </row>
    <row r="863">
      <c r="A863" s="312"/>
      <c r="B863" s="37"/>
      <c r="C863" s="37"/>
      <c r="D863" s="37"/>
      <c r="E863" s="37"/>
      <c r="F863" s="37"/>
      <c r="G863" s="79"/>
      <c r="H863" s="79"/>
      <c r="I863" s="173"/>
    </row>
    <row r="864">
      <c r="A864" s="312"/>
      <c r="B864" s="37"/>
      <c r="C864" s="37"/>
      <c r="D864" s="37"/>
      <c r="E864" s="37"/>
      <c r="F864" s="37"/>
      <c r="G864" s="79"/>
      <c r="H864" s="79"/>
      <c r="I864" s="173"/>
    </row>
    <row r="865">
      <c r="A865" s="314">
        <v>146.0</v>
      </c>
      <c r="B865" s="323" t="s">
        <v>1472</v>
      </c>
      <c r="C865" s="315" t="s">
        <v>396</v>
      </c>
      <c r="D865" s="315" t="s">
        <v>406</v>
      </c>
      <c r="E865" s="316" t="s">
        <v>412</v>
      </c>
      <c r="F865" s="329" t="s">
        <v>1473</v>
      </c>
      <c r="G865" s="327" t="s">
        <v>421</v>
      </c>
      <c r="H865" s="318" t="s">
        <v>415</v>
      </c>
      <c r="I865" s="319" t="s">
        <v>1471</v>
      </c>
      <c r="J865" s="320">
        <v>1.0</v>
      </c>
    </row>
    <row r="866">
      <c r="A866" s="321"/>
      <c r="B866" s="323" t="s">
        <v>1472</v>
      </c>
      <c r="C866" s="315" t="s">
        <v>396</v>
      </c>
      <c r="D866" s="315" t="s">
        <v>406</v>
      </c>
      <c r="E866" s="316" t="s">
        <v>412</v>
      </c>
      <c r="F866" s="329" t="s">
        <v>1474</v>
      </c>
      <c r="G866" s="327" t="s">
        <v>421</v>
      </c>
      <c r="H866" s="318" t="s">
        <v>416</v>
      </c>
      <c r="I866" s="319" t="s">
        <v>1471</v>
      </c>
      <c r="J866" s="320">
        <v>2.0</v>
      </c>
    </row>
    <row r="867">
      <c r="A867" s="321"/>
      <c r="B867" s="323" t="s">
        <v>1472</v>
      </c>
      <c r="C867" s="315" t="s">
        <v>396</v>
      </c>
      <c r="D867" s="315" t="s">
        <v>406</v>
      </c>
      <c r="E867" s="316" t="s">
        <v>412</v>
      </c>
      <c r="F867" s="330" t="s">
        <v>1466</v>
      </c>
      <c r="G867" s="327" t="s">
        <v>422</v>
      </c>
      <c r="H867" s="318" t="s">
        <v>415</v>
      </c>
      <c r="I867" s="319" t="s">
        <v>1471</v>
      </c>
      <c r="J867" s="320">
        <v>1.0</v>
      </c>
    </row>
    <row r="868">
      <c r="A868" s="321"/>
      <c r="B868" s="323" t="s">
        <v>1472</v>
      </c>
      <c r="C868" s="315" t="s">
        <v>396</v>
      </c>
      <c r="D868" s="315" t="s">
        <v>406</v>
      </c>
      <c r="E868" s="316" t="s">
        <v>412</v>
      </c>
      <c r="F868" s="330" t="s">
        <v>1467</v>
      </c>
      <c r="G868" s="327" t="s">
        <v>422</v>
      </c>
      <c r="H868" s="318" t="s">
        <v>416</v>
      </c>
      <c r="I868" s="319" t="s">
        <v>1471</v>
      </c>
      <c r="J868" s="320">
        <v>2.0</v>
      </c>
    </row>
    <row r="869">
      <c r="A869" s="312"/>
      <c r="B869" s="37"/>
      <c r="C869" s="37"/>
      <c r="D869" s="37"/>
      <c r="E869" s="37"/>
      <c r="F869" s="37"/>
      <c r="G869" s="79"/>
      <c r="H869" s="79"/>
      <c r="I869" s="173"/>
    </row>
    <row r="870">
      <c r="A870" s="314"/>
      <c r="B870" s="315"/>
      <c r="C870" s="315"/>
      <c r="D870" s="315"/>
      <c r="E870" s="316"/>
      <c r="F870" s="329"/>
      <c r="G870" s="327"/>
      <c r="H870" s="318"/>
      <c r="I870" s="319"/>
      <c r="J870" s="320"/>
    </row>
    <row r="871">
      <c r="A871" s="314">
        <v>147.0</v>
      </c>
      <c r="B871" s="323" t="s">
        <v>1472</v>
      </c>
      <c r="C871" s="315" t="s">
        <v>396</v>
      </c>
      <c r="D871" s="323" t="s">
        <v>408</v>
      </c>
      <c r="E871" s="316" t="s">
        <v>405</v>
      </c>
      <c r="F871" s="305" t="s">
        <v>1462</v>
      </c>
      <c r="G871" s="327" t="s">
        <v>418</v>
      </c>
      <c r="H871" s="318" t="s">
        <v>415</v>
      </c>
      <c r="I871" s="319" t="s">
        <v>106</v>
      </c>
      <c r="J871" s="320">
        <v>2.0</v>
      </c>
    </row>
    <row r="872">
      <c r="A872" s="321"/>
      <c r="B872" s="323" t="s">
        <v>1472</v>
      </c>
      <c r="C872" s="315" t="s">
        <v>396</v>
      </c>
      <c r="D872" s="323" t="s">
        <v>408</v>
      </c>
      <c r="E872" s="316" t="s">
        <v>405</v>
      </c>
      <c r="F872" s="305" t="s">
        <v>1463</v>
      </c>
      <c r="G872" s="327" t="s">
        <v>418</v>
      </c>
      <c r="H872" s="318" t="s">
        <v>416</v>
      </c>
      <c r="I872" s="319" t="s">
        <v>106</v>
      </c>
      <c r="J872" s="320">
        <v>4.0</v>
      </c>
    </row>
    <row r="873">
      <c r="A873" s="321"/>
      <c r="B873" s="323" t="s">
        <v>1472</v>
      </c>
      <c r="C873" s="315" t="s">
        <v>396</v>
      </c>
      <c r="D873" s="323" t="s">
        <v>408</v>
      </c>
      <c r="E873" s="316" t="s">
        <v>405</v>
      </c>
      <c r="F873" s="326" t="s">
        <v>1464</v>
      </c>
      <c r="G873" s="327" t="s">
        <v>420</v>
      </c>
      <c r="H873" s="318" t="s">
        <v>415</v>
      </c>
      <c r="I873" s="319" t="s">
        <v>106</v>
      </c>
      <c r="J873" s="320">
        <v>4.0</v>
      </c>
    </row>
    <row r="874">
      <c r="A874" s="321"/>
      <c r="B874" s="323" t="s">
        <v>1472</v>
      </c>
      <c r="C874" s="315" t="s">
        <v>396</v>
      </c>
      <c r="D874" s="323" t="s">
        <v>408</v>
      </c>
      <c r="E874" s="316" t="s">
        <v>405</v>
      </c>
      <c r="F874" s="326" t="s">
        <v>1465</v>
      </c>
      <c r="G874" s="327" t="s">
        <v>420</v>
      </c>
      <c r="H874" s="318" t="s">
        <v>416</v>
      </c>
      <c r="I874" s="319" t="s">
        <v>106</v>
      </c>
      <c r="J874" s="320">
        <v>4.0</v>
      </c>
    </row>
    <row r="875">
      <c r="A875" s="312"/>
      <c r="B875" s="37"/>
      <c r="C875" s="37"/>
      <c r="D875" s="37"/>
      <c r="E875" s="37"/>
      <c r="F875" s="37"/>
      <c r="G875" s="79"/>
      <c r="H875" s="79"/>
      <c r="I875" s="173"/>
    </row>
    <row r="876">
      <c r="A876" s="314">
        <v>148.0</v>
      </c>
      <c r="B876" s="315" t="s">
        <v>1472</v>
      </c>
      <c r="C876" s="315" t="s">
        <v>396</v>
      </c>
      <c r="D876" s="315" t="s">
        <v>408</v>
      </c>
      <c r="E876" s="316" t="s">
        <v>405</v>
      </c>
      <c r="F876" s="331" t="s">
        <v>1462</v>
      </c>
      <c r="G876" s="327" t="s">
        <v>418</v>
      </c>
      <c r="H876" s="318" t="s">
        <v>415</v>
      </c>
      <c r="I876" s="316" t="s">
        <v>229</v>
      </c>
      <c r="J876" s="320">
        <v>5.0</v>
      </c>
    </row>
    <row r="877">
      <c r="A877" s="321"/>
      <c r="B877" s="315" t="s">
        <v>1472</v>
      </c>
      <c r="C877" s="315" t="s">
        <v>396</v>
      </c>
      <c r="D877" s="315" t="s">
        <v>408</v>
      </c>
      <c r="E877" s="316" t="s">
        <v>405</v>
      </c>
      <c r="F877" s="332" t="s">
        <v>1463</v>
      </c>
      <c r="G877" s="327" t="s">
        <v>418</v>
      </c>
      <c r="H877" s="318" t="s">
        <v>416</v>
      </c>
      <c r="I877" s="316" t="s">
        <v>229</v>
      </c>
      <c r="J877" s="320">
        <v>5.0</v>
      </c>
    </row>
    <row r="878">
      <c r="A878" s="321"/>
      <c r="B878" s="315" t="s">
        <v>1472</v>
      </c>
      <c r="C878" s="315" t="s">
        <v>396</v>
      </c>
      <c r="D878" s="315" t="s">
        <v>408</v>
      </c>
      <c r="E878" s="316" t="s">
        <v>405</v>
      </c>
      <c r="F878" s="329" t="s">
        <v>1464</v>
      </c>
      <c r="G878" s="327" t="s">
        <v>420</v>
      </c>
      <c r="H878" s="318" t="s">
        <v>415</v>
      </c>
      <c r="I878" s="316" t="s">
        <v>229</v>
      </c>
      <c r="J878" s="320">
        <v>5.0</v>
      </c>
    </row>
    <row r="879">
      <c r="A879" s="321"/>
      <c r="B879" s="315" t="s">
        <v>1472</v>
      </c>
      <c r="C879" s="315" t="s">
        <v>396</v>
      </c>
      <c r="D879" s="315" t="s">
        <v>408</v>
      </c>
      <c r="E879" s="316" t="s">
        <v>405</v>
      </c>
      <c r="F879" s="329" t="s">
        <v>1465</v>
      </c>
      <c r="G879" s="327" t="s">
        <v>420</v>
      </c>
      <c r="H879" s="318" t="s">
        <v>416</v>
      </c>
      <c r="I879" s="316" t="s">
        <v>229</v>
      </c>
      <c r="J879" s="320">
        <v>3.0</v>
      </c>
    </row>
    <row r="880">
      <c r="A880" s="312"/>
      <c r="B880" s="37"/>
      <c r="C880" s="37"/>
      <c r="D880" s="37"/>
      <c r="E880" s="37"/>
      <c r="F880" s="37"/>
      <c r="G880" s="79"/>
      <c r="H880" s="79"/>
      <c r="I880" s="173"/>
    </row>
    <row r="881">
      <c r="A881" s="314">
        <v>149.0</v>
      </c>
      <c r="B881" s="315" t="s">
        <v>1472</v>
      </c>
      <c r="C881" s="315" t="s">
        <v>396</v>
      </c>
      <c r="D881" s="315" t="s">
        <v>408</v>
      </c>
      <c r="E881" s="316" t="s">
        <v>407</v>
      </c>
      <c r="F881" s="331" t="s">
        <v>1464</v>
      </c>
      <c r="G881" s="327" t="s">
        <v>420</v>
      </c>
      <c r="H881" s="318" t="s">
        <v>415</v>
      </c>
      <c r="I881" s="316">
        <v>60133.0</v>
      </c>
      <c r="J881" s="320">
        <v>13.0</v>
      </c>
    </row>
    <row r="882">
      <c r="A882" s="321"/>
      <c r="B882" s="315" t="s">
        <v>1472</v>
      </c>
      <c r="C882" s="315" t="s">
        <v>396</v>
      </c>
      <c r="D882" s="315" t="s">
        <v>408</v>
      </c>
      <c r="E882" s="316" t="s">
        <v>407</v>
      </c>
      <c r="F882" s="332" t="s">
        <v>1463</v>
      </c>
      <c r="G882" s="327" t="s">
        <v>418</v>
      </c>
      <c r="H882" s="318" t="s">
        <v>416</v>
      </c>
      <c r="I882" s="316">
        <v>60133.0</v>
      </c>
      <c r="J882" s="320">
        <v>16.0</v>
      </c>
    </row>
    <row r="883">
      <c r="A883" s="321"/>
      <c r="B883" s="315" t="s">
        <v>1472</v>
      </c>
      <c r="C883" s="315" t="s">
        <v>396</v>
      </c>
      <c r="D883" s="315" t="s">
        <v>408</v>
      </c>
      <c r="E883" s="316" t="s">
        <v>407</v>
      </c>
      <c r="F883" s="329" t="s">
        <v>1464</v>
      </c>
      <c r="G883" s="327" t="s">
        <v>420</v>
      </c>
      <c r="H883" s="318" t="s">
        <v>415</v>
      </c>
      <c r="I883" s="316">
        <v>60133.0</v>
      </c>
      <c r="J883" s="320">
        <v>13.0</v>
      </c>
    </row>
    <row r="884">
      <c r="A884" s="321"/>
      <c r="B884" s="315" t="s">
        <v>1472</v>
      </c>
      <c r="C884" s="315" t="s">
        <v>396</v>
      </c>
      <c r="D884" s="315" t="s">
        <v>408</v>
      </c>
      <c r="E884" s="316" t="s">
        <v>407</v>
      </c>
      <c r="F884" s="329" t="s">
        <v>1465</v>
      </c>
      <c r="G884" s="327" t="s">
        <v>420</v>
      </c>
      <c r="H884" s="318" t="s">
        <v>416</v>
      </c>
      <c r="I884" s="316">
        <v>60133.0</v>
      </c>
      <c r="J884" s="320">
        <v>17.0</v>
      </c>
    </row>
    <row r="885">
      <c r="A885" s="312"/>
      <c r="B885" s="37"/>
      <c r="C885" s="37"/>
      <c r="D885" s="37"/>
      <c r="E885" s="37"/>
      <c r="F885" s="37"/>
      <c r="G885" s="79"/>
      <c r="H885" s="79"/>
      <c r="I885" s="173"/>
    </row>
    <row r="886">
      <c r="A886" s="314">
        <v>150.0</v>
      </c>
      <c r="B886" s="315" t="s">
        <v>1472</v>
      </c>
      <c r="C886" s="315" t="s">
        <v>396</v>
      </c>
      <c r="D886" s="315" t="s">
        <v>408</v>
      </c>
      <c r="E886" s="316" t="s">
        <v>407</v>
      </c>
      <c r="F886" s="331" t="s">
        <v>1462</v>
      </c>
      <c r="G886" s="327" t="s">
        <v>418</v>
      </c>
      <c r="H886" s="318" t="s">
        <v>415</v>
      </c>
      <c r="I886" s="316">
        <v>601331.0</v>
      </c>
      <c r="J886" s="320">
        <v>7.0</v>
      </c>
    </row>
    <row r="887">
      <c r="A887" s="321"/>
      <c r="B887" s="315" t="s">
        <v>1472</v>
      </c>
      <c r="C887" s="315" t="s">
        <v>396</v>
      </c>
      <c r="D887" s="315" t="s">
        <v>408</v>
      </c>
      <c r="E887" s="316" t="s">
        <v>407</v>
      </c>
      <c r="F887" s="332" t="s">
        <v>1463</v>
      </c>
      <c r="G887" s="327" t="s">
        <v>418</v>
      </c>
      <c r="H887" s="318" t="s">
        <v>416</v>
      </c>
      <c r="I887" s="316">
        <v>601331.0</v>
      </c>
      <c r="J887" s="320">
        <v>5.0</v>
      </c>
    </row>
    <row r="888">
      <c r="A888" s="321"/>
      <c r="B888" s="315" t="s">
        <v>1472</v>
      </c>
      <c r="C888" s="315" t="s">
        <v>396</v>
      </c>
      <c r="D888" s="315" t="s">
        <v>408</v>
      </c>
      <c r="E888" s="316" t="s">
        <v>407</v>
      </c>
      <c r="F888" s="329" t="s">
        <v>1464</v>
      </c>
      <c r="G888" s="327" t="s">
        <v>420</v>
      </c>
      <c r="H888" s="318" t="s">
        <v>415</v>
      </c>
      <c r="I888" s="316">
        <v>601331.0</v>
      </c>
      <c r="J888" s="320">
        <v>7.0</v>
      </c>
    </row>
    <row r="889">
      <c r="A889" s="321"/>
      <c r="B889" s="315" t="s">
        <v>1472</v>
      </c>
      <c r="C889" s="315" t="s">
        <v>396</v>
      </c>
      <c r="D889" s="315" t="s">
        <v>408</v>
      </c>
      <c r="E889" s="316" t="s">
        <v>407</v>
      </c>
      <c r="F889" s="329" t="s">
        <v>1465</v>
      </c>
      <c r="G889" s="327" t="s">
        <v>420</v>
      </c>
      <c r="H889" s="318" t="s">
        <v>416</v>
      </c>
      <c r="I889" s="316">
        <v>601331.0</v>
      </c>
      <c r="J889" s="320">
        <v>4.0</v>
      </c>
    </row>
    <row r="890">
      <c r="A890" s="312"/>
      <c r="B890" s="37"/>
      <c r="C890" s="37"/>
      <c r="D890" s="37"/>
      <c r="E890" s="37"/>
      <c r="F890" s="37"/>
      <c r="G890" s="79"/>
      <c r="H890" s="79"/>
      <c r="I890" s="173"/>
    </row>
    <row r="891">
      <c r="A891" s="312"/>
      <c r="B891" s="37"/>
      <c r="C891" s="37"/>
      <c r="D891" s="37"/>
      <c r="E891" s="37"/>
      <c r="F891" s="37"/>
      <c r="G891" s="79"/>
      <c r="H891" s="79"/>
      <c r="I891" s="173"/>
    </row>
    <row r="892">
      <c r="A892" s="314">
        <v>151.0</v>
      </c>
      <c r="B892" s="315" t="s">
        <v>1472</v>
      </c>
      <c r="C892" s="315" t="s">
        <v>396</v>
      </c>
      <c r="D892" s="315" t="s">
        <v>408</v>
      </c>
      <c r="E892" s="316" t="s">
        <v>407</v>
      </c>
      <c r="F892" s="331" t="s">
        <v>1462</v>
      </c>
      <c r="G892" s="327" t="s">
        <v>418</v>
      </c>
      <c r="H892" s="318" t="s">
        <v>415</v>
      </c>
      <c r="I892" s="316">
        <v>6010231.0</v>
      </c>
      <c r="J892" s="320">
        <v>11.0</v>
      </c>
    </row>
    <row r="893">
      <c r="A893" s="321"/>
      <c r="B893" s="315" t="s">
        <v>1472</v>
      </c>
      <c r="C893" s="315" t="s">
        <v>396</v>
      </c>
      <c r="D893" s="315" t="s">
        <v>408</v>
      </c>
      <c r="E893" s="316" t="s">
        <v>407</v>
      </c>
      <c r="F893" s="332" t="s">
        <v>1463</v>
      </c>
      <c r="G893" s="327" t="s">
        <v>418</v>
      </c>
      <c r="H893" s="318" t="s">
        <v>416</v>
      </c>
      <c r="I893" s="316">
        <v>6010231.0</v>
      </c>
      <c r="J893" s="320">
        <v>12.0</v>
      </c>
    </row>
    <row r="894">
      <c r="A894" s="321"/>
      <c r="B894" s="315" t="s">
        <v>1472</v>
      </c>
      <c r="C894" s="315" t="s">
        <v>396</v>
      </c>
      <c r="D894" s="315" t="s">
        <v>408</v>
      </c>
      <c r="E894" s="316" t="s">
        <v>407</v>
      </c>
      <c r="F894" s="329" t="s">
        <v>1464</v>
      </c>
      <c r="G894" s="327" t="s">
        <v>420</v>
      </c>
      <c r="H894" s="318" t="s">
        <v>415</v>
      </c>
      <c r="I894" s="316">
        <v>6010231.0</v>
      </c>
      <c r="J894" s="320">
        <v>5.0</v>
      </c>
    </row>
    <row r="895">
      <c r="A895" s="321"/>
      <c r="B895" s="315" t="s">
        <v>1472</v>
      </c>
      <c r="C895" s="315" t="s">
        <v>396</v>
      </c>
      <c r="D895" s="315" t="s">
        <v>408</v>
      </c>
      <c r="E895" s="316" t="s">
        <v>407</v>
      </c>
      <c r="F895" s="329" t="s">
        <v>1465</v>
      </c>
      <c r="G895" s="327" t="s">
        <v>420</v>
      </c>
      <c r="H895" s="318" t="s">
        <v>416</v>
      </c>
      <c r="I895" s="316">
        <v>6010231.0</v>
      </c>
      <c r="J895" s="320">
        <v>7.0</v>
      </c>
    </row>
    <row r="896">
      <c r="A896" s="312"/>
      <c r="B896" s="37"/>
      <c r="C896" s="37"/>
      <c r="D896" s="37"/>
      <c r="E896" s="37"/>
      <c r="F896" s="37"/>
      <c r="G896" s="79"/>
      <c r="H896" s="79"/>
      <c r="I896" s="173"/>
    </row>
    <row r="897">
      <c r="A897" s="312"/>
      <c r="B897" s="37"/>
      <c r="C897" s="37"/>
      <c r="D897" s="37"/>
      <c r="E897" s="37"/>
      <c r="F897" s="37"/>
      <c r="G897" s="79"/>
      <c r="H897" s="79"/>
      <c r="I897" s="173"/>
    </row>
    <row r="898">
      <c r="A898" s="314">
        <v>152.0</v>
      </c>
      <c r="B898" s="315" t="s">
        <v>1472</v>
      </c>
      <c r="C898" s="315" t="s">
        <v>396</v>
      </c>
      <c r="D898" s="315" t="s">
        <v>408</v>
      </c>
      <c r="E898" s="316" t="s">
        <v>407</v>
      </c>
      <c r="F898" s="332" t="s">
        <v>1462</v>
      </c>
      <c r="G898" s="327" t="s">
        <v>418</v>
      </c>
      <c r="H898" s="318" t="s">
        <v>415</v>
      </c>
      <c r="I898" s="316" t="s">
        <v>231</v>
      </c>
      <c r="J898" s="320">
        <v>6.0</v>
      </c>
    </row>
    <row r="899">
      <c r="A899" s="321"/>
      <c r="B899" s="315" t="s">
        <v>1472</v>
      </c>
      <c r="C899" s="315" t="s">
        <v>396</v>
      </c>
      <c r="D899" s="315" t="s">
        <v>408</v>
      </c>
      <c r="E899" s="316" t="s">
        <v>407</v>
      </c>
      <c r="F899" s="332" t="s">
        <v>1463</v>
      </c>
      <c r="G899" s="327" t="s">
        <v>418</v>
      </c>
      <c r="H899" s="318" t="s">
        <v>416</v>
      </c>
      <c r="I899" s="316" t="s">
        <v>231</v>
      </c>
      <c r="J899" s="320">
        <v>2.0</v>
      </c>
    </row>
    <row r="900">
      <c r="A900" s="321"/>
      <c r="B900" s="315" t="s">
        <v>1472</v>
      </c>
      <c r="C900" s="315" t="s">
        <v>396</v>
      </c>
      <c r="D900" s="315" t="s">
        <v>408</v>
      </c>
      <c r="E900" s="316" t="s">
        <v>407</v>
      </c>
      <c r="F900" s="329" t="s">
        <v>1464</v>
      </c>
      <c r="G900" s="327" t="s">
        <v>420</v>
      </c>
      <c r="H900" s="318" t="s">
        <v>415</v>
      </c>
      <c r="I900" s="316" t="s">
        <v>231</v>
      </c>
      <c r="J900" s="320">
        <v>1.0</v>
      </c>
    </row>
    <row r="901">
      <c r="A901" s="321"/>
      <c r="B901" s="315" t="s">
        <v>1472</v>
      </c>
      <c r="C901" s="315" t="s">
        <v>396</v>
      </c>
      <c r="D901" s="315" t="s">
        <v>408</v>
      </c>
      <c r="E901" s="316" t="s">
        <v>407</v>
      </c>
      <c r="F901" s="329" t="s">
        <v>1465</v>
      </c>
      <c r="G901" s="327" t="s">
        <v>420</v>
      </c>
      <c r="H901" s="318" t="s">
        <v>416</v>
      </c>
      <c r="I901" s="316" t="s">
        <v>231</v>
      </c>
      <c r="J901" s="320">
        <v>2.0</v>
      </c>
    </row>
    <row r="902">
      <c r="A902" s="312"/>
      <c r="B902" s="37"/>
      <c r="C902" s="37"/>
      <c r="D902" s="37"/>
      <c r="E902" s="37"/>
      <c r="F902" s="37"/>
      <c r="G902" s="79"/>
      <c r="H902" s="79"/>
      <c r="I902" s="173"/>
    </row>
    <row r="903">
      <c r="A903" s="314">
        <v>153.0</v>
      </c>
      <c r="B903" s="315" t="s">
        <v>1472</v>
      </c>
      <c r="C903" s="315" t="s">
        <v>396</v>
      </c>
      <c r="D903" s="315" t="s">
        <v>408</v>
      </c>
      <c r="E903" s="316" t="s">
        <v>407</v>
      </c>
      <c r="F903" s="332" t="s">
        <v>1462</v>
      </c>
      <c r="G903" s="327" t="s">
        <v>418</v>
      </c>
      <c r="H903" s="318" t="s">
        <v>415</v>
      </c>
      <c r="I903" s="316" t="s">
        <v>29</v>
      </c>
      <c r="J903" s="320">
        <v>10.0</v>
      </c>
    </row>
    <row r="904">
      <c r="A904" s="321"/>
      <c r="B904" s="315" t="s">
        <v>1472</v>
      </c>
      <c r="C904" s="315" t="s">
        <v>396</v>
      </c>
      <c r="D904" s="315" t="s">
        <v>408</v>
      </c>
      <c r="E904" s="316" t="s">
        <v>407</v>
      </c>
      <c r="F904" s="332" t="s">
        <v>1463</v>
      </c>
      <c r="G904" s="327" t="s">
        <v>418</v>
      </c>
      <c r="H904" s="318" t="s">
        <v>416</v>
      </c>
      <c r="I904" s="316" t="s">
        <v>29</v>
      </c>
      <c r="J904" s="320">
        <v>16.0</v>
      </c>
    </row>
    <row r="905">
      <c r="A905" s="321"/>
      <c r="B905" s="315" t="s">
        <v>1472</v>
      </c>
      <c r="C905" s="315" t="s">
        <v>396</v>
      </c>
      <c r="D905" s="315" t="s">
        <v>408</v>
      </c>
      <c r="E905" s="316" t="s">
        <v>407</v>
      </c>
      <c r="F905" s="329" t="s">
        <v>1464</v>
      </c>
      <c r="G905" s="327" t="s">
        <v>420</v>
      </c>
      <c r="H905" s="318" t="s">
        <v>415</v>
      </c>
      <c r="I905" s="316" t="s">
        <v>29</v>
      </c>
      <c r="J905" s="320">
        <v>17.0</v>
      </c>
    </row>
    <row r="906">
      <c r="A906" s="321"/>
      <c r="B906" s="315" t="s">
        <v>1472</v>
      </c>
      <c r="C906" s="315" t="s">
        <v>396</v>
      </c>
      <c r="D906" s="315" t="s">
        <v>408</v>
      </c>
      <c r="E906" s="316" t="s">
        <v>407</v>
      </c>
      <c r="F906" s="329" t="s">
        <v>1465</v>
      </c>
      <c r="G906" s="327" t="s">
        <v>420</v>
      </c>
      <c r="H906" s="318" t="s">
        <v>416</v>
      </c>
      <c r="I906" s="316" t="s">
        <v>29</v>
      </c>
      <c r="J906" s="320">
        <v>7.0</v>
      </c>
    </row>
    <row r="907">
      <c r="A907" s="312"/>
      <c r="B907" s="37"/>
      <c r="C907" s="37"/>
      <c r="D907" s="37"/>
      <c r="E907" s="37"/>
      <c r="F907" s="37"/>
      <c r="G907" s="79"/>
      <c r="H907" s="79"/>
      <c r="I907" s="173"/>
    </row>
    <row r="908">
      <c r="A908" s="312"/>
      <c r="B908" s="37"/>
      <c r="C908" s="37"/>
      <c r="D908" s="37"/>
      <c r="E908" s="37"/>
      <c r="F908" s="37"/>
      <c r="G908" s="79"/>
      <c r="H908" s="79"/>
      <c r="I908" s="173"/>
    </row>
    <row r="909">
      <c r="A909" s="314">
        <v>154.0</v>
      </c>
      <c r="B909" s="315" t="s">
        <v>1472</v>
      </c>
      <c r="C909" s="315" t="s">
        <v>396</v>
      </c>
      <c r="D909" s="315" t="s">
        <v>408</v>
      </c>
      <c r="E909" s="316" t="s">
        <v>409</v>
      </c>
      <c r="F909" s="332" t="s">
        <v>1462</v>
      </c>
      <c r="G909" s="327" t="s">
        <v>418</v>
      </c>
      <c r="H909" s="318" t="s">
        <v>415</v>
      </c>
      <c r="I909" s="316" t="s">
        <v>55</v>
      </c>
      <c r="J909" s="320">
        <v>20.0</v>
      </c>
    </row>
    <row r="910">
      <c r="A910" s="321"/>
      <c r="B910" s="315" t="s">
        <v>1472</v>
      </c>
      <c r="C910" s="315" t="s">
        <v>396</v>
      </c>
      <c r="D910" s="315" t="s">
        <v>408</v>
      </c>
      <c r="E910" s="316" t="s">
        <v>409</v>
      </c>
      <c r="F910" s="332" t="s">
        <v>1463</v>
      </c>
      <c r="G910" s="327" t="s">
        <v>418</v>
      </c>
      <c r="H910" s="318" t="s">
        <v>416</v>
      </c>
      <c r="I910" s="316" t="s">
        <v>55</v>
      </c>
      <c r="J910" s="320">
        <v>17.0</v>
      </c>
    </row>
    <row r="911">
      <c r="A911" s="321"/>
      <c r="B911" s="315" t="s">
        <v>1472</v>
      </c>
      <c r="C911" s="315" t="s">
        <v>396</v>
      </c>
      <c r="D911" s="315" t="s">
        <v>408</v>
      </c>
      <c r="E911" s="316" t="s">
        <v>409</v>
      </c>
      <c r="F911" s="329" t="s">
        <v>1464</v>
      </c>
      <c r="G911" s="327" t="s">
        <v>420</v>
      </c>
      <c r="H911" s="318" t="s">
        <v>415</v>
      </c>
      <c r="I911" s="316" t="s">
        <v>55</v>
      </c>
      <c r="J911" s="320">
        <v>15.0</v>
      </c>
    </row>
    <row r="912">
      <c r="A912" s="321"/>
      <c r="B912" s="315" t="s">
        <v>1472</v>
      </c>
      <c r="C912" s="315" t="s">
        <v>396</v>
      </c>
      <c r="D912" s="315" t="s">
        <v>408</v>
      </c>
      <c r="E912" s="316" t="s">
        <v>409</v>
      </c>
      <c r="F912" s="329" t="s">
        <v>1465</v>
      </c>
      <c r="G912" s="327" t="s">
        <v>420</v>
      </c>
      <c r="H912" s="318" t="s">
        <v>416</v>
      </c>
      <c r="I912" s="316" t="s">
        <v>55</v>
      </c>
      <c r="J912" s="320">
        <v>14.0</v>
      </c>
    </row>
    <row r="913">
      <c r="A913" s="312"/>
      <c r="B913" s="37"/>
      <c r="C913" s="37"/>
      <c r="D913" s="37"/>
      <c r="E913" s="37"/>
      <c r="F913" s="37"/>
      <c r="G913" s="79"/>
      <c r="H913" s="79"/>
      <c r="I913" s="173"/>
    </row>
    <row r="914">
      <c r="A914" s="314">
        <v>155.0</v>
      </c>
      <c r="B914" s="315" t="s">
        <v>1472</v>
      </c>
      <c r="C914" s="315" t="s">
        <v>396</v>
      </c>
      <c r="D914" s="315" t="s">
        <v>408</v>
      </c>
      <c r="E914" s="316" t="s">
        <v>410</v>
      </c>
      <c r="F914" s="332" t="s">
        <v>1462</v>
      </c>
      <c r="G914" s="327" t="s">
        <v>418</v>
      </c>
      <c r="H914" s="318" t="s">
        <v>415</v>
      </c>
      <c r="I914" s="316" t="s">
        <v>338</v>
      </c>
      <c r="J914" s="320">
        <v>6.0</v>
      </c>
    </row>
    <row r="915">
      <c r="A915" s="321"/>
      <c r="B915" s="315" t="s">
        <v>1472</v>
      </c>
      <c r="C915" s="315" t="s">
        <v>396</v>
      </c>
      <c r="D915" s="315" t="s">
        <v>408</v>
      </c>
      <c r="E915" s="316" t="s">
        <v>410</v>
      </c>
      <c r="F915" s="332" t="s">
        <v>1463</v>
      </c>
      <c r="G915" s="327" t="s">
        <v>418</v>
      </c>
      <c r="H915" s="318" t="s">
        <v>416</v>
      </c>
      <c r="I915" s="316" t="s">
        <v>338</v>
      </c>
      <c r="J915" s="320">
        <v>6.0</v>
      </c>
    </row>
    <row r="916">
      <c r="A916" s="321"/>
      <c r="B916" s="315" t="s">
        <v>1472</v>
      </c>
      <c r="C916" s="315" t="s">
        <v>396</v>
      </c>
      <c r="D916" s="315" t="s">
        <v>408</v>
      </c>
      <c r="E916" s="316" t="s">
        <v>410</v>
      </c>
      <c r="F916" s="329" t="s">
        <v>1464</v>
      </c>
      <c r="G916" s="327" t="s">
        <v>420</v>
      </c>
      <c r="H916" s="318" t="s">
        <v>415</v>
      </c>
      <c r="I916" s="316" t="s">
        <v>338</v>
      </c>
      <c r="J916" s="320">
        <v>6.0</v>
      </c>
    </row>
    <row r="917">
      <c r="A917" s="321"/>
      <c r="B917" s="315" t="s">
        <v>1472</v>
      </c>
      <c r="C917" s="315" t="s">
        <v>396</v>
      </c>
      <c r="D917" s="315" t="s">
        <v>408</v>
      </c>
      <c r="E917" s="316" t="s">
        <v>410</v>
      </c>
      <c r="F917" s="329" t="s">
        <v>1465</v>
      </c>
      <c r="G917" s="327" t="s">
        <v>420</v>
      </c>
      <c r="H917" s="318" t="s">
        <v>416</v>
      </c>
      <c r="I917" s="316" t="s">
        <v>338</v>
      </c>
      <c r="J917" s="320">
        <v>8.0</v>
      </c>
    </row>
    <row r="918">
      <c r="A918" s="312"/>
      <c r="B918" s="37"/>
      <c r="C918" s="37"/>
      <c r="D918" s="37"/>
      <c r="E918" s="37"/>
      <c r="F918" s="37"/>
      <c r="G918" s="79"/>
      <c r="H918" s="79"/>
      <c r="I918" s="173"/>
    </row>
    <row r="919">
      <c r="A919" s="314">
        <v>156.0</v>
      </c>
      <c r="B919" s="315" t="s">
        <v>1472</v>
      </c>
      <c r="C919" s="315" t="s">
        <v>396</v>
      </c>
      <c r="D919" s="315" t="s">
        <v>408</v>
      </c>
      <c r="E919" s="316" t="s">
        <v>410</v>
      </c>
      <c r="F919" s="332" t="s">
        <v>1462</v>
      </c>
      <c r="G919" s="327" t="s">
        <v>418</v>
      </c>
      <c r="H919" s="318" t="s">
        <v>415</v>
      </c>
      <c r="I919" s="316" t="s">
        <v>339</v>
      </c>
      <c r="J919" s="320">
        <v>1.0</v>
      </c>
    </row>
    <row r="920">
      <c r="A920" s="321"/>
      <c r="B920" s="315" t="s">
        <v>1472</v>
      </c>
      <c r="C920" s="315" t="s">
        <v>396</v>
      </c>
      <c r="D920" s="315" t="s">
        <v>408</v>
      </c>
      <c r="E920" s="316" t="s">
        <v>410</v>
      </c>
      <c r="F920" s="332" t="s">
        <v>1463</v>
      </c>
      <c r="G920" s="327" t="s">
        <v>418</v>
      </c>
      <c r="H920" s="318" t="s">
        <v>416</v>
      </c>
      <c r="I920" s="316" t="s">
        <v>339</v>
      </c>
      <c r="J920" s="320">
        <v>2.0</v>
      </c>
    </row>
    <row r="921">
      <c r="A921" s="321"/>
      <c r="B921" s="315" t="s">
        <v>1472</v>
      </c>
      <c r="C921" s="315" t="s">
        <v>396</v>
      </c>
      <c r="D921" s="315" t="s">
        <v>408</v>
      </c>
      <c r="E921" s="316" t="s">
        <v>410</v>
      </c>
      <c r="F921" s="329" t="s">
        <v>1464</v>
      </c>
      <c r="G921" s="327" t="s">
        <v>420</v>
      </c>
      <c r="H921" s="318" t="s">
        <v>415</v>
      </c>
      <c r="I921" s="316" t="s">
        <v>339</v>
      </c>
      <c r="J921" s="320">
        <v>2.0</v>
      </c>
    </row>
    <row r="922">
      <c r="A922" s="321"/>
      <c r="B922" s="315" t="s">
        <v>1472</v>
      </c>
      <c r="C922" s="315" t="s">
        <v>396</v>
      </c>
      <c r="D922" s="315" t="s">
        <v>408</v>
      </c>
      <c r="E922" s="316" t="s">
        <v>410</v>
      </c>
      <c r="F922" s="329" t="s">
        <v>1465</v>
      </c>
      <c r="G922" s="327" t="s">
        <v>420</v>
      </c>
      <c r="H922" s="318" t="s">
        <v>416</v>
      </c>
      <c r="I922" s="316" t="s">
        <v>339</v>
      </c>
      <c r="J922" s="320">
        <v>2.0</v>
      </c>
    </row>
    <row r="923">
      <c r="A923" s="312"/>
      <c r="B923" s="37"/>
      <c r="C923" s="37"/>
      <c r="D923" s="37"/>
      <c r="E923" s="37"/>
      <c r="F923" s="37"/>
      <c r="G923" s="79"/>
      <c r="H923" s="79"/>
      <c r="I923" s="173"/>
    </row>
    <row r="924">
      <c r="A924" s="312"/>
      <c r="B924" s="37"/>
      <c r="C924" s="37"/>
      <c r="D924" s="37"/>
      <c r="E924" s="37"/>
      <c r="F924" s="37"/>
      <c r="G924" s="79"/>
      <c r="H924" s="79"/>
      <c r="I924" s="173"/>
    </row>
    <row r="925">
      <c r="A925" s="314">
        <v>157.0</v>
      </c>
      <c r="B925" s="315" t="s">
        <v>1472</v>
      </c>
      <c r="C925" s="315" t="s">
        <v>396</v>
      </c>
      <c r="D925" s="315" t="s">
        <v>408</v>
      </c>
      <c r="E925" s="316" t="s">
        <v>412</v>
      </c>
      <c r="F925" s="332" t="s">
        <v>1462</v>
      </c>
      <c r="G925" s="327" t="s">
        <v>418</v>
      </c>
      <c r="H925" s="318" t="s">
        <v>415</v>
      </c>
      <c r="I925" s="316" t="s">
        <v>168</v>
      </c>
      <c r="J925" s="320">
        <v>4.0</v>
      </c>
    </row>
    <row r="926">
      <c r="A926" s="321"/>
      <c r="B926" s="315" t="s">
        <v>1472</v>
      </c>
      <c r="C926" s="315" t="s">
        <v>396</v>
      </c>
      <c r="D926" s="315" t="s">
        <v>408</v>
      </c>
      <c r="E926" s="316" t="s">
        <v>412</v>
      </c>
      <c r="F926" s="332" t="s">
        <v>1463</v>
      </c>
      <c r="G926" s="327" t="s">
        <v>418</v>
      </c>
      <c r="H926" s="318" t="s">
        <v>416</v>
      </c>
      <c r="I926" s="316" t="s">
        <v>168</v>
      </c>
      <c r="J926" s="320">
        <v>5.0</v>
      </c>
    </row>
    <row r="927">
      <c r="A927" s="321"/>
      <c r="B927" s="315" t="s">
        <v>1472</v>
      </c>
      <c r="C927" s="315" t="s">
        <v>396</v>
      </c>
      <c r="D927" s="315" t="s">
        <v>408</v>
      </c>
      <c r="E927" s="316" t="s">
        <v>412</v>
      </c>
      <c r="F927" s="329" t="s">
        <v>1464</v>
      </c>
      <c r="G927" s="327" t="s">
        <v>420</v>
      </c>
      <c r="H927" s="318" t="s">
        <v>415</v>
      </c>
      <c r="I927" s="316" t="s">
        <v>168</v>
      </c>
      <c r="J927" s="320">
        <v>9.0</v>
      </c>
    </row>
    <row r="928">
      <c r="A928" s="321"/>
      <c r="B928" s="315" t="s">
        <v>1472</v>
      </c>
      <c r="C928" s="315" t="s">
        <v>396</v>
      </c>
      <c r="D928" s="315" t="s">
        <v>408</v>
      </c>
      <c r="E928" s="316" t="s">
        <v>412</v>
      </c>
      <c r="F928" s="329" t="s">
        <v>1465</v>
      </c>
      <c r="G928" s="327" t="s">
        <v>420</v>
      </c>
      <c r="H928" s="318" t="s">
        <v>416</v>
      </c>
      <c r="I928" s="316" t="s">
        <v>168</v>
      </c>
      <c r="J928" s="320">
        <v>9.0</v>
      </c>
    </row>
    <row r="929">
      <c r="A929" s="312"/>
      <c r="B929" s="37"/>
      <c r="C929" s="37"/>
      <c r="D929" s="37"/>
      <c r="E929" s="37"/>
      <c r="F929" s="37"/>
      <c r="G929" s="79"/>
      <c r="H929" s="79"/>
      <c r="I929" s="173"/>
    </row>
    <row r="930">
      <c r="A930" s="312"/>
      <c r="B930" s="37"/>
      <c r="C930" s="37"/>
      <c r="D930" s="37"/>
      <c r="E930" s="37"/>
      <c r="F930" s="37"/>
      <c r="G930" s="79"/>
      <c r="H930" s="79"/>
      <c r="I930" s="173"/>
    </row>
    <row r="931">
      <c r="A931" s="314">
        <v>158.0</v>
      </c>
      <c r="B931" s="315" t="s">
        <v>1472</v>
      </c>
      <c r="C931" s="315" t="s">
        <v>396</v>
      </c>
      <c r="D931" s="315" t="s">
        <v>408</v>
      </c>
      <c r="E931" s="316" t="s">
        <v>412</v>
      </c>
      <c r="F931" s="332" t="s">
        <v>1462</v>
      </c>
      <c r="G931" s="327" t="s">
        <v>418</v>
      </c>
      <c r="H931" s="318" t="s">
        <v>415</v>
      </c>
      <c r="I931" s="316" t="s">
        <v>171</v>
      </c>
      <c r="J931" s="320">
        <v>0.0</v>
      </c>
    </row>
    <row r="932">
      <c r="A932" s="321"/>
      <c r="B932" s="315" t="s">
        <v>1472</v>
      </c>
      <c r="C932" s="315" t="s">
        <v>396</v>
      </c>
      <c r="D932" s="315" t="s">
        <v>408</v>
      </c>
      <c r="E932" s="316" t="s">
        <v>412</v>
      </c>
      <c r="F932" s="332" t="s">
        <v>1463</v>
      </c>
      <c r="G932" s="327" t="s">
        <v>418</v>
      </c>
      <c r="H932" s="318" t="s">
        <v>416</v>
      </c>
      <c r="I932" s="316" t="s">
        <v>171</v>
      </c>
      <c r="J932" s="320">
        <v>0.0</v>
      </c>
    </row>
    <row r="933">
      <c r="A933" s="321"/>
      <c r="B933" s="315" t="s">
        <v>1472</v>
      </c>
      <c r="C933" s="315" t="s">
        <v>396</v>
      </c>
      <c r="D933" s="315" t="s">
        <v>408</v>
      </c>
      <c r="E933" s="316" t="s">
        <v>412</v>
      </c>
      <c r="F933" s="329" t="s">
        <v>1464</v>
      </c>
      <c r="G933" s="327" t="s">
        <v>420</v>
      </c>
      <c r="H933" s="318" t="s">
        <v>415</v>
      </c>
      <c r="I933" s="316" t="s">
        <v>171</v>
      </c>
      <c r="J933" s="320">
        <v>0.0</v>
      </c>
    </row>
    <row r="934">
      <c r="A934" s="321"/>
      <c r="B934" s="315" t="s">
        <v>1472</v>
      </c>
      <c r="C934" s="315" t="s">
        <v>396</v>
      </c>
      <c r="D934" s="315" t="s">
        <v>408</v>
      </c>
      <c r="E934" s="316" t="s">
        <v>412</v>
      </c>
      <c r="F934" s="329" t="s">
        <v>1465</v>
      </c>
      <c r="G934" s="327" t="s">
        <v>420</v>
      </c>
      <c r="H934" s="318" t="s">
        <v>416</v>
      </c>
      <c r="I934" s="316" t="s">
        <v>171</v>
      </c>
      <c r="J934" s="320">
        <v>0.0</v>
      </c>
    </row>
    <row r="935">
      <c r="A935" s="312"/>
      <c r="B935" s="37"/>
      <c r="C935" s="37"/>
      <c r="D935" s="37"/>
      <c r="E935" s="37"/>
      <c r="F935" s="37"/>
      <c r="G935" s="79"/>
      <c r="H935" s="79"/>
      <c r="I935" s="173"/>
    </row>
    <row r="936">
      <c r="A936" s="312"/>
      <c r="B936" s="37"/>
      <c r="C936" s="37"/>
      <c r="D936" s="37"/>
      <c r="E936" s="37"/>
      <c r="F936" s="37"/>
      <c r="G936" s="79"/>
      <c r="H936" s="79"/>
      <c r="I936" s="173"/>
    </row>
    <row r="937">
      <c r="A937" s="314">
        <v>159.0</v>
      </c>
      <c r="B937" s="315" t="s">
        <v>1472</v>
      </c>
      <c r="C937" s="315" t="s">
        <v>396</v>
      </c>
      <c r="D937" s="315" t="s">
        <v>408</v>
      </c>
      <c r="E937" s="316" t="s">
        <v>412</v>
      </c>
      <c r="F937" s="332" t="s">
        <v>1462</v>
      </c>
      <c r="G937" s="327" t="s">
        <v>418</v>
      </c>
      <c r="H937" s="318" t="s">
        <v>415</v>
      </c>
      <c r="I937" s="316" t="s">
        <v>344</v>
      </c>
      <c r="J937" s="320">
        <v>6.0</v>
      </c>
    </row>
    <row r="938">
      <c r="A938" s="321"/>
      <c r="B938" s="315" t="s">
        <v>1472</v>
      </c>
      <c r="C938" s="315" t="s">
        <v>396</v>
      </c>
      <c r="D938" s="315" t="s">
        <v>408</v>
      </c>
      <c r="E938" s="316" t="s">
        <v>412</v>
      </c>
      <c r="F938" s="332" t="s">
        <v>1463</v>
      </c>
      <c r="G938" s="327" t="s">
        <v>418</v>
      </c>
      <c r="H938" s="318" t="s">
        <v>416</v>
      </c>
      <c r="I938" s="316" t="s">
        <v>344</v>
      </c>
      <c r="J938" s="320">
        <v>16.0</v>
      </c>
    </row>
    <row r="939">
      <c r="A939" s="321"/>
      <c r="B939" s="315" t="s">
        <v>1472</v>
      </c>
      <c r="C939" s="315" t="s">
        <v>396</v>
      </c>
      <c r="D939" s="315" t="s">
        <v>408</v>
      </c>
      <c r="E939" s="316" t="s">
        <v>412</v>
      </c>
      <c r="F939" s="329" t="s">
        <v>1464</v>
      </c>
      <c r="G939" s="327" t="s">
        <v>420</v>
      </c>
      <c r="H939" s="318" t="s">
        <v>415</v>
      </c>
      <c r="I939" s="316" t="s">
        <v>344</v>
      </c>
      <c r="J939" s="320">
        <v>14.0</v>
      </c>
    </row>
    <row r="940">
      <c r="A940" s="321"/>
      <c r="B940" s="315" t="s">
        <v>1472</v>
      </c>
      <c r="C940" s="315" t="s">
        <v>396</v>
      </c>
      <c r="D940" s="315" t="s">
        <v>408</v>
      </c>
      <c r="E940" s="316" t="s">
        <v>412</v>
      </c>
      <c r="F940" s="329" t="s">
        <v>1465</v>
      </c>
      <c r="G940" s="327" t="s">
        <v>420</v>
      </c>
      <c r="H940" s="318" t="s">
        <v>416</v>
      </c>
      <c r="I940" s="316" t="s">
        <v>344</v>
      </c>
      <c r="J940" s="320">
        <v>19.0</v>
      </c>
    </row>
    <row r="941">
      <c r="A941" s="312"/>
      <c r="B941" s="37"/>
      <c r="C941" s="37"/>
      <c r="D941" s="37"/>
      <c r="E941" s="37"/>
      <c r="F941" s="37"/>
      <c r="G941" s="79"/>
      <c r="H941" s="79"/>
      <c r="I941" s="173"/>
    </row>
    <row r="942">
      <c r="A942" s="314">
        <v>160.0</v>
      </c>
      <c r="B942" s="315" t="s">
        <v>1472</v>
      </c>
      <c r="C942" s="315" t="s">
        <v>396</v>
      </c>
      <c r="D942" s="315" t="s">
        <v>408</v>
      </c>
      <c r="E942" s="316" t="s">
        <v>412</v>
      </c>
      <c r="F942" s="332" t="s">
        <v>1462</v>
      </c>
      <c r="G942" s="327" t="s">
        <v>418</v>
      </c>
      <c r="H942" s="318" t="s">
        <v>415</v>
      </c>
      <c r="I942" s="316" t="s">
        <v>304</v>
      </c>
      <c r="J942" s="320">
        <v>5.0</v>
      </c>
    </row>
    <row r="943">
      <c r="A943" s="321"/>
      <c r="B943" s="315" t="s">
        <v>1472</v>
      </c>
      <c r="C943" s="315" t="s">
        <v>396</v>
      </c>
      <c r="D943" s="315" t="s">
        <v>408</v>
      </c>
      <c r="E943" s="316" t="s">
        <v>412</v>
      </c>
      <c r="F943" s="332" t="s">
        <v>1463</v>
      </c>
      <c r="G943" s="327" t="s">
        <v>418</v>
      </c>
      <c r="H943" s="318" t="s">
        <v>416</v>
      </c>
      <c r="I943" s="316" t="s">
        <v>304</v>
      </c>
      <c r="J943" s="320">
        <v>2.0</v>
      </c>
    </row>
    <row r="944">
      <c r="A944" s="321"/>
      <c r="B944" s="315" t="s">
        <v>1472</v>
      </c>
      <c r="C944" s="315" t="s">
        <v>396</v>
      </c>
      <c r="D944" s="315" t="s">
        <v>408</v>
      </c>
      <c r="E944" s="316" t="s">
        <v>412</v>
      </c>
      <c r="F944" s="329" t="s">
        <v>1464</v>
      </c>
      <c r="G944" s="327" t="s">
        <v>420</v>
      </c>
      <c r="H944" s="318" t="s">
        <v>415</v>
      </c>
      <c r="I944" s="316" t="s">
        <v>304</v>
      </c>
      <c r="J944" s="320">
        <v>6.0</v>
      </c>
    </row>
    <row r="945">
      <c r="A945" s="321"/>
      <c r="B945" s="315" t="s">
        <v>1472</v>
      </c>
      <c r="C945" s="315" t="s">
        <v>396</v>
      </c>
      <c r="D945" s="315" t="s">
        <v>408</v>
      </c>
      <c r="E945" s="316" t="s">
        <v>412</v>
      </c>
      <c r="F945" s="329" t="s">
        <v>1465</v>
      </c>
      <c r="G945" s="327" t="s">
        <v>420</v>
      </c>
      <c r="H945" s="318" t="s">
        <v>416</v>
      </c>
      <c r="I945" s="316" t="s">
        <v>304</v>
      </c>
      <c r="J945" s="320">
        <v>4.0</v>
      </c>
    </row>
    <row r="946">
      <c r="A946" s="312"/>
      <c r="B946" s="37"/>
      <c r="C946" s="37"/>
      <c r="D946" s="37"/>
      <c r="E946" s="37"/>
      <c r="F946" s="37"/>
      <c r="G946" s="79"/>
      <c r="H946" s="79"/>
      <c r="I946" s="173"/>
    </row>
    <row r="947">
      <c r="A947" s="312"/>
      <c r="B947" s="37"/>
      <c r="C947" s="37"/>
      <c r="D947" s="37"/>
      <c r="E947" s="37"/>
      <c r="F947" s="37"/>
      <c r="G947" s="79"/>
      <c r="H947" s="79"/>
      <c r="I947" s="173"/>
    </row>
    <row r="948">
      <c r="A948" s="303">
        <v>161.0</v>
      </c>
      <c r="B948" s="199" t="s">
        <v>1472</v>
      </c>
      <c r="C948" s="199" t="s">
        <v>398</v>
      </c>
      <c r="D948" s="199" t="s">
        <v>404</v>
      </c>
      <c r="E948" s="37" t="s">
        <v>405</v>
      </c>
      <c r="F948" s="37"/>
      <c r="G948" s="79"/>
      <c r="H948" s="79"/>
      <c r="I948" s="173">
        <v>50495.0</v>
      </c>
      <c r="J948" s="37">
        <v>0.0</v>
      </c>
    </row>
    <row r="949">
      <c r="A949" s="312"/>
      <c r="B949" s="199" t="s">
        <v>1472</v>
      </c>
      <c r="C949" s="199" t="s">
        <v>398</v>
      </c>
      <c r="D949" s="199" t="s">
        <v>406</v>
      </c>
      <c r="E949" s="37" t="s">
        <v>405</v>
      </c>
      <c r="F949" s="37"/>
      <c r="G949" s="79"/>
      <c r="H949" s="79"/>
      <c r="I949" s="173">
        <v>50495.0</v>
      </c>
      <c r="J949" s="37">
        <v>2.0</v>
      </c>
    </row>
    <row r="950">
      <c r="A950" s="312"/>
      <c r="B950" s="199" t="s">
        <v>1472</v>
      </c>
      <c r="C950" s="199" t="s">
        <v>398</v>
      </c>
      <c r="D950" s="199" t="s">
        <v>408</v>
      </c>
      <c r="E950" s="37" t="s">
        <v>405</v>
      </c>
      <c r="F950" s="37"/>
      <c r="G950" s="79"/>
      <c r="H950" s="79"/>
      <c r="I950" s="173">
        <v>50495.0</v>
      </c>
      <c r="J950" s="37">
        <v>0.0</v>
      </c>
    </row>
    <row r="951">
      <c r="A951" s="312"/>
      <c r="B951" s="37"/>
      <c r="C951" s="37"/>
      <c r="D951" s="37"/>
      <c r="E951" s="37"/>
      <c r="F951" s="37"/>
      <c r="G951" s="79"/>
      <c r="H951" s="79"/>
      <c r="I951" s="173"/>
    </row>
    <row r="952">
      <c r="A952" s="303">
        <v>162.0</v>
      </c>
      <c r="B952" s="199" t="s">
        <v>1472</v>
      </c>
      <c r="C952" s="199" t="s">
        <v>398</v>
      </c>
      <c r="D952" s="199" t="s">
        <v>404</v>
      </c>
      <c r="E952" s="37" t="s">
        <v>405</v>
      </c>
      <c r="F952" s="37"/>
      <c r="G952" s="79"/>
      <c r="H952" s="79"/>
      <c r="I952" s="173">
        <v>50536.0</v>
      </c>
      <c r="J952" s="37">
        <v>0.0</v>
      </c>
    </row>
    <row r="953">
      <c r="A953" s="312"/>
      <c r="B953" s="199" t="s">
        <v>1472</v>
      </c>
      <c r="C953" s="199" t="s">
        <v>398</v>
      </c>
      <c r="D953" s="199" t="s">
        <v>406</v>
      </c>
      <c r="E953" s="37" t="s">
        <v>405</v>
      </c>
      <c r="F953" s="37"/>
      <c r="G953" s="79"/>
      <c r="H953" s="79"/>
      <c r="I953" s="173">
        <v>50536.0</v>
      </c>
      <c r="J953" s="37">
        <v>2.0</v>
      </c>
    </row>
    <row r="954">
      <c r="A954" s="312"/>
      <c r="B954" s="199" t="s">
        <v>1472</v>
      </c>
      <c r="C954" s="199" t="s">
        <v>398</v>
      </c>
      <c r="D954" s="199" t="s">
        <v>408</v>
      </c>
      <c r="E954" s="37" t="s">
        <v>405</v>
      </c>
      <c r="F954" s="37"/>
      <c r="G954" s="79"/>
      <c r="H954" s="79"/>
      <c r="I954" s="173">
        <v>50536.0</v>
      </c>
      <c r="J954" s="37">
        <v>0.0</v>
      </c>
    </row>
    <row r="955">
      <c r="A955" s="312"/>
      <c r="B955" s="37"/>
      <c r="C955" s="37"/>
      <c r="D955" s="37"/>
      <c r="E955" s="37"/>
      <c r="F955" s="37"/>
      <c r="G955" s="79"/>
      <c r="H955" s="79"/>
      <c r="I955" s="173"/>
    </row>
    <row r="956">
      <c r="A956" s="314">
        <v>163.0</v>
      </c>
      <c r="B956" s="315" t="s">
        <v>1472</v>
      </c>
      <c r="C956" s="315" t="s">
        <v>398</v>
      </c>
      <c r="D956" s="315" t="s">
        <v>404</v>
      </c>
      <c r="E956" s="316" t="s">
        <v>405</v>
      </c>
      <c r="F956" s="316"/>
      <c r="G956" s="316"/>
      <c r="H956" s="316"/>
      <c r="I956" s="316">
        <v>50547.0</v>
      </c>
      <c r="J956" s="320">
        <v>0.0</v>
      </c>
    </row>
    <row r="957">
      <c r="A957" s="321"/>
      <c r="B957" s="315" t="s">
        <v>1472</v>
      </c>
      <c r="C957" s="315" t="s">
        <v>398</v>
      </c>
      <c r="D957" s="315" t="s">
        <v>406</v>
      </c>
      <c r="E957" s="316" t="s">
        <v>405</v>
      </c>
      <c r="F957" s="316"/>
      <c r="G957" s="316"/>
      <c r="H957" s="316"/>
      <c r="I957" s="316">
        <v>50547.0</v>
      </c>
      <c r="J957" s="320">
        <v>2.0</v>
      </c>
    </row>
    <row r="958">
      <c r="A958" s="321"/>
      <c r="B958" s="315" t="s">
        <v>1472</v>
      </c>
      <c r="C958" s="315" t="s">
        <v>398</v>
      </c>
      <c r="D958" s="315" t="s">
        <v>408</v>
      </c>
      <c r="E958" s="316" t="s">
        <v>405</v>
      </c>
      <c r="F958" s="316"/>
      <c r="G958" s="316"/>
      <c r="H958" s="316"/>
      <c r="I958" s="316">
        <v>50547.0</v>
      </c>
      <c r="J958" s="320">
        <v>0.0</v>
      </c>
    </row>
    <row r="959">
      <c r="A959" s="312"/>
      <c r="B959" s="37"/>
      <c r="C959" s="37"/>
      <c r="D959" s="37"/>
      <c r="E959" s="37"/>
      <c r="F959" s="37"/>
      <c r="G959" s="79"/>
      <c r="H959" s="79"/>
      <c r="I959" s="173"/>
    </row>
    <row r="960">
      <c r="A960" s="314">
        <v>164.0</v>
      </c>
      <c r="B960" s="315" t="s">
        <v>1472</v>
      </c>
      <c r="C960" s="315" t="s">
        <v>398</v>
      </c>
      <c r="D960" s="315" t="s">
        <v>404</v>
      </c>
      <c r="E960" s="316" t="s">
        <v>405</v>
      </c>
      <c r="F960" s="316"/>
      <c r="G960" s="316"/>
      <c r="H960" s="316"/>
      <c r="I960" s="316">
        <v>50550.0</v>
      </c>
      <c r="J960" s="320">
        <v>0.0</v>
      </c>
    </row>
    <row r="961">
      <c r="A961" s="321"/>
      <c r="B961" s="315" t="s">
        <v>1472</v>
      </c>
      <c r="C961" s="315" t="s">
        <v>398</v>
      </c>
      <c r="D961" s="315" t="s">
        <v>406</v>
      </c>
      <c r="E961" s="316" t="s">
        <v>405</v>
      </c>
      <c r="F961" s="316"/>
      <c r="G961" s="316"/>
      <c r="H961" s="316"/>
      <c r="I961" s="316">
        <v>50550.0</v>
      </c>
      <c r="J961" s="320">
        <v>2.0</v>
      </c>
    </row>
    <row r="962">
      <c r="A962" s="321"/>
      <c r="B962" s="315" t="s">
        <v>1472</v>
      </c>
      <c r="C962" s="315" t="s">
        <v>398</v>
      </c>
      <c r="D962" s="315" t="s">
        <v>408</v>
      </c>
      <c r="E962" s="316" t="s">
        <v>405</v>
      </c>
      <c r="F962" s="316"/>
      <c r="G962" s="316"/>
      <c r="H962" s="316"/>
      <c r="I962" s="316">
        <v>50550.0</v>
      </c>
      <c r="J962" s="320">
        <v>0.0</v>
      </c>
    </row>
    <row r="963">
      <c r="A963" s="312"/>
      <c r="B963" s="37"/>
      <c r="C963" s="37"/>
      <c r="D963" s="37"/>
      <c r="E963" s="37"/>
      <c r="F963" s="37"/>
      <c r="G963" s="79"/>
      <c r="H963" s="79"/>
      <c r="I963" s="173"/>
    </row>
    <row r="964">
      <c r="A964" s="314">
        <v>165.0</v>
      </c>
      <c r="B964" s="315" t="s">
        <v>1472</v>
      </c>
      <c r="C964" s="315" t="s">
        <v>398</v>
      </c>
      <c r="D964" s="315" t="s">
        <v>404</v>
      </c>
      <c r="E964" s="316" t="s">
        <v>405</v>
      </c>
      <c r="F964" s="316"/>
      <c r="G964" s="316"/>
      <c r="H964" s="316"/>
      <c r="I964" s="316">
        <v>50558.0</v>
      </c>
      <c r="J964" s="320">
        <v>0.0</v>
      </c>
    </row>
    <row r="965">
      <c r="A965" s="321"/>
      <c r="B965" s="315" t="s">
        <v>1472</v>
      </c>
      <c r="C965" s="315" t="s">
        <v>398</v>
      </c>
      <c r="D965" s="315" t="s">
        <v>406</v>
      </c>
      <c r="E965" s="316" t="s">
        <v>405</v>
      </c>
      <c r="F965" s="316"/>
      <c r="G965" s="316"/>
      <c r="H965" s="316"/>
      <c r="I965" s="316">
        <v>50558.0</v>
      </c>
      <c r="J965" s="320">
        <v>2.0</v>
      </c>
    </row>
    <row r="966">
      <c r="A966" s="321"/>
      <c r="B966" s="315" t="s">
        <v>1472</v>
      </c>
      <c r="C966" s="315" t="s">
        <v>398</v>
      </c>
      <c r="D966" s="315" t="s">
        <v>408</v>
      </c>
      <c r="E966" s="316" t="s">
        <v>405</v>
      </c>
      <c r="F966" s="316"/>
      <c r="G966" s="316"/>
      <c r="H966" s="316"/>
      <c r="I966" s="316">
        <v>50558.0</v>
      </c>
      <c r="J966" s="320">
        <v>0.0</v>
      </c>
    </row>
    <row r="967">
      <c r="A967" s="312"/>
      <c r="B967" s="37"/>
      <c r="C967" s="37"/>
      <c r="D967" s="37"/>
      <c r="E967" s="37"/>
      <c r="F967" s="37"/>
      <c r="G967" s="79"/>
      <c r="H967" s="79"/>
      <c r="I967" s="173"/>
    </row>
    <row r="968">
      <c r="A968" s="314">
        <v>166.0</v>
      </c>
      <c r="B968" s="315" t="s">
        <v>1472</v>
      </c>
      <c r="C968" s="315" t="s">
        <v>398</v>
      </c>
      <c r="D968" s="315" t="s">
        <v>404</v>
      </c>
      <c r="E968" s="316" t="s">
        <v>405</v>
      </c>
      <c r="F968" s="316"/>
      <c r="G968" s="316"/>
      <c r="H968" s="316"/>
      <c r="I968" s="316">
        <v>50715.0</v>
      </c>
      <c r="J968" s="320">
        <v>0.0</v>
      </c>
    </row>
    <row r="969">
      <c r="A969" s="321"/>
      <c r="B969" s="315" t="s">
        <v>1472</v>
      </c>
      <c r="C969" s="315" t="s">
        <v>398</v>
      </c>
      <c r="D969" s="315" t="s">
        <v>406</v>
      </c>
      <c r="E969" s="316" t="s">
        <v>405</v>
      </c>
      <c r="F969" s="316"/>
      <c r="G969" s="316"/>
      <c r="H969" s="316"/>
      <c r="I969" s="316">
        <v>50715.0</v>
      </c>
      <c r="J969" s="320">
        <v>1.0</v>
      </c>
    </row>
    <row r="970">
      <c r="A970" s="321"/>
      <c r="B970" s="315" t="s">
        <v>1472</v>
      </c>
      <c r="C970" s="315" t="s">
        <v>398</v>
      </c>
      <c r="D970" s="315" t="s">
        <v>408</v>
      </c>
      <c r="E970" s="316" t="s">
        <v>405</v>
      </c>
      <c r="F970" s="316"/>
      <c r="G970" s="316"/>
      <c r="H970" s="316"/>
      <c r="I970" s="316">
        <v>50715.0</v>
      </c>
      <c r="J970" s="320">
        <v>0.0</v>
      </c>
    </row>
    <row r="971">
      <c r="A971" s="312"/>
      <c r="B971" s="37"/>
      <c r="C971" s="37"/>
      <c r="D971" s="37"/>
      <c r="E971" s="37"/>
      <c r="F971" s="37"/>
      <c r="G971" s="79"/>
      <c r="H971" s="79"/>
      <c r="I971" s="173"/>
    </row>
    <row r="972">
      <c r="A972" s="314">
        <v>167.0</v>
      </c>
      <c r="B972" s="315" t="s">
        <v>1472</v>
      </c>
      <c r="C972" s="315" t="s">
        <v>398</v>
      </c>
      <c r="D972" s="315" t="s">
        <v>404</v>
      </c>
      <c r="E972" s="316" t="s">
        <v>405</v>
      </c>
      <c r="F972" s="316"/>
      <c r="G972" s="316"/>
      <c r="H972" s="316"/>
      <c r="I972" s="316">
        <v>50765.0</v>
      </c>
      <c r="J972" s="320">
        <v>0.0</v>
      </c>
    </row>
    <row r="973">
      <c r="A973" s="321"/>
      <c r="B973" s="315" t="s">
        <v>1472</v>
      </c>
      <c r="C973" s="315" t="s">
        <v>398</v>
      </c>
      <c r="D973" s="315" t="s">
        <v>406</v>
      </c>
      <c r="E973" s="316" t="s">
        <v>405</v>
      </c>
      <c r="F973" s="316"/>
      <c r="G973" s="316"/>
      <c r="H973" s="316"/>
      <c r="I973" s="316">
        <v>50765.0</v>
      </c>
      <c r="J973" s="320">
        <v>1.0</v>
      </c>
    </row>
    <row r="974">
      <c r="A974" s="321"/>
      <c r="B974" s="315" t="s">
        <v>1472</v>
      </c>
      <c r="C974" s="315" t="s">
        <v>398</v>
      </c>
      <c r="D974" s="315" t="s">
        <v>408</v>
      </c>
      <c r="E974" s="316" t="s">
        <v>405</v>
      </c>
      <c r="F974" s="316"/>
      <c r="G974" s="316"/>
      <c r="H974" s="316"/>
      <c r="I974" s="316">
        <v>50765.0</v>
      </c>
      <c r="J974" s="320">
        <v>0.0</v>
      </c>
    </row>
    <row r="975">
      <c r="A975" s="312"/>
      <c r="B975" s="37"/>
      <c r="C975" s="37"/>
      <c r="D975" s="37"/>
      <c r="E975" s="37"/>
      <c r="F975" s="37"/>
      <c r="G975" s="79"/>
      <c r="H975" s="79"/>
      <c r="I975" s="173"/>
    </row>
    <row r="976">
      <c r="A976" s="312"/>
      <c r="B976" s="37"/>
      <c r="C976" s="37"/>
      <c r="D976" s="37"/>
      <c r="E976" s="37"/>
      <c r="F976" s="37"/>
      <c r="G976" s="79"/>
      <c r="H976" s="79"/>
      <c r="I976" s="173"/>
    </row>
    <row r="977">
      <c r="A977" s="314">
        <v>168.0</v>
      </c>
      <c r="B977" s="315" t="s">
        <v>1472</v>
      </c>
      <c r="C977" s="315" t="s">
        <v>398</v>
      </c>
      <c r="D977" s="315" t="s">
        <v>404</v>
      </c>
      <c r="E977" s="316" t="s">
        <v>405</v>
      </c>
      <c r="F977" s="316"/>
      <c r="G977" s="316"/>
      <c r="H977" s="316"/>
      <c r="I977" s="316">
        <v>50796.0</v>
      </c>
      <c r="J977" s="320">
        <v>0.0</v>
      </c>
    </row>
    <row r="978">
      <c r="A978" s="321"/>
      <c r="B978" s="315" t="s">
        <v>1472</v>
      </c>
      <c r="C978" s="315" t="s">
        <v>398</v>
      </c>
      <c r="D978" s="315" t="s">
        <v>406</v>
      </c>
      <c r="E978" s="316" t="s">
        <v>405</v>
      </c>
      <c r="F978" s="316"/>
      <c r="G978" s="316"/>
      <c r="H978" s="316"/>
      <c r="I978" s="316">
        <v>50796.0</v>
      </c>
      <c r="J978" s="320">
        <v>1.0</v>
      </c>
    </row>
    <row r="979">
      <c r="A979" s="321"/>
      <c r="B979" s="315" t="s">
        <v>1472</v>
      </c>
      <c r="C979" s="315" t="s">
        <v>398</v>
      </c>
      <c r="D979" s="315" t="s">
        <v>408</v>
      </c>
      <c r="E979" s="316" t="s">
        <v>405</v>
      </c>
      <c r="F979" s="316"/>
      <c r="G979" s="316"/>
      <c r="H979" s="316"/>
      <c r="I979" s="316">
        <v>50796.0</v>
      </c>
      <c r="J979" s="320">
        <v>0.0</v>
      </c>
    </row>
    <row r="980">
      <c r="A980" s="312"/>
      <c r="B980" s="37"/>
      <c r="C980" s="37"/>
      <c r="D980" s="37"/>
      <c r="E980" s="37"/>
      <c r="F980" s="37"/>
      <c r="G980" s="79"/>
      <c r="H980" s="79"/>
      <c r="I980" s="173"/>
    </row>
    <row r="981">
      <c r="A981" s="314">
        <v>169.0</v>
      </c>
      <c r="B981" s="315" t="s">
        <v>1472</v>
      </c>
      <c r="C981" s="315" t="s">
        <v>398</v>
      </c>
      <c r="D981" s="315" t="s">
        <v>404</v>
      </c>
      <c r="E981" s="316" t="s">
        <v>405</v>
      </c>
      <c r="F981" s="316"/>
      <c r="G981" s="316"/>
      <c r="H981" s="316"/>
      <c r="I981" s="316">
        <v>50854.0</v>
      </c>
      <c r="J981" s="320">
        <v>0.0</v>
      </c>
    </row>
    <row r="982">
      <c r="A982" s="321"/>
      <c r="B982" s="315" t="s">
        <v>1472</v>
      </c>
      <c r="C982" s="315" t="s">
        <v>398</v>
      </c>
      <c r="D982" s="315" t="s">
        <v>406</v>
      </c>
      <c r="E982" s="316" t="s">
        <v>405</v>
      </c>
      <c r="F982" s="316"/>
      <c r="G982" s="316"/>
      <c r="H982" s="316"/>
      <c r="I982" s="316">
        <v>50854.0</v>
      </c>
      <c r="J982" s="320">
        <v>1.0</v>
      </c>
    </row>
    <row r="983">
      <c r="A983" s="321"/>
      <c r="B983" s="315" t="s">
        <v>1472</v>
      </c>
      <c r="C983" s="315" t="s">
        <v>398</v>
      </c>
      <c r="D983" s="315" t="s">
        <v>408</v>
      </c>
      <c r="E983" s="316" t="s">
        <v>405</v>
      </c>
      <c r="F983" s="316"/>
      <c r="G983" s="316"/>
      <c r="H983" s="316"/>
      <c r="I983" s="316">
        <v>50854.0</v>
      </c>
      <c r="J983" s="320">
        <v>0.0</v>
      </c>
    </row>
    <row r="984">
      <c r="A984" s="312"/>
      <c r="B984" s="37"/>
      <c r="C984" s="37"/>
      <c r="D984" s="37"/>
      <c r="E984" s="37"/>
      <c r="F984" s="37"/>
      <c r="G984" s="79"/>
      <c r="H984" s="79"/>
      <c r="I984" s="173"/>
    </row>
    <row r="985">
      <c r="A985" s="314">
        <v>170.0</v>
      </c>
      <c r="B985" s="315" t="s">
        <v>1472</v>
      </c>
      <c r="C985" s="315" t="s">
        <v>398</v>
      </c>
      <c r="D985" s="315" t="s">
        <v>404</v>
      </c>
      <c r="E985" s="316" t="s">
        <v>405</v>
      </c>
      <c r="F985" s="316"/>
      <c r="G985" s="316"/>
      <c r="H985" s="316"/>
      <c r="I985" s="316">
        <v>50912.0</v>
      </c>
      <c r="J985" s="320">
        <v>0.0</v>
      </c>
    </row>
    <row r="986">
      <c r="A986" s="321"/>
      <c r="B986" s="315" t="s">
        <v>1472</v>
      </c>
      <c r="C986" s="315" t="s">
        <v>398</v>
      </c>
      <c r="D986" s="315" t="s">
        <v>406</v>
      </c>
      <c r="E986" s="316" t="s">
        <v>405</v>
      </c>
      <c r="F986" s="316"/>
      <c r="G986" s="316"/>
      <c r="H986" s="316"/>
      <c r="I986" s="316">
        <v>50912.0</v>
      </c>
      <c r="J986" s="320">
        <v>2.0</v>
      </c>
    </row>
    <row r="987">
      <c r="A987" s="321"/>
      <c r="B987" s="315" t="s">
        <v>1472</v>
      </c>
      <c r="C987" s="315" t="s">
        <v>398</v>
      </c>
      <c r="D987" s="315" t="s">
        <v>408</v>
      </c>
      <c r="E987" s="316" t="s">
        <v>405</v>
      </c>
      <c r="F987" s="316"/>
      <c r="G987" s="316"/>
      <c r="H987" s="316"/>
      <c r="I987" s="316">
        <v>50912.0</v>
      </c>
      <c r="J987" s="320">
        <v>0.0</v>
      </c>
    </row>
    <row r="988">
      <c r="A988" s="312"/>
      <c r="B988" s="37"/>
      <c r="C988" s="37"/>
      <c r="D988" s="37"/>
      <c r="E988" s="37"/>
      <c r="F988" s="37"/>
      <c r="G988" s="79"/>
      <c r="H988" s="79"/>
      <c r="I988" s="173"/>
    </row>
    <row r="989">
      <c r="A989" s="314">
        <v>171.0</v>
      </c>
      <c r="B989" s="315" t="s">
        <v>1472</v>
      </c>
      <c r="C989" s="315" t="s">
        <v>398</v>
      </c>
      <c r="D989" s="315" t="s">
        <v>404</v>
      </c>
      <c r="E989" s="316" t="s">
        <v>405</v>
      </c>
      <c r="F989" s="316"/>
      <c r="G989" s="316"/>
      <c r="H989" s="316"/>
      <c r="I989" s="316">
        <v>50977.0</v>
      </c>
      <c r="J989" s="320">
        <v>0.0</v>
      </c>
    </row>
    <row r="990">
      <c r="A990" s="321"/>
      <c r="B990" s="315" t="s">
        <v>1472</v>
      </c>
      <c r="C990" s="315" t="s">
        <v>398</v>
      </c>
      <c r="D990" s="315" t="s">
        <v>406</v>
      </c>
      <c r="E990" s="316" t="s">
        <v>405</v>
      </c>
      <c r="F990" s="316"/>
      <c r="G990" s="316"/>
      <c r="H990" s="316"/>
      <c r="I990" s="316">
        <v>50977.0</v>
      </c>
      <c r="J990" s="320">
        <v>2.0</v>
      </c>
    </row>
    <row r="991">
      <c r="A991" s="321"/>
      <c r="B991" s="315" t="s">
        <v>1472</v>
      </c>
      <c r="C991" s="315" t="s">
        <v>398</v>
      </c>
      <c r="D991" s="315" t="s">
        <v>408</v>
      </c>
      <c r="E991" s="316" t="s">
        <v>405</v>
      </c>
      <c r="F991" s="316"/>
      <c r="G991" s="316"/>
      <c r="H991" s="316"/>
      <c r="I991" s="316">
        <v>50977.0</v>
      </c>
      <c r="J991" s="320">
        <v>0.0</v>
      </c>
    </row>
    <row r="992">
      <c r="A992" s="312"/>
      <c r="B992" s="37"/>
      <c r="C992" s="37"/>
      <c r="D992" s="37"/>
      <c r="E992" s="37"/>
      <c r="F992" s="37"/>
      <c r="G992" s="79"/>
      <c r="H992" s="79"/>
      <c r="I992" s="173"/>
    </row>
    <row r="993">
      <c r="A993" s="314">
        <v>172.0</v>
      </c>
      <c r="B993" s="315" t="s">
        <v>1472</v>
      </c>
      <c r="C993" s="315" t="s">
        <v>398</v>
      </c>
      <c r="D993" s="315" t="s">
        <v>404</v>
      </c>
      <c r="E993" s="316" t="s">
        <v>405</v>
      </c>
      <c r="F993" s="316"/>
      <c r="G993" s="316"/>
      <c r="H993" s="316"/>
      <c r="I993" s="316">
        <v>501432.0</v>
      </c>
      <c r="J993" s="320">
        <v>0.0</v>
      </c>
    </row>
    <row r="994">
      <c r="A994" s="321"/>
      <c r="B994" s="315" t="s">
        <v>1472</v>
      </c>
      <c r="C994" s="315" t="s">
        <v>398</v>
      </c>
      <c r="D994" s="315" t="s">
        <v>406</v>
      </c>
      <c r="E994" s="316" t="s">
        <v>405</v>
      </c>
      <c r="F994" s="316"/>
      <c r="G994" s="316"/>
      <c r="H994" s="316"/>
      <c r="I994" s="316">
        <v>501432.0</v>
      </c>
      <c r="J994" s="320">
        <v>2.0</v>
      </c>
    </row>
    <row r="995">
      <c r="A995" s="321"/>
      <c r="B995" s="315" t="s">
        <v>1472</v>
      </c>
      <c r="C995" s="315" t="s">
        <v>398</v>
      </c>
      <c r="D995" s="315" t="s">
        <v>408</v>
      </c>
      <c r="E995" s="316" t="s">
        <v>405</v>
      </c>
      <c r="F995" s="316"/>
      <c r="G995" s="316"/>
      <c r="H995" s="316"/>
      <c r="I995" s="316">
        <v>501432.0</v>
      </c>
      <c r="J995" s="320">
        <v>0.0</v>
      </c>
    </row>
    <row r="996">
      <c r="A996" s="312"/>
      <c r="B996" s="37"/>
      <c r="C996" s="37"/>
      <c r="D996" s="37"/>
      <c r="E996" s="37"/>
      <c r="F996" s="37"/>
      <c r="G996" s="79"/>
      <c r="H996" s="79"/>
      <c r="I996" s="173"/>
    </row>
    <row r="997">
      <c r="A997" s="314">
        <v>173.0</v>
      </c>
      <c r="B997" s="315" t="s">
        <v>1472</v>
      </c>
      <c r="C997" s="315" t="s">
        <v>398</v>
      </c>
      <c r="D997" s="315" t="s">
        <v>404</v>
      </c>
      <c r="E997" s="316" t="s">
        <v>405</v>
      </c>
      <c r="F997" s="316"/>
      <c r="G997" s="316"/>
      <c r="H997" s="316"/>
      <c r="I997" s="316" t="s">
        <v>106</v>
      </c>
      <c r="J997" s="320">
        <v>0.0</v>
      </c>
    </row>
    <row r="998">
      <c r="A998" s="321"/>
      <c r="B998" s="315" t="s">
        <v>1472</v>
      </c>
      <c r="C998" s="315" t="s">
        <v>398</v>
      </c>
      <c r="D998" s="315" t="s">
        <v>406</v>
      </c>
      <c r="E998" s="316" t="s">
        <v>405</v>
      </c>
      <c r="F998" s="316"/>
      <c r="G998" s="316"/>
      <c r="H998" s="316"/>
      <c r="I998" s="316" t="s">
        <v>106</v>
      </c>
      <c r="J998" s="320">
        <v>0.0</v>
      </c>
    </row>
    <row r="999">
      <c r="A999" s="321"/>
      <c r="B999" s="315" t="s">
        <v>1472</v>
      </c>
      <c r="C999" s="315" t="s">
        <v>398</v>
      </c>
      <c r="D999" s="315" t="s">
        <v>408</v>
      </c>
      <c r="E999" s="316" t="s">
        <v>405</v>
      </c>
      <c r="F999" s="316"/>
      <c r="G999" s="316"/>
      <c r="H999" s="316"/>
      <c r="I999" s="316" t="s">
        <v>106</v>
      </c>
      <c r="J999" s="320">
        <v>5.0</v>
      </c>
    </row>
    <row r="1000">
      <c r="A1000" s="312"/>
      <c r="B1000" s="37"/>
      <c r="C1000" s="37"/>
      <c r="D1000" s="37"/>
      <c r="E1000" s="37"/>
      <c r="F1000" s="37"/>
      <c r="G1000" s="79"/>
      <c r="H1000" s="79"/>
      <c r="I1000" s="173"/>
    </row>
    <row r="1001">
      <c r="A1001" s="314">
        <v>174.0</v>
      </c>
      <c r="B1001" s="315" t="s">
        <v>1472</v>
      </c>
      <c r="C1001" s="315" t="s">
        <v>398</v>
      </c>
      <c r="D1001" s="315" t="s">
        <v>404</v>
      </c>
      <c r="E1001" s="316" t="s">
        <v>405</v>
      </c>
      <c r="F1001" s="316"/>
      <c r="G1001" s="316"/>
      <c r="H1001" s="316"/>
      <c r="I1001" s="316" t="s">
        <v>107</v>
      </c>
      <c r="J1001" s="320">
        <v>2.0</v>
      </c>
    </row>
    <row r="1002">
      <c r="A1002" s="321"/>
      <c r="B1002" s="315" t="s">
        <v>1472</v>
      </c>
      <c r="C1002" s="315" t="s">
        <v>398</v>
      </c>
      <c r="D1002" s="315" t="s">
        <v>406</v>
      </c>
      <c r="E1002" s="316" t="s">
        <v>405</v>
      </c>
      <c r="F1002" s="316"/>
      <c r="G1002" s="316"/>
      <c r="H1002" s="316"/>
      <c r="I1002" s="316" t="s">
        <v>107</v>
      </c>
      <c r="J1002" s="320">
        <v>2.0</v>
      </c>
    </row>
    <row r="1003">
      <c r="A1003" s="321"/>
      <c r="B1003" s="315" t="s">
        <v>1472</v>
      </c>
      <c r="C1003" s="315" t="s">
        <v>398</v>
      </c>
      <c r="D1003" s="315" t="s">
        <v>408</v>
      </c>
      <c r="E1003" s="316" t="s">
        <v>405</v>
      </c>
      <c r="F1003" s="316"/>
      <c r="G1003" s="316"/>
      <c r="H1003" s="316"/>
      <c r="I1003" s="316" t="s">
        <v>107</v>
      </c>
      <c r="J1003" s="320">
        <v>0.0</v>
      </c>
    </row>
    <row r="1004">
      <c r="A1004" s="321"/>
      <c r="B1004" s="315"/>
      <c r="C1004" s="315"/>
      <c r="D1004" s="315"/>
      <c r="E1004" s="316"/>
      <c r="F1004" s="316"/>
      <c r="G1004" s="316"/>
      <c r="H1004" s="316"/>
      <c r="I1004" s="316"/>
      <c r="J1004" s="320"/>
    </row>
    <row r="1005">
      <c r="A1005" s="314">
        <v>175.0</v>
      </c>
      <c r="B1005" s="315" t="s">
        <v>1472</v>
      </c>
      <c r="C1005" s="315" t="s">
        <v>398</v>
      </c>
      <c r="D1005" s="315" t="s">
        <v>404</v>
      </c>
      <c r="E1005" s="316" t="s">
        <v>405</v>
      </c>
      <c r="F1005" s="316"/>
      <c r="G1005" s="316"/>
      <c r="H1005" s="316"/>
      <c r="I1005" s="316" t="s">
        <v>92</v>
      </c>
      <c r="J1005" s="320">
        <v>0.0</v>
      </c>
    </row>
    <row r="1006">
      <c r="A1006" s="321"/>
      <c r="B1006" s="315" t="s">
        <v>1472</v>
      </c>
      <c r="C1006" s="315" t="s">
        <v>398</v>
      </c>
      <c r="D1006" s="315" t="s">
        <v>406</v>
      </c>
      <c r="E1006" s="316" t="s">
        <v>405</v>
      </c>
      <c r="F1006" s="316"/>
      <c r="G1006" s="316"/>
      <c r="H1006" s="316"/>
      <c r="I1006" s="316" t="s">
        <v>92</v>
      </c>
      <c r="J1006" s="320">
        <v>13.0</v>
      </c>
    </row>
    <row r="1007">
      <c r="A1007" s="321"/>
      <c r="B1007" s="315" t="s">
        <v>1472</v>
      </c>
      <c r="C1007" s="315" t="s">
        <v>398</v>
      </c>
      <c r="D1007" s="315" t="s">
        <v>408</v>
      </c>
      <c r="E1007" s="316" t="s">
        <v>405</v>
      </c>
      <c r="F1007" s="316"/>
      <c r="G1007" s="316"/>
      <c r="H1007" s="316"/>
      <c r="I1007" s="316" t="s">
        <v>92</v>
      </c>
      <c r="J1007" s="320">
        <v>0.0</v>
      </c>
    </row>
    <row r="1008">
      <c r="A1008" s="321"/>
      <c r="B1008" s="315"/>
      <c r="C1008" s="315"/>
      <c r="D1008" s="315"/>
      <c r="E1008" s="316"/>
      <c r="F1008" s="316"/>
      <c r="G1008" s="316"/>
      <c r="H1008" s="316"/>
      <c r="I1008" s="316"/>
      <c r="J1008" s="320"/>
    </row>
    <row r="1009">
      <c r="A1009" s="314">
        <v>176.0</v>
      </c>
      <c r="B1009" s="315" t="s">
        <v>1472</v>
      </c>
      <c r="C1009" s="315" t="s">
        <v>398</v>
      </c>
      <c r="D1009" s="315" t="s">
        <v>404</v>
      </c>
      <c r="E1009" s="316" t="s">
        <v>405</v>
      </c>
      <c r="F1009" s="316"/>
      <c r="G1009" s="316"/>
      <c r="H1009" s="316"/>
      <c r="I1009" s="316" t="s">
        <v>100</v>
      </c>
      <c r="J1009" s="320">
        <v>0.0</v>
      </c>
    </row>
    <row r="1010">
      <c r="A1010" s="321"/>
      <c r="B1010" s="315" t="s">
        <v>1472</v>
      </c>
      <c r="C1010" s="315" t="s">
        <v>398</v>
      </c>
      <c r="D1010" s="315" t="s">
        <v>406</v>
      </c>
      <c r="E1010" s="316" t="s">
        <v>405</v>
      </c>
      <c r="F1010" s="316"/>
      <c r="G1010" s="316"/>
      <c r="H1010" s="316"/>
      <c r="I1010" s="316" t="s">
        <v>100</v>
      </c>
      <c r="J1010" s="320">
        <v>9.0</v>
      </c>
    </row>
    <row r="1011">
      <c r="A1011" s="321"/>
      <c r="B1011" s="315" t="s">
        <v>1472</v>
      </c>
      <c r="C1011" s="315" t="s">
        <v>398</v>
      </c>
      <c r="D1011" s="315" t="s">
        <v>408</v>
      </c>
      <c r="E1011" s="316" t="s">
        <v>405</v>
      </c>
      <c r="F1011" s="316"/>
      <c r="G1011" s="316"/>
      <c r="H1011" s="316"/>
      <c r="I1011" s="316" t="s">
        <v>100</v>
      </c>
      <c r="J1011" s="320">
        <v>0.0</v>
      </c>
    </row>
    <row r="1012">
      <c r="A1012" s="321"/>
      <c r="B1012" s="315"/>
      <c r="C1012" s="315"/>
      <c r="D1012" s="315"/>
      <c r="E1012" s="316"/>
      <c r="F1012" s="316"/>
      <c r="G1012" s="316"/>
      <c r="H1012" s="316"/>
      <c r="I1012" s="316"/>
      <c r="J1012" s="320"/>
    </row>
    <row r="1013">
      <c r="A1013" s="314">
        <v>177.0</v>
      </c>
      <c r="B1013" s="315" t="s">
        <v>1472</v>
      </c>
      <c r="C1013" s="315" t="s">
        <v>398</v>
      </c>
      <c r="D1013" s="315" t="s">
        <v>404</v>
      </c>
      <c r="E1013" s="316" t="s">
        <v>405</v>
      </c>
      <c r="F1013" s="316"/>
      <c r="G1013" s="316"/>
      <c r="H1013" s="316"/>
      <c r="I1013" s="316" t="s">
        <v>229</v>
      </c>
      <c r="J1013" s="320">
        <v>0.0</v>
      </c>
    </row>
    <row r="1014">
      <c r="A1014" s="321"/>
      <c r="B1014" s="315" t="s">
        <v>1472</v>
      </c>
      <c r="C1014" s="315" t="s">
        <v>398</v>
      </c>
      <c r="D1014" s="315" t="s">
        <v>406</v>
      </c>
      <c r="E1014" s="316" t="s">
        <v>405</v>
      </c>
      <c r="F1014" s="316"/>
      <c r="G1014" s="316"/>
      <c r="H1014" s="316"/>
      <c r="I1014" s="316" t="s">
        <v>229</v>
      </c>
      <c r="J1014" s="320">
        <v>0.0</v>
      </c>
    </row>
    <row r="1015">
      <c r="A1015" s="321"/>
      <c r="B1015" s="315" t="s">
        <v>1472</v>
      </c>
      <c r="C1015" s="315" t="s">
        <v>398</v>
      </c>
      <c r="D1015" s="315" t="s">
        <v>408</v>
      </c>
      <c r="E1015" s="316" t="s">
        <v>405</v>
      </c>
      <c r="F1015" s="316"/>
      <c r="G1015" s="316"/>
      <c r="H1015" s="316"/>
      <c r="I1015" s="316" t="s">
        <v>229</v>
      </c>
      <c r="J1015" s="320">
        <v>5.0</v>
      </c>
    </row>
    <row r="1016">
      <c r="A1016" s="321"/>
      <c r="B1016" s="315"/>
      <c r="C1016" s="315"/>
      <c r="D1016" s="315"/>
      <c r="E1016" s="316"/>
      <c r="F1016" s="316"/>
      <c r="G1016" s="316"/>
      <c r="H1016" s="316"/>
      <c r="I1016" s="316"/>
      <c r="J1016" s="320"/>
    </row>
    <row r="1017">
      <c r="A1017" s="314">
        <v>178.0</v>
      </c>
      <c r="B1017" s="315" t="s">
        <v>1472</v>
      </c>
      <c r="C1017" s="315" t="s">
        <v>398</v>
      </c>
      <c r="D1017" s="315" t="s">
        <v>404</v>
      </c>
      <c r="E1017" s="316" t="s">
        <v>407</v>
      </c>
      <c r="F1017" s="316"/>
      <c r="G1017" s="316"/>
      <c r="H1017" s="316"/>
      <c r="I1017" s="316">
        <v>60133.0</v>
      </c>
      <c r="J1017" s="320">
        <v>0.0</v>
      </c>
    </row>
    <row r="1018">
      <c r="A1018" s="321"/>
      <c r="B1018" s="315" t="s">
        <v>1472</v>
      </c>
      <c r="C1018" s="315" t="s">
        <v>398</v>
      </c>
      <c r="D1018" s="315" t="s">
        <v>406</v>
      </c>
      <c r="E1018" s="316" t="s">
        <v>407</v>
      </c>
      <c r="F1018" s="316"/>
      <c r="G1018" s="316"/>
      <c r="H1018" s="316"/>
      <c r="I1018" s="316">
        <v>60133.0</v>
      </c>
      <c r="J1018" s="320">
        <v>7.0</v>
      </c>
    </row>
    <row r="1019">
      <c r="A1019" s="321"/>
      <c r="B1019" s="315" t="s">
        <v>1472</v>
      </c>
      <c r="C1019" s="315" t="s">
        <v>398</v>
      </c>
      <c r="D1019" s="315" t="s">
        <v>408</v>
      </c>
      <c r="E1019" s="316" t="s">
        <v>407</v>
      </c>
      <c r="F1019" s="316"/>
      <c r="G1019" s="316"/>
      <c r="H1019" s="316"/>
      <c r="I1019" s="316">
        <v>60133.0</v>
      </c>
      <c r="J1019" s="320">
        <v>6.0</v>
      </c>
    </row>
    <row r="1020">
      <c r="A1020" s="321"/>
      <c r="B1020" s="315"/>
      <c r="C1020" s="315"/>
      <c r="D1020" s="315"/>
      <c r="E1020" s="316"/>
      <c r="F1020" s="316"/>
      <c r="G1020" s="316"/>
      <c r="H1020" s="316"/>
      <c r="I1020" s="316"/>
      <c r="J1020" s="320"/>
    </row>
    <row r="1021">
      <c r="A1021" s="314">
        <v>179.0</v>
      </c>
      <c r="B1021" s="315" t="s">
        <v>1472</v>
      </c>
      <c r="C1021" s="315" t="s">
        <v>398</v>
      </c>
      <c r="D1021" s="315" t="s">
        <v>404</v>
      </c>
      <c r="E1021" s="316" t="s">
        <v>407</v>
      </c>
      <c r="F1021" s="316"/>
      <c r="G1021" s="316"/>
      <c r="H1021" s="316"/>
      <c r="I1021" s="316">
        <v>601331.0</v>
      </c>
      <c r="J1021" s="320">
        <v>0.0</v>
      </c>
    </row>
    <row r="1022">
      <c r="A1022" s="321"/>
      <c r="B1022" s="315" t="s">
        <v>1472</v>
      </c>
      <c r="C1022" s="315" t="s">
        <v>398</v>
      </c>
      <c r="D1022" s="315" t="s">
        <v>406</v>
      </c>
      <c r="E1022" s="316" t="s">
        <v>407</v>
      </c>
      <c r="F1022" s="316"/>
      <c r="G1022" s="316"/>
      <c r="H1022" s="316"/>
      <c r="I1022" s="316">
        <v>601331.0</v>
      </c>
      <c r="J1022" s="320">
        <v>4.0</v>
      </c>
    </row>
    <row r="1023">
      <c r="A1023" s="321"/>
      <c r="B1023" s="315" t="s">
        <v>1472</v>
      </c>
      <c r="C1023" s="315" t="s">
        <v>398</v>
      </c>
      <c r="D1023" s="315" t="s">
        <v>408</v>
      </c>
      <c r="E1023" s="316" t="s">
        <v>407</v>
      </c>
      <c r="F1023" s="316"/>
      <c r="G1023" s="316"/>
      <c r="H1023" s="316"/>
      <c r="I1023" s="316">
        <v>601331.0</v>
      </c>
      <c r="J1023" s="320">
        <v>5.0</v>
      </c>
    </row>
    <row r="1024">
      <c r="A1024" s="321"/>
      <c r="B1024" s="315"/>
      <c r="C1024" s="315"/>
      <c r="D1024" s="315"/>
      <c r="E1024" s="316"/>
      <c r="F1024" s="316"/>
      <c r="G1024" s="316"/>
      <c r="H1024" s="316"/>
      <c r="I1024" s="316"/>
      <c r="J1024" s="320"/>
    </row>
    <row r="1025">
      <c r="A1025" s="314">
        <v>180.0</v>
      </c>
      <c r="B1025" s="315" t="s">
        <v>1472</v>
      </c>
      <c r="C1025" s="315" t="s">
        <v>398</v>
      </c>
      <c r="D1025" s="315" t="s">
        <v>404</v>
      </c>
      <c r="E1025" s="316" t="s">
        <v>407</v>
      </c>
      <c r="F1025" s="316"/>
      <c r="G1025" s="316"/>
      <c r="H1025" s="316"/>
      <c r="I1025" s="316">
        <v>601448.0</v>
      </c>
      <c r="J1025" s="320">
        <v>0.0</v>
      </c>
    </row>
    <row r="1026">
      <c r="A1026" s="321"/>
      <c r="B1026" s="315" t="s">
        <v>1472</v>
      </c>
      <c r="C1026" s="315" t="s">
        <v>398</v>
      </c>
      <c r="D1026" s="315" t="s">
        <v>406</v>
      </c>
      <c r="E1026" s="316" t="s">
        <v>407</v>
      </c>
      <c r="F1026" s="316"/>
      <c r="G1026" s="316"/>
      <c r="H1026" s="316"/>
      <c r="I1026" s="316">
        <v>601448.0</v>
      </c>
      <c r="J1026" s="320">
        <v>2.0</v>
      </c>
    </row>
    <row r="1027">
      <c r="A1027" s="321"/>
      <c r="B1027" s="315" t="s">
        <v>1472</v>
      </c>
      <c r="C1027" s="315" t="s">
        <v>398</v>
      </c>
      <c r="D1027" s="315" t="s">
        <v>408</v>
      </c>
      <c r="E1027" s="316" t="s">
        <v>407</v>
      </c>
      <c r="F1027" s="316"/>
      <c r="G1027" s="316"/>
      <c r="H1027" s="316"/>
      <c r="I1027" s="316">
        <v>601448.0</v>
      </c>
      <c r="J1027" s="320">
        <v>0.0</v>
      </c>
    </row>
    <row r="1028">
      <c r="A1028" s="321"/>
      <c r="B1028" s="315"/>
      <c r="C1028" s="315"/>
      <c r="D1028" s="315"/>
      <c r="E1028" s="316"/>
      <c r="F1028" s="316"/>
      <c r="G1028" s="316"/>
      <c r="H1028" s="316"/>
      <c r="I1028" s="316"/>
      <c r="J1028" s="320"/>
    </row>
    <row r="1029">
      <c r="A1029" s="314">
        <v>181.0</v>
      </c>
      <c r="B1029" s="315" t="s">
        <v>1472</v>
      </c>
      <c r="C1029" s="315" t="s">
        <v>398</v>
      </c>
      <c r="D1029" s="315" t="s">
        <v>404</v>
      </c>
      <c r="E1029" s="316" t="s">
        <v>407</v>
      </c>
      <c r="F1029" s="316"/>
      <c r="G1029" s="316"/>
      <c r="H1029" s="316"/>
      <c r="I1029" s="316">
        <v>601514.0</v>
      </c>
      <c r="J1029" s="320">
        <v>0.0</v>
      </c>
    </row>
    <row r="1030">
      <c r="A1030" s="321"/>
      <c r="B1030" s="315" t="s">
        <v>1472</v>
      </c>
      <c r="C1030" s="315" t="s">
        <v>398</v>
      </c>
      <c r="D1030" s="315" t="s">
        <v>406</v>
      </c>
      <c r="E1030" s="316" t="s">
        <v>407</v>
      </c>
      <c r="F1030" s="316"/>
      <c r="G1030" s="316"/>
      <c r="H1030" s="316"/>
      <c r="I1030" s="316">
        <v>601514.0</v>
      </c>
      <c r="J1030" s="320">
        <v>2.0</v>
      </c>
    </row>
    <row r="1031">
      <c r="A1031" s="321"/>
      <c r="B1031" s="315" t="s">
        <v>1472</v>
      </c>
      <c r="C1031" s="315" t="s">
        <v>398</v>
      </c>
      <c r="D1031" s="315" t="s">
        <v>408</v>
      </c>
      <c r="E1031" s="316" t="s">
        <v>407</v>
      </c>
      <c r="F1031" s="316"/>
      <c r="G1031" s="316"/>
      <c r="H1031" s="316"/>
      <c r="I1031" s="316">
        <v>601514.0</v>
      </c>
      <c r="J1031" s="320">
        <v>0.0</v>
      </c>
    </row>
    <row r="1032">
      <c r="A1032" s="321"/>
      <c r="B1032" s="315"/>
      <c r="C1032" s="315"/>
      <c r="D1032" s="315"/>
      <c r="E1032" s="316"/>
      <c r="F1032" s="316"/>
      <c r="G1032" s="316"/>
      <c r="H1032" s="316"/>
      <c r="I1032" s="316"/>
      <c r="J1032" s="320"/>
    </row>
    <row r="1033">
      <c r="A1033" s="314">
        <v>182.0</v>
      </c>
      <c r="B1033" s="315" t="s">
        <v>1472</v>
      </c>
      <c r="C1033" s="315" t="s">
        <v>398</v>
      </c>
      <c r="D1033" s="315" t="s">
        <v>404</v>
      </c>
      <c r="E1033" s="316" t="s">
        <v>407</v>
      </c>
      <c r="F1033" s="316"/>
      <c r="G1033" s="316"/>
      <c r="H1033" s="316"/>
      <c r="I1033" s="316">
        <v>601614.0</v>
      </c>
      <c r="J1033" s="320">
        <v>0.0</v>
      </c>
    </row>
    <row r="1034">
      <c r="A1034" s="321"/>
      <c r="B1034" s="315" t="s">
        <v>1472</v>
      </c>
      <c r="C1034" s="315" t="s">
        <v>398</v>
      </c>
      <c r="D1034" s="315" t="s">
        <v>406</v>
      </c>
      <c r="E1034" s="316" t="s">
        <v>407</v>
      </c>
      <c r="F1034" s="316"/>
      <c r="G1034" s="316"/>
      <c r="H1034" s="316"/>
      <c r="I1034" s="316">
        <v>601614.0</v>
      </c>
      <c r="J1034" s="320">
        <v>1.0</v>
      </c>
    </row>
    <row r="1035">
      <c r="A1035" s="321"/>
      <c r="B1035" s="315" t="s">
        <v>1472</v>
      </c>
      <c r="C1035" s="315" t="s">
        <v>398</v>
      </c>
      <c r="D1035" s="315" t="s">
        <v>408</v>
      </c>
      <c r="E1035" s="316" t="s">
        <v>407</v>
      </c>
      <c r="F1035" s="316"/>
      <c r="G1035" s="316"/>
      <c r="H1035" s="316"/>
      <c r="I1035" s="316">
        <v>601614.0</v>
      </c>
      <c r="J1035" s="320">
        <v>0.0</v>
      </c>
    </row>
    <row r="1036">
      <c r="A1036" s="321"/>
      <c r="B1036" s="315"/>
      <c r="C1036" s="315"/>
      <c r="D1036" s="315"/>
      <c r="E1036" s="316"/>
      <c r="F1036" s="316"/>
      <c r="G1036" s="316"/>
      <c r="H1036" s="316"/>
      <c r="I1036" s="316"/>
      <c r="J1036" s="320"/>
    </row>
    <row r="1037">
      <c r="A1037" s="321"/>
      <c r="B1037" s="315"/>
      <c r="C1037" s="315"/>
      <c r="D1037" s="315"/>
      <c r="E1037" s="316"/>
      <c r="F1037" s="316"/>
      <c r="G1037" s="316"/>
      <c r="H1037" s="316"/>
      <c r="I1037" s="316"/>
      <c r="J1037" s="320"/>
    </row>
    <row r="1038">
      <c r="A1038" s="314">
        <v>183.0</v>
      </c>
      <c r="B1038" s="315" t="s">
        <v>1472</v>
      </c>
      <c r="C1038" s="315" t="s">
        <v>398</v>
      </c>
      <c r="D1038" s="315" t="s">
        <v>404</v>
      </c>
      <c r="E1038" s="316" t="s">
        <v>407</v>
      </c>
      <c r="F1038" s="316"/>
      <c r="G1038" s="316"/>
      <c r="H1038" s="316"/>
      <c r="I1038" s="316">
        <v>6010231.0</v>
      </c>
      <c r="J1038" s="320">
        <v>0.0</v>
      </c>
    </row>
    <row r="1039">
      <c r="A1039" s="321"/>
      <c r="B1039" s="315" t="s">
        <v>1472</v>
      </c>
      <c r="C1039" s="315" t="s">
        <v>398</v>
      </c>
      <c r="D1039" s="315" t="s">
        <v>406</v>
      </c>
      <c r="E1039" s="316" t="s">
        <v>407</v>
      </c>
      <c r="F1039" s="316"/>
      <c r="G1039" s="316"/>
      <c r="H1039" s="316"/>
      <c r="I1039" s="316">
        <v>6010231.0</v>
      </c>
      <c r="J1039" s="320">
        <v>7.0</v>
      </c>
    </row>
    <row r="1040">
      <c r="A1040" s="321"/>
      <c r="B1040" s="315" t="s">
        <v>1472</v>
      </c>
      <c r="C1040" s="315" t="s">
        <v>398</v>
      </c>
      <c r="D1040" s="315" t="s">
        <v>408</v>
      </c>
      <c r="E1040" s="316" t="s">
        <v>407</v>
      </c>
      <c r="F1040" s="316"/>
      <c r="G1040" s="316"/>
      <c r="H1040" s="316"/>
      <c r="I1040" s="316">
        <v>6010231.0</v>
      </c>
      <c r="J1040" s="320">
        <v>6.0</v>
      </c>
    </row>
    <row r="1041">
      <c r="A1041" s="321"/>
      <c r="B1041" s="315"/>
      <c r="C1041" s="315"/>
      <c r="D1041" s="315"/>
      <c r="E1041" s="316"/>
      <c r="F1041" s="316"/>
      <c r="G1041" s="316"/>
      <c r="H1041" s="316"/>
      <c r="I1041" s="316"/>
      <c r="J1041" s="320"/>
    </row>
    <row r="1042">
      <c r="A1042" s="314">
        <v>184.0</v>
      </c>
      <c r="B1042" s="315" t="s">
        <v>1472</v>
      </c>
      <c r="C1042" s="315" t="s">
        <v>398</v>
      </c>
      <c r="D1042" s="315" t="s">
        <v>404</v>
      </c>
      <c r="E1042" s="316" t="s">
        <v>407</v>
      </c>
      <c r="F1042" s="316"/>
      <c r="G1042" s="316"/>
      <c r="H1042" s="316"/>
      <c r="I1042" s="316" t="s">
        <v>231</v>
      </c>
      <c r="J1042" s="320">
        <v>0.0</v>
      </c>
    </row>
    <row r="1043">
      <c r="A1043" s="321"/>
      <c r="B1043" s="315" t="s">
        <v>1472</v>
      </c>
      <c r="C1043" s="315" t="s">
        <v>398</v>
      </c>
      <c r="D1043" s="315" t="s">
        <v>406</v>
      </c>
      <c r="E1043" s="316" t="s">
        <v>407</v>
      </c>
      <c r="F1043" s="316"/>
      <c r="G1043" s="316"/>
      <c r="H1043" s="316"/>
      <c r="I1043" s="316" t="s">
        <v>231</v>
      </c>
      <c r="J1043" s="320">
        <v>2.0</v>
      </c>
    </row>
    <row r="1044">
      <c r="A1044" s="321"/>
      <c r="B1044" s="315" t="s">
        <v>1472</v>
      </c>
      <c r="C1044" s="315" t="s">
        <v>398</v>
      </c>
      <c r="D1044" s="315" t="s">
        <v>408</v>
      </c>
      <c r="E1044" s="316" t="s">
        <v>407</v>
      </c>
      <c r="F1044" s="316"/>
      <c r="G1044" s="316"/>
      <c r="H1044" s="316"/>
      <c r="I1044" s="316" t="s">
        <v>231</v>
      </c>
      <c r="J1044" s="320">
        <v>5.0</v>
      </c>
    </row>
    <row r="1045">
      <c r="A1045" s="321"/>
      <c r="B1045" s="315"/>
      <c r="C1045" s="315"/>
      <c r="D1045" s="315"/>
      <c r="E1045" s="316"/>
      <c r="F1045" s="316"/>
      <c r="G1045" s="316"/>
      <c r="H1045" s="316"/>
      <c r="I1045" s="316"/>
      <c r="J1045" s="320"/>
    </row>
    <row r="1046">
      <c r="A1046" s="314">
        <v>185.0</v>
      </c>
      <c r="B1046" s="315" t="s">
        <v>1472</v>
      </c>
      <c r="C1046" s="315" t="s">
        <v>398</v>
      </c>
      <c r="D1046" s="315" t="s">
        <v>404</v>
      </c>
      <c r="E1046" s="316" t="s">
        <v>407</v>
      </c>
      <c r="F1046" s="316"/>
      <c r="G1046" s="316"/>
      <c r="H1046" s="316"/>
      <c r="I1046" s="316" t="s">
        <v>29</v>
      </c>
      <c r="J1046" s="320">
        <v>0.0</v>
      </c>
    </row>
    <row r="1047">
      <c r="A1047" s="321"/>
      <c r="B1047" s="315" t="s">
        <v>1472</v>
      </c>
      <c r="C1047" s="315" t="s">
        <v>398</v>
      </c>
      <c r="D1047" s="315" t="s">
        <v>406</v>
      </c>
      <c r="E1047" s="316" t="s">
        <v>407</v>
      </c>
      <c r="F1047" s="316"/>
      <c r="G1047" s="316"/>
      <c r="H1047" s="316"/>
      <c r="I1047" s="316" t="s">
        <v>29</v>
      </c>
      <c r="J1047" s="320">
        <v>0.0</v>
      </c>
    </row>
    <row r="1048">
      <c r="A1048" s="321"/>
      <c r="B1048" s="315" t="s">
        <v>1472</v>
      </c>
      <c r="C1048" s="315" t="s">
        <v>398</v>
      </c>
      <c r="D1048" s="315" t="s">
        <v>408</v>
      </c>
      <c r="E1048" s="316" t="s">
        <v>407</v>
      </c>
      <c r="F1048" s="316"/>
      <c r="G1048" s="316"/>
      <c r="H1048" s="316"/>
      <c r="I1048" s="316" t="s">
        <v>29</v>
      </c>
      <c r="J1048" s="320">
        <v>9.0</v>
      </c>
    </row>
    <row r="1049">
      <c r="A1049" s="321"/>
      <c r="B1049" s="315"/>
      <c r="C1049" s="315"/>
      <c r="D1049" s="315"/>
      <c r="E1049" s="316"/>
      <c r="F1049" s="316"/>
      <c r="G1049" s="316"/>
      <c r="H1049" s="316"/>
      <c r="I1049" s="316"/>
      <c r="J1049" s="320"/>
    </row>
    <row r="1050">
      <c r="A1050" s="321"/>
      <c r="B1050" s="315"/>
      <c r="C1050" s="315"/>
      <c r="D1050" s="315"/>
      <c r="E1050" s="316"/>
      <c r="F1050" s="316"/>
      <c r="G1050" s="316"/>
      <c r="H1050" s="316"/>
      <c r="I1050" s="316"/>
      <c r="J1050" s="320"/>
    </row>
    <row r="1051">
      <c r="A1051" s="314">
        <v>186.0</v>
      </c>
      <c r="B1051" s="315" t="s">
        <v>1472</v>
      </c>
      <c r="C1051" s="315" t="s">
        <v>398</v>
      </c>
      <c r="D1051" s="315" t="s">
        <v>404</v>
      </c>
      <c r="E1051" s="316" t="s">
        <v>407</v>
      </c>
      <c r="F1051" s="316"/>
      <c r="G1051" s="316"/>
      <c r="H1051" s="316"/>
      <c r="I1051" s="316" t="s">
        <v>1475</v>
      </c>
      <c r="J1051" s="320">
        <v>1.0</v>
      </c>
    </row>
    <row r="1052">
      <c r="A1052" s="321"/>
      <c r="B1052" s="315" t="s">
        <v>1472</v>
      </c>
      <c r="C1052" s="315" t="s">
        <v>398</v>
      </c>
      <c r="D1052" s="315" t="s">
        <v>406</v>
      </c>
      <c r="E1052" s="316" t="s">
        <v>407</v>
      </c>
      <c r="F1052" s="316"/>
      <c r="G1052" s="316"/>
      <c r="H1052" s="316"/>
      <c r="I1052" s="316" t="s">
        <v>1475</v>
      </c>
      <c r="J1052" s="320">
        <v>0.0</v>
      </c>
    </row>
    <row r="1053">
      <c r="A1053" s="321"/>
      <c r="B1053" s="315" t="s">
        <v>1472</v>
      </c>
      <c r="C1053" s="315" t="s">
        <v>398</v>
      </c>
      <c r="D1053" s="315" t="s">
        <v>408</v>
      </c>
      <c r="E1053" s="316" t="s">
        <v>407</v>
      </c>
      <c r="F1053" s="316"/>
      <c r="G1053" s="316"/>
      <c r="H1053" s="316"/>
      <c r="I1053" s="316" t="s">
        <v>1475</v>
      </c>
      <c r="J1053" s="320">
        <v>0.0</v>
      </c>
    </row>
    <row r="1054">
      <c r="A1054" s="321"/>
      <c r="B1054" s="315"/>
      <c r="C1054" s="315"/>
      <c r="D1054" s="315"/>
      <c r="E1054" s="316"/>
      <c r="F1054" s="316"/>
      <c r="G1054" s="316"/>
      <c r="H1054" s="316"/>
      <c r="I1054" s="316"/>
      <c r="J1054" s="320"/>
    </row>
    <row r="1055">
      <c r="A1055" s="314">
        <v>187.0</v>
      </c>
      <c r="B1055" s="315" t="s">
        <v>1472</v>
      </c>
      <c r="C1055" s="315" t="s">
        <v>398</v>
      </c>
      <c r="D1055" s="315" t="s">
        <v>404</v>
      </c>
      <c r="E1055" s="316" t="s">
        <v>407</v>
      </c>
      <c r="F1055" s="316"/>
      <c r="G1055" s="316"/>
      <c r="H1055" s="316"/>
      <c r="I1055" s="316" t="s">
        <v>1476</v>
      </c>
      <c r="J1055" s="320">
        <v>2.0</v>
      </c>
    </row>
    <row r="1056">
      <c r="A1056" s="321"/>
      <c r="B1056" s="315" t="s">
        <v>1472</v>
      </c>
      <c r="C1056" s="315" t="s">
        <v>398</v>
      </c>
      <c r="D1056" s="315" t="s">
        <v>406</v>
      </c>
      <c r="E1056" s="316" t="s">
        <v>407</v>
      </c>
      <c r="F1056" s="316"/>
      <c r="G1056" s="316"/>
      <c r="H1056" s="316"/>
      <c r="I1056" s="316" t="s">
        <v>1476</v>
      </c>
      <c r="J1056" s="320">
        <v>0.0</v>
      </c>
    </row>
    <row r="1057">
      <c r="A1057" s="321"/>
      <c r="B1057" s="315" t="s">
        <v>1472</v>
      </c>
      <c r="C1057" s="315" t="s">
        <v>398</v>
      </c>
      <c r="D1057" s="315" t="s">
        <v>408</v>
      </c>
      <c r="E1057" s="316" t="s">
        <v>407</v>
      </c>
      <c r="F1057" s="316"/>
      <c r="G1057" s="316"/>
      <c r="H1057" s="316"/>
      <c r="I1057" s="316" t="s">
        <v>1476</v>
      </c>
      <c r="J1057" s="320">
        <v>0.0</v>
      </c>
    </row>
    <row r="1058">
      <c r="A1058" s="321"/>
      <c r="B1058" s="315"/>
      <c r="C1058" s="315"/>
      <c r="D1058" s="315"/>
      <c r="E1058" s="316"/>
      <c r="F1058" s="316"/>
      <c r="G1058" s="316"/>
      <c r="H1058" s="316"/>
      <c r="I1058" s="316"/>
      <c r="J1058" s="320"/>
    </row>
    <row r="1059">
      <c r="A1059" s="321"/>
      <c r="B1059" s="315"/>
      <c r="C1059" s="315"/>
      <c r="D1059" s="315"/>
      <c r="E1059" s="316"/>
      <c r="F1059" s="316"/>
      <c r="G1059" s="316"/>
      <c r="H1059" s="316"/>
      <c r="I1059" s="316"/>
      <c r="J1059" s="320"/>
    </row>
    <row r="1060">
      <c r="A1060" s="314">
        <v>188.0</v>
      </c>
      <c r="B1060" s="315" t="s">
        <v>1472</v>
      </c>
      <c r="C1060" s="315" t="s">
        <v>398</v>
      </c>
      <c r="D1060" s="315" t="s">
        <v>404</v>
      </c>
      <c r="E1060" s="316" t="s">
        <v>407</v>
      </c>
      <c r="F1060" s="316"/>
      <c r="G1060" s="316"/>
      <c r="H1060" s="316"/>
      <c r="I1060" s="316" t="s">
        <v>1477</v>
      </c>
      <c r="J1060" s="320">
        <v>3.0</v>
      </c>
    </row>
    <row r="1061">
      <c r="A1061" s="321"/>
      <c r="B1061" s="315" t="s">
        <v>1472</v>
      </c>
      <c r="C1061" s="315" t="s">
        <v>398</v>
      </c>
      <c r="D1061" s="315" t="s">
        <v>406</v>
      </c>
      <c r="E1061" s="316" t="s">
        <v>407</v>
      </c>
      <c r="F1061" s="316"/>
      <c r="G1061" s="316"/>
      <c r="H1061" s="316"/>
      <c r="I1061" s="316" t="s">
        <v>1477</v>
      </c>
      <c r="J1061" s="320">
        <v>0.0</v>
      </c>
    </row>
    <row r="1062">
      <c r="A1062" s="321"/>
      <c r="B1062" s="315" t="s">
        <v>1472</v>
      </c>
      <c r="C1062" s="315" t="s">
        <v>398</v>
      </c>
      <c r="D1062" s="315" t="s">
        <v>408</v>
      </c>
      <c r="E1062" s="316" t="s">
        <v>407</v>
      </c>
      <c r="F1062" s="316"/>
      <c r="G1062" s="316"/>
      <c r="H1062" s="316"/>
      <c r="I1062" s="316" t="s">
        <v>1477</v>
      </c>
      <c r="J1062" s="320">
        <v>0.0</v>
      </c>
    </row>
    <row r="1063">
      <c r="A1063" s="321"/>
      <c r="B1063" s="315"/>
      <c r="C1063" s="315"/>
      <c r="D1063" s="315"/>
      <c r="E1063" s="316"/>
      <c r="F1063" s="316"/>
      <c r="G1063" s="316"/>
      <c r="H1063" s="316"/>
      <c r="I1063" s="316"/>
      <c r="J1063" s="320"/>
    </row>
    <row r="1064">
      <c r="A1064" s="314">
        <v>189.0</v>
      </c>
      <c r="B1064" s="315" t="s">
        <v>1472</v>
      </c>
      <c r="C1064" s="315" t="s">
        <v>398</v>
      </c>
      <c r="D1064" s="315" t="s">
        <v>404</v>
      </c>
      <c r="E1064" s="316" t="s">
        <v>409</v>
      </c>
      <c r="F1064" s="316"/>
      <c r="G1064" s="316"/>
      <c r="H1064" s="316"/>
      <c r="I1064" s="316">
        <v>14045.0</v>
      </c>
      <c r="J1064" s="320">
        <v>0.0</v>
      </c>
    </row>
    <row r="1065">
      <c r="A1065" s="321"/>
      <c r="B1065" s="315" t="s">
        <v>1472</v>
      </c>
      <c r="C1065" s="315" t="s">
        <v>398</v>
      </c>
      <c r="D1065" s="315" t="s">
        <v>406</v>
      </c>
      <c r="E1065" s="316" t="s">
        <v>409</v>
      </c>
      <c r="F1065" s="316"/>
      <c r="G1065" s="316"/>
      <c r="H1065" s="316"/>
      <c r="I1065" s="316">
        <v>14045.0</v>
      </c>
      <c r="J1065" s="320">
        <v>1.0</v>
      </c>
    </row>
    <row r="1066">
      <c r="A1066" s="321"/>
      <c r="B1066" s="315" t="s">
        <v>1472</v>
      </c>
      <c r="C1066" s="315" t="s">
        <v>398</v>
      </c>
      <c r="D1066" s="315" t="s">
        <v>408</v>
      </c>
      <c r="E1066" s="316" t="s">
        <v>409</v>
      </c>
      <c r="F1066" s="316"/>
      <c r="G1066" s="316"/>
      <c r="H1066" s="316"/>
      <c r="I1066" s="316">
        <v>14045.0</v>
      </c>
      <c r="J1066" s="320">
        <v>0.0</v>
      </c>
    </row>
    <row r="1067">
      <c r="A1067" s="321"/>
      <c r="B1067" s="315"/>
      <c r="C1067" s="315"/>
      <c r="D1067" s="315"/>
      <c r="E1067" s="316"/>
      <c r="F1067" s="316"/>
      <c r="G1067" s="316"/>
      <c r="H1067" s="316"/>
      <c r="I1067" s="316"/>
      <c r="J1067" s="320"/>
    </row>
    <row r="1068">
      <c r="A1068" s="321"/>
      <c r="B1068" s="315"/>
      <c r="C1068" s="315"/>
      <c r="D1068" s="315"/>
      <c r="E1068" s="316"/>
      <c r="F1068" s="316"/>
      <c r="G1068" s="316"/>
      <c r="H1068" s="316"/>
      <c r="I1068" s="316"/>
      <c r="J1068" s="320"/>
    </row>
    <row r="1069">
      <c r="A1069" s="314">
        <v>190.0</v>
      </c>
      <c r="B1069" s="315" t="s">
        <v>1472</v>
      </c>
      <c r="C1069" s="315" t="s">
        <v>398</v>
      </c>
      <c r="D1069" s="315" t="s">
        <v>404</v>
      </c>
      <c r="E1069" s="316" t="s">
        <v>409</v>
      </c>
      <c r="F1069" s="316"/>
      <c r="G1069" s="316"/>
      <c r="H1069" s="316"/>
      <c r="I1069" s="316">
        <v>14141.0</v>
      </c>
      <c r="J1069" s="320">
        <v>0.0</v>
      </c>
    </row>
    <row r="1070">
      <c r="A1070" s="321"/>
      <c r="B1070" s="315" t="s">
        <v>1472</v>
      </c>
      <c r="C1070" s="315" t="s">
        <v>398</v>
      </c>
      <c r="D1070" s="315" t="s">
        <v>406</v>
      </c>
      <c r="E1070" s="316" t="s">
        <v>409</v>
      </c>
      <c r="F1070" s="316"/>
      <c r="G1070" s="316"/>
      <c r="H1070" s="316"/>
      <c r="I1070" s="316">
        <v>14141.0</v>
      </c>
      <c r="J1070" s="320">
        <v>1.0</v>
      </c>
    </row>
    <row r="1071">
      <c r="A1071" s="321"/>
      <c r="B1071" s="315" t="s">
        <v>1472</v>
      </c>
      <c r="C1071" s="315" t="s">
        <v>398</v>
      </c>
      <c r="D1071" s="315" t="s">
        <v>408</v>
      </c>
      <c r="E1071" s="316" t="s">
        <v>409</v>
      </c>
      <c r="F1071" s="316"/>
      <c r="G1071" s="316"/>
      <c r="H1071" s="316"/>
      <c r="I1071" s="316">
        <v>14141.0</v>
      </c>
      <c r="J1071" s="320">
        <v>0.0</v>
      </c>
    </row>
    <row r="1072">
      <c r="A1072" s="321"/>
      <c r="B1072" s="315"/>
      <c r="C1072" s="315"/>
      <c r="D1072" s="315"/>
      <c r="E1072" s="316"/>
      <c r="F1072" s="316"/>
      <c r="G1072" s="316"/>
      <c r="H1072" s="316"/>
      <c r="I1072" s="316"/>
      <c r="J1072" s="320"/>
    </row>
    <row r="1073">
      <c r="A1073" s="321"/>
      <c r="B1073" s="315"/>
      <c r="C1073" s="315"/>
      <c r="D1073" s="315"/>
      <c r="E1073" s="316"/>
      <c r="F1073" s="316"/>
      <c r="G1073" s="316"/>
      <c r="H1073" s="316"/>
      <c r="I1073" s="316"/>
      <c r="J1073" s="320"/>
    </row>
    <row r="1074">
      <c r="A1074" s="314">
        <v>191.0</v>
      </c>
      <c r="B1074" s="315" t="s">
        <v>1472</v>
      </c>
      <c r="C1074" s="315" t="s">
        <v>398</v>
      </c>
      <c r="D1074" s="315" t="s">
        <v>404</v>
      </c>
      <c r="E1074" s="316" t="s">
        <v>409</v>
      </c>
      <c r="F1074" s="316"/>
      <c r="G1074" s="316"/>
      <c r="H1074" s="316"/>
      <c r="I1074" s="316">
        <v>14894.0</v>
      </c>
      <c r="J1074" s="320">
        <v>0.0</v>
      </c>
    </row>
    <row r="1075">
      <c r="A1075" s="321"/>
      <c r="B1075" s="315" t="s">
        <v>1472</v>
      </c>
      <c r="C1075" s="315" t="s">
        <v>398</v>
      </c>
      <c r="D1075" s="315" t="s">
        <v>406</v>
      </c>
      <c r="E1075" s="316" t="s">
        <v>409</v>
      </c>
      <c r="F1075" s="316"/>
      <c r="G1075" s="316"/>
      <c r="H1075" s="316"/>
      <c r="I1075" s="316">
        <v>14894.0</v>
      </c>
      <c r="J1075" s="320">
        <v>1.0</v>
      </c>
    </row>
    <row r="1076">
      <c r="A1076" s="321"/>
      <c r="B1076" s="315" t="s">
        <v>1472</v>
      </c>
      <c r="C1076" s="315" t="s">
        <v>398</v>
      </c>
      <c r="D1076" s="315" t="s">
        <v>408</v>
      </c>
      <c r="E1076" s="316" t="s">
        <v>409</v>
      </c>
      <c r="F1076" s="316"/>
      <c r="G1076" s="316"/>
      <c r="H1076" s="316"/>
      <c r="I1076" s="316">
        <v>14894.0</v>
      </c>
      <c r="J1076" s="320">
        <v>0.0</v>
      </c>
    </row>
    <row r="1077">
      <c r="A1077" s="321"/>
      <c r="B1077" s="315"/>
      <c r="C1077" s="315"/>
      <c r="D1077" s="315"/>
      <c r="E1077" s="316"/>
      <c r="F1077" s="316"/>
      <c r="G1077" s="316"/>
      <c r="H1077" s="316"/>
      <c r="I1077" s="316"/>
      <c r="J1077" s="320"/>
    </row>
    <row r="1078">
      <c r="A1078" s="314">
        <v>192.0</v>
      </c>
      <c r="B1078" s="315" t="s">
        <v>1472</v>
      </c>
      <c r="C1078" s="315" t="s">
        <v>398</v>
      </c>
      <c r="D1078" s="315" t="s">
        <v>404</v>
      </c>
      <c r="E1078" s="316" t="s">
        <v>409</v>
      </c>
      <c r="F1078" s="316"/>
      <c r="G1078" s="316"/>
      <c r="H1078" s="316"/>
      <c r="I1078" s="316">
        <v>14975.0</v>
      </c>
      <c r="J1078" s="320">
        <v>0.0</v>
      </c>
    </row>
    <row r="1079">
      <c r="A1079" s="321"/>
      <c r="B1079" s="315" t="s">
        <v>1472</v>
      </c>
      <c r="C1079" s="315" t="s">
        <v>398</v>
      </c>
      <c r="D1079" s="315" t="s">
        <v>406</v>
      </c>
      <c r="E1079" s="316" t="s">
        <v>409</v>
      </c>
      <c r="F1079" s="316"/>
      <c r="G1079" s="316"/>
      <c r="H1079" s="316"/>
      <c r="I1079" s="316">
        <v>14975.0</v>
      </c>
      <c r="J1079" s="320">
        <v>2.0</v>
      </c>
    </row>
    <row r="1080">
      <c r="A1080" s="321"/>
      <c r="B1080" s="315" t="s">
        <v>1472</v>
      </c>
      <c r="C1080" s="315" t="s">
        <v>398</v>
      </c>
      <c r="D1080" s="315" t="s">
        <v>408</v>
      </c>
      <c r="E1080" s="316" t="s">
        <v>409</v>
      </c>
      <c r="F1080" s="316"/>
      <c r="G1080" s="316"/>
      <c r="H1080" s="316"/>
      <c r="I1080" s="316">
        <v>14975.0</v>
      </c>
      <c r="J1080" s="320">
        <v>0.0</v>
      </c>
    </row>
    <row r="1081">
      <c r="A1081" s="321"/>
      <c r="B1081" s="315"/>
      <c r="C1081" s="315"/>
      <c r="D1081" s="315"/>
      <c r="E1081" s="316"/>
      <c r="F1081" s="316"/>
      <c r="G1081" s="316"/>
      <c r="H1081" s="316"/>
      <c r="I1081" s="316"/>
      <c r="J1081" s="320"/>
    </row>
    <row r="1082">
      <c r="A1082" s="321"/>
      <c r="B1082" s="315"/>
      <c r="C1082" s="315"/>
      <c r="D1082" s="315"/>
      <c r="E1082" s="316"/>
      <c r="F1082" s="316"/>
      <c r="G1082" s="316"/>
      <c r="H1082" s="316"/>
      <c r="I1082" s="316"/>
      <c r="J1082" s="320"/>
    </row>
    <row r="1083">
      <c r="A1083" s="314">
        <v>193.0</v>
      </c>
      <c r="B1083" s="315" t="s">
        <v>1472</v>
      </c>
      <c r="C1083" s="315" t="s">
        <v>398</v>
      </c>
      <c r="D1083" s="315" t="s">
        <v>404</v>
      </c>
      <c r="E1083" s="316" t="s">
        <v>409</v>
      </c>
      <c r="F1083" s="316"/>
      <c r="G1083" s="316"/>
      <c r="H1083" s="316"/>
      <c r="I1083" s="316">
        <v>15219.0</v>
      </c>
      <c r="J1083" s="320">
        <v>0.0</v>
      </c>
    </row>
    <row r="1084">
      <c r="A1084" s="321"/>
      <c r="B1084" s="315" t="s">
        <v>1472</v>
      </c>
      <c r="C1084" s="315" t="s">
        <v>398</v>
      </c>
      <c r="D1084" s="315" t="s">
        <v>406</v>
      </c>
      <c r="E1084" s="316" t="s">
        <v>409</v>
      </c>
      <c r="F1084" s="316"/>
      <c r="G1084" s="316"/>
      <c r="H1084" s="316"/>
      <c r="I1084" s="316">
        <v>15219.0</v>
      </c>
      <c r="J1084" s="320">
        <v>1.0</v>
      </c>
    </row>
    <row r="1085">
      <c r="A1085" s="321"/>
      <c r="B1085" s="315" t="s">
        <v>1472</v>
      </c>
      <c r="C1085" s="315" t="s">
        <v>398</v>
      </c>
      <c r="D1085" s="315" t="s">
        <v>408</v>
      </c>
      <c r="E1085" s="316" t="s">
        <v>409</v>
      </c>
      <c r="F1085" s="316"/>
      <c r="G1085" s="316"/>
      <c r="H1085" s="316"/>
      <c r="I1085" s="316">
        <v>15219.0</v>
      </c>
      <c r="J1085" s="320">
        <v>0.0</v>
      </c>
    </row>
    <row r="1086">
      <c r="A1086" s="321"/>
      <c r="B1086" s="315"/>
      <c r="C1086" s="315"/>
      <c r="D1086" s="315"/>
      <c r="E1086" s="316"/>
      <c r="F1086" s="316"/>
      <c r="G1086" s="316"/>
      <c r="H1086" s="316"/>
      <c r="I1086" s="316"/>
      <c r="J1086" s="320"/>
    </row>
    <row r="1087">
      <c r="A1087" s="321"/>
      <c r="B1087" s="315"/>
      <c r="C1087" s="315"/>
      <c r="D1087" s="315"/>
      <c r="E1087" s="316"/>
      <c r="F1087" s="316"/>
      <c r="G1087" s="316"/>
      <c r="H1087" s="316"/>
      <c r="I1087" s="316"/>
      <c r="J1087" s="320"/>
    </row>
    <row r="1088">
      <c r="A1088" s="314">
        <v>194.0</v>
      </c>
      <c r="B1088" s="315" t="s">
        <v>1472</v>
      </c>
      <c r="C1088" s="315" t="s">
        <v>398</v>
      </c>
      <c r="D1088" s="315" t="s">
        <v>404</v>
      </c>
      <c r="E1088" s="316" t="s">
        <v>409</v>
      </c>
      <c r="F1088" s="316"/>
      <c r="G1088" s="316"/>
      <c r="H1088" s="316"/>
      <c r="I1088" s="316">
        <v>15220.0</v>
      </c>
      <c r="J1088" s="320">
        <v>0.0</v>
      </c>
    </row>
    <row r="1089">
      <c r="A1089" s="321"/>
      <c r="B1089" s="315" t="s">
        <v>1472</v>
      </c>
      <c r="C1089" s="315" t="s">
        <v>398</v>
      </c>
      <c r="D1089" s="315" t="s">
        <v>406</v>
      </c>
      <c r="E1089" s="316" t="s">
        <v>409</v>
      </c>
      <c r="F1089" s="316"/>
      <c r="G1089" s="316"/>
      <c r="H1089" s="316"/>
      <c r="I1089" s="316">
        <v>15220.0</v>
      </c>
      <c r="J1089" s="320">
        <v>1.0</v>
      </c>
    </row>
    <row r="1090">
      <c r="A1090" s="321"/>
      <c r="B1090" s="315" t="s">
        <v>1472</v>
      </c>
      <c r="C1090" s="315" t="s">
        <v>398</v>
      </c>
      <c r="D1090" s="315" t="s">
        <v>408</v>
      </c>
      <c r="E1090" s="316" t="s">
        <v>409</v>
      </c>
      <c r="F1090" s="316"/>
      <c r="G1090" s="316"/>
      <c r="H1090" s="316"/>
      <c r="I1090" s="316">
        <v>15220.0</v>
      </c>
      <c r="J1090" s="320">
        <v>0.0</v>
      </c>
    </row>
    <row r="1091">
      <c r="A1091" s="321"/>
      <c r="B1091" s="315"/>
      <c r="C1091" s="315"/>
      <c r="D1091" s="315"/>
      <c r="E1091" s="316"/>
      <c r="F1091" s="316"/>
      <c r="G1091" s="316"/>
      <c r="H1091" s="316"/>
      <c r="I1091" s="316"/>
      <c r="J1091" s="320"/>
    </row>
    <row r="1092">
      <c r="A1092" s="314">
        <v>195.0</v>
      </c>
      <c r="B1092" s="315" t="s">
        <v>1472</v>
      </c>
      <c r="C1092" s="315" t="s">
        <v>398</v>
      </c>
      <c r="D1092" s="315" t="s">
        <v>404</v>
      </c>
      <c r="E1092" s="316" t="s">
        <v>409</v>
      </c>
      <c r="F1092" s="316"/>
      <c r="G1092" s="316"/>
      <c r="H1092" s="316"/>
      <c r="I1092" s="316">
        <v>15304.0</v>
      </c>
      <c r="J1092" s="320">
        <v>0.0</v>
      </c>
    </row>
    <row r="1093">
      <c r="A1093" s="321"/>
      <c r="B1093" s="315" t="s">
        <v>1472</v>
      </c>
      <c r="C1093" s="315" t="s">
        <v>398</v>
      </c>
      <c r="D1093" s="315" t="s">
        <v>406</v>
      </c>
      <c r="E1093" s="316" t="s">
        <v>409</v>
      </c>
      <c r="F1093" s="316"/>
      <c r="G1093" s="316"/>
      <c r="H1093" s="316"/>
      <c r="I1093" s="316">
        <v>15304.0</v>
      </c>
      <c r="J1093" s="320">
        <v>2.0</v>
      </c>
    </row>
    <row r="1094">
      <c r="A1094" s="321"/>
      <c r="B1094" s="315" t="s">
        <v>1472</v>
      </c>
      <c r="C1094" s="315" t="s">
        <v>398</v>
      </c>
      <c r="D1094" s="315" t="s">
        <v>408</v>
      </c>
      <c r="E1094" s="316" t="s">
        <v>409</v>
      </c>
      <c r="F1094" s="316"/>
      <c r="G1094" s="316"/>
      <c r="H1094" s="316"/>
      <c r="I1094" s="316">
        <v>15304.0</v>
      </c>
      <c r="J1094" s="320">
        <v>0.0</v>
      </c>
    </row>
    <row r="1095">
      <c r="A1095" s="321"/>
      <c r="B1095" s="315"/>
      <c r="C1095" s="315"/>
      <c r="D1095" s="315"/>
      <c r="E1095" s="316"/>
      <c r="F1095" s="316"/>
      <c r="G1095" s="316"/>
      <c r="H1095" s="316"/>
      <c r="I1095" s="316"/>
      <c r="J1095" s="320"/>
    </row>
    <row r="1096">
      <c r="A1096" s="321"/>
      <c r="B1096" s="315"/>
      <c r="C1096" s="315"/>
      <c r="D1096" s="315"/>
      <c r="E1096" s="316"/>
      <c r="F1096" s="316"/>
      <c r="G1096" s="316"/>
      <c r="H1096" s="316"/>
      <c r="I1096" s="316"/>
      <c r="J1096" s="320"/>
    </row>
    <row r="1097">
      <c r="A1097" s="314">
        <v>196.0</v>
      </c>
      <c r="B1097" s="315" t="s">
        <v>1472</v>
      </c>
      <c r="C1097" s="315" t="s">
        <v>398</v>
      </c>
      <c r="D1097" s="315" t="s">
        <v>404</v>
      </c>
      <c r="E1097" s="316" t="s">
        <v>409</v>
      </c>
      <c r="F1097" s="316"/>
      <c r="G1097" s="316"/>
      <c r="H1097" s="316"/>
      <c r="I1097" s="316">
        <v>15383.0</v>
      </c>
      <c r="J1097" s="320">
        <v>0.0</v>
      </c>
    </row>
    <row r="1098">
      <c r="A1098" s="321"/>
      <c r="B1098" s="315" t="s">
        <v>1472</v>
      </c>
      <c r="C1098" s="315" t="s">
        <v>398</v>
      </c>
      <c r="D1098" s="315" t="s">
        <v>406</v>
      </c>
      <c r="E1098" s="316" t="s">
        <v>409</v>
      </c>
      <c r="F1098" s="316"/>
      <c r="G1098" s="316"/>
      <c r="H1098" s="316"/>
      <c r="I1098" s="316">
        <v>15383.0</v>
      </c>
      <c r="J1098" s="320">
        <v>1.0</v>
      </c>
    </row>
    <row r="1099">
      <c r="A1099" s="321"/>
      <c r="B1099" s="315" t="s">
        <v>1472</v>
      </c>
      <c r="C1099" s="315" t="s">
        <v>398</v>
      </c>
      <c r="D1099" s="315" t="s">
        <v>408</v>
      </c>
      <c r="E1099" s="316" t="s">
        <v>409</v>
      </c>
      <c r="F1099" s="316"/>
      <c r="G1099" s="316"/>
      <c r="H1099" s="316"/>
      <c r="I1099" s="316">
        <v>15383.0</v>
      </c>
      <c r="J1099" s="320">
        <v>0.0</v>
      </c>
    </row>
    <row r="1100">
      <c r="A1100" s="321"/>
      <c r="B1100" s="315"/>
      <c r="C1100" s="315"/>
      <c r="D1100" s="315"/>
      <c r="E1100" s="316"/>
      <c r="F1100" s="316"/>
      <c r="G1100" s="316"/>
      <c r="H1100" s="316"/>
      <c r="I1100" s="316"/>
      <c r="J1100" s="320"/>
    </row>
    <row r="1101">
      <c r="A1101" s="321"/>
      <c r="B1101" s="315"/>
      <c r="C1101" s="315"/>
      <c r="D1101" s="315"/>
      <c r="E1101" s="316"/>
      <c r="F1101" s="316"/>
      <c r="G1101" s="316"/>
      <c r="H1101" s="316"/>
      <c r="I1101" s="316"/>
      <c r="J1101" s="320"/>
    </row>
    <row r="1102">
      <c r="A1102" s="314">
        <v>197.0</v>
      </c>
      <c r="B1102" s="315" t="s">
        <v>1472</v>
      </c>
      <c r="C1102" s="315" t="s">
        <v>398</v>
      </c>
      <c r="D1102" s="315" t="s">
        <v>404</v>
      </c>
      <c r="E1102" s="316" t="s">
        <v>409</v>
      </c>
      <c r="F1102" s="316"/>
      <c r="G1102" s="316"/>
      <c r="H1102" s="316"/>
      <c r="I1102" s="316">
        <v>15478.0</v>
      </c>
      <c r="J1102" s="320">
        <v>0.0</v>
      </c>
    </row>
    <row r="1103">
      <c r="A1103" s="321"/>
      <c r="B1103" s="315" t="s">
        <v>1472</v>
      </c>
      <c r="C1103" s="315" t="s">
        <v>398</v>
      </c>
      <c r="D1103" s="315" t="s">
        <v>406</v>
      </c>
      <c r="E1103" s="316" t="s">
        <v>409</v>
      </c>
      <c r="F1103" s="316"/>
      <c r="G1103" s="316"/>
      <c r="H1103" s="316"/>
      <c r="I1103" s="316">
        <v>15478.0</v>
      </c>
      <c r="J1103" s="320">
        <v>1.0</v>
      </c>
    </row>
    <row r="1104">
      <c r="A1104" s="321"/>
      <c r="B1104" s="315" t="s">
        <v>1472</v>
      </c>
      <c r="C1104" s="315" t="s">
        <v>398</v>
      </c>
      <c r="D1104" s="315" t="s">
        <v>408</v>
      </c>
      <c r="E1104" s="316" t="s">
        <v>409</v>
      </c>
      <c r="F1104" s="316"/>
      <c r="G1104" s="316"/>
      <c r="H1104" s="316"/>
      <c r="I1104" s="316">
        <v>15478.0</v>
      </c>
      <c r="J1104" s="320">
        <v>0.0</v>
      </c>
    </row>
    <row r="1105">
      <c r="A1105" s="321"/>
      <c r="B1105" s="315"/>
      <c r="C1105" s="315"/>
      <c r="D1105" s="315"/>
      <c r="E1105" s="316"/>
      <c r="F1105" s="316"/>
      <c r="G1105" s="316"/>
      <c r="H1105" s="316"/>
      <c r="I1105" s="316"/>
      <c r="J1105" s="320"/>
    </row>
    <row r="1106">
      <c r="A1106" s="321"/>
      <c r="B1106" s="315"/>
      <c r="C1106" s="315"/>
      <c r="D1106" s="315"/>
      <c r="E1106" s="316"/>
      <c r="F1106" s="316"/>
      <c r="G1106" s="316"/>
      <c r="H1106" s="316"/>
      <c r="I1106" s="316"/>
      <c r="J1106" s="320"/>
    </row>
    <row r="1107">
      <c r="A1107" s="314">
        <v>198.0</v>
      </c>
      <c r="B1107" s="315" t="s">
        <v>1472</v>
      </c>
      <c r="C1107" s="315" t="s">
        <v>398</v>
      </c>
      <c r="D1107" s="315" t="s">
        <v>404</v>
      </c>
      <c r="E1107" s="316" t="s">
        <v>409</v>
      </c>
      <c r="F1107" s="316"/>
      <c r="G1107" s="316"/>
      <c r="H1107" s="316"/>
      <c r="I1107" s="316">
        <v>20104.0</v>
      </c>
      <c r="J1107" s="320">
        <v>0.0</v>
      </c>
    </row>
    <row r="1108">
      <c r="A1108" s="321"/>
      <c r="B1108" s="315" t="s">
        <v>1472</v>
      </c>
      <c r="C1108" s="315" t="s">
        <v>398</v>
      </c>
      <c r="D1108" s="315" t="s">
        <v>406</v>
      </c>
      <c r="E1108" s="316" t="s">
        <v>409</v>
      </c>
      <c r="F1108" s="316"/>
      <c r="G1108" s="316"/>
      <c r="H1108" s="316"/>
      <c r="I1108" s="316">
        <v>20104.0</v>
      </c>
      <c r="J1108" s="320">
        <v>2.0</v>
      </c>
    </row>
    <row r="1109">
      <c r="A1109" s="321"/>
      <c r="B1109" s="315" t="s">
        <v>1472</v>
      </c>
      <c r="C1109" s="315" t="s">
        <v>398</v>
      </c>
      <c r="D1109" s="315" t="s">
        <v>408</v>
      </c>
      <c r="E1109" s="316" t="s">
        <v>409</v>
      </c>
      <c r="F1109" s="316"/>
      <c r="G1109" s="316"/>
      <c r="H1109" s="316"/>
      <c r="I1109" s="316">
        <v>20104.0</v>
      </c>
      <c r="J1109" s="320">
        <v>0.0</v>
      </c>
    </row>
    <row r="1110">
      <c r="A1110" s="321"/>
      <c r="B1110" s="315"/>
      <c r="C1110" s="315"/>
      <c r="D1110" s="315"/>
      <c r="E1110" s="316"/>
      <c r="F1110" s="316"/>
      <c r="G1110" s="316"/>
      <c r="H1110" s="316"/>
      <c r="I1110" s="316"/>
      <c r="J1110" s="320"/>
    </row>
    <row r="1111">
      <c r="A1111" s="314">
        <v>199.0</v>
      </c>
      <c r="B1111" s="315" t="s">
        <v>1472</v>
      </c>
      <c r="C1111" s="315" t="s">
        <v>398</v>
      </c>
      <c r="D1111" s="315" t="s">
        <v>404</v>
      </c>
      <c r="E1111" s="316" t="s">
        <v>409</v>
      </c>
      <c r="F1111" s="316"/>
      <c r="G1111" s="316"/>
      <c r="H1111" s="316"/>
      <c r="I1111" s="316">
        <v>20123.0</v>
      </c>
      <c r="J1111" s="320">
        <v>0.0</v>
      </c>
    </row>
    <row r="1112">
      <c r="A1112" s="321"/>
      <c r="B1112" s="315" t="s">
        <v>1472</v>
      </c>
      <c r="C1112" s="315" t="s">
        <v>398</v>
      </c>
      <c r="D1112" s="315" t="s">
        <v>406</v>
      </c>
      <c r="E1112" s="316" t="s">
        <v>409</v>
      </c>
      <c r="F1112" s="316"/>
      <c r="G1112" s="316"/>
      <c r="H1112" s="316"/>
      <c r="I1112" s="316">
        <v>20123.0</v>
      </c>
      <c r="J1112" s="320">
        <v>1.0</v>
      </c>
    </row>
    <row r="1113">
      <c r="A1113" s="321"/>
      <c r="B1113" s="315" t="s">
        <v>1472</v>
      </c>
      <c r="C1113" s="315" t="s">
        <v>398</v>
      </c>
      <c r="D1113" s="315" t="s">
        <v>408</v>
      </c>
      <c r="E1113" s="316" t="s">
        <v>409</v>
      </c>
      <c r="F1113" s="316"/>
      <c r="G1113" s="316"/>
      <c r="H1113" s="316"/>
      <c r="I1113" s="316">
        <v>20123.0</v>
      </c>
      <c r="J1113" s="320">
        <v>0.0</v>
      </c>
    </row>
    <row r="1114">
      <c r="A1114" s="321"/>
      <c r="B1114" s="315"/>
      <c r="C1114" s="315"/>
      <c r="D1114" s="315"/>
      <c r="E1114" s="316"/>
      <c r="F1114" s="316"/>
      <c r="G1114" s="316"/>
      <c r="H1114" s="316"/>
      <c r="I1114" s="316"/>
      <c r="J1114" s="320"/>
    </row>
    <row r="1115">
      <c r="A1115" s="314">
        <v>200.0</v>
      </c>
      <c r="B1115" s="315" t="s">
        <v>1472</v>
      </c>
      <c r="C1115" s="315" t="s">
        <v>398</v>
      </c>
      <c r="D1115" s="315" t="s">
        <v>404</v>
      </c>
      <c r="E1115" s="316" t="s">
        <v>409</v>
      </c>
      <c r="F1115" s="316"/>
      <c r="G1115" s="316"/>
      <c r="H1115" s="316"/>
      <c r="I1115" s="316" t="s">
        <v>55</v>
      </c>
      <c r="J1115" s="320">
        <v>0.0</v>
      </c>
    </row>
    <row r="1116">
      <c r="A1116" s="321"/>
      <c r="B1116" s="315" t="s">
        <v>1472</v>
      </c>
      <c r="C1116" s="315" t="s">
        <v>398</v>
      </c>
      <c r="D1116" s="315" t="s">
        <v>406</v>
      </c>
      <c r="E1116" s="316" t="s">
        <v>409</v>
      </c>
      <c r="F1116" s="316"/>
      <c r="G1116" s="316"/>
      <c r="H1116" s="316"/>
      <c r="I1116" s="316" t="s">
        <v>55</v>
      </c>
      <c r="J1116" s="320">
        <v>12.0</v>
      </c>
    </row>
    <row r="1117">
      <c r="A1117" s="321"/>
      <c r="B1117" s="315" t="s">
        <v>1472</v>
      </c>
      <c r="C1117" s="315" t="s">
        <v>398</v>
      </c>
      <c r="D1117" s="315" t="s">
        <v>408</v>
      </c>
      <c r="E1117" s="316" t="s">
        <v>409</v>
      </c>
      <c r="F1117" s="316"/>
      <c r="G1117" s="316"/>
      <c r="H1117" s="316"/>
      <c r="I1117" s="316" t="s">
        <v>55</v>
      </c>
      <c r="J1117" s="320">
        <v>16.0</v>
      </c>
    </row>
    <row r="1118">
      <c r="A1118" s="321"/>
      <c r="B1118" s="315"/>
      <c r="C1118" s="315"/>
      <c r="D1118" s="315"/>
      <c r="E1118" s="316"/>
      <c r="F1118" s="316"/>
      <c r="G1118" s="316"/>
      <c r="H1118" s="316"/>
      <c r="I1118" s="316"/>
      <c r="J1118" s="320"/>
    </row>
    <row r="1119">
      <c r="A1119" s="314">
        <v>201.0</v>
      </c>
      <c r="B1119" s="315" t="s">
        <v>1472</v>
      </c>
      <c r="C1119" s="315" t="s">
        <v>398</v>
      </c>
      <c r="D1119" s="315" t="s">
        <v>404</v>
      </c>
      <c r="E1119" s="316" t="s">
        <v>409</v>
      </c>
      <c r="F1119" s="316"/>
      <c r="G1119" s="316"/>
      <c r="H1119" s="316"/>
      <c r="I1119" s="316" t="s">
        <v>61</v>
      </c>
      <c r="J1119" s="320">
        <v>0.0</v>
      </c>
    </row>
    <row r="1120">
      <c r="A1120" s="321"/>
      <c r="B1120" s="315" t="s">
        <v>1472</v>
      </c>
      <c r="C1120" s="315" t="s">
        <v>398</v>
      </c>
      <c r="D1120" s="315" t="s">
        <v>406</v>
      </c>
      <c r="E1120" s="316" t="s">
        <v>409</v>
      </c>
      <c r="F1120" s="316"/>
      <c r="G1120" s="316"/>
      <c r="H1120" s="316"/>
      <c r="I1120" s="316" t="s">
        <v>61</v>
      </c>
      <c r="J1120" s="320">
        <v>5.0</v>
      </c>
    </row>
    <row r="1121">
      <c r="A1121" s="321"/>
      <c r="B1121" s="315" t="s">
        <v>1472</v>
      </c>
      <c r="C1121" s="315" t="s">
        <v>398</v>
      </c>
      <c r="D1121" s="315" t="s">
        <v>408</v>
      </c>
      <c r="E1121" s="316" t="s">
        <v>409</v>
      </c>
      <c r="F1121" s="316"/>
      <c r="G1121" s="316"/>
      <c r="H1121" s="316"/>
      <c r="I1121" s="316" t="s">
        <v>61</v>
      </c>
      <c r="J1121" s="320">
        <v>0.0</v>
      </c>
    </row>
    <row r="1122">
      <c r="A1122" s="321"/>
      <c r="B1122" s="315"/>
      <c r="C1122" s="315"/>
      <c r="D1122" s="315"/>
      <c r="E1122" s="316"/>
      <c r="F1122" s="316"/>
      <c r="G1122" s="316"/>
      <c r="H1122" s="316"/>
      <c r="I1122" s="316"/>
      <c r="J1122" s="320"/>
    </row>
    <row r="1123">
      <c r="A1123" s="321"/>
      <c r="B1123" s="315"/>
      <c r="C1123" s="315"/>
      <c r="D1123" s="315"/>
      <c r="E1123" s="316"/>
      <c r="F1123" s="316"/>
      <c r="G1123" s="316"/>
      <c r="H1123" s="316"/>
      <c r="I1123" s="316"/>
      <c r="J1123" s="320"/>
    </row>
    <row r="1124">
      <c r="A1124" s="314">
        <v>202.0</v>
      </c>
      <c r="B1124" s="315" t="s">
        <v>1472</v>
      </c>
      <c r="C1124" s="315" t="s">
        <v>398</v>
      </c>
      <c r="D1124" s="315" t="s">
        <v>404</v>
      </c>
      <c r="E1124" s="316" t="s">
        <v>409</v>
      </c>
      <c r="F1124" s="316"/>
      <c r="G1124" s="316"/>
      <c r="H1124" s="316"/>
      <c r="I1124" s="316" t="s">
        <v>49</v>
      </c>
      <c r="J1124" s="320">
        <v>0.0</v>
      </c>
    </row>
    <row r="1125">
      <c r="A1125" s="321"/>
      <c r="B1125" s="315" t="s">
        <v>1472</v>
      </c>
      <c r="C1125" s="315" t="s">
        <v>398</v>
      </c>
      <c r="D1125" s="315" t="s">
        <v>406</v>
      </c>
      <c r="E1125" s="316" t="s">
        <v>409</v>
      </c>
      <c r="F1125" s="316"/>
      <c r="G1125" s="316"/>
      <c r="H1125" s="316"/>
      <c r="I1125" s="316" t="s">
        <v>49</v>
      </c>
      <c r="J1125" s="320">
        <v>12.0</v>
      </c>
    </row>
    <row r="1126">
      <c r="A1126" s="321"/>
      <c r="B1126" s="315" t="s">
        <v>1472</v>
      </c>
      <c r="C1126" s="315" t="s">
        <v>398</v>
      </c>
      <c r="D1126" s="315" t="s">
        <v>408</v>
      </c>
      <c r="E1126" s="316" t="s">
        <v>409</v>
      </c>
      <c r="F1126" s="316"/>
      <c r="G1126" s="316"/>
      <c r="H1126" s="316"/>
      <c r="I1126" s="316" t="s">
        <v>49</v>
      </c>
      <c r="J1126" s="320">
        <v>0.0</v>
      </c>
    </row>
    <row r="1127">
      <c r="A1127" s="321"/>
      <c r="B1127" s="315"/>
      <c r="C1127" s="315"/>
      <c r="D1127" s="315"/>
      <c r="E1127" s="316"/>
      <c r="F1127" s="316"/>
      <c r="G1127" s="316"/>
      <c r="H1127" s="316"/>
      <c r="I1127" s="316"/>
      <c r="J1127" s="320"/>
    </row>
    <row r="1128">
      <c r="A1128" s="321"/>
      <c r="B1128" s="315"/>
      <c r="C1128" s="315"/>
      <c r="D1128" s="315"/>
      <c r="E1128" s="316"/>
      <c r="F1128" s="316"/>
      <c r="G1128" s="316"/>
      <c r="H1128" s="316"/>
      <c r="I1128" s="316"/>
      <c r="J1128" s="320"/>
    </row>
    <row r="1129">
      <c r="A1129" s="314">
        <v>203.0</v>
      </c>
      <c r="B1129" s="315" t="s">
        <v>1472</v>
      </c>
      <c r="C1129" s="315" t="s">
        <v>398</v>
      </c>
      <c r="D1129" s="315" t="s">
        <v>404</v>
      </c>
      <c r="E1129" s="316" t="s">
        <v>409</v>
      </c>
      <c r="F1129" s="316"/>
      <c r="G1129" s="316"/>
      <c r="H1129" s="316"/>
      <c r="I1129" s="316" t="s">
        <v>53</v>
      </c>
      <c r="J1129" s="320">
        <v>0.0</v>
      </c>
    </row>
    <row r="1130">
      <c r="A1130" s="321"/>
      <c r="B1130" s="315" t="s">
        <v>1472</v>
      </c>
      <c r="C1130" s="315" t="s">
        <v>398</v>
      </c>
      <c r="D1130" s="315" t="s">
        <v>406</v>
      </c>
      <c r="E1130" s="316" t="s">
        <v>409</v>
      </c>
      <c r="F1130" s="316"/>
      <c r="G1130" s="316"/>
      <c r="H1130" s="316"/>
      <c r="I1130" s="316" t="s">
        <v>53</v>
      </c>
      <c r="J1130" s="320">
        <v>4.0</v>
      </c>
    </row>
    <row r="1131">
      <c r="A1131" s="321"/>
      <c r="B1131" s="315" t="s">
        <v>1472</v>
      </c>
      <c r="C1131" s="315" t="s">
        <v>398</v>
      </c>
      <c r="D1131" s="315" t="s">
        <v>408</v>
      </c>
      <c r="E1131" s="316" t="s">
        <v>409</v>
      </c>
      <c r="F1131" s="316"/>
      <c r="G1131" s="316"/>
      <c r="H1131" s="316"/>
      <c r="I1131" s="316" t="s">
        <v>53</v>
      </c>
      <c r="J1131" s="320">
        <v>0.0</v>
      </c>
    </row>
    <row r="1132">
      <c r="A1132" s="321"/>
      <c r="B1132" s="315"/>
      <c r="C1132" s="315"/>
      <c r="D1132" s="315"/>
      <c r="E1132" s="316"/>
      <c r="F1132" s="316"/>
      <c r="G1132" s="316"/>
      <c r="H1132" s="316"/>
      <c r="I1132" s="316"/>
      <c r="J1132" s="320"/>
    </row>
    <row r="1133">
      <c r="A1133" s="314">
        <v>204.0</v>
      </c>
      <c r="B1133" s="315" t="s">
        <v>1472</v>
      </c>
      <c r="C1133" s="315" t="s">
        <v>398</v>
      </c>
      <c r="D1133" s="315" t="s">
        <v>404</v>
      </c>
      <c r="E1133" s="316" t="s">
        <v>410</v>
      </c>
      <c r="F1133" s="316"/>
      <c r="G1133" s="316"/>
      <c r="H1133" s="316"/>
      <c r="I1133" s="316">
        <v>86809.0</v>
      </c>
      <c r="J1133" s="320">
        <v>0.0</v>
      </c>
    </row>
    <row r="1134">
      <c r="A1134" s="321"/>
      <c r="B1134" s="315" t="s">
        <v>1472</v>
      </c>
      <c r="C1134" s="315" t="s">
        <v>398</v>
      </c>
      <c r="D1134" s="315" t="s">
        <v>406</v>
      </c>
      <c r="E1134" s="316" t="s">
        <v>410</v>
      </c>
      <c r="F1134" s="316"/>
      <c r="G1134" s="316"/>
      <c r="H1134" s="316"/>
      <c r="I1134" s="316">
        <v>86809.0</v>
      </c>
      <c r="J1134" s="320">
        <v>1.0</v>
      </c>
    </row>
    <row r="1135">
      <c r="A1135" s="321"/>
      <c r="B1135" s="315" t="s">
        <v>1472</v>
      </c>
      <c r="C1135" s="315" t="s">
        <v>398</v>
      </c>
      <c r="D1135" s="315" t="s">
        <v>408</v>
      </c>
      <c r="E1135" s="316" t="s">
        <v>410</v>
      </c>
      <c r="F1135" s="316"/>
      <c r="G1135" s="316"/>
      <c r="H1135" s="316"/>
      <c r="I1135" s="316">
        <v>86809.0</v>
      </c>
      <c r="J1135" s="320">
        <v>0.0</v>
      </c>
    </row>
    <row r="1136">
      <c r="A1136" s="321"/>
      <c r="B1136" s="315"/>
      <c r="C1136" s="315"/>
      <c r="D1136" s="315"/>
      <c r="E1136" s="316"/>
      <c r="F1136" s="316"/>
      <c r="G1136" s="316"/>
      <c r="H1136" s="316"/>
      <c r="I1136" s="316"/>
      <c r="J1136" s="320"/>
    </row>
    <row r="1137">
      <c r="A1137" s="314">
        <v>205.0</v>
      </c>
      <c r="B1137" s="315" t="s">
        <v>1472</v>
      </c>
      <c r="C1137" s="315" t="s">
        <v>398</v>
      </c>
      <c r="D1137" s="315" t="s">
        <v>404</v>
      </c>
      <c r="E1137" s="316" t="s">
        <v>410</v>
      </c>
      <c r="F1137" s="316"/>
      <c r="G1137" s="316"/>
      <c r="H1137" s="316"/>
      <c r="I1137" s="316">
        <v>88327.0</v>
      </c>
      <c r="J1137" s="320">
        <v>0.0</v>
      </c>
    </row>
    <row r="1138">
      <c r="A1138" s="321"/>
      <c r="B1138" s="315" t="s">
        <v>1472</v>
      </c>
      <c r="C1138" s="315" t="s">
        <v>398</v>
      </c>
      <c r="D1138" s="315" t="s">
        <v>406</v>
      </c>
      <c r="E1138" s="316" t="s">
        <v>410</v>
      </c>
      <c r="F1138" s="316"/>
      <c r="G1138" s="316"/>
      <c r="H1138" s="316"/>
      <c r="I1138" s="316">
        <v>88327.0</v>
      </c>
      <c r="J1138" s="320">
        <v>1.0</v>
      </c>
    </row>
    <row r="1139">
      <c r="A1139" s="321"/>
      <c r="B1139" s="315" t="s">
        <v>1472</v>
      </c>
      <c r="C1139" s="315" t="s">
        <v>398</v>
      </c>
      <c r="D1139" s="315" t="s">
        <v>408</v>
      </c>
      <c r="E1139" s="316" t="s">
        <v>410</v>
      </c>
      <c r="F1139" s="316"/>
      <c r="G1139" s="316"/>
      <c r="H1139" s="316"/>
      <c r="I1139" s="316">
        <v>88327.0</v>
      </c>
      <c r="J1139" s="320">
        <v>0.0</v>
      </c>
    </row>
    <row r="1140">
      <c r="A1140" s="321"/>
      <c r="B1140" s="315"/>
      <c r="C1140" s="315"/>
      <c r="D1140" s="315"/>
      <c r="E1140" s="316"/>
      <c r="F1140" s="316"/>
      <c r="G1140" s="316"/>
      <c r="H1140" s="316"/>
      <c r="I1140" s="316"/>
      <c r="J1140" s="320"/>
    </row>
    <row r="1141">
      <c r="A1141" s="314">
        <v>206.0</v>
      </c>
      <c r="B1141" s="315" t="s">
        <v>1472</v>
      </c>
      <c r="C1141" s="315" t="s">
        <v>398</v>
      </c>
      <c r="D1141" s="315" t="s">
        <v>404</v>
      </c>
      <c r="E1141" s="316" t="s">
        <v>410</v>
      </c>
      <c r="F1141" s="316"/>
      <c r="G1141" s="316"/>
      <c r="H1141" s="316"/>
      <c r="I1141" s="316" t="s">
        <v>338</v>
      </c>
      <c r="J1141" s="320">
        <v>2.0</v>
      </c>
    </row>
    <row r="1142">
      <c r="A1142" s="321"/>
      <c r="B1142" s="315" t="s">
        <v>1472</v>
      </c>
      <c r="C1142" s="315" t="s">
        <v>398</v>
      </c>
      <c r="D1142" s="315" t="s">
        <v>406</v>
      </c>
      <c r="E1142" s="316" t="s">
        <v>410</v>
      </c>
      <c r="F1142" s="316"/>
      <c r="G1142" s="316"/>
      <c r="H1142" s="316"/>
      <c r="I1142" s="316" t="s">
        <v>338</v>
      </c>
      <c r="J1142" s="320">
        <v>3.0</v>
      </c>
    </row>
    <row r="1143">
      <c r="A1143" s="321"/>
      <c r="B1143" s="315" t="s">
        <v>1472</v>
      </c>
      <c r="C1143" s="315" t="s">
        <v>398</v>
      </c>
      <c r="D1143" s="315" t="s">
        <v>408</v>
      </c>
      <c r="E1143" s="316" t="s">
        <v>410</v>
      </c>
      <c r="F1143" s="316"/>
      <c r="G1143" s="316"/>
      <c r="H1143" s="316"/>
      <c r="I1143" s="316" t="s">
        <v>338</v>
      </c>
      <c r="J1143" s="320">
        <v>10.0</v>
      </c>
    </row>
    <row r="1144">
      <c r="A1144" s="321"/>
      <c r="B1144" s="315"/>
      <c r="C1144" s="315"/>
      <c r="D1144" s="315"/>
      <c r="E1144" s="316"/>
      <c r="F1144" s="316"/>
      <c r="G1144" s="316"/>
      <c r="H1144" s="316"/>
      <c r="I1144" s="316"/>
      <c r="J1144" s="320"/>
    </row>
    <row r="1145">
      <c r="A1145" s="314">
        <v>207.0</v>
      </c>
      <c r="B1145" s="315" t="s">
        <v>1472</v>
      </c>
      <c r="C1145" s="315" t="s">
        <v>398</v>
      </c>
      <c r="D1145" s="315" t="s">
        <v>404</v>
      </c>
      <c r="E1145" s="316" t="s">
        <v>410</v>
      </c>
      <c r="F1145" s="316"/>
      <c r="G1145" s="316"/>
      <c r="H1145" s="316"/>
      <c r="I1145" s="316" t="s">
        <v>339</v>
      </c>
      <c r="J1145" s="320">
        <v>0.0</v>
      </c>
    </row>
    <row r="1146">
      <c r="A1146" s="321"/>
      <c r="B1146" s="315" t="s">
        <v>1472</v>
      </c>
      <c r="C1146" s="315" t="s">
        <v>398</v>
      </c>
      <c r="D1146" s="315" t="s">
        <v>406</v>
      </c>
      <c r="E1146" s="316" t="s">
        <v>410</v>
      </c>
      <c r="F1146" s="316"/>
      <c r="G1146" s="316"/>
      <c r="H1146" s="316"/>
      <c r="I1146" s="316" t="s">
        <v>339</v>
      </c>
      <c r="J1146" s="320">
        <v>2.0</v>
      </c>
    </row>
    <row r="1147">
      <c r="A1147" s="321"/>
      <c r="B1147" s="315" t="s">
        <v>1472</v>
      </c>
      <c r="C1147" s="315" t="s">
        <v>398</v>
      </c>
      <c r="D1147" s="315" t="s">
        <v>408</v>
      </c>
      <c r="E1147" s="316" t="s">
        <v>410</v>
      </c>
      <c r="F1147" s="316"/>
      <c r="G1147" s="316"/>
      <c r="H1147" s="316"/>
      <c r="I1147" s="316" t="s">
        <v>339</v>
      </c>
      <c r="J1147" s="320">
        <v>5.0</v>
      </c>
    </row>
    <row r="1148">
      <c r="A1148" s="321"/>
      <c r="B1148" s="315"/>
      <c r="C1148" s="315"/>
      <c r="D1148" s="315"/>
      <c r="E1148" s="316"/>
      <c r="F1148" s="316"/>
      <c r="G1148" s="316"/>
      <c r="H1148" s="316"/>
      <c r="I1148" s="316"/>
      <c r="J1148" s="320"/>
    </row>
    <row r="1149">
      <c r="A1149" s="314">
        <v>208.0</v>
      </c>
      <c r="B1149" s="315" t="s">
        <v>1472</v>
      </c>
      <c r="C1149" s="315" t="s">
        <v>398</v>
      </c>
      <c r="D1149" s="315" t="s">
        <v>404</v>
      </c>
      <c r="E1149" s="316" t="s">
        <v>410</v>
      </c>
      <c r="F1149" s="316"/>
      <c r="G1149" s="316"/>
      <c r="H1149" s="316"/>
      <c r="I1149" s="316" t="s">
        <v>342</v>
      </c>
      <c r="J1149" s="320">
        <v>1.0</v>
      </c>
    </row>
    <row r="1150">
      <c r="A1150" s="321"/>
      <c r="B1150" s="315" t="s">
        <v>1472</v>
      </c>
      <c r="C1150" s="315" t="s">
        <v>398</v>
      </c>
      <c r="D1150" s="315" t="s">
        <v>406</v>
      </c>
      <c r="E1150" s="316" t="s">
        <v>410</v>
      </c>
      <c r="F1150" s="316"/>
      <c r="G1150" s="316"/>
      <c r="H1150" s="316"/>
      <c r="I1150" s="316" t="s">
        <v>342</v>
      </c>
      <c r="J1150" s="320">
        <v>1.0</v>
      </c>
    </row>
    <row r="1151">
      <c r="A1151" s="321"/>
      <c r="B1151" s="315" t="s">
        <v>1472</v>
      </c>
      <c r="C1151" s="315" t="s">
        <v>398</v>
      </c>
      <c r="D1151" s="315" t="s">
        <v>408</v>
      </c>
      <c r="E1151" s="316" t="s">
        <v>410</v>
      </c>
      <c r="F1151" s="316"/>
      <c r="G1151" s="316"/>
      <c r="H1151" s="316"/>
      <c r="I1151" s="316" t="s">
        <v>342</v>
      </c>
      <c r="J1151" s="320">
        <v>0.0</v>
      </c>
    </row>
    <row r="1152">
      <c r="A1152" s="321"/>
      <c r="B1152" s="315"/>
      <c r="C1152" s="315"/>
      <c r="D1152" s="315"/>
      <c r="E1152" s="316"/>
      <c r="F1152" s="316"/>
      <c r="G1152" s="316"/>
      <c r="H1152" s="316"/>
      <c r="I1152" s="316"/>
      <c r="J1152" s="320"/>
    </row>
    <row r="1153">
      <c r="A1153" s="314">
        <v>209.0</v>
      </c>
      <c r="B1153" s="315" t="s">
        <v>1472</v>
      </c>
      <c r="C1153" s="315" t="s">
        <v>398</v>
      </c>
      <c r="D1153" s="315" t="s">
        <v>404</v>
      </c>
      <c r="E1153" s="316" t="s">
        <v>411</v>
      </c>
      <c r="F1153" s="316"/>
      <c r="G1153" s="316"/>
      <c r="H1153" s="316"/>
      <c r="I1153" s="316">
        <v>566.0</v>
      </c>
      <c r="J1153" s="320">
        <v>1.0</v>
      </c>
    </row>
    <row r="1154">
      <c r="A1154" s="321"/>
      <c r="B1154" s="315" t="s">
        <v>1472</v>
      </c>
      <c r="C1154" s="315" t="s">
        <v>398</v>
      </c>
      <c r="D1154" s="315" t="s">
        <v>406</v>
      </c>
      <c r="E1154" s="316" t="s">
        <v>411</v>
      </c>
      <c r="F1154" s="316"/>
      <c r="G1154" s="316"/>
      <c r="H1154" s="316"/>
      <c r="I1154" s="316">
        <v>566.0</v>
      </c>
      <c r="J1154" s="320">
        <v>0.0</v>
      </c>
    </row>
    <row r="1155">
      <c r="A1155" s="321"/>
      <c r="B1155" s="315" t="s">
        <v>1472</v>
      </c>
      <c r="C1155" s="315" t="s">
        <v>398</v>
      </c>
      <c r="D1155" s="315" t="s">
        <v>408</v>
      </c>
      <c r="E1155" s="316" t="s">
        <v>411</v>
      </c>
      <c r="F1155" s="316"/>
      <c r="G1155" s="316"/>
      <c r="H1155" s="316"/>
      <c r="I1155" s="316">
        <v>566.0</v>
      </c>
      <c r="J1155" s="320">
        <v>0.0</v>
      </c>
    </row>
    <row r="1156">
      <c r="A1156" s="321"/>
      <c r="B1156" s="315"/>
      <c r="C1156" s="315"/>
      <c r="D1156" s="315"/>
      <c r="E1156" s="316"/>
      <c r="F1156" s="316"/>
      <c r="G1156" s="316"/>
      <c r="H1156" s="316"/>
      <c r="I1156" s="316"/>
      <c r="J1156" s="320"/>
    </row>
    <row r="1157">
      <c r="A1157" s="314">
        <v>210.0</v>
      </c>
      <c r="B1157" s="315" t="s">
        <v>1472</v>
      </c>
      <c r="C1157" s="315" t="s">
        <v>398</v>
      </c>
      <c r="D1157" s="315" t="s">
        <v>404</v>
      </c>
      <c r="E1157" s="316" t="s">
        <v>411</v>
      </c>
      <c r="F1157" s="316"/>
      <c r="G1157" s="316"/>
      <c r="H1157" s="316"/>
      <c r="I1157" s="316">
        <v>64028.0</v>
      </c>
      <c r="J1157" s="320">
        <v>0.0</v>
      </c>
    </row>
    <row r="1158">
      <c r="A1158" s="321"/>
      <c r="B1158" s="315" t="s">
        <v>1472</v>
      </c>
      <c r="C1158" s="315" t="s">
        <v>398</v>
      </c>
      <c r="D1158" s="315" t="s">
        <v>406</v>
      </c>
      <c r="E1158" s="316" t="s">
        <v>411</v>
      </c>
      <c r="F1158" s="316"/>
      <c r="G1158" s="316"/>
      <c r="H1158" s="316"/>
      <c r="I1158" s="316">
        <v>64028.0</v>
      </c>
      <c r="J1158" s="320">
        <v>3.0</v>
      </c>
    </row>
    <row r="1159">
      <c r="A1159" s="321"/>
      <c r="B1159" s="315" t="s">
        <v>1472</v>
      </c>
      <c r="C1159" s="315" t="s">
        <v>398</v>
      </c>
      <c r="D1159" s="315" t="s">
        <v>408</v>
      </c>
      <c r="E1159" s="316" t="s">
        <v>411</v>
      </c>
      <c r="F1159" s="316"/>
      <c r="G1159" s="316"/>
      <c r="H1159" s="316"/>
      <c r="I1159" s="316">
        <v>64028.0</v>
      </c>
      <c r="J1159" s="320">
        <v>0.0</v>
      </c>
    </row>
    <row r="1160">
      <c r="A1160" s="321"/>
      <c r="B1160" s="315"/>
      <c r="C1160" s="315"/>
      <c r="D1160" s="315"/>
      <c r="E1160" s="316"/>
      <c r="F1160" s="316"/>
      <c r="G1160" s="316"/>
      <c r="H1160" s="316"/>
      <c r="I1160" s="316"/>
      <c r="J1160" s="320"/>
    </row>
    <row r="1161">
      <c r="A1161" s="314">
        <v>211.0</v>
      </c>
      <c r="B1161" s="315" t="s">
        <v>1472</v>
      </c>
      <c r="C1161" s="315" t="s">
        <v>398</v>
      </c>
      <c r="D1161" s="315" t="s">
        <v>404</v>
      </c>
      <c r="E1161" s="316" t="s">
        <v>411</v>
      </c>
      <c r="F1161" s="316"/>
      <c r="G1161" s="316"/>
      <c r="H1161" s="316"/>
      <c r="I1161" s="316">
        <v>64048.0</v>
      </c>
      <c r="J1161" s="320">
        <v>0.0</v>
      </c>
    </row>
    <row r="1162">
      <c r="A1162" s="321"/>
      <c r="B1162" s="315" t="s">
        <v>1472</v>
      </c>
      <c r="C1162" s="315" t="s">
        <v>398</v>
      </c>
      <c r="D1162" s="315" t="s">
        <v>406</v>
      </c>
      <c r="E1162" s="316" t="s">
        <v>411</v>
      </c>
      <c r="F1162" s="316"/>
      <c r="G1162" s="316"/>
      <c r="H1162" s="316"/>
      <c r="I1162" s="316">
        <v>64048.0</v>
      </c>
      <c r="J1162" s="320">
        <v>2.0</v>
      </c>
    </row>
    <row r="1163">
      <c r="A1163" s="321"/>
      <c r="B1163" s="315" t="s">
        <v>1472</v>
      </c>
      <c r="C1163" s="315" t="s">
        <v>398</v>
      </c>
      <c r="D1163" s="315" t="s">
        <v>408</v>
      </c>
      <c r="E1163" s="316" t="s">
        <v>411</v>
      </c>
      <c r="F1163" s="316"/>
      <c r="G1163" s="316"/>
      <c r="H1163" s="316"/>
      <c r="I1163" s="316">
        <v>64048.0</v>
      </c>
      <c r="J1163" s="320">
        <v>0.0</v>
      </c>
    </row>
    <row r="1164">
      <c r="A1164" s="321"/>
      <c r="B1164" s="315"/>
      <c r="C1164" s="315"/>
      <c r="D1164" s="315"/>
      <c r="E1164" s="316"/>
      <c r="F1164" s="316"/>
      <c r="G1164" s="316"/>
      <c r="H1164" s="316"/>
      <c r="I1164" s="316"/>
      <c r="J1164" s="320"/>
    </row>
    <row r="1165">
      <c r="A1165" s="321"/>
      <c r="B1165" s="315"/>
      <c r="C1165" s="315"/>
      <c r="D1165" s="315"/>
      <c r="E1165" s="316"/>
      <c r="F1165" s="316"/>
      <c r="G1165" s="316"/>
      <c r="H1165" s="316"/>
      <c r="I1165" s="316"/>
      <c r="J1165" s="320"/>
    </row>
    <row r="1166">
      <c r="A1166" s="314">
        <v>212.0</v>
      </c>
      <c r="B1166" s="315" t="s">
        <v>1472</v>
      </c>
      <c r="C1166" s="315" t="s">
        <v>398</v>
      </c>
      <c r="D1166" s="315" t="s">
        <v>404</v>
      </c>
      <c r="E1166" s="316" t="s">
        <v>411</v>
      </c>
      <c r="F1166" s="316"/>
      <c r="G1166" s="316"/>
      <c r="H1166" s="316"/>
      <c r="I1166" s="316">
        <v>64115.0</v>
      </c>
      <c r="J1166" s="320">
        <v>0.0</v>
      </c>
    </row>
    <row r="1167">
      <c r="A1167" s="321"/>
      <c r="B1167" s="315" t="s">
        <v>1472</v>
      </c>
      <c r="C1167" s="315" t="s">
        <v>398</v>
      </c>
      <c r="D1167" s="315" t="s">
        <v>406</v>
      </c>
      <c r="E1167" s="316" t="s">
        <v>411</v>
      </c>
      <c r="F1167" s="316"/>
      <c r="G1167" s="316"/>
      <c r="H1167" s="316"/>
      <c r="I1167" s="316">
        <v>64115.0</v>
      </c>
      <c r="J1167" s="320">
        <v>2.0</v>
      </c>
    </row>
    <row r="1168">
      <c r="A1168" s="321"/>
      <c r="B1168" s="315" t="s">
        <v>1472</v>
      </c>
      <c r="C1168" s="315" t="s">
        <v>398</v>
      </c>
      <c r="D1168" s="315" t="s">
        <v>408</v>
      </c>
      <c r="E1168" s="316" t="s">
        <v>411</v>
      </c>
      <c r="F1168" s="316"/>
      <c r="G1168" s="316"/>
      <c r="H1168" s="316"/>
      <c r="I1168" s="316">
        <v>64115.0</v>
      </c>
      <c r="J1168" s="320">
        <v>0.0</v>
      </c>
    </row>
    <row r="1169">
      <c r="A1169" s="321"/>
      <c r="B1169" s="315"/>
      <c r="C1169" s="315"/>
      <c r="D1169" s="315"/>
      <c r="E1169" s="316"/>
      <c r="F1169" s="316"/>
      <c r="G1169" s="316"/>
      <c r="H1169" s="316"/>
      <c r="I1169" s="316"/>
      <c r="J1169" s="320"/>
    </row>
    <row r="1170">
      <c r="A1170" s="321"/>
      <c r="B1170" s="315"/>
      <c r="C1170" s="315"/>
      <c r="D1170" s="315"/>
      <c r="E1170" s="316"/>
      <c r="F1170" s="316"/>
      <c r="G1170" s="316"/>
      <c r="H1170" s="316"/>
      <c r="I1170" s="316"/>
      <c r="J1170" s="320"/>
    </row>
    <row r="1171">
      <c r="A1171" s="314">
        <v>213.0</v>
      </c>
      <c r="B1171" s="315" t="s">
        <v>1472</v>
      </c>
      <c r="C1171" s="315" t="s">
        <v>398</v>
      </c>
      <c r="D1171" s="315" t="s">
        <v>404</v>
      </c>
      <c r="E1171" s="316" t="s">
        <v>411</v>
      </c>
      <c r="F1171" s="316"/>
      <c r="G1171" s="316"/>
      <c r="H1171" s="316"/>
      <c r="I1171" s="316">
        <v>64346.0</v>
      </c>
      <c r="J1171" s="320">
        <v>0.0</v>
      </c>
    </row>
    <row r="1172">
      <c r="A1172" s="321"/>
      <c r="B1172" s="315" t="s">
        <v>1472</v>
      </c>
      <c r="C1172" s="315" t="s">
        <v>398</v>
      </c>
      <c r="D1172" s="315" t="s">
        <v>406</v>
      </c>
      <c r="E1172" s="316" t="s">
        <v>411</v>
      </c>
      <c r="F1172" s="316"/>
      <c r="G1172" s="316"/>
      <c r="H1172" s="316"/>
      <c r="I1172" s="316">
        <v>64346.0</v>
      </c>
      <c r="J1172" s="320">
        <v>1.0</v>
      </c>
    </row>
    <row r="1173">
      <c r="A1173" s="321"/>
      <c r="B1173" s="315" t="s">
        <v>1472</v>
      </c>
      <c r="C1173" s="315" t="s">
        <v>398</v>
      </c>
      <c r="D1173" s="315" t="s">
        <v>408</v>
      </c>
      <c r="E1173" s="316" t="s">
        <v>411</v>
      </c>
      <c r="F1173" s="316"/>
      <c r="G1173" s="316"/>
      <c r="H1173" s="316"/>
      <c r="I1173" s="316">
        <v>64346.0</v>
      </c>
      <c r="J1173" s="320">
        <v>0.0</v>
      </c>
    </row>
    <row r="1174">
      <c r="A1174" s="321"/>
      <c r="B1174" s="315"/>
      <c r="C1174" s="315"/>
      <c r="D1174" s="315"/>
      <c r="E1174" s="316"/>
      <c r="F1174" s="316"/>
      <c r="G1174" s="316"/>
      <c r="H1174" s="316"/>
      <c r="I1174" s="316"/>
      <c r="J1174" s="320"/>
    </row>
    <row r="1175">
      <c r="A1175" s="321"/>
      <c r="B1175" s="315"/>
      <c r="C1175" s="315"/>
      <c r="D1175" s="315"/>
      <c r="E1175" s="316"/>
      <c r="F1175" s="316"/>
      <c r="G1175" s="316"/>
      <c r="H1175" s="316"/>
      <c r="I1175" s="316"/>
      <c r="J1175" s="320"/>
    </row>
    <row r="1176">
      <c r="A1176" s="314">
        <v>214.0</v>
      </c>
      <c r="B1176" s="315" t="s">
        <v>1472</v>
      </c>
      <c r="C1176" s="315" t="s">
        <v>398</v>
      </c>
      <c r="D1176" s="315" t="s">
        <v>404</v>
      </c>
      <c r="E1176" s="316" t="s">
        <v>411</v>
      </c>
      <c r="F1176" s="316"/>
      <c r="G1176" s="316"/>
      <c r="H1176" s="316"/>
      <c r="I1176" s="316">
        <v>64641.0</v>
      </c>
      <c r="J1176" s="320">
        <v>0.0</v>
      </c>
    </row>
    <row r="1177">
      <c r="A1177" s="321"/>
      <c r="B1177" s="315" t="s">
        <v>1472</v>
      </c>
      <c r="C1177" s="315" t="s">
        <v>398</v>
      </c>
      <c r="D1177" s="315" t="s">
        <v>406</v>
      </c>
      <c r="E1177" s="316" t="s">
        <v>411</v>
      </c>
      <c r="F1177" s="316"/>
      <c r="G1177" s="316"/>
      <c r="H1177" s="316"/>
      <c r="I1177" s="316">
        <v>64641.0</v>
      </c>
      <c r="J1177" s="320">
        <v>1.0</v>
      </c>
    </row>
    <row r="1178">
      <c r="A1178" s="321"/>
      <c r="B1178" s="315" t="s">
        <v>1472</v>
      </c>
      <c r="C1178" s="315" t="s">
        <v>398</v>
      </c>
      <c r="D1178" s="315" t="s">
        <v>408</v>
      </c>
      <c r="E1178" s="316" t="s">
        <v>411</v>
      </c>
      <c r="F1178" s="316"/>
      <c r="G1178" s="316"/>
      <c r="H1178" s="316"/>
      <c r="I1178" s="316">
        <v>64641.0</v>
      </c>
      <c r="J1178" s="320">
        <v>0.0</v>
      </c>
    </row>
    <row r="1179">
      <c r="A1179" s="321"/>
      <c r="B1179" s="315"/>
      <c r="C1179" s="315"/>
      <c r="D1179" s="315"/>
      <c r="E1179" s="316"/>
      <c r="F1179" s="316"/>
      <c r="G1179" s="316"/>
      <c r="H1179" s="316"/>
      <c r="I1179" s="316"/>
      <c r="J1179" s="320"/>
    </row>
    <row r="1180">
      <c r="A1180" s="314">
        <v>215.0</v>
      </c>
      <c r="B1180" s="315" t="s">
        <v>1472</v>
      </c>
      <c r="C1180" s="315" t="s">
        <v>398</v>
      </c>
      <c r="D1180" s="315" t="s">
        <v>404</v>
      </c>
      <c r="E1180" s="316" t="s">
        <v>411</v>
      </c>
      <c r="F1180" s="316"/>
      <c r="G1180" s="316"/>
      <c r="H1180" s="316"/>
      <c r="I1180" s="316">
        <v>64829.0</v>
      </c>
      <c r="J1180" s="320">
        <v>0.0</v>
      </c>
    </row>
    <row r="1181">
      <c r="A1181" s="321"/>
      <c r="B1181" s="315" t="s">
        <v>1472</v>
      </c>
      <c r="C1181" s="315" t="s">
        <v>398</v>
      </c>
      <c r="D1181" s="315" t="s">
        <v>406</v>
      </c>
      <c r="E1181" s="316" t="s">
        <v>411</v>
      </c>
      <c r="F1181" s="316"/>
      <c r="G1181" s="316"/>
      <c r="H1181" s="316"/>
      <c r="I1181" s="316">
        <v>64829.0</v>
      </c>
      <c r="J1181" s="320">
        <v>1.0</v>
      </c>
    </row>
    <row r="1182">
      <c r="A1182" s="321"/>
      <c r="B1182" s="315" t="s">
        <v>1472</v>
      </c>
      <c r="C1182" s="315" t="s">
        <v>398</v>
      </c>
      <c r="D1182" s="315" t="s">
        <v>408</v>
      </c>
      <c r="E1182" s="316" t="s">
        <v>411</v>
      </c>
      <c r="F1182" s="316"/>
      <c r="G1182" s="316"/>
      <c r="H1182" s="316"/>
      <c r="I1182" s="316">
        <v>64829.0</v>
      </c>
      <c r="J1182" s="320">
        <v>0.0</v>
      </c>
    </row>
    <row r="1183">
      <c r="A1183" s="321"/>
      <c r="B1183" s="315"/>
      <c r="C1183" s="315"/>
      <c r="D1183" s="315"/>
      <c r="E1183" s="316"/>
      <c r="F1183" s="316"/>
      <c r="G1183" s="316"/>
      <c r="H1183" s="316"/>
      <c r="I1183" s="316"/>
      <c r="J1183" s="320"/>
    </row>
    <row r="1184">
      <c r="A1184" s="314">
        <v>216.0</v>
      </c>
      <c r="B1184" s="315" t="s">
        <v>1472</v>
      </c>
      <c r="C1184" s="315" t="s">
        <v>398</v>
      </c>
      <c r="D1184" s="315" t="s">
        <v>404</v>
      </c>
      <c r="E1184" s="316" t="s">
        <v>411</v>
      </c>
      <c r="F1184" s="316"/>
      <c r="G1184" s="316"/>
      <c r="H1184" s="316"/>
      <c r="I1184" s="316">
        <v>64996.0</v>
      </c>
      <c r="J1184" s="320">
        <v>0.0</v>
      </c>
    </row>
    <row r="1185">
      <c r="A1185" s="321"/>
      <c r="B1185" s="315" t="s">
        <v>1472</v>
      </c>
      <c r="C1185" s="315" t="s">
        <v>398</v>
      </c>
      <c r="D1185" s="315" t="s">
        <v>406</v>
      </c>
      <c r="E1185" s="316" t="s">
        <v>411</v>
      </c>
      <c r="F1185" s="316"/>
      <c r="G1185" s="316"/>
      <c r="H1185" s="316"/>
      <c r="I1185" s="316">
        <v>64996.0</v>
      </c>
      <c r="J1185" s="320">
        <v>1.0</v>
      </c>
    </row>
    <row r="1186">
      <c r="A1186" s="321"/>
      <c r="B1186" s="315" t="s">
        <v>1472</v>
      </c>
      <c r="C1186" s="315" t="s">
        <v>398</v>
      </c>
      <c r="D1186" s="315" t="s">
        <v>408</v>
      </c>
      <c r="E1186" s="316" t="s">
        <v>411</v>
      </c>
      <c r="F1186" s="316"/>
      <c r="G1186" s="316"/>
      <c r="H1186" s="316"/>
      <c r="I1186" s="316">
        <v>64996.0</v>
      </c>
      <c r="J1186" s="320">
        <v>0.0</v>
      </c>
    </row>
    <row r="1187">
      <c r="A1187" s="321"/>
      <c r="B1187" s="315"/>
      <c r="C1187" s="315"/>
      <c r="D1187" s="315"/>
      <c r="E1187" s="316"/>
      <c r="F1187" s="316"/>
      <c r="G1187" s="316"/>
      <c r="H1187" s="316"/>
      <c r="I1187" s="316"/>
      <c r="J1187" s="320"/>
    </row>
    <row r="1188">
      <c r="A1188" s="321"/>
      <c r="B1188" s="315"/>
      <c r="C1188" s="315"/>
      <c r="D1188" s="315"/>
      <c r="E1188" s="316"/>
      <c r="F1188" s="316"/>
      <c r="G1188" s="316"/>
      <c r="H1188" s="316"/>
      <c r="I1188" s="316"/>
      <c r="J1188" s="320"/>
    </row>
    <row r="1189">
      <c r="A1189" s="314">
        <v>217.0</v>
      </c>
      <c r="B1189" s="315" t="s">
        <v>1472</v>
      </c>
      <c r="C1189" s="315" t="s">
        <v>398</v>
      </c>
      <c r="D1189" s="315" t="s">
        <v>404</v>
      </c>
      <c r="E1189" s="316" t="s">
        <v>411</v>
      </c>
      <c r="F1189" s="316"/>
      <c r="G1189" s="316"/>
      <c r="H1189" s="316"/>
      <c r="I1189" s="316">
        <v>65199.0</v>
      </c>
      <c r="J1189" s="320">
        <v>0.0</v>
      </c>
    </row>
    <row r="1190">
      <c r="A1190" s="321"/>
      <c r="B1190" s="315" t="s">
        <v>1472</v>
      </c>
      <c r="C1190" s="315" t="s">
        <v>398</v>
      </c>
      <c r="D1190" s="315" t="s">
        <v>406</v>
      </c>
      <c r="E1190" s="316" t="s">
        <v>411</v>
      </c>
      <c r="F1190" s="316"/>
      <c r="G1190" s="316"/>
      <c r="H1190" s="316"/>
      <c r="I1190" s="316">
        <v>65199.0</v>
      </c>
      <c r="J1190" s="320">
        <v>1.0</v>
      </c>
    </row>
    <row r="1191">
      <c r="A1191" s="321"/>
      <c r="B1191" s="315" t="s">
        <v>1472</v>
      </c>
      <c r="C1191" s="315" t="s">
        <v>398</v>
      </c>
      <c r="D1191" s="315" t="s">
        <v>408</v>
      </c>
      <c r="E1191" s="316" t="s">
        <v>411</v>
      </c>
      <c r="F1191" s="316"/>
      <c r="G1191" s="316"/>
      <c r="H1191" s="316"/>
      <c r="I1191" s="316">
        <v>65199.0</v>
      </c>
      <c r="J1191" s="320">
        <v>0.0</v>
      </c>
    </row>
    <row r="1192">
      <c r="A1192" s="321"/>
      <c r="B1192" s="315"/>
      <c r="C1192" s="315"/>
      <c r="D1192" s="315"/>
      <c r="E1192" s="316"/>
      <c r="F1192" s="316"/>
      <c r="G1192" s="316"/>
      <c r="H1192" s="316"/>
      <c r="I1192" s="316"/>
      <c r="J1192" s="320"/>
    </row>
    <row r="1193">
      <c r="A1193" s="321"/>
      <c r="B1193" s="315"/>
      <c r="C1193" s="315"/>
      <c r="D1193" s="315"/>
      <c r="E1193" s="316"/>
      <c r="F1193" s="316"/>
      <c r="G1193" s="316"/>
      <c r="H1193" s="316"/>
      <c r="I1193" s="316"/>
      <c r="J1193" s="320"/>
    </row>
    <row r="1194">
      <c r="A1194" s="314">
        <v>218.0</v>
      </c>
      <c r="B1194" s="315" t="s">
        <v>1472</v>
      </c>
      <c r="C1194" s="315" t="s">
        <v>398</v>
      </c>
      <c r="D1194" s="315" t="s">
        <v>404</v>
      </c>
      <c r="E1194" s="316" t="s">
        <v>411</v>
      </c>
      <c r="F1194" s="316"/>
      <c r="G1194" s="316"/>
      <c r="H1194" s="316"/>
      <c r="I1194" s="316" t="s">
        <v>1478</v>
      </c>
      <c r="J1194" s="320">
        <v>4.0</v>
      </c>
    </row>
    <row r="1195">
      <c r="A1195" s="321"/>
      <c r="B1195" s="315" t="s">
        <v>1472</v>
      </c>
      <c r="C1195" s="315" t="s">
        <v>398</v>
      </c>
      <c r="D1195" s="315" t="s">
        <v>406</v>
      </c>
      <c r="E1195" s="316" t="s">
        <v>411</v>
      </c>
      <c r="F1195" s="316"/>
      <c r="G1195" s="316"/>
      <c r="H1195" s="316"/>
      <c r="I1195" s="316" t="s">
        <v>1478</v>
      </c>
      <c r="J1195" s="320">
        <v>0.0</v>
      </c>
    </row>
    <row r="1196">
      <c r="A1196" s="321"/>
      <c r="B1196" s="315" t="s">
        <v>1472</v>
      </c>
      <c r="C1196" s="315" t="s">
        <v>398</v>
      </c>
      <c r="D1196" s="315" t="s">
        <v>408</v>
      </c>
      <c r="E1196" s="316" t="s">
        <v>411</v>
      </c>
      <c r="F1196" s="316"/>
      <c r="G1196" s="316"/>
      <c r="H1196" s="316"/>
      <c r="I1196" s="316" t="s">
        <v>1478</v>
      </c>
      <c r="J1196" s="320">
        <v>0.0</v>
      </c>
    </row>
    <row r="1197">
      <c r="A1197" s="321"/>
      <c r="B1197" s="315"/>
      <c r="C1197" s="315"/>
      <c r="D1197" s="315"/>
      <c r="E1197" s="316"/>
      <c r="F1197" s="316"/>
      <c r="G1197" s="316"/>
      <c r="H1197" s="316"/>
      <c r="I1197" s="316"/>
      <c r="J1197" s="320"/>
    </row>
    <row r="1198">
      <c r="A1198" s="314">
        <v>219.0</v>
      </c>
      <c r="B1198" s="315" t="s">
        <v>1472</v>
      </c>
      <c r="C1198" s="315" t="s">
        <v>398</v>
      </c>
      <c r="D1198" s="315" t="s">
        <v>404</v>
      </c>
      <c r="E1198" s="316" t="s">
        <v>411</v>
      </c>
      <c r="F1198" s="316"/>
      <c r="G1198" s="316"/>
      <c r="H1198" s="316"/>
      <c r="I1198" s="320" t="s">
        <v>1479</v>
      </c>
      <c r="J1198" s="320">
        <v>3.0</v>
      </c>
    </row>
    <row r="1199">
      <c r="A1199" s="321"/>
      <c r="B1199" s="315" t="s">
        <v>1472</v>
      </c>
      <c r="C1199" s="315" t="s">
        <v>398</v>
      </c>
      <c r="D1199" s="315" t="s">
        <v>406</v>
      </c>
      <c r="E1199" s="316" t="s">
        <v>411</v>
      </c>
      <c r="F1199" s="316"/>
      <c r="G1199" s="316"/>
      <c r="H1199" s="316"/>
      <c r="I1199" s="320" t="s">
        <v>1479</v>
      </c>
      <c r="J1199" s="320">
        <v>0.0</v>
      </c>
    </row>
    <row r="1200">
      <c r="A1200" s="321"/>
      <c r="B1200" s="315" t="s">
        <v>1472</v>
      </c>
      <c r="C1200" s="315" t="s">
        <v>398</v>
      </c>
      <c r="D1200" s="315" t="s">
        <v>408</v>
      </c>
      <c r="E1200" s="316" t="s">
        <v>411</v>
      </c>
      <c r="F1200" s="316"/>
      <c r="G1200" s="316"/>
      <c r="H1200" s="316"/>
      <c r="I1200" s="320" t="s">
        <v>1479</v>
      </c>
      <c r="J1200" s="320">
        <v>0.0</v>
      </c>
    </row>
    <row r="1201">
      <c r="A1201" s="321"/>
      <c r="B1201" s="315"/>
      <c r="C1201" s="315"/>
      <c r="D1201" s="315"/>
      <c r="E1201" s="316"/>
      <c r="F1201" s="316"/>
      <c r="G1201" s="316"/>
      <c r="H1201" s="316"/>
      <c r="I1201" s="316"/>
      <c r="J1201" s="320"/>
    </row>
    <row r="1202">
      <c r="A1202" s="314">
        <v>220.0</v>
      </c>
      <c r="B1202" s="315" t="s">
        <v>1472</v>
      </c>
      <c r="C1202" s="315" t="s">
        <v>398</v>
      </c>
      <c r="D1202" s="315" t="s">
        <v>404</v>
      </c>
      <c r="E1202" s="316" t="s">
        <v>411</v>
      </c>
      <c r="F1202" s="316"/>
      <c r="G1202" s="316"/>
      <c r="H1202" s="316"/>
      <c r="I1202" s="320" t="s">
        <v>329</v>
      </c>
      <c r="J1202" s="320">
        <v>0.0</v>
      </c>
    </row>
    <row r="1203">
      <c r="A1203" s="333"/>
      <c r="B1203" s="315" t="s">
        <v>1472</v>
      </c>
      <c r="C1203" s="315" t="s">
        <v>398</v>
      </c>
      <c r="D1203" s="315" t="s">
        <v>406</v>
      </c>
      <c r="E1203" s="316" t="s">
        <v>411</v>
      </c>
      <c r="F1203" s="316"/>
      <c r="G1203" s="316"/>
      <c r="H1203" s="316"/>
      <c r="I1203" s="320" t="s">
        <v>329</v>
      </c>
      <c r="J1203" s="320">
        <v>4.0</v>
      </c>
    </row>
    <row r="1204">
      <c r="A1204" s="321"/>
      <c r="B1204" s="315" t="s">
        <v>1472</v>
      </c>
      <c r="C1204" s="315" t="s">
        <v>398</v>
      </c>
      <c r="D1204" s="315" t="s">
        <v>408</v>
      </c>
      <c r="E1204" s="316" t="s">
        <v>411</v>
      </c>
      <c r="F1204" s="316"/>
      <c r="G1204" s="316"/>
      <c r="H1204" s="316"/>
      <c r="I1204" s="320" t="s">
        <v>329</v>
      </c>
      <c r="J1204" s="320">
        <v>0.0</v>
      </c>
    </row>
    <row r="1205">
      <c r="A1205" s="321"/>
      <c r="B1205" s="315"/>
      <c r="C1205" s="315"/>
      <c r="D1205" s="315"/>
      <c r="E1205" s="316"/>
      <c r="F1205" s="316"/>
      <c r="G1205" s="316"/>
      <c r="H1205" s="316"/>
      <c r="I1205" s="316"/>
      <c r="J1205" s="320"/>
    </row>
    <row r="1206">
      <c r="A1206" s="314">
        <v>221.0</v>
      </c>
      <c r="B1206" s="315" t="s">
        <v>1472</v>
      </c>
      <c r="C1206" s="315" t="s">
        <v>398</v>
      </c>
      <c r="D1206" s="315" t="s">
        <v>404</v>
      </c>
      <c r="E1206" s="316" t="s">
        <v>411</v>
      </c>
      <c r="F1206" s="316"/>
      <c r="G1206" s="316"/>
      <c r="H1206" s="316"/>
      <c r="I1206" s="320" t="s">
        <v>333</v>
      </c>
      <c r="J1206" s="320">
        <v>0.0</v>
      </c>
    </row>
    <row r="1207">
      <c r="A1207" s="333"/>
      <c r="B1207" s="315" t="s">
        <v>1472</v>
      </c>
      <c r="C1207" s="315" t="s">
        <v>398</v>
      </c>
      <c r="D1207" s="315" t="s">
        <v>406</v>
      </c>
      <c r="E1207" s="316" t="s">
        <v>411</v>
      </c>
      <c r="F1207" s="316"/>
      <c r="G1207" s="316"/>
      <c r="H1207" s="316"/>
      <c r="I1207" s="320" t="s">
        <v>333</v>
      </c>
      <c r="J1207" s="320">
        <v>7.0</v>
      </c>
    </row>
    <row r="1208">
      <c r="A1208" s="321"/>
      <c r="B1208" s="315" t="s">
        <v>1472</v>
      </c>
      <c r="C1208" s="315" t="s">
        <v>398</v>
      </c>
      <c r="D1208" s="315" t="s">
        <v>408</v>
      </c>
      <c r="E1208" s="316" t="s">
        <v>411</v>
      </c>
      <c r="F1208" s="316"/>
      <c r="G1208" s="316"/>
      <c r="H1208" s="316"/>
      <c r="I1208" s="320" t="s">
        <v>333</v>
      </c>
      <c r="J1208" s="320">
        <v>0.0</v>
      </c>
    </row>
    <row r="1209">
      <c r="A1209" s="321"/>
      <c r="B1209" s="315"/>
      <c r="C1209" s="315"/>
      <c r="D1209" s="315"/>
      <c r="E1209" s="316"/>
      <c r="F1209" s="316"/>
      <c r="G1209" s="316"/>
      <c r="H1209" s="316"/>
      <c r="I1209" s="316"/>
      <c r="J1209" s="320"/>
    </row>
    <row r="1210">
      <c r="A1210" s="314">
        <v>222.0</v>
      </c>
      <c r="B1210" s="315" t="s">
        <v>1472</v>
      </c>
      <c r="C1210" s="315" t="s">
        <v>398</v>
      </c>
      <c r="D1210" s="315" t="s">
        <v>404</v>
      </c>
      <c r="E1210" s="316" t="s">
        <v>412</v>
      </c>
      <c r="F1210" s="316"/>
      <c r="G1210" s="316"/>
      <c r="H1210" s="316"/>
      <c r="I1210" s="320">
        <v>36207.0</v>
      </c>
      <c r="J1210" s="320">
        <v>0.0</v>
      </c>
    </row>
    <row r="1211">
      <c r="A1211" s="333"/>
      <c r="B1211" s="315" t="s">
        <v>1472</v>
      </c>
      <c r="C1211" s="315" t="s">
        <v>398</v>
      </c>
      <c r="D1211" s="315" t="s">
        <v>406</v>
      </c>
      <c r="E1211" s="316" t="s">
        <v>412</v>
      </c>
      <c r="F1211" s="316"/>
      <c r="G1211" s="316"/>
      <c r="H1211" s="316"/>
      <c r="I1211" s="320">
        <v>36207.0</v>
      </c>
      <c r="J1211" s="320">
        <v>2.0</v>
      </c>
    </row>
    <row r="1212">
      <c r="A1212" s="321"/>
      <c r="B1212" s="315" t="s">
        <v>1472</v>
      </c>
      <c r="C1212" s="315" t="s">
        <v>398</v>
      </c>
      <c r="D1212" s="315" t="s">
        <v>408</v>
      </c>
      <c r="E1212" s="316" t="s">
        <v>412</v>
      </c>
      <c r="F1212" s="316"/>
      <c r="G1212" s="316"/>
      <c r="H1212" s="316"/>
      <c r="I1212" s="320">
        <v>36207.0</v>
      </c>
      <c r="J1212" s="320">
        <v>0.0</v>
      </c>
    </row>
    <row r="1213">
      <c r="A1213" s="321"/>
      <c r="B1213" s="315"/>
      <c r="C1213" s="315"/>
      <c r="D1213" s="315"/>
      <c r="E1213" s="316"/>
      <c r="F1213" s="316"/>
      <c r="G1213" s="316"/>
      <c r="H1213" s="316"/>
      <c r="I1213" s="316"/>
      <c r="J1213" s="320"/>
    </row>
    <row r="1214">
      <c r="A1214" s="321"/>
      <c r="B1214" s="315"/>
      <c r="C1214" s="315"/>
      <c r="D1214" s="315"/>
      <c r="E1214" s="316"/>
      <c r="F1214" s="316"/>
      <c r="G1214" s="316"/>
      <c r="H1214" s="316"/>
      <c r="I1214" s="316"/>
      <c r="J1214" s="320"/>
    </row>
    <row r="1215">
      <c r="A1215" s="314">
        <v>223.0</v>
      </c>
      <c r="B1215" s="315" t="s">
        <v>1472</v>
      </c>
      <c r="C1215" s="315" t="s">
        <v>398</v>
      </c>
      <c r="D1215" s="315" t="s">
        <v>404</v>
      </c>
      <c r="E1215" s="316" t="s">
        <v>412</v>
      </c>
      <c r="F1215" s="316"/>
      <c r="G1215" s="316"/>
      <c r="H1215" s="316"/>
      <c r="I1215" s="320" t="s">
        <v>1470</v>
      </c>
      <c r="J1215" s="320">
        <v>0.0</v>
      </c>
    </row>
    <row r="1216">
      <c r="A1216" s="321"/>
      <c r="B1216" s="315" t="s">
        <v>1472</v>
      </c>
      <c r="C1216" s="315" t="s">
        <v>398</v>
      </c>
      <c r="D1216" s="315" t="s">
        <v>406</v>
      </c>
      <c r="E1216" s="316" t="s">
        <v>412</v>
      </c>
      <c r="F1216" s="316"/>
      <c r="G1216" s="316"/>
      <c r="H1216" s="316"/>
      <c r="I1216" s="320" t="s">
        <v>1470</v>
      </c>
      <c r="J1216" s="320">
        <v>1.0</v>
      </c>
    </row>
    <row r="1217">
      <c r="A1217" s="321"/>
      <c r="B1217" s="315" t="s">
        <v>1472</v>
      </c>
      <c r="C1217" s="315" t="s">
        <v>398</v>
      </c>
      <c r="D1217" s="315" t="s">
        <v>408</v>
      </c>
      <c r="E1217" s="316" t="s">
        <v>412</v>
      </c>
      <c r="F1217" s="316"/>
      <c r="G1217" s="316"/>
      <c r="H1217" s="316"/>
      <c r="I1217" s="320" t="s">
        <v>1470</v>
      </c>
      <c r="J1217" s="320">
        <v>0.0</v>
      </c>
    </row>
    <row r="1218">
      <c r="A1218" s="321"/>
      <c r="B1218" s="315"/>
      <c r="C1218" s="315"/>
      <c r="D1218" s="315"/>
      <c r="E1218" s="316"/>
      <c r="F1218" s="316"/>
      <c r="G1218" s="316"/>
      <c r="H1218" s="316"/>
      <c r="I1218" s="316"/>
      <c r="J1218" s="320"/>
    </row>
    <row r="1219">
      <c r="A1219" s="321"/>
      <c r="B1219" s="315"/>
      <c r="C1219" s="315"/>
      <c r="D1219" s="315"/>
      <c r="E1219" s="316"/>
      <c r="F1219" s="316"/>
      <c r="G1219" s="316"/>
      <c r="H1219" s="316"/>
      <c r="I1219" s="316"/>
      <c r="J1219" s="320"/>
    </row>
    <row r="1220">
      <c r="A1220" s="314">
        <v>224.0</v>
      </c>
      <c r="B1220" s="315" t="s">
        <v>1472</v>
      </c>
      <c r="C1220" s="315" t="s">
        <v>398</v>
      </c>
      <c r="D1220" s="315" t="s">
        <v>404</v>
      </c>
      <c r="E1220" s="316" t="s">
        <v>412</v>
      </c>
      <c r="F1220" s="316"/>
      <c r="G1220" s="316"/>
      <c r="H1220" s="316"/>
      <c r="I1220" s="320" t="s">
        <v>314</v>
      </c>
      <c r="J1220" s="320">
        <v>0.0</v>
      </c>
    </row>
    <row r="1221">
      <c r="A1221" s="321"/>
      <c r="B1221" s="315" t="s">
        <v>1472</v>
      </c>
      <c r="C1221" s="315" t="s">
        <v>398</v>
      </c>
      <c r="D1221" s="315" t="s">
        <v>406</v>
      </c>
      <c r="E1221" s="316" t="s">
        <v>412</v>
      </c>
      <c r="F1221" s="316"/>
      <c r="G1221" s="316"/>
      <c r="H1221" s="316"/>
      <c r="I1221" s="320" t="s">
        <v>314</v>
      </c>
      <c r="J1221" s="320">
        <v>2.0</v>
      </c>
    </row>
    <row r="1222">
      <c r="A1222" s="321"/>
      <c r="B1222" s="315" t="s">
        <v>1472</v>
      </c>
      <c r="C1222" s="315" t="s">
        <v>398</v>
      </c>
      <c r="D1222" s="315" t="s">
        <v>408</v>
      </c>
      <c r="E1222" s="316" t="s">
        <v>412</v>
      </c>
      <c r="F1222" s="316"/>
      <c r="G1222" s="316"/>
      <c r="H1222" s="316"/>
      <c r="I1222" s="320" t="s">
        <v>314</v>
      </c>
      <c r="J1222" s="320">
        <v>0.0</v>
      </c>
    </row>
    <row r="1223">
      <c r="A1223" s="321"/>
      <c r="B1223" s="315"/>
      <c r="C1223" s="315"/>
      <c r="D1223" s="315"/>
      <c r="E1223" s="316"/>
      <c r="F1223" s="316"/>
      <c r="G1223" s="316"/>
      <c r="H1223" s="316"/>
      <c r="I1223" s="316"/>
      <c r="J1223" s="320"/>
    </row>
    <row r="1224">
      <c r="A1224" s="314">
        <v>225.0</v>
      </c>
      <c r="B1224" s="315" t="s">
        <v>1472</v>
      </c>
      <c r="C1224" s="315" t="s">
        <v>398</v>
      </c>
      <c r="D1224" s="315" t="s">
        <v>404</v>
      </c>
      <c r="E1224" s="316" t="s">
        <v>412</v>
      </c>
      <c r="F1224" s="316"/>
      <c r="G1224" s="316"/>
      <c r="H1224" s="316"/>
      <c r="I1224" s="320" t="s">
        <v>315</v>
      </c>
      <c r="J1224" s="320">
        <v>0.0</v>
      </c>
    </row>
    <row r="1225">
      <c r="A1225" s="321"/>
      <c r="B1225" s="315" t="s">
        <v>1472</v>
      </c>
      <c r="C1225" s="315" t="s">
        <v>398</v>
      </c>
      <c r="D1225" s="315" t="s">
        <v>406</v>
      </c>
      <c r="E1225" s="316" t="s">
        <v>412</v>
      </c>
      <c r="F1225" s="316"/>
      <c r="G1225" s="316"/>
      <c r="H1225" s="316"/>
      <c r="I1225" s="320" t="s">
        <v>315</v>
      </c>
      <c r="J1225" s="320">
        <v>2.0</v>
      </c>
    </row>
    <row r="1226">
      <c r="A1226" s="321"/>
      <c r="B1226" s="315" t="s">
        <v>1472</v>
      </c>
      <c r="C1226" s="315" t="s">
        <v>398</v>
      </c>
      <c r="D1226" s="315" t="s">
        <v>408</v>
      </c>
      <c r="E1226" s="316" t="s">
        <v>412</v>
      </c>
      <c r="F1226" s="316"/>
      <c r="G1226" s="316"/>
      <c r="H1226" s="316"/>
      <c r="I1226" s="320" t="s">
        <v>315</v>
      </c>
      <c r="J1226" s="320">
        <v>0.0</v>
      </c>
    </row>
    <row r="1227">
      <c r="A1227" s="321"/>
      <c r="B1227" s="315"/>
      <c r="C1227" s="315"/>
      <c r="D1227" s="315"/>
      <c r="E1227" s="316"/>
      <c r="F1227" s="316"/>
      <c r="G1227" s="316"/>
      <c r="H1227" s="316"/>
      <c r="I1227" s="316"/>
      <c r="J1227" s="320"/>
    </row>
    <row r="1228">
      <c r="A1228" s="321"/>
      <c r="B1228" s="315"/>
      <c r="C1228" s="315"/>
      <c r="D1228" s="315"/>
      <c r="E1228" s="316"/>
      <c r="F1228" s="316"/>
      <c r="G1228" s="316"/>
      <c r="H1228" s="316"/>
      <c r="I1228" s="316"/>
      <c r="J1228" s="320"/>
    </row>
    <row r="1229">
      <c r="A1229" s="314">
        <v>226.0</v>
      </c>
      <c r="B1229" s="315" t="s">
        <v>1472</v>
      </c>
      <c r="C1229" s="315" t="s">
        <v>398</v>
      </c>
      <c r="D1229" s="315" t="s">
        <v>404</v>
      </c>
      <c r="E1229" s="316" t="s">
        <v>412</v>
      </c>
      <c r="F1229" s="316"/>
      <c r="G1229" s="316"/>
      <c r="H1229" s="316"/>
      <c r="I1229" s="320" t="s">
        <v>316</v>
      </c>
      <c r="J1229" s="320">
        <v>0.0</v>
      </c>
    </row>
    <row r="1230">
      <c r="A1230" s="321"/>
      <c r="B1230" s="315" t="s">
        <v>1472</v>
      </c>
      <c r="C1230" s="315" t="s">
        <v>398</v>
      </c>
      <c r="D1230" s="315" t="s">
        <v>406</v>
      </c>
      <c r="E1230" s="316" t="s">
        <v>412</v>
      </c>
      <c r="F1230" s="316"/>
      <c r="G1230" s="316"/>
      <c r="H1230" s="316"/>
      <c r="I1230" s="320" t="s">
        <v>316</v>
      </c>
      <c r="J1230" s="320">
        <v>2.0</v>
      </c>
    </row>
    <row r="1231">
      <c r="A1231" s="321"/>
      <c r="B1231" s="315" t="s">
        <v>1472</v>
      </c>
      <c r="C1231" s="315" t="s">
        <v>398</v>
      </c>
      <c r="D1231" s="315" t="s">
        <v>408</v>
      </c>
      <c r="E1231" s="316" t="s">
        <v>412</v>
      </c>
      <c r="F1231" s="316"/>
      <c r="G1231" s="316"/>
      <c r="H1231" s="316"/>
      <c r="I1231" s="320" t="s">
        <v>316</v>
      </c>
      <c r="J1231" s="320">
        <v>0.0</v>
      </c>
    </row>
    <row r="1232">
      <c r="A1232" s="321"/>
      <c r="B1232" s="315"/>
      <c r="C1232" s="315"/>
      <c r="D1232" s="315"/>
      <c r="E1232" s="316"/>
      <c r="F1232" s="316"/>
      <c r="G1232" s="316"/>
      <c r="H1232" s="316"/>
      <c r="I1232" s="316"/>
      <c r="J1232" s="320"/>
    </row>
    <row r="1233">
      <c r="A1233" s="314">
        <v>227.0</v>
      </c>
      <c r="B1233" s="315" t="s">
        <v>1472</v>
      </c>
      <c r="C1233" s="315" t="s">
        <v>398</v>
      </c>
      <c r="D1233" s="315" t="s">
        <v>404</v>
      </c>
      <c r="E1233" s="316" t="s">
        <v>412</v>
      </c>
      <c r="F1233" s="316"/>
      <c r="G1233" s="316"/>
      <c r="H1233" s="316"/>
      <c r="I1233" s="320" t="s">
        <v>1471</v>
      </c>
      <c r="J1233" s="320">
        <v>0.0</v>
      </c>
    </row>
    <row r="1234">
      <c r="A1234" s="321"/>
      <c r="B1234" s="315" t="s">
        <v>1472</v>
      </c>
      <c r="C1234" s="315" t="s">
        <v>398</v>
      </c>
      <c r="D1234" s="315" t="s">
        <v>406</v>
      </c>
      <c r="E1234" s="316" t="s">
        <v>412</v>
      </c>
      <c r="F1234" s="316"/>
      <c r="G1234" s="316"/>
      <c r="H1234" s="316"/>
      <c r="I1234" s="320" t="s">
        <v>1471</v>
      </c>
      <c r="J1234" s="320">
        <v>4.0</v>
      </c>
    </row>
    <row r="1235">
      <c r="A1235" s="321"/>
      <c r="B1235" s="315" t="s">
        <v>1472</v>
      </c>
      <c r="C1235" s="315" t="s">
        <v>398</v>
      </c>
      <c r="D1235" s="315" t="s">
        <v>408</v>
      </c>
      <c r="E1235" s="316" t="s">
        <v>412</v>
      </c>
      <c r="F1235" s="316"/>
      <c r="G1235" s="316"/>
      <c r="H1235" s="316"/>
      <c r="I1235" s="320" t="s">
        <v>1471</v>
      </c>
      <c r="J1235" s="320">
        <v>0.0</v>
      </c>
    </row>
    <row r="1236">
      <c r="A1236" s="321"/>
      <c r="B1236" s="315"/>
      <c r="C1236" s="315"/>
      <c r="D1236" s="315"/>
      <c r="E1236" s="316"/>
      <c r="F1236" s="316"/>
      <c r="G1236" s="316"/>
      <c r="H1236" s="316"/>
      <c r="I1236" s="316"/>
      <c r="J1236" s="320"/>
    </row>
    <row r="1237">
      <c r="A1237" s="321"/>
      <c r="B1237" s="315"/>
      <c r="C1237" s="315"/>
      <c r="D1237" s="315"/>
      <c r="E1237" s="316"/>
      <c r="F1237" s="316"/>
      <c r="G1237" s="316"/>
      <c r="H1237" s="316"/>
      <c r="I1237" s="316"/>
      <c r="J1237" s="320"/>
    </row>
    <row r="1238">
      <c r="A1238" s="314">
        <v>228.0</v>
      </c>
      <c r="B1238" s="315" t="s">
        <v>1472</v>
      </c>
      <c r="C1238" s="315" t="s">
        <v>398</v>
      </c>
      <c r="D1238" s="315" t="s">
        <v>404</v>
      </c>
      <c r="E1238" s="316" t="s">
        <v>412</v>
      </c>
      <c r="F1238" s="316"/>
      <c r="G1238" s="316"/>
      <c r="H1238" s="316"/>
      <c r="I1238" s="320" t="s">
        <v>168</v>
      </c>
      <c r="J1238" s="320">
        <v>0.0</v>
      </c>
    </row>
    <row r="1239">
      <c r="A1239" s="321"/>
      <c r="B1239" s="315" t="s">
        <v>1472</v>
      </c>
      <c r="C1239" s="315" t="s">
        <v>398</v>
      </c>
      <c r="D1239" s="315" t="s">
        <v>406</v>
      </c>
      <c r="E1239" s="316" t="s">
        <v>412</v>
      </c>
      <c r="F1239" s="316"/>
      <c r="G1239" s="316"/>
      <c r="H1239" s="316"/>
      <c r="I1239" s="320" t="s">
        <v>168</v>
      </c>
      <c r="J1239" s="320">
        <v>0.0</v>
      </c>
    </row>
    <row r="1240">
      <c r="A1240" s="321"/>
      <c r="B1240" s="315" t="s">
        <v>1472</v>
      </c>
      <c r="C1240" s="315" t="s">
        <v>398</v>
      </c>
      <c r="D1240" s="315" t="s">
        <v>408</v>
      </c>
      <c r="E1240" s="316" t="s">
        <v>412</v>
      </c>
      <c r="F1240" s="316"/>
      <c r="G1240" s="316"/>
      <c r="H1240" s="316"/>
      <c r="I1240" s="320" t="s">
        <v>168</v>
      </c>
      <c r="J1240" s="320">
        <v>13.0</v>
      </c>
    </row>
    <row r="1241">
      <c r="A1241" s="321"/>
      <c r="B1241" s="315"/>
      <c r="C1241" s="315"/>
      <c r="D1241" s="315"/>
      <c r="E1241" s="316"/>
      <c r="F1241" s="316"/>
      <c r="G1241" s="316"/>
      <c r="H1241" s="316"/>
      <c r="I1241" s="316"/>
      <c r="J1241" s="320"/>
    </row>
    <row r="1242">
      <c r="A1242" s="314">
        <v>229.0</v>
      </c>
      <c r="B1242" s="315" t="s">
        <v>1472</v>
      </c>
      <c r="C1242" s="315" t="s">
        <v>398</v>
      </c>
      <c r="D1242" s="315" t="s">
        <v>404</v>
      </c>
      <c r="E1242" s="316" t="s">
        <v>412</v>
      </c>
      <c r="F1242" s="316"/>
      <c r="G1242" s="316"/>
      <c r="H1242" s="316"/>
      <c r="I1242" s="320" t="s">
        <v>171</v>
      </c>
      <c r="J1242" s="320">
        <v>0.0</v>
      </c>
    </row>
    <row r="1243">
      <c r="A1243" s="321"/>
      <c r="B1243" s="315" t="s">
        <v>1472</v>
      </c>
      <c r="C1243" s="315" t="s">
        <v>398</v>
      </c>
      <c r="D1243" s="315" t="s">
        <v>406</v>
      </c>
      <c r="E1243" s="316" t="s">
        <v>412</v>
      </c>
      <c r="F1243" s="316"/>
      <c r="G1243" s="316"/>
      <c r="H1243" s="316"/>
      <c r="I1243" s="320" t="s">
        <v>171</v>
      </c>
      <c r="J1243" s="320">
        <v>0.0</v>
      </c>
    </row>
    <row r="1244">
      <c r="A1244" s="321"/>
      <c r="B1244" s="315" t="s">
        <v>1472</v>
      </c>
      <c r="C1244" s="315" t="s">
        <v>398</v>
      </c>
      <c r="D1244" s="315" t="s">
        <v>408</v>
      </c>
      <c r="E1244" s="316" t="s">
        <v>412</v>
      </c>
      <c r="F1244" s="316"/>
      <c r="G1244" s="316"/>
      <c r="H1244" s="316"/>
      <c r="I1244" s="320" t="s">
        <v>171</v>
      </c>
      <c r="J1244" s="320">
        <v>0.0</v>
      </c>
    </row>
    <row r="1245">
      <c r="A1245" s="321"/>
      <c r="B1245" s="315"/>
      <c r="C1245" s="315"/>
      <c r="D1245" s="315"/>
      <c r="E1245" s="316"/>
      <c r="F1245" s="316"/>
      <c r="G1245" s="316"/>
      <c r="H1245" s="316"/>
      <c r="I1245" s="316"/>
      <c r="J1245" s="320"/>
    </row>
    <row r="1246">
      <c r="A1246" s="321"/>
      <c r="B1246" s="315"/>
      <c r="C1246" s="315"/>
      <c r="D1246" s="315"/>
      <c r="E1246" s="316"/>
      <c r="F1246" s="316"/>
      <c r="G1246" s="316"/>
      <c r="H1246" s="316"/>
      <c r="I1246" s="316"/>
      <c r="J1246" s="320"/>
    </row>
    <row r="1247">
      <c r="A1247" s="314">
        <v>230.0</v>
      </c>
      <c r="B1247" s="315" t="s">
        <v>1472</v>
      </c>
      <c r="C1247" s="315" t="s">
        <v>398</v>
      </c>
      <c r="D1247" s="315" t="s">
        <v>404</v>
      </c>
      <c r="E1247" s="316" t="s">
        <v>412</v>
      </c>
      <c r="F1247" s="316"/>
      <c r="G1247" s="316"/>
      <c r="H1247" s="316"/>
      <c r="I1247" s="320" t="s">
        <v>344</v>
      </c>
      <c r="J1247" s="320">
        <v>0.0</v>
      </c>
    </row>
    <row r="1248">
      <c r="A1248" s="321"/>
      <c r="B1248" s="315" t="s">
        <v>1472</v>
      </c>
      <c r="C1248" s="315" t="s">
        <v>398</v>
      </c>
      <c r="D1248" s="315" t="s">
        <v>406</v>
      </c>
      <c r="E1248" s="316" t="s">
        <v>412</v>
      </c>
      <c r="F1248" s="316"/>
      <c r="G1248" s="316"/>
      <c r="H1248" s="316"/>
      <c r="I1248" s="320" t="s">
        <v>344</v>
      </c>
      <c r="J1248" s="320">
        <v>0.0</v>
      </c>
    </row>
    <row r="1249">
      <c r="A1249" s="321"/>
      <c r="B1249" s="315" t="s">
        <v>1472</v>
      </c>
      <c r="C1249" s="315" t="s">
        <v>398</v>
      </c>
      <c r="D1249" s="315" t="s">
        <v>408</v>
      </c>
      <c r="E1249" s="316" t="s">
        <v>412</v>
      </c>
      <c r="F1249" s="316"/>
      <c r="G1249" s="316"/>
      <c r="H1249" s="316"/>
      <c r="I1249" s="320" t="s">
        <v>344</v>
      </c>
      <c r="J1249" s="320">
        <v>23.0</v>
      </c>
    </row>
    <row r="1250">
      <c r="A1250" s="321"/>
      <c r="B1250" s="315"/>
      <c r="C1250" s="315"/>
      <c r="D1250" s="315"/>
      <c r="E1250" s="316"/>
      <c r="F1250" s="316"/>
      <c r="G1250" s="316"/>
      <c r="H1250" s="316"/>
      <c r="I1250" s="316"/>
      <c r="J1250" s="320"/>
    </row>
    <row r="1251">
      <c r="A1251" s="314">
        <v>231.0</v>
      </c>
      <c r="B1251" s="315" t="s">
        <v>1472</v>
      </c>
      <c r="C1251" s="315" t="s">
        <v>398</v>
      </c>
      <c r="D1251" s="315" t="s">
        <v>404</v>
      </c>
      <c r="E1251" s="316" t="s">
        <v>412</v>
      </c>
      <c r="F1251" s="316"/>
      <c r="G1251" s="316"/>
      <c r="H1251" s="316"/>
      <c r="I1251" s="320" t="s">
        <v>304</v>
      </c>
      <c r="J1251" s="320">
        <v>0.0</v>
      </c>
    </row>
    <row r="1252">
      <c r="A1252" s="321"/>
      <c r="B1252" s="315" t="s">
        <v>1472</v>
      </c>
      <c r="C1252" s="315" t="s">
        <v>398</v>
      </c>
      <c r="D1252" s="315" t="s">
        <v>406</v>
      </c>
      <c r="E1252" s="316" t="s">
        <v>412</v>
      </c>
      <c r="F1252" s="316"/>
      <c r="G1252" s="316"/>
      <c r="H1252" s="316"/>
      <c r="I1252" s="320" t="s">
        <v>304</v>
      </c>
      <c r="J1252" s="320">
        <v>0.0</v>
      </c>
    </row>
    <row r="1253">
      <c r="A1253" s="321"/>
      <c r="B1253" s="315" t="s">
        <v>1472</v>
      </c>
      <c r="C1253" s="315" t="s">
        <v>398</v>
      </c>
      <c r="D1253" s="315" t="s">
        <v>408</v>
      </c>
      <c r="E1253" s="316" t="s">
        <v>412</v>
      </c>
      <c r="F1253" s="316"/>
      <c r="G1253" s="316"/>
      <c r="H1253" s="316"/>
      <c r="I1253" s="320" t="s">
        <v>304</v>
      </c>
      <c r="J1253" s="320">
        <v>7.0</v>
      </c>
    </row>
    <row r="1254">
      <c r="A1254" s="321"/>
      <c r="B1254" s="315"/>
      <c r="C1254" s="315"/>
      <c r="D1254" s="315"/>
      <c r="E1254" s="316"/>
      <c r="F1254" s="316"/>
      <c r="G1254" s="316"/>
      <c r="H1254" s="316"/>
      <c r="I1254" s="316"/>
      <c r="J1254" s="320"/>
    </row>
    <row r="1255">
      <c r="A1255" s="321"/>
      <c r="B1255" s="315"/>
      <c r="C1255" s="315"/>
      <c r="D1255" s="315"/>
      <c r="E1255" s="316"/>
      <c r="F1255" s="316"/>
      <c r="G1255" s="316"/>
      <c r="H1255" s="316"/>
      <c r="I1255" s="316"/>
      <c r="J1255" s="320"/>
    </row>
    <row r="1256">
      <c r="A1256" s="321"/>
      <c r="B1256" s="315"/>
      <c r="C1256" s="315"/>
      <c r="D1256" s="315"/>
      <c r="E1256" s="316"/>
      <c r="F1256" s="316"/>
      <c r="G1256" s="316"/>
      <c r="H1256" s="316"/>
      <c r="I1256" s="316"/>
      <c r="J1256" s="320"/>
    </row>
    <row r="1257">
      <c r="A1257" s="321"/>
      <c r="B1257" s="315"/>
      <c r="C1257" s="315"/>
      <c r="D1257" s="315"/>
      <c r="E1257" s="316"/>
      <c r="F1257" s="316"/>
      <c r="G1257" s="316"/>
      <c r="H1257" s="316"/>
      <c r="I1257" s="316"/>
      <c r="J1257" s="320"/>
    </row>
    <row r="1258">
      <c r="A1258" s="334">
        <v>232.0</v>
      </c>
      <c r="B1258" s="323" t="s">
        <v>1480</v>
      </c>
      <c r="C1258" s="323" t="s">
        <v>396</v>
      </c>
      <c r="D1258" s="323" t="s">
        <v>406</v>
      </c>
      <c r="E1258" s="323" t="s">
        <v>405</v>
      </c>
      <c r="F1258" s="305" t="s">
        <v>1466</v>
      </c>
      <c r="G1258" s="327" t="s">
        <v>422</v>
      </c>
      <c r="H1258" s="318" t="s">
        <v>415</v>
      </c>
      <c r="I1258" s="316">
        <v>50536.0</v>
      </c>
      <c r="J1258" s="320">
        <v>1.0</v>
      </c>
    </row>
    <row r="1259">
      <c r="A1259" s="321"/>
      <c r="B1259" s="323" t="s">
        <v>1480</v>
      </c>
      <c r="C1259" s="323" t="s">
        <v>396</v>
      </c>
      <c r="D1259" s="323" t="s">
        <v>406</v>
      </c>
      <c r="E1259" s="323" t="s">
        <v>405</v>
      </c>
      <c r="F1259" s="305" t="s">
        <v>1467</v>
      </c>
      <c r="G1259" s="327" t="s">
        <v>422</v>
      </c>
      <c r="H1259" s="318" t="s">
        <v>416</v>
      </c>
      <c r="I1259" s="316">
        <v>50536.0</v>
      </c>
      <c r="J1259" s="320">
        <v>3.0</v>
      </c>
    </row>
    <row r="1260">
      <c r="A1260" s="321"/>
      <c r="B1260" s="315"/>
      <c r="C1260" s="315"/>
      <c r="D1260" s="315"/>
      <c r="E1260" s="316"/>
      <c r="F1260" s="316"/>
      <c r="G1260" s="316"/>
      <c r="H1260" s="316"/>
      <c r="I1260" s="316"/>
      <c r="J1260" s="320"/>
    </row>
    <row r="1261">
      <c r="A1261" s="334">
        <v>233.0</v>
      </c>
      <c r="B1261" s="323" t="s">
        <v>1480</v>
      </c>
      <c r="C1261" s="323" t="s">
        <v>396</v>
      </c>
      <c r="D1261" s="323" t="s">
        <v>406</v>
      </c>
      <c r="E1261" s="323" t="s">
        <v>405</v>
      </c>
      <c r="F1261" s="305" t="s">
        <v>1466</v>
      </c>
      <c r="G1261" s="327" t="s">
        <v>422</v>
      </c>
      <c r="H1261" s="318" t="s">
        <v>415</v>
      </c>
      <c r="I1261" s="316">
        <v>50550.0</v>
      </c>
      <c r="J1261" s="320">
        <v>1.0</v>
      </c>
    </row>
    <row r="1262">
      <c r="A1262" s="321"/>
      <c r="B1262" s="323" t="s">
        <v>1480</v>
      </c>
      <c r="C1262" s="323" t="s">
        <v>396</v>
      </c>
      <c r="D1262" s="323" t="s">
        <v>406</v>
      </c>
      <c r="E1262" s="323" t="s">
        <v>405</v>
      </c>
      <c r="F1262" s="305" t="s">
        <v>1467</v>
      </c>
      <c r="G1262" s="327" t="s">
        <v>422</v>
      </c>
      <c r="H1262" s="318" t="s">
        <v>416</v>
      </c>
      <c r="I1262" s="316">
        <v>50550.0</v>
      </c>
      <c r="J1262" s="320">
        <v>0.0</v>
      </c>
    </row>
    <row r="1263">
      <c r="A1263" s="321"/>
      <c r="B1263" s="315"/>
      <c r="C1263" s="315"/>
      <c r="D1263" s="315"/>
      <c r="E1263" s="316"/>
      <c r="F1263" s="316"/>
      <c r="G1263" s="316"/>
      <c r="H1263" s="316"/>
      <c r="I1263" s="316"/>
      <c r="J1263" s="320"/>
    </row>
    <row r="1264">
      <c r="A1264" s="334">
        <v>234.0</v>
      </c>
      <c r="B1264" s="323" t="s">
        <v>1480</v>
      </c>
      <c r="C1264" s="323" t="s">
        <v>396</v>
      </c>
      <c r="D1264" s="323" t="s">
        <v>406</v>
      </c>
      <c r="E1264" s="323" t="s">
        <v>405</v>
      </c>
      <c r="F1264" s="305" t="s">
        <v>1466</v>
      </c>
      <c r="G1264" s="327" t="s">
        <v>422</v>
      </c>
      <c r="H1264" s="318" t="s">
        <v>415</v>
      </c>
      <c r="I1264" s="316">
        <v>50558.0</v>
      </c>
      <c r="J1264" s="320">
        <v>3.0</v>
      </c>
    </row>
    <row r="1265">
      <c r="A1265" s="321"/>
      <c r="B1265" s="323" t="s">
        <v>1480</v>
      </c>
      <c r="C1265" s="323" t="s">
        <v>396</v>
      </c>
      <c r="D1265" s="323" t="s">
        <v>406</v>
      </c>
      <c r="E1265" s="323" t="s">
        <v>405</v>
      </c>
      <c r="F1265" s="305" t="s">
        <v>1467</v>
      </c>
      <c r="G1265" s="327" t="s">
        <v>422</v>
      </c>
      <c r="H1265" s="318" t="s">
        <v>416</v>
      </c>
      <c r="I1265" s="316">
        <v>50558.0</v>
      </c>
      <c r="J1265" s="320">
        <v>1.0</v>
      </c>
    </row>
    <row r="1266">
      <c r="A1266" s="321"/>
      <c r="B1266" s="315"/>
      <c r="C1266" s="315"/>
      <c r="D1266" s="315"/>
      <c r="E1266" s="316"/>
      <c r="F1266" s="316"/>
      <c r="G1266" s="316"/>
      <c r="H1266" s="316"/>
      <c r="I1266" s="316"/>
      <c r="J1266" s="320"/>
    </row>
    <row r="1267">
      <c r="A1267" s="334">
        <v>235.0</v>
      </c>
      <c r="B1267" s="323" t="s">
        <v>1480</v>
      </c>
      <c r="C1267" s="323" t="s">
        <v>396</v>
      </c>
      <c r="D1267" s="323" t="s">
        <v>406</v>
      </c>
      <c r="E1267" s="323" t="s">
        <v>405</v>
      </c>
      <c r="F1267" s="305" t="s">
        <v>1466</v>
      </c>
      <c r="G1267" s="327" t="s">
        <v>422</v>
      </c>
      <c r="H1267" s="318" t="s">
        <v>415</v>
      </c>
      <c r="I1267" s="316">
        <v>50854.0</v>
      </c>
      <c r="J1267" s="320">
        <v>1.0</v>
      </c>
    </row>
    <row r="1268">
      <c r="A1268" s="321"/>
      <c r="B1268" s="323" t="s">
        <v>1480</v>
      </c>
      <c r="C1268" s="323" t="s">
        <v>396</v>
      </c>
      <c r="D1268" s="323" t="s">
        <v>406</v>
      </c>
      <c r="E1268" s="323" t="s">
        <v>405</v>
      </c>
      <c r="F1268" s="305" t="s">
        <v>1467</v>
      </c>
      <c r="G1268" s="327" t="s">
        <v>422</v>
      </c>
      <c r="H1268" s="318" t="s">
        <v>416</v>
      </c>
      <c r="I1268" s="316">
        <v>50854.0</v>
      </c>
      <c r="J1268" s="320">
        <v>0.0</v>
      </c>
    </row>
    <row r="1269">
      <c r="A1269" s="321"/>
      <c r="B1269" s="315"/>
      <c r="C1269" s="315"/>
      <c r="D1269" s="315"/>
      <c r="E1269" s="316"/>
      <c r="F1269" s="316"/>
      <c r="G1269" s="316"/>
      <c r="H1269" s="316"/>
      <c r="I1269" s="316"/>
      <c r="J1269" s="320"/>
    </row>
    <row r="1270">
      <c r="A1270" s="334">
        <v>236.0</v>
      </c>
      <c r="B1270" s="323" t="s">
        <v>1480</v>
      </c>
      <c r="C1270" s="323" t="s">
        <v>396</v>
      </c>
      <c r="D1270" s="323" t="s">
        <v>406</v>
      </c>
      <c r="E1270" s="323" t="s">
        <v>405</v>
      </c>
      <c r="F1270" s="305" t="s">
        <v>1466</v>
      </c>
      <c r="G1270" s="327" t="s">
        <v>422</v>
      </c>
      <c r="H1270" s="318" t="s">
        <v>415</v>
      </c>
      <c r="I1270" s="316">
        <v>50912.0</v>
      </c>
      <c r="J1270" s="320">
        <v>1.0</v>
      </c>
    </row>
    <row r="1271">
      <c r="A1271" s="321"/>
      <c r="B1271" s="323" t="s">
        <v>1480</v>
      </c>
      <c r="C1271" s="323" t="s">
        <v>396</v>
      </c>
      <c r="D1271" s="323" t="s">
        <v>406</v>
      </c>
      <c r="E1271" s="323" t="s">
        <v>405</v>
      </c>
      <c r="F1271" s="305" t="s">
        <v>1467</v>
      </c>
      <c r="G1271" s="327" t="s">
        <v>422</v>
      </c>
      <c r="H1271" s="318" t="s">
        <v>416</v>
      </c>
      <c r="I1271" s="316">
        <v>50912.0</v>
      </c>
      <c r="J1271" s="320">
        <v>2.0</v>
      </c>
    </row>
    <row r="1272">
      <c r="A1272" s="321"/>
      <c r="B1272" s="315"/>
      <c r="C1272" s="315"/>
      <c r="D1272" s="315"/>
      <c r="E1272" s="316"/>
      <c r="F1272" s="316"/>
      <c r="G1272" s="316"/>
      <c r="H1272" s="316"/>
      <c r="I1272" s="316"/>
      <c r="J1272" s="320"/>
    </row>
    <row r="1273">
      <c r="A1273" s="334">
        <v>237.0</v>
      </c>
      <c r="B1273" s="323" t="s">
        <v>1480</v>
      </c>
      <c r="C1273" s="323" t="s">
        <v>396</v>
      </c>
      <c r="D1273" s="323" t="s">
        <v>406</v>
      </c>
      <c r="E1273" s="323" t="s">
        <v>405</v>
      </c>
      <c r="F1273" s="305" t="s">
        <v>1466</v>
      </c>
      <c r="G1273" s="327" t="s">
        <v>422</v>
      </c>
      <c r="H1273" s="318" t="s">
        <v>415</v>
      </c>
      <c r="I1273" s="316">
        <v>501432.0</v>
      </c>
      <c r="J1273" s="320">
        <v>3.0</v>
      </c>
    </row>
    <row r="1274">
      <c r="A1274" s="321"/>
      <c r="B1274" s="323" t="s">
        <v>1480</v>
      </c>
      <c r="C1274" s="323" t="s">
        <v>396</v>
      </c>
      <c r="D1274" s="323" t="s">
        <v>406</v>
      </c>
      <c r="E1274" s="323" t="s">
        <v>405</v>
      </c>
      <c r="F1274" s="305" t="s">
        <v>1467</v>
      </c>
      <c r="G1274" s="327" t="s">
        <v>422</v>
      </c>
      <c r="H1274" s="318" t="s">
        <v>416</v>
      </c>
      <c r="I1274" s="316">
        <v>501432.0</v>
      </c>
      <c r="J1274" s="320">
        <v>2.0</v>
      </c>
    </row>
    <row r="1275">
      <c r="A1275" s="321"/>
      <c r="B1275" s="315"/>
      <c r="C1275" s="315"/>
      <c r="D1275" s="315"/>
      <c r="E1275" s="316"/>
      <c r="F1275" s="316"/>
      <c r="G1275" s="316"/>
      <c r="H1275" s="316"/>
      <c r="I1275" s="316"/>
      <c r="J1275" s="320"/>
    </row>
    <row r="1276">
      <c r="A1276" s="334">
        <v>238.0</v>
      </c>
      <c r="B1276" s="323" t="s">
        <v>1480</v>
      </c>
      <c r="C1276" s="323" t="s">
        <v>396</v>
      </c>
      <c r="D1276" s="323" t="s">
        <v>406</v>
      </c>
      <c r="E1276" s="323" t="s">
        <v>405</v>
      </c>
      <c r="F1276" s="305" t="s">
        <v>1466</v>
      </c>
      <c r="G1276" s="327" t="s">
        <v>422</v>
      </c>
      <c r="H1276" s="318" t="s">
        <v>415</v>
      </c>
      <c r="I1276" s="316" t="s">
        <v>92</v>
      </c>
      <c r="J1276" s="320">
        <v>14.0</v>
      </c>
    </row>
    <row r="1277">
      <c r="A1277" s="321"/>
      <c r="B1277" s="323" t="s">
        <v>1480</v>
      </c>
      <c r="C1277" s="323" t="s">
        <v>396</v>
      </c>
      <c r="D1277" s="323" t="s">
        <v>406</v>
      </c>
      <c r="E1277" s="323" t="s">
        <v>405</v>
      </c>
      <c r="F1277" s="305" t="s">
        <v>1467</v>
      </c>
      <c r="G1277" s="327" t="s">
        <v>422</v>
      </c>
      <c r="H1277" s="318" t="s">
        <v>416</v>
      </c>
      <c r="I1277" s="316" t="s">
        <v>92</v>
      </c>
      <c r="J1277" s="320">
        <v>19.0</v>
      </c>
    </row>
    <row r="1278">
      <c r="A1278" s="321"/>
      <c r="B1278" s="315"/>
      <c r="C1278" s="315"/>
      <c r="D1278" s="315"/>
      <c r="E1278" s="316"/>
      <c r="F1278" s="316"/>
      <c r="G1278" s="316"/>
      <c r="H1278" s="316"/>
      <c r="I1278" s="316"/>
      <c r="J1278" s="320"/>
    </row>
    <row r="1279">
      <c r="A1279" s="334">
        <v>239.0</v>
      </c>
      <c r="B1279" s="323" t="s">
        <v>1480</v>
      </c>
      <c r="C1279" s="323" t="s">
        <v>396</v>
      </c>
      <c r="D1279" s="323" t="s">
        <v>406</v>
      </c>
      <c r="E1279" s="323" t="s">
        <v>405</v>
      </c>
      <c r="F1279" s="305" t="s">
        <v>1466</v>
      </c>
      <c r="G1279" s="327" t="s">
        <v>422</v>
      </c>
      <c r="H1279" s="318" t="s">
        <v>415</v>
      </c>
      <c r="I1279" s="316" t="s">
        <v>100</v>
      </c>
      <c r="J1279" s="320">
        <v>13.0</v>
      </c>
    </row>
    <row r="1280">
      <c r="A1280" s="321"/>
      <c r="B1280" s="323" t="s">
        <v>1480</v>
      </c>
      <c r="C1280" s="323" t="s">
        <v>396</v>
      </c>
      <c r="D1280" s="323" t="s">
        <v>406</v>
      </c>
      <c r="E1280" s="323" t="s">
        <v>405</v>
      </c>
      <c r="F1280" s="305" t="s">
        <v>1467</v>
      </c>
      <c r="G1280" s="327" t="s">
        <v>422</v>
      </c>
      <c r="H1280" s="318" t="s">
        <v>416</v>
      </c>
      <c r="I1280" s="316" t="s">
        <v>100</v>
      </c>
      <c r="J1280" s="320">
        <v>7.0</v>
      </c>
    </row>
    <row r="1281">
      <c r="A1281" s="321"/>
      <c r="B1281" s="315"/>
      <c r="C1281" s="315"/>
      <c r="D1281" s="315"/>
      <c r="E1281" s="316"/>
      <c r="F1281" s="316"/>
      <c r="G1281" s="316"/>
      <c r="H1281" s="316"/>
      <c r="I1281" s="316"/>
      <c r="J1281" s="320"/>
    </row>
    <row r="1282">
      <c r="A1282" s="334">
        <v>240.0</v>
      </c>
      <c r="B1282" s="323" t="s">
        <v>1480</v>
      </c>
      <c r="C1282" s="323" t="s">
        <v>396</v>
      </c>
      <c r="D1282" s="323" t="s">
        <v>406</v>
      </c>
      <c r="E1282" s="323" t="s">
        <v>407</v>
      </c>
      <c r="F1282" s="305" t="s">
        <v>1466</v>
      </c>
      <c r="G1282" s="327" t="s">
        <v>422</v>
      </c>
      <c r="H1282" s="318" t="s">
        <v>415</v>
      </c>
      <c r="I1282" s="316">
        <v>60133.0</v>
      </c>
      <c r="J1282" s="320">
        <v>7.0</v>
      </c>
    </row>
    <row r="1283">
      <c r="A1283" s="321"/>
      <c r="B1283" s="323" t="s">
        <v>1480</v>
      </c>
      <c r="C1283" s="323" t="s">
        <v>396</v>
      </c>
      <c r="D1283" s="323" t="s">
        <v>406</v>
      </c>
      <c r="E1283" s="323" t="s">
        <v>407</v>
      </c>
      <c r="F1283" s="305" t="s">
        <v>1467</v>
      </c>
      <c r="G1283" s="327" t="s">
        <v>422</v>
      </c>
      <c r="H1283" s="318" t="s">
        <v>416</v>
      </c>
      <c r="I1283" s="316">
        <v>60133.0</v>
      </c>
      <c r="J1283" s="320">
        <v>13.0</v>
      </c>
    </row>
    <row r="1284">
      <c r="A1284" s="321"/>
      <c r="B1284" s="315"/>
      <c r="C1284" s="315"/>
      <c r="D1284" s="315"/>
      <c r="E1284" s="316"/>
      <c r="F1284" s="316"/>
      <c r="G1284" s="316"/>
      <c r="H1284" s="316"/>
      <c r="I1284" s="316"/>
      <c r="J1284" s="320"/>
    </row>
    <row r="1285">
      <c r="A1285" s="334">
        <v>241.0</v>
      </c>
      <c r="B1285" s="323" t="s">
        <v>1480</v>
      </c>
      <c r="C1285" s="323" t="s">
        <v>396</v>
      </c>
      <c r="D1285" s="323" t="s">
        <v>406</v>
      </c>
      <c r="E1285" s="323" t="s">
        <v>407</v>
      </c>
      <c r="F1285" s="305" t="s">
        <v>1466</v>
      </c>
      <c r="G1285" s="327" t="s">
        <v>422</v>
      </c>
      <c r="H1285" s="318" t="s">
        <v>415</v>
      </c>
      <c r="I1285" s="316">
        <v>601331.0</v>
      </c>
      <c r="J1285" s="320">
        <v>6.0</v>
      </c>
    </row>
    <row r="1286">
      <c r="A1286" s="321"/>
      <c r="B1286" s="323" t="s">
        <v>1480</v>
      </c>
      <c r="C1286" s="323" t="s">
        <v>396</v>
      </c>
      <c r="D1286" s="323" t="s">
        <v>406</v>
      </c>
      <c r="E1286" s="323" t="s">
        <v>407</v>
      </c>
      <c r="F1286" s="305" t="s">
        <v>1467</v>
      </c>
      <c r="G1286" s="327" t="s">
        <v>422</v>
      </c>
      <c r="H1286" s="318" t="s">
        <v>416</v>
      </c>
      <c r="I1286" s="316">
        <v>601331.0</v>
      </c>
      <c r="J1286" s="320">
        <v>6.0</v>
      </c>
    </row>
    <row r="1287">
      <c r="A1287" s="321"/>
      <c r="B1287" s="315"/>
      <c r="C1287" s="315"/>
      <c r="D1287" s="315"/>
      <c r="E1287" s="316"/>
      <c r="F1287" s="316"/>
      <c r="G1287" s="316"/>
      <c r="H1287" s="316"/>
      <c r="I1287" s="316"/>
      <c r="J1287" s="320"/>
    </row>
    <row r="1288">
      <c r="A1288" s="334">
        <v>242.0</v>
      </c>
      <c r="B1288" s="323" t="s">
        <v>1480</v>
      </c>
      <c r="C1288" s="323" t="s">
        <v>396</v>
      </c>
      <c r="D1288" s="323" t="s">
        <v>406</v>
      </c>
      <c r="E1288" s="323" t="s">
        <v>407</v>
      </c>
      <c r="F1288" s="305" t="s">
        <v>1466</v>
      </c>
      <c r="G1288" s="327" t="s">
        <v>422</v>
      </c>
      <c r="H1288" s="318" t="s">
        <v>415</v>
      </c>
      <c r="I1288" s="316">
        <v>601448.0</v>
      </c>
      <c r="J1288" s="320">
        <v>3.0</v>
      </c>
    </row>
    <row r="1289">
      <c r="A1289" s="321"/>
      <c r="B1289" s="323" t="s">
        <v>1480</v>
      </c>
      <c r="C1289" s="323" t="s">
        <v>396</v>
      </c>
      <c r="D1289" s="323" t="s">
        <v>406</v>
      </c>
      <c r="E1289" s="323" t="s">
        <v>407</v>
      </c>
      <c r="F1289" s="305" t="s">
        <v>1467</v>
      </c>
      <c r="G1289" s="327" t="s">
        <v>422</v>
      </c>
      <c r="H1289" s="318" t="s">
        <v>416</v>
      </c>
      <c r="I1289" s="316">
        <v>601448.0</v>
      </c>
      <c r="J1289" s="320">
        <v>1.0</v>
      </c>
    </row>
    <row r="1290">
      <c r="A1290" s="321"/>
      <c r="B1290" s="315"/>
      <c r="C1290" s="315"/>
      <c r="D1290" s="315"/>
      <c r="E1290" s="316"/>
      <c r="F1290" s="316"/>
      <c r="G1290" s="316"/>
      <c r="H1290" s="316"/>
      <c r="I1290" s="316"/>
      <c r="J1290" s="320"/>
    </row>
    <row r="1291">
      <c r="A1291" s="334">
        <v>243.0</v>
      </c>
      <c r="B1291" s="323" t="s">
        <v>1480</v>
      </c>
      <c r="C1291" s="323" t="s">
        <v>396</v>
      </c>
      <c r="D1291" s="323" t="s">
        <v>406</v>
      </c>
      <c r="E1291" s="323" t="s">
        <v>407</v>
      </c>
      <c r="F1291" s="305" t="s">
        <v>1466</v>
      </c>
      <c r="G1291" s="327" t="s">
        <v>422</v>
      </c>
      <c r="H1291" s="318" t="s">
        <v>415</v>
      </c>
      <c r="I1291" s="316">
        <v>6010231.0</v>
      </c>
      <c r="J1291" s="320">
        <v>8.0</v>
      </c>
    </row>
    <row r="1292">
      <c r="A1292" s="321"/>
      <c r="B1292" s="323" t="s">
        <v>1480</v>
      </c>
      <c r="C1292" s="323" t="s">
        <v>396</v>
      </c>
      <c r="D1292" s="323" t="s">
        <v>406</v>
      </c>
      <c r="E1292" s="323" t="s">
        <v>407</v>
      </c>
      <c r="F1292" s="305" t="s">
        <v>1467</v>
      </c>
      <c r="G1292" s="327" t="s">
        <v>422</v>
      </c>
      <c r="H1292" s="318" t="s">
        <v>416</v>
      </c>
      <c r="I1292" s="316">
        <v>6010231.0</v>
      </c>
      <c r="J1292" s="320">
        <v>11.0</v>
      </c>
    </row>
    <row r="1293">
      <c r="A1293" s="321"/>
      <c r="B1293" s="315"/>
      <c r="C1293" s="315"/>
      <c r="D1293" s="315"/>
      <c r="E1293" s="316"/>
      <c r="F1293" s="316"/>
      <c r="G1293" s="316"/>
      <c r="H1293" s="316"/>
      <c r="I1293" s="316"/>
      <c r="J1293" s="320"/>
    </row>
    <row r="1294">
      <c r="A1294" s="334">
        <v>244.0</v>
      </c>
      <c r="B1294" s="323" t="s">
        <v>1480</v>
      </c>
      <c r="C1294" s="323" t="s">
        <v>396</v>
      </c>
      <c r="D1294" s="323" t="s">
        <v>406</v>
      </c>
      <c r="E1294" s="323" t="s">
        <v>409</v>
      </c>
      <c r="F1294" s="305" t="s">
        <v>1466</v>
      </c>
      <c r="G1294" s="327" t="s">
        <v>422</v>
      </c>
      <c r="H1294" s="318" t="s">
        <v>415</v>
      </c>
      <c r="I1294" s="316">
        <v>14894.0</v>
      </c>
      <c r="J1294" s="320">
        <v>0.0</v>
      </c>
    </row>
    <row r="1295">
      <c r="A1295" s="321"/>
      <c r="B1295" s="323" t="s">
        <v>1480</v>
      </c>
      <c r="C1295" s="323" t="s">
        <v>396</v>
      </c>
      <c r="D1295" s="323" t="s">
        <v>406</v>
      </c>
      <c r="E1295" s="323" t="s">
        <v>409</v>
      </c>
      <c r="F1295" s="305" t="s">
        <v>1467</v>
      </c>
      <c r="G1295" s="327" t="s">
        <v>422</v>
      </c>
      <c r="H1295" s="318" t="s">
        <v>416</v>
      </c>
      <c r="I1295" s="316">
        <v>14894.0</v>
      </c>
      <c r="J1295" s="320">
        <v>0.0</v>
      </c>
    </row>
    <row r="1296">
      <c r="A1296" s="321"/>
      <c r="B1296" s="315"/>
      <c r="C1296" s="315"/>
      <c r="D1296" s="315"/>
      <c r="E1296" s="316"/>
      <c r="F1296" s="316"/>
      <c r="G1296" s="316"/>
      <c r="H1296" s="316"/>
      <c r="I1296" s="316"/>
      <c r="J1296" s="320"/>
    </row>
    <row r="1297">
      <c r="A1297" s="334">
        <v>245.0</v>
      </c>
      <c r="B1297" s="323" t="s">
        <v>1480</v>
      </c>
      <c r="C1297" s="323" t="s">
        <v>396</v>
      </c>
      <c r="D1297" s="323" t="s">
        <v>406</v>
      </c>
      <c r="E1297" s="323" t="s">
        <v>409</v>
      </c>
      <c r="F1297" s="305" t="s">
        <v>1466</v>
      </c>
      <c r="G1297" s="327" t="s">
        <v>422</v>
      </c>
      <c r="H1297" s="318" t="s">
        <v>415</v>
      </c>
      <c r="I1297" s="316" t="s">
        <v>55</v>
      </c>
      <c r="J1297" s="320">
        <v>19.0</v>
      </c>
    </row>
    <row r="1298">
      <c r="A1298" s="321"/>
      <c r="B1298" s="323" t="s">
        <v>1480</v>
      </c>
      <c r="C1298" s="323" t="s">
        <v>396</v>
      </c>
      <c r="D1298" s="323" t="s">
        <v>406</v>
      </c>
      <c r="E1298" s="323" t="s">
        <v>409</v>
      </c>
      <c r="F1298" s="305" t="s">
        <v>1467</v>
      </c>
      <c r="G1298" s="327" t="s">
        <v>422</v>
      </c>
      <c r="H1298" s="318" t="s">
        <v>416</v>
      </c>
      <c r="I1298" s="316" t="s">
        <v>55</v>
      </c>
      <c r="J1298" s="320">
        <v>16.0</v>
      </c>
    </row>
    <row r="1299">
      <c r="A1299" s="321"/>
      <c r="B1299" s="315"/>
      <c r="C1299" s="315"/>
      <c r="D1299" s="315"/>
      <c r="E1299" s="316"/>
      <c r="F1299" s="316"/>
      <c r="G1299" s="316"/>
      <c r="H1299" s="316"/>
      <c r="I1299" s="316"/>
      <c r="J1299" s="320"/>
    </row>
    <row r="1300">
      <c r="A1300" s="334">
        <v>246.0</v>
      </c>
      <c r="B1300" s="323" t="s">
        <v>1480</v>
      </c>
      <c r="C1300" s="323" t="s">
        <v>396</v>
      </c>
      <c r="D1300" s="323" t="s">
        <v>406</v>
      </c>
      <c r="E1300" s="323" t="s">
        <v>409</v>
      </c>
      <c r="F1300" s="305" t="s">
        <v>1466</v>
      </c>
      <c r="G1300" s="327" t="s">
        <v>422</v>
      </c>
      <c r="H1300" s="318" t="s">
        <v>415</v>
      </c>
      <c r="I1300" s="316" t="s">
        <v>61</v>
      </c>
      <c r="J1300" s="320">
        <v>7.0</v>
      </c>
    </row>
    <row r="1301">
      <c r="A1301" s="321"/>
      <c r="B1301" s="323" t="s">
        <v>1480</v>
      </c>
      <c r="C1301" s="323" t="s">
        <v>396</v>
      </c>
      <c r="D1301" s="323" t="s">
        <v>406</v>
      </c>
      <c r="E1301" s="323" t="s">
        <v>409</v>
      </c>
      <c r="F1301" s="305" t="s">
        <v>1467</v>
      </c>
      <c r="G1301" s="327" t="s">
        <v>422</v>
      </c>
      <c r="H1301" s="318" t="s">
        <v>416</v>
      </c>
      <c r="I1301" s="316" t="s">
        <v>61</v>
      </c>
      <c r="J1301" s="320">
        <v>8.0</v>
      </c>
    </row>
    <row r="1302">
      <c r="A1302" s="321"/>
      <c r="B1302" s="315"/>
      <c r="C1302" s="315"/>
      <c r="D1302" s="315"/>
      <c r="E1302" s="316"/>
      <c r="F1302" s="316"/>
      <c r="G1302" s="316"/>
      <c r="H1302" s="316"/>
      <c r="I1302" s="316"/>
      <c r="J1302" s="320"/>
    </row>
    <row r="1303">
      <c r="A1303" s="334">
        <v>247.0</v>
      </c>
      <c r="B1303" s="323" t="s">
        <v>1480</v>
      </c>
      <c r="C1303" s="323" t="s">
        <v>396</v>
      </c>
      <c r="D1303" s="323" t="s">
        <v>406</v>
      </c>
      <c r="E1303" s="323" t="s">
        <v>409</v>
      </c>
      <c r="F1303" s="305" t="s">
        <v>1466</v>
      </c>
      <c r="G1303" s="327" t="s">
        <v>422</v>
      </c>
      <c r="H1303" s="318" t="s">
        <v>415</v>
      </c>
      <c r="I1303" s="316" t="s">
        <v>53</v>
      </c>
      <c r="J1303" s="320">
        <v>6.0</v>
      </c>
    </row>
    <row r="1304">
      <c r="A1304" s="321"/>
      <c r="B1304" s="323" t="s">
        <v>1480</v>
      </c>
      <c r="C1304" s="323" t="s">
        <v>396</v>
      </c>
      <c r="D1304" s="323" t="s">
        <v>406</v>
      </c>
      <c r="E1304" s="323" t="s">
        <v>409</v>
      </c>
      <c r="F1304" s="305" t="s">
        <v>1467</v>
      </c>
      <c r="G1304" s="327" t="s">
        <v>422</v>
      </c>
      <c r="H1304" s="318" t="s">
        <v>416</v>
      </c>
      <c r="I1304" s="316" t="s">
        <v>53</v>
      </c>
      <c r="J1304" s="320">
        <v>7.0</v>
      </c>
    </row>
    <row r="1305">
      <c r="A1305" s="321"/>
      <c r="B1305" s="315"/>
      <c r="C1305" s="315"/>
      <c r="D1305" s="315"/>
      <c r="E1305" s="316"/>
      <c r="F1305" s="316"/>
      <c r="G1305" s="316"/>
      <c r="H1305" s="316"/>
      <c r="I1305" s="316"/>
      <c r="J1305" s="320"/>
    </row>
    <row r="1306">
      <c r="A1306" s="334">
        <v>248.0</v>
      </c>
      <c r="B1306" s="323" t="s">
        <v>1480</v>
      </c>
      <c r="C1306" s="323" t="s">
        <v>396</v>
      </c>
      <c r="D1306" s="323" t="s">
        <v>406</v>
      </c>
      <c r="E1306" s="323" t="s">
        <v>410</v>
      </c>
      <c r="F1306" s="305" t="s">
        <v>1466</v>
      </c>
      <c r="G1306" s="327" t="s">
        <v>422</v>
      </c>
      <c r="H1306" s="318" t="s">
        <v>415</v>
      </c>
      <c r="I1306" s="316">
        <v>86809.0</v>
      </c>
      <c r="J1306" s="320">
        <v>0.0</v>
      </c>
    </row>
    <row r="1307">
      <c r="A1307" s="321"/>
      <c r="B1307" s="323" t="s">
        <v>1480</v>
      </c>
      <c r="C1307" s="323" t="s">
        <v>396</v>
      </c>
      <c r="D1307" s="323" t="s">
        <v>406</v>
      </c>
      <c r="E1307" s="323" t="s">
        <v>410</v>
      </c>
      <c r="F1307" s="305" t="s">
        <v>1467</v>
      </c>
      <c r="G1307" s="327" t="s">
        <v>422</v>
      </c>
      <c r="H1307" s="318" t="s">
        <v>416</v>
      </c>
      <c r="I1307" s="316">
        <v>86809.0</v>
      </c>
      <c r="J1307" s="320">
        <v>1.0</v>
      </c>
    </row>
    <row r="1308">
      <c r="A1308" s="321"/>
      <c r="B1308" s="315"/>
      <c r="C1308" s="315"/>
      <c r="D1308" s="315"/>
      <c r="E1308" s="316"/>
      <c r="F1308" s="316"/>
      <c r="G1308" s="316"/>
      <c r="H1308" s="316"/>
      <c r="I1308" s="316"/>
      <c r="J1308" s="320"/>
    </row>
    <row r="1309">
      <c r="A1309" s="334">
        <v>249.0</v>
      </c>
      <c r="B1309" s="323" t="s">
        <v>1480</v>
      </c>
      <c r="C1309" s="323" t="s">
        <v>396</v>
      </c>
      <c r="D1309" s="323" t="s">
        <v>406</v>
      </c>
      <c r="E1309" s="323" t="s">
        <v>410</v>
      </c>
      <c r="F1309" s="305" t="s">
        <v>1466</v>
      </c>
      <c r="G1309" s="327" t="s">
        <v>422</v>
      </c>
      <c r="H1309" s="318" t="s">
        <v>415</v>
      </c>
      <c r="I1309" s="316">
        <v>88327.0</v>
      </c>
      <c r="J1309" s="320">
        <v>0.0</v>
      </c>
    </row>
    <row r="1310">
      <c r="A1310" s="321"/>
      <c r="B1310" s="323" t="s">
        <v>1480</v>
      </c>
      <c r="C1310" s="323" t="s">
        <v>396</v>
      </c>
      <c r="D1310" s="323" t="s">
        <v>406</v>
      </c>
      <c r="E1310" s="323" t="s">
        <v>410</v>
      </c>
      <c r="F1310" s="305" t="s">
        <v>1467</v>
      </c>
      <c r="G1310" s="327" t="s">
        <v>422</v>
      </c>
      <c r="H1310" s="318" t="s">
        <v>416</v>
      </c>
      <c r="I1310" s="316">
        <v>88327.0</v>
      </c>
      <c r="J1310" s="320">
        <v>1.0</v>
      </c>
    </row>
    <row r="1311">
      <c r="A1311" s="321"/>
      <c r="B1311" s="315"/>
      <c r="C1311" s="315"/>
      <c r="D1311" s="315"/>
      <c r="E1311" s="316"/>
      <c r="F1311" s="316"/>
      <c r="G1311" s="316"/>
      <c r="H1311" s="316"/>
      <c r="I1311" s="316"/>
      <c r="J1311" s="320"/>
    </row>
    <row r="1312">
      <c r="A1312" s="334">
        <v>250.0</v>
      </c>
      <c r="B1312" s="323" t="s">
        <v>1480</v>
      </c>
      <c r="C1312" s="323" t="s">
        <v>396</v>
      </c>
      <c r="D1312" s="323" t="s">
        <v>406</v>
      </c>
      <c r="E1312" s="323" t="s">
        <v>410</v>
      </c>
      <c r="F1312" s="305" t="s">
        <v>1466</v>
      </c>
      <c r="G1312" s="327" t="s">
        <v>422</v>
      </c>
      <c r="H1312" s="318" t="s">
        <v>415</v>
      </c>
      <c r="I1312" s="316" t="s">
        <v>338</v>
      </c>
      <c r="J1312" s="320">
        <v>2.0</v>
      </c>
    </row>
    <row r="1313">
      <c r="A1313" s="321"/>
      <c r="B1313" s="323" t="s">
        <v>1480</v>
      </c>
      <c r="C1313" s="323" t="s">
        <v>396</v>
      </c>
      <c r="D1313" s="323" t="s">
        <v>406</v>
      </c>
      <c r="E1313" s="323" t="s">
        <v>410</v>
      </c>
      <c r="F1313" s="305" t="s">
        <v>1467</v>
      </c>
      <c r="G1313" s="327" t="s">
        <v>422</v>
      </c>
      <c r="H1313" s="318" t="s">
        <v>416</v>
      </c>
      <c r="I1313" s="316" t="s">
        <v>338</v>
      </c>
      <c r="J1313" s="320">
        <v>4.0</v>
      </c>
    </row>
    <row r="1314">
      <c r="A1314" s="321"/>
      <c r="B1314" s="315"/>
      <c r="C1314" s="315"/>
      <c r="D1314" s="315"/>
      <c r="E1314" s="316"/>
      <c r="F1314" s="316"/>
      <c r="G1314" s="316"/>
      <c r="H1314" s="316"/>
      <c r="I1314" s="316"/>
      <c r="J1314" s="320"/>
    </row>
    <row r="1315">
      <c r="A1315" s="334">
        <v>251.0</v>
      </c>
      <c r="B1315" s="323" t="s">
        <v>1480</v>
      </c>
      <c r="C1315" s="323" t="s">
        <v>396</v>
      </c>
      <c r="D1315" s="323" t="s">
        <v>406</v>
      </c>
      <c r="E1315" s="323" t="s">
        <v>411</v>
      </c>
      <c r="F1315" s="305" t="s">
        <v>1466</v>
      </c>
      <c r="G1315" s="327" t="s">
        <v>422</v>
      </c>
      <c r="H1315" s="318" t="s">
        <v>415</v>
      </c>
      <c r="I1315" s="316">
        <v>64028.0</v>
      </c>
      <c r="J1315" s="320">
        <v>3.0</v>
      </c>
    </row>
    <row r="1316">
      <c r="A1316" s="321"/>
      <c r="B1316" s="323" t="s">
        <v>1480</v>
      </c>
      <c r="C1316" s="323" t="s">
        <v>396</v>
      </c>
      <c r="D1316" s="323" t="s">
        <v>406</v>
      </c>
      <c r="E1316" s="323" t="s">
        <v>411</v>
      </c>
      <c r="F1316" s="305" t="s">
        <v>1467</v>
      </c>
      <c r="G1316" s="327" t="s">
        <v>422</v>
      </c>
      <c r="H1316" s="318" t="s">
        <v>416</v>
      </c>
      <c r="I1316" s="316">
        <v>64028.0</v>
      </c>
      <c r="J1316" s="320">
        <v>3.0</v>
      </c>
    </row>
    <row r="1317">
      <c r="A1317" s="321"/>
      <c r="B1317" s="315"/>
      <c r="C1317" s="315"/>
      <c r="D1317" s="315"/>
      <c r="E1317" s="316"/>
      <c r="F1317" s="316"/>
      <c r="G1317" s="316"/>
      <c r="H1317" s="316"/>
      <c r="I1317" s="316"/>
      <c r="J1317" s="320"/>
    </row>
    <row r="1318">
      <c r="A1318" s="334">
        <v>252.0</v>
      </c>
      <c r="B1318" s="323" t="s">
        <v>1480</v>
      </c>
      <c r="C1318" s="323" t="s">
        <v>396</v>
      </c>
      <c r="D1318" s="323" t="s">
        <v>406</v>
      </c>
      <c r="E1318" s="323" t="s">
        <v>411</v>
      </c>
      <c r="F1318" s="305" t="s">
        <v>1466</v>
      </c>
      <c r="G1318" s="327" t="s">
        <v>422</v>
      </c>
      <c r="H1318" s="318" t="s">
        <v>415</v>
      </c>
      <c r="I1318" s="316">
        <v>64048.0</v>
      </c>
      <c r="J1318" s="320">
        <v>2.0</v>
      </c>
    </row>
    <row r="1319">
      <c r="A1319" s="321"/>
      <c r="B1319" s="323" t="s">
        <v>1480</v>
      </c>
      <c r="C1319" s="323" t="s">
        <v>396</v>
      </c>
      <c r="D1319" s="323" t="s">
        <v>406</v>
      </c>
      <c r="E1319" s="323" t="s">
        <v>411</v>
      </c>
      <c r="F1319" s="305" t="s">
        <v>1467</v>
      </c>
      <c r="G1319" s="327" t="s">
        <v>422</v>
      </c>
      <c r="H1319" s="318" t="s">
        <v>416</v>
      </c>
      <c r="I1319" s="316">
        <v>64048.0</v>
      </c>
      <c r="J1319" s="320">
        <v>2.0</v>
      </c>
    </row>
    <row r="1320">
      <c r="A1320" s="321"/>
      <c r="B1320" s="315"/>
      <c r="C1320" s="315"/>
      <c r="D1320" s="315"/>
      <c r="E1320" s="316"/>
      <c r="F1320" s="316"/>
      <c r="G1320" s="316"/>
      <c r="H1320" s="316"/>
      <c r="I1320" s="316"/>
      <c r="J1320" s="320"/>
    </row>
    <row r="1321">
      <c r="A1321" s="334">
        <v>253.0</v>
      </c>
      <c r="B1321" s="323" t="s">
        <v>1480</v>
      </c>
      <c r="C1321" s="323" t="s">
        <v>396</v>
      </c>
      <c r="D1321" s="323" t="s">
        <v>406</v>
      </c>
      <c r="E1321" s="323" t="s">
        <v>411</v>
      </c>
      <c r="F1321" s="305" t="s">
        <v>1466</v>
      </c>
      <c r="G1321" s="327" t="s">
        <v>422</v>
      </c>
      <c r="H1321" s="318" t="s">
        <v>415</v>
      </c>
      <c r="I1321" s="316">
        <v>64115.0</v>
      </c>
      <c r="J1321" s="320">
        <v>1.0</v>
      </c>
    </row>
    <row r="1322">
      <c r="A1322" s="321"/>
      <c r="B1322" s="323" t="s">
        <v>1480</v>
      </c>
      <c r="C1322" s="323" t="s">
        <v>396</v>
      </c>
      <c r="D1322" s="323" t="s">
        <v>406</v>
      </c>
      <c r="E1322" s="323" t="s">
        <v>411</v>
      </c>
      <c r="F1322" s="305" t="s">
        <v>1467</v>
      </c>
      <c r="G1322" s="327" t="s">
        <v>422</v>
      </c>
      <c r="H1322" s="318" t="s">
        <v>416</v>
      </c>
      <c r="I1322" s="316">
        <v>64115.0</v>
      </c>
      <c r="J1322" s="320">
        <v>1.0</v>
      </c>
    </row>
    <row r="1323">
      <c r="A1323" s="321"/>
      <c r="B1323" s="315"/>
      <c r="C1323" s="315"/>
      <c r="D1323" s="315"/>
      <c r="E1323" s="316"/>
      <c r="F1323" s="316"/>
      <c r="G1323" s="316"/>
      <c r="H1323" s="316"/>
      <c r="I1323" s="316"/>
      <c r="J1323" s="320"/>
    </row>
    <row r="1324">
      <c r="A1324" s="334">
        <v>254.0</v>
      </c>
      <c r="B1324" s="323" t="s">
        <v>1480</v>
      </c>
      <c r="C1324" s="323" t="s">
        <v>396</v>
      </c>
      <c r="D1324" s="323" t="s">
        <v>406</v>
      </c>
      <c r="E1324" s="323" t="s">
        <v>411</v>
      </c>
      <c r="F1324" s="305" t="s">
        <v>1466</v>
      </c>
      <c r="G1324" s="327" t="s">
        <v>422</v>
      </c>
      <c r="H1324" s="318" t="s">
        <v>415</v>
      </c>
      <c r="I1324" s="316">
        <v>64346.0</v>
      </c>
      <c r="J1324" s="320">
        <v>1.0</v>
      </c>
    </row>
    <row r="1325">
      <c r="A1325" s="321"/>
      <c r="B1325" s="323" t="s">
        <v>1480</v>
      </c>
      <c r="C1325" s="323" t="s">
        <v>396</v>
      </c>
      <c r="D1325" s="323" t="s">
        <v>406</v>
      </c>
      <c r="E1325" s="323" t="s">
        <v>411</v>
      </c>
      <c r="F1325" s="305" t="s">
        <v>1467</v>
      </c>
      <c r="G1325" s="327" t="s">
        <v>422</v>
      </c>
      <c r="H1325" s="318" t="s">
        <v>416</v>
      </c>
      <c r="I1325" s="316">
        <v>64346.0</v>
      </c>
      <c r="J1325" s="320">
        <v>1.0</v>
      </c>
    </row>
    <row r="1326">
      <c r="A1326" s="321"/>
      <c r="B1326" s="315"/>
      <c r="C1326" s="315"/>
      <c r="D1326" s="315"/>
      <c r="E1326" s="316"/>
      <c r="F1326" s="316"/>
      <c r="G1326" s="316"/>
      <c r="H1326" s="316"/>
      <c r="I1326" s="316"/>
      <c r="J1326" s="320"/>
    </row>
    <row r="1327">
      <c r="A1327" s="334">
        <v>255.0</v>
      </c>
      <c r="B1327" s="323" t="s">
        <v>1480</v>
      </c>
      <c r="C1327" s="323" t="s">
        <v>396</v>
      </c>
      <c r="D1327" s="323" t="s">
        <v>406</v>
      </c>
      <c r="E1327" s="323" t="s">
        <v>411</v>
      </c>
      <c r="F1327" s="305" t="s">
        <v>1466</v>
      </c>
      <c r="G1327" s="327" t="s">
        <v>422</v>
      </c>
      <c r="H1327" s="318" t="s">
        <v>415</v>
      </c>
      <c r="I1327" s="316">
        <v>64829.0</v>
      </c>
      <c r="J1327" s="320">
        <v>1.0</v>
      </c>
    </row>
    <row r="1328">
      <c r="A1328" s="321"/>
      <c r="B1328" s="323" t="s">
        <v>1480</v>
      </c>
      <c r="C1328" s="323" t="s">
        <v>396</v>
      </c>
      <c r="D1328" s="323" t="s">
        <v>406</v>
      </c>
      <c r="E1328" s="323" t="s">
        <v>411</v>
      </c>
      <c r="F1328" s="305" t="s">
        <v>1467</v>
      </c>
      <c r="G1328" s="327" t="s">
        <v>422</v>
      </c>
      <c r="H1328" s="318" t="s">
        <v>416</v>
      </c>
      <c r="I1328" s="316">
        <v>64829.0</v>
      </c>
      <c r="J1328" s="320">
        <v>1.0</v>
      </c>
    </row>
    <row r="1329">
      <c r="A1329" s="321"/>
      <c r="B1329" s="315"/>
      <c r="C1329" s="315"/>
      <c r="D1329" s="315"/>
      <c r="E1329" s="316"/>
      <c r="F1329" s="316"/>
      <c r="G1329" s="316"/>
      <c r="H1329" s="316"/>
      <c r="I1329" s="316"/>
      <c r="J1329" s="320"/>
    </row>
    <row r="1330">
      <c r="A1330" s="334">
        <v>256.0</v>
      </c>
      <c r="B1330" s="323" t="s">
        <v>1480</v>
      </c>
      <c r="C1330" s="323" t="s">
        <v>396</v>
      </c>
      <c r="D1330" s="323" t="s">
        <v>406</v>
      </c>
      <c r="E1330" s="323" t="s">
        <v>411</v>
      </c>
      <c r="F1330" s="305" t="s">
        <v>1466</v>
      </c>
      <c r="G1330" s="327" t="s">
        <v>422</v>
      </c>
      <c r="H1330" s="318" t="s">
        <v>415</v>
      </c>
      <c r="I1330" s="316">
        <v>65199.0</v>
      </c>
      <c r="J1330" s="320">
        <v>1.0</v>
      </c>
    </row>
    <row r="1331">
      <c r="A1331" s="321"/>
      <c r="B1331" s="323" t="s">
        <v>1480</v>
      </c>
      <c r="C1331" s="323" t="s">
        <v>396</v>
      </c>
      <c r="D1331" s="323" t="s">
        <v>406</v>
      </c>
      <c r="E1331" s="323" t="s">
        <v>411</v>
      </c>
      <c r="F1331" s="305" t="s">
        <v>1467</v>
      </c>
      <c r="G1331" s="327" t="s">
        <v>422</v>
      </c>
      <c r="H1331" s="318" t="s">
        <v>416</v>
      </c>
      <c r="I1331" s="316">
        <v>65199.0</v>
      </c>
      <c r="J1331" s="320">
        <v>2.0</v>
      </c>
    </row>
    <row r="1332">
      <c r="A1332" s="321"/>
      <c r="B1332" s="315"/>
      <c r="C1332" s="315"/>
      <c r="D1332" s="315"/>
      <c r="E1332" s="316"/>
      <c r="F1332" s="316"/>
      <c r="G1332" s="316"/>
      <c r="H1332" s="316"/>
      <c r="I1332" s="316"/>
      <c r="J1332" s="320"/>
    </row>
    <row r="1333">
      <c r="A1333" s="334">
        <v>257.0</v>
      </c>
      <c r="B1333" s="323" t="s">
        <v>1480</v>
      </c>
      <c r="C1333" s="323" t="s">
        <v>396</v>
      </c>
      <c r="D1333" s="323" t="s">
        <v>406</v>
      </c>
      <c r="E1333" s="323" t="s">
        <v>412</v>
      </c>
      <c r="F1333" s="305" t="s">
        <v>1466</v>
      </c>
      <c r="G1333" s="327" t="s">
        <v>422</v>
      </c>
      <c r="H1333" s="318" t="s">
        <v>415</v>
      </c>
      <c r="I1333" s="316">
        <v>36207.0</v>
      </c>
      <c r="J1333" s="320">
        <v>1.0</v>
      </c>
    </row>
    <row r="1334">
      <c r="A1334" s="321"/>
      <c r="B1334" s="323" t="s">
        <v>1480</v>
      </c>
      <c r="C1334" s="323" t="s">
        <v>396</v>
      </c>
      <c r="D1334" s="323" t="s">
        <v>406</v>
      </c>
      <c r="E1334" s="323" t="s">
        <v>412</v>
      </c>
      <c r="F1334" s="305" t="s">
        <v>1467</v>
      </c>
      <c r="G1334" s="327" t="s">
        <v>422</v>
      </c>
      <c r="H1334" s="318" t="s">
        <v>416</v>
      </c>
      <c r="I1334" s="316">
        <v>36207.0</v>
      </c>
      <c r="J1334" s="320">
        <v>1.0</v>
      </c>
    </row>
    <row r="1335">
      <c r="A1335" s="321"/>
      <c r="B1335" s="315"/>
      <c r="C1335" s="315"/>
      <c r="D1335" s="315"/>
      <c r="E1335" s="316"/>
      <c r="F1335" s="316"/>
      <c r="G1335" s="316"/>
      <c r="H1335" s="316"/>
      <c r="I1335" s="316"/>
      <c r="J1335" s="320"/>
    </row>
    <row r="1336">
      <c r="A1336" s="334">
        <v>258.0</v>
      </c>
      <c r="B1336" s="323" t="s">
        <v>1480</v>
      </c>
      <c r="C1336" s="323" t="s">
        <v>396</v>
      </c>
      <c r="D1336" s="323" t="s">
        <v>406</v>
      </c>
      <c r="E1336" s="323" t="s">
        <v>412</v>
      </c>
      <c r="F1336" s="305" t="s">
        <v>1466</v>
      </c>
      <c r="G1336" s="327" t="s">
        <v>422</v>
      </c>
      <c r="H1336" s="318" t="s">
        <v>415</v>
      </c>
      <c r="I1336" s="316" t="s">
        <v>314</v>
      </c>
      <c r="J1336" s="320">
        <v>1.0</v>
      </c>
    </row>
    <row r="1337">
      <c r="A1337" s="321"/>
      <c r="B1337" s="323" t="s">
        <v>1480</v>
      </c>
      <c r="C1337" s="323" t="s">
        <v>396</v>
      </c>
      <c r="D1337" s="323" t="s">
        <v>406</v>
      </c>
      <c r="E1337" s="323" t="s">
        <v>412</v>
      </c>
      <c r="F1337" s="305" t="s">
        <v>1467</v>
      </c>
      <c r="G1337" s="327" t="s">
        <v>422</v>
      </c>
      <c r="H1337" s="318" t="s">
        <v>416</v>
      </c>
      <c r="I1337" s="316" t="s">
        <v>314</v>
      </c>
      <c r="J1337" s="320">
        <v>1.0</v>
      </c>
    </row>
    <row r="1338">
      <c r="A1338" s="321"/>
      <c r="B1338" s="315"/>
      <c r="C1338" s="315"/>
      <c r="D1338" s="315"/>
      <c r="E1338" s="316"/>
      <c r="F1338" s="316"/>
      <c r="G1338" s="316"/>
      <c r="H1338" s="316"/>
      <c r="I1338" s="316"/>
      <c r="J1338" s="320"/>
    </row>
    <row r="1339">
      <c r="A1339" s="334">
        <v>259.0</v>
      </c>
      <c r="B1339" s="323" t="s">
        <v>1480</v>
      </c>
      <c r="C1339" s="323" t="s">
        <v>396</v>
      </c>
      <c r="D1339" s="323" t="s">
        <v>406</v>
      </c>
      <c r="E1339" s="323" t="s">
        <v>412</v>
      </c>
      <c r="F1339" s="305" t="s">
        <v>1466</v>
      </c>
      <c r="G1339" s="327" t="s">
        <v>422</v>
      </c>
      <c r="H1339" s="318" t="s">
        <v>415</v>
      </c>
      <c r="I1339" s="316" t="s">
        <v>316</v>
      </c>
      <c r="J1339" s="320">
        <v>3.0</v>
      </c>
    </row>
    <row r="1340">
      <c r="A1340" s="321"/>
      <c r="B1340" s="323" t="s">
        <v>1480</v>
      </c>
      <c r="C1340" s="323" t="s">
        <v>396</v>
      </c>
      <c r="D1340" s="323" t="s">
        <v>406</v>
      </c>
      <c r="E1340" s="323" t="s">
        <v>412</v>
      </c>
      <c r="F1340" s="305" t="s">
        <v>1467</v>
      </c>
      <c r="G1340" s="327" t="s">
        <v>422</v>
      </c>
      <c r="H1340" s="318" t="s">
        <v>416</v>
      </c>
      <c r="I1340" s="316" t="s">
        <v>316</v>
      </c>
      <c r="J1340" s="320">
        <v>2.0</v>
      </c>
    </row>
    <row r="1341">
      <c r="A1341" s="321"/>
      <c r="B1341" s="315"/>
      <c r="C1341" s="315"/>
      <c r="D1341" s="315"/>
      <c r="E1341" s="316"/>
      <c r="F1341" s="316"/>
      <c r="G1341" s="316"/>
      <c r="H1341" s="316"/>
      <c r="I1341" s="316"/>
      <c r="J1341" s="320"/>
    </row>
    <row r="1342">
      <c r="A1342" s="334">
        <v>260.0</v>
      </c>
      <c r="B1342" s="323" t="s">
        <v>1480</v>
      </c>
      <c r="C1342" s="323" t="s">
        <v>396</v>
      </c>
      <c r="D1342" s="323" t="s">
        <v>408</v>
      </c>
      <c r="E1342" s="323" t="s">
        <v>405</v>
      </c>
      <c r="F1342" s="305" t="s">
        <v>1464</v>
      </c>
      <c r="G1342" s="327" t="s">
        <v>420</v>
      </c>
      <c r="H1342" s="318" t="s">
        <v>415</v>
      </c>
      <c r="I1342" s="316" t="s">
        <v>229</v>
      </c>
      <c r="J1342" s="320">
        <v>5.0</v>
      </c>
    </row>
    <row r="1343">
      <c r="A1343" s="321"/>
      <c r="B1343" s="323" t="s">
        <v>1480</v>
      </c>
      <c r="C1343" s="323" t="s">
        <v>396</v>
      </c>
      <c r="D1343" s="323" t="s">
        <v>408</v>
      </c>
      <c r="E1343" s="323" t="s">
        <v>405</v>
      </c>
      <c r="F1343" s="305" t="s">
        <v>1465</v>
      </c>
      <c r="G1343" s="327" t="s">
        <v>420</v>
      </c>
      <c r="H1343" s="318" t="s">
        <v>416</v>
      </c>
      <c r="I1343" s="316" t="s">
        <v>229</v>
      </c>
      <c r="J1343" s="320">
        <v>5.0</v>
      </c>
    </row>
    <row r="1344">
      <c r="A1344" s="321"/>
      <c r="B1344" s="315"/>
      <c r="C1344" s="315"/>
      <c r="D1344" s="315"/>
      <c r="E1344" s="316"/>
      <c r="F1344" s="316"/>
      <c r="G1344" s="316"/>
      <c r="H1344" s="316"/>
      <c r="I1344" s="316"/>
      <c r="J1344" s="320"/>
    </row>
    <row r="1345">
      <c r="A1345" s="334">
        <v>261.0</v>
      </c>
      <c r="B1345" s="323" t="s">
        <v>1480</v>
      </c>
      <c r="C1345" s="323" t="s">
        <v>396</v>
      </c>
      <c r="D1345" s="323" t="s">
        <v>408</v>
      </c>
      <c r="E1345" s="323" t="s">
        <v>407</v>
      </c>
      <c r="F1345" s="305" t="s">
        <v>1464</v>
      </c>
      <c r="G1345" s="327" t="s">
        <v>420</v>
      </c>
      <c r="H1345" s="318" t="s">
        <v>415</v>
      </c>
      <c r="I1345" s="316">
        <v>60133.0</v>
      </c>
      <c r="J1345" s="320">
        <v>15.0</v>
      </c>
    </row>
    <row r="1346">
      <c r="A1346" s="321"/>
      <c r="B1346" s="323" t="s">
        <v>1480</v>
      </c>
      <c r="C1346" s="323" t="s">
        <v>396</v>
      </c>
      <c r="D1346" s="323" t="s">
        <v>408</v>
      </c>
      <c r="E1346" s="323" t="s">
        <v>407</v>
      </c>
      <c r="F1346" s="305" t="s">
        <v>1465</v>
      </c>
      <c r="G1346" s="327" t="s">
        <v>420</v>
      </c>
      <c r="H1346" s="318" t="s">
        <v>416</v>
      </c>
      <c r="I1346" s="316">
        <v>60133.0</v>
      </c>
      <c r="J1346" s="320">
        <v>15.0</v>
      </c>
    </row>
    <row r="1347">
      <c r="A1347" s="321"/>
      <c r="B1347" s="315"/>
      <c r="C1347" s="315"/>
      <c r="D1347" s="315"/>
      <c r="E1347" s="316"/>
      <c r="F1347" s="316"/>
      <c r="G1347" s="316"/>
      <c r="H1347" s="316"/>
      <c r="I1347" s="316"/>
      <c r="J1347" s="320"/>
    </row>
    <row r="1348">
      <c r="A1348" s="334">
        <v>262.0</v>
      </c>
      <c r="B1348" s="323" t="s">
        <v>1480</v>
      </c>
      <c r="C1348" s="323" t="s">
        <v>396</v>
      </c>
      <c r="D1348" s="323" t="s">
        <v>408</v>
      </c>
      <c r="E1348" s="323" t="s">
        <v>407</v>
      </c>
      <c r="F1348" s="305" t="s">
        <v>1464</v>
      </c>
      <c r="G1348" s="327" t="s">
        <v>420</v>
      </c>
      <c r="H1348" s="318" t="s">
        <v>415</v>
      </c>
      <c r="I1348" s="316">
        <v>601331.0</v>
      </c>
      <c r="J1348" s="320">
        <v>8.0</v>
      </c>
    </row>
    <row r="1349">
      <c r="A1349" s="321"/>
      <c r="B1349" s="323" t="s">
        <v>1480</v>
      </c>
      <c r="C1349" s="323" t="s">
        <v>396</v>
      </c>
      <c r="D1349" s="323" t="s">
        <v>408</v>
      </c>
      <c r="E1349" s="323" t="s">
        <v>407</v>
      </c>
      <c r="F1349" s="305" t="s">
        <v>1465</v>
      </c>
      <c r="G1349" s="327" t="s">
        <v>420</v>
      </c>
      <c r="H1349" s="318" t="s">
        <v>416</v>
      </c>
      <c r="I1349" s="316">
        <v>601331.0</v>
      </c>
      <c r="J1349" s="320">
        <v>8.0</v>
      </c>
    </row>
    <row r="1350">
      <c r="A1350" s="321"/>
      <c r="B1350" s="315"/>
      <c r="C1350" s="315"/>
      <c r="D1350" s="315"/>
      <c r="E1350" s="316"/>
      <c r="F1350" s="316"/>
      <c r="G1350" s="316"/>
      <c r="H1350" s="316"/>
      <c r="I1350" s="316"/>
      <c r="J1350" s="320"/>
    </row>
    <row r="1351">
      <c r="A1351" s="334">
        <v>263.0</v>
      </c>
      <c r="B1351" s="323" t="s">
        <v>1480</v>
      </c>
      <c r="C1351" s="323" t="s">
        <v>396</v>
      </c>
      <c r="D1351" s="323" t="s">
        <v>408</v>
      </c>
      <c r="E1351" s="323" t="s">
        <v>407</v>
      </c>
      <c r="F1351" s="305" t="s">
        <v>1464</v>
      </c>
      <c r="G1351" s="327" t="s">
        <v>420</v>
      </c>
      <c r="H1351" s="318" t="s">
        <v>415</v>
      </c>
      <c r="I1351" s="316">
        <v>6010231.0</v>
      </c>
      <c r="J1351" s="320">
        <v>5.0</v>
      </c>
    </row>
    <row r="1352">
      <c r="A1352" s="321"/>
      <c r="B1352" s="323" t="s">
        <v>1480</v>
      </c>
      <c r="C1352" s="323" t="s">
        <v>396</v>
      </c>
      <c r="D1352" s="323" t="s">
        <v>408</v>
      </c>
      <c r="E1352" s="323" t="s">
        <v>407</v>
      </c>
      <c r="F1352" s="305" t="s">
        <v>1465</v>
      </c>
      <c r="G1352" s="327" t="s">
        <v>420</v>
      </c>
      <c r="H1352" s="318" t="s">
        <v>416</v>
      </c>
      <c r="I1352" s="316">
        <v>6010231.0</v>
      </c>
      <c r="J1352" s="320">
        <v>5.0</v>
      </c>
    </row>
    <row r="1353">
      <c r="A1353" s="321"/>
      <c r="B1353" s="315"/>
      <c r="C1353" s="315"/>
      <c r="D1353" s="315"/>
      <c r="E1353" s="316"/>
      <c r="F1353" s="316"/>
      <c r="G1353" s="316"/>
      <c r="H1353" s="316"/>
      <c r="I1353" s="316"/>
      <c r="J1353" s="320"/>
    </row>
    <row r="1354">
      <c r="A1354" s="334">
        <v>264.0</v>
      </c>
      <c r="B1354" s="323" t="s">
        <v>1480</v>
      </c>
      <c r="C1354" s="323" t="s">
        <v>396</v>
      </c>
      <c r="D1354" s="323" t="s">
        <v>408</v>
      </c>
      <c r="E1354" s="323" t="s">
        <v>407</v>
      </c>
      <c r="F1354" s="305" t="s">
        <v>1464</v>
      </c>
      <c r="G1354" s="327" t="s">
        <v>420</v>
      </c>
      <c r="H1354" s="318" t="s">
        <v>415</v>
      </c>
      <c r="I1354" s="316" t="s">
        <v>29</v>
      </c>
      <c r="J1354" s="320">
        <v>19.0</v>
      </c>
    </row>
    <row r="1355">
      <c r="A1355" s="321"/>
      <c r="B1355" s="323" t="s">
        <v>1480</v>
      </c>
      <c r="C1355" s="323" t="s">
        <v>396</v>
      </c>
      <c r="D1355" s="323" t="s">
        <v>408</v>
      </c>
      <c r="E1355" s="323" t="s">
        <v>407</v>
      </c>
      <c r="F1355" s="305" t="s">
        <v>1465</v>
      </c>
      <c r="G1355" s="327" t="s">
        <v>420</v>
      </c>
      <c r="H1355" s="318" t="s">
        <v>416</v>
      </c>
      <c r="I1355" s="316" t="s">
        <v>29</v>
      </c>
      <c r="J1355" s="320">
        <v>19.0</v>
      </c>
    </row>
    <row r="1356">
      <c r="A1356" s="321"/>
      <c r="B1356" s="315"/>
      <c r="C1356" s="315"/>
      <c r="D1356" s="315"/>
      <c r="E1356" s="316"/>
      <c r="F1356" s="316"/>
      <c r="G1356" s="316"/>
      <c r="H1356" s="316"/>
      <c r="I1356" s="316"/>
      <c r="J1356" s="320"/>
    </row>
    <row r="1357">
      <c r="A1357" s="334">
        <v>265.0</v>
      </c>
      <c r="B1357" s="323" t="s">
        <v>1480</v>
      </c>
      <c r="C1357" s="323" t="s">
        <v>396</v>
      </c>
      <c r="D1357" s="323" t="s">
        <v>408</v>
      </c>
      <c r="E1357" s="323" t="s">
        <v>409</v>
      </c>
      <c r="F1357" s="305" t="s">
        <v>1464</v>
      </c>
      <c r="G1357" s="327" t="s">
        <v>420</v>
      </c>
      <c r="H1357" s="318" t="s">
        <v>415</v>
      </c>
      <c r="I1357" s="316" t="s">
        <v>55</v>
      </c>
      <c r="J1357" s="320">
        <v>18.0</v>
      </c>
    </row>
    <row r="1358">
      <c r="A1358" s="321"/>
      <c r="B1358" s="323" t="s">
        <v>1480</v>
      </c>
      <c r="C1358" s="323" t="s">
        <v>396</v>
      </c>
      <c r="D1358" s="323" t="s">
        <v>408</v>
      </c>
      <c r="E1358" s="323" t="s">
        <v>409</v>
      </c>
      <c r="F1358" s="305" t="s">
        <v>1465</v>
      </c>
      <c r="G1358" s="327" t="s">
        <v>420</v>
      </c>
      <c r="H1358" s="318" t="s">
        <v>416</v>
      </c>
      <c r="I1358" s="316" t="s">
        <v>55</v>
      </c>
      <c r="J1358" s="320">
        <v>18.0</v>
      </c>
    </row>
    <row r="1359">
      <c r="A1359" s="321"/>
      <c r="B1359" s="315"/>
      <c r="C1359" s="315"/>
      <c r="D1359" s="315"/>
      <c r="E1359" s="316"/>
      <c r="F1359" s="316"/>
      <c r="G1359" s="316"/>
      <c r="H1359" s="316"/>
      <c r="I1359" s="316"/>
      <c r="J1359" s="320"/>
    </row>
    <row r="1360">
      <c r="A1360" s="334">
        <v>266.0</v>
      </c>
      <c r="B1360" s="323" t="s">
        <v>1480</v>
      </c>
      <c r="C1360" s="323" t="s">
        <v>396</v>
      </c>
      <c r="D1360" s="323" t="s">
        <v>408</v>
      </c>
      <c r="E1360" s="323" t="s">
        <v>410</v>
      </c>
      <c r="F1360" s="305" t="s">
        <v>1464</v>
      </c>
      <c r="G1360" s="327" t="s">
        <v>420</v>
      </c>
      <c r="H1360" s="318" t="s">
        <v>415</v>
      </c>
      <c r="I1360" s="316" t="s">
        <v>339</v>
      </c>
      <c r="J1360" s="320">
        <v>2.0</v>
      </c>
    </row>
    <row r="1361">
      <c r="A1361" s="321"/>
      <c r="B1361" s="323" t="s">
        <v>1480</v>
      </c>
      <c r="C1361" s="323" t="s">
        <v>396</v>
      </c>
      <c r="D1361" s="323" t="s">
        <v>408</v>
      </c>
      <c r="E1361" s="323" t="s">
        <v>410</v>
      </c>
      <c r="F1361" s="305" t="s">
        <v>1465</v>
      </c>
      <c r="G1361" s="327" t="s">
        <v>420</v>
      </c>
      <c r="H1361" s="318" t="s">
        <v>416</v>
      </c>
      <c r="I1361" s="316" t="s">
        <v>339</v>
      </c>
      <c r="J1361" s="320">
        <v>2.0</v>
      </c>
    </row>
    <row r="1362">
      <c r="A1362" s="321"/>
      <c r="B1362" s="315"/>
      <c r="C1362" s="315"/>
      <c r="D1362" s="315"/>
      <c r="E1362" s="316"/>
      <c r="F1362" s="316"/>
      <c r="G1362" s="316"/>
      <c r="H1362" s="316"/>
      <c r="I1362" s="316"/>
      <c r="J1362" s="320"/>
    </row>
    <row r="1363">
      <c r="A1363" s="334">
        <v>267.0</v>
      </c>
      <c r="B1363" s="323" t="s">
        <v>1480</v>
      </c>
      <c r="C1363" s="323" t="s">
        <v>396</v>
      </c>
      <c r="D1363" s="323" t="s">
        <v>408</v>
      </c>
      <c r="E1363" s="323" t="s">
        <v>412</v>
      </c>
      <c r="F1363" s="305" t="s">
        <v>1464</v>
      </c>
      <c r="G1363" s="327" t="s">
        <v>420</v>
      </c>
      <c r="H1363" s="318" t="s">
        <v>415</v>
      </c>
      <c r="I1363" s="316" t="s">
        <v>168</v>
      </c>
      <c r="J1363" s="320">
        <v>11.0</v>
      </c>
    </row>
    <row r="1364">
      <c r="A1364" s="321"/>
      <c r="B1364" s="323" t="s">
        <v>1480</v>
      </c>
      <c r="C1364" s="323" t="s">
        <v>396</v>
      </c>
      <c r="D1364" s="323" t="s">
        <v>408</v>
      </c>
      <c r="E1364" s="323" t="s">
        <v>412</v>
      </c>
      <c r="F1364" s="305" t="s">
        <v>1465</v>
      </c>
      <c r="G1364" s="327" t="s">
        <v>420</v>
      </c>
      <c r="H1364" s="318" t="s">
        <v>416</v>
      </c>
      <c r="I1364" s="316" t="s">
        <v>168</v>
      </c>
      <c r="J1364" s="320">
        <v>11.0</v>
      </c>
    </row>
    <row r="1365">
      <c r="A1365" s="321"/>
      <c r="B1365" s="315"/>
      <c r="C1365" s="315"/>
      <c r="D1365" s="315"/>
      <c r="E1365" s="316"/>
      <c r="F1365" s="316"/>
      <c r="G1365" s="316"/>
      <c r="H1365" s="316"/>
      <c r="I1365" s="316"/>
      <c r="J1365" s="320"/>
    </row>
    <row r="1366">
      <c r="A1366" s="334">
        <v>268.0</v>
      </c>
      <c r="B1366" s="323" t="s">
        <v>1480</v>
      </c>
      <c r="C1366" s="323" t="s">
        <v>396</v>
      </c>
      <c r="D1366" s="323" t="s">
        <v>408</v>
      </c>
      <c r="E1366" s="323" t="s">
        <v>412</v>
      </c>
      <c r="F1366" s="305" t="s">
        <v>1464</v>
      </c>
      <c r="G1366" s="327" t="s">
        <v>420</v>
      </c>
      <c r="H1366" s="318" t="s">
        <v>415</v>
      </c>
      <c r="I1366" s="316" t="s">
        <v>171</v>
      </c>
      <c r="J1366" s="320">
        <v>0.0</v>
      </c>
    </row>
    <row r="1367">
      <c r="A1367" s="321"/>
      <c r="B1367" s="323" t="s">
        <v>1480</v>
      </c>
      <c r="C1367" s="323" t="s">
        <v>396</v>
      </c>
      <c r="D1367" s="323" t="s">
        <v>408</v>
      </c>
      <c r="E1367" s="323" t="s">
        <v>412</v>
      </c>
      <c r="F1367" s="305" t="s">
        <v>1465</v>
      </c>
      <c r="G1367" s="327" t="s">
        <v>420</v>
      </c>
      <c r="H1367" s="318" t="s">
        <v>416</v>
      </c>
      <c r="I1367" s="316" t="s">
        <v>171</v>
      </c>
      <c r="J1367" s="320">
        <v>0.0</v>
      </c>
    </row>
    <row r="1368">
      <c r="A1368" s="321"/>
      <c r="B1368" s="315"/>
      <c r="C1368" s="315"/>
      <c r="D1368" s="315"/>
      <c r="E1368" s="316"/>
      <c r="F1368" s="316"/>
      <c r="G1368" s="316"/>
      <c r="H1368" s="316"/>
      <c r="I1368" s="316"/>
      <c r="J1368" s="320"/>
    </row>
    <row r="1369">
      <c r="A1369" s="334">
        <v>269.0</v>
      </c>
      <c r="B1369" s="323" t="s">
        <v>1480</v>
      </c>
      <c r="C1369" s="323" t="s">
        <v>396</v>
      </c>
      <c r="D1369" s="323" t="s">
        <v>408</v>
      </c>
      <c r="E1369" s="323" t="s">
        <v>412</v>
      </c>
      <c r="F1369" s="305" t="s">
        <v>1464</v>
      </c>
      <c r="G1369" s="327" t="s">
        <v>420</v>
      </c>
      <c r="H1369" s="318" t="s">
        <v>415</v>
      </c>
      <c r="I1369" s="316" t="s">
        <v>304</v>
      </c>
      <c r="J1369" s="320">
        <v>6.0</v>
      </c>
    </row>
    <row r="1370">
      <c r="A1370" s="321"/>
      <c r="B1370" s="323" t="s">
        <v>1480</v>
      </c>
      <c r="C1370" s="323" t="s">
        <v>396</v>
      </c>
      <c r="D1370" s="323" t="s">
        <v>408</v>
      </c>
      <c r="E1370" s="323" t="s">
        <v>412</v>
      </c>
      <c r="F1370" s="305" t="s">
        <v>1465</v>
      </c>
      <c r="G1370" s="327" t="s">
        <v>420</v>
      </c>
      <c r="H1370" s="318" t="s">
        <v>416</v>
      </c>
      <c r="I1370" s="316" t="s">
        <v>304</v>
      </c>
      <c r="J1370" s="320">
        <v>6.0</v>
      </c>
    </row>
    <row r="1371">
      <c r="A1371" s="321"/>
      <c r="B1371" s="315"/>
      <c r="C1371" s="315"/>
      <c r="D1371" s="315"/>
      <c r="E1371" s="316"/>
      <c r="F1371" s="316"/>
      <c r="G1371" s="316"/>
      <c r="H1371" s="316"/>
      <c r="I1371" s="316"/>
      <c r="J1371" s="320"/>
    </row>
    <row r="1372">
      <c r="A1372" s="334">
        <v>270.0</v>
      </c>
      <c r="B1372" s="323" t="s">
        <v>1480</v>
      </c>
      <c r="C1372" s="323" t="s">
        <v>398</v>
      </c>
      <c r="D1372" s="323" t="s">
        <v>406</v>
      </c>
      <c r="E1372" s="323" t="s">
        <v>405</v>
      </c>
      <c r="F1372" s="335"/>
      <c r="G1372" s="327"/>
      <c r="H1372" s="318"/>
      <c r="I1372" s="316">
        <v>50536.0</v>
      </c>
      <c r="J1372" s="320">
        <v>2.0</v>
      </c>
    </row>
    <row r="1373">
      <c r="A1373" s="321"/>
      <c r="B1373" s="323" t="s">
        <v>1480</v>
      </c>
      <c r="C1373" s="323" t="s">
        <v>398</v>
      </c>
      <c r="D1373" s="323" t="s">
        <v>408</v>
      </c>
      <c r="E1373" s="323" t="s">
        <v>405</v>
      </c>
      <c r="F1373" s="335"/>
      <c r="G1373" s="327"/>
      <c r="H1373" s="318"/>
      <c r="I1373" s="316">
        <v>50536.0</v>
      </c>
      <c r="J1373" s="320">
        <v>0.0</v>
      </c>
    </row>
    <row r="1374">
      <c r="A1374" s="321"/>
      <c r="B1374" s="315"/>
      <c r="C1374" s="315"/>
      <c r="D1374" s="315"/>
      <c r="E1374" s="316"/>
      <c r="F1374" s="316"/>
      <c r="G1374" s="316"/>
      <c r="H1374" s="316"/>
      <c r="I1374" s="316"/>
      <c r="J1374" s="320"/>
    </row>
    <row r="1375">
      <c r="A1375" s="334">
        <v>271.0</v>
      </c>
      <c r="B1375" s="323" t="s">
        <v>1480</v>
      </c>
      <c r="C1375" s="323" t="s">
        <v>398</v>
      </c>
      <c r="D1375" s="323" t="s">
        <v>406</v>
      </c>
      <c r="E1375" s="323" t="s">
        <v>405</v>
      </c>
      <c r="F1375" s="335"/>
      <c r="G1375" s="327"/>
      <c r="H1375" s="318"/>
      <c r="I1375" s="316">
        <v>50550.0</v>
      </c>
      <c r="J1375" s="320">
        <v>2.0</v>
      </c>
    </row>
    <row r="1376">
      <c r="A1376" s="321"/>
      <c r="B1376" s="323" t="s">
        <v>1480</v>
      </c>
      <c r="C1376" s="323" t="s">
        <v>398</v>
      </c>
      <c r="D1376" s="323" t="s">
        <v>408</v>
      </c>
      <c r="E1376" s="323" t="s">
        <v>405</v>
      </c>
      <c r="F1376" s="335"/>
      <c r="G1376" s="327"/>
      <c r="H1376" s="318"/>
      <c r="I1376" s="316">
        <v>50550.0</v>
      </c>
      <c r="J1376" s="320">
        <v>0.0</v>
      </c>
    </row>
    <row r="1377">
      <c r="A1377" s="321"/>
      <c r="B1377" s="315"/>
      <c r="C1377" s="315"/>
      <c r="D1377" s="315"/>
      <c r="E1377" s="316"/>
      <c r="F1377" s="316"/>
      <c r="G1377" s="316"/>
      <c r="H1377" s="316"/>
      <c r="I1377" s="316"/>
      <c r="J1377" s="320"/>
    </row>
    <row r="1378">
      <c r="A1378" s="334">
        <v>272.0</v>
      </c>
      <c r="B1378" s="323" t="s">
        <v>1480</v>
      </c>
      <c r="C1378" s="323" t="s">
        <v>398</v>
      </c>
      <c r="D1378" s="323" t="s">
        <v>406</v>
      </c>
      <c r="E1378" s="323" t="s">
        <v>405</v>
      </c>
      <c r="F1378" s="335"/>
      <c r="G1378" s="327"/>
      <c r="H1378" s="318"/>
      <c r="I1378" s="316">
        <v>50558.0</v>
      </c>
      <c r="J1378" s="320">
        <v>2.0</v>
      </c>
    </row>
    <row r="1379">
      <c r="A1379" s="321"/>
      <c r="B1379" s="323" t="s">
        <v>1480</v>
      </c>
      <c r="C1379" s="323" t="s">
        <v>398</v>
      </c>
      <c r="D1379" s="323" t="s">
        <v>408</v>
      </c>
      <c r="E1379" s="323" t="s">
        <v>405</v>
      </c>
      <c r="F1379" s="335"/>
      <c r="G1379" s="327"/>
      <c r="H1379" s="318"/>
      <c r="I1379" s="316">
        <v>50558.0</v>
      </c>
      <c r="J1379" s="320">
        <v>0.0</v>
      </c>
    </row>
    <row r="1380">
      <c r="A1380" s="321"/>
      <c r="B1380" s="315"/>
      <c r="C1380" s="315"/>
      <c r="D1380" s="315"/>
      <c r="E1380" s="316"/>
      <c r="F1380" s="316"/>
      <c r="G1380" s="316"/>
      <c r="H1380" s="316"/>
      <c r="I1380" s="316"/>
      <c r="J1380" s="320"/>
    </row>
    <row r="1381">
      <c r="A1381" s="334">
        <v>273.0</v>
      </c>
      <c r="B1381" s="323" t="s">
        <v>1480</v>
      </c>
      <c r="C1381" s="323" t="s">
        <v>398</v>
      </c>
      <c r="D1381" s="323" t="s">
        <v>406</v>
      </c>
      <c r="E1381" s="323" t="s">
        <v>405</v>
      </c>
      <c r="F1381" s="335"/>
      <c r="G1381" s="327"/>
      <c r="H1381" s="318"/>
      <c r="I1381" s="316">
        <v>50854.0</v>
      </c>
      <c r="J1381" s="320">
        <v>2.0</v>
      </c>
    </row>
    <row r="1382">
      <c r="A1382" s="321"/>
      <c r="B1382" s="323" t="s">
        <v>1480</v>
      </c>
      <c r="C1382" s="323" t="s">
        <v>398</v>
      </c>
      <c r="D1382" s="323" t="s">
        <v>408</v>
      </c>
      <c r="E1382" s="323" t="s">
        <v>405</v>
      </c>
      <c r="F1382" s="335"/>
      <c r="G1382" s="327"/>
      <c r="H1382" s="318"/>
      <c r="I1382" s="316">
        <v>50854.0</v>
      </c>
      <c r="J1382" s="320">
        <v>0.0</v>
      </c>
    </row>
    <row r="1383">
      <c r="A1383" s="321"/>
      <c r="B1383" s="315"/>
      <c r="C1383" s="315"/>
      <c r="D1383" s="315"/>
      <c r="E1383" s="316"/>
      <c r="F1383" s="316"/>
      <c r="G1383" s="316"/>
      <c r="H1383" s="316"/>
      <c r="I1383" s="316"/>
      <c r="J1383" s="320"/>
    </row>
    <row r="1384">
      <c r="A1384" s="334">
        <v>274.0</v>
      </c>
      <c r="B1384" s="323" t="s">
        <v>1480</v>
      </c>
      <c r="C1384" s="323" t="s">
        <v>398</v>
      </c>
      <c r="D1384" s="323" t="s">
        <v>406</v>
      </c>
      <c r="E1384" s="323" t="s">
        <v>405</v>
      </c>
      <c r="F1384" s="335"/>
      <c r="G1384" s="327"/>
      <c r="H1384" s="318"/>
      <c r="I1384" s="316">
        <v>50912.0</v>
      </c>
      <c r="J1384" s="320">
        <v>2.0</v>
      </c>
    </row>
    <row r="1385">
      <c r="A1385" s="321"/>
      <c r="B1385" s="323" t="s">
        <v>1480</v>
      </c>
      <c r="C1385" s="323" t="s">
        <v>398</v>
      </c>
      <c r="D1385" s="323" t="s">
        <v>408</v>
      </c>
      <c r="E1385" s="323" t="s">
        <v>405</v>
      </c>
      <c r="F1385" s="335"/>
      <c r="G1385" s="327"/>
      <c r="H1385" s="318"/>
      <c r="I1385" s="316">
        <v>50912.0</v>
      </c>
      <c r="J1385" s="320">
        <v>0.0</v>
      </c>
    </row>
    <row r="1386">
      <c r="A1386" s="321"/>
      <c r="B1386" s="315"/>
      <c r="C1386" s="315"/>
      <c r="D1386" s="315"/>
      <c r="E1386" s="316"/>
      <c r="F1386" s="316"/>
      <c r="G1386" s="316"/>
      <c r="H1386" s="316"/>
      <c r="I1386" s="316"/>
      <c r="J1386" s="320"/>
    </row>
    <row r="1387">
      <c r="A1387" s="334">
        <v>275.0</v>
      </c>
      <c r="B1387" s="323" t="s">
        <v>1480</v>
      </c>
      <c r="C1387" s="323" t="s">
        <v>398</v>
      </c>
      <c r="D1387" s="323" t="s">
        <v>406</v>
      </c>
      <c r="E1387" s="323" t="s">
        <v>405</v>
      </c>
      <c r="F1387" s="335"/>
      <c r="G1387" s="327"/>
      <c r="H1387" s="318"/>
      <c r="I1387" s="316">
        <v>501432.0</v>
      </c>
      <c r="J1387" s="320">
        <v>2.0</v>
      </c>
    </row>
    <row r="1388">
      <c r="A1388" s="321"/>
      <c r="B1388" s="323" t="s">
        <v>1480</v>
      </c>
      <c r="C1388" s="323" t="s">
        <v>398</v>
      </c>
      <c r="D1388" s="323" t="s">
        <v>408</v>
      </c>
      <c r="E1388" s="323" t="s">
        <v>405</v>
      </c>
      <c r="F1388" s="335"/>
      <c r="G1388" s="327"/>
      <c r="H1388" s="318"/>
      <c r="I1388" s="316">
        <v>501432.0</v>
      </c>
      <c r="J1388" s="320">
        <v>0.0</v>
      </c>
    </row>
    <row r="1389">
      <c r="A1389" s="321"/>
      <c r="B1389" s="315"/>
      <c r="C1389" s="315"/>
      <c r="D1389" s="315"/>
      <c r="E1389" s="316"/>
      <c r="F1389" s="316"/>
      <c r="G1389" s="316"/>
      <c r="H1389" s="316"/>
      <c r="I1389" s="316"/>
      <c r="J1389" s="320"/>
    </row>
    <row r="1390">
      <c r="A1390" s="334">
        <v>276.0</v>
      </c>
      <c r="B1390" s="323" t="s">
        <v>1480</v>
      </c>
      <c r="C1390" s="323" t="s">
        <v>398</v>
      </c>
      <c r="D1390" s="323" t="s">
        <v>406</v>
      </c>
      <c r="E1390" s="323" t="s">
        <v>405</v>
      </c>
      <c r="F1390" s="335"/>
      <c r="G1390" s="327"/>
      <c r="H1390" s="318"/>
      <c r="I1390" s="316" t="s">
        <v>92</v>
      </c>
      <c r="J1390" s="320">
        <v>13.0</v>
      </c>
    </row>
    <row r="1391">
      <c r="A1391" s="321"/>
      <c r="B1391" s="323" t="s">
        <v>1480</v>
      </c>
      <c r="C1391" s="323" t="s">
        <v>398</v>
      </c>
      <c r="D1391" s="323" t="s">
        <v>408</v>
      </c>
      <c r="E1391" s="323" t="s">
        <v>405</v>
      </c>
      <c r="F1391" s="335"/>
      <c r="G1391" s="327"/>
      <c r="H1391" s="318"/>
      <c r="I1391" s="316" t="s">
        <v>92</v>
      </c>
      <c r="J1391" s="320">
        <v>0.0</v>
      </c>
    </row>
    <row r="1392">
      <c r="A1392" s="321"/>
      <c r="B1392" s="315"/>
      <c r="C1392" s="315"/>
      <c r="D1392" s="315"/>
      <c r="E1392" s="316"/>
      <c r="F1392" s="316"/>
      <c r="G1392" s="316"/>
      <c r="H1392" s="316"/>
      <c r="I1392" s="316"/>
      <c r="J1392" s="320"/>
    </row>
    <row r="1393">
      <c r="A1393" s="334">
        <v>277.0</v>
      </c>
      <c r="B1393" s="323" t="s">
        <v>1480</v>
      </c>
      <c r="C1393" s="323" t="s">
        <v>398</v>
      </c>
      <c r="D1393" s="323" t="s">
        <v>406</v>
      </c>
      <c r="E1393" s="323" t="s">
        <v>405</v>
      </c>
      <c r="F1393" s="335"/>
      <c r="G1393" s="327"/>
      <c r="H1393" s="318"/>
      <c r="I1393" s="316" t="s">
        <v>100</v>
      </c>
      <c r="J1393" s="320">
        <v>9.0</v>
      </c>
    </row>
    <row r="1394">
      <c r="A1394" s="321"/>
      <c r="B1394" s="323" t="s">
        <v>1480</v>
      </c>
      <c r="C1394" s="323" t="s">
        <v>398</v>
      </c>
      <c r="D1394" s="323" t="s">
        <v>408</v>
      </c>
      <c r="E1394" s="323" t="s">
        <v>405</v>
      </c>
      <c r="F1394" s="335"/>
      <c r="G1394" s="327"/>
      <c r="H1394" s="318"/>
      <c r="I1394" s="316" t="s">
        <v>100</v>
      </c>
      <c r="J1394" s="320">
        <v>0.0</v>
      </c>
    </row>
    <row r="1395">
      <c r="A1395" s="321"/>
      <c r="B1395" s="315"/>
      <c r="C1395" s="315"/>
      <c r="D1395" s="315"/>
      <c r="E1395" s="316"/>
      <c r="F1395" s="316"/>
      <c r="G1395" s="316"/>
      <c r="H1395" s="316"/>
      <c r="I1395" s="316"/>
      <c r="J1395" s="320"/>
    </row>
    <row r="1396">
      <c r="A1396" s="334">
        <v>278.0</v>
      </c>
      <c r="B1396" s="323" t="s">
        <v>1480</v>
      </c>
      <c r="C1396" s="323" t="s">
        <v>398</v>
      </c>
      <c r="D1396" s="323" t="s">
        <v>406</v>
      </c>
      <c r="E1396" s="323" t="s">
        <v>405</v>
      </c>
      <c r="F1396" s="335"/>
      <c r="G1396" s="327"/>
      <c r="H1396" s="318"/>
      <c r="I1396" s="316" t="s">
        <v>229</v>
      </c>
      <c r="J1396" s="320">
        <v>0.0</v>
      </c>
    </row>
    <row r="1397">
      <c r="A1397" s="321"/>
      <c r="B1397" s="323" t="s">
        <v>1480</v>
      </c>
      <c r="C1397" s="323" t="s">
        <v>398</v>
      </c>
      <c r="D1397" s="323" t="s">
        <v>408</v>
      </c>
      <c r="E1397" s="323" t="s">
        <v>405</v>
      </c>
      <c r="F1397" s="335"/>
      <c r="G1397" s="327"/>
      <c r="H1397" s="318"/>
      <c r="I1397" s="316" t="s">
        <v>229</v>
      </c>
      <c r="J1397" s="320">
        <v>4.0</v>
      </c>
    </row>
    <row r="1398">
      <c r="A1398" s="321"/>
      <c r="B1398" s="315"/>
      <c r="C1398" s="315"/>
      <c r="D1398" s="315"/>
      <c r="E1398" s="316"/>
      <c r="F1398" s="316"/>
      <c r="G1398" s="316"/>
      <c r="H1398" s="316"/>
      <c r="I1398" s="316"/>
      <c r="J1398" s="320"/>
    </row>
    <row r="1399">
      <c r="A1399" s="334">
        <v>279.0</v>
      </c>
      <c r="B1399" s="323" t="s">
        <v>1480</v>
      </c>
      <c r="C1399" s="323" t="s">
        <v>398</v>
      </c>
      <c r="D1399" s="323" t="s">
        <v>406</v>
      </c>
      <c r="E1399" s="323" t="s">
        <v>407</v>
      </c>
      <c r="F1399" s="335"/>
      <c r="G1399" s="327"/>
      <c r="H1399" s="318"/>
      <c r="I1399" s="316">
        <v>60133.0</v>
      </c>
      <c r="J1399" s="320">
        <v>7.0</v>
      </c>
    </row>
    <row r="1400">
      <c r="A1400" s="321"/>
      <c r="B1400" s="323" t="s">
        <v>1480</v>
      </c>
      <c r="C1400" s="323" t="s">
        <v>398</v>
      </c>
      <c r="D1400" s="323" t="s">
        <v>408</v>
      </c>
      <c r="E1400" s="323" t="s">
        <v>407</v>
      </c>
      <c r="F1400" s="335"/>
      <c r="G1400" s="327"/>
      <c r="H1400" s="318"/>
      <c r="I1400" s="316">
        <v>60133.0</v>
      </c>
      <c r="J1400" s="320">
        <v>5.0</v>
      </c>
    </row>
    <row r="1401">
      <c r="A1401" s="321"/>
      <c r="B1401" s="315"/>
      <c r="C1401" s="315"/>
      <c r="D1401" s="315"/>
      <c r="E1401" s="316"/>
      <c r="F1401" s="316"/>
      <c r="G1401" s="316"/>
      <c r="H1401" s="316"/>
      <c r="I1401" s="316"/>
      <c r="J1401" s="320"/>
    </row>
    <row r="1402">
      <c r="A1402" s="334">
        <v>280.0</v>
      </c>
      <c r="B1402" s="323" t="s">
        <v>1480</v>
      </c>
      <c r="C1402" s="323" t="s">
        <v>398</v>
      </c>
      <c r="D1402" s="323" t="s">
        <v>406</v>
      </c>
      <c r="E1402" s="323" t="s">
        <v>407</v>
      </c>
      <c r="F1402" s="335"/>
      <c r="G1402" s="327"/>
      <c r="H1402" s="318"/>
      <c r="I1402" s="316">
        <v>601331.0</v>
      </c>
      <c r="J1402" s="320">
        <v>5.0</v>
      </c>
    </row>
    <row r="1403">
      <c r="A1403" s="321"/>
      <c r="B1403" s="323" t="s">
        <v>1480</v>
      </c>
      <c r="C1403" s="323" t="s">
        <v>398</v>
      </c>
      <c r="D1403" s="323" t="s">
        <v>408</v>
      </c>
      <c r="E1403" s="323" t="s">
        <v>407</v>
      </c>
      <c r="F1403" s="335"/>
      <c r="G1403" s="327"/>
      <c r="H1403" s="318"/>
      <c r="I1403" s="316">
        <v>601331.0</v>
      </c>
      <c r="J1403" s="320">
        <v>5.0</v>
      </c>
    </row>
    <row r="1404">
      <c r="A1404" s="321"/>
      <c r="B1404" s="315"/>
      <c r="C1404" s="315"/>
      <c r="D1404" s="315"/>
      <c r="E1404" s="316"/>
      <c r="F1404" s="316"/>
      <c r="G1404" s="316"/>
      <c r="H1404" s="316"/>
      <c r="I1404" s="316"/>
      <c r="J1404" s="320"/>
    </row>
    <row r="1405">
      <c r="A1405" s="334">
        <v>281.0</v>
      </c>
      <c r="B1405" s="323" t="s">
        <v>1480</v>
      </c>
      <c r="C1405" s="323" t="s">
        <v>398</v>
      </c>
      <c r="D1405" s="323" t="s">
        <v>406</v>
      </c>
      <c r="E1405" s="323" t="s">
        <v>407</v>
      </c>
      <c r="F1405" s="335"/>
      <c r="G1405" s="327"/>
      <c r="H1405" s="318"/>
      <c r="I1405" s="316">
        <v>601448.0</v>
      </c>
      <c r="J1405" s="320">
        <v>2.0</v>
      </c>
    </row>
    <row r="1406">
      <c r="A1406" s="321"/>
      <c r="B1406" s="323" t="s">
        <v>1480</v>
      </c>
      <c r="C1406" s="323" t="s">
        <v>398</v>
      </c>
      <c r="D1406" s="323" t="s">
        <v>408</v>
      </c>
      <c r="E1406" s="323" t="s">
        <v>407</v>
      </c>
      <c r="F1406" s="335"/>
      <c r="G1406" s="327"/>
      <c r="H1406" s="318"/>
      <c r="I1406" s="316">
        <v>601448.0</v>
      </c>
      <c r="J1406" s="320">
        <v>0.0</v>
      </c>
    </row>
    <row r="1407">
      <c r="A1407" s="321"/>
      <c r="B1407" s="315"/>
      <c r="C1407" s="315"/>
      <c r="D1407" s="315"/>
      <c r="E1407" s="316"/>
      <c r="F1407" s="316"/>
      <c r="G1407" s="316"/>
      <c r="H1407" s="316"/>
      <c r="I1407" s="316"/>
      <c r="J1407" s="320"/>
    </row>
    <row r="1408">
      <c r="A1408" s="334">
        <v>282.0</v>
      </c>
      <c r="B1408" s="323" t="s">
        <v>1480</v>
      </c>
      <c r="C1408" s="323" t="s">
        <v>398</v>
      </c>
      <c r="D1408" s="323" t="s">
        <v>406</v>
      </c>
      <c r="E1408" s="323" t="s">
        <v>407</v>
      </c>
      <c r="F1408" s="335"/>
      <c r="G1408" s="327"/>
      <c r="H1408" s="318"/>
      <c r="I1408" s="316">
        <v>6010231.0</v>
      </c>
      <c r="J1408" s="320">
        <v>7.0</v>
      </c>
    </row>
    <row r="1409">
      <c r="A1409" s="321"/>
      <c r="B1409" s="323" t="s">
        <v>1480</v>
      </c>
      <c r="C1409" s="323" t="s">
        <v>398</v>
      </c>
      <c r="D1409" s="323" t="s">
        <v>408</v>
      </c>
      <c r="E1409" s="323" t="s">
        <v>407</v>
      </c>
      <c r="F1409" s="335"/>
      <c r="G1409" s="327"/>
      <c r="H1409" s="318"/>
      <c r="I1409" s="316">
        <v>6010231.0</v>
      </c>
      <c r="J1409" s="320">
        <v>6.0</v>
      </c>
    </row>
    <row r="1410">
      <c r="A1410" s="321"/>
      <c r="B1410" s="315"/>
      <c r="C1410" s="315"/>
      <c r="D1410" s="315"/>
      <c r="E1410" s="316"/>
      <c r="F1410" s="316"/>
      <c r="G1410" s="316"/>
      <c r="H1410" s="316"/>
      <c r="I1410" s="316"/>
      <c r="J1410" s="320"/>
    </row>
    <row r="1411">
      <c r="A1411" s="334">
        <v>283.0</v>
      </c>
      <c r="B1411" s="323" t="s">
        <v>1480</v>
      </c>
      <c r="C1411" s="323" t="s">
        <v>398</v>
      </c>
      <c r="D1411" s="323" t="s">
        <v>406</v>
      </c>
      <c r="E1411" s="323" t="s">
        <v>407</v>
      </c>
      <c r="F1411" s="335"/>
      <c r="G1411" s="327"/>
      <c r="H1411" s="318"/>
      <c r="I1411" s="316" t="s">
        <v>29</v>
      </c>
      <c r="J1411" s="320">
        <v>0.0</v>
      </c>
    </row>
    <row r="1412">
      <c r="A1412" s="321"/>
      <c r="B1412" s="323" t="s">
        <v>1480</v>
      </c>
      <c r="C1412" s="323" t="s">
        <v>398</v>
      </c>
      <c r="D1412" s="323" t="s">
        <v>408</v>
      </c>
      <c r="E1412" s="323" t="s">
        <v>407</v>
      </c>
      <c r="F1412" s="335"/>
      <c r="G1412" s="327"/>
      <c r="H1412" s="318"/>
      <c r="I1412" s="316" t="s">
        <v>29</v>
      </c>
      <c r="J1412" s="320">
        <v>7.0</v>
      </c>
    </row>
    <row r="1413">
      <c r="A1413" s="321"/>
      <c r="B1413" s="315"/>
      <c r="C1413" s="315"/>
      <c r="D1413" s="315"/>
      <c r="E1413" s="316"/>
      <c r="F1413" s="316"/>
      <c r="G1413" s="316"/>
      <c r="H1413" s="316"/>
      <c r="I1413" s="316"/>
      <c r="J1413" s="320"/>
    </row>
    <row r="1414">
      <c r="A1414" s="334">
        <v>284.0</v>
      </c>
      <c r="B1414" s="323" t="s">
        <v>1480</v>
      </c>
      <c r="C1414" s="323" t="s">
        <v>398</v>
      </c>
      <c r="D1414" s="323" t="s">
        <v>406</v>
      </c>
      <c r="E1414" s="323" t="s">
        <v>409</v>
      </c>
      <c r="F1414" s="335"/>
      <c r="G1414" s="327"/>
      <c r="H1414" s="318"/>
      <c r="I1414" s="316">
        <v>14894.0</v>
      </c>
      <c r="J1414" s="320">
        <v>1.0</v>
      </c>
    </row>
    <row r="1415">
      <c r="A1415" s="321"/>
      <c r="B1415" s="323" t="s">
        <v>1480</v>
      </c>
      <c r="C1415" s="323" t="s">
        <v>398</v>
      </c>
      <c r="D1415" s="323" t="s">
        <v>408</v>
      </c>
      <c r="E1415" s="323" t="s">
        <v>409</v>
      </c>
      <c r="F1415" s="335"/>
      <c r="G1415" s="327"/>
      <c r="H1415" s="318"/>
      <c r="I1415" s="316">
        <v>14894.0</v>
      </c>
      <c r="J1415" s="320">
        <v>0.0</v>
      </c>
    </row>
    <row r="1416">
      <c r="A1416" s="321"/>
      <c r="B1416" s="315"/>
      <c r="C1416" s="315"/>
      <c r="D1416" s="315"/>
      <c r="E1416" s="316"/>
      <c r="F1416" s="316"/>
      <c r="G1416" s="316"/>
      <c r="H1416" s="316"/>
      <c r="I1416" s="316"/>
      <c r="J1416" s="320"/>
    </row>
    <row r="1417">
      <c r="A1417" s="334">
        <v>285.0</v>
      </c>
      <c r="B1417" s="323" t="s">
        <v>1480</v>
      </c>
      <c r="C1417" s="323" t="s">
        <v>398</v>
      </c>
      <c r="D1417" s="323" t="s">
        <v>406</v>
      </c>
      <c r="E1417" s="323" t="s">
        <v>409</v>
      </c>
      <c r="F1417" s="335"/>
      <c r="G1417" s="327"/>
      <c r="H1417" s="318"/>
      <c r="I1417" s="316" t="s">
        <v>55</v>
      </c>
      <c r="J1417" s="320">
        <v>12.0</v>
      </c>
    </row>
    <row r="1418">
      <c r="A1418" s="321"/>
      <c r="B1418" s="323" t="s">
        <v>1480</v>
      </c>
      <c r="C1418" s="323" t="s">
        <v>398</v>
      </c>
      <c r="D1418" s="323" t="s">
        <v>408</v>
      </c>
      <c r="E1418" s="323" t="s">
        <v>409</v>
      </c>
      <c r="F1418" s="335"/>
      <c r="G1418" s="327"/>
      <c r="H1418" s="318"/>
      <c r="I1418" s="316" t="s">
        <v>55</v>
      </c>
      <c r="J1418" s="320">
        <v>13.0</v>
      </c>
    </row>
    <row r="1419">
      <c r="A1419" s="321"/>
      <c r="B1419" s="315"/>
      <c r="C1419" s="315"/>
      <c r="D1419" s="315"/>
      <c r="E1419" s="316"/>
      <c r="F1419" s="316"/>
      <c r="G1419" s="316"/>
      <c r="H1419" s="316"/>
      <c r="I1419" s="316"/>
      <c r="J1419" s="320"/>
    </row>
    <row r="1420">
      <c r="A1420" s="334">
        <v>286.0</v>
      </c>
      <c r="B1420" s="323" t="s">
        <v>1480</v>
      </c>
      <c r="C1420" s="323" t="s">
        <v>398</v>
      </c>
      <c r="D1420" s="323" t="s">
        <v>406</v>
      </c>
      <c r="E1420" s="323" t="s">
        <v>409</v>
      </c>
      <c r="F1420" s="335"/>
      <c r="G1420" s="327"/>
      <c r="H1420" s="318"/>
      <c r="I1420" s="316" t="s">
        <v>61</v>
      </c>
      <c r="J1420" s="320">
        <v>5.0</v>
      </c>
    </row>
    <row r="1421">
      <c r="A1421" s="321"/>
      <c r="B1421" s="323" t="s">
        <v>1480</v>
      </c>
      <c r="C1421" s="323" t="s">
        <v>398</v>
      </c>
      <c r="D1421" s="323" t="s">
        <v>408</v>
      </c>
      <c r="E1421" s="323" t="s">
        <v>409</v>
      </c>
      <c r="F1421" s="335"/>
      <c r="G1421" s="327"/>
      <c r="H1421" s="318"/>
      <c r="I1421" s="316" t="s">
        <v>61</v>
      </c>
      <c r="J1421" s="320">
        <v>0.0</v>
      </c>
    </row>
    <row r="1422">
      <c r="A1422" s="321"/>
      <c r="B1422" s="315"/>
      <c r="C1422" s="315"/>
      <c r="D1422" s="315"/>
      <c r="E1422" s="316"/>
      <c r="F1422" s="316"/>
      <c r="G1422" s="316"/>
      <c r="H1422" s="316"/>
      <c r="I1422" s="316"/>
      <c r="J1422" s="320"/>
    </row>
    <row r="1423">
      <c r="A1423" s="334">
        <v>287.0</v>
      </c>
      <c r="B1423" s="323" t="s">
        <v>1480</v>
      </c>
      <c r="C1423" s="323" t="s">
        <v>398</v>
      </c>
      <c r="D1423" s="323" t="s">
        <v>406</v>
      </c>
      <c r="E1423" s="323" t="s">
        <v>409</v>
      </c>
      <c r="F1423" s="335"/>
      <c r="G1423" s="327"/>
      <c r="H1423" s="318"/>
      <c r="I1423" s="316" t="s">
        <v>53</v>
      </c>
      <c r="J1423" s="320">
        <v>4.0</v>
      </c>
    </row>
    <row r="1424">
      <c r="A1424" s="321"/>
      <c r="B1424" s="323" t="s">
        <v>1480</v>
      </c>
      <c r="C1424" s="323" t="s">
        <v>398</v>
      </c>
      <c r="D1424" s="323" t="s">
        <v>408</v>
      </c>
      <c r="E1424" s="323" t="s">
        <v>409</v>
      </c>
      <c r="F1424" s="335"/>
      <c r="G1424" s="327"/>
      <c r="H1424" s="318"/>
      <c r="I1424" s="316" t="s">
        <v>53</v>
      </c>
      <c r="J1424" s="320">
        <v>0.0</v>
      </c>
    </row>
    <row r="1425">
      <c r="A1425" s="321"/>
      <c r="B1425" s="315"/>
      <c r="C1425" s="315"/>
      <c r="D1425" s="315"/>
      <c r="E1425" s="316"/>
      <c r="F1425" s="316"/>
      <c r="G1425" s="316"/>
      <c r="H1425" s="316"/>
      <c r="I1425" s="316"/>
      <c r="J1425" s="320"/>
    </row>
    <row r="1426">
      <c r="A1426" s="334">
        <v>288.0</v>
      </c>
      <c r="B1426" s="323" t="s">
        <v>1480</v>
      </c>
      <c r="C1426" s="323" t="s">
        <v>398</v>
      </c>
      <c r="D1426" s="323" t="s">
        <v>406</v>
      </c>
      <c r="E1426" s="323" t="s">
        <v>410</v>
      </c>
      <c r="F1426" s="335"/>
      <c r="G1426" s="327"/>
      <c r="H1426" s="318"/>
      <c r="I1426" s="316">
        <v>86809.0</v>
      </c>
      <c r="J1426" s="320">
        <v>1.0</v>
      </c>
    </row>
    <row r="1427">
      <c r="A1427" s="321"/>
      <c r="B1427" s="323" t="s">
        <v>1480</v>
      </c>
      <c r="C1427" s="323" t="s">
        <v>398</v>
      </c>
      <c r="D1427" s="323" t="s">
        <v>408</v>
      </c>
      <c r="E1427" s="323" t="s">
        <v>410</v>
      </c>
      <c r="F1427" s="335"/>
      <c r="G1427" s="327"/>
      <c r="H1427" s="318"/>
      <c r="I1427" s="316">
        <v>86809.0</v>
      </c>
      <c r="J1427" s="320">
        <v>0.0</v>
      </c>
    </row>
    <row r="1428">
      <c r="A1428" s="321"/>
      <c r="B1428" s="315"/>
      <c r="C1428" s="315"/>
      <c r="D1428" s="315"/>
      <c r="E1428" s="316"/>
      <c r="F1428" s="316"/>
      <c r="G1428" s="316"/>
      <c r="H1428" s="316"/>
      <c r="I1428" s="316"/>
      <c r="J1428" s="320"/>
    </row>
    <row r="1429">
      <c r="A1429" s="334">
        <v>289.0</v>
      </c>
      <c r="B1429" s="323" t="s">
        <v>1480</v>
      </c>
      <c r="C1429" s="323" t="s">
        <v>398</v>
      </c>
      <c r="D1429" s="323" t="s">
        <v>406</v>
      </c>
      <c r="E1429" s="323" t="s">
        <v>410</v>
      </c>
      <c r="F1429" s="335"/>
      <c r="G1429" s="327"/>
      <c r="H1429" s="318"/>
      <c r="I1429" s="316">
        <v>88327.0</v>
      </c>
      <c r="J1429" s="320">
        <v>2.0</v>
      </c>
    </row>
    <row r="1430">
      <c r="A1430" s="321"/>
      <c r="B1430" s="323" t="s">
        <v>1480</v>
      </c>
      <c r="C1430" s="323" t="s">
        <v>398</v>
      </c>
      <c r="D1430" s="323" t="s">
        <v>408</v>
      </c>
      <c r="E1430" s="323" t="s">
        <v>410</v>
      </c>
      <c r="F1430" s="335"/>
      <c r="G1430" s="327"/>
      <c r="H1430" s="318"/>
      <c r="I1430" s="316">
        <v>88327.0</v>
      </c>
      <c r="J1430" s="320">
        <v>0.0</v>
      </c>
    </row>
    <row r="1431">
      <c r="A1431" s="321"/>
      <c r="B1431" s="315"/>
      <c r="C1431" s="315"/>
      <c r="D1431" s="315"/>
      <c r="E1431" s="316"/>
      <c r="F1431" s="316"/>
      <c r="G1431" s="316"/>
      <c r="H1431" s="316"/>
      <c r="I1431" s="316"/>
      <c r="J1431" s="320"/>
    </row>
    <row r="1432">
      <c r="A1432" s="334">
        <v>290.0</v>
      </c>
      <c r="B1432" s="323" t="s">
        <v>1480</v>
      </c>
      <c r="C1432" s="323" t="s">
        <v>398</v>
      </c>
      <c r="D1432" s="323" t="s">
        <v>406</v>
      </c>
      <c r="E1432" s="323" t="s">
        <v>410</v>
      </c>
      <c r="F1432" s="335"/>
      <c r="G1432" s="327"/>
      <c r="H1432" s="318"/>
      <c r="I1432" s="316" t="s">
        <v>338</v>
      </c>
      <c r="J1432" s="320">
        <v>3.0</v>
      </c>
    </row>
    <row r="1433">
      <c r="A1433" s="321"/>
      <c r="B1433" s="323" t="s">
        <v>1480</v>
      </c>
      <c r="C1433" s="323" t="s">
        <v>398</v>
      </c>
      <c r="D1433" s="323" t="s">
        <v>408</v>
      </c>
      <c r="E1433" s="323" t="s">
        <v>410</v>
      </c>
      <c r="F1433" s="335"/>
      <c r="G1433" s="327"/>
      <c r="H1433" s="318"/>
      <c r="I1433" s="316" t="s">
        <v>338</v>
      </c>
      <c r="J1433" s="320">
        <v>0.0</v>
      </c>
    </row>
    <row r="1434">
      <c r="A1434" s="321"/>
      <c r="B1434" s="315"/>
      <c r="C1434" s="315"/>
      <c r="D1434" s="315"/>
      <c r="E1434" s="316"/>
      <c r="F1434" s="316"/>
      <c r="G1434" s="316"/>
      <c r="H1434" s="316"/>
      <c r="I1434" s="316"/>
      <c r="J1434" s="320"/>
    </row>
    <row r="1435">
      <c r="A1435" s="334">
        <v>291.0</v>
      </c>
      <c r="B1435" s="323" t="s">
        <v>1480</v>
      </c>
      <c r="C1435" s="323" t="s">
        <v>398</v>
      </c>
      <c r="D1435" s="323" t="s">
        <v>406</v>
      </c>
      <c r="E1435" s="323" t="s">
        <v>410</v>
      </c>
      <c r="F1435" s="335"/>
      <c r="G1435" s="327"/>
      <c r="H1435" s="318"/>
      <c r="I1435" s="316" t="s">
        <v>339</v>
      </c>
      <c r="J1435" s="320">
        <v>0.0</v>
      </c>
    </row>
    <row r="1436">
      <c r="A1436" s="321"/>
      <c r="B1436" s="323" t="s">
        <v>1480</v>
      </c>
      <c r="C1436" s="323" t="s">
        <v>398</v>
      </c>
      <c r="D1436" s="323" t="s">
        <v>408</v>
      </c>
      <c r="E1436" s="323" t="s">
        <v>410</v>
      </c>
      <c r="F1436" s="335"/>
      <c r="G1436" s="327"/>
      <c r="H1436" s="318"/>
      <c r="I1436" s="316" t="s">
        <v>339</v>
      </c>
      <c r="J1436" s="320">
        <v>4.0</v>
      </c>
    </row>
    <row r="1437">
      <c r="A1437" s="321"/>
      <c r="B1437" s="315"/>
      <c r="C1437" s="315"/>
      <c r="D1437" s="315"/>
      <c r="E1437" s="316"/>
      <c r="F1437" s="316"/>
      <c r="G1437" s="316"/>
      <c r="H1437" s="316"/>
      <c r="I1437" s="316"/>
      <c r="J1437" s="320"/>
    </row>
    <row r="1438">
      <c r="A1438" s="334">
        <v>292.0</v>
      </c>
      <c r="B1438" s="323" t="s">
        <v>1480</v>
      </c>
      <c r="C1438" s="323" t="s">
        <v>398</v>
      </c>
      <c r="D1438" s="323" t="s">
        <v>406</v>
      </c>
      <c r="E1438" s="323" t="s">
        <v>411</v>
      </c>
      <c r="F1438" s="335"/>
      <c r="G1438" s="327"/>
      <c r="H1438" s="318"/>
      <c r="I1438" s="316">
        <v>64028.0</v>
      </c>
      <c r="J1438" s="320">
        <v>3.0</v>
      </c>
    </row>
    <row r="1439">
      <c r="A1439" s="321"/>
      <c r="B1439" s="323" t="s">
        <v>1480</v>
      </c>
      <c r="C1439" s="323" t="s">
        <v>398</v>
      </c>
      <c r="D1439" s="323" t="s">
        <v>408</v>
      </c>
      <c r="E1439" s="323" t="s">
        <v>411</v>
      </c>
      <c r="F1439" s="335"/>
      <c r="G1439" s="327"/>
      <c r="H1439" s="318"/>
      <c r="I1439" s="316">
        <v>64028.0</v>
      </c>
      <c r="J1439" s="320">
        <v>0.0</v>
      </c>
    </row>
    <row r="1440">
      <c r="A1440" s="321"/>
      <c r="B1440" s="315"/>
      <c r="C1440" s="315"/>
      <c r="D1440" s="315"/>
      <c r="E1440" s="316"/>
      <c r="F1440" s="316"/>
      <c r="G1440" s="316"/>
      <c r="H1440" s="316"/>
      <c r="I1440" s="316"/>
      <c r="J1440" s="320"/>
    </row>
    <row r="1441">
      <c r="A1441" s="334">
        <v>293.0</v>
      </c>
      <c r="B1441" s="323" t="s">
        <v>1480</v>
      </c>
      <c r="C1441" s="323" t="s">
        <v>398</v>
      </c>
      <c r="D1441" s="323" t="s">
        <v>406</v>
      </c>
      <c r="E1441" s="323" t="s">
        <v>411</v>
      </c>
      <c r="F1441" s="335"/>
      <c r="G1441" s="327"/>
      <c r="H1441" s="318"/>
      <c r="I1441" s="316">
        <v>64048.0</v>
      </c>
      <c r="J1441" s="320">
        <v>2.0</v>
      </c>
    </row>
    <row r="1442">
      <c r="A1442" s="321"/>
      <c r="B1442" s="323" t="s">
        <v>1480</v>
      </c>
      <c r="C1442" s="323" t="s">
        <v>398</v>
      </c>
      <c r="D1442" s="323" t="s">
        <v>408</v>
      </c>
      <c r="E1442" s="323" t="s">
        <v>411</v>
      </c>
      <c r="F1442" s="335"/>
      <c r="G1442" s="327"/>
      <c r="H1442" s="318"/>
      <c r="I1442" s="316">
        <v>64048.0</v>
      </c>
      <c r="J1442" s="320">
        <v>0.0</v>
      </c>
    </row>
    <row r="1443">
      <c r="A1443" s="321"/>
      <c r="B1443" s="315"/>
      <c r="C1443" s="315"/>
      <c r="D1443" s="315"/>
      <c r="E1443" s="316"/>
      <c r="F1443" s="316"/>
      <c r="G1443" s="316"/>
      <c r="H1443" s="316"/>
      <c r="I1443" s="316"/>
      <c r="J1443" s="320"/>
    </row>
    <row r="1444">
      <c r="A1444" s="334">
        <v>294.0</v>
      </c>
      <c r="B1444" s="323" t="s">
        <v>1480</v>
      </c>
      <c r="C1444" s="323" t="s">
        <v>398</v>
      </c>
      <c r="D1444" s="323" t="s">
        <v>406</v>
      </c>
      <c r="E1444" s="323" t="s">
        <v>411</v>
      </c>
      <c r="F1444" s="335"/>
      <c r="G1444" s="327"/>
      <c r="H1444" s="318"/>
      <c r="I1444" s="316">
        <v>64115.0</v>
      </c>
      <c r="J1444" s="320">
        <v>2.0</v>
      </c>
    </row>
    <row r="1445">
      <c r="A1445" s="321"/>
      <c r="B1445" s="323" t="s">
        <v>1480</v>
      </c>
      <c r="C1445" s="323" t="s">
        <v>398</v>
      </c>
      <c r="D1445" s="323" t="s">
        <v>408</v>
      </c>
      <c r="E1445" s="323" t="s">
        <v>411</v>
      </c>
      <c r="F1445" s="335"/>
      <c r="G1445" s="327"/>
      <c r="H1445" s="318"/>
      <c r="I1445" s="316">
        <v>64115.0</v>
      </c>
      <c r="J1445" s="320">
        <v>0.0</v>
      </c>
    </row>
    <row r="1446">
      <c r="A1446" s="321"/>
      <c r="B1446" s="315"/>
      <c r="C1446" s="315"/>
      <c r="D1446" s="315"/>
      <c r="E1446" s="316"/>
      <c r="F1446" s="316"/>
      <c r="G1446" s="316"/>
      <c r="H1446" s="316"/>
      <c r="I1446" s="316"/>
      <c r="J1446" s="320"/>
    </row>
    <row r="1447">
      <c r="A1447" s="334">
        <v>295.0</v>
      </c>
      <c r="B1447" s="323" t="s">
        <v>1480</v>
      </c>
      <c r="C1447" s="323" t="s">
        <v>398</v>
      </c>
      <c r="D1447" s="323" t="s">
        <v>406</v>
      </c>
      <c r="E1447" s="323" t="s">
        <v>411</v>
      </c>
      <c r="F1447" s="335"/>
      <c r="G1447" s="327"/>
      <c r="H1447" s="318"/>
      <c r="I1447" s="316">
        <v>64346.0</v>
      </c>
      <c r="J1447" s="320">
        <v>1.0</v>
      </c>
    </row>
    <row r="1448">
      <c r="A1448" s="321"/>
      <c r="B1448" s="323" t="s">
        <v>1480</v>
      </c>
      <c r="C1448" s="323" t="s">
        <v>398</v>
      </c>
      <c r="D1448" s="323" t="s">
        <v>408</v>
      </c>
      <c r="E1448" s="323" t="s">
        <v>411</v>
      </c>
      <c r="F1448" s="335"/>
      <c r="G1448" s="327"/>
      <c r="H1448" s="318"/>
      <c r="I1448" s="316">
        <v>64346.0</v>
      </c>
      <c r="J1448" s="320">
        <v>0.0</v>
      </c>
    </row>
    <row r="1449">
      <c r="A1449" s="321"/>
      <c r="B1449" s="315"/>
      <c r="C1449" s="315"/>
      <c r="D1449" s="315"/>
      <c r="E1449" s="316"/>
      <c r="F1449" s="316"/>
      <c r="G1449" s="316"/>
      <c r="H1449" s="316"/>
      <c r="I1449" s="316"/>
      <c r="J1449" s="320"/>
    </row>
    <row r="1450">
      <c r="A1450" s="334">
        <v>296.0</v>
      </c>
      <c r="B1450" s="323" t="s">
        <v>1480</v>
      </c>
      <c r="C1450" s="323" t="s">
        <v>398</v>
      </c>
      <c r="D1450" s="323" t="s">
        <v>406</v>
      </c>
      <c r="E1450" s="323" t="s">
        <v>411</v>
      </c>
      <c r="F1450" s="335"/>
      <c r="G1450" s="327"/>
      <c r="H1450" s="318"/>
      <c r="I1450" s="316">
        <v>64829.0</v>
      </c>
      <c r="J1450" s="320">
        <v>1.0</v>
      </c>
    </row>
    <row r="1451">
      <c r="A1451" s="321"/>
      <c r="B1451" s="323" t="s">
        <v>1480</v>
      </c>
      <c r="C1451" s="323" t="s">
        <v>398</v>
      </c>
      <c r="D1451" s="323" t="s">
        <v>408</v>
      </c>
      <c r="E1451" s="323" t="s">
        <v>411</v>
      </c>
      <c r="F1451" s="335"/>
      <c r="G1451" s="327"/>
      <c r="H1451" s="318"/>
      <c r="I1451" s="316">
        <v>64829.0</v>
      </c>
      <c r="J1451" s="320">
        <v>0.0</v>
      </c>
    </row>
    <row r="1452">
      <c r="A1452" s="321"/>
      <c r="B1452" s="315"/>
      <c r="C1452" s="315"/>
      <c r="D1452" s="315"/>
      <c r="E1452" s="316"/>
      <c r="F1452" s="316"/>
      <c r="G1452" s="316"/>
      <c r="H1452" s="316"/>
      <c r="I1452" s="316"/>
      <c r="J1452" s="320"/>
    </row>
    <row r="1453">
      <c r="A1453" s="334">
        <v>297.0</v>
      </c>
      <c r="B1453" s="323" t="s">
        <v>1480</v>
      </c>
      <c r="C1453" s="323" t="s">
        <v>398</v>
      </c>
      <c r="D1453" s="323" t="s">
        <v>406</v>
      </c>
      <c r="E1453" s="323" t="s">
        <v>411</v>
      </c>
      <c r="F1453" s="335"/>
      <c r="G1453" s="327"/>
      <c r="H1453" s="318"/>
      <c r="I1453" s="316">
        <v>65199.0</v>
      </c>
      <c r="J1453" s="320">
        <v>1.0</v>
      </c>
    </row>
    <row r="1454">
      <c r="A1454" s="321"/>
      <c r="B1454" s="323" t="s">
        <v>1480</v>
      </c>
      <c r="C1454" s="323" t="s">
        <v>398</v>
      </c>
      <c r="D1454" s="323" t="s">
        <v>408</v>
      </c>
      <c r="E1454" s="323" t="s">
        <v>411</v>
      </c>
      <c r="F1454" s="335"/>
      <c r="G1454" s="327"/>
      <c r="H1454" s="318"/>
      <c r="I1454" s="316">
        <v>65199.0</v>
      </c>
      <c r="J1454" s="320">
        <v>0.0</v>
      </c>
    </row>
    <row r="1455">
      <c r="A1455" s="321"/>
      <c r="B1455" s="315"/>
      <c r="C1455" s="315"/>
      <c r="D1455" s="315"/>
      <c r="E1455" s="316"/>
      <c r="F1455" s="316"/>
      <c r="G1455" s="316"/>
      <c r="H1455" s="316"/>
      <c r="I1455" s="316"/>
      <c r="J1455" s="320"/>
    </row>
    <row r="1456">
      <c r="A1456" s="334">
        <v>298.0</v>
      </c>
      <c r="B1456" s="323" t="s">
        <v>1480</v>
      </c>
      <c r="C1456" s="323" t="s">
        <v>398</v>
      </c>
      <c r="D1456" s="323" t="s">
        <v>406</v>
      </c>
      <c r="E1456" s="323" t="s">
        <v>412</v>
      </c>
      <c r="F1456" s="335"/>
      <c r="G1456" s="327"/>
      <c r="H1456" s="318"/>
      <c r="I1456" s="316">
        <v>36207.0</v>
      </c>
      <c r="J1456" s="320">
        <v>2.0</v>
      </c>
    </row>
    <row r="1457">
      <c r="A1457" s="321"/>
      <c r="B1457" s="323" t="s">
        <v>1480</v>
      </c>
      <c r="C1457" s="323" t="s">
        <v>398</v>
      </c>
      <c r="D1457" s="323" t="s">
        <v>408</v>
      </c>
      <c r="E1457" s="323" t="s">
        <v>412</v>
      </c>
      <c r="F1457" s="335"/>
      <c r="G1457" s="327"/>
      <c r="H1457" s="318"/>
      <c r="I1457" s="316">
        <v>36207.0</v>
      </c>
      <c r="J1457" s="320">
        <v>0.0</v>
      </c>
    </row>
    <row r="1458">
      <c r="A1458" s="321"/>
      <c r="B1458" s="315"/>
      <c r="C1458" s="315"/>
      <c r="D1458" s="315"/>
      <c r="E1458" s="316"/>
      <c r="F1458" s="316"/>
      <c r="G1458" s="316"/>
      <c r="H1458" s="316"/>
      <c r="I1458" s="316"/>
      <c r="J1458" s="320"/>
    </row>
    <row r="1459">
      <c r="A1459" s="334">
        <v>299.0</v>
      </c>
      <c r="B1459" s="323" t="s">
        <v>1480</v>
      </c>
      <c r="C1459" s="323" t="s">
        <v>398</v>
      </c>
      <c r="D1459" s="323" t="s">
        <v>406</v>
      </c>
      <c r="E1459" s="323" t="s">
        <v>412</v>
      </c>
      <c r="F1459" s="335"/>
      <c r="G1459" s="327"/>
      <c r="H1459" s="318"/>
      <c r="I1459" s="316" t="s">
        <v>314</v>
      </c>
      <c r="J1459" s="320">
        <v>2.0</v>
      </c>
    </row>
    <row r="1460">
      <c r="A1460" s="321"/>
      <c r="B1460" s="323" t="s">
        <v>1480</v>
      </c>
      <c r="C1460" s="323" t="s">
        <v>398</v>
      </c>
      <c r="D1460" s="323" t="s">
        <v>408</v>
      </c>
      <c r="E1460" s="323" t="s">
        <v>412</v>
      </c>
      <c r="F1460" s="335"/>
      <c r="G1460" s="327"/>
      <c r="H1460" s="318"/>
      <c r="I1460" s="316" t="s">
        <v>314</v>
      </c>
      <c r="J1460" s="320">
        <v>0.0</v>
      </c>
    </row>
    <row r="1461">
      <c r="A1461" s="321"/>
      <c r="B1461" s="315"/>
      <c r="C1461" s="315"/>
      <c r="D1461" s="315"/>
      <c r="E1461" s="316"/>
      <c r="F1461" s="316"/>
      <c r="G1461" s="316"/>
      <c r="H1461" s="316"/>
      <c r="I1461" s="316"/>
      <c r="J1461" s="320"/>
    </row>
    <row r="1462">
      <c r="A1462" s="334">
        <v>300.0</v>
      </c>
      <c r="B1462" s="323" t="s">
        <v>1480</v>
      </c>
      <c r="C1462" s="323" t="s">
        <v>398</v>
      </c>
      <c r="D1462" s="323" t="s">
        <v>406</v>
      </c>
      <c r="E1462" s="323" t="s">
        <v>412</v>
      </c>
      <c r="F1462" s="335"/>
      <c r="G1462" s="327"/>
      <c r="H1462" s="318"/>
      <c r="I1462" s="316" t="s">
        <v>316</v>
      </c>
      <c r="J1462" s="320">
        <v>2.0</v>
      </c>
    </row>
    <row r="1463">
      <c r="A1463" s="321"/>
      <c r="B1463" s="323" t="s">
        <v>1480</v>
      </c>
      <c r="C1463" s="323" t="s">
        <v>398</v>
      </c>
      <c r="D1463" s="323" t="s">
        <v>408</v>
      </c>
      <c r="E1463" s="323" t="s">
        <v>412</v>
      </c>
      <c r="F1463" s="335"/>
      <c r="G1463" s="327"/>
      <c r="H1463" s="318"/>
      <c r="I1463" s="316" t="s">
        <v>316</v>
      </c>
      <c r="J1463" s="320">
        <v>0.0</v>
      </c>
    </row>
    <row r="1464">
      <c r="A1464" s="321"/>
      <c r="B1464" s="315"/>
      <c r="C1464" s="315"/>
      <c r="D1464" s="315"/>
      <c r="E1464" s="316"/>
      <c r="F1464" s="316"/>
      <c r="G1464" s="316"/>
      <c r="H1464" s="316"/>
      <c r="I1464" s="316"/>
      <c r="J1464" s="320"/>
    </row>
    <row r="1465">
      <c r="A1465" s="334">
        <v>301.0</v>
      </c>
      <c r="B1465" s="323" t="s">
        <v>1480</v>
      </c>
      <c r="C1465" s="323" t="s">
        <v>398</v>
      </c>
      <c r="D1465" s="323" t="s">
        <v>406</v>
      </c>
      <c r="E1465" s="323" t="s">
        <v>412</v>
      </c>
      <c r="F1465" s="335"/>
      <c r="G1465" s="327"/>
      <c r="H1465" s="318"/>
      <c r="I1465" s="316" t="s">
        <v>168</v>
      </c>
      <c r="J1465" s="320">
        <v>0.0</v>
      </c>
    </row>
    <row r="1466">
      <c r="A1466" s="321"/>
      <c r="B1466" s="323" t="s">
        <v>1480</v>
      </c>
      <c r="C1466" s="323" t="s">
        <v>398</v>
      </c>
      <c r="D1466" s="323" t="s">
        <v>408</v>
      </c>
      <c r="E1466" s="323" t="s">
        <v>412</v>
      </c>
      <c r="F1466" s="335"/>
      <c r="G1466" s="327"/>
      <c r="H1466" s="318"/>
      <c r="I1466" s="316" t="s">
        <v>168</v>
      </c>
      <c r="J1466" s="320">
        <v>11.0</v>
      </c>
    </row>
    <row r="1467">
      <c r="A1467" s="321"/>
      <c r="B1467" s="315"/>
      <c r="C1467" s="315"/>
      <c r="D1467" s="315"/>
      <c r="E1467" s="316"/>
      <c r="F1467" s="316"/>
      <c r="G1467" s="316"/>
      <c r="H1467" s="316"/>
      <c r="I1467" s="316"/>
      <c r="J1467" s="320"/>
    </row>
    <row r="1468">
      <c r="A1468" s="334">
        <v>302.0</v>
      </c>
      <c r="B1468" s="323" t="s">
        <v>1480</v>
      </c>
      <c r="C1468" s="323" t="s">
        <v>398</v>
      </c>
      <c r="D1468" s="323" t="s">
        <v>406</v>
      </c>
      <c r="E1468" s="323" t="s">
        <v>412</v>
      </c>
      <c r="F1468" s="335"/>
      <c r="G1468" s="327"/>
      <c r="H1468" s="318"/>
      <c r="I1468" s="316" t="s">
        <v>171</v>
      </c>
      <c r="J1468" s="320">
        <v>0.0</v>
      </c>
    </row>
    <row r="1469">
      <c r="A1469" s="321"/>
      <c r="B1469" s="323" t="s">
        <v>1480</v>
      </c>
      <c r="C1469" s="323" t="s">
        <v>398</v>
      </c>
      <c r="D1469" s="323" t="s">
        <v>408</v>
      </c>
      <c r="E1469" s="323" t="s">
        <v>412</v>
      </c>
      <c r="F1469" s="335"/>
      <c r="G1469" s="327"/>
      <c r="H1469" s="318"/>
      <c r="I1469" s="316" t="s">
        <v>171</v>
      </c>
      <c r="J1469" s="320">
        <v>0.0</v>
      </c>
    </row>
    <row r="1470">
      <c r="A1470" s="321"/>
      <c r="B1470" s="315"/>
      <c r="C1470" s="315"/>
      <c r="D1470" s="315"/>
      <c r="E1470" s="316"/>
      <c r="F1470" s="316"/>
      <c r="G1470" s="316"/>
      <c r="H1470" s="316"/>
      <c r="I1470" s="316"/>
      <c r="J1470" s="320"/>
    </row>
    <row r="1471">
      <c r="A1471" s="334">
        <v>303.0</v>
      </c>
      <c r="B1471" s="323" t="s">
        <v>1480</v>
      </c>
      <c r="C1471" s="323" t="s">
        <v>398</v>
      </c>
      <c r="D1471" s="323" t="s">
        <v>406</v>
      </c>
      <c r="E1471" s="323" t="s">
        <v>412</v>
      </c>
      <c r="F1471" s="335"/>
      <c r="G1471" s="327"/>
      <c r="H1471" s="318"/>
      <c r="I1471" s="316" t="s">
        <v>304</v>
      </c>
      <c r="J1471" s="320">
        <v>0.0</v>
      </c>
    </row>
    <row r="1472">
      <c r="A1472" s="321"/>
      <c r="B1472" s="323" t="s">
        <v>1480</v>
      </c>
      <c r="C1472" s="323" t="s">
        <v>398</v>
      </c>
      <c r="D1472" s="323" t="s">
        <v>408</v>
      </c>
      <c r="E1472" s="323" t="s">
        <v>412</v>
      </c>
      <c r="F1472" s="335"/>
      <c r="G1472" s="327"/>
      <c r="H1472" s="318"/>
      <c r="I1472" s="316" t="s">
        <v>304</v>
      </c>
      <c r="J1472" s="320">
        <v>6.0</v>
      </c>
    </row>
    <row r="1473">
      <c r="A1473" s="321"/>
      <c r="B1473" s="315"/>
      <c r="C1473" s="315"/>
      <c r="D1473" s="315"/>
      <c r="E1473" s="316"/>
      <c r="F1473" s="316"/>
      <c r="G1473" s="316"/>
      <c r="H1473" s="316"/>
      <c r="I1473" s="316"/>
      <c r="J1473" s="320"/>
    </row>
    <row r="1474">
      <c r="A1474" s="334"/>
      <c r="B1474" s="323"/>
      <c r="C1474" s="323"/>
      <c r="D1474" s="323"/>
      <c r="E1474" s="323"/>
      <c r="F1474" s="335"/>
      <c r="G1474" s="327"/>
      <c r="H1474" s="318"/>
      <c r="I1474" s="316"/>
      <c r="J1474" s="320"/>
    </row>
    <row r="1475">
      <c r="A1475" s="321"/>
      <c r="B1475" s="323"/>
      <c r="C1475" s="323"/>
      <c r="D1475" s="323"/>
      <c r="E1475" s="323"/>
      <c r="F1475" s="335"/>
      <c r="G1475" s="327"/>
      <c r="H1475" s="318"/>
      <c r="I1475" s="316"/>
      <c r="J1475" s="320"/>
    </row>
    <row r="1476">
      <c r="A1476" s="321"/>
      <c r="B1476" s="315"/>
      <c r="C1476" s="315"/>
      <c r="D1476" s="315"/>
      <c r="E1476" s="316"/>
      <c r="F1476" s="316"/>
      <c r="G1476" s="316"/>
      <c r="H1476" s="316"/>
      <c r="I1476" s="316"/>
      <c r="J1476" s="320"/>
    </row>
    <row r="1477">
      <c r="A1477" s="334"/>
      <c r="B1477" s="323"/>
      <c r="C1477" s="323"/>
      <c r="D1477" s="323"/>
      <c r="E1477" s="323"/>
      <c r="F1477" s="335"/>
      <c r="G1477" s="327"/>
      <c r="H1477" s="318"/>
      <c r="I1477" s="316"/>
      <c r="J1477" s="320"/>
    </row>
    <row r="1478">
      <c r="A1478" s="321"/>
      <c r="B1478" s="323"/>
      <c r="C1478" s="323"/>
      <c r="D1478" s="323"/>
      <c r="E1478" s="323"/>
      <c r="F1478" s="335"/>
      <c r="G1478" s="327"/>
      <c r="H1478" s="318"/>
      <c r="I1478" s="316"/>
      <c r="J1478" s="320"/>
    </row>
    <row r="1479">
      <c r="A1479" s="321"/>
      <c r="B1479" s="315"/>
      <c r="C1479" s="315"/>
      <c r="D1479" s="315"/>
      <c r="E1479" s="316"/>
      <c r="F1479" s="316"/>
      <c r="G1479" s="316"/>
      <c r="H1479" s="316"/>
      <c r="I1479" s="316"/>
      <c r="J1479" s="320"/>
    </row>
    <row r="1480">
      <c r="A1480" s="334"/>
      <c r="B1480" s="323"/>
      <c r="C1480" s="323"/>
      <c r="D1480" s="323"/>
      <c r="E1480" s="323"/>
      <c r="F1480" s="335"/>
      <c r="G1480" s="327"/>
      <c r="H1480" s="318"/>
      <c r="I1480" s="316"/>
      <c r="J1480" s="320"/>
    </row>
    <row r="1481">
      <c r="A1481" s="321"/>
      <c r="B1481" s="323"/>
      <c r="C1481" s="323"/>
      <c r="D1481" s="323"/>
      <c r="E1481" s="323"/>
      <c r="F1481" s="335"/>
      <c r="G1481" s="327"/>
      <c r="H1481" s="318"/>
      <c r="I1481" s="316"/>
      <c r="J1481" s="320"/>
    </row>
    <row r="1482">
      <c r="A1482" s="321"/>
      <c r="B1482" s="315"/>
      <c r="C1482" s="315"/>
      <c r="D1482" s="315"/>
      <c r="E1482" s="316"/>
      <c r="F1482" s="316"/>
      <c r="G1482" s="316"/>
      <c r="H1482" s="316"/>
      <c r="I1482" s="316"/>
      <c r="J1482" s="320"/>
    </row>
    <row r="1483">
      <c r="A1483" s="334"/>
      <c r="B1483" s="323"/>
      <c r="C1483" s="323"/>
      <c r="D1483" s="323"/>
      <c r="E1483" s="323"/>
      <c r="F1483" s="335"/>
      <c r="G1483" s="327"/>
      <c r="H1483" s="318"/>
      <c r="I1483" s="316"/>
      <c r="J1483" s="320"/>
    </row>
    <row r="1484">
      <c r="A1484" s="321"/>
      <c r="B1484" s="323"/>
      <c r="C1484" s="323"/>
      <c r="D1484" s="323"/>
      <c r="E1484" s="323"/>
      <c r="F1484" s="335"/>
      <c r="G1484" s="327"/>
      <c r="H1484" s="318"/>
      <c r="I1484" s="316"/>
      <c r="J1484" s="320"/>
    </row>
    <row r="1485">
      <c r="A1485" s="321"/>
      <c r="B1485" s="315"/>
      <c r="C1485" s="315"/>
      <c r="D1485" s="315"/>
      <c r="E1485" s="316"/>
      <c r="F1485" s="316"/>
      <c r="G1485" s="316"/>
      <c r="H1485" s="316"/>
      <c r="I1485" s="316"/>
      <c r="J1485" s="320"/>
    </row>
    <row r="1486">
      <c r="A1486" s="321"/>
      <c r="B1486" s="315"/>
      <c r="C1486" s="315"/>
      <c r="D1486" s="315"/>
      <c r="E1486" s="316"/>
      <c r="F1486" s="316"/>
      <c r="G1486" s="316"/>
      <c r="H1486" s="316"/>
      <c r="I1486" s="316"/>
      <c r="J1486" s="320"/>
    </row>
    <row r="1487">
      <c r="A1487" s="321"/>
      <c r="B1487" s="315"/>
      <c r="C1487" s="315"/>
      <c r="D1487" s="315"/>
      <c r="E1487" s="316"/>
      <c r="F1487" s="316"/>
      <c r="G1487" s="316"/>
      <c r="H1487" s="316"/>
      <c r="I1487" s="316"/>
      <c r="J1487" s="320"/>
    </row>
    <row r="1488">
      <c r="A1488" s="321"/>
      <c r="B1488" s="315"/>
      <c r="C1488" s="315"/>
      <c r="D1488" s="315"/>
      <c r="E1488" s="316"/>
      <c r="F1488" s="316"/>
      <c r="G1488" s="316"/>
      <c r="H1488" s="316"/>
      <c r="I1488" s="316"/>
      <c r="J1488" s="320"/>
    </row>
    <row r="1489">
      <c r="A1489" s="321"/>
      <c r="B1489" s="315"/>
      <c r="C1489" s="315"/>
      <c r="D1489" s="315"/>
      <c r="E1489" s="316"/>
      <c r="F1489" s="316"/>
      <c r="G1489" s="316"/>
      <c r="H1489" s="316"/>
      <c r="I1489" s="316"/>
      <c r="J1489" s="320"/>
    </row>
    <row r="1490">
      <c r="A1490" s="321"/>
      <c r="B1490" s="315"/>
      <c r="C1490" s="315"/>
      <c r="D1490" s="315"/>
      <c r="E1490" s="316"/>
      <c r="F1490" s="316"/>
      <c r="G1490" s="316"/>
      <c r="H1490" s="316"/>
      <c r="I1490" s="316"/>
      <c r="J1490" s="320"/>
    </row>
    <row r="1491">
      <c r="A1491" s="321"/>
      <c r="B1491" s="315"/>
      <c r="C1491" s="315"/>
      <c r="D1491" s="315"/>
      <c r="E1491" s="316"/>
      <c r="F1491" s="316"/>
      <c r="G1491" s="316"/>
      <c r="H1491" s="316"/>
      <c r="I1491" s="316"/>
      <c r="J1491" s="320"/>
    </row>
    <row r="1492">
      <c r="A1492" s="321"/>
      <c r="B1492" s="315"/>
      <c r="C1492" s="315"/>
      <c r="D1492" s="315"/>
      <c r="E1492" s="316"/>
      <c r="F1492" s="316"/>
      <c r="G1492" s="316"/>
      <c r="H1492" s="316"/>
      <c r="I1492" s="316"/>
      <c r="J1492" s="320"/>
    </row>
    <row r="1493">
      <c r="A1493" s="321"/>
      <c r="B1493" s="315"/>
      <c r="C1493" s="315"/>
      <c r="D1493" s="315"/>
      <c r="E1493" s="316"/>
      <c r="F1493" s="316"/>
      <c r="G1493" s="316"/>
      <c r="H1493" s="316"/>
      <c r="I1493" s="316"/>
      <c r="J1493" s="320"/>
    </row>
    <row r="1494">
      <c r="A1494" s="321"/>
      <c r="B1494" s="315"/>
      <c r="C1494" s="315"/>
      <c r="D1494" s="315"/>
      <c r="E1494" s="316"/>
      <c r="F1494" s="316"/>
      <c r="G1494" s="316"/>
      <c r="H1494" s="316"/>
      <c r="I1494" s="316"/>
      <c r="J1494" s="320"/>
    </row>
    <row r="1495">
      <c r="A1495" s="321"/>
      <c r="B1495" s="315"/>
      <c r="C1495" s="315"/>
      <c r="D1495" s="315"/>
      <c r="E1495" s="316"/>
      <c r="F1495" s="316"/>
      <c r="G1495" s="316"/>
      <c r="H1495" s="316"/>
      <c r="I1495" s="316"/>
      <c r="J1495" s="320"/>
    </row>
    <row r="1496">
      <c r="A1496" s="321"/>
      <c r="B1496" s="315"/>
      <c r="C1496" s="315"/>
      <c r="D1496" s="315"/>
      <c r="E1496" s="316"/>
      <c r="F1496" s="316"/>
      <c r="G1496" s="316"/>
      <c r="H1496" s="316"/>
      <c r="I1496" s="316"/>
      <c r="J1496" s="320"/>
    </row>
    <row r="1497">
      <c r="A1497" s="321"/>
      <c r="B1497" s="315"/>
      <c r="C1497" s="315"/>
      <c r="D1497" s="315"/>
      <c r="E1497" s="316"/>
      <c r="F1497" s="316"/>
      <c r="G1497" s="316"/>
      <c r="H1497" s="316"/>
      <c r="I1497" s="316"/>
      <c r="J1497" s="320"/>
    </row>
    <row r="1498">
      <c r="A1498" s="321"/>
      <c r="B1498" s="315"/>
      <c r="C1498" s="315"/>
      <c r="D1498" s="315"/>
      <c r="E1498" s="316"/>
      <c r="F1498" s="316"/>
      <c r="G1498" s="316"/>
      <c r="H1498" s="316"/>
      <c r="I1498" s="316"/>
      <c r="J1498" s="320"/>
    </row>
    <row r="1499">
      <c r="A1499" s="321"/>
      <c r="B1499" s="315"/>
      <c r="C1499" s="315"/>
      <c r="D1499" s="315"/>
      <c r="E1499" s="316"/>
      <c r="F1499" s="316"/>
      <c r="G1499" s="316"/>
      <c r="H1499" s="316"/>
      <c r="I1499" s="316"/>
      <c r="J1499" s="320"/>
    </row>
    <row r="1500">
      <c r="A1500" s="321"/>
      <c r="B1500" s="315"/>
      <c r="C1500" s="315"/>
      <c r="D1500" s="315"/>
      <c r="E1500" s="316"/>
      <c r="F1500" s="316"/>
      <c r="G1500" s="316"/>
      <c r="H1500" s="316"/>
      <c r="I1500" s="316"/>
      <c r="J1500" s="320"/>
    </row>
    <row r="1501">
      <c r="A1501" s="321"/>
      <c r="B1501" s="315"/>
      <c r="C1501" s="315"/>
      <c r="D1501" s="315"/>
      <c r="E1501" s="316"/>
      <c r="F1501" s="316"/>
      <c r="G1501" s="316"/>
      <c r="H1501" s="316"/>
      <c r="I1501" s="316"/>
      <c r="J1501" s="320"/>
    </row>
    <row r="1502">
      <c r="A1502" s="321"/>
      <c r="B1502" s="315"/>
      <c r="C1502" s="315"/>
      <c r="D1502" s="315"/>
      <c r="E1502" s="316"/>
      <c r="F1502" s="316"/>
      <c r="G1502" s="316"/>
      <c r="H1502" s="316"/>
      <c r="I1502" s="316"/>
      <c r="J1502" s="320"/>
    </row>
    <row r="1503">
      <c r="A1503" s="321"/>
      <c r="B1503" s="315"/>
      <c r="C1503" s="315"/>
      <c r="D1503" s="315"/>
      <c r="E1503" s="316"/>
      <c r="F1503" s="316"/>
      <c r="G1503" s="316"/>
      <c r="H1503" s="316"/>
      <c r="I1503" s="316"/>
      <c r="J1503" s="320"/>
    </row>
    <row r="1504">
      <c r="A1504" s="321"/>
      <c r="B1504" s="315"/>
      <c r="C1504" s="315"/>
      <c r="D1504" s="315"/>
      <c r="E1504" s="316"/>
      <c r="F1504" s="316"/>
      <c r="G1504" s="316"/>
      <c r="H1504" s="316"/>
      <c r="I1504" s="316"/>
      <c r="J1504" s="320"/>
    </row>
    <row r="1505">
      <c r="A1505" s="321"/>
      <c r="B1505" s="315"/>
      <c r="C1505" s="315"/>
      <c r="D1505" s="315"/>
      <c r="E1505" s="316"/>
      <c r="F1505" s="316"/>
      <c r="G1505" s="316"/>
      <c r="H1505" s="316"/>
      <c r="I1505" s="316"/>
      <c r="J1505" s="320"/>
    </row>
    <row r="1506">
      <c r="A1506" s="321"/>
      <c r="B1506" s="315"/>
      <c r="C1506" s="315"/>
      <c r="D1506" s="315"/>
      <c r="E1506" s="316"/>
      <c r="F1506" s="316"/>
      <c r="G1506" s="316"/>
      <c r="H1506" s="316"/>
      <c r="I1506" s="316"/>
      <c r="J1506" s="320"/>
    </row>
    <row r="1507">
      <c r="A1507" s="321"/>
      <c r="B1507" s="315"/>
      <c r="C1507" s="315"/>
      <c r="D1507" s="315"/>
      <c r="E1507" s="316"/>
      <c r="F1507" s="316"/>
      <c r="G1507" s="316"/>
      <c r="H1507" s="316"/>
      <c r="I1507" s="316"/>
      <c r="J1507" s="320"/>
    </row>
    <row r="1508">
      <c r="A1508" s="321"/>
      <c r="B1508" s="315"/>
      <c r="C1508" s="315"/>
      <c r="D1508" s="315"/>
      <c r="E1508" s="316"/>
      <c r="F1508" s="316"/>
      <c r="G1508" s="316"/>
      <c r="H1508" s="316"/>
      <c r="I1508" s="316"/>
      <c r="J1508" s="320"/>
    </row>
    <row r="1509">
      <c r="A1509" s="321"/>
      <c r="B1509" s="315"/>
      <c r="C1509" s="315"/>
      <c r="D1509" s="315"/>
      <c r="E1509" s="316"/>
      <c r="F1509" s="316"/>
      <c r="G1509" s="316"/>
      <c r="H1509" s="316"/>
      <c r="I1509" s="316"/>
      <c r="J1509" s="320"/>
    </row>
    <row r="1510">
      <c r="A1510" s="321"/>
      <c r="B1510" s="315"/>
      <c r="C1510" s="315"/>
      <c r="D1510" s="315"/>
      <c r="E1510" s="316"/>
      <c r="F1510" s="316"/>
      <c r="G1510" s="316"/>
      <c r="H1510" s="316"/>
      <c r="I1510" s="316"/>
      <c r="J1510" s="320"/>
    </row>
    <row r="1511">
      <c r="A1511" s="321"/>
      <c r="B1511" s="315"/>
      <c r="C1511" s="315"/>
      <c r="D1511" s="315"/>
      <c r="E1511" s="316"/>
      <c r="F1511" s="316"/>
      <c r="G1511" s="316"/>
      <c r="H1511" s="316"/>
      <c r="I1511" s="316"/>
      <c r="J1511" s="320"/>
    </row>
    <row r="1512">
      <c r="A1512" s="321"/>
      <c r="B1512" s="315"/>
      <c r="C1512" s="315"/>
      <c r="D1512" s="315"/>
      <c r="E1512" s="316"/>
      <c r="F1512" s="316"/>
      <c r="G1512" s="316"/>
      <c r="H1512" s="316"/>
      <c r="I1512" s="316"/>
      <c r="J1512" s="320"/>
    </row>
    <row r="1513">
      <c r="A1513" s="321"/>
      <c r="B1513" s="315"/>
      <c r="C1513" s="315"/>
      <c r="D1513" s="315"/>
      <c r="E1513" s="316"/>
      <c r="F1513" s="316"/>
      <c r="G1513" s="316"/>
      <c r="H1513" s="316"/>
      <c r="I1513" s="316"/>
      <c r="J1513" s="320"/>
    </row>
    <row r="1514">
      <c r="A1514" s="321"/>
      <c r="B1514" s="315"/>
      <c r="C1514" s="315"/>
      <c r="D1514" s="315"/>
      <c r="E1514" s="316"/>
      <c r="F1514" s="316"/>
      <c r="G1514" s="316"/>
      <c r="H1514" s="316"/>
      <c r="I1514" s="316"/>
      <c r="J1514" s="320"/>
    </row>
    <row r="1515">
      <c r="A1515" s="321"/>
      <c r="B1515" s="315"/>
      <c r="C1515" s="315"/>
      <c r="D1515" s="315"/>
      <c r="E1515" s="316"/>
      <c r="F1515" s="316"/>
      <c r="G1515" s="316"/>
      <c r="H1515" s="316"/>
      <c r="I1515" s="316"/>
      <c r="J1515" s="320"/>
    </row>
    <row r="1516">
      <c r="A1516" s="321"/>
      <c r="B1516" s="315"/>
      <c r="C1516" s="315"/>
      <c r="D1516" s="315"/>
      <c r="E1516" s="316"/>
      <c r="F1516" s="316"/>
      <c r="G1516" s="316"/>
      <c r="H1516" s="316"/>
      <c r="I1516" s="316"/>
      <c r="J1516" s="320"/>
    </row>
    <row r="1517">
      <c r="A1517" s="321"/>
      <c r="B1517" s="315"/>
      <c r="C1517" s="315"/>
      <c r="D1517" s="315"/>
      <c r="E1517" s="316"/>
      <c r="F1517" s="316"/>
      <c r="G1517" s="316"/>
      <c r="H1517" s="316"/>
      <c r="I1517" s="316"/>
      <c r="J1517" s="320"/>
    </row>
    <row r="1518">
      <c r="A1518" s="321"/>
      <c r="B1518" s="315"/>
      <c r="C1518" s="315"/>
      <c r="D1518" s="315"/>
      <c r="E1518" s="316"/>
      <c r="F1518" s="316"/>
      <c r="G1518" s="316"/>
      <c r="H1518" s="316"/>
      <c r="I1518" s="316"/>
      <c r="J1518" s="320"/>
    </row>
    <row r="1519">
      <c r="A1519" s="321"/>
      <c r="B1519" s="315"/>
      <c r="C1519" s="315"/>
      <c r="D1519" s="315"/>
      <c r="E1519" s="316"/>
      <c r="F1519" s="316"/>
      <c r="G1519" s="316"/>
      <c r="H1519" s="316"/>
      <c r="I1519" s="316"/>
      <c r="J1519" s="320"/>
    </row>
    <row r="1520">
      <c r="A1520" s="321"/>
      <c r="B1520" s="315"/>
      <c r="C1520" s="315"/>
      <c r="D1520" s="315"/>
      <c r="E1520" s="316"/>
      <c r="F1520" s="316"/>
      <c r="G1520" s="316"/>
      <c r="H1520" s="316"/>
      <c r="I1520" s="316"/>
      <c r="J1520" s="320"/>
    </row>
    <row r="1521">
      <c r="A1521" s="321"/>
      <c r="B1521" s="315"/>
      <c r="C1521" s="315"/>
      <c r="D1521" s="315"/>
      <c r="E1521" s="316"/>
      <c r="F1521" s="316"/>
      <c r="G1521" s="316"/>
      <c r="H1521" s="316"/>
      <c r="I1521" s="316"/>
      <c r="J1521" s="320"/>
    </row>
    <row r="1522">
      <c r="A1522" s="321"/>
      <c r="B1522" s="315"/>
      <c r="C1522" s="315"/>
      <c r="D1522" s="315"/>
      <c r="E1522" s="316"/>
      <c r="F1522" s="316"/>
      <c r="G1522" s="316"/>
      <c r="H1522" s="316"/>
      <c r="I1522" s="316"/>
      <c r="J1522" s="320"/>
    </row>
    <row r="1523">
      <c r="A1523" s="321"/>
      <c r="B1523" s="315"/>
      <c r="C1523" s="315"/>
      <c r="D1523" s="315"/>
      <c r="E1523" s="316"/>
      <c r="F1523" s="316"/>
      <c r="G1523" s="316"/>
      <c r="H1523" s="316"/>
      <c r="I1523" s="316"/>
      <c r="J1523" s="320"/>
    </row>
    <row r="1524">
      <c r="A1524" s="321"/>
      <c r="B1524" s="315"/>
      <c r="C1524" s="315"/>
      <c r="D1524" s="315"/>
      <c r="E1524" s="316"/>
      <c r="F1524" s="316"/>
      <c r="G1524" s="316"/>
      <c r="H1524" s="316"/>
      <c r="I1524" s="316"/>
      <c r="J1524" s="320"/>
    </row>
    <row r="1525">
      <c r="A1525" s="321"/>
      <c r="B1525" s="315"/>
      <c r="C1525" s="315"/>
      <c r="D1525" s="315"/>
      <c r="E1525" s="316"/>
      <c r="F1525" s="316"/>
      <c r="G1525" s="316"/>
      <c r="H1525" s="316"/>
      <c r="I1525" s="316"/>
      <c r="J1525" s="320"/>
    </row>
    <row r="1526">
      <c r="A1526" s="321"/>
      <c r="B1526" s="315"/>
      <c r="C1526" s="315"/>
      <c r="D1526" s="315"/>
      <c r="E1526" s="316"/>
      <c r="F1526" s="316"/>
      <c r="G1526" s="316"/>
      <c r="H1526" s="316"/>
      <c r="I1526" s="316"/>
      <c r="J1526" s="320"/>
    </row>
    <row r="1527">
      <c r="A1527" s="321"/>
      <c r="B1527" s="315"/>
      <c r="C1527" s="315"/>
      <c r="D1527" s="315"/>
      <c r="E1527" s="316"/>
      <c r="F1527" s="316"/>
      <c r="G1527" s="316"/>
      <c r="H1527" s="316"/>
      <c r="I1527" s="316"/>
      <c r="J1527" s="320"/>
    </row>
    <row r="1528">
      <c r="A1528" s="321"/>
      <c r="B1528" s="315"/>
      <c r="C1528" s="315"/>
      <c r="D1528" s="315"/>
      <c r="E1528" s="316"/>
      <c r="F1528" s="316"/>
      <c r="G1528" s="316"/>
      <c r="H1528" s="316"/>
      <c r="I1528" s="316"/>
      <c r="J1528" s="320"/>
    </row>
    <row r="1529">
      <c r="A1529" s="321"/>
      <c r="B1529" s="315"/>
      <c r="C1529" s="315"/>
      <c r="D1529" s="315"/>
      <c r="E1529" s="316"/>
      <c r="F1529" s="316"/>
      <c r="G1529" s="316"/>
      <c r="H1529" s="316"/>
      <c r="I1529" s="316"/>
      <c r="J1529" s="320"/>
    </row>
    <row r="1530">
      <c r="A1530" s="321"/>
      <c r="B1530" s="315"/>
      <c r="C1530" s="315"/>
      <c r="D1530" s="315"/>
      <c r="E1530" s="316"/>
      <c r="F1530" s="316"/>
      <c r="G1530" s="316"/>
      <c r="H1530" s="316"/>
      <c r="I1530" s="316"/>
      <c r="J1530" s="320"/>
    </row>
    <row r="1531">
      <c r="A1531" s="321"/>
      <c r="B1531" s="315"/>
      <c r="C1531" s="315"/>
      <c r="D1531" s="315"/>
      <c r="E1531" s="316"/>
      <c r="F1531" s="316"/>
      <c r="G1531" s="316"/>
      <c r="H1531" s="316"/>
      <c r="I1531" s="316"/>
      <c r="J1531" s="320"/>
    </row>
    <row r="1532">
      <c r="A1532" s="321"/>
      <c r="B1532" s="315"/>
      <c r="C1532" s="315"/>
      <c r="D1532" s="315"/>
      <c r="E1532" s="316"/>
      <c r="F1532" s="316"/>
      <c r="G1532" s="316"/>
      <c r="H1532" s="316"/>
      <c r="I1532" s="316"/>
      <c r="J1532" s="320"/>
    </row>
    <row r="1533">
      <c r="A1533" s="321"/>
      <c r="B1533" s="315"/>
      <c r="C1533" s="315"/>
      <c r="D1533" s="315"/>
      <c r="E1533" s="316"/>
      <c r="F1533" s="316"/>
      <c r="G1533" s="316"/>
      <c r="H1533" s="316"/>
      <c r="I1533" s="316"/>
      <c r="J1533" s="320"/>
    </row>
    <row r="1534">
      <c r="A1534" s="321"/>
      <c r="B1534" s="315"/>
      <c r="C1534" s="315"/>
      <c r="D1534" s="315"/>
      <c r="E1534" s="316"/>
      <c r="F1534" s="316"/>
      <c r="G1534" s="316"/>
      <c r="H1534" s="316"/>
      <c r="I1534" s="316"/>
      <c r="J1534" s="320"/>
    </row>
    <row r="1535">
      <c r="A1535" s="321"/>
      <c r="B1535" s="315"/>
      <c r="C1535" s="315"/>
      <c r="D1535" s="315"/>
      <c r="E1535" s="316"/>
      <c r="F1535" s="316"/>
      <c r="G1535" s="316"/>
      <c r="H1535" s="316"/>
      <c r="I1535" s="316"/>
      <c r="J1535" s="320"/>
    </row>
    <row r="1536">
      <c r="A1536" s="321"/>
      <c r="B1536" s="315"/>
      <c r="C1536" s="315"/>
      <c r="D1536" s="315"/>
      <c r="E1536" s="316"/>
      <c r="F1536" s="316"/>
      <c r="G1536" s="316"/>
      <c r="H1536" s="316"/>
      <c r="I1536" s="316"/>
      <c r="J1536" s="320"/>
    </row>
    <row r="1537">
      <c r="A1537" s="321"/>
      <c r="B1537" s="315"/>
      <c r="C1537" s="315"/>
      <c r="D1537" s="315"/>
      <c r="E1537" s="316"/>
      <c r="F1537" s="316"/>
      <c r="G1537" s="316"/>
      <c r="H1537" s="316"/>
      <c r="I1537" s="316"/>
      <c r="J1537" s="320"/>
    </row>
    <row r="1538">
      <c r="A1538" s="321"/>
      <c r="B1538" s="315"/>
      <c r="C1538" s="315"/>
      <c r="D1538" s="315"/>
      <c r="E1538" s="316"/>
      <c r="F1538" s="316"/>
      <c r="G1538" s="316"/>
      <c r="H1538" s="316"/>
      <c r="I1538" s="316"/>
      <c r="J1538" s="320"/>
    </row>
    <row r="1539">
      <c r="A1539" s="321"/>
      <c r="B1539" s="315"/>
      <c r="C1539" s="315"/>
      <c r="D1539" s="315"/>
      <c r="E1539" s="316"/>
      <c r="F1539" s="316"/>
      <c r="G1539" s="316"/>
      <c r="H1539" s="316"/>
      <c r="I1539" s="316"/>
      <c r="J1539" s="320"/>
    </row>
    <row r="1540">
      <c r="A1540" s="321"/>
      <c r="B1540" s="315"/>
      <c r="C1540" s="315"/>
      <c r="D1540" s="315"/>
      <c r="E1540" s="316"/>
      <c r="F1540" s="316"/>
      <c r="G1540" s="316"/>
      <c r="H1540" s="316"/>
      <c r="I1540" s="316"/>
      <c r="J1540" s="320"/>
    </row>
    <row r="1541">
      <c r="A1541" s="321"/>
      <c r="B1541" s="315"/>
      <c r="C1541" s="315"/>
      <c r="D1541" s="315"/>
      <c r="E1541" s="316"/>
      <c r="F1541" s="316"/>
      <c r="G1541" s="316"/>
      <c r="H1541" s="316"/>
      <c r="I1541" s="316"/>
      <c r="J1541" s="320"/>
    </row>
    <row r="1542">
      <c r="A1542" s="321"/>
      <c r="B1542" s="315"/>
      <c r="C1542" s="315"/>
      <c r="D1542" s="315"/>
      <c r="E1542" s="316"/>
      <c r="F1542" s="316"/>
      <c r="G1542" s="316"/>
      <c r="H1542" s="316"/>
      <c r="I1542" s="316"/>
      <c r="J1542" s="320"/>
    </row>
    <row r="1543">
      <c r="A1543" s="321"/>
      <c r="B1543" s="315"/>
      <c r="C1543" s="315"/>
      <c r="D1543" s="315"/>
      <c r="E1543" s="316"/>
      <c r="F1543" s="316"/>
      <c r="G1543" s="316"/>
      <c r="H1543" s="316"/>
      <c r="I1543" s="316"/>
      <c r="J1543" s="320"/>
    </row>
    <row r="1544">
      <c r="A1544" s="321"/>
      <c r="B1544" s="315"/>
      <c r="C1544" s="315"/>
      <c r="D1544" s="315"/>
      <c r="E1544" s="316"/>
      <c r="F1544" s="316"/>
      <c r="G1544" s="316"/>
      <c r="H1544" s="316"/>
      <c r="I1544" s="316"/>
      <c r="J1544" s="320"/>
    </row>
    <row r="1545">
      <c r="A1545" s="321"/>
      <c r="B1545" s="315"/>
      <c r="C1545" s="315"/>
      <c r="D1545" s="315"/>
      <c r="E1545" s="316"/>
      <c r="F1545" s="316"/>
      <c r="G1545" s="316"/>
      <c r="H1545" s="316"/>
      <c r="I1545" s="316"/>
      <c r="J1545" s="320"/>
    </row>
    <row r="1546">
      <c r="A1546" s="321"/>
      <c r="B1546" s="315"/>
      <c r="C1546" s="315"/>
      <c r="D1546" s="315"/>
      <c r="E1546" s="316"/>
      <c r="F1546" s="316"/>
      <c r="G1546" s="316"/>
      <c r="H1546" s="316"/>
      <c r="I1546" s="316"/>
      <c r="J1546" s="320"/>
    </row>
    <row r="1547">
      <c r="A1547" s="321"/>
      <c r="B1547" s="315"/>
      <c r="C1547" s="315"/>
      <c r="D1547" s="315"/>
      <c r="E1547" s="316"/>
      <c r="F1547" s="316"/>
      <c r="G1547" s="316"/>
      <c r="H1547" s="316"/>
      <c r="I1547" s="316"/>
      <c r="J1547" s="320"/>
    </row>
    <row r="1548">
      <c r="A1548" s="321"/>
      <c r="B1548" s="315"/>
      <c r="C1548" s="315"/>
      <c r="D1548" s="315"/>
      <c r="E1548" s="316"/>
      <c r="F1548" s="316"/>
      <c r="G1548" s="316"/>
      <c r="H1548" s="316"/>
      <c r="I1548" s="316"/>
      <c r="J1548" s="320"/>
    </row>
    <row r="1549">
      <c r="A1549" s="321"/>
      <c r="B1549" s="315"/>
      <c r="C1549" s="315"/>
      <c r="D1549" s="315"/>
      <c r="E1549" s="316"/>
      <c r="F1549" s="316"/>
      <c r="G1549" s="316"/>
      <c r="H1549" s="316"/>
      <c r="I1549" s="316"/>
      <c r="J1549" s="320"/>
    </row>
    <row r="1550">
      <c r="A1550" s="321"/>
      <c r="B1550" s="315"/>
      <c r="C1550" s="315"/>
      <c r="D1550" s="315"/>
      <c r="E1550" s="316"/>
      <c r="F1550" s="316"/>
      <c r="G1550" s="316"/>
      <c r="H1550" s="316"/>
      <c r="I1550" s="316"/>
      <c r="J1550" s="320"/>
    </row>
    <row r="1551">
      <c r="A1551" s="321"/>
      <c r="B1551" s="315"/>
      <c r="C1551" s="315"/>
      <c r="D1551" s="315"/>
      <c r="E1551" s="316"/>
      <c r="F1551" s="316"/>
      <c r="G1551" s="316"/>
      <c r="H1551" s="316"/>
      <c r="I1551" s="316"/>
      <c r="J1551" s="320"/>
    </row>
    <row r="1552">
      <c r="A1552" s="321"/>
      <c r="B1552" s="315"/>
      <c r="C1552" s="315"/>
      <c r="D1552" s="315"/>
      <c r="E1552" s="316"/>
      <c r="F1552" s="316"/>
      <c r="G1552" s="316"/>
      <c r="H1552" s="316"/>
      <c r="I1552" s="316"/>
      <c r="J1552" s="320"/>
    </row>
    <row r="1553">
      <c r="A1553" s="321"/>
      <c r="B1553" s="315"/>
      <c r="C1553" s="315"/>
      <c r="D1553" s="315"/>
      <c r="E1553" s="316"/>
      <c r="F1553" s="316"/>
      <c r="G1553" s="316"/>
      <c r="H1553" s="316"/>
      <c r="I1553" s="316"/>
      <c r="J1553" s="320"/>
    </row>
    <row r="1554">
      <c r="A1554" s="321"/>
      <c r="B1554" s="315"/>
      <c r="C1554" s="315"/>
      <c r="D1554" s="315"/>
      <c r="E1554" s="316"/>
      <c r="F1554" s="316"/>
      <c r="G1554" s="316"/>
      <c r="H1554" s="316"/>
      <c r="I1554" s="316"/>
      <c r="J1554" s="320"/>
    </row>
    <row r="1555">
      <c r="A1555" s="321"/>
      <c r="B1555" s="315"/>
      <c r="C1555" s="315"/>
      <c r="D1555" s="315"/>
      <c r="E1555" s="316"/>
      <c r="F1555" s="316"/>
      <c r="G1555" s="316"/>
      <c r="H1555" s="316"/>
      <c r="I1555" s="316"/>
      <c r="J1555" s="320"/>
    </row>
    <row r="1556">
      <c r="A1556" s="321"/>
      <c r="B1556" s="315"/>
      <c r="C1556" s="315"/>
      <c r="D1556" s="315"/>
      <c r="E1556" s="316"/>
      <c r="F1556" s="316"/>
      <c r="G1556" s="316"/>
      <c r="H1556" s="316"/>
      <c r="I1556" s="316"/>
      <c r="J1556" s="320"/>
    </row>
    <row r="1557">
      <c r="A1557" s="321"/>
      <c r="B1557" s="315"/>
      <c r="C1557" s="315"/>
      <c r="D1557" s="315"/>
      <c r="E1557" s="316"/>
      <c r="F1557" s="316"/>
      <c r="G1557" s="316"/>
      <c r="H1557" s="316"/>
      <c r="I1557" s="316"/>
      <c r="J1557" s="320"/>
    </row>
    <row r="1558">
      <c r="A1558" s="321"/>
      <c r="B1558" s="315"/>
      <c r="C1558" s="315"/>
      <c r="D1558" s="315"/>
      <c r="E1558" s="316"/>
      <c r="F1558" s="316"/>
      <c r="G1558" s="316"/>
      <c r="H1558" s="316"/>
      <c r="I1558" s="316"/>
      <c r="J1558" s="320"/>
    </row>
    <row r="1559">
      <c r="A1559" s="321"/>
      <c r="B1559" s="315"/>
      <c r="C1559" s="315"/>
      <c r="D1559" s="315"/>
      <c r="E1559" s="316"/>
      <c r="F1559" s="316"/>
      <c r="G1559" s="316"/>
      <c r="H1559" s="316"/>
      <c r="I1559" s="316"/>
      <c r="J1559" s="320"/>
    </row>
    <row r="1560">
      <c r="A1560" s="321"/>
      <c r="B1560" s="315"/>
      <c r="C1560" s="315"/>
      <c r="D1560" s="315"/>
      <c r="E1560" s="316"/>
      <c r="F1560" s="316"/>
      <c r="G1560" s="316"/>
      <c r="H1560" s="316"/>
      <c r="I1560" s="316"/>
      <c r="J1560" s="320"/>
    </row>
    <row r="1561">
      <c r="A1561" s="321"/>
      <c r="B1561" s="315"/>
      <c r="C1561" s="315"/>
      <c r="D1561" s="315"/>
      <c r="E1561" s="316"/>
      <c r="F1561" s="316"/>
      <c r="G1561" s="316"/>
      <c r="H1561" s="316"/>
      <c r="I1561" s="316"/>
      <c r="J1561" s="320"/>
    </row>
    <row r="1562">
      <c r="A1562" s="321"/>
      <c r="B1562" s="315"/>
      <c r="C1562" s="315"/>
      <c r="D1562" s="315"/>
      <c r="E1562" s="316"/>
      <c r="F1562" s="316"/>
      <c r="G1562" s="316"/>
      <c r="H1562" s="316"/>
      <c r="I1562" s="316"/>
      <c r="J1562" s="320"/>
    </row>
    <row r="1563">
      <c r="A1563" s="321"/>
      <c r="B1563" s="315"/>
      <c r="C1563" s="315"/>
      <c r="D1563" s="315"/>
      <c r="E1563" s="316"/>
      <c r="F1563" s="316"/>
      <c r="G1563" s="316"/>
      <c r="H1563" s="316"/>
      <c r="I1563" s="316"/>
      <c r="J1563" s="320"/>
    </row>
    <row r="1564">
      <c r="A1564" s="321"/>
      <c r="B1564" s="315"/>
      <c r="C1564" s="315"/>
      <c r="D1564" s="315"/>
      <c r="E1564" s="316"/>
      <c r="F1564" s="316"/>
      <c r="G1564" s="316"/>
      <c r="H1564" s="316"/>
      <c r="I1564" s="316"/>
      <c r="J1564" s="320"/>
    </row>
    <row r="1565">
      <c r="A1565" s="321"/>
      <c r="B1565" s="315"/>
      <c r="C1565" s="315"/>
      <c r="D1565" s="315"/>
      <c r="E1565" s="316"/>
      <c r="F1565" s="316"/>
      <c r="G1565" s="316"/>
      <c r="H1565" s="316"/>
      <c r="I1565" s="316"/>
      <c r="J1565" s="320"/>
    </row>
    <row r="1566">
      <c r="A1566" s="321"/>
      <c r="B1566" s="315"/>
      <c r="C1566" s="315"/>
      <c r="D1566" s="315"/>
      <c r="E1566" s="316"/>
      <c r="F1566" s="316"/>
      <c r="G1566" s="316"/>
      <c r="H1566" s="316"/>
      <c r="I1566" s="316"/>
      <c r="J1566" s="320"/>
    </row>
    <row r="1567">
      <c r="A1567" s="321"/>
      <c r="B1567" s="315"/>
      <c r="C1567" s="315"/>
      <c r="D1567" s="315"/>
      <c r="E1567" s="316"/>
      <c r="F1567" s="316"/>
      <c r="G1567" s="316"/>
      <c r="H1567" s="316"/>
      <c r="I1567" s="316"/>
      <c r="J1567" s="320"/>
    </row>
    <row r="1568">
      <c r="A1568" s="321"/>
      <c r="B1568" s="315"/>
      <c r="C1568" s="315"/>
      <c r="D1568" s="315"/>
      <c r="E1568" s="316"/>
      <c r="F1568" s="316"/>
      <c r="G1568" s="316"/>
      <c r="H1568" s="316"/>
      <c r="I1568" s="316"/>
      <c r="J1568" s="320"/>
    </row>
    <row r="1569">
      <c r="A1569" s="321"/>
      <c r="B1569" s="315"/>
      <c r="C1569" s="315"/>
      <c r="D1569" s="315"/>
      <c r="E1569" s="316"/>
      <c r="F1569" s="316"/>
      <c r="G1569" s="316"/>
      <c r="H1569" s="316"/>
      <c r="I1569" s="316"/>
      <c r="J1569" s="320"/>
    </row>
    <row r="1570">
      <c r="A1570" s="321"/>
      <c r="B1570" s="315"/>
      <c r="C1570" s="315"/>
      <c r="D1570" s="315"/>
      <c r="E1570" s="316"/>
      <c r="F1570" s="316"/>
      <c r="G1570" s="316"/>
      <c r="H1570" s="316"/>
      <c r="I1570" s="316"/>
      <c r="J1570" s="320"/>
    </row>
    <row r="1571">
      <c r="A1571" s="321"/>
      <c r="B1571" s="315"/>
      <c r="C1571" s="315"/>
      <c r="D1571" s="315"/>
      <c r="E1571" s="316"/>
      <c r="F1571" s="316"/>
      <c r="G1571" s="316"/>
      <c r="H1571" s="316"/>
      <c r="I1571" s="316"/>
      <c r="J1571" s="320"/>
    </row>
    <row r="1572">
      <c r="A1572" s="321"/>
      <c r="B1572" s="315"/>
      <c r="C1572" s="315"/>
      <c r="D1572" s="315"/>
      <c r="E1572" s="316"/>
      <c r="F1572" s="316"/>
      <c r="G1572" s="316"/>
      <c r="H1572" s="316"/>
      <c r="I1572" s="316"/>
      <c r="J1572" s="320"/>
    </row>
    <row r="1573">
      <c r="A1573" s="321"/>
      <c r="B1573" s="315"/>
      <c r="C1573" s="315"/>
      <c r="D1573" s="315"/>
      <c r="E1573" s="316"/>
      <c r="F1573" s="316"/>
      <c r="G1573" s="316"/>
      <c r="H1573" s="316"/>
      <c r="I1573" s="316"/>
      <c r="J1573" s="320"/>
    </row>
    <row r="1574">
      <c r="A1574" s="321"/>
      <c r="B1574" s="315"/>
      <c r="C1574" s="315"/>
      <c r="D1574" s="315"/>
      <c r="E1574" s="316"/>
      <c r="F1574" s="316"/>
      <c r="G1574" s="316"/>
      <c r="H1574" s="316"/>
      <c r="I1574" s="316"/>
      <c r="J1574" s="320"/>
    </row>
    <row r="1575">
      <c r="A1575" s="321"/>
      <c r="B1575" s="315"/>
      <c r="C1575" s="315"/>
      <c r="D1575" s="315"/>
      <c r="E1575" s="316"/>
      <c r="F1575" s="316"/>
      <c r="G1575" s="316"/>
      <c r="H1575" s="316"/>
      <c r="I1575" s="316"/>
      <c r="J1575" s="320"/>
    </row>
    <row r="1576">
      <c r="A1576" s="321"/>
      <c r="B1576" s="315"/>
      <c r="C1576" s="315"/>
      <c r="D1576" s="315"/>
      <c r="E1576" s="316"/>
      <c r="F1576" s="316"/>
      <c r="G1576" s="316"/>
      <c r="H1576" s="316"/>
      <c r="I1576" s="316"/>
      <c r="J1576" s="320"/>
    </row>
    <row r="1577">
      <c r="A1577" s="321"/>
      <c r="B1577" s="315"/>
      <c r="C1577" s="315"/>
      <c r="D1577" s="315"/>
      <c r="E1577" s="316"/>
      <c r="F1577" s="316"/>
      <c r="G1577" s="316"/>
      <c r="H1577" s="316"/>
      <c r="I1577" s="316"/>
      <c r="J1577" s="320"/>
    </row>
    <row r="1578">
      <c r="A1578" s="321"/>
      <c r="B1578" s="315"/>
      <c r="C1578" s="315"/>
      <c r="D1578" s="315"/>
      <c r="E1578" s="316"/>
      <c r="F1578" s="316"/>
      <c r="G1578" s="316"/>
      <c r="H1578" s="316"/>
      <c r="I1578" s="316"/>
      <c r="J1578" s="320"/>
    </row>
    <row r="1579">
      <c r="A1579" s="321"/>
      <c r="B1579" s="315"/>
      <c r="C1579" s="315"/>
      <c r="D1579" s="315"/>
      <c r="E1579" s="316"/>
      <c r="F1579" s="316"/>
      <c r="G1579" s="316"/>
      <c r="H1579" s="316"/>
      <c r="I1579" s="316"/>
      <c r="J1579" s="320"/>
    </row>
    <row r="1580">
      <c r="A1580" s="321"/>
      <c r="B1580" s="315"/>
      <c r="C1580" s="315"/>
      <c r="D1580" s="315"/>
      <c r="E1580" s="316"/>
      <c r="F1580" s="316"/>
      <c r="G1580" s="316"/>
      <c r="H1580" s="316"/>
      <c r="I1580" s="316"/>
      <c r="J1580" s="320"/>
    </row>
    <row r="1581">
      <c r="A1581" s="321"/>
      <c r="B1581" s="315"/>
      <c r="C1581" s="315"/>
      <c r="D1581" s="315"/>
      <c r="E1581" s="316"/>
      <c r="F1581" s="316"/>
      <c r="G1581" s="316"/>
      <c r="H1581" s="316"/>
      <c r="I1581" s="316"/>
      <c r="J1581" s="320"/>
    </row>
    <row r="1582">
      <c r="A1582" s="321"/>
      <c r="B1582" s="315"/>
      <c r="C1582" s="315"/>
      <c r="D1582" s="315"/>
      <c r="E1582" s="316"/>
      <c r="F1582" s="316"/>
      <c r="G1582" s="316"/>
      <c r="H1582" s="316"/>
      <c r="I1582" s="316"/>
      <c r="J1582" s="320"/>
    </row>
    <row r="1583">
      <c r="A1583" s="321"/>
      <c r="B1583" s="315"/>
      <c r="C1583" s="315"/>
      <c r="D1583" s="315"/>
      <c r="E1583" s="316"/>
      <c r="F1583" s="316"/>
      <c r="G1583" s="316"/>
      <c r="H1583" s="316"/>
      <c r="I1583" s="316"/>
      <c r="J1583" s="320"/>
    </row>
    <row r="1584">
      <c r="A1584" s="321"/>
      <c r="B1584" s="315"/>
      <c r="C1584" s="315"/>
      <c r="D1584" s="315"/>
      <c r="E1584" s="316"/>
      <c r="F1584" s="316"/>
      <c r="G1584" s="316"/>
      <c r="H1584" s="316"/>
      <c r="I1584" s="316"/>
      <c r="J1584" s="320"/>
    </row>
    <row r="1585">
      <c r="A1585" s="321"/>
      <c r="B1585" s="315"/>
      <c r="C1585" s="315"/>
      <c r="D1585" s="315"/>
      <c r="E1585" s="316"/>
      <c r="F1585" s="316"/>
      <c r="G1585" s="316"/>
      <c r="H1585" s="316"/>
      <c r="I1585" s="316"/>
      <c r="J1585" s="320"/>
    </row>
    <row r="1586">
      <c r="A1586" s="321"/>
      <c r="B1586" s="315"/>
      <c r="C1586" s="315"/>
      <c r="D1586" s="315"/>
      <c r="E1586" s="316"/>
      <c r="F1586" s="316"/>
      <c r="G1586" s="316"/>
      <c r="H1586" s="316"/>
      <c r="I1586" s="316"/>
      <c r="J1586" s="320"/>
    </row>
    <row r="1587">
      <c r="A1587" s="321"/>
      <c r="B1587" s="315"/>
      <c r="C1587" s="315"/>
      <c r="D1587" s="315"/>
      <c r="E1587" s="316"/>
      <c r="F1587" s="316"/>
      <c r="G1587" s="316"/>
      <c r="H1587" s="316"/>
      <c r="I1587" s="316"/>
      <c r="J1587" s="320"/>
    </row>
    <row r="1588">
      <c r="A1588" s="321"/>
      <c r="B1588" s="315"/>
      <c r="C1588" s="315"/>
      <c r="D1588" s="315"/>
      <c r="E1588" s="316"/>
      <c r="F1588" s="316"/>
      <c r="G1588" s="316"/>
      <c r="H1588" s="316"/>
      <c r="I1588" s="316"/>
      <c r="J1588" s="320"/>
    </row>
    <row r="1589">
      <c r="A1589" s="321"/>
      <c r="B1589" s="315"/>
      <c r="C1589" s="315"/>
      <c r="D1589" s="315"/>
      <c r="E1589" s="316"/>
      <c r="F1589" s="316"/>
      <c r="G1589" s="316"/>
      <c r="H1589" s="316"/>
      <c r="I1589" s="316"/>
      <c r="J1589" s="320"/>
    </row>
    <row r="1590">
      <c r="A1590" s="321"/>
      <c r="B1590" s="315"/>
      <c r="C1590" s="315"/>
      <c r="D1590" s="315"/>
      <c r="E1590" s="316"/>
      <c r="F1590" s="316"/>
      <c r="G1590" s="316"/>
      <c r="H1590" s="316"/>
      <c r="I1590" s="316"/>
      <c r="J1590" s="320"/>
    </row>
    <row r="1591">
      <c r="A1591" s="321"/>
      <c r="B1591" s="315"/>
      <c r="C1591" s="315"/>
      <c r="D1591" s="315"/>
      <c r="E1591" s="316"/>
      <c r="F1591" s="316"/>
      <c r="G1591" s="316"/>
      <c r="H1591" s="316"/>
      <c r="I1591" s="316"/>
      <c r="J1591" s="320"/>
    </row>
    <row r="1592">
      <c r="A1592" s="321"/>
      <c r="B1592" s="315"/>
      <c r="C1592" s="315"/>
      <c r="D1592" s="315"/>
      <c r="E1592" s="316"/>
      <c r="F1592" s="316"/>
      <c r="G1592" s="316"/>
      <c r="H1592" s="316"/>
      <c r="I1592" s="316"/>
      <c r="J1592" s="320"/>
    </row>
    <row r="1593">
      <c r="A1593" s="321"/>
      <c r="B1593" s="315"/>
      <c r="C1593" s="315"/>
      <c r="D1593" s="315"/>
      <c r="E1593" s="316"/>
      <c r="F1593" s="316"/>
      <c r="G1593" s="316"/>
      <c r="H1593" s="316"/>
      <c r="I1593" s="316"/>
      <c r="J1593" s="320"/>
    </row>
    <row r="1594">
      <c r="A1594" s="321"/>
      <c r="B1594" s="315"/>
      <c r="C1594" s="315"/>
      <c r="D1594" s="315"/>
      <c r="E1594" s="316"/>
      <c r="F1594" s="316"/>
      <c r="G1594" s="316"/>
      <c r="H1594" s="316"/>
      <c r="I1594" s="316"/>
      <c r="J1594" s="320"/>
    </row>
    <row r="1595">
      <c r="A1595" s="321"/>
      <c r="B1595" s="315"/>
      <c r="C1595" s="315"/>
      <c r="D1595" s="315"/>
      <c r="E1595" s="316"/>
      <c r="F1595" s="316"/>
      <c r="G1595" s="316"/>
      <c r="H1595" s="316"/>
      <c r="I1595" s="316"/>
      <c r="J1595" s="320"/>
    </row>
    <row r="1596">
      <c r="A1596" s="321"/>
      <c r="B1596" s="315"/>
      <c r="C1596" s="315"/>
      <c r="D1596" s="315"/>
      <c r="E1596" s="316"/>
      <c r="F1596" s="316"/>
      <c r="G1596" s="316"/>
      <c r="H1596" s="316"/>
      <c r="I1596" s="316"/>
      <c r="J1596" s="320"/>
    </row>
    <row r="1597">
      <c r="A1597" s="321"/>
      <c r="B1597" s="315"/>
      <c r="C1597" s="315"/>
      <c r="D1597" s="315"/>
      <c r="E1597" s="316"/>
      <c r="F1597" s="316"/>
      <c r="G1597" s="316"/>
      <c r="H1597" s="316"/>
      <c r="I1597" s="316"/>
      <c r="J1597" s="320"/>
    </row>
    <row r="1598">
      <c r="A1598" s="321"/>
      <c r="B1598" s="315"/>
      <c r="C1598" s="315"/>
      <c r="D1598" s="315"/>
      <c r="E1598" s="316"/>
      <c r="F1598" s="316"/>
      <c r="G1598" s="316"/>
      <c r="H1598" s="316"/>
      <c r="I1598" s="316"/>
      <c r="J1598" s="320"/>
    </row>
    <row r="1599">
      <c r="A1599" s="321"/>
      <c r="B1599" s="315"/>
      <c r="C1599" s="315"/>
      <c r="D1599" s="315"/>
      <c r="E1599" s="316"/>
      <c r="F1599" s="316"/>
      <c r="G1599" s="316"/>
      <c r="H1599" s="316"/>
      <c r="I1599" s="316"/>
      <c r="J1599" s="320"/>
    </row>
    <row r="1600">
      <c r="A1600" s="321"/>
      <c r="B1600" s="315"/>
      <c r="C1600" s="315"/>
      <c r="D1600" s="315"/>
      <c r="E1600" s="316"/>
      <c r="F1600" s="316"/>
      <c r="G1600" s="316"/>
      <c r="H1600" s="316"/>
      <c r="I1600" s="316"/>
      <c r="J1600" s="320"/>
    </row>
    <row r="1601">
      <c r="A1601" s="321"/>
      <c r="B1601" s="315"/>
      <c r="C1601" s="315"/>
      <c r="D1601" s="315"/>
      <c r="E1601" s="316"/>
      <c r="F1601" s="316"/>
      <c r="G1601" s="316"/>
      <c r="H1601" s="316"/>
      <c r="I1601" s="316"/>
      <c r="J1601" s="320"/>
    </row>
    <row r="1602">
      <c r="A1602" s="321"/>
      <c r="B1602" s="315"/>
      <c r="C1602" s="315"/>
      <c r="D1602" s="315"/>
      <c r="E1602" s="316"/>
      <c r="F1602" s="316"/>
      <c r="G1602" s="316"/>
      <c r="H1602" s="316"/>
      <c r="I1602" s="316"/>
      <c r="J1602" s="320"/>
    </row>
    <row r="1603">
      <c r="A1603" s="321"/>
      <c r="B1603" s="315"/>
      <c r="C1603" s="315"/>
      <c r="D1603" s="315"/>
      <c r="E1603" s="316"/>
      <c r="F1603" s="316"/>
      <c r="G1603" s="316"/>
      <c r="H1603" s="316"/>
      <c r="I1603" s="316"/>
      <c r="J1603" s="320"/>
    </row>
    <row r="1604">
      <c r="A1604" s="321"/>
      <c r="B1604" s="315"/>
      <c r="C1604" s="315"/>
      <c r="D1604" s="315"/>
      <c r="E1604" s="316"/>
      <c r="F1604" s="316"/>
      <c r="G1604" s="316"/>
      <c r="H1604" s="316"/>
      <c r="I1604" s="316"/>
      <c r="J1604" s="320"/>
    </row>
    <row r="1605">
      <c r="A1605" s="321"/>
      <c r="B1605" s="315"/>
      <c r="C1605" s="315"/>
      <c r="D1605" s="315"/>
      <c r="E1605" s="316"/>
      <c r="F1605" s="316"/>
      <c r="G1605" s="316"/>
      <c r="H1605" s="316"/>
      <c r="I1605" s="316"/>
      <c r="J1605" s="320"/>
    </row>
    <row r="1606">
      <c r="A1606" s="321"/>
      <c r="B1606" s="315"/>
      <c r="C1606" s="315"/>
      <c r="D1606" s="315"/>
      <c r="E1606" s="316"/>
      <c r="F1606" s="316"/>
      <c r="G1606" s="316"/>
      <c r="H1606" s="316"/>
      <c r="I1606" s="316"/>
      <c r="J1606" s="320"/>
    </row>
    <row r="1607">
      <c r="A1607" s="321"/>
      <c r="B1607" s="315"/>
      <c r="C1607" s="315"/>
      <c r="D1607" s="315"/>
      <c r="E1607" s="316"/>
      <c r="F1607" s="316"/>
      <c r="G1607" s="316"/>
      <c r="H1607" s="316"/>
      <c r="I1607" s="316"/>
      <c r="J1607" s="320"/>
    </row>
    <row r="1608">
      <c r="A1608" s="321"/>
      <c r="B1608" s="315"/>
      <c r="C1608" s="315"/>
      <c r="D1608" s="315"/>
      <c r="E1608" s="316"/>
      <c r="F1608" s="316"/>
      <c r="G1608" s="316"/>
      <c r="H1608" s="316"/>
      <c r="I1608" s="316"/>
      <c r="J1608" s="320"/>
    </row>
    <row r="1609">
      <c r="A1609" s="321"/>
      <c r="B1609" s="315"/>
      <c r="C1609" s="315"/>
      <c r="D1609" s="315"/>
      <c r="E1609" s="316"/>
      <c r="F1609" s="316"/>
      <c r="G1609" s="316"/>
      <c r="H1609" s="316"/>
      <c r="I1609" s="316"/>
      <c r="J1609" s="320"/>
    </row>
    <row r="1610">
      <c r="A1610" s="321"/>
      <c r="B1610" s="315"/>
      <c r="C1610" s="315"/>
      <c r="D1610" s="315"/>
      <c r="E1610" s="316"/>
      <c r="F1610" s="316"/>
      <c r="G1610" s="316"/>
      <c r="H1610" s="316"/>
      <c r="I1610" s="316"/>
      <c r="J1610" s="320"/>
    </row>
    <row r="1611">
      <c r="A1611" s="321"/>
      <c r="B1611" s="315"/>
      <c r="C1611" s="315"/>
      <c r="D1611" s="315"/>
      <c r="E1611" s="316"/>
      <c r="F1611" s="316"/>
      <c r="G1611" s="316"/>
      <c r="H1611" s="316"/>
      <c r="I1611" s="316"/>
      <c r="J1611" s="320"/>
    </row>
    <row r="1612">
      <c r="A1612" s="321"/>
      <c r="B1612" s="315"/>
      <c r="C1612" s="315"/>
      <c r="D1612" s="315"/>
      <c r="E1612" s="316"/>
      <c r="F1612" s="316"/>
      <c r="G1612" s="316"/>
      <c r="H1612" s="316"/>
      <c r="I1612" s="316"/>
      <c r="J1612" s="320"/>
    </row>
    <row r="1613">
      <c r="A1613" s="321"/>
      <c r="B1613" s="315"/>
      <c r="C1613" s="315"/>
      <c r="D1613" s="315"/>
      <c r="E1613" s="316"/>
      <c r="F1613" s="316"/>
      <c r="G1613" s="316"/>
      <c r="H1613" s="316"/>
      <c r="I1613" s="316"/>
      <c r="J1613" s="320"/>
    </row>
    <row r="1614">
      <c r="A1614" s="321"/>
      <c r="B1614" s="315"/>
      <c r="C1614" s="315"/>
      <c r="D1614" s="315"/>
      <c r="E1614" s="316"/>
      <c r="F1614" s="316"/>
      <c r="G1614" s="316"/>
      <c r="H1614" s="316"/>
      <c r="I1614" s="316"/>
      <c r="J1614" s="320"/>
    </row>
    <row r="1615">
      <c r="A1615" s="321"/>
      <c r="B1615" s="315"/>
      <c r="C1615" s="315"/>
      <c r="D1615" s="315"/>
      <c r="E1615" s="316"/>
      <c r="F1615" s="316"/>
      <c r="G1615" s="316"/>
      <c r="H1615" s="316"/>
      <c r="I1615" s="316"/>
      <c r="J1615" s="320"/>
    </row>
    <row r="1616">
      <c r="A1616" s="321"/>
      <c r="B1616" s="315"/>
      <c r="C1616" s="315"/>
      <c r="D1616" s="315"/>
      <c r="E1616" s="316"/>
      <c r="F1616" s="316"/>
      <c r="G1616" s="316"/>
      <c r="H1616" s="316"/>
      <c r="I1616" s="316"/>
      <c r="J1616" s="320"/>
    </row>
    <row r="1617">
      <c r="A1617" s="321"/>
      <c r="B1617" s="315"/>
      <c r="C1617" s="315"/>
      <c r="D1617" s="315"/>
      <c r="E1617" s="316"/>
      <c r="F1617" s="316"/>
      <c r="G1617" s="316"/>
      <c r="H1617" s="316"/>
      <c r="I1617" s="316"/>
      <c r="J1617" s="320"/>
    </row>
    <row r="1618">
      <c r="A1618" s="321"/>
      <c r="B1618" s="315"/>
      <c r="C1618" s="315"/>
      <c r="D1618" s="315"/>
      <c r="E1618" s="316"/>
      <c r="F1618" s="316"/>
      <c r="G1618" s="316"/>
      <c r="H1618" s="316"/>
      <c r="I1618" s="316"/>
      <c r="J1618" s="320"/>
    </row>
    <row r="1619">
      <c r="A1619" s="321"/>
      <c r="B1619" s="315"/>
      <c r="C1619" s="315"/>
      <c r="D1619" s="315"/>
      <c r="E1619" s="316"/>
      <c r="F1619" s="316"/>
      <c r="G1619" s="316"/>
      <c r="H1619" s="316"/>
      <c r="I1619" s="316"/>
      <c r="J1619" s="320"/>
    </row>
    <row r="1620">
      <c r="A1620" s="321"/>
      <c r="B1620" s="315"/>
      <c r="C1620" s="315"/>
      <c r="D1620" s="315"/>
      <c r="E1620" s="316"/>
      <c r="F1620" s="316"/>
      <c r="G1620" s="316"/>
      <c r="H1620" s="316"/>
      <c r="I1620" s="316"/>
      <c r="J1620" s="320"/>
    </row>
    <row r="1621">
      <c r="A1621" s="321"/>
      <c r="B1621" s="315"/>
      <c r="C1621" s="315"/>
      <c r="D1621" s="315"/>
      <c r="E1621" s="316"/>
      <c r="F1621" s="316"/>
      <c r="G1621" s="316"/>
      <c r="H1621" s="316"/>
      <c r="I1621" s="316"/>
      <c r="J1621" s="320"/>
    </row>
    <row r="1622">
      <c r="A1622" s="321"/>
      <c r="B1622" s="315"/>
      <c r="C1622" s="315"/>
      <c r="D1622" s="315"/>
      <c r="E1622" s="316"/>
      <c r="F1622" s="316"/>
      <c r="G1622" s="316"/>
      <c r="H1622" s="316"/>
      <c r="I1622" s="316"/>
      <c r="J1622" s="320"/>
    </row>
    <row r="1623">
      <c r="A1623" s="321"/>
      <c r="B1623" s="315"/>
      <c r="C1623" s="315"/>
      <c r="D1623" s="315"/>
      <c r="E1623" s="316"/>
      <c r="F1623" s="316"/>
      <c r="G1623" s="316"/>
      <c r="H1623" s="316"/>
      <c r="I1623" s="316"/>
      <c r="J1623" s="320"/>
    </row>
    <row r="1624">
      <c r="A1624" s="321"/>
      <c r="B1624" s="315"/>
      <c r="C1624" s="315"/>
      <c r="D1624" s="315"/>
      <c r="E1624" s="316"/>
      <c r="F1624" s="316"/>
      <c r="G1624" s="316"/>
      <c r="H1624" s="316"/>
      <c r="I1624" s="316"/>
      <c r="J1624" s="320"/>
    </row>
    <row r="1625">
      <c r="A1625" s="321"/>
      <c r="B1625" s="315"/>
      <c r="C1625" s="315"/>
      <c r="D1625" s="315"/>
      <c r="E1625" s="316"/>
      <c r="F1625" s="316"/>
      <c r="G1625" s="316"/>
      <c r="H1625" s="316"/>
      <c r="I1625" s="316"/>
      <c r="J1625" s="320"/>
    </row>
    <row r="1626">
      <c r="A1626" s="321"/>
      <c r="B1626" s="315"/>
      <c r="C1626" s="315"/>
      <c r="D1626" s="315"/>
      <c r="E1626" s="316"/>
      <c r="F1626" s="316"/>
      <c r="G1626" s="316"/>
      <c r="H1626" s="316"/>
      <c r="I1626" s="316"/>
      <c r="J1626" s="320"/>
    </row>
    <row r="1627">
      <c r="A1627" s="321"/>
      <c r="B1627" s="315"/>
      <c r="C1627" s="315"/>
      <c r="D1627" s="315"/>
      <c r="E1627" s="316"/>
      <c r="F1627" s="316"/>
      <c r="G1627" s="316"/>
      <c r="H1627" s="316"/>
      <c r="I1627" s="316"/>
      <c r="J1627" s="320"/>
    </row>
    <row r="1628">
      <c r="A1628" s="321"/>
      <c r="B1628" s="315"/>
      <c r="C1628" s="315"/>
      <c r="D1628" s="315"/>
      <c r="E1628" s="316"/>
      <c r="F1628" s="316"/>
      <c r="G1628" s="316"/>
      <c r="H1628" s="316"/>
      <c r="I1628" s="316"/>
      <c r="J1628" s="320"/>
    </row>
    <row r="1629">
      <c r="A1629" s="321"/>
      <c r="B1629" s="315"/>
      <c r="C1629" s="315"/>
      <c r="D1629" s="315"/>
      <c r="E1629" s="316"/>
      <c r="F1629" s="316"/>
      <c r="G1629" s="316"/>
      <c r="H1629" s="316"/>
      <c r="I1629" s="316"/>
      <c r="J1629" s="320"/>
    </row>
    <row r="1630">
      <c r="A1630" s="321"/>
      <c r="B1630" s="315"/>
      <c r="C1630" s="315"/>
      <c r="D1630" s="315"/>
      <c r="E1630" s="316"/>
      <c r="F1630" s="316"/>
      <c r="G1630" s="316"/>
      <c r="H1630" s="316"/>
      <c r="I1630" s="316"/>
      <c r="J1630" s="320"/>
    </row>
    <row r="1631">
      <c r="A1631" s="321"/>
      <c r="B1631" s="315"/>
      <c r="C1631" s="315"/>
      <c r="D1631" s="315"/>
      <c r="E1631" s="316"/>
      <c r="F1631" s="316"/>
      <c r="G1631" s="316"/>
      <c r="H1631" s="316"/>
      <c r="I1631" s="316"/>
      <c r="J1631" s="320"/>
    </row>
    <row r="1632">
      <c r="A1632" s="321"/>
      <c r="B1632" s="315"/>
      <c r="C1632" s="315"/>
      <c r="D1632" s="315"/>
      <c r="E1632" s="316"/>
      <c r="F1632" s="316"/>
      <c r="G1632" s="316"/>
      <c r="H1632" s="316"/>
      <c r="I1632" s="316"/>
      <c r="J1632" s="320"/>
    </row>
    <row r="1633">
      <c r="A1633" s="321"/>
      <c r="B1633" s="315"/>
      <c r="C1633" s="315"/>
      <c r="D1633" s="315"/>
      <c r="E1633" s="316"/>
      <c r="F1633" s="316"/>
      <c r="G1633" s="316"/>
      <c r="H1633" s="316"/>
      <c r="I1633" s="316"/>
      <c r="J1633" s="320"/>
    </row>
    <row r="1634">
      <c r="A1634" s="321"/>
      <c r="B1634" s="315"/>
      <c r="C1634" s="315"/>
      <c r="D1634" s="315"/>
      <c r="E1634" s="316"/>
      <c r="F1634" s="316"/>
      <c r="G1634" s="316"/>
      <c r="H1634" s="316"/>
      <c r="I1634" s="316"/>
      <c r="J1634" s="320"/>
    </row>
    <row r="1635">
      <c r="A1635" s="321"/>
      <c r="B1635" s="315"/>
      <c r="C1635" s="315"/>
      <c r="D1635" s="315"/>
      <c r="E1635" s="316"/>
      <c r="F1635" s="316"/>
      <c r="G1635" s="316"/>
      <c r="H1635" s="316"/>
      <c r="I1635" s="316"/>
      <c r="J1635" s="320"/>
    </row>
    <row r="1636">
      <c r="A1636" s="321"/>
      <c r="B1636" s="315"/>
      <c r="C1636" s="315"/>
      <c r="D1636" s="315"/>
      <c r="E1636" s="316"/>
      <c r="F1636" s="316"/>
      <c r="G1636" s="316"/>
      <c r="H1636" s="316"/>
      <c r="I1636" s="316"/>
      <c r="J1636" s="320"/>
    </row>
    <row r="1637">
      <c r="A1637" s="321"/>
      <c r="B1637" s="315"/>
      <c r="C1637" s="315"/>
      <c r="D1637" s="315"/>
      <c r="E1637" s="316"/>
      <c r="F1637" s="316"/>
      <c r="G1637" s="316"/>
      <c r="H1637" s="316"/>
      <c r="I1637" s="316"/>
      <c r="J1637" s="320"/>
    </row>
    <row r="1638">
      <c r="A1638" s="321"/>
      <c r="B1638" s="315"/>
      <c r="C1638" s="315"/>
      <c r="D1638" s="315"/>
      <c r="E1638" s="316"/>
      <c r="F1638" s="316"/>
      <c r="G1638" s="316"/>
      <c r="H1638" s="316"/>
      <c r="I1638" s="316"/>
      <c r="J1638" s="320"/>
    </row>
    <row r="1639">
      <c r="A1639" s="321"/>
      <c r="B1639" s="315"/>
      <c r="C1639" s="315"/>
      <c r="D1639" s="315"/>
      <c r="E1639" s="316"/>
      <c r="F1639" s="316"/>
      <c r="G1639" s="316"/>
      <c r="H1639" s="316"/>
      <c r="I1639" s="316"/>
      <c r="J1639" s="320"/>
    </row>
    <row r="1640">
      <c r="A1640" s="321"/>
      <c r="B1640" s="315"/>
      <c r="C1640" s="315"/>
      <c r="D1640" s="315"/>
      <c r="E1640" s="316"/>
      <c r="F1640" s="316"/>
      <c r="G1640" s="316"/>
      <c r="H1640" s="316"/>
      <c r="I1640" s="316"/>
      <c r="J1640" s="320"/>
    </row>
    <row r="1641">
      <c r="A1641" s="321"/>
      <c r="B1641" s="315"/>
      <c r="C1641" s="315"/>
      <c r="D1641" s="315"/>
      <c r="E1641" s="316"/>
      <c r="F1641" s="316"/>
      <c r="G1641" s="316"/>
      <c r="H1641" s="316"/>
      <c r="I1641" s="316"/>
      <c r="J1641" s="320"/>
    </row>
    <row r="1642">
      <c r="A1642" s="321"/>
      <c r="B1642" s="315"/>
      <c r="C1642" s="315"/>
      <c r="D1642" s="315"/>
      <c r="E1642" s="316"/>
      <c r="F1642" s="316"/>
      <c r="G1642" s="316"/>
      <c r="H1642" s="316"/>
      <c r="I1642" s="316"/>
      <c r="J1642" s="320"/>
    </row>
    <row r="1643">
      <c r="A1643" s="321"/>
      <c r="B1643" s="315"/>
      <c r="C1643" s="315"/>
      <c r="D1643" s="315"/>
      <c r="E1643" s="316"/>
      <c r="F1643" s="316"/>
      <c r="G1643" s="316"/>
      <c r="H1643" s="316"/>
      <c r="I1643" s="316"/>
      <c r="J1643" s="320"/>
    </row>
    <row r="1644">
      <c r="A1644" s="321"/>
      <c r="B1644" s="315"/>
      <c r="C1644" s="315"/>
      <c r="D1644" s="315"/>
      <c r="E1644" s="316"/>
      <c r="F1644" s="316"/>
      <c r="G1644" s="316"/>
      <c r="H1644" s="316"/>
      <c r="I1644" s="316"/>
      <c r="J1644" s="320"/>
    </row>
    <row r="1645">
      <c r="A1645" s="321"/>
      <c r="B1645" s="315"/>
      <c r="C1645" s="315"/>
      <c r="D1645" s="315"/>
      <c r="E1645" s="316"/>
      <c r="F1645" s="316"/>
      <c r="G1645" s="316"/>
      <c r="H1645" s="316"/>
      <c r="I1645" s="316"/>
      <c r="J1645" s="320"/>
    </row>
    <row r="1646">
      <c r="A1646" s="321"/>
      <c r="B1646" s="315"/>
      <c r="C1646" s="315"/>
      <c r="D1646" s="315"/>
      <c r="E1646" s="316"/>
      <c r="F1646" s="316"/>
      <c r="G1646" s="316"/>
      <c r="H1646" s="316"/>
      <c r="I1646" s="316"/>
      <c r="J1646" s="320"/>
    </row>
    <row r="1647">
      <c r="A1647" s="321"/>
      <c r="B1647" s="315"/>
      <c r="C1647" s="315"/>
      <c r="D1647" s="315"/>
      <c r="E1647" s="316"/>
      <c r="F1647" s="316"/>
      <c r="G1647" s="316"/>
      <c r="H1647" s="316"/>
      <c r="I1647" s="316"/>
      <c r="J1647" s="320"/>
    </row>
    <row r="1648">
      <c r="A1648" s="321"/>
      <c r="B1648" s="315"/>
      <c r="C1648" s="315"/>
      <c r="D1648" s="315"/>
      <c r="E1648" s="316"/>
      <c r="F1648" s="316"/>
      <c r="G1648" s="316"/>
      <c r="H1648" s="316"/>
      <c r="I1648" s="316"/>
      <c r="J1648" s="320"/>
    </row>
    <row r="1649">
      <c r="A1649" s="321"/>
      <c r="B1649" s="315"/>
      <c r="C1649" s="315"/>
      <c r="D1649" s="315"/>
      <c r="E1649" s="316"/>
      <c r="F1649" s="316"/>
      <c r="G1649" s="316"/>
      <c r="H1649" s="316"/>
      <c r="I1649" s="316"/>
      <c r="J1649" s="320"/>
    </row>
    <row r="1650">
      <c r="A1650" s="321"/>
      <c r="B1650" s="315"/>
      <c r="C1650" s="315"/>
      <c r="D1650" s="315"/>
      <c r="E1650" s="316"/>
      <c r="F1650" s="316"/>
      <c r="G1650" s="316"/>
      <c r="H1650" s="316"/>
      <c r="I1650" s="316"/>
      <c r="J1650" s="320"/>
    </row>
    <row r="1651">
      <c r="A1651" s="321"/>
      <c r="B1651" s="315"/>
      <c r="C1651" s="315"/>
      <c r="D1651" s="315"/>
      <c r="E1651" s="316"/>
      <c r="F1651" s="316"/>
      <c r="G1651" s="316"/>
      <c r="H1651" s="316"/>
      <c r="I1651" s="316"/>
      <c r="J1651" s="320"/>
    </row>
    <row r="1652">
      <c r="A1652" s="321"/>
      <c r="B1652" s="315"/>
      <c r="C1652" s="315"/>
      <c r="D1652" s="315"/>
      <c r="E1652" s="316"/>
      <c r="F1652" s="316"/>
      <c r="G1652" s="316"/>
      <c r="H1652" s="316"/>
      <c r="I1652" s="316"/>
      <c r="J1652" s="320"/>
    </row>
    <row r="1653">
      <c r="A1653" s="321"/>
      <c r="B1653" s="315"/>
      <c r="C1653" s="315"/>
      <c r="D1653" s="315"/>
      <c r="E1653" s="316"/>
      <c r="F1653" s="316"/>
      <c r="G1653" s="316"/>
      <c r="H1653" s="316"/>
      <c r="I1653" s="316"/>
      <c r="J1653" s="320"/>
    </row>
    <row r="1654">
      <c r="A1654" s="321"/>
      <c r="B1654" s="315"/>
      <c r="C1654" s="315"/>
      <c r="D1654" s="315"/>
      <c r="E1654" s="316"/>
      <c r="F1654" s="316"/>
      <c r="G1654" s="316"/>
      <c r="H1654" s="316"/>
      <c r="I1654" s="316"/>
      <c r="J1654" s="320"/>
    </row>
    <row r="1655">
      <c r="A1655" s="321"/>
      <c r="B1655" s="315"/>
      <c r="C1655" s="315"/>
      <c r="D1655" s="315"/>
      <c r="E1655" s="316"/>
      <c r="F1655" s="316"/>
      <c r="G1655" s="316"/>
      <c r="H1655" s="316"/>
      <c r="I1655" s="316"/>
      <c r="J1655" s="320"/>
    </row>
    <row r="1656">
      <c r="A1656" s="321"/>
      <c r="B1656" s="315"/>
      <c r="C1656" s="315"/>
      <c r="D1656" s="315"/>
      <c r="E1656" s="316"/>
      <c r="F1656" s="316"/>
      <c r="G1656" s="316"/>
      <c r="H1656" s="316"/>
      <c r="I1656" s="316"/>
      <c r="J1656" s="320"/>
    </row>
    <row r="1657">
      <c r="A1657" s="321"/>
      <c r="B1657" s="315"/>
      <c r="C1657" s="315"/>
      <c r="D1657" s="315"/>
      <c r="E1657" s="316"/>
      <c r="F1657" s="316"/>
      <c r="G1657" s="316"/>
      <c r="H1657" s="316"/>
      <c r="I1657" s="316"/>
      <c r="J1657" s="320"/>
    </row>
    <row r="1658">
      <c r="A1658" s="321"/>
      <c r="B1658" s="315"/>
      <c r="C1658" s="315"/>
      <c r="D1658" s="315"/>
      <c r="E1658" s="316"/>
      <c r="F1658" s="316"/>
      <c r="G1658" s="316"/>
      <c r="H1658" s="316"/>
      <c r="I1658" s="316"/>
      <c r="J1658" s="320"/>
    </row>
    <row r="1659">
      <c r="A1659" s="321"/>
      <c r="B1659" s="315"/>
      <c r="C1659" s="315"/>
      <c r="D1659" s="315"/>
      <c r="E1659" s="316"/>
      <c r="F1659" s="316"/>
      <c r="G1659" s="316"/>
      <c r="H1659" s="316"/>
      <c r="I1659" s="316"/>
      <c r="J1659" s="320"/>
    </row>
    <row r="1660">
      <c r="A1660" s="321"/>
      <c r="B1660" s="315"/>
      <c r="C1660" s="315"/>
      <c r="D1660" s="315"/>
      <c r="E1660" s="316"/>
      <c r="F1660" s="316"/>
      <c r="G1660" s="316"/>
      <c r="H1660" s="316"/>
      <c r="I1660" s="316"/>
      <c r="J1660" s="320"/>
    </row>
    <row r="1661">
      <c r="A1661" s="321"/>
      <c r="B1661" s="315"/>
      <c r="C1661" s="315"/>
      <c r="D1661" s="315"/>
      <c r="E1661" s="316"/>
      <c r="F1661" s="316"/>
      <c r="G1661" s="316"/>
      <c r="H1661" s="316"/>
      <c r="I1661" s="316"/>
      <c r="J1661" s="320"/>
    </row>
    <row r="1662">
      <c r="A1662" s="321"/>
      <c r="B1662" s="315"/>
      <c r="C1662" s="315"/>
      <c r="D1662" s="315"/>
      <c r="E1662" s="316"/>
      <c r="F1662" s="316"/>
      <c r="G1662" s="316"/>
      <c r="H1662" s="316"/>
      <c r="I1662" s="316"/>
      <c r="J1662" s="320"/>
    </row>
    <row r="1663">
      <c r="A1663" s="321"/>
      <c r="B1663" s="315"/>
      <c r="C1663" s="315"/>
      <c r="D1663" s="315"/>
      <c r="E1663" s="316"/>
      <c r="F1663" s="316"/>
      <c r="G1663" s="316"/>
      <c r="H1663" s="316"/>
      <c r="I1663" s="316"/>
      <c r="J1663" s="320"/>
    </row>
    <row r="1664">
      <c r="A1664" s="321"/>
      <c r="B1664" s="315"/>
      <c r="C1664" s="315"/>
      <c r="D1664" s="315"/>
      <c r="E1664" s="316"/>
      <c r="F1664" s="316"/>
      <c r="G1664" s="316"/>
      <c r="H1664" s="316"/>
      <c r="I1664" s="316"/>
      <c r="J1664" s="320"/>
    </row>
    <row r="1665">
      <c r="A1665" s="321"/>
      <c r="B1665" s="315"/>
      <c r="C1665" s="315"/>
      <c r="D1665" s="315"/>
      <c r="E1665" s="316"/>
      <c r="F1665" s="316"/>
      <c r="G1665" s="316"/>
      <c r="H1665" s="316"/>
      <c r="I1665" s="316"/>
      <c r="J1665" s="320"/>
    </row>
    <row r="1666">
      <c r="A1666" s="321"/>
      <c r="B1666" s="315"/>
      <c r="C1666" s="315"/>
      <c r="D1666" s="315"/>
      <c r="E1666" s="316"/>
      <c r="F1666" s="316"/>
      <c r="G1666" s="316"/>
      <c r="H1666" s="316"/>
      <c r="I1666" s="316"/>
      <c r="J1666" s="320"/>
    </row>
    <row r="1667">
      <c r="A1667" s="321"/>
      <c r="B1667" s="315"/>
      <c r="C1667" s="315"/>
      <c r="D1667" s="315"/>
      <c r="E1667" s="316"/>
      <c r="F1667" s="316"/>
      <c r="G1667" s="316"/>
      <c r="H1667" s="316"/>
      <c r="I1667" s="316"/>
      <c r="J1667" s="320"/>
    </row>
    <row r="1668">
      <c r="A1668" s="321"/>
      <c r="B1668" s="315"/>
      <c r="C1668" s="315"/>
      <c r="D1668" s="315"/>
      <c r="E1668" s="316"/>
      <c r="F1668" s="316"/>
      <c r="G1668" s="316"/>
      <c r="H1668" s="316"/>
      <c r="I1668" s="316"/>
      <c r="J1668" s="320"/>
    </row>
    <row r="1669">
      <c r="A1669" s="321"/>
      <c r="B1669" s="315"/>
      <c r="C1669" s="315"/>
      <c r="D1669" s="315"/>
      <c r="E1669" s="316"/>
      <c r="F1669" s="316"/>
      <c r="G1669" s="316"/>
      <c r="H1669" s="316"/>
      <c r="I1669" s="316"/>
      <c r="J1669" s="320"/>
    </row>
    <row r="1670">
      <c r="A1670" s="321"/>
      <c r="B1670" s="315"/>
      <c r="C1670" s="315"/>
      <c r="D1670" s="315"/>
      <c r="E1670" s="316"/>
      <c r="F1670" s="316"/>
      <c r="G1670" s="316"/>
      <c r="H1670" s="316"/>
      <c r="I1670" s="316"/>
      <c r="J1670" s="320"/>
    </row>
    <row r="1671">
      <c r="A1671" s="321"/>
      <c r="B1671" s="315"/>
      <c r="C1671" s="315"/>
      <c r="D1671" s="315"/>
      <c r="E1671" s="316"/>
      <c r="F1671" s="316"/>
      <c r="G1671" s="316"/>
      <c r="H1671" s="316"/>
      <c r="I1671" s="316"/>
      <c r="J1671" s="320"/>
    </row>
    <row r="1672">
      <c r="A1672" s="321"/>
      <c r="B1672" s="315"/>
      <c r="C1672" s="315"/>
      <c r="D1672" s="315"/>
      <c r="E1672" s="316"/>
      <c r="F1672" s="316"/>
      <c r="G1672" s="316"/>
      <c r="H1672" s="316"/>
      <c r="I1672" s="316"/>
      <c r="J1672" s="320"/>
    </row>
    <row r="1673">
      <c r="A1673" s="321"/>
      <c r="B1673" s="315"/>
      <c r="C1673" s="315"/>
      <c r="D1673" s="315"/>
      <c r="E1673" s="316"/>
      <c r="F1673" s="316"/>
      <c r="G1673" s="316"/>
      <c r="H1673" s="316"/>
      <c r="I1673" s="316"/>
      <c r="J1673" s="320"/>
    </row>
    <row r="1674">
      <c r="A1674" s="321"/>
      <c r="B1674" s="315"/>
      <c r="C1674" s="315"/>
      <c r="D1674" s="315"/>
      <c r="E1674" s="316"/>
      <c r="F1674" s="316"/>
      <c r="G1674" s="316"/>
      <c r="H1674" s="316"/>
      <c r="I1674" s="316"/>
      <c r="J1674" s="320"/>
    </row>
    <row r="1675">
      <c r="A1675" s="321"/>
      <c r="B1675" s="315"/>
      <c r="C1675" s="315"/>
      <c r="D1675" s="315"/>
      <c r="E1675" s="316"/>
      <c r="F1675" s="316"/>
      <c r="G1675" s="316"/>
      <c r="H1675" s="316"/>
      <c r="I1675" s="316"/>
      <c r="J1675" s="320"/>
    </row>
    <row r="1676">
      <c r="A1676" s="321"/>
      <c r="B1676" s="315"/>
      <c r="C1676" s="315"/>
      <c r="D1676" s="315"/>
      <c r="E1676" s="316"/>
      <c r="F1676" s="316"/>
      <c r="G1676" s="316"/>
      <c r="H1676" s="316"/>
      <c r="I1676" s="316"/>
      <c r="J1676" s="320"/>
    </row>
    <row r="1677">
      <c r="A1677" s="321"/>
      <c r="B1677" s="315"/>
      <c r="C1677" s="315"/>
      <c r="D1677" s="315"/>
      <c r="E1677" s="316"/>
      <c r="F1677" s="316"/>
      <c r="G1677" s="316"/>
      <c r="H1677" s="316"/>
      <c r="I1677" s="316"/>
      <c r="J1677" s="320"/>
    </row>
    <row r="1678">
      <c r="A1678" s="321"/>
      <c r="B1678" s="315"/>
      <c r="C1678" s="315"/>
      <c r="D1678" s="315"/>
      <c r="E1678" s="316"/>
      <c r="F1678" s="316"/>
      <c r="G1678" s="316"/>
      <c r="H1678" s="316"/>
      <c r="I1678" s="316"/>
      <c r="J1678" s="320"/>
    </row>
    <row r="1679">
      <c r="A1679" s="321"/>
      <c r="B1679" s="315"/>
      <c r="C1679" s="315"/>
      <c r="D1679" s="315"/>
      <c r="E1679" s="316"/>
      <c r="F1679" s="316"/>
      <c r="G1679" s="316"/>
      <c r="H1679" s="316"/>
      <c r="I1679" s="316"/>
      <c r="J1679" s="320"/>
    </row>
    <row r="1680">
      <c r="A1680" s="321"/>
      <c r="B1680" s="315"/>
      <c r="C1680" s="315"/>
      <c r="D1680" s="315"/>
      <c r="E1680" s="316"/>
      <c r="F1680" s="316"/>
      <c r="G1680" s="316"/>
      <c r="H1680" s="316"/>
      <c r="I1680" s="316"/>
      <c r="J1680" s="320"/>
    </row>
    <row r="1681">
      <c r="A1681" s="321"/>
      <c r="B1681" s="315"/>
      <c r="C1681" s="315"/>
      <c r="D1681" s="315"/>
      <c r="E1681" s="316"/>
      <c r="F1681" s="316"/>
      <c r="G1681" s="316"/>
      <c r="H1681" s="316"/>
      <c r="I1681" s="316"/>
      <c r="J1681" s="320"/>
    </row>
    <row r="1682">
      <c r="A1682" s="321"/>
      <c r="B1682" s="315"/>
      <c r="C1682" s="315"/>
      <c r="D1682" s="315"/>
      <c r="E1682" s="316"/>
      <c r="F1682" s="316"/>
      <c r="G1682" s="316"/>
      <c r="H1682" s="316"/>
      <c r="I1682" s="316"/>
      <c r="J1682" s="320"/>
    </row>
    <row r="1683">
      <c r="A1683" s="321"/>
      <c r="B1683" s="315"/>
      <c r="C1683" s="315"/>
      <c r="D1683" s="315"/>
      <c r="E1683" s="316"/>
      <c r="F1683" s="316"/>
      <c r="G1683" s="316"/>
      <c r="H1683" s="316"/>
      <c r="I1683" s="316"/>
      <c r="J1683" s="320"/>
    </row>
    <row r="1684">
      <c r="A1684" s="321"/>
      <c r="B1684" s="315"/>
      <c r="C1684" s="315"/>
      <c r="D1684" s="315"/>
      <c r="E1684" s="316"/>
      <c r="F1684" s="316"/>
      <c r="G1684" s="316"/>
      <c r="H1684" s="316"/>
      <c r="I1684" s="316"/>
      <c r="J1684" s="320"/>
    </row>
    <row r="1685">
      <c r="A1685" s="321"/>
      <c r="B1685" s="315"/>
      <c r="C1685" s="315"/>
      <c r="D1685" s="315"/>
      <c r="E1685" s="316"/>
      <c r="F1685" s="316"/>
      <c r="G1685" s="316"/>
      <c r="H1685" s="316"/>
      <c r="I1685" s="316"/>
      <c r="J1685" s="320"/>
    </row>
    <row r="1686">
      <c r="A1686" s="321"/>
      <c r="B1686" s="315"/>
      <c r="C1686" s="315"/>
      <c r="D1686" s="315"/>
      <c r="E1686" s="316"/>
      <c r="F1686" s="316"/>
      <c r="G1686" s="316"/>
      <c r="H1686" s="316"/>
      <c r="I1686" s="316"/>
      <c r="J1686" s="320"/>
    </row>
    <row r="1687">
      <c r="A1687" s="321"/>
      <c r="B1687" s="315"/>
      <c r="C1687" s="315"/>
      <c r="D1687" s="315"/>
      <c r="E1687" s="316"/>
      <c r="F1687" s="316"/>
      <c r="G1687" s="316"/>
      <c r="H1687" s="316"/>
      <c r="I1687" s="316"/>
      <c r="J1687" s="320"/>
    </row>
    <row r="1688">
      <c r="A1688" s="321"/>
      <c r="B1688" s="315"/>
      <c r="C1688" s="315"/>
      <c r="D1688" s="315"/>
      <c r="E1688" s="316"/>
      <c r="F1688" s="316"/>
      <c r="G1688" s="316"/>
      <c r="H1688" s="316"/>
      <c r="I1688" s="316"/>
      <c r="J1688" s="320"/>
    </row>
    <row r="1689">
      <c r="A1689" s="321"/>
      <c r="B1689" s="315"/>
      <c r="C1689" s="315"/>
      <c r="D1689" s="315"/>
      <c r="E1689" s="316"/>
      <c r="F1689" s="316"/>
      <c r="G1689" s="316"/>
      <c r="H1689" s="316"/>
      <c r="I1689" s="316"/>
      <c r="J1689" s="320"/>
    </row>
    <row r="1690">
      <c r="A1690" s="321"/>
      <c r="B1690" s="315"/>
      <c r="C1690" s="315"/>
      <c r="D1690" s="315"/>
      <c r="E1690" s="316"/>
      <c r="F1690" s="316"/>
      <c r="G1690" s="316"/>
      <c r="H1690" s="316"/>
      <c r="I1690" s="316"/>
      <c r="J1690" s="320"/>
    </row>
    <row r="1691">
      <c r="A1691" s="321"/>
      <c r="B1691" s="315"/>
      <c r="C1691" s="315"/>
      <c r="D1691" s="315"/>
      <c r="E1691" s="316"/>
      <c r="F1691" s="316"/>
      <c r="G1691" s="316"/>
      <c r="H1691" s="316"/>
      <c r="I1691" s="316"/>
      <c r="J1691" s="320"/>
    </row>
    <row r="1692">
      <c r="A1692" s="321"/>
      <c r="B1692" s="315"/>
      <c r="C1692" s="315"/>
      <c r="D1692" s="315"/>
      <c r="E1692" s="316"/>
      <c r="F1692" s="316"/>
      <c r="G1692" s="316"/>
      <c r="H1692" s="316"/>
      <c r="I1692" s="316"/>
      <c r="J1692" s="320"/>
    </row>
    <row r="1693">
      <c r="A1693" s="321"/>
      <c r="B1693" s="315"/>
      <c r="C1693" s="315"/>
      <c r="D1693" s="315"/>
      <c r="E1693" s="316"/>
      <c r="F1693" s="316"/>
      <c r="G1693" s="316"/>
      <c r="H1693" s="316"/>
      <c r="I1693" s="316"/>
      <c r="J1693" s="320"/>
    </row>
    <row r="1694">
      <c r="A1694" s="321"/>
      <c r="B1694" s="315"/>
      <c r="C1694" s="315"/>
      <c r="D1694" s="315"/>
      <c r="E1694" s="316"/>
      <c r="F1694" s="316"/>
      <c r="G1694" s="316"/>
      <c r="H1694" s="316"/>
      <c r="I1694" s="316"/>
      <c r="J1694" s="320"/>
    </row>
    <row r="1695">
      <c r="A1695" s="321"/>
      <c r="B1695" s="315"/>
      <c r="C1695" s="315"/>
      <c r="D1695" s="315"/>
      <c r="E1695" s="316"/>
      <c r="F1695" s="316"/>
      <c r="G1695" s="316"/>
      <c r="H1695" s="316"/>
      <c r="I1695" s="316"/>
      <c r="J1695" s="320"/>
    </row>
    <row r="1696">
      <c r="A1696" s="321"/>
      <c r="B1696" s="315"/>
      <c r="C1696" s="315"/>
      <c r="D1696" s="315"/>
      <c r="E1696" s="316"/>
      <c r="F1696" s="316"/>
      <c r="G1696" s="316"/>
      <c r="H1696" s="316"/>
      <c r="I1696" s="316"/>
      <c r="J1696" s="320"/>
    </row>
    <row r="1697">
      <c r="A1697" s="321"/>
      <c r="B1697" s="315"/>
      <c r="C1697" s="315"/>
      <c r="D1697" s="315"/>
      <c r="E1697" s="316"/>
      <c r="F1697" s="316"/>
      <c r="G1697" s="316"/>
      <c r="H1697" s="316"/>
      <c r="I1697" s="316"/>
      <c r="J1697" s="320"/>
    </row>
    <row r="1698">
      <c r="A1698" s="321"/>
      <c r="B1698" s="315"/>
      <c r="C1698" s="315"/>
      <c r="D1698" s="315"/>
      <c r="E1698" s="316"/>
      <c r="F1698" s="316"/>
      <c r="G1698" s="316"/>
      <c r="H1698" s="316"/>
      <c r="I1698" s="316"/>
      <c r="J1698" s="320"/>
    </row>
    <row r="1699">
      <c r="A1699" s="321"/>
      <c r="B1699" s="315"/>
      <c r="C1699" s="315"/>
      <c r="D1699" s="315"/>
      <c r="E1699" s="316"/>
      <c r="F1699" s="316"/>
      <c r="G1699" s="316"/>
      <c r="H1699" s="316"/>
      <c r="I1699" s="316"/>
      <c r="J1699" s="320"/>
    </row>
    <row r="1700">
      <c r="A1700" s="321"/>
      <c r="B1700" s="315"/>
      <c r="C1700" s="315"/>
      <c r="D1700" s="315"/>
      <c r="E1700" s="316"/>
      <c r="F1700" s="316"/>
      <c r="G1700" s="316"/>
      <c r="H1700" s="316"/>
      <c r="I1700" s="316"/>
      <c r="J1700" s="320"/>
    </row>
    <row r="1701">
      <c r="A1701" s="321"/>
      <c r="B1701" s="315"/>
      <c r="C1701" s="315"/>
      <c r="D1701" s="315"/>
      <c r="E1701" s="316"/>
      <c r="F1701" s="316"/>
      <c r="G1701" s="316"/>
      <c r="H1701" s="316"/>
      <c r="I1701" s="316"/>
      <c r="J1701" s="320"/>
    </row>
    <row r="1702">
      <c r="A1702" s="321"/>
      <c r="B1702" s="315"/>
      <c r="C1702" s="315"/>
      <c r="D1702" s="315"/>
      <c r="E1702" s="316"/>
      <c r="F1702" s="316"/>
      <c r="G1702" s="316"/>
      <c r="H1702" s="316"/>
      <c r="I1702" s="316"/>
      <c r="J1702" s="320"/>
    </row>
    <row r="1703">
      <c r="A1703" s="321"/>
      <c r="B1703" s="315"/>
      <c r="C1703" s="315"/>
      <c r="D1703" s="315"/>
      <c r="E1703" s="316"/>
      <c r="F1703" s="316"/>
      <c r="G1703" s="316"/>
      <c r="H1703" s="316"/>
      <c r="I1703" s="316"/>
      <c r="J1703" s="320"/>
    </row>
    <row r="1704">
      <c r="A1704" s="321"/>
      <c r="B1704" s="315"/>
      <c r="C1704" s="315"/>
      <c r="D1704" s="315"/>
      <c r="E1704" s="316"/>
      <c r="F1704" s="316"/>
      <c r="G1704" s="316"/>
      <c r="H1704" s="316"/>
      <c r="I1704" s="316"/>
      <c r="J1704" s="320"/>
    </row>
    <row r="1705">
      <c r="A1705" s="321"/>
      <c r="B1705" s="315"/>
      <c r="C1705" s="315"/>
      <c r="D1705" s="315"/>
      <c r="E1705" s="316"/>
      <c r="F1705" s="316"/>
      <c r="G1705" s="316"/>
      <c r="H1705" s="316"/>
      <c r="I1705" s="316"/>
      <c r="J1705" s="320"/>
    </row>
    <row r="1706">
      <c r="A1706" s="321"/>
      <c r="B1706" s="315"/>
      <c r="C1706" s="315"/>
      <c r="D1706" s="315"/>
      <c r="E1706" s="316"/>
      <c r="F1706" s="316"/>
      <c r="G1706" s="316"/>
      <c r="H1706" s="316"/>
      <c r="I1706" s="316"/>
      <c r="J1706" s="320"/>
    </row>
    <row r="1707">
      <c r="A1707" s="321"/>
      <c r="B1707" s="315"/>
      <c r="C1707" s="315"/>
      <c r="D1707" s="315"/>
      <c r="E1707" s="316"/>
      <c r="F1707" s="316"/>
      <c r="G1707" s="316"/>
      <c r="H1707" s="316"/>
      <c r="I1707" s="316"/>
      <c r="J1707" s="320"/>
    </row>
    <row r="1708">
      <c r="A1708" s="321"/>
      <c r="B1708" s="315"/>
      <c r="C1708" s="315"/>
      <c r="D1708" s="315"/>
      <c r="E1708" s="316"/>
      <c r="F1708" s="316"/>
      <c r="G1708" s="316"/>
      <c r="H1708" s="316"/>
      <c r="I1708" s="316"/>
      <c r="J1708" s="320"/>
    </row>
    <row r="1709">
      <c r="A1709" s="321"/>
      <c r="B1709" s="315"/>
      <c r="C1709" s="315"/>
      <c r="D1709" s="315"/>
      <c r="E1709" s="316"/>
      <c r="F1709" s="316"/>
      <c r="G1709" s="316"/>
      <c r="H1709" s="316"/>
      <c r="I1709" s="316"/>
      <c r="J1709" s="320"/>
    </row>
    <row r="1710">
      <c r="A1710" s="321"/>
      <c r="B1710" s="315"/>
      <c r="C1710" s="315"/>
      <c r="D1710" s="315"/>
      <c r="E1710" s="316"/>
      <c r="F1710" s="316"/>
      <c r="G1710" s="316"/>
      <c r="H1710" s="316"/>
      <c r="I1710" s="316"/>
      <c r="J1710" s="320"/>
    </row>
    <row r="1711">
      <c r="A1711" s="321"/>
      <c r="B1711" s="315"/>
      <c r="C1711" s="315"/>
      <c r="D1711" s="315"/>
      <c r="E1711" s="316"/>
      <c r="F1711" s="316"/>
      <c r="G1711" s="316"/>
      <c r="H1711" s="316"/>
      <c r="I1711" s="316"/>
      <c r="J1711" s="320"/>
    </row>
    <row r="1712">
      <c r="A1712" s="321"/>
      <c r="B1712" s="315"/>
      <c r="C1712" s="315"/>
      <c r="D1712" s="315"/>
      <c r="E1712" s="316"/>
      <c r="F1712" s="316"/>
      <c r="G1712" s="316"/>
      <c r="H1712" s="316"/>
      <c r="I1712" s="316"/>
      <c r="J1712" s="320"/>
    </row>
    <row r="1713">
      <c r="A1713" s="321"/>
      <c r="B1713" s="315"/>
      <c r="C1713" s="315"/>
      <c r="D1713" s="315"/>
      <c r="E1713" s="316"/>
      <c r="F1713" s="316"/>
      <c r="G1713" s="316"/>
      <c r="H1713" s="316"/>
      <c r="I1713" s="316"/>
      <c r="J1713" s="320"/>
    </row>
    <row r="1714">
      <c r="A1714" s="321"/>
      <c r="B1714" s="315"/>
      <c r="C1714" s="315"/>
      <c r="D1714" s="315"/>
      <c r="E1714" s="316"/>
      <c r="F1714" s="316"/>
      <c r="G1714" s="316"/>
      <c r="H1714" s="316"/>
      <c r="I1714" s="316"/>
      <c r="J1714" s="320"/>
    </row>
    <row r="1715">
      <c r="A1715" s="321"/>
      <c r="B1715" s="315"/>
      <c r="C1715" s="315"/>
      <c r="D1715" s="315"/>
      <c r="E1715" s="316"/>
      <c r="F1715" s="316"/>
      <c r="G1715" s="316"/>
      <c r="H1715" s="316"/>
      <c r="I1715" s="316"/>
      <c r="J1715" s="320"/>
    </row>
    <row r="1716">
      <c r="A1716" s="321"/>
      <c r="B1716" s="315"/>
      <c r="C1716" s="315"/>
      <c r="D1716" s="315"/>
      <c r="E1716" s="316"/>
      <c r="F1716" s="316"/>
      <c r="G1716" s="316"/>
      <c r="H1716" s="316"/>
      <c r="I1716" s="316"/>
      <c r="J1716" s="320"/>
    </row>
    <row r="1717">
      <c r="A1717" s="321"/>
      <c r="B1717" s="315"/>
      <c r="C1717" s="315"/>
      <c r="D1717" s="315"/>
      <c r="E1717" s="316"/>
      <c r="F1717" s="316"/>
      <c r="G1717" s="316"/>
      <c r="H1717" s="316"/>
      <c r="I1717" s="316"/>
      <c r="J1717" s="320"/>
    </row>
    <row r="1718">
      <c r="A1718" s="321"/>
      <c r="B1718" s="315"/>
      <c r="C1718" s="315"/>
      <c r="D1718" s="315"/>
      <c r="E1718" s="316"/>
      <c r="F1718" s="316"/>
      <c r="G1718" s="316"/>
      <c r="H1718" s="316"/>
      <c r="I1718" s="316"/>
      <c r="J1718" s="320"/>
    </row>
    <row r="1719">
      <c r="A1719" s="321"/>
      <c r="B1719" s="315"/>
      <c r="C1719" s="315"/>
      <c r="D1719" s="315"/>
      <c r="E1719" s="316"/>
      <c r="F1719" s="316"/>
      <c r="G1719" s="316"/>
      <c r="H1719" s="316"/>
      <c r="I1719" s="316"/>
      <c r="J1719" s="320"/>
    </row>
    <row r="1720">
      <c r="A1720" s="321"/>
      <c r="B1720" s="315"/>
      <c r="C1720" s="315"/>
      <c r="D1720" s="315"/>
      <c r="E1720" s="316"/>
      <c r="F1720" s="316"/>
      <c r="G1720" s="316"/>
      <c r="H1720" s="316"/>
      <c r="I1720" s="316"/>
      <c r="J1720" s="320"/>
    </row>
    <row r="1721">
      <c r="A1721" s="321"/>
      <c r="B1721" s="315"/>
      <c r="C1721" s="315"/>
      <c r="D1721" s="315"/>
      <c r="E1721" s="316"/>
      <c r="F1721" s="316"/>
      <c r="G1721" s="316"/>
      <c r="H1721" s="316"/>
      <c r="I1721" s="316"/>
      <c r="J1721" s="320"/>
    </row>
    <row r="1722">
      <c r="A1722" s="321"/>
      <c r="B1722" s="315"/>
      <c r="C1722" s="315"/>
      <c r="D1722" s="315"/>
      <c r="E1722" s="316"/>
      <c r="F1722" s="316"/>
      <c r="G1722" s="316"/>
      <c r="H1722" s="316"/>
      <c r="I1722" s="316"/>
      <c r="J1722" s="320"/>
    </row>
    <row r="1723">
      <c r="A1723" s="321"/>
      <c r="B1723" s="315"/>
      <c r="C1723" s="315"/>
      <c r="D1723" s="315"/>
      <c r="E1723" s="316"/>
      <c r="F1723" s="316"/>
      <c r="G1723" s="316"/>
      <c r="H1723" s="316"/>
      <c r="I1723" s="316"/>
      <c r="J1723" s="320"/>
    </row>
    <row r="1724">
      <c r="A1724" s="321"/>
      <c r="B1724" s="315"/>
      <c r="C1724" s="315"/>
      <c r="D1724" s="315"/>
      <c r="E1724" s="316"/>
      <c r="F1724" s="316"/>
      <c r="G1724" s="316"/>
      <c r="H1724" s="316"/>
      <c r="I1724" s="316"/>
      <c r="J1724" s="320"/>
    </row>
    <row r="1725">
      <c r="A1725" s="321"/>
      <c r="B1725" s="315"/>
      <c r="C1725" s="315"/>
      <c r="D1725" s="315"/>
      <c r="E1725" s="316"/>
      <c r="F1725" s="316"/>
      <c r="G1725" s="316"/>
      <c r="H1725" s="316"/>
      <c r="I1725" s="316"/>
      <c r="J1725" s="320"/>
    </row>
    <row r="1726">
      <c r="A1726" s="321"/>
      <c r="B1726" s="315"/>
      <c r="C1726" s="315"/>
      <c r="D1726" s="315"/>
      <c r="E1726" s="316"/>
      <c r="F1726" s="316"/>
      <c r="G1726" s="316"/>
      <c r="H1726" s="316"/>
      <c r="I1726" s="316"/>
      <c r="J1726" s="320"/>
    </row>
    <row r="1727">
      <c r="A1727" s="321"/>
      <c r="B1727" s="315"/>
      <c r="C1727" s="315"/>
      <c r="D1727" s="315"/>
      <c r="E1727" s="316"/>
      <c r="F1727" s="316"/>
      <c r="G1727" s="316"/>
      <c r="H1727" s="316"/>
      <c r="I1727" s="316"/>
      <c r="J1727" s="320"/>
    </row>
    <row r="1728">
      <c r="A1728" s="321"/>
      <c r="B1728" s="315"/>
      <c r="C1728" s="315"/>
      <c r="D1728" s="315"/>
      <c r="E1728" s="316"/>
      <c r="F1728" s="316"/>
      <c r="G1728" s="316"/>
      <c r="H1728" s="316"/>
      <c r="I1728" s="316"/>
      <c r="J1728" s="320"/>
    </row>
    <row r="1729">
      <c r="A1729" s="321"/>
      <c r="B1729" s="315"/>
      <c r="C1729" s="315"/>
      <c r="D1729" s="315"/>
      <c r="E1729" s="316"/>
      <c r="F1729" s="316"/>
      <c r="G1729" s="316"/>
      <c r="H1729" s="316"/>
      <c r="I1729" s="316"/>
      <c r="J1729" s="320"/>
    </row>
    <row r="1730">
      <c r="A1730" s="321"/>
      <c r="B1730" s="315"/>
      <c r="C1730" s="315"/>
      <c r="D1730" s="315"/>
      <c r="E1730" s="316"/>
      <c r="F1730" s="316"/>
      <c r="G1730" s="316"/>
      <c r="H1730" s="316"/>
      <c r="I1730" s="316"/>
      <c r="J1730" s="320"/>
    </row>
    <row r="1731">
      <c r="A1731" s="321"/>
      <c r="B1731" s="315"/>
      <c r="C1731" s="315"/>
      <c r="D1731" s="315"/>
      <c r="E1731" s="316"/>
      <c r="F1731" s="316"/>
      <c r="G1731" s="316"/>
      <c r="H1731" s="316"/>
      <c r="I1731" s="316"/>
      <c r="J1731" s="320"/>
    </row>
    <row r="1732">
      <c r="A1732" s="321"/>
      <c r="B1732" s="315"/>
      <c r="C1732" s="315"/>
      <c r="D1732" s="315"/>
      <c r="E1732" s="316"/>
      <c r="F1732" s="316"/>
      <c r="G1732" s="316"/>
      <c r="H1732" s="316"/>
      <c r="I1732" s="316"/>
      <c r="J1732" s="320"/>
    </row>
    <row r="1733">
      <c r="A1733" s="321"/>
      <c r="B1733" s="315"/>
      <c r="C1733" s="315"/>
      <c r="D1733" s="315"/>
      <c r="E1733" s="316"/>
      <c r="F1733" s="316"/>
      <c r="G1733" s="316"/>
      <c r="H1733" s="316"/>
      <c r="I1733" s="316"/>
      <c r="J1733" s="320"/>
    </row>
    <row r="1734">
      <c r="A1734" s="321"/>
      <c r="B1734" s="315"/>
      <c r="C1734" s="315"/>
      <c r="D1734" s="315"/>
      <c r="E1734" s="316"/>
      <c r="F1734" s="316"/>
      <c r="G1734" s="316"/>
      <c r="H1734" s="316"/>
      <c r="I1734" s="316"/>
      <c r="J1734" s="320"/>
    </row>
    <row r="1735">
      <c r="A1735" s="321"/>
      <c r="B1735" s="315"/>
      <c r="C1735" s="315"/>
      <c r="D1735" s="315"/>
      <c r="E1735" s="316"/>
      <c r="F1735" s="316"/>
      <c r="G1735" s="316"/>
      <c r="H1735" s="316"/>
      <c r="I1735" s="316"/>
      <c r="J1735" s="320"/>
    </row>
    <row r="1736">
      <c r="A1736" s="321"/>
      <c r="B1736" s="315"/>
      <c r="C1736" s="315"/>
      <c r="D1736" s="315"/>
      <c r="E1736" s="316"/>
      <c r="F1736" s="316"/>
      <c r="G1736" s="316"/>
      <c r="H1736" s="316"/>
      <c r="I1736" s="316"/>
      <c r="J1736" s="320"/>
    </row>
    <row r="1737">
      <c r="A1737" s="321"/>
      <c r="B1737" s="315"/>
      <c r="C1737" s="315"/>
      <c r="D1737" s="315"/>
      <c r="E1737" s="316"/>
      <c r="F1737" s="316"/>
      <c r="G1737" s="316"/>
      <c r="H1737" s="316"/>
      <c r="I1737" s="316"/>
      <c r="J1737" s="320"/>
    </row>
    <row r="1738">
      <c r="A1738" s="321"/>
      <c r="B1738" s="315"/>
      <c r="C1738" s="315"/>
      <c r="D1738" s="315"/>
      <c r="E1738" s="316"/>
      <c r="F1738" s="316"/>
      <c r="G1738" s="316"/>
      <c r="H1738" s="316"/>
      <c r="I1738" s="316"/>
      <c r="J1738" s="320"/>
    </row>
    <row r="1739">
      <c r="A1739" s="321"/>
      <c r="B1739" s="315"/>
      <c r="C1739" s="315"/>
      <c r="D1739" s="315"/>
      <c r="E1739" s="316"/>
      <c r="F1739" s="316"/>
      <c r="G1739" s="316"/>
      <c r="H1739" s="316"/>
      <c r="I1739" s="316"/>
      <c r="J1739" s="320"/>
    </row>
    <row r="1740">
      <c r="A1740" s="321"/>
      <c r="B1740" s="315"/>
      <c r="C1740" s="315"/>
      <c r="D1740" s="315"/>
      <c r="E1740" s="316"/>
      <c r="F1740" s="316"/>
      <c r="G1740" s="316"/>
      <c r="H1740" s="316"/>
      <c r="I1740" s="316"/>
      <c r="J1740" s="320"/>
    </row>
    <row r="1741">
      <c r="A1741" s="321"/>
      <c r="B1741" s="315"/>
      <c r="C1741" s="315"/>
      <c r="D1741" s="315"/>
      <c r="E1741" s="316"/>
      <c r="F1741" s="316"/>
      <c r="G1741" s="316"/>
      <c r="H1741" s="316"/>
      <c r="I1741" s="316"/>
      <c r="J1741" s="320"/>
    </row>
    <row r="1742">
      <c r="A1742" s="321"/>
      <c r="B1742" s="315"/>
      <c r="C1742" s="315"/>
      <c r="D1742" s="315"/>
      <c r="E1742" s="316"/>
      <c r="F1742" s="316"/>
      <c r="G1742" s="316"/>
      <c r="H1742" s="316"/>
      <c r="I1742" s="316"/>
      <c r="J1742" s="320"/>
    </row>
    <row r="1743">
      <c r="A1743" s="321"/>
      <c r="B1743" s="315"/>
      <c r="C1743" s="315"/>
      <c r="D1743" s="315"/>
      <c r="E1743" s="316"/>
      <c r="F1743" s="316"/>
      <c r="G1743" s="316"/>
      <c r="H1743" s="316"/>
      <c r="I1743" s="316"/>
      <c r="J1743" s="320"/>
    </row>
    <row r="1744">
      <c r="A1744" s="321"/>
      <c r="B1744" s="315"/>
      <c r="C1744" s="315"/>
      <c r="D1744" s="315"/>
      <c r="E1744" s="316"/>
      <c r="F1744" s="316"/>
      <c r="G1744" s="316"/>
      <c r="H1744" s="316"/>
      <c r="I1744" s="316"/>
      <c r="J1744" s="320"/>
    </row>
    <row r="1745">
      <c r="A1745" s="321"/>
      <c r="B1745" s="315"/>
      <c r="C1745" s="315"/>
      <c r="D1745" s="315"/>
      <c r="E1745" s="316"/>
      <c r="F1745" s="316"/>
      <c r="G1745" s="316"/>
      <c r="H1745" s="316"/>
      <c r="I1745" s="316"/>
      <c r="J1745" s="320"/>
    </row>
    <row r="1746">
      <c r="A1746" s="321"/>
      <c r="B1746" s="315"/>
      <c r="C1746" s="315"/>
      <c r="D1746" s="315"/>
      <c r="E1746" s="316"/>
      <c r="F1746" s="316"/>
      <c r="G1746" s="316"/>
      <c r="H1746" s="316"/>
      <c r="I1746" s="316"/>
      <c r="J1746" s="320"/>
    </row>
    <row r="1747">
      <c r="A1747" s="321"/>
      <c r="B1747" s="315"/>
      <c r="C1747" s="315"/>
      <c r="D1747" s="315"/>
      <c r="E1747" s="316"/>
      <c r="F1747" s="316"/>
      <c r="G1747" s="316"/>
      <c r="H1747" s="316"/>
      <c r="I1747" s="316"/>
      <c r="J1747" s="320"/>
    </row>
    <row r="1748">
      <c r="A1748" s="321"/>
      <c r="B1748" s="315"/>
      <c r="C1748" s="315"/>
      <c r="D1748" s="315"/>
      <c r="E1748" s="316"/>
      <c r="F1748" s="316"/>
      <c r="G1748" s="316"/>
      <c r="H1748" s="316"/>
      <c r="I1748" s="316"/>
      <c r="J1748" s="320"/>
    </row>
    <row r="1749">
      <c r="A1749" s="321"/>
      <c r="B1749" s="315"/>
      <c r="C1749" s="315"/>
      <c r="D1749" s="315"/>
      <c r="E1749" s="316"/>
      <c r="F1749" s="316"/>
      <c r="G1749" s="316"/>
      <c r="H1749" s="316"/>
      <c r="I1749" s="316"/>
      <c r="J1749" s="320"/>
    </row>
    <row r="1750">
      <c r="A1750" s="321"/>
      <c r="B1750" s="315"/>
      <c r="C1750" s="315"/>
      <c r="D1750" s="315"/>
      <c r="E1750" s="316"/>
      <c r="F1750" s="316"/>
      <c r="G1750" s="316"/>
      <c r="H1750" s="316"/>
      <c r="I1750" s="316"/>
      <c r="J1750" s="320"/>
    </row>
    <row r="1751">
      <c r="A1751" s="321"/>
      <c r="B1751" s="315"/>
      <c r="C1751" s="315"/>
      <c r="D1751" s="315"/>
      <c r="E1751" s="316"/>
      <c r="F1751" s="316"/>
      <c r="G1751" s="316"/>
      <c r="H1751" s="316"/>
      <c r="I1751" s="316"/>
      <c r="J1751" s="320"/>
    </row>
    <row r="1752">
      <c r="A1752" s="321"/>
      <c r="B1752" s="315"/>
      <c r="C1752" s="315"/>
      <c r="D1752" s="315"/>
      <c r="E1752" s="316"/>
      <c r="F1752" s="316"/>
      <c r="G1752" s="316"/>
      <c r="H1752" s="316"/>
      <c r="I1752" s="316"/>
      <c r="J1752" s="320"/>
    </row>
    <row r="1753">
      <c r="A1753" s="321"/>
      <c r="B1753" s="315"/>
      <c r="C1753" s="315"/>
      <c r="D1753" s="315"/>
      <c r="E1753" s="316"/>
      <c r="F1753" s="316"/>
      <c r="G1753" s="316"/>
      <c r="H1753" s="316"/>
      <c r="I1753" s="316"/>
      <c r="J1753" s="320"/>
    </row>
    <row r="1754">
      <c r="A1754" s="321"/>
      <c r="B1754" s="315"/>
      <c r="C1754" s="315"/>
      <c r="D1754" s="315"/>
      <c r="E1754" s="316"/>
      <c r="F1754" s="316"/>
      <c r="G1754" s="316"/>
      <c r="H1754" s="316"/>
      <c r="I1754" s="316"/>
      <c r="J1754" s="320"/>
    </row>
    <row r="1755">
      <c r="A1755" s="321"/>
      <c r="B1755" s="315"/>
      <c r="C1755" s="315"/>
      <c r="D1755" s="315"/>
      <c r="E1755" s="316"/>
      <c r="F1755" s="316"/>
      <c r="G1755" s="316"/>
      <c r="H1755" s="316"/>
      <c r="I1755" s="316"/>
      <c r="J1755" s="320"/>
    </row>
    <row r="1756">
      <c r="A1756" s="321"/>
      <c r="B1756" s="315"/>
      <c r="C1756" s="315"/>
      <c r="D1756" s="315"/>
      <c r="E1756" s="316"/>
      <c r="F1756" s="316"/>
      <c r="G1756" s="316"/>
      <c r="H1756" s="316"/>
      <c r="I1756" s="316"/>
      <c r="J1756" s="320"/>
    </row>
    <row r="1757">
      <c r="A1757" s="321"/>
      <c r="B1757" s="315"/>
      <c r="C1757" s="315"/>
      <c r="D1757" s="315"/>
      <c r="E1757" s="316"/>
      <c r="F1757" s="316"/>
      <c r="G1757" s="316"/>
      <c r="H1757" s="316"/>
      <c r="I1757" s="316"/>
      <c r="J1757" s="320"/>
    </row>
    <row r="1758">
      <c r="A1758" s="321"/>
      <c r="B1758" s="315"/>
      <c r="C1758" s="315"/>
      <c r="D1758" s="315"/>
      <c r="E1758" s="316"/>
      <c r="F1758" s="316"/>
      <c r="G1758" s="316"/>
      <c r="H1758" s="316"/>
      <c r="I1758" s="316"/>
      <c r="J1758" s="320"/>
    </row>
    <row r="1759">
      <c r="A1759" s="321"/>
      <c r="B1759" s="315"/>
      <c r="C1759" s="315"/>
      <c r="D1759" s="315"/>
      <c r="E1759" s="316"/>
      <c r="F1759" s="316"/>
      <c r="G1759" s="316"/>
      <c r="H1759" s="316"/>
      <c r="I1759" s="316"/>
      <c r="J1759" s="320"/>
    </row>
    <row r="1760">
      <c r="A1760" s="321"/>
      <c r="B1760" s="315"/>
      <c r="C1760" s="315"/>
      <c r="D1760" s="315"/>
      <c r="E1760" s="316"/>
      <c r="F1760" s="316"/>
      <c r="G1760" s="316"/>
      <c r="H1760" s="316"/>
      <c r="I1760" s="316"/>
      <c r="J1760" s="320"/>
    </row>
    <row r="1761">
      <c r="A1761" s="321"/>
      <c r="B1761" s="315"/>
      <c r="C1761" s="315"/>
      <c r="D1761" s="315"/>
      <c r="E1761" s="316"/>
      <c r="F1761" s="316"/>
      <c r="G1761" s="316"/>
      <c r="H1761" s="316"/>
      <c r="I1761" s="316"/>
      <c r="J1761" s="320"/>
    </row>
    <row r="1762">
      <c r="A1762" s="321"/>
      <c r="B1762" s="315"/>
      <c r="C1762" s="315"/>
      <c r="D1762" s="315"/>
      <c r="E1762" s="316"/>
      <c r="F1762" s="316"/>
      <c r="G1762" s="316"/>
      <c r="H1762" s="316"/>
      <c r="I1762" s="316"/>
      <c r="J1762" s="320"/>
    </row>
    <row r="1763">
      <c r="A1763" s="321"/>
      <c r="B1763" s="315"/>
      <c r="C1763" s="315"/>
      <c r="D1763" s="315"/>
      <c r="E1763" s="316"/>
      <c r="F1763" s="316"/>
      <c r="G1763" s="316"/>
      <c r="H1763" s="316"/>
      <c r="I1763" s="316"/>
      <c r="J1763" s="320"/>
    </row>
    <row r="1764">
      <c r="A1764" s="321"/>
      <c r="B1764" s="315"/>
      <c r="C1764" s="315"/>
      <c r="D1764" s="315"/>
      <c r="E1764" s="316"/>
      <c r="F1764" s="316"/>
      <c r="G1764" s="316"/>
      <c r="H1764" s="316"/>
      <c r="I1764" s="316"/>
      <c r="J1764" s="320"/>
    </row>
    <row r="1765">
      <c r="A1765" s="321"/>
      <c r="B1765" s="315"/>
      <c r="C1765" s="315"/>
      <c r="D1765" s="315"/>
      <c r="E1765" s="316"/>
      <c r="F1765" s="316"/>
      <c r="G1765" s="316"/>
      <c r="H1765" s="316"/>
      <c r="I1765" s="316"/>
      <c r="J1765" s="320"/>
    </row>
    <row r="1766">
      <c r="A1766" s="321"/>
      <c r="B1766" s="315"/>
      <c r="C1766" s="315"/>
      <c r="D1766" s="315"/>
      <c r="E1766" s="316"/>
      <c r="F1766" s="316"/>
      <c r="G1766" s="316"/>
      <c r="H1766" s="316"/>
      <c r="I1766" s="316"/>
      <c r="J1766" s="320"/>
    </row>
    <row r="1767">
      <c r="A1767" s="321"/>
      <c r="B1767" s="315"/>
      <c r="C1767" s="315"/>
      <c r="D1767" s="315"/>
      <c r="E1767" s="316"/>
      <c r="F1767" s="316"/>
      <c r="G1767" s="316"/>
      <c r="H1767" s="316"/>
      <c r="I1767" s="316"/>
      <c r="J1767" s="320"/>
    </row>
    <row r="1768">
      <c r="A1768" s="321"/>
      <c r="B1768" s="315"/>
      <c r="C1768" s="315"/>
      <c r="D1768" s="315"/>
      <c r="E1768" s="316"/>
      <c r="F1768" s="316"/>
      <c r="G1768" s="316"/>
      <c r="H1768" s="316"/>
      <c r="I1768" s="316"/>
      <c r="J1768" s="320"/>
    </row>
    <row r="1769">
      <c r="A1769" s="321"/>
      <c r="B1769" s="315"/>
      <c r="C1769" s="315"/>
      <c r="D1769" s="315"/>
      <c r="E1769" s="316"/>
      <c r="F1769" s="316"/>
      <c r="G1769" s="316"/>
      <c r="H1769" s="316"/>
      <c r="I1769" s="316"/>
      <c r="J1769" s="320"/>
    </row>
    <row r="1770">
      <c r="A1770" s="321"/>
      <c r="B1770" s="315"/>
      <c r="C1770" s="315"/>
      <c r="D1770" s="315"/>
      <c r="E1770" s="316"/>
      <c r="F1770" s="316"/>
      <c r="G1770" s="316"/>
      <c r="H1770" s="316"/>
      <c r="I1770" s="316"/>
      <c r="J1770" s="320"/>
    </row>
    <row r="1771">
      <c r="A1771" s="321"/>
      <c r="B1771" s="315"/>
      <c r="C1771" s="315"/>
      <c r="D1771" s="315"/>
      <c r="E1771" s="316"/>
      <c r="F1771" s="316"/>
      <c r="G1771" s="316"/>
      <c r="H1771" s="316"/>
      <c r="I1771" s="316"/>
      <c r="J1771" s="320"/>
    </row>
    <row r="1772">
      <c r="A1772" s="321"/>
      <c r="B1772" s="315"/>
      <c r="C1772" s="315"/>
      <c r="D1772" s="315"/>
      <c r="E1772" s="316"/>
      <c r="F1772" s="316"/>
      <c r="G1772" s="316"/>
      <c r="H1772" s="316"/>
      <c r="I1772" s="316"/>
      <c r="J1772" s="320"/>
    </row>
    <row r="1773">
      <c r="A1773" s="321"/>
      <c r="B1773" s="315"/>
      <c r="C1773" s="315"/>
      <c r="D1773" s="315"/>
      <c r="E1773" s="316"/>
      <c r="F1773" s="316"/>
      <c r="G1773" s="316"/>
      <c r="H1773" s="316"/>
      <c r="I1773" s="316"/>
      <c r="J1773" s="320"/>
    </row>
    <row r="1774">
      <c r="A1774" s="321"/>
      <c r="B1774" s="315"/>
      <c r="C1774" s="315"/>
      <c r="D1774" s="315"/>
      <c r="E1774" s="316"/>
      <c r="F1774" s="316"/>
      <c r="G1774" s="316"/>
      <c r="H1774" s="316"/>
      <c r="I1774" s="316"/>
      <c r="J1774" s="320"/>
    </row>
    <row r="1775">
      <c r="A1775" s="321"/>
      <c r="B1775" s="315"/>
      <c r="C1775" s="315"/>
      <c r="D1775" s="315"/>
      <c r="E1775" s="316"/>
      <c r="F1775" s="316"/>
      <c r="G1775" s="316"/>
      <c r="H1775" s="316"/>
      <c r="I1775" s="316"/>
      <c r="J1775" s="320"/>
    </row>
    <row r="1776">
      <c r="A1776" s="321"/>
      <c r="B1776" s="315"/>
      <c r="C1776" s="315"/>
      <c r="D1776" s="315"/>
      <c r="E1776" s="316"/>
      <c r="F1776" s="316"/>
      <c r="G1776" s="316"/>
      <c r="H1776" s="316"/>
      <c r="I1776" s="316"/>
      <c r="J1776" s="320"/>
    </row>
    <row r="1777">
      <c r="A1777" s="321"/>
      <c r="B1777" s="315"/>
      <c r="C1777" s="315"/>
      <c r="D1777" s="315"/>
      <c r="E1777" s="316"/>
      <c r="F1777" s="316"/>
      <c r="G1777" s="316"/>
      <c r="H1777" s="316"/>
      <c r="I1777" s="316"/>
      <c r="J1777" s="320"/>
    </row>
    <row r="1778">
      <c r="A1778" s="321"/>
      <c r="B1778" s="315"/>
      <c r="C1778" s="315"/>
      <c r="D1778" s="315"/>
      <c r="E1778" s="316"/>
      <c r="F1778" s="316"/>
      <c r="G1778" s="316"/>
      <c r="H1778" s="316"/>
      <c r="I1778" s="316"/>
      <c r="J1778" s="320"/>
    </row>
    <row r="1779">
      <c r="A1779" s="321"/>
      <c r="B1779" s="315"/>
      <c r="C1779" s="315"/>
      <c r="D1779" s="315"/>
      <c r="E1779" s="316"/>
      <c r="F1779" s="316"/>
      <c r="G1779" s="316"/>
      <c r="H1779" s="316"/>
      <c r="I1779" s="316"/>
      <c r="J1779" s="320"/>
    </row>
    <row r="1780">
      <c r="A1780" s="321"/>
      <c r="B1780" s="315"/>
      <c r="C1780" s="315"/>
      <c r="D1780" s="315"/>
      <c r="E1780" s="316"/>
      <c r="F1780" s="316"/>
      <c r="G1780" s="316"/>
      <c r="H1780" s="316"/>
      <c r="I1780" s="316"/>
      <c r="J1780" s="320"/>
    </row>
    <row r="1781">
      <c r="A1781" s="321"/>
      <c r="B1781" s="315"/>
      <c r="C1781" s="315"/>
      <c r="D1781" s="315"/>
      <c r="E1781" s="316"/>
      <c r="F1781" s="316"/>
      <c r="G1781" s="316"/>
      <c r="H1781" s="316"/>
      <c r="I1781" s="316"/>
      <c r="J1781" s="320"/>
    </row>
    <row r="1782">
      <c r="A1782" s="321"/>
      <c r="B1782" s="315"/>
      <c r="C1782" s="315"/>
      <c r="D1782" s="315"/>
      <c r="E1782" s="316"/>
      <c r="F1782" s="316"/>
      <c r="G1782" s="316"/>
      <c r="H1782" s="316"/>
      <c r="I1782" s="316"/>
      <c r="J1782" s="320"/>
    </row>
    <row r="1783">
      <c r="A1783" s="321"/>
      <c r="B1783" s="315"/>
      <c r="C1783" s="315"/>
      <c r="D1783" s="315"/>
      <c r="E1783" s="316"/>
      <c r="F1783" s="316"/>
      <c r="G1783" s="316"/>
      <c r="H1783" s="316"/>
      <c r="I1783" s="316"/>
      <c r="J1783" s="320"/>
    </row>
    <row r="1784">
      <c r="A1784" s="321"/>
      <c r="B1784" s="315"/>
      <c r="C1784" s="315"/>
      <c r="D1784" s="315"/>
      <c r="E1784" s="316"/>
      <c r="F1784" s="316"/>
      <c r="G1784" s="316"/>
      <c r="H1784" s="316"/>
      <c r="I1784" s="316"/>
      <c r="J1784" s="320"/>
    </row>
    <row r="1785">
      <c r="A1785" s="321"/>
      <c r="B1785" s="315"/>
      <c r="C1785" s="315"/>
      <c r="D1785" s="315"/>
      <c r="E1785" s="316"/>
      <c r="F1785" s="316"/>
      <c r="G1785" s="316"/>
      <c r="H1785" s="316"/>
      <c r="I1785" s="316"/>
      <c r="J1785" s="320"/>
    </row>
    <row r="1786">
      <c r="A1786" s="321"/>
      <c r="B1786" s="315"/>
      <c r="C1786" s="315"/>
      <c r="D1786" s="315"/>
      <c r="E1786" s="316"/>
      <c r="F1786" s="316"/>
      <c r="G1786" s="316"/>
      <c r="H1786" s="316"/>
      <c r="I1786" s="316"/>
      <c r="J1786" s="320"/>
    </row>
    <row r="1787">
      <c r="A1787" s="321"/>
      <c r="B1787" s="315"/>
      <c r="C1787" s="315"/>
      <c r="D1787" s="315"/>
      <c r="E1787" s="316"/>
      <c r="F1787" s="316"/>
      <c r="G1787" s="316"/>
      <c r="H1787" s="316"/>
      <c r="I1787" s="316"/>
      <c r="J1787" s="320"/>
    </row>
    <row r="1788">
      <c r="A1788" s="321"/>
      <c r="B1788" s="315"/>
      <c r="C1788" s="315"/>
      <c r="D1788" s="315"/>
      <c r="E1788" s="316"/>
      <c r="F1788" s="316"/>
      <c r="G1788" s="316"/>
      <c r="H1788" s="316"/>
      <c r="I1788" s="316"/>
      <c r="J1788" s="320"/>
    </row>
    <row r="1789">
      <c r="A1789" s="321"/>
      <c r="B1789" s="315"/>
      <c r="C1789" s="315"/>
      <c r="D1789" s="315"/>
      <c r="E1789" s="316"/>
      <c r="F1789" s="316"/>
      <c r="G1789" s="316"/>
      <c r="H1789" s="316"/>
      <c r="I1789" s="316"/>
      <c r="J1789" s="320"/>
    </row>
    <row r="1790">
      <c r="A1790" s="321"/>
      <c r="B1790" s="315"/>
      <c r="C1790" s="315"/>
      <c r="D1790" s="315"/>
      <c r="E1790" s="316"/>
      <c r="F1790" s="316"/>
      <c r="G1790" s="316"/>
      <c r="H1790" s="316"/>
      <c r="I1790" s="316"/>
      <c r="J1790" s="320"/>
    </row>
    <row r="1791">
      <c r="A1791" s="321"/>
      <c r="B1791" s="315"/>
      <c r="C1791" s="315"/>
      <c r="D1791" s="315"/>
      <c r="E1791" s="316"/>
      <c r="F1791" s="316"/>
      <c r="G1791" s="316"/>
      <c r="H1791" s="316"/>
      <c r="I1791" s="316"/>
      <c r="J1791" s="320"/>
    </row>
    <row r="1792">
      <c r="A1792" s="321"/>
      <c r="B1792" s="315"/>
      <c r="C1792" s="315"/>
      <c r="D1792" s="315"/>
      <c r="E1792" s="316"/>
      <c r="F1792" s="316"/>
      <c r="G1792" s="316"/>
      <c r="H1792" s="316"/>
      <c r="I1792" s="316"/>
      <c r="J1792" s="320"/>
    </row>
    <row r="1793">
      <c r="A1793" s="321"/>
      <c r="B1793" s="315"/>
      <c r="C1793" s="315"/>
      <c r="D1793" s="315"/>
      <c r="E1793" s="316"/>
      <c r="F1793" s="316"/>
      <c r="G1793" s="316"/>
      <c r="H1793" s="316"/>
      <c r="I1793" s="316"/>
      <c r="J1793" s="320"/>
    </row>
    <row r="1794">
      <c r="A1794" s="321"/>
      <c r="B1794" s="315"/>
      <c r="C1794" s="315"/>
      <c r="D1794" s="315"/>
      <c r="E1794" s="316"/>
      <c r="F1794" s="316"/>
      <c r="G1794" s="316"/>
      <c r="H1794" s="316"/>
      <c r="I1794" s="316"/>
      <c r="J1794" s="320"/>
    </row>
    <row r="1795">
      <c r="A1795" s="321"/>
      <c r="B1795" s="315"/>
      <c r="C1795" s="315"/>
      <c r="D1795" s="315"/>
      <c r="E1795" s="316"/>
      <c r="F1795" s="316"/>
      <c r="G1795" s="316"/>
      <c r="H1795" s="316"/>
      <c r="I1795" s="316"/>
      <c r="J1795" s="320"/>
    </row>
    <row r="1796">
      <c r="A1796" s="321"/>
      <c r="B1796" s="315"/>
      <c r="C1796" s="315"/>
      <c r="D1796" s="315"/>
      <c r="E1796" s="316"/>
      <c r="F1796" s="316"/>
      <c r="G1796" s="316"/>
      <c r="H1796" s="316"/>
      <c r="I1796" s="316"/>
      <c r="J1796" s="320"/>
    </row>
    <row r="1797">
      <c r="A1797" s="321"/>
      <c r="B1797" s="315"/>
      <c r="C1797" s="315"/>
      <c r="D1797" s="315"/>
      <c r="E1797" s="316"/>
      <c r="F1797" s="316"/>
      <c r="G1797" s="316"/>
      <c r="H1797" s="316"/>
      <c r="I1797" s="316"/>
      <c r="J1797" s="320"/>
    </row>
    <row r="1798">
      <c r="A1798" s="321"/>
      <c r="B1798" s="315"/>
      <c r="C1798" s="315"/>
      <c r="D1798" s="315"/>
      <c r="E1798" s="316"/>
      <c r="F1798" s="316"/>
      <c r="G1798" s="316"/>
      <c r="H1798" s="316"/>
      <c r="I1798" s="316"/>
      <c r="J1798" s="320"/>
    </row>
    <row r="1799">
      <c r="A1799" s="321"/>
      <c r="B1799" s="315"/>
      <c r="C1799" s="315"/>
      <c r="D1799" s="315"/>
      <c r="E1799" s="316"/>
      <c r="F1799" s="316"/>
      <c r="G1799" s="316"/>
      <c r="H1799" s="316"/>
      <c r="I1799" s="316"/>
      <c r="J1799" s="320"/>
    </row>
    <row r="1800">
      <c r="A1800" s="321"/>
      <c r="B1800" s="315"/>
      <c r="C1800" s="315"/>
      <c r="D1800" s="315"/>
      <c r="E1800" s="316"/>
      <c r="F1800" s="316"/>
      <c r="G1800" s="316"/>
      <c r="H1800" s="316"/>
      <c r="I1800" s="316"/>
      <c r="J1800" s="320"/>
    </row>
    <row r="1801">
      <c r="A1801" s="321"/>
      <c r="B1801" s="315"/>
      <c r="C1801" s="315"/>
      <c r="D1801" s="315"/>
      <c r="E1801" s="316"/>
      <c r="F1801" s="316"/>
      <c r="G1801" s="316"/>
      <c r="H1801" s="316"/>
      <c r="I1801" s="316"/>
      <c r="J1801" s="320"/>
    </row>
    <row r="1802">
      <c r="A1802" s="321"/>
      <c r="B1802" s="315"/>
      <c r="C1802" s="315"/>
      <c r="D1802" s="315"/>
      <c r="E1802" s="316"/>
      <c r="F1802" s="316"/>
      <c r="G1802" s="316"/>
      <c r="H1802" s="316"/>
      <c r="I1802" s="316"/>
      <c r="J1802" s="320"/>
    </row>
    <row r="1803">
      <c r="A1803" s="321"/>
      <c r="B1803" s="315"/>
      <c r="C1803" s="315"/>
      <c r="D1803" s="315"/>
      <c r="E1803" s="316"/>
      <c r="F1803" s="316"/>
      <c r="G1803" s="316"/>
      <c r="H1803" s="316"/>
      <c r="I1803" s="316"/>
      <c r="J1803" s="320"/>
    </row>
    <row r="1804">
      <c r="A1804" s="321"/>
      <c r="B1804" s="315"/>
      <c r="C1804" s="315"/>
      <c r="D1804" s="315"/>
      <c r="E1804" s="316"/>
      <c r="F1804" s="316"/>
      <c r="G1804" s="316"/>
      <c r="H1804" s="316"/>
      <c r="I1804" s="316"/>
      <c r="J1804" s="320"/>
    </row>
    <row r="1805">
      <c r="A1805" s="321"/>
      <c r="B1805" s="315"/>
      <c r="C1805" s="315"/>
      <c r="D1805" s="315"/>
      <c r="E1805" s="316"/>
      <c r="F1805" s="316"/>
      <c r="G1805" s="316"/>
      <c r="H1805" s="316"/>
      <c r="I1805" s="316"/>
      <c r="J1805" s="320"/>
    </row>
    <row r="1806">
      <c r="A1806" s="321"/>
      <c r="B1806" s="315"/>
      <c r="C1806" s="315"/>
      <c r="D1806" s="315"/>
      <c r="E1806" s="316"/>
      <c r="F1806" s="316"/>
      <c r="G1806" s="316"/>
      <c r="H1806" s="316"/>
      <c r="I1806" s="316"/>
      <c r="J1806" s="320"/>
    </row>
    <row r="1807">
      <c r="A1807" s="321"/>
      <c r="B1807" s="315"/>
      <c r="C1807" s="315"/>
      <c r="D1807" s="315"/>
      <c r="E1807" s="316"/>
      <c r="F1807" s="316"/>
      <c r="G1807" s="316"/>
      <c r="H1807" s="316"/>
      <c r="I1807" s="316"/>
      <c r="J1807" s="320"/>
    </row>
    <row r="1808">
      <c r="A1808" s="321"/>
      <c r="B1808" s="315"/>
      <c r="C1808" s="315"/>
      <c r="D1808" s="315"/>
      <c r="E1808" s="316"/>
      <c r="F1808" s="316"/>
      <c r="G1808" s="316"/>
      <c r="H1808" s="316"/>
      <c r="I1808" s="316"/>
      <c r="J1808" s="320"/>
    </row>
    <row r="1809">
      <c r="A1809" s="321"/>
      <c r="B1809" s="315"/>
      <c r="C1809" s="315"/>
      <c r="D1809" s="315"/>
      <c r="E1809" s="316"/>
      <c r="F1809" s="316"/>
      <c r="G1809" s="316"/>
      <c r="H1809" s="316"/>
      <c r="I1809" s="316"/>
      <c r="J1809" s="320"/>
    </row>
    <row r="1810">
      <c r="A1810" s="321"/>
      <c r="B1810" s="315"/>
      <c r="C1810" s="315"/>
      <c r="D1810" s="315"/>
      <c r="E1810" s="316"/>
      <c r="F1810" s="316"/>
      <c r="G1810" s="316"/>
      <c r="H1810" s="316"/>
      <c r="I1810" s="316"/>
      <c r="J1810" s="320"/>
    </row>
    <row r="1811">
      <c r="A1811" s="321"/>
      <c r="B1811" s="315"/>
      <c r="C1811" s="315"/>
      <c r="D1811" s="315"/>
      <c r="E1811" s="316"/>
      <c r="F1811" s="316"/>
      <c r="G1811" s="316"/>
      <c r="H1811" s="316"/>
      <c r="I1811" s="316"/>
      <c r="J1811" s="320"/>
    </row>
    <row r="1812">
      <c r="A1812" s="321"/>
      <c r="B1812" s="315"/>
      <c r="C1812" s="315"/>
      <c r="D1812" s="315"/>
      <c r="E1812" s="316"/>
      <c r="F1812" s="316"/>
      <c r="G1812" s="316"/>
      <c r="H1812" s="316"/>
      <c r="I1812" s="316"/>
      <c r="J1812" s="320"/>
    </row>
    <row r="1813">
      <c r="A1813" s="321"/>
      <c r="B1813" s="315"/>
      <c r="C1813" s="315"/>
      <c r="D1813" s="315"/>
      <c r="E1813" s="316"/>
      <c r="F1813" s="316"/>
      <c r="G1813" s="316"/>
      <c r="H1813" s="316"/>
      <c r="I1813" s="316"/>
      <c r="J1813" s="320"/>
    </row>
    <row r="1814">
      <c r="A1814" s="321"/>
      <c r="B1814" s="315"/>
      <c r="C1814" s="315"/>
      <c r="D1814" s="315"/>
      <c r="E1814" s="316"/>
      <c r="F1814" s="316"/>
      <c r="G1814" s="316"/>
      <c r="H1814" s="316"/>
      <c r="I1814" s="316"/>
      <c r="J1814" s="320"/>
    </row>
    <row r="1815">
      <c r="A1815" s="321"/>
      <c r="B1815" s="315"/>
      <c r="C1815" s="315"/>
      <c r="D1815" s="315"/>
      <c r="E1815" s="316"/>
      <c r="F1815" s="316"/>
      <c r="G1815" s="316"/>
      <c r="H1815" s="316"/>
      <c r="I1815" s="316"/>
      <c r="J1815" s="320"/>
    </row>
    <row r="1816">
      <c r="A1816" s="321"/>
      <c r="B1816" s="315"/>
      <c r="C1816" s="315"/>
      <c r="D1816" s="315"/>
      <c r="E1816" s="316"/>
      <c r="F1816" s="316"/>
      <c r="G1816" s="316"/>
      <c r="H1816" s="316"/>
      <c r="I1816" s="316"/>
      <c r="J1816" s="320"/>
    </row>
    <row r="1817">
      <c r="A1817" s="321"/>
      <c r="B1817" s="315"/>
      <c r="C1817" s="315"/>
      <c r="D1817" s="315"/>
      <c r="E1817" s="316"/>
      <c r="F1817" s="316"/>
      <c r="G1817" s="316"/>
      <c r="H1817" s="316"/>
      <c r="I1817" s="316"/>
      <c r="J1817" s="320"/>
    </row>
    <row r="1818">
      <c r="A1818" s="321"/>
      <c r="B1818" s="315"/>
      <c r="C1818" s="315"/>
      <c r="D1818" s="315"/>
      <c r="E1818" s="316"/>
      <c r="F1818" s="316"/>
      <c r="G1818" s="316"/>
      <c r="H1818" s="316"/>
      <c r="I1818" s="316"/>
      <c r="J1818" s="320"/>
    </row>
    <row r="1819">
      <c r="A1819" s="321"/>
      <c r="B1819" s="315"/>
      <c r="C1819" s="315"/>
      <c r="D1819" s="315"/>
      <c r="E1819" s="316"/>
      <c r="F1819" s="316"/>
      <c r="G1819" s="316"/>
      <c r="H1819" s="316"/>
      <c r="I1819" s="316"/>
      <c r="J1819" s="320"/>
    </row>
    <row r="1820">
      <c r="A1820" s="321"/>
      <c r="B1820" s="315"/>
      <c r="C1820" s="315"/>
      <c r="D1820" s="315"/>
      <c r="E1820" s="316"/>
      <c r="F1820" s="316"/>
      <c r="G1820" s="316"/>
      <c r="H1820" s="316"/>
      <c r="I1820" s="316"/>
      <c r="J1820" s="320"/>
    </row>
    <row r="1821">
      <c r="A1821" s="321"/>
      <c r="B1821" s="315"/>
      <c r="C1821" s="315"/>
      <c r="D1821" s="315"/>
      <c r="E1821" s="316"/>
      <c r="F1821" s="316"/>
      <c r="G1821" s="316"/>
      <c r="H1821" s="316"/>
      <c r="I1821" s="316"/>
      <c r="J1821" s="320"/>
    </row>
    <row r="1822">
      <c r="A1822" s="321"/>
      <c r="B1822" s="315"/>
      <c r="C1822" s="315"/>
      <c r="D1822" s="315"/>
      <c r="E1822" s="316"/>
      <c r="F1822" s="316"/>
      <c r="G1822" s="316"/>
      <c r="H1822" s="316"/>
      <c r="I1822" s="316"/>
      <c r="J1822" s="320"/>
    </row>
    <row r="1823">
      <c r="A1823" s="321"/>
      <c r="B1823" s="315"/>
      <c r="C1823" s="315"/>
      <c r="D1823" s="315"/>
      <c r="E1823" s="316"/>
      <c r="F1823" s="316"/>
      <c r="G1823" s="316"/>
      <c r="H1823" s="316"/>
      <c r="I1823" s="316"/>
      <c r="J1823" s="320"/>
    </row>
    <row r="1824">
      <c r="A1824" s="321"/>
      <c r="B1824" s="315"/>
      <c r="C1824" s="315"/>
      <c r="D1824" s="315"/>
      <c r="E1824" s="316"/>
      <c r="F1824" s="316"/>
      <c r="G1824" s="316"/>
      <c r="H1824" s="316"/>
      <c r="I1824" s="316"/>
      <c r="J1824" s="320"/>
    </row>
    <row r="1825">
      <c r="A1825" s="321"/>
      <c r="B1825" s="315"/>
      <c r="C1825" s="315"/>
      <c r="D1825" s="315"/>
      <c r="E1825" s="316"/>
      <c r="F1825" s="316"/>
      <c r="G1825" s="316"/>
      <c r="H1825" s="316"/>
      <c r="I1825" s="316"/>
      <c r="J1825" s="320"/>
    </row>
    <row r="1826">
      <c r="A1826" s="321"/>
      <c r="B1826" s="315"/>
      <c r="C1826" s="315"/>
      <c r="D1826" s="315"/>
      <c r="E1826" s="316"/>
      <c r="F1826" s="316"/>
      <c r="G1826" s="316"/>
      <c r="H1826" s="316"/>
      <c r="I1826" s="316"/>
      <c r="J1826" s="320"/>
    </row>
    <row r="1827">
      <c r="A1827" s="321"/>
      <c r="B1827" s="315"/>
      <c r="C1827" s="315"/>
      <c r="D1827" s="315"/>
      <c r="E1827" s="316"/>
      <c r="F1827" s="316"/>
      <c r="G1827" s="316"/>
      <c r="H1827" s="316"/>
      <c r="I1827" s="316"/>
      <c r="J1827" s="320"/>
    </row>
    <row r="1828">
      <c r="A1828" s="321"/>
      <c r="B1828" s="315"/>
      <c r="C1828" s="315"/>
      <c r="D1828" s="315"/>
      <c r="E1828" s="316"/>
      <c r="F1828" s="316"/>
      <c r="G1828" s="316"/>
      <c r="H1828" s="316"/>
      <c r="I1828" s="316"/>
      <c r="J1828" s="320"/>
    </row>
    <row r="1829">
      <c r="A1829" s="321"/>
      <c r="B1829" s="315"/>
      <c r="C1829" s="315"/>
      <c r="D1829" s="315"/>
      <c r="E1829" s="316"/>
      <c r="F1829" s="316"/>
      <c r="G1829" s="316"/>
      <c r="H1829" s="316"/>
      <c r="I1829" s="316"/>
      <c r="J1829" s="320"/>
    </row>
    <row r="1830">
      <c r="A1830" s="321"/>
      <c r="B1830" s="315"/>
      <c r="C1830" s="315"/>
      <c r="D1830" s="315"/>
      <c r="E1830" s="316"/>
      <c r="F1830" s="316"/>
      <c r="G1830" s="316"/>
      <c r="H1830" s="316"/>
      <c r="I1830" s="316"/>
      <c r="J1830" s="320"/>
    </row>
    <row r="1831">
      <c r="A1831" s="321"/>
      <c r="B1831" s="315"/>
      <c r="C1831" s="315"/>
      <c r="D1831" s="315"/>
      <c r="E1831" s="316"/>
      <c r="F1831" s="316"/>
      <c r="G1831" s="316"/>
      <c r="H1831" s="316"/>
      <c r="I1831" s="316"/>
      <c r="J1831" s="320"/>
    </row>
    <row r="1832">
      <c r="A1832" s="321"/>
      <c r="B1832" s="315"/>
      <c r="C1832" s="315"/>
      <c r="D1832" s="315"/>
      <c r="E1832" s="316"/>
      <c r="F1832" s="316"/>
      <c r="G1832" s="316"/>
      <c r="H1832" s="316"/>
      <c r="I1832" s="316"/>
      <c r="J1832" s="320"/>
    </row>
    <row r="1833">
      <c r="A1833" s="321"/>
      <c r="B1833" s="315"/>
      <c r="C1833" s="315"/>
      <c r="D1833" s="315"/>
      <c r="E1833" s="316"/>
      <c r="F1833" s="316"/>
      <c r="G1833" s="316"/>
      <c r="H1833" s="316"/>
      <c r="I1833" s="316"/>
      <c r="J1833" s="320"/>
    </row>
    <row r="1834">
      <c r="A1834" s="321"/>
      <c r="B1834" s="315"/>
      <c r="C1834" s="315"/>
      <c r="D1834" s="315"/>
      <c r="E1834" s="316"/>
      <c r="F1834" s="316"/>
      <c r="G1834" s="316"/>
      <c r="H1834" s="316"/>
      <c r="I1834" s="316"/>
      <c r="J1834" s="320"/>
    </row>
    <row r="1835">
      <c r="A1835" s="321"/>
      <c r="B1835" s="315"/>
      <c r="C1835" s="315"/>
      <c r="D1835" s="315"/>
      <c r="E1835" s="316"/>
      <c r="F1835" s="316"/>
      <c r="G1835" s="316"/>
      <c r="H1835" s="316"/>
      <c r="I1835" s="316"/>
      <c r="J1835" s="320"/>
    </row>
    <row r="1836">
      <c r="A1836" s="321"/>
      <c r="B1836" s="315"/>
      <c r="C1836" s="315"/>
      <c r="D1836" s="315"/>
      <c r="E1836" s="316"/>
      <c r="F1836" s="316"/>
      <c r="G1836" s="316"/>
      <c r="H1836" s="316"/>
      <c r="I1836" s="316"/>
      <c r="J1836" s="320"/>
    </row>
    <row r="1837">
      <c r="A1837" s="321"/>
      <c r="B1837" s="315"/>
      <c r="C1837" s="315"/>
      <c r="D1837" s="315"/>
      <c r="E1837" s="316"/>
      <c r="F1837" s="316"/>
      <c r="G1837" s="316"/>
      <c r="H1837" s="316"/>
      <c r="I1837" s="316"/>
      <c r="J1837" s="320"/>
    </row>
    <row r="1838">
      <c r="A1838" s="321"/>
      <c r="B1838" s="315"/>
      <c r="C1838" s="315"/>
      <c r="D1838" s="315"/>
      <c r="E1838" s="316"/>
      <c r="F1838" s="316"/>
      <c r="G1838" s="316"/>
      <c r="H1838" s="316"/>
      <c r="I1838" s="316"/>
      <c r="J1838" s="320"/>
    </row>
    <row r="1839">
      <c r="A1839" s="321"/>
      <c r="B1839" s="315"/>
      <c r="C1839" s="315"/>
      <c r="D1839" s="315"/>
      <c r="E1839" s="316"/>
      <c r="F1839" s="316"/>
      <c r="G1839" s="316"/>
      <c r="H1839" s="316"/>
      <c r="I1839" s="316"/>
      <c r="J1839" s="320"/>
    </row>
    <row r="1840">
      <c r="A1840" s="321"/>
      <c r="B1840" s="315"/>
      <c r="C1840" s="315"/>
      <c r="D1840" s="315"/>
      <c r="E1840" s="316"/>
      <c r="F1840" s="316"/>
      <c r="G1840" s="316"/>
      <c r="H1840" s="316"/>
      <c r="I1840" s="316"/>
      <c r="J1840" s="320"/>
    </row>
    <row r="1841">
      <c r="A1841" s="321"/>
      <c r="B1841" s="315"/>
      <c r="C1841" s="315"/>
      <c r="D1841" s="315"/>
      <c r="E1841" s="316"/>
      <c r="F1841" s="316"/>
      <c r="G1841" s="316"/>
      <c r="H1841" s="316"/>
      <c r="I1841" s="316"/>
      <c r="J1841" s="320"/>
    </row>
    <row r="1842">
      <c r="A1842" s="321"/>
      <c r="B1842" s="315"/>
      <c r="C1842" s="315"/>
      <c r="D1842" s="315"/>
      <c r="E1842" s="316"/>
      <c r="F1842" s="316"/>
      <c r="G1842" s="316"/>
      <c r="H1842" s="316"/>
      <c r="I1842" s="316"/>
      <c r="J1842" s="320"/>
    </row>
    <row r="1843">
      <c r="A1843" s="321"/>
      <c r="B1843" s="315"/>
      <c r="C1843" s="315"/>
      <c r="D1843" s="315"/>
      <c r="E1843" s="316"/>
      <c r="F1843" s="316"/>
      <c r="G1843" s="316"/>
      <c r="H1843" s="316"/>
      <c r="I1843" s="316"/>
      <c r="J1843" s="320"/>
    </row>
    <row r="1844">
      <c r="A1844" s="321"/>
      <c r="B1844" s="315"/>
      <c r="C1844" s="315"/>
      <c r="D1844" s="315"/>
      <c r="E1844" s="316"/>
      <c r="F1844" s="316"/>
      <c r="G1844" s="316"/>
      <c r="H1844" s="316"/>
      <c r="I1844" s="316"/>
      <c r="J1844" s="320"/>
    </row>
    <row r="1845">
      <c r="A1845" s="321"/>
      <c r="B1845" s="315"/>
      <c r="C1845" s="315"/>
      <c r="D1845" s="315"/>
      <c r="E1845" s="316"/>
      <c r="F1845" s="316"/>
      <c r="G1845" s="316"/>
      <c r="H1845" s="316"/>
      <c r="I1845" s="316"/>
      <c r="J1845" s="320"/>
    </row>
    <row r="1846">
      <c r="A1846" s="321"/>
      <c r="B1846" s="315"/>
      <c r="C1846" s="315"/>
      <c r="D1846" s="315"/>
      <c r="E1846" s="316"/>
      <c r="F1846" s="316"/>
      <c r="G1846" s="316"/>
      <c r="H1846" s="316"/>
      <c r="I1846" s="316"/>
      <c r="J1846" s="320"/>
    </row>
    <row r="1847">
      <c r="A1847" s="321"/>
      <c r="B1847" s="315"/>
      <c r="C1847" s="315"/>
      <c r="D1847" s="315"/>
      <c r="E1847" s="316"/>
      <c r="F1847" s="316"/>
      <c r="G1847" s="316"/>
      <c r="H1847" s="316"/>
      <c r="I1847" s="316"/>
      <c r="J1847" s="320"/>
    </row>
    <row r="1848">
      <c r="A1848" s="321"/>
      <c r="B1848" s="315"/>
      <c r="C1848" s="315"/>
      <c r="D1848" s="315"/>
      <c r="E1848" s="316"/>
      <c r="F1848" s="316"/>
      <c r="G1848" s="316"/>
      <c r="H1848" s="316"/>
      <c r="I1848" s="316"/>
      <c r="J1848" s="320"/>
    </row>
    <row r="1849">
      <c r="A1849" s="321"/>
      <c r="B1849" s="315"/>
      <c r="C1849" s="315"/>
      <c r="D1849" s="315"/>
      <c r="E1849" s="316"/>
      <c r="F1849" s="316"/>
      <c r="G1849" s="316"/>
      <c r="H1849" s="316"/>
      <c r="I1849" s="316"/>
      <c r="J1849" s="320"/>
    </row>
    <row r="1850">
      <c r="A1850" s="321"/>
      <c r="B1850" s="315"/>
      <c r="C1850" s="315"/>
      <c r="D1850" s="315"/>
      <c r="E1850" s="316"/>
      <c r="F1850" s="316"/>
      <c r="G1850" s="316"/>
      <c r="H1850" s="316"/>
      <c r="I1850" s="316"/>
      <c r="J1850" s="320"/>
    </row>
    <row r="1851">
      <c r="A1851" s="321"/>
      <c r="B1851" s="315"/>
      <c r="C1851" s="315"/>
      <c r="D1851" s="315"/>
      <c r="E1851" s="316"/>
      <c r="F1851" s="316"/>
      <c r="G1851" s="316"/>
      <c r="H1851" s="316"/>
      <c r="I1851" s="316"/>
      <c r="J1851" s="320"/>
    </row>
    <row r="1852">
      <c r="A1852" s="321"/>
      <c r="B1852" s="315"/>
      <c r="C1852" s="315"/>
      <c r="D1852" s="315"/>
      <c r="E1852" s="316"/>
      <c r="F1852" s="316"/>
      <c r="G1852" s="316"/>
      <c r="H1852" s="316"/>
      <c r="I1852" s="316"/>
      <c r="J1852" s="320"/>
    </row>
    <row r="1853">
      <c r="A1853" s="321"/>
      <c r="B1853" s="315"/>
      <c r="C1853" s="315"/>
      <c r="D1853" s="315"/>
      <c r="E1853" s="316"/>
      <c r="F1853" s="316"/>
      <c r="G1853" s="316"/>
      <c r="H1853" s="316"/>
      <c r="I1853" s="316"/>
      <c r="J1853" s="320"/>
    </row>
    <row r="1854">
      <c r="A1854" s="321"/>
      <c r="B1854" s="315"/>
      <c r="C1854" s="315"/>
      <c r="D1854" s="315"/>
      <c r="E1854" s="316"/>
      <c r="F1854" s="316"/>
      <c r="G1854" s="316"/>
      <c r="H1854" s="316"/>
      <c r="I1854" s="316"/>
      <c r="J1854" s="320"/>
    </row>
    <row r="1855">
      <c r="A1855" s="321"/>
      <c r="B1855" s="315"/>
      <c r="C1855" s="315"/>
      <c r="D1855" s="315"/>
      <c r="E1855" s="316"/>
      <c r="F1855" s="316"/>
      <c r="G1855" s="316"/>
      <c r="H1855" s="316"/>
      <c r="I1855" s="316"/>
      <c r="J1855" s="320"/>
    </row>
    <row r="1856">
      <c r="A1856" s="321"/>
      <c r="B1856" s="315"/>
      <c r="C1856" s="315"/>
      <c r="D1856" s="315"/>
      <c r="E1856" s="316"/>
      <c r="F1856" s="316"/>
      <c r="G1856" s="316"/>
      <c r="H1856" s="316"/>
      <c r="I1856" s="316"/>
      <c r="J1856" s="320"/>
    </row>
    <row r="1857">
      <c r="A1857" s="321"/>
      <c r="B1857" s="315"/>
      <c r="C1857" s="315"/>
      <c r="D1857" s="315"/>
      <c r="E1857" s="316"/>
      <c r="F1857" s="316"/>
      <c r="G1857" s="316"/>
      <c r="H1857" s="316"/>
      <c r="I1857" s="316"/>
      <c r="J1857" s="320"/>
    </row>
    <row r="1858">
      <c r="A1858" s="321"/>
      <c r="B1858" s="315"/>
      <c r="C1858" s="315"/>
      <c r="D1858" s="315"/>
      <c r="E1858" s="316"/>
      <c r="F1858" s="316"/>
      <c r="G1858" s="316"/>
      <c r="H1858" s="316"/>
      <c r="I1858" s="316"/>
      <c r="J1858" s="320"/>
    </row>
    <row r="1859">
      <c r="A1859" s="321"/>
      <c r="B1859" s="315"/>
      <c r="C1859" s="315"/>
      <c r="D1859" s="315"/>
      <c r="E1859" s="316"/>
      <c r="F1859" s="316"/>
      <c r="G1859" s="316"/>
      <c r="H1859" s="316"/>
      <c r="I1859" s="316"/>
      <c r="J1859" s="320"/>
    </row>
    <row r="1860">
      <c r="A1860" s="321"/>
      <c r="B1860" s="315"/>
      <c r="C1860" s="315"/>
      <c r="D1860" s="315"/>
      <c r="E1860" s="316"/>
      <c r="F1860" s="316"/>
      <c r="G1860" s="316"/>
      <c r="H1860" s="316"/>
      <c r="I1860" s="316"/>
      <c r="J1860" s="320"/>
    </row>
    <row r="1861">
      <c r="A1861" s="321"/>
      <c r="B1861" s="315"/>
      <c r="C1861" s="315"/>
      <c r="D1861" s="315"/>
      <c r="E1861" s="316"/>
      <c r="F1861" s="316"/>
      <c r="G1861" s="316"/>
      <c r="H1861" s="316"/>
      <c r="I1861" s="316"/>
      <c r="J1861" s="320"/>
    </row>
    <row r="1862">
      <c r="A1862" s="321"/>
      <c r="B1862" s="315"/>
      <c r="C1862" s="315"/>
      <c r="D1862" s="315"/>
      <c r="E1862" s="316"/>
      <c r="F1862" s="316"/>
      <c r="G1862" s="316"/>
      <c r="H1862" s="316"/>
      <c r="I1862" s="316"/>
      <c r="J1862" s="320"/>
    </row>
    <row r="1863">
      <c r="A1863" s="321"/>
      <c r="B1863" s="315"/>
      <c r="C1863" s="315"/>
      <c r="D1863" s="315"/>
      <c r="E1863" s="316"/>
      <c r="F1863" s="316"/>
      <c r="G1863" s="316"/>
      <c r="H1863" s="316"/>
      <c r="I1863" s="316"/>
      <c r="J1863" s="320"/>
    </row>
    <row r="1864">
      <c r="A1864" s="321"/>
      <c r="B1864" s="315"/>
      <c r="C1864" s="315"/>
      <c r="D1864" s="315"/>
      <c r="E1864" s="316"/>
      <c r="F1864" s="316"/>
      <c r="G1864" s="316"/>
      <c r="H1864" s="316"/>
      <c r="I1864" s="316"/>
      <c r="J1864" s="320"/>
    </row>
    <row r="1865">
      <c r="A1865" s="321"/>
      <c r="B1865" s="315"/>
      <c r="C1865" s="315"/>
      <c r="D1865" s="315"/>
      <c r="E1865" s="316"/>
      <c r="F1865" s="316"/>
      <c r="G1865" s="316"/>
      <c r="H1865" s="316"/>
      <c r="I1865" s="316"/>
      <c r="J1865" s="320"/>
    </row>
    <row r="1866">
      <c r="A1866" s="321"/>
      <c r="B1866" s="315"/>
      <c r="C1866" s="315"/>
      <c r="D1866" s="315"/>
      <c r="E1866" s="316"/>
      <c r="F1866" s="316"/>
      <c r="G1866" s="316"/>
      <c r="H1866" s="316"/>
      <c r="I1866" s="316"/>
      <c r="J1866" s="320"/>
    </row>
    <row r="1867">
      <c r="A1867" s="321"/>
      <c r="B1867" s="315"/>
      <c r="C1867" s="315"/>
      <c r="D1867" s="315"/>
      <c r="E1867" s="316"/>
      <c r="F1867" s="316"/>
      <c r="G1867" s="316"/>
      <c r="H1867" s="316"/>
      <c r="I1867" s="316"/>
      <c r="J1867" s="320"/>
    </row>
    <row r="1868">
      <c r="A1868" s="321"/>
      <c r="B1868" s="315"/>
      <c r="C1868" s="315"/>
      <c r="D1868" s="315"/>
      <c r="E1868" s="316"/>
      <c r="F1868" s="316"/>
      <c r="G1868" s="316"/>
      <c r="H1868" s="316"/>
      <c r="I1868" s="316"/>
      <c r="J1868" s="320"/>
    </row>
    <row r="1869">
      <c r="A1869" s="321"/>
      <c r="B1869" s="315"/>
      <c r="C1869" s="315"/>
      <c r="D1869" s="315"/>
      <c r="E1869" s="316"/>
      <c r="F1869" s="316"/>
      <c r="G1869" s="316"/>
      <c r="H1869" s="316"/>
      <c r="I1869" s="316"/>
      <c r="J1869" s="320"/>
    </row>
    <row r="1870">
      <c r="A1870" s="321"/>
      <c r="B1870" s="315"/>
      <c r="C1870" s="315"/>
      <c r="D1870" s="315"/>
      <c r="E1870" s="316"/>
      <c r="F1870" s="316"/>
      <c r="G1870" s="316"/>
      <c r="H1870" s="316"/>
      <c r="I1870" s="316"/>
      <c r="J1870" s="320"/>
    </row>
    <row r="1871">
      <c r="A1871" s="321"/>
      <c r="B1871" s="315"/>
      <c r="C1871" s="315"/>
      <c r="D1871" s="315"/>
      <c r="E1871" s="316"/>
      <c r="F1871" s="316"/>
      <c r="G1871" s="316"/>
      <c r="H1871" s="316"/>
      <c r="I1871" s="316"/>
      <c r="J1871" s="320"/>
    </row>
    <row r="1872">
      <c r="A1872" s="321"/>
      <c r="B1872" s="315"/>
      <c r="C1872" s="315"/>
      <c r="D1872" s="315"/>
      <c r="E1872" s="316"/>
      <c r="F1872" s="316"/>
      <c r="G1872" s="316"/>
      <c r="H1872" s="316"/>
      <c r="I1872" s="316"/>
      <c r="J1872" s="320"/>
    </row>
    <row r="1873">
      <c r="A1873" s="321"/>
      <c r="B1873" s="315"/>
      <c r="C1873" s="315"/>
      <c r="D1873" s="315"/>
      <c r="E1873" s="316"/>
      <c r="F1873" s="316"/>
      <c r="G1873" s="316"/>
      <c r="H1873" s="316"/>
      <c r="I1873" s="316"/>
      <c r="J1873" s="320"/>
    </row>
    <row r="1874">
      <c r="A1874" s="321"/>
      <c r="B1874" s="315"/>
      <c r="C1874" s="315"/>
      <c r="D1874" s="315"/>
      <c r="E1874" s="316"/>
      <c r="F1874" s="316"/>
      <c r="G1874" s="316"/>
      <c r="H1874" s="316"/>
      <c r="I1874" s="316"/>
      <c r="J1874" s="320"/>
    </row>
    <row r="1875">
      <c r="A1875" s="321"/>
      <c r="B1875" s="315"/>
      <c r="C1875" s="315"/>
      <c r="D1875" s="315"/>
      <c r="E1875" s="316"/>
      <c r="F1875" s="316"/>
      <c r="G1875" s="316"/>
      <c r="H1875" s="316"/>
      <c r="I1875" s="316"/>
      <c r="J1875" s="320"/>
    </row>
    <row r="1876">
      <c r="A1876" s="321"/>
      <c r="B1876" s="315"/>
      <c r="C1876" s="315"/>
      <c r="D1876" s="315"/>
      <c r="E1876" s="316"/>
      <c r="F1876" s="316"/>
      <c r="G1876" s="316"/>
      <c r="H1876" s="316"/>
      <c r="I1876" s="316"/>
      <c r="J1876" s="320"/>
    </row>
    <row r="1877">
      <c r="A1877" s="321"/>
      <c r="B1877" s="315"/>
      <c r="C1877" s="315"/>
      <c r="D1877" s="315"/>
      <c r="E1877" s="316"/>
      <c r="F1877" s="316"/>
      <c r="G1877" s="316"/>
      <c r="H1877" s="316"/>
      <c r="I1877" s="316"/>
      <c r="J1877" s="320"/>
    </row>
    <row r="1878">
      <c r="A1878" s="321"/>
      <c r="B1878" s="315"/>
      <c r="C1878" s="315"/>
      <c r="D1878" s="315"/>
      <c r="E1878" s="316"/>
      <c r="F1878" s="316"/>
      <c r="G1878" s="316"/>
      <c r="H1878" s="316"/>
      <c r="I1878" s="316"/>
      <c r="J1878" s="320"/>
    </row>
    <row r="1879">
      <c r="A1879" s="321"/>
      <c r="B1879" s="315"/>
      <c r="C1879" s="315"/>
      <c r="D1879" s="315"/>
      <c r="E1879" s="316"/>
      <c r="F1879" s="316"/>
      <c r="G1879" s="316"/>
      <c r="H1879" s="316"/>
      <c r="I1879" s="316"/>
      <c r="J1879" s="320"/>
    </row>
    <row r="1880">
      <c r="A1880" s="321"/>
      <c r="B1880" s="315"/>
      <c r="C1880" s="315"/>
      <c r="D1880" s="315"/>
      <c r="E1880" s="316"/>
      <c r="F1880" s="316"/>
      <c r="G1880" s="316"/>
      <c r="H1880" s="316"/>
      <c r="I1880" s="316"/>
      <c r="J1880" s="320"/>
    </row>
    <row r="1881">
      <c r="A1881" s="321"/>
      <c r="B1881" s="315"/>
      <c r="C1881" s="315"/>
      <c r="D1881" s="315"/>
      <c r="E1881" s="316"/>
      <c r="F1881" s="316"/>
      <c r="G1881" s="316"/>
      <c r="H1881" s="316"/>
      <c r="I1881" s="316"/>
      <c r="J1881" s="320"/>
    </row>
    <row r="1882">
      <c r="A1882" s="321"/>
      <c r="B1882" s="315"/>
      <c r="C1882" s="315"/>
      <c r="D1882" s="315"/>
      <c r="E1882" s="316"/>
      <c r="F1882" s="316"/>
      <c r="G1882" s="316"/>
      <c r="H1882" s="316"/>
      <c r="I1882" s="316"/>
      <c r="J1882" s="320"/>
    </row>
    <row r="1883">
      <c r="A1883" s="321"/>
      <c r="B1883" s="315"/>
      <c r="C1883" s="315"/>
      <c r="D1883" s="315"/>
      <c r="E1883" s="316"/>
      <c r="F1883" s="316"/>
      <c r="G1883" s="316"/>
      <c r="H1883" s="316"/>
      <c r="I1883" s="316"/>
      <c r="J1883" s="320"/>
    </row>
    <row r="1884">
      <c r="A1884" s="321"/>
      <c r="B1884" s="315"/>
      <c r="C1884" s="315"/>
      <c r="D1884" s="315"/>
      <c r="E1884" s="316"/>
      <c r="F1884" s="316"/>
      <c r="G1884" s="316"/>
      <c r="H1884" s="316"/>
      <c r="I1884" s="316"/>
      <c r="J1884" s="320"/>
    </row>
    <row r="1885">
      <c r="A1885" s="321"/>
      <c r="B1885" s="315"/>
      <c r="C1885" s="315"/>
      <c r="D1885" s="315"/>
      <c r="E1885" s="316"/>
      <c r="F1885" s="316"/>
      <c r="G1885" s="316"/>
      <c r="H1885" s="316"/>
      <c r="I1885" s="316"/>
      <c r="J1885" s="320"/>
    </row>
    <row r="1886">
      <c r="A1886" s="321"/>
      <c r="B1886" s="315"/>
      <c r="C1886" s="315"/>
      <c r="D1886" s="315"/>
      <c r="E1886" s="316"/>
      <c r="F1886" s="316"/>
      <c r="G1886" s="316"/>
      <c r="H1886" s="316"/>
      <c r="I1886" s="316"/>
      <c r="J1886" s="320"/>
    </row>
    <row r="1887">
      <c r="A1887" s="321"/>
      <c r="B1887" s="315"/>
      <c r="C1887" s="315"/>
      <c r="D1887" s="315"/>
      <c r="E1887" s="316"/>
      <c r="F1887" s="316"/>
      <c r="G1887" s="316"/>
      <c r="H1887" s="316"/>
      <c r="I1887" s="316"/>
      <c r="J1887" s="320"/>
    </row>
    <row r="1888">
      <c r="A1888" s="321"/>
      <c r="B1888" s="315"/>
      <c r="C1888" s="315"/>
      <c r="D1888" s="315"/>
      <c r="E1888" s="316"/>
      <c r="F1888" s="316"/>
      <c r="G1888" s="316"/>
      <c r="H1888" s="316"/>
      <c r="I1888" s="316"/>
      <c r="J1888" s="320"/>
    </row>
    <row r="1889">
      <c r="A1889" s="321"/>
      <c r="B1889" s="315"/>
      <c r="C1889" s="315"/>
      <c r="D1889" s="315"/>
      <c r="E1889" s="316"/>
      <c r="F1889" s="316"/>
      <c r="G1889" s="316"/>
      <c r="H1889" s="316"/>
      <c r="I1889" s="316"/>
      <c r="J1889" s="320"/>
    </row>
    <row r="1890">
      <c r="A1890" s="321"/>
      <c r="B1890" s="315"/>
      <c r="C1890" s="315"/>
      <c r="D1890" s="315"/>
      <c r="E1890" s="316"/>
      <c r="F1890" s="316"/>
      <c r="G1890" s="316"/>
      <c r="H1890" s="316"/>
      <c r="I1890" s="316"/>
      <c r="J1890" s="320"/>
    </row>
    <row r="1891">
      <c r="A1891" s="321"/>
      <c r="B1891" s="315"/>
      <c r="C1891" s="315"/>
      <c r="D1891" s="315"/>
      <c r="E1891" s="316"/>
      <c r="F1891" s="316"/>
      <c r="G1891" s="316"/>
      <c r="H1891" s="316"/>
      <c r="I1891" s="316"/>
      <c r="J1891" s="320"/>
    </row>
    <row r="1892">
      <c r="A1892" s="321"/>
      <c r="B1892" s="315"/>
      <c r="C1892" s="315"/>
      <c r="D1892" s="315"/>
      <c r="E1892" s="316"/>
      <c r="F1892" s="316"/>
      <c r="G1892" s="316"/>
      <c r="H1892" s="316"/>
      <c r="I1892" s="316"/>
      <c r="J1892" s="320"/>
    </row>
    <row r="1893">
      <c r="A1893" s="321"/>
      <c r="B1893" s="315"/>
      <c r="C1893" s="315"/>
      <c r="D1893" s="315"/>
      <c r="E1893" s="316"/>
      <c r="F1893" s="316"/>
      <c r="G1893" s="316"/>
      <c r="H1893" s="316"/>
      <c r="I1893" s="316"/>
      <c r="J1893" s="320"/>
    </row>
    <row r="1894">
      <c r="A1894" s="321"/>
      <c r="B1894" s="315"/>
      <c r="C1894" s="315"/>
      <c r="D1894" s="315"/>
      <c r="E1894" s="316"/>
      <c r="F1894" s="316"/>
      <c r="G1894" s="316"/>
      <c r="H1894" s="316"/>
      <c r="I1894" s="316"/>
      <c r="J1894" s="320"/>
    </row>
    <row r="1895">
      <c r="A1895" s="321"/>
      <c r="B1895" s="315"/>
      <c r="C1895" s="315"/>
      <c r="D1895" s="315"/>
      <c r="E1895" s="316"/>
      <c r="F1895" s="316"/>
      <c r="G1895" s="316"/>
      <c r="H1895" s="316"/>
      <c r="I1895" s="316"/>
      <c r="J1895" s="320"/>
    </row>
    <row r="1896">
      <c r="A1896" s="321"/>
      <c r="B1896" s="315"/>
      <c r="C1896" s="315"/>
      <c r="D1896" s="315"/>
      <c r="E1896" s="316"/>
      <c r="F1896" s="316"/>
      <c r="G1896" s="316"/>
      <c r="H1896" s="316"/>
      <c r="I1896" s="316"/>
      <c r="J1896" s="320"/>
    </row>
    <row r="1897">
      <c r="A1897" s="321"/>
      <c r="B1897" s="315"/>
      <c r="C1897" s="315"/>
      <c r="D1897" s="315"/>
      <c r="E1897" s="316"/>
      <c r="F1897" s="316"/>
      <c r="G1897" s="316"/>
      <c r="H1897" s="316"/>
      <c r="I1897" s="316"/>
      <c r="J1897" s="320"/>
    </row>
    <row r="1898">
      <c r="A1898" s="321"/>
      <c r="B1898" s="315"/>
      <c r="C1898" s="315"/>
      <c r="D1898" s="315"/>
      <c r="E1898" s="316"/>
      <c r="F1898" s="316"/>
      <c r="G1898" s="316"/>
      <c r="H1898" s="316"/>
      <c r="I1898" s="316"/>
      <c r="J1898" s="320"/>
    </row>
    <row r="1899">
      <c r="A1899" s="321"/>
      <c r="B1899" s="315"/>
      <c r="C1899" s="315"/>
      <c r="D1899" s="315"/>
      <c r="E1899" s="316"/>
      <c r="F1899" s="316"/>
      <c r="G1899" s="316"/>
      <c r="H1899" s="316"/>
      <c r="I1899" s="316"/>
      <c r="J1899" s="320"/>
    </row>
    <row r="1900">
      <c r="A1900" s="321"/>
      <c r="B1900" s="315"/>
      <c r="C1900" s="315"/>
      <c r="D1900" s="315"/>
      <c r="E1900" s="316"/>
      <c r="F1900" s="316"/>
      <c r="G1900" s="316"/>
      <c r="H1900" s="316"/>
      <c r="I1900" s="316"/>
      <c r="J1900" s="320"/>
    </row>
    <row r="1901">
      <c r="A1901" s="321"/>
      <c r="B1901" s="315"/>
      <c r="C1901" s="315"/>
      <c r="D1901" s="315"/>
      <c r="E1901" s="316"/>
      <c r="F1901" s="316"/>
      <c r="G1901" s="316"/>
      <c r="H1901" s="316"/>
      <c r="I1901" s="316"/>
      <c r="J1901" s="320"/>
    </row>
    <row r="1902">
      <c r="A1902" s="321"/>
      <c r="B1902" s="315"/>
      <c r="C1902" s="315"/>
      <c r="D1902" s="315"/>
      <c r="E1902" s="316"/>
      <c r="F1902" s="316"/>
      <c r="G1902" s="316"/>
      <c r="H1902" s="316"/>
      <c r="I1902" s="316"/>
      <c r="J1902" s="320"/>
    </row>
    <row r="1903">
      <c r="A1903" s="321"/>
      <c r="B1903" s="315"/>
      <c r="C1903" s="315"/>
      <c r="D1903" s="315"/>
      <c r="E1903" s="316"/>
      <c r="F1903" s="316"/>
      <c r="G1903" s="316"/>
      <c r="H1903" s="316"/>
      <c r="I1903" s="316"/>
      <c r="J1903" s="320"/>
    </row>
    <row r="1904">
      <c r="A1904" s="321"/>
      <c r="B1904" s="315"/>
      <c r="C1904" s="315"/>
      <c r="D1904" s="315"/>
      <c r="E1904" s="316"/>
      <c r="F1904" s="316"/>
      <c r="G1904" s="316"/>
      <c r="H1904" s="316"/>
      <c r="I1904" s="316"/>
      <c r="J1904" s="320"/>
    </row>
    <row r="1905">
      <c r="A1905" s="321"/>
      <c r="B1905" s="315"/>
      <c r="C1905" s="315"/>
      <c r="D1905" s="315"/>
      <c r="E1905" s="316"/>
      <c r="F1905" s="316"/>
      <c r="G1905" s="316"/>
      <c r="H1905" s="316"/>
      <c r="I1905" s="316"/>
      <c r="J1905" s="320"/>
    </row>
    <row r="1906">
      <c r="A1906" s="321"/>
      <c r="B1906" s="315"/>
      <c r="C1906" s="315"/>
      <c r="D1906" s="315"/>
      <c r="E1906" s="316"/>
      <c r="F1906" s="316"/>
      <c r="G1906" s="316"/>
      <c r="H1906" s="316"/>
      <c r="I1906" s="316"/>
      <c r="J1906" s="320"/>
    </row>
    <row r="1907">
      <c r="A1907" s="321"/>
      <c r="B1907" s="315"/>
      <c r="C1907" s="315"/>
      <c r="D1907" s="315"/>
      <c r="E1907" s="316"/>
      <c r="F1907" s="316"/>
      <c r="G1907" s="316"/>
      <c r="H1907" s="316"/>
      <c r="I1907" s="316"/>
      <c r="J1907" s="320"/>
    </row>
    <row r="1908">
      <c r="A1908" s="321"/>
      <c r="B1908" s="315"/>
      <c r="C1908" s="315"/>
      <c r="D1908" s="315"/>
      <c r="E1908" s="316"/>
      <c r="F1908" s="316"/>
      <c r="G1908" s="316"/>
      <c r="H1908" s="316"/>
      <c r="I1908" s="316"/>
      <c r="J1908" s="320"/>
    </row>
    <row r="1909">
      <c r="A1909" s="321"/>
      <c r="B1909" s="315"/>
      <c r="C1909" s="315"/>
      <c r="D1909" s="315"/>
      <c r="E1909" s="316"/>
      <c r="F1909" s="316"/>
      <c r="G1909" s="316"/>
      <c r="H1909" s="316"/>
      <c r="I1909" s="316"/>
      <c r="J1909" s="320"/>
    </row>
    <row r="1910">
      <c r="A1910" s="321"/>
      <c r="B1910" s="315"/>
      <c r="C1910" s="315"/>
      <c r="D1910" s="315"/>
      <c r="E1910" s="316"/>
      <c r="F1910" s="316"/>
      <c r="G1910" s="316"/>
      <c r="H1910" s="316"/>
      <c r="I1910" s="316"/>
      <c r="J1910" s="320"/>
    </row>
    <row r="1911">
      <c r="A1911" s="321"/>
      <c r="B1911" s="315"/>
      <c r="C1911" s="315"/>
      <c r="D1911" s="315"/>
      <c r="E1911" s="316"/>
      <c r="F1911" s="316"/>
      <c r="G1911" s="316"/>
      <c r="H1911" s="316"/>
      <c r="I1911" s="316"/>
      <c r="J1911" s="320"/>
    </row>
    <row r="1912">
      <c r="A1912" s="321"/>
      <c r="B1912" s="315"/>
      <c r="C1912" s="315"/>
      <c r="D1912" s="315"/>
      <c r="E1912" s="316"/>
      <c r="F1912" s="316"/>
      <c r="G1912" s="316"/>
      <c r="H1912" s="316"/>
      <c r="I1912" s="316"/>
      <c r="J1912" s="320"/>
    </row>
    <row r="1913">
      <c r="A1913" s="321"/>
      <c r="B1913" s="315"/>
      <c r="C1913" s="315"/>
      <c r="D1913" s="315"/>
      <c r="E1913" s="316"/>
      <c r="F1913" s="316"/>
      <c r="G1913" s="316"/>
      <c r="H1913" s="316"/>
      <c r="I1913" s="316"/>
      <c r="J1913" s="320"/>
    </row>
    <row r="1914">
      <c r="A1914" s="321"/>
      <c r="B1914" s="315"/>
      <c r="C1914" s="315"/>
      <c r="D1914" s="315"/>
      <c r="E1914" s="316"/>
      <c r="F1914" s="316"/>
      <c r="G1914" s="316"/>
      <c r="H1914" s="316"/>
      <c r="I1914" s="316"/>
      <c r="J1914" s="320"/>
    </row>
    <row r="1915">
      <c r="A1915" s="321"/>
      <c r="B1915" s="315"/>
      <c r="C1915" s="315"/>
      <c r="D1915" s="315"/>
      <c r="E1915" s="316"/>
      <c r="F1915" s="316"/>
      <c r="G1915" s="316"/>
      <c r="H1915" s="316"/>
      <c r="I1915" s="316"/>
      <c r="J1915" s="320"/>
    </row>
    <row r="1916">
      <c r="A1916" s="321"/>
      <c r="B1916" s="315"/>
      <c r="C1916" s="315"/>
      <c r="D1916" s="315"/>
      <c r="E1916" s="316"/>
      <c r="F1916" s="316"/>
      <c r="G1916" s="316"/>
      <c r="H1916" s="316"/>
      <c r="I1916" s="316"/>
      <c r="J1916" s="320"/>
    </row>
    <row r="1917">
      <c r="A1917" s="321"/>
      <c r="B1917" s="315"/>
      <c r="C1917" s="315"/>
      <c r="D1917" s="315"/>
      <c r="E1917" s="316"/>
      <c r="F1917" s="316"/>
      <c r="G1917" s="316"/>
      <c r="H1917" s="316"/>
      <c r="I1917" s="316"/>
      <c r="J1917" s="320"/>
    </row>
    <row r="1918">
      <c r="A1918" s="321"/>
      <c r="B1918" s="315"/>
      <c r="C1918" s="315"/>
      <c r="D1918" s="315"/>
      <c r="E1918" s="316"/>
      <c r="F1918" s="316"/>
      <c r="G1918" s="316"/>
      <c r="H1918" s="316"/>
      <c r="I1918" s="316"/>
      <c r="J1918" s="320"/>
    </row>
    <row r="1919">
      <c r="A1919" s="321"/>
      <c r="B1919" s="315"/>
      <c r="C1919" s="315"/>
      <c r="D1919" s="315"/>
      <c r="E1919" s="316"/>
      <c r="F1919" s="316"/>
      <c r="G1919" s="316"/>
      <c r="H1919" s="316"/>
      <c r="I1919" s="316"/>
      <c r="J1919" s="320"/>
    </row>
    <row r="1920">
      <c r="A1920" s="321"/>
      <c r="B1920" s="315"/>
      <c r="C1920" s="315"/>
      <c r="D1920" s="315"/>
      <c r="E1920" s="316"/>
      <c r="F1920" s="316"/>
      <c r="G1920" s="316"/>
      <c r="H1920" s="316"/>
      <c r="I1920" s="316"/>
      <c r="J1920" s="320"/>
    </row>
    <row r="1921">
      <c r="A1921" s="321"/>
      <c r="B1921" s="315"/>
      <c r="C1921" s="315"/>
      <c r="D1921" s="315"/>
      <c r="E1921" s="316"/>
      <c r="F1921" s="316"/>
      <c r="G1921" s="316"/>
      <c r="H1921" s="316"/>
      <c r="I1921" s="316"/>
      <c r="J1921" s="320"/>
    </row>
    <row r="1922">
      <c r="A1922" s="321"/>
      <c r="B1922" s="315"/>
      <c r="C1922" s="315"/>
      <c r="D1922" s="315"/>
      <c r="E1922" s="316"/>
      <c r="F1922" s="316"/>
      <c r="G1922" s="316"/>
      <c r="H1922" s="316"/>
      <c r="I1922" s="316"/>
      <c r="J1922" s="320"/>
    </row>
    <row r="1923">
      <c r="A1923" s="321"/>
      <c r="B1923" s="315"/>
      <c r="C1923" s="315"/>
      <c r="D1923" s="315"/>
      <c r="E1923" s="316"/>
      <c r="F1923" s="316"/>
      <c r="G1923" s="316"/>
      <c r="H1923" s="316"/>
      <c r="I1923" s="316"/>
      <c r="J1923" s="320"/>
    </row>
    <row r="1924">
      <c r="A1924" s="321"/>
      <c r="B1924" s="315"/>
      <c r="C1924" s="315"/>
      <c r="D1924" s="315"/>
      <c r="E1924" s="316"/>
      <c r="F1924" s="316"/>
      <c r="G1924" s="316"/>
      <c r="H1924" s="316"/>
      <c r="I1924" s="316"/>
      <c r="J1924" s="320"/>
    </row>
    <row r="1925">
      <c r="A1925" s="321"/>
      <c r="B1925" s="315"/>
      <c r="C1925" s="315"/>
      <c r="D1925" s="315"/>
      <c r="E1925" s="316"/>
      <c r="F1925" s="316"/>
      <c r="G1925" s="316"/>
      <c r="H1925" s="316"/>
      <c r="I1925" s="316"/>
      <c r="J1925" s="320"/>
    </row>
    <row r="1926">
      <c r="A1926" s="321"/>
      <c r="B1926" s="315"/>
      <c r="C1926" s="315"/>
      <c r="D1926" s="315"/>
      <c r="E1926" s="316"/>
      <c r="F1926" s="316"/>
      <c r="G1926" s="316"/>
      <c r="H1926" s="316"/>
      <c r="I1926" s="316"/>
      <c r="J1926" s="320"/>
    </row>
    <row r="1927">
      <c r="A1927" s="321"/>
      <c r="B1927" s="315"/>
      <c r="C1927" s="315"/>
      <c r="D1927" s="315"/>
      <c r="E1927" s="316"/>
      <c r="F1927" s="316"/>
      <c r="G1927" s="316"/>
      <c r="H1927" s="316"/>
      <c r="I1927" s="316"/>
      <c r="J1927" s="320"/>
    </row>
    <row r="1928">
      <c r="A1928" s="321"/>
      <c r="B1928" s="315"/>
      <c r="C1928" s="315"/>
      <c r="D1928" s="315"/>
      <c r="E1928" s="316"/>
      <c r="F1928" s="316"/>
      <c r="G1928" s="316"/>
      <c r="H1928" s="316"/>
      <c r="I1928" s="316"/>
      <c r="J1928" s="320"/>
    </row>
    <row r="1929">
      <c r="A1929" s="321"/>
      <c r="B1929" s="315"/>
      <c r="C1929" s="315"/>
      <c r="D1929" s="315"/>
      <c r="E1929" s="316"/>
      <c r="F1929" s="316"/>
      <c r="G1929" s="316"/>
      <c r="H1929" s="316"/>
      <c r="I1929" s="316"/>
      <c r="J1929" s="320"/>
    </row>
    <row r="1930">
      <c r="A1930" s="321"/>
      <c r="B1930" s="315"/>
      <c r="C1930" s="315"/>
      <c r="D1930" s="315"/>
      <c r="E1930" s="316"/>
      <c r="F1930" s="316"/>
      <c r="G1930" s="316"/>
      <c r="H1930" s="316"/>
      <c r="I1930" s="316"/>
      <c r="J1930" s="320"/>
    </row>
    <row r="1931">
      <c r="A1931" s="321"/>
      <c r="B1931" s="315"/>
      <c r="C1931" s="315"/>
      <c r="D1931" s="315"/>
      <c r="E1931" s="316"/>
      <c r="F1931" s="316"/>
      <c r="G1931" s="316"/>
      <c r="H1931" s="316"/>
      <c r="I1931" s="316"/>
      <c r="J1931" s="320"/>
    </row>
    <row r="1932">
      <c r="A1932" s="321"/>
      <c r="B1932" s="315"/>
      <c r="C1932" s="315"/>
      <c r="D1932" s="315"/>
      <c r="E1932" s="316"/>
      <c r="F1932" s="316"/>
      <c r="G1932" s="316"/>
      <c r="H1932" s="316"/>
      <c r="I1932" s="316"/>
      <c r="J1932" s="320"/>
    </row>
    <row r="1933">
      <c r="A1933" s="321"/>
      <c r="B1933" s="315"/>
      <c r="C1933" s="315"/>
      <c r="D1933" s="315"/>
      <c r="E1933" s="316"/>
      <c r="F1933" s="316"/>
      <c r="G1933" s="316"/>
      <c r="H1933" s="316"/>
      <c r="I1933" s="316"/>
      <c r="J1933" s="320"/>
    </row>
    <row r="1934">
      <c r="A1934" s="321"/>
      <c r="B1934" s="315"/>
      <c r="C1934" s="315"/>
      <c r="D1934" s="315"/>
      <c r="E1934" s="316"/>
      <c r="F1934" s="316"/>
      <c r="G1934" s="316"/>
      <c r="H1934" s="316"/>
      <c r="I1934" s="316"/>
      <c r="J1934" s="320"/>
    </row>
    <row r="1935">
      <c r="A1935" s="321"/>
      <c r="B1935" s="315"/>
      <c r="C1935" s="315"/>
      <c r="D1935" s="315"/>
      <c r="E1935" s="316"/>
      <c r="F1935" s="316"/>
      <c r="G1935" s="316"/>
      <c r="H1935" s="316"/>
      <c r="I1935" s="316"/>
      <c r="J1935" s="320"/>
    </row>
    <row r="1936">
      <c r="A1936" s="321"/>
      <c r="B1936" s="315"/>
      <c r="C1936" s="315"/>
      <c r="D1936" s="315"/>
      <c r="E1936" s="316"/>
      <c r="F1936" s="316"/>
      <c r="G1936" s="316"/>
      <c r="H1936" s="316"/>
      <c r="I1936" s="316"/>
      <c r="J1936" s="320"/>
    </row>
    <row r="1937">
      <c r="A1937" s="321"/>
      <c r="B1937" s="315"/>
      <c r="C1937" s="315"/>
      <c r="D1937" s="315"/>
      <c r="E1937" s="316"/>
      <c r="F1937" s="316"/>
      <c r="G1937" s="316"/>
      <c r="H1937" s="316"/>
      <c r="I1937" s="316"/>
      <c r="J1937" s="320"/>
    </row>
    <row r="1938">
      <c r="A1938" s="321"/>
      <c r="B1938" s="315"/>
      <c r="C1938" s="315"/>
      <c r="D1938" s="315"/>
      <c r="E1938" s="316"/>
      <c r="F1938" s="316"/>
      <c r="G1938" s="316"/>
      <c r="H1938" s="316"/>
      <c r="I1938" s="316"/>
      <c r="J1938" s="320"/>
    </row>
    <row r="1939">
      <c r="A1939" s="321"/>
      <c r="B1939" s="315"/>
      <c r="C1939" s="315"/>
      <c r="D1939" s="315"/>
      <c r="E1939" s="316"/>
      <c r="F1939" s="316"/>
      <c r="G1939" s="316"/>
      <c r="H1939" s="316"/>
      <c r="I1939" s="316"/>
      <c r="J1939" s="320"/>
    </row>
    <row r="1940">
      <c r="A1940" s="321"/>
      <c r="B1940" s="315"/>
      <c r="C1940" s="315"/>
      <c r="D1940" s="315"/>
      <c r="E1940" s="316"/>
      <c r="F1940" s="316"/>
      <c r="G1940" s="316"/>
      <c r="H1940" s="316"/>
      <c r="I1940" s="316"/>
      <c r="J1940" s="320"/>
    </row>
    <row r="1941">
      <c r="A1941" s="321"/>
      <c r="B1941" s="315"/>
      <c r="C1941" s="315"/>
      <c r="D1941" s="315"/>
      <c r="E1941" s="316"/>
      <c r="F1941" s="316"/>
      <c r="G1941" s="316"/>
      <c r="H1941" s="316"/>
      <c r="I1941" s="316"/>
      <c r="J1941" s="320"/>
    </row>
    <row r="1942">
      <c r="A1942" s="321"/>
      <c r="B1942" s="315"/>
      <c r="C1942" s="315"/>
      <c r="D1942" s="315"/>
      <c r="E1942" s="316"/>
      <c r="F1942" s="316"/>
      <c r="G1942" s="316"/>
      <c r="H1942" s="316"/>
      <c r="I1942" s="316"/>
      <c r="J1942" s="320"/>
    </row>
    <row r="1943">
      <c r="A1943" s="321"/>
      <c r="B1943" s="315"/>
      <c r="C1943" s="315"/>
      <c r="D1943" s="315"/>
      <c r="E1943" s="316"/>
      <c r="F1943" s="316"/>
      <c r="G1943" s="316"/>
      <c r="H1943" s="316"/>
      <c r="I1943" s="316"/>
      <c r="J1943" s="320"/>
    </row>
    <row r="1944">
      <c r="A1944" s="321"/>
      <c r="B1944" s="315"/>
      <c r="C1944" s="315"/>
      <c r="D1944" s="315"/>
      <c r="E1944" s="316"/>
      <c r="F1944" s="316"/>
      <c r="G1944" s="316"/>
      <c r="H1944" s="316"/>
      <c r="I1944" s="316"/>
      <c r="J1944" s="320"/>
    </row>
    <row r="1945">
      <c r="A1945" s="321"/>
      <c r="B1945" s="315"/>
      <c r="C1945" s="315"/>
      <c r="D1945" s="315"/>
      <c r="E1945" s="316"/>
      <c r="F1945" s="316"/>
      <c r="G1945" s="316"/>
      <c r="H1945" s="316"/>
      <c r="I1945" s="316"/>
      <c r="J1945" s="320"/>
    </row>
    <row r="1946">
      <c r="A1946" s="321"/>
      <c r="B1946" s="315"/>
      <c r="C1946" s="315"/>
      <c r="D1946" s="315"/>
      <c r="E1946" s="316"/>
      <c r="F1946" s="316"/>
      <c r="G1946" s="316"/>
      <c r="H1946" s="316"/>
      <c r="I1946" s="316"/>
      <c r="J1946" s="320"/>
    </row>
    <row r="1947">
      <c r="A1947" s="321"/>
      <c r="B1947" s="315"/>
      <c r="C1947" s="315"/>
      <c r="D1947" s="315"/>
      <c r="E1947" s="316"/>
      <c r="F1947" s="316"/>
      <c r="G1947" s="316"/>
      <c r="H1947" s="316"/>
      <c r="I1947" s="316"/>
      <c r="J1947" s="320"/>
    </row>
    <row r="1948">
      <c r="A1948" s="321"/>
      <c r="B1948" s="315"/>
      <c r="C1948" s="315"/>
      <c r="D1948" s="315"/>
      <c r="E1948" s="316"/>
      <c r="F1948" s="316"/>
      <c r="G1948" s="316"/>
      <c r="H1948" s="316"/>
      <c r="I1948" s="316"/>
      <c r="J1948" s="320"/>
    </row>
    <row r="1949">
      <c r="A1949" s="321"/>
      <c r="B1949" s="315"/>
      <c r="C1949" s="315"/>
      <c r="D1949" s="315"/>
      <c r="E1949" s="316"/>
      <c r="F1949" s="316"/>
      <c r="G1949" s="316"/>
      <c r="H1949" s="316"/>
      <c r="I1949" s="316"/>
      <c r="J1949" s="320"/>
    </row>
    <row r="1950">
      <c r="A1950" s="321"/>
      <c r="B1950" s="315"/>
      <c r="C1950" s="315"/>
      <c r="D1950" s="315"/>
      <c r="E1950" s="316"/>
      <c r="F1950" s="316"/>
      <c r="G1950" s="316"/>
      <c r="H1950" s="316"/>
      <c r="I1950" s="316"/>
      <c r="J1950" s="320"/>
    </row>
    <row r="1951">
      <c r="A1951" s="321"/>
      <c r="B1951" s="315"/>
      <c r="C1951" s="315"/>
      <c r="D1951" s="315"/>
      <c r="E1951" s="316"/>
      <c r="F1951" s="316"/>
      <c r="G1951" s="316"/>
      <c r="H1951" s="316"/>
      <c r="I1951" s="316"/>
      <c r="J1951" s="320"/>
    </row>
    <row r="1952">
      <c r="A1952" s="321"/>
      <c r="B1952" s="315"/>
      <c r="C1952" s="315"/>
      <c r="D1952" s="315"/>
      <c r="E1952" s="316"/>
      <c r="F1952" s="316"/>
      <c r="G1952" s="316"/>
      <c r="H1952" s="316"/>
      <c r="I1952" s="316"/>
      <c r="J1952" s="320"/>
    </row>
    <row r="1953">
      <c r="A1953" s="321"/>
      <c r="B1953" s="315"/>
      <c r="C1953" s="315"/>
      <c r="D1953" s="315"/>
      <c r="E1953" s="316"/>
      <c r="F1953" s="316"/>
      <c r="G1953" s="316"/>
      <c r="H1953" s="316"/>
      <c r="I1953" s="316"/>
      <c r="J1953" s="320"/>
    </row>
    <row r="1954">
      <c r="A1954" s="321"/>
      <c r="B1954" s="315"/>
      <c r="C1954" s="315"/>
      <c r="D1954" s="315"/>
      <c r="E1954" s="316"/>
      <c r="F1954" s="316"/>
      <c r="G1954" s="316"/>
      <c r="H1954" s="316"/>
      <c r="I1954" s="316"/>
      <c r="J1954" s="320"/>
    </row>
    <row r="1955">
      <c r="A1955" s="321"/>
      <c r="B1955" s="315"/>
      <c r="C1955" s="315"/>
      <c r="D1955" s="315"/>
      <c r="E1955" s="316"/>
      <c r="F1955" s="316"/>
      <c r="G1955" s="316"/>
      <c r="H1955" s="316"/>
      <c r="I1955" s="316"/>
      <c r="J1955" s="320"/>
    </row>
    <row r="1956">
      <c r="A1956" s="321"/>
      <c r="B1956" s="315"/>
      <c r="C1956" s="315"/>
      <c r="D1956" s="315"/>
      <c r="E1956" s="316"/>
      <c r="F1956" s="316"/>
      <c r="G1956" s="316"/>
      <c r="H1956" s="316"/>
      <c r="I1956" s="316"/>
      <c r="J1956" s="320"/>
    </row>
    <row r="1957">
      <c r="A1957" s="321"/>
      <c r="B1957" s="315"/>
      <c r="C1957" s="315"/>
      <c r="D1957" s="315"/>
      <c r="E1957" s="316"/>
      <c r="F1957" s="316"/>
      <c r="G1957" s="316"/>
      <c r="H1957" s="316"/>
      <c r="I1957" s="316"/>
      <c r="J1957" s="320"/>
    </row>
    <row r="1958">
      <c r="A1958" s="321"/>
      <c r="B1958" s="315"/>
      <c r="C1958" s="315"/>
      <c r="D1958" s="315"/>
      <c r="E1958" s="316"/>
      <c r="F1958" s="316"/>
      <c r="G1958" s="316"/>
      <c r="H1958" s="316"/>
      <c r="I1958" s="316"/>
      <c r="J1958" s="320"/>
    </row>
    <row r="1959">
      <c r="A1959" s="321"/>
      <c r="B1959" s="315"/>
      <c r="C1959" s="315"/>
      <c r="D1959" s="315"/>
      <c r="E1959" s="316"/>
      <c r="F1959" s="316"/>
      <c r="G1959" s="316"/>
      <c r="H1959" s="316"/>
      <c r="I1959" s="316"/>
      <c r="J1959" s="320"/>
    </row>
    <row r="1960">
      <c r="A1960" s="321"/>
      <c r="B1960" s="315"/>
      <c r="C1960" s="315"/>
      <c r="D1960" s="315"/>
      <c r="E1960" s="316"/>
      <c r="F1960" s="316"/>
      <c r="G1960" s="316"/>
      <c r="H1960" s="316"/>
      <c r="I1960" s="316"/>
      <c r="J1960" s="320"/>
    </row>
    <row r="1961">
      <c r="A1961" s="321"/>
      <c r="B1961" s="315"/>
      <c r="C1961" s="315"/>
      <c r="D1961" s="315"/>
      <c r="E1961" s="316"/>
      <c r="F1961" s="316"/>
      <c r="G1961" s="316"/>
      <c r="H1961" s="316"/>
      <c r="I1961" s="316"/>
      <c r="J1961" s="320"/>
    </row>
    <row r="1962">
      <c r="A1962" s="321"/>
      <c r="B1962" s="315"/>
      <c r="C1962" s="315"/>
      <c r="D1962" s="315"/>
      <c r="E1962" s="316"/>
      <c r="F1962" s="316"/>
      <c r="G1962" s="316"/>
      <c r="H1962" s="316"/>
      <c r="I1962" s="316"/>
      <c r="J1962" s="320"/>
    </row>
    <row r="1963">
      <c r="A1963" s="321"/>
      <c r="B1963" s="315"/>
      <c r="C1963" s="315"/>
      <c r="D1963" s="315"/>
      <c r="E1963" s="316"/>
      <c r="F1963" s="316"/>
      <c r="G1963" s="316"/>
      <c r="H1963" s="316"/>
      <c r="I1963" s="316"/>
      <c r="J1963" s="320"/>
    </row>
    <row r="1964">
      <c r="A1964" s="321"/>
      <c r="B1964" s="315"/>
      <c r="C1964" s="315"/>
      <c r="D1964" s="315"/>
      <c r="E1964" s="316"/>
      <c r="F1964" s="316"/>
      <c r="G1964" s="316"/>
      <c r="H1964" s="316"/>
      <c r="I1964" s="316"/>
      <c r="J1964" s="320"/>
    </row>
    <row r="1965">
      <c r="A1965" s="321"/>
      <c r="B1965" s="315"/>
      <c r="C1965" s="315"/>
      <c r="D1965" s="315"/>
      <c r="E1965" s="316"/>
      <c r="F1965" s="316"/>
      <c r="G1965" s="316"/>
      <c r="H1965" s="316"/>
      <c r="I1965" s="316"/>
      <c r="J1965" s="320"/>
    </row>
    <row r="1966">
      <c r="A1966" s="321"/>
      <c r="B1966" s="315"/>
      <c r="C1966" s="315"/>
      <c r="D1966" s="315"/>
      <c r="E1966" s="316"/>
      <c r="F1966" s="316"/>
      <c r="G1966" s="316"/>
      <c r="H1966" s="316"/>
      <c r="I1966" s="316"/>
      <c r="J1966" s="320"/>
    </row>
    <row r="1967">
      <c r="A1967" s="321"/>
      <c r="B1967" s="315"/>
      <c r="C1967" s="315"/>
      <c r="D1967" s="315"/>
      <c r="E1967" s="316"/>
      <c r="F1967" s="316"/>
      <c r="G1967" s="316"/>
      <c r="H1967" s="316"/>
      <c r="I1967" s="316"/>
      <c r="J1967" s="320"/>
    </row>
    <row r="1968">
      <c r="A1968" s="321"/>
      <c r="B1968" s="315"/>
      <c r="C1968" s="315"/>
      <c r="D1968" s="315"/>
      <c r="E1968" s="316"/>
      <c r="F1968" s="316"/>
      <c r="G1968" s="316"/>
      <c r="H1968" s="316"/>
      <c r="I1968" s="316"/>
      <c r="J1968" s="320"/>
    </row>
    <row r="1969">
      <c r="A1969" s="321"/>
      <c r="B1969" s="315"/>
      <c r="C1969" s="315"/>
      <c r="D1969" s="315"/>
      <c r="E1969" s="316"/>
      <c r="F1969" s="316"/>
      <c r="G1969" s="316"/>
      <c r="H1969" s="316"/>
      <c r="I1969" s="316"/>
      <c r="J1969" s="320"/>
    </row>
    <row r="1970">
      <c r="A1970" s="321"/>
      <c r="B1970" s="315"/>
      <c r="C1970" s="315"/>
      <c r="D1970" s="315"/>
      <c r="E1970" s="316"/>
      <c r="F1970" s="316"/>
      <c r="G1970" s="316"/>
      <c r="H1970" s="316"/>
      <c r="I1970" s="316"/>
      <c r="J1970" s="320"/>
    </row>
    <row r="1971">
      <c r="A1971" s="321"/>
      <c r="B1971" s="315"/>
      <c r="C1971" s="315"/>
      <c r="D1971" s="315"/>
      <c r="E1971" s="316"/>
      <c r="F1971" s="316"/>
      <c r="G1971" s="316"/>
      <c r="H1971" s="316"/>
      <c r="I1971" s="316"/>
      <c r="J1971" s="320"/>
    </row>
    <row r="1972">
      <c r="A1972" s="321"/>
      <c r="B1972" s="315"/>
      <c r="C1972" s="315"/>
      <c r="D1972" s="315"/>
      <c r="E1972" s="316"/>
      <c r="F1972" s="316"/>
      <c r="G1972" s="316"/>
      <c r="H1972" s="316"/>
      <c r="I1972" s="316"/>
      <c r="J1972" s="320"/>
    </row>
    <row r="1973">
      <c r="A1973" s="321"/>
      <c r="B1973" s="315"/>
      <c r="C1973" s="315"/>
      <c r="D1973" s="315"/>
      <c r="E1973" s="316"/>
      <c r="F1973" s="316"/>
      <c r="G1973" s="316"/>
      <c r="H1973" s="316"/>
      <c r="I1973" s="316"/>
      <c r="J1973" s="320"/>
    </row>
    <row r="1974">
      <c r="A1974" s="321"/>
      <c r="B1974" s="315"/>
      <c r="C1974" s="315"/>
      <c r="D1974" s="315"/>
      <c r="E1974" s="316"/>
      <c r="F1974" s="316"/>
      <c r="G1974" s="316"/>
      <c r="H1974" s="316"/>
      <c r="I1974" s="316"/>
      <c r="J1974" s="320"/>
    </row>
    <row r="1975">
      <c r="A1975" s="321"/>
      <c r="B1975" s="315"/>
      <c r="C1975" s="315"/>
      <c r="D1975" s="315"/>
      <c r="E1975" s="316"/>
      <c r="F1975" s="316"/>
      <c r="G1975" s="316"/>
      <c r="H1975" s="316"/>
      <c r="I1975" s="316"/>
      <c r="J1975" s="320"/>
    </row>
    <row r="1976">
      <c r="A1976" s="321"/>
      <c r="B1976" s="315"/>
      <c r="C1976" s="315"/>
      <c r="D1976" s="315"/>
      <c r="E1976" s="316"/>
      <c r="F1976" s="316"/>
      <c r="G1976" s="316"/>
      <c r="H1976" s="316"/>
      <c r="I1976" s="316"/>
      <c r="J1976" s="320"/>
    </row>
    <row r="1977">
      <c r="A1977" s="321"/>
      <c r="B1977" s="315"/>
      <c r="C1977" s="315"/>
      <c r="D1977" s="315"/>
      <c r="E1977" s="316"/>
      <c r="F1977" s="316"/>
      <c r="G1977" s="316"/>
      <c r="H1977" s="316"/>
      <c r="I1977" s="316"/>
      <c r="J1977" s="320"/>
    </row>
    <row r="1978">
      <c r="A1978" s="321"/>
      <c r="B1978" s="315"/>
      <c r="C1978" s="315"/>
      <c r="D1978" s="315"/>
      <c r="E1978" s="316"/>
      <c r="F1978" s="316"/>
      <c r="G1978" s="316"/>
      <c r="H1978" s="316"/>
      <c r="I1978" s="316"/>
      <c r="J1978" s="320"/>
    </row>
    <row r="1979">
      <c r="A1979" s="321"/>
      <c r="B1979" s="315"/>
      <c r="C1979" s="315"/>
      <c r="D1979" s="315"/>
      <c r="E1979" s="316"/>
      <c r="F1979" s="316"/>
      <c r="G1979" s="316"/>
      <c r="H1979" s="316"/>
      <c r="I1979" s="316"/>
      <c r="J1979" s="320"/>
    </row>
    <row r="1980">
      <c r="A1980" s="321"/>
      <c r="B1980" s="315"/>
      <c r="C1980" s="315"/>
      <c r="D1980" s="315"/>
      <c r="E1980" s="316"/>
      <c r="F1980" s="316"/>
      <c r="G1980" s="316"/>
      <c r="H1980" s="316"/>
      <c r="I1980" s="316"/>
      <c r="J1980" s="320"/>
    </row>
    <row r="1981">
      <c r="A1981" s="321"/>
      <c r="B1981" s="315"/>
      <c r="C1981" s="315"/>
      <c r="D1981" s="315"/>
      <c r="E1981" s="316"/>
      <c r="F1981" s="316"/>
      <c r="G1981" s="316"/>
      <c r="H1981" s="316"/>
      <c r="I1981" s="316"/>
      <c r="J1981" s="320"/>
    </row>
    <row r="1982">
      <c r="A1982" s="321"/>
      <c r="B1982" s="315"/>
      <c r="C1982" s="315"/>
      <c r="D1982" s="315"/>
      <c r="E1982" s="316"/>
      <c r="F1982" s="316"/>
      <c r="G1982" s="316"/>
      <c r="H1982" s="316"/>
      <c r="I1982" s="316"/>
      <c r="J1982" s="320"/>
    </row>
    <row r="1983">
      <c r="A1983" s="321"/>
      <c r="B1983" s="315"/>
      <c r="C1983" s="315"/>
      <c r="D1983" s="315"/>
      <c r="E1983" s="316"/>
      <c r="F1983" s="316"/>
      <c r="G1983" s="316"/>
      <c r="H1983" s="316"/>
      <c r="I1983" s="316"/>
      <c r="J1983" s="320"/>
    </row>
    <row r="1984">
      <c r="A1984" s="321"/>
      <c r="B1984" s="315"/>
      <c r="C1984" s="315"/>
      <c r="D1984" s="315"/>
      <c r="E1984" s="316"/>
      <c r="F1984" s="316"/>
      <c r="G1984" s="316"/>
      <c r="H1984" s="316"/>
      <c r="I1984" s="316"/>
      <c r="J1984" s="320"/>
    </row>
    <row r="1985">
      <c r="A1985" s="321"/>
      <c r="B1985" s="315"/>
      <c r="C1985" s="315"/>
      <c r="D1985" s="315"/>
      <c r="E1985" s="316"/>
      <c r="F1985" s="316"/>
      <c r="G1985" s="316"/>
      <c r="H1985" s="316"/>
      <c r="I1985" s="316"/>
      <c r="J1985" s="320"/>
    </row>
    <row r="1986">
      <c r="A1986" s="321"/>
      <c r="B1986" s="315"/>
      <c r="C1986" s="315"/>
      <c r="D1986" s="315"/>
      <c r="E1986" s="316"/>
      <c r="F1986" s="316"/>
      <c r="G1986" s="316"/>
      <c r="H1986" s="316"/>
      <c r="I1986" s="316"/>
      <c r="J1986" s="320"/>
    </row>
    <row r="1987">
      <c r="A1987" s="321"/>
      <c r="B1987" s="315"/>
      <c r="C1987" s="315"/>
      <c r="D1987" s="315"/>
      <c r="E1987" s="316"/>
      <c r="F1987" s="316"/>
      <c r="G1987" s="316"/>
      <c r="H1987" s="316"/>
      <c r="I1987" s="316"/>
      <c r="J1987" s="320"/>
    </row>
    <row r="1988">
      <c r="A1988" s="321"/>
      <c r="B1988" s="315"/>
      <c r="C1988" s="315"/>
      <c r="D1988" s="315"/>
      <c r="E1988" s="316"/>
      <c r="F1988" s="316"/>
      <c r="G1988" s="316"/>
      <c r="H1988" s="316"/>
      <c r="I1988" s="316"/>
      <c r="J1988" s="320"/>
    </row>
    <row r="1989">
      <c r="A1989" s="321"/>
      <c r="B1989" s="315"/>
      <c r="C1989" s="315"/>
      <c r="D1989" s="315"/>
      <c r="E1989" s="316"/>
      <c r="F1989" s="316"/>
      <c r="G1989" s="316"/>
      <c r="H1989" s="316"/>
      <c r="I1989" s="316"/>
      <c r="J1989" s="320"/>
    </row>
    <row r="1990">
      <c r="A1990" s="321"/>
      <c r="B1990" s="315"/>
      <c r="C1990" s="315"/>
      <c r="D1990" s="315"/>
      <c r="E1990" s="316"/>
      <c r="F1990" s="316"/>
      <c r="G1990" s="316"/>
      <c r="H1990" s="316"/>
      <c r="I1990" s="316"/>
      <c r="J1990" s="320"/>
    </row>
    <row r="1991">
      <c r="A1991" s="321"/>
      <c r="B1991" s="315"/>
      <c r="C1991" s="315"/>
      <c r="D1991" s="315"/>
      <c r="E1991" s="316"/>
      <c r="F1991" s="316"/>
      <c r="G1991" s="316"/>
      <c r="H1991" s="316"/>
      <c r="I1991" s="316"/>
      <c r="J1991" s="320"/>
    </row>
    <row r="1992">
      <c r="A1992" s="321"/>
      <c r="B1992" s="315"/>
      <c r="C1992" s="315"/>
      <c r="D1992" s="315"/>
      <c r="E1992" s="316"/>
      <c r="F1992" s="316"/>
      <c r="G1992" s="316"/>
      <c r="H1992" s="316"/>
      <c r="I1992" s="316"/>
      <c r="J1992" s="320"/>
    </row>
    <row r="1993">
      <c r="A1993" s="321"/>
      <c r="B1993" s="315"/>
      <c r="C1993" s="315"/>
      <c r="D1993" s="315"/>
      <c r="E1993" s="316"/>
      <c r="F1993" s="316"/>
      <c r="G1993" s="316"/>
      <c r="H1993" s="316"/>
      <c r="I1993" s="316"/>
      <c r="J1993" s="320"/>
    </row>
    <row r="1994">
      <c r="A1994" s="321"/>
      <c r="B1994" s="315"/>
      <c r="C1994" s="315"/>
      <c r="D1994" s="315"/>
      <c r="E1994" s="316"/>
      <c r="F1994" s="316"/>
      <c r="G1994" s="316"/>
      <c r="H1994" s="316"/>
      <c r="I1994" s="316"/>
      <c r="J1994" s="320"/>
    </row>
    <row r="1995">
      <c r="A1995" s="321"/>
      <c r="B1995" s="315"/>
      <c r="C1995" s="315"/>
      <c r="D1995" s="315"/>
      <c r="E1995" s="316"/>
      <c r="F1995" s="316"/>
      <c r="G1995" s="316"/>
      <c r="H1995" s="316"/>
      <c r="I1995" s="316"/>
      <c r="J1995" s="320"/>
    </row>
    <row r="1996">
      <c r="A1996" s="321"/>
      <c r="B1996" s="315"/>
      <c r="C1996" s="315"/>
      <c r="D1996" s="315"/>
      <c r="E1996" s="316"/>
      <c r="F1996" s="316"/>
      <c r="G1996" s="316"/>
      <c r="H1996" s="316"/>
      <c r="I1996" s="316"/>
      <c r="J1996" s="320"/>
    </row>
    <row r="1997">
      <c r="A1997" s="321"/>
      <c r="B1997" s="315"/>
      <c r="C1997" s="315"/>
      <c r="D1997" s="315"/>
      <c r="E1997" s="316"/>
      <c r="F1997" s="316"/>
      <c r="G1997" s="316"/>
      <c r="H1997" s="316"/>
      <c r="I1997" s="316"/>
      <c r="J1997" s="320"/>
    </row>
    <row r="1998">
      <c r="A1998" s="321"/>
      <c r="B1998" s="315"/>
      <c r="C1998" s="315"/>
      <c r="D1998" s="315"/>
      <c r="E1998" s="316"/>
      <c r="F1998" s="316"/>
      <c r="G1998" s="316"/>
      <c r="H1998" s="316"/>
      <c r="I1998" s="316"/>
      <c r="J1998" s="320"/>
    </row>
    <row r="1999">
      <c r="A1999" s="321"/>
      <c r="B1999" s="315"/>
      <c r="C1999" s="315"/>
      <c r="D1999" s="315"/>
      <c r="E1999" s="316"/>
      <c r="F1999" s="316"/>
      <c r="G1999" s="316"/>
      <c r="H1999" s="316"/>
      <c r="I1999" s="316"/>
      <c r="J1999" s="320"/>
    </row>
    <row r="2000">
      <c r="A2000" s="321"/>
      <c r="B2000" s="315"/>
      <c r="C2000" s="315"/>
      <c r="D2000" s="315"/>
      <c r="E2000" s="316"/>
      <c r="F2000" s="316"/>
      <c r="G2000" s="316"/>
      <c r="H2000" s="316"/>
      <c r="I2000" s="316"/>
      <c r="J2000" s="320"/>
    </row>
    <row r="2001">
      <c r="A2001" s="321"/>
      <c r="B2001" s="315"/>
      <c r="C2001" s="315"/>
      <c r="D2001" s="315"/>
      <c r="E2001" s="316"/>
      <c r="F2001" s="316"/>
      <c r="G2001" s="316"/>
      <c r="H2001" s="316"/>
      <c r="I2001" s="316"/>
      <c r="J2001" s="320"/>
    </row>
    <row r="2002">
      <c r="A2002" s="321"/>
      <c r="B2002" s="315"/>
      <c r="C2002" s="315"/>
      <c r="D2002" s="315"/>
      <c r="E2002" s="316"/>
      <c r="F2002" s="316"/>
      <c r="G2002" s="316"/>
      <c r="H2002" s="316"/>
      <c r="I2002" s="316"/>
      <c r="J2002" s="320"/>
    </row>
    <row r="2003">
      <c r="A2003" s="321"/>
      <c r="B2003" s="315"/>
      <c r="C2003" s="315"/>
      <c r="D2003" s="315"/>
      <c r="E2003" s="316"/>
      <c r="F2003" s="316"/>
      <c r="G2003" s="316"/>
      <c r="H2003" s="316"/>
      <c r="I2003" s="316"/>
      <c r="J2003" s="320"/>
    </row>
  </sheetData>
  <conditionalFormatting sqref="A2:A2003">
    <cfRule type="expression" dxfId="4" priority="1">
      <formula>COUNTIF(A2:A2003,A2)&gt;1</formula>
    </cfRule>
  </conditionalFormatting>
  <dataValidations>
    <dataValidation type="list" allowBlank="1" showErrorMessage="1" sqref="F2:F589 F594 F599 F604 F609 F614:F870 F875:F1257 F1260 F1263 F1266 F1269 F1272 F1275 F1278 F1281 F1284 F1287 F1290 F1293 F1296 F1299 F1302 F1305 F1308 F1311 F1314 F1317 F1320 F1323 F1326 F1329 F1332 F1335 F1338 F1341 F1344 F1347 F1350 F1353 F1356 F1359 F1362 F1365 F1368 F1371 F1374 F1377 F1380 F1383 F1386 F1389 F1392 F1395 F1398 F1401 F1404 F1407 F1410 F1413 F1416 F1419 F1422 F1425 F1428 F1431 F1434 F1437 F1440 F1443 F1446 F1449 F1452 F1455 F1458 F1461 F1464 F1467 F1470 F1473 F1476 F1479 F1482 F1485:F2003">
      <formula1>nombres!$Q$4:$Q2003</formula1>
    </dataValidation>
    <dataValidation type="list" allowBlank="1" showErrorMessage="1" sqref="B2:B2003">
      <formula1>nombres!$B$4:$B$6</formula1>
    </dataValidation>
    <dataValidation type="list" allowBlank="1" showErrorMessage="1" sqref="D2:D2003">
      <formula1>nombres!$D$4:$D2003</formula1>
    </dataValidation>
    <dataValidation type="list" allowBlank="1" sqref="F1258:F1259 F1261:F1262 F1264:F1265 F1267:F1268 F1270:F1271 F1273:F1274 F1276:F1277 F1279:F1280 F1282:F1283 F1285:F1286 F1288:F1289 F1291:F1292 F1294:F1295 F1297:F1298 F1300:F1301 F1303:F1304 F1306:F1307 F1309:F1310 F1312:F1313 F1315:F1316 F1318:F1319 F1321:F1322 F1324:F1325 F1327:F1328 F1330:F1331 F1333:F1334 F1336:F1337 F1339:F1340 F1342:F1343 F1345:F1346 F1348:F1349 F1351:F1352 F1354:F1355 F1357:F1358 F1360:F1361 F1363:F1364 F1366:F1367 F1369:F1370 F1372:F1373 F1375:F1376 F1378:F1379 F1381:F1382 F1384:F1385 F1387:F1388 F1390:F1391 F1393:F1394 F1396:F1397 F1399:F1400 F1402:F1403 F1405:F1406 F1408:F1409 F1411:F1412 F1414:F1415 F1417:F1418 F1420:F1421 F1423:F1424 F1426:F1427 F1429:F1430 F1432:F1433 F1435:F1436 F1438:F1439 F1441:F1442 F1444:F1445 F1447:F1448 F1450:F1451 F1453:F1454 F1456:F1457 F1459:F1460 F1462:F1463 F1465:F1466 F1468:F1469 F1471:F1472 F1474:F1475 F1477:F1478 F1480:F1481 F1483:F1484">
      <formula1>nombres!$Q$4:$Q$22</formula1>
    </dataValidation>
    <dataValidation type="list" allowBlank="1" showErrorMessage="1" sqref="C2:C2003">
      <formula1>nombres!$F$4:$F$22</formula1>
    </dataValidation>
    <dataValidation type="list" allowBlank="1" sqref="E2:E2003">
      <formula1>nombres!$H$4:$H$21</formula1>
    </dataValidation>
    <dataValidation type="list" allowBlank="1" sqref="G2:G2003">
      <formula1>nombres!$S$5:$S2003</formula1>
    </dataValidation>
    <dataValidation type="list" allowBlank="1" sqref="H2:H2003">
      <formula1>nombres!$U$4:$U2003</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29.63"/>
    <col customWidth="1" min="3" max="3" width="3.63"/>
    <col customWidth="1" min="4" max="4" width="14.38"/>
    <col customWidth="1" min="5" max="5" width="3.13"/>
    <col customWidth="1" min="7" max="7" width="2.88"/>
    <col customWidth="1" min="14" max="15" width="19.25"/>
    <col customWidth="1" min="16" max="16" width="2.63"/>
    <col customWidth="1" min="17" max="17" width="18.38"/>
    <col customWidth="1" min="18" max="18" width="3.13"/>
    <col customWidth="1" min="19" max="19" width="7.88"/>
    <col customWidth="1" min="20" max="20" width="4.75"/>
    <col customWidth="1" min="21" max="21" width="9.38"/>
  </cols>
  <sheetData>
    <row r="1">
      <c r="W1" s="81"/>
    </row>
    <row r="2">
      <c r="W2" s="336" t="s">
        <v>1481</v>
      </c>
      <c r="X2" s="337"/>
      <c r="Y2" s="337"/>
      <c r="Z2" s="337"/>
      <c r="AA2" s="337"/>
      <c r="AB2" s="338"/>
      <c r="AD2" s="339" t="s">
        <v>1460</v>
      </c>
      <c r="AE2" s="339" t="s">
        <v>403</v>
      </c>
      <c r="AF2" s="339" t="s">
        <v>406</v>
      </c>
      <c r="AG2" s="339" t="s">
        <v>408</v>
      </c>
      <c r="AH2" s="339" t="s">
        <v>404</v>
      </c>
      <c r="AJ2" s="81" t="s">
        <v>1482</v>
      </c>
      <c r="AM2" s="81" t="s">
        <v>368</v>
      </c>
      <c r="AN2" s="81" t="s">
        <v>1483</v>
      </c>
      <c r="AO2" s="77"/>
      <c r="AP2" s="77"/>
      <c r="AQ2" s="77"/>
      <c r="AR2" s="77"/>
      <c r="AS2" s="77"/>
      <c r="AT2" s="77"/>
      <c r="AU2" s="77"/>
      <c r="AV2" s="77"/>
    </row>
    <row r="3">
      <c r="B3" s="340" t="s">
        <v>1484</v>
      </c>
      <c r="D3" s="340" t="s">
        <v>401</v>
      </c>
      <c r="F3" s="340" t="s">
        <v>1485</v>
      </c>
      <c r="H3" s="340" t="s">
        <v>403</v>
      </c>
      <c r="I3" s="340" t="s">
        <v>370</v>
      </c>
      <c r="J3" s="340" t="s">
        <v>1486</v>
      </c>
      <c r="K3" s="340" t="s">
        <v>1487</v>
      </c>
      <c r="L3" s="340" t="s">
        <v>1488</v>
      </c>
      <c r="M3" s="340" t="s">
        <v>5</v>
      </c>
      <c r="N3" s="340" t="s">
        <v>1489</v>
      </c>
      <c r="O3" s="340" t="s">
        <v>1490</v>
      </c>
      <c r="Q3" s="340" t="s">
        <v>1491</v>
      </c>
      <c r="S3" s="340" t="s">
        <v>353</v>
      </c>
      <c r="T3" s="277"/>
      <c r="U3" s="340" t="s">
        <v>1492</v>
      </c>
      <c r="W3" s="341" t="s">
        <v>405</v>
      </c>
      <c r="X3" s="342" t="s">
        <v>407</v>
      </c>
      <c r="Y3" s="342" t="s">
        <v>409</v>
      </c>
      <c r="Z3" s="342" t="s">
        <v>410</v>
      </c>
      <c r="AA3" s="343" t="s">
        <v>411</v>
      </c>
      <c r="AB3" s="344" t="s">
        <v>412</v>
      </c>
      <c r="AD3" s="345">
        <v>50495.0</v>
      </c>
      <c r="AE3" s="346" t="s">
        <v>405</v>
      </c>
      <c r="AF3" s="77" t="s">
        <v>1493</v>
      </c>
      <c r="AG3" s="77" t="s">
        <v>1493</v>
      </c>
      <c r="AH3" s="77" t="s">
        <v>1493</v>
      </c>
      <c r="AI3" s="77"/>
      <c r="AJ3" s="77" t="s">
        <v>490</v>
      </c>
      <c r="AM3" s="299" t="s">
        <v>376</v>
      </c>
      <c r="AN3" s="38" t="s">
        <v>1494</v>
      </c>
      <c r="AO3" s="77" t="s">
        <v>2</v>
      </c>
      <c r="AP3" s="77" t="s">
        <v>1495</v>
      </c>
      <c r="AQ3" s="77"/>
      <c r="AR3" s="118" t="s">
        <v>3</v>
      </c>
      <c r="AS3" s="118" t="s">
        <v>18</v>
      </c>
      <c r="AT3" s="118" t="s">
        <v>24</v>
      </c>
      <c r="AU3" s="118" t="s">
        <v>32</v>
      </c>
      <c r="AV3" s="77"/>
    </row>
    <row r="4">
      <c r="A4" s="227"/>
      <c r="B4" s="347" t="s">
        <v>394</v>
      </c>
      <c r="C4" s="227"/>
      <c r="D4" s="348" t="s">
        <v>404</v>
      </c>
      <c r="E4" s="227"/>
      <c r="F4" s="349" t="s">
        <v>398</v>
      </c>
      <c r="G4" s="227"/>
      <c r="H4" s="350" t="s">
        <v>1496</v>
      </c>
      <c r="I4" s="351" t="s">
        <v>1497</v>
      </c>
      <c r="J4" s="351" t="s">
        <v>375</v>
      </c>
      <c r="K4" s="350" t="s">
        <v>90</v>
      </c>
      <c r="L4" s="350" t="s">
        <v>1498</v>
      </c>
      <c r="M4" s="351" t="s">
        <v>16</v>
      </c>
      <c r="N4" s="351" t="s">
        <v>1499</v>
      </c>
      <c r="O4" s="350" t="s">
        <v>90</v>
      </c>
      <c r="P4" s="227"/>
      <c r="Q4" s="352" t="s">
        <v>1500</v>
      </c>
      <c r="R4" s="227"/>
      <c r="S4" s="353" t="s">
        <v>417</v>
      </c>
      <c r="T4" s="354"/>
      <c r="U4" s="355" t="s">
        <v>415</v>
      </c>
      <c r="V4" s="227"/>
      <c r="W4" s="356" t="s">
        <v>93</v>
      </c>
      <c r="X4" s="357" t="s">
        <v>138</v>
      </c>
      <c r="Y4" s="357" t="s">
        <v>60</v>
      </c>
      <c r="Z4" s="357" t="s">
        <v>340</v>
      </c>
      <c r="AA4" s="357" t="s">
        <v>324</v>
      </c>
      <c r="AB4" s="358" t="s">
        <v>297</v>
      </c>
      <c r="AC4" s="227"/>
      <c r="AD4" s="345">
        <v>50547.0</v>
      </c>
      <c r="AE4" s="346" t="s">
        <v>405</v>
      </c>
      <c r="AF4" s="77" t="s">
        <v>1493</v>
      </c>
      <c r="AG4" s="77" t="s">
        <v>1493</v>
      </c>
      <c r="AH4" s="77" t="s">
        <v>1493</v>
      </c>
      <c r="AI4" s="77"/>
      <c r="AJ4" s="77" t="s">
        <v>483</v>
      </c>
      <c r="AK4" s="227"/>
      <c r="AL4" s="227"/>
      <c r="AM4" s="299" t="s">
        <v>376</v>
      </c>
      <c r="AN4" s="359" t="s">
        <v>1501</v>
      </c>
      <c r="AO4" s="299" t="s">
        <v>376</v>
      </c>
      <c r="AP4" s="359" t="s">
        <v>1502</v>
      </c>
      <c r="AQ4" s="359"/>
      <c r="AR4" s="38" t="s">
        <v>1503</v>
      </c>
      <c r="AS4" s="38" t="s">
        <v>1504</v>
      </c>
      <c r="AT4" s="38" t="s">
        <v>1505</v>
      </c>
      <c r="AU4" s="38" t="s">
        <v>1506</v>
      </c>
      <c r="AV4" s="359"/>
    </row>
    <row r="5">
      <c r="A5" s="227"/>
      <c r="B5" s="349" t="s">
        <v>1472</v>
      </c>
      <c r="C5" s="227"/>
      <c r="D5" s="360" t="s">
        <v>406</v>
      </c>
      <c r="E5" s="227"/>
      <c r="F5" s="349" t="s">
        <v>396</v>
      </c>
      <c r="G5" s="227"/>
      <c r="H5" s="350" t="s">
        <v>1507</v>
      </c>
      <c r="I5" s="351" t="s">
        <v>1508</v>
      </c>
      <c r="J5" s="361" t="s">
        <v>486</v>
      </c>
      <c r="K5" s="362" t="s">
        <v>13</v>
      </c>
      <c r="L5" s="362" t="s">
        <v>1509</v>
      </c>
      <c r="M5" s="363" t="s">
        <v>16</v>
      </c>
      <c r="N5" s="351" t="s">
        <v>1510</v>
      </c>
      <c r="O5" s="350" t="s">
        <v>1511</v>
      </c>
      <c r="P5" s="227"/>
      <c r="Q5" s="352" t="s">
        <v>1512</v>
      </c>
      <c r="R5" s="227"/>
      <c r="S5" s="360" t="s">
        <v>418</v>
      </c>
      <c r="T5" s="354"/>
      <c r="U5" s="355" t="s">
        <v>416</v>
      </c>
      <c r="V5" s="227"/>
      <c r="W5" s="356" t="s">
        <v>94</v>
      </c>
      <c r="X5" s="364" t="s">
        <v>232</v>
      </c>
      <c r="Y5" s="357" t="s">
        <v>57</v>
      </c>
      <c r="Z5" s="357" t="s">
        <v>343</v>
      </c>
      <c r="AA5" s="357" t="s">
        <v>325</v>
      </c>
      <c r="AB5" s="365" t="s">
        <v>88</v>
      </c>
      <c r="AC5" s="227"/>
      <c r="AD5" s="345">
        <v>50550.0</v>
      </c>
      <c r="AE5" s="346" t="s">
        <v>405</v>
      </c>
      <c r="AF5" s="77" t="s">
        <v>1493</v>
      </c>
      <c r="AG5" s="77" t="s">
        <v>1493</v>
      </c>
      <c r="AH5" s="77" t="s">
        <v>1493</v>
      </c>
      <c r="AI5" s="77"/>
      <c r="AJ5" s="77" t="s">
        <v>500</v>
      </c>
      <c r="AK5" s="227"/>
      <c r="AL5" s="227"/>
      <c r="AM5" s="299" t="s">
        <v>377</v>
      </c>
      <c r="AN5" s="359" t="s">
        <v>1513</v>
      </c>
      <c r="AO5" s="299" t="s">
        <v>377</v>
      </c>
      <c r="AP5" s="359" t="s">
        <v>1514</v>
      </c>
      <c r="AQ5" s="359"/>
      <c r="AR5" s="38" t="s">
        <v>1515</v>
      </c>
      <c r="AS5" s="38" t="s">
        <v>1504</v>
      </c>
      <c r="AT5" s="38" t="s">
        <v>1505</v>
      </c>
      <c r="AU5" s="38" t="s">
        <v>1506</v>
      </c>
      <c r="AV5" s="359"/>
    </row>
    <row r="6">
      <c r="A6" s="227"/>
      <c r="B6" s="349" t="s">
        <v>1480</v>
      </c>
      <c r="C6" s="227"/>
      <c r="D6" s="349" t="s">
        <v>408</v>
      </c>
      <c r="E6" s="227"/>
      <c r="F6" s="349"/>
      <c r="G6" s="227"/>
      <c r="H6" s="350" t="s">
        <v>1516</v>
      </c>
      <c r="I6" s="351" t="s">
        <v>1517</v>
      </c>
      <c r="J6" s="366" t="s">
        <v>504</v>
      </c>
      <c r="K6" s="350" t="s">
        <v>48</v>
      </c>
      <c r="L6" s="350" t="s">
        <v>1518</v>
      </c>
      <c r="M6" s="351" t="s">
        <v>16</v>
      </c>
      <c r="N6" s="351" t="s">
        <v>1519</v>
      </c>
      <c r="O6" s="350" t="s">
        <v>1520</v>
      </c>
      <c r="P6" s="227"/>
      <c r="Q6" s="352" t="s">
        <v>1462</v>
      </c>
      <c r="R6" s="227"/>
      <c r="S6" s="353" t="s">
        <v>419</v>
      </c>
      <c r="T6" s="227"/>
      <c r="U6" s="347"/>
      <c r="V6" s="227"/>
      <c r="W6" s="356" t="s">
        <v>95</v>
      </c>
      <c r="X6" s="364" t="s">
        <v>233</v>
      </c>
      <c r="Y6" s="357" t="s">
        <v>62</v>
      </c>
      <c r="Z6" s="357" t="s">
        <v>338</v>
      </c>
      <c r="AA6" s="357" t="s">
        <v>326</v>
      </c>
      <c r="AB6" s="365" t="s">
        <v>298</v>
      </c>
      <c r="AC6" s="227"/>
      <c r="AD6" s="345">
        <v>50553.0</v>
      </c>
      <c r="AE6" s="346" t="s">
        <v>405</v>
      </c>
      <c r="AF6" s="77" t="s">
        <v>1493</v>
      </c>
      <c r="AG6" s="77" t="s">
        <v>1521</v>
      </c>
      <c r="AH6" s="77" t="s">
        <v>1521</v>
      </c>
      <c r="AI6" s="77"/>
      <c r="AJ6" s="77" t="s">
        <v>495</v>
      </c>
      <c r="AK6" s="227"/>
      <c r="AL6" s="227"/>
      <c r="AM6" s="299" t="s">
        <v>378</v>
      </c>
      <c r="AN6" s="359" t="s">
        <v>1522</v>
      </c>
      <c r="AO6" s="299" t="s">
        <v>378</v>
      </c>
      <c r="AP6" s="359" t="s">
        <v>1523</v>
      </c>
      <c r="AQ6" s="359"/>
      <c r="AR6" s="38" t="s">
        <v>1524</v>
      </c>
      <c r="AS6" s="38" t="s">
        <v>1504</v>
      </c>
      <c r="AT6" s="38" t="s">
        <v>1505</v>
      </c>
      <c r="AU6" s="38" t="s">
        <v>1506</v>
      </c>
      <c r="AV6" s="359"/>
    </row>
    <row r="7">
      <c r="A7" s="227"/>
      <c r="B7" s="347"/>
      <c r="C7" s="227"/>
      <c r="D7" s="348"/>
      <c r="E7" s="227"/>
      <c r="F7" s="347"/>
      <c r="G7" s="227"/>
      <c r="H7" s="350" t="s">
        <v>1525</v>
      </c>
      <c r="I7" s="351" t="s">
        <v>1526</v>
      </c>
      <c r="J7" s="366" t="s">
        <v>506</v>
      </c>
      <c r="K7" s="362" t="s">
        <v>64</v>
      </c>
      <c r="L7" s="362" t="s">
        <v>1527</v>
      </c>
      <c r="M7" s="363" t="s">
        <v>16</v>
      </c>
      <c r="N7" s="351" t="s">
        <v>1528</v>
      </c>
      <c r="O7" s="350" t="s">
        <v>1529</v>
      </c>
      <c r="P7" s="227"/>
      <c r="Q7" s="367" t="s">
        <v>1463</v>
      </c>
      <c r="R7" s="227"/>
      <c r="S7" s="360" t="s">
        <v>420</v>
      </c>
      <c r="T7" s="227"/>
      <c r="U7" s="347"/>
      <c r="V7" s="227"/>
      <c r="W7" s="356" t="s">
        <v>97</v>
      </c>
      <c r="X7" s="364" t="s">
        <v>234</v>
      </c>
      <c r="Y7" s="357" t="s">
        <v>51</v>
      </c>
      <c r="Z7" s="357" t="s">
        <v>339</v>
      </c>
      <c r="AA7" s="357" t="s">
        <v>328</v>
      </c>
      <c r="AB7" s="365" t="s">
        <v>1470</v>
      </c>
      <c r="AC7" s="227"/>
      <c r="AD7" s="368">
        <v>50558.0</v>
      </c>
      <c r="AE7" s="346" t="s">
        <v>405</v>
      </c>
      <c r="AF7" s="77" t="s">
        <v>1493</v>
      </c>
      <c r="AG7" s="77" t="s">
        <v>1493</v>
      </c>
      <c r="AH7" s="77" t="s">
        <v>1493</v>
      </c>
      <c r="AI7" s="77"/>
      <c r="AJ7" s="77" t="s">
        <v>481</v>
      </c>
      <c r="AK7" s="227"/>
      <c r="AL7" s="227"/>
      <c r="AM7" s="369" t="s">
        <v>379</v>
      </c>
      <c r="AN7" s="359" t="s">
        <v>1530</v>
      </c>
      <c r="AO7" s="369" t="s">
        <v>379</v>
      </c>
      <c r="AP7" s="359" t="s">
        <v>1531</v>
      </c>
      <c r="AQ7" s="359"/>
      <c r="AR7" s="38" t="s">
        <v>1532</v>
      </c>
      <c r="AS7" s="38" t="s">
        <v>1504</v>
      </c>
      <c r="AT7" s="38" t="s">
        <v>1505</v>
      </c>
      <c r="AU7" s="38" t="s">
        <v>1506</v>
      </c>
      <c r="AV7" s="359"/>
    </row>
    <row r="8">
      <c r="A8" s="227"/>
      <c r="B8" s="347"/>
      <c r="C8" s="227"/>
      <c r="D8" s="347"/>
      <c r="E8" s="227"/>
      <c r="F8" s="347"/>
      <c r="G8" s="227"/>
      <c r="H8" s="350" t="s">
        <v>1533</v>
      </c>
      <c r="I8" s="351" t="s">
        <v>1534</v>
      </c>
      <c r="J8" s="366" t="s">
        <v>519</v>
      </c>
      <c r="K8" s="350" t="s">
        <v>70</v>
      </c>
      <c r="L8" s="350" t="s">
        <v>1535</v>
      </c>
      <c r="M8" s="351" t="s">
        <v>16</v>
      </c>
      <c r="N8" s="351" t="s">
        <v>1536</v>
      </c>
      <c r="O8" s="350" t="s">
        <v>1537</v>
      </c>
      <c r="P8" s="227"/>
      <c r="Q8" s="370" t="s">
        <v>1464</v>
      </c>
      <c r="R8" s="227"/>
      <c r="S8" s="349" t="s">
        <v>421</v>
      </c>
      <c r="T8" s="227"/>
      <c r="U8" s="347"/>
      <c r="V8" s="227"/>
      <c r="W8" s="371" t="s">
        <v>98</v>
      </c>
      <c r="X8" s="372" t="s">
        <v>136</v>
      </c>
      <c r="Y8" s="372" t="s">
        <v>56</v>
      </c>
      <c r="Z8" s="372" t="s">
        <v>1469</v>
      </c>
      <c r="AA8" s="372" t="s">
        <v>331</v>
      </c>
      <c r="AB8" s="365" t="s">
        <v>315</v>
      </c>
      <c r="AC8" s="227"/>
      <c r="AD8" s="368">
        <v>50765.0</v>
      </c>
      <c r="AE8" s="346" t="s">
        <v>405</v>
      </c>
      <c r="AF8" s="77" t="s">
        <v>1493</v>
      </c>
      <c r="AG8" s="77" t="s">
        <v>1493</v>
      </c>
      <c r="AH8" s="77" t="s">
        <v>1493</v>
      </c>
      <c r="AI8" s="299"/>
      <c r="AJ8" s="299" t="s">
        <v>509</v>
      </c>
      <c r="AK8" s="227"/>
      <c r="AL8" s="227"/>
      <c r="AM8" s="227"/>
      <c r="AN8" s="227"/>
      <c r="AO8" s="227"/>
      <c r="AP8" s="227"/>
      <c r="AQ8" s="227"/>
      <c r="AR8" s="77" t="s">
        <v>1538</v>
      </c>
      <c r="AS8" s="77" t="s">
        <v>1504</v>
      </c>
      <c r="AT8" s="77" t="s">
        <v>1505</v>
      </c>
      <c r="AU8" s="77" t="s">
        <v>1506</v>
      </c>
      <c r="AV8" s="227"/>
    </row>
    <row r="9">
      <c r="A9" s="227"/>
      <c r="B9" s="347"/>
      <c r="C9" s="227"/>
      <c r="D9" s="347"/>
      <c r="E9" s="227"/>
      <c r="F9" s="347"/>
      <c r="G9" s="227"/>
      <c r="H9" s="373" t="s">
        <v>1539</v>
      </c>
      <c r="I9" s="351" t="s">
        <v>1540</v>
      </c>
      <c r="J9" s="374" t="s">
        <v>525</v>
      </c>
      <c r="K9" s="375" t="s">
        <v>84</v>
      </c>
      <c r="L9" s="375" t="s">
        <v>1541</v>
      </c>
      <c r="M9" s="376" t="s">
        <v>16</v>
      </c>
      <c r="N9" s="351" t="s">
        <v>1542</v>
      </c>
      <c r="O9" s="350" t="s">
        <v>1543</v>
      </c>
      <c r="P9" s="227"/>
      <c r="Q9" s="370" t="s">
        <v>1465</v>
      </c>
      <c r="R9" s="227"/>
      <c r="S9" s="360" t="s">
        <v>422</v>
      </c>
      <c r="T9" s="227"/>
      <c r="U9" s="347"/>
      <c r="V9" s="227"/>
      <c r="W9" s="371" t="s">
        <v>101</v>
      </c>
      <c r="X9" s="372" t="s">
        <v>235</v>
      </c>
      <c r="Y9" s="372" t="s">
        <v>59</v>
      </c>
      <c r="Z9" s="372" t="s">
        <v>342</v>
      </c>
      <c r="AA9" s="372" t="s">
        <v>332</v>
      </c>
      <c r="AB9" s="365" t="s">
        <v>1471</v>
      </c>
      <c r="AC9" s="227"/>
      <c r="AD9" s="368">
        <v>50796.0</v>
      </c>
      <c r="AE9" s="346" t="s">
        <v>405</v>
      </c>
      <c r="AF9" s="77" t="s">
        <v>1493</v>
      </c>
      <c r="AG9" s="77" t="s">
        <v>1493</v>
      </c>
      <c r="AH9" s="77" t="s">
        <v>1493</v>
      </c>
      <c r="AI9" s="287"/>
      <c r="AJ9" s="287"/>
      <c r="AK9" s="227"/>
      <c r="AL9" s="227"/>
      <c r="AM9" s="227"/>
      <c r="AN9" s="227"/>
      <c r="AO9" s="227"/>
      <c r="AP9" s="227"/>
      <c r="AQ9" s="227"/>
      <c r="AR9" s="227"/>
      <c r="AS9" s="227"/>
      <c r="AT9" s="227"/>
      <c r="AU9" s="227"/>
      <c r="AV9" s="227"/>
    </row>
    <row r="10">
      <c r="A10" s="227"/>
      <c r="B10" s="347"/>
      <c r="C10" s="227"/>
      <c r="D10" s="347"/>
      <c r="E10" s="227"/>
      <c r="F10" s="347"/>
      <c r="G10" s="227"/>
      <c r="H10" s="347"/>
      <c r="I10" s="377" t="s">
        <v>365</v>
      </c>
      <c r="J10" s="377" t="s">
        <v>365</v>
      </c>
      <c r="K10" s="378" t="s">
        <v>1544</v>
      </c>
      <c r="L10" s="347"/>
      <c r="M10" s="347"/>
      <c r="N10" s="378" t="s">
        <v>365</v>
      </c>
      <c r="O10" s="378" t="s">
        <v>365</v>
      </c>
      <c r="P10" s="227"/>
      <c r="Q10" s="379" t="s">
        <v>1466</v>
      </c>
      <c r="R10" s="227"/>
      <c r="S10" s="380"/>
      <c r="T10" s="227"/>
      <c r="U10" s="347"/>
      <c r="V10" s="227"/>
      <c r="W10" s="371" t="s">
        <v>321</v>
      </c>
      <c r="X10" s="372" t="s">
        <v>236</v>
      </c>
      <c r="Y10" s="372" t="s">
        <v>52</v>
      </c>
      <c r="Z10" s="372"/>
      <c r="AA10" s="372" t="s">
        <v>335</v>
      </c>
      <c r="AB10" s="365" t="s">
        <v>317</v>
      </c>
      <c r="AC10" s="227"/>
      <c r="AD10" s="368">
        <v>50854.0</v>
      </c>
      <c r="AE10" s="346" t="s">
        <v>405</v>
      </c>
      <c r="AF10" s="77" t="s">
        <v>1493</v>
      </c>
      <c r="AG10" s="77" t="s">
        <v>1493</v>
      </c>
      <c r="AH10" s="77" t="s">
        <v>1493</v>
      </c>
      <c r="AI10" s="298"/>
      <c r="AJ10" s="298"/>
      <c r="AK10" s="227"/>
      <c r="AL10" s="227"/>
      <c r="AM10" s="227"/>
      <c r="AN10" s="227"/>
      <c r="AO10" s="227"/>
      <c r="AP10" s="227"/>
      <c r="AQ10" s="227"/>
      <c r="AR10" s="227"/>
      <c r="AS10" s="227"/>
      <c r="AT10" s="227"/>
      <c r="AU10" s="227"/>
      <c r="AV10" s="227"/>
    </row>
    <row r="11">
      <c r="A11" s="227"/>
      <c r="B11" s="347"/>
      <c r="C11" s="227"/>
      <c r="D11" s="347"/>
      <c r="E11" s="227"/>
      <c r="F11" s="347"/>
      <c r="G11" s="227"/>
      <c r="H11" s="347"/>
      <c r="I11" s="380"/>
      <c r="J11" s="380"/>
      <c r="K11" s="347"/>
      <c r="L11" s="347"/>
      <c r="M11" s="347"/>
      <c r="N11" s="347"/>
      <c r="O11" s="347"/>
      <c r="P11" s="227"/>
      <c r="Q11" s="379" t="s">
        <v>1467</v>
      </c>
      <c r="R11" s="227"/>
      <c r="S11" s="347"/>
      <c r="T11" s="227"/>
      <c r="U11" s="347"/>
      <c r="V11" s="227"/>
      <c r="W11" s="371" t="s">
        <v>103</v>
      </c>
      <c r="X11" s="372" t="s">
        <v>131</v>
      </c>
      <c r="Y11" s="372" t="s">
        <v>63</v>
      </c>
      <c r="Z11" s="372"/>
      <c r="AA11" s="372" t="s">
        <v>336</v>
      </c>
      <c r="AB11" s="365" t="s">
        <v>87</v>
      </c>
      <c r="AC11" s="227"/>
      <c r="AD11" s="368">
        <v>50977.0</v>
      </c>
      <c r="AE11" s="346" t="s">
        <v>405</v>
      </c>
      <c r="AF11" s="77" t="s">
        <v>1493</v>
      </c>
      <c r="AG11" s="77" t="s">
        <v>1493</v>
      </c>
      <c r="AH11" s="77" t="s">
        <v>1493</v>
      </c>
      <c r="AI11" s="298"/>
      <c r="AJ11" s="298"/>
      <c r="AK11" s="227"/>
      <c r="AL11" s="227"/>
      <c r="AM11" s="227"/>
      <c r="AN11" s="227"/>
      <c r="AO11" s="227"/>
      <c r="AP11" s="227"/>
      <c r="AQ11" s="227"/>
      <c r="AR11" s="369" t="s">
        <v>2</v>
      </c>
      <c r="AS11" s="227"/>
      <c r="AT11" s="227"/>
      <c r="AU11" s="227"/>
      <c r="AV11" s="227"/>
    </row>
    <row r="12">
      <c r="A12" s="227"/>
      <c r="B12" s="347"/>
      <c r="C12" s="227"/>
      <c r="D12" s="347"/>
      <c r="E12" s="227"/>
      <c r="F12" s="347"/>
      <c r="G12" s="227"/>
      <c r="H12" s="347"/>
      <c r="I12" s="380"/>
      <c r="J12" s="380"/>
      <c r="K12" s="347"/>
      <c r="L12" s="347"/>
      <c r="M12" s="347"/>
      <c r="N12" s="347"/>
      <c r="O12" s="347"/>
      <c r="P12" s="227"/>
      <c r="Q12" s="381" t="s">
        <v>1473</v>
      </c>
      <c r="R12" s="227"/>
      <c r="S12" s="347"/>
      <c r="T12" s="227"/>
      <c r="U12" s="347"/>
      <c r="V12" s="227"/>
      <c r="W12" s="371" t="s">
        <v>104</v>
      </c>
      <c r="X12" s="372" t="s">
        <v>237</v>
      </c>
      <c r="Y12" s="372" t="s">
        <v>58</v>
      </c>
      <c r="Z12" s="372"/>
      <c r="AA12" s="372" t="s">
        <v>337</v>
      </c>
      <c r="AB12" s="365" t="s">
        <v>168</v>
      </c>
      <c r="AC12" s="227"/>
      <c r="AD12" s="368">
        <v>501344.0</v>
      </c>
      <c r="AE12" s="346" t="s">
        <v>405</v>
      </c>
      <c r="AF12" s="77" t="s">
        <v>1493</v>
      </c>
      <c r="AG12" s="77" t="s">
        <v>1521</v>
      </c>
      <c r="AH12" s="77" t="s">
        <v>1521</v>
      </c>
      <c r="AK12" s="227"/>
      <c r="AL12" s="227"/>
      <c r="AM12" s="227"/>
      <c r="AN12" s="227"/>
      <c r="AO12" s="227"/>
      <c r="AP12" s="227"/>
      <c r="AQ12" s="227"/>
      <c r="AR12" s="227"/>
      <c r="AS12" s="369" t="s">
        <v>1545</v>
      </c>
      <c r="AT12" s="369" t="s">
        <v>1514</v>
      </c>
      <c r="AU12" s="369" t="s">
        <v>1523</v>
      </c>
      <c r="AV12" s="369" t="s">
        <v>1531</v>
      </c>
    </row>
    <row r="13">
      <c r="A13" s="227"/>
      <c r="B13" s="347"/>
      <c r="C13" s="227"/>
      <c r="D13" s="347"/>
      <c r="E13" s="227"/>
      <c r="F13" s="347"/>
      <c r="G13" s="227"/>
      <c r="H13" s="347"/>
      <c r="I13" s="380"/>
      <c r="J13" s="380"/>
      <c r="K13" s="347"/>
      <c r="L13" s="347"/>
      <c r="M13" s="347"/>
      <c r="N13" s="347"/>
      <c r="O13" s="347"/>
      <c r="P13" s="227"/>
      <c r="Q13" s="381" t="s">
        <v>1474</v>
      </c>
      <c r="R13" s="227"/>
      <c r="S13" s="347"/>
      <c r="T13" s="227"/>
      <c r="U13" s="347"/>
      <c r="V13" s="227"/>
      <c r="W13" s="371" t="s">
        <v>105</v>
      </c>
      <c r="X13" s="372" t="s">
        <v>135</v>
      </c>
      <c r="Y13" s="372" t="s">
        <v>50</v>
      </c>
      <c r="Z13" s="372"/>
      <c r="AA13" s="372" t="s">
        <v>329</v>
      </c>
      <c r="AB13" s="365" t="s">
        <v>171</v>
      </c>
      <c r="AC13" s="227"/>
      <c r="AD13" s="368">
        <v>501432.0</v>
      </c>
      <c r="AE13" s="346" t="s">
        <v>405</v>
      </c>
      <c r="AF13" s="77" t="s">
        <v>1493</v>
      </c>
      <c r="AG13" s="77" t="s">
        <v>1493</v>
      </c>
      <c r="AH13" s="77" t="s">
        <v>1493</v>
      </c>
      <c r="AK13" s="227"/>
      <c r="AL13" s="227"/>
      <c r="AM13" s="227"/>
      <c r="AN13" s="227"/>
      <c r="AO13" s="227"/>
      <c r="AP13" s="227"/>
      <c r="AQ13" s="227"/>
      <c r="AR13" s="227"/>
      <c r="AS13" s="369">
        <f>10/20</f>
        <v>0.5</v>
      </c>
      <c r="AT13" s="227">
        <f>13/20</f>
        <v>0.65</v>
      </c>
      <c r="AU13" s="227">
        <f>17/20</f>
        <v>0.85</v>
      </c>
      <c r="AV13" s="227"/>
    </row>
    <row r="14">
      <c r="A14" s="227"/>
      <c r="B14" s="347"/>
      <c r="C14" s="227"/>
      <c r="D14" s="347"/>
      <c r="E14" s="227"/>
      <c r="F14" s="347"/>
      <c r="G14" s="227"/>
      <c r="H14" s="347"/>
      <c r="I14" s="380"/>
      <c r="J14" s="380"/>
      <c r="K14" s="347"/>
      <c r="L14" s="347"/>
      <c r="M14" s="347"/>
      <c r="N14" s="347"/>
      <c r="O14" s="347"/>
      <c r="P14" s="227"/>
      <c r="Q14" s="382" t="s">
        <v>1466</v>
      </c>
      <c r="R14" s="227"/>
      <c r="S14" s="347"/>
      <c r="T14" s="227"/>
      <c r="U14" s="347"/>
      <c r="V14" s="227"/>
      <c r="W14" s="371" t="s">
        <v>1546</v>
      </c>
      <c r="X14" s="372" t="s">
        <v>238</v>
      </c>
      <c r="Y14" s="372" t="s">
        <v>54</v>
      </c>
      <c r="Z14" s="372"/>
      <c r="AA14" s="372" t="s">
        <v>330</v>
      </c>
      <c r="AB14" s="365" t="s">
        <v>344</v>
      </c>
      <c r="AC14" s="227"/>
      <c r="AD14" s="368" t="s">
        <v>107</v>
      </c>
      <c r="AE14" s="346" t="s">
        <v>405</v>
      </c>
      <c r="AF14" s="77" t="s">
        <v>1493</v>
      </c>
      <c r="AG14" s="77" t="s">
        <v>1493</v>
      </c>
      <c r="AH14" s="77" t="s">
        <v>1493</v>
      </c>
      <c r="AR14" s="77">
        <v>50.0</v>
      </c>
      <c r="AS14" s="37">
        <f t="shared" ref="AS14:AU14" si="1">AS13*$AR14</f>
        <v>25</v>
      </c>
      <c r="AT14" s="37">
        <f t="shared" si="1"/>
        <v>32.5</v>
      </c>
      <c r="AU14" s="37">
        <f t="shared" si="1"/>
        <v>42.5</v>
      </c>
    </row>
    <row r="15">
      <c r="A15" s="227"/>
      <c r="B15" s="347"/>
      <c r="C15" s="227"/>
      <c r="D15" s="347"/>
      <c r="E15" s="227"/>
      <c r="F15" s="347"/>
      <c r="G15" s="227"/>
      <c r="H15" s="347"/>
      <c r="I15" s="380"/>
      <c r="J15" s="380"/>
      <c r="K15" s="347"/>
      <c r="L15" s="347"/>
      <c r="M15" s="347"/>
      <c r="N15" s="347"/>
      <c r="O15" s="347"/>
      <c r="P15" s="227"/>
      <c r="Q15" s="382" t="s">
        <v>1467</v>
      </c>
      <c r="R15" s="227"/>
      <c r="S15" s="347"/>
      <c r="T15" s="227"/>
      <c r="U15" s="347"/>
      <c r="V15" s="227"/>
      <c r="W15" s="371" t="s">
        <v>107</v>
      </c>
      <c r="X15" s="372" t="s">
        <v>239</v>
      </c>
      <c r="Y15" s="372" t="s">
        <v>55</v>
      </c>
      <c r="Z15" s="372"/>
      <c r="AA15" s="372" t="s">
        <v>333</v>
      </c>
      <c r="AB15" s="365" t="s">
        <v>304</v>
      </c>
      <c r="AC15" s="227"/>
      <c r="AD15" s="368" t="s">
        <v>92</v>
      </c>
      <c r="AE15" s="346" t="s">
        <v>405</v>
      </c>
      <c r="AF15" s="77" t="s">
        <v>1493</v>
      </c>
      <c r="AG15" s="77" t="s">
        <v>1493</v>
      </c>
      <c r="AH15" s="77" t="s">
        <v>1493</v>
      </c>
    </row>
    <row r="16">
      <c r="A16" s="227"/>
      <c r="B16" s="347"/>
      <c r="C16" s="227"/>
      <c r="D16" s="347"/>
      <c r="E16" s="227"/>
      <c r="F16" s="347"/>
      <c r="G16" s="227"/>
      <c r="H16" s="347"/>
      <c r="I16" s="380"/>
      <c r="J16" s="380"/>
      <c r="K16" s="347"/>
      <c r="L16" s="347"/>
      <c r="M16" s="347"/>
      <c r="N16" s="347"/>
      <c r="O16" s="347"/>
      <c r="P16" s="227"/>
      <c r="Q16" s="380"/>
      <c r="R16" s="227"/>
      <c r="S16" s="347"/>
      <c r="T16" s="227"/>
      <c r="U16" s="347"/>
      <c r="V16" s="227"/>
      <c r="W16" s="371" t="s">
        <v>92</v>
      </c>
      <c r="X16" s="372" t="s">
        <v>240</v>
      </c>
      <c r="Y16" s="372" t="s">
        <v>61</v>
      </c>
      <c r="Z16" s="372"/>
      <c r="AA16" s="372" t="s">
        <v>334</v>
      </c>
      <c r="AB16" s="365" t="s">
        <v>314</v>
      </c>
      <c r="AC16" s="227"/>
      <c r="AD16" s="368" t="s">
        <v>96</v>
      </c>
      <c r="AE16" s="346" t="s">
        <v>405</v>
      </c>
      <c r="AF16" s="77" t="s">
        <v>1493</v>
      </c>
      <c r="AG16" s="77" t="s">
        <v>1521</v>
      </c>
      <c r="AH16" s="77" t="s">
        <v>1521</v>
      </c>
    </row>
    <row r="17">
      <c r="A17" s="227"/>
      <c r="B17" s="347"/>
      <c r="C17" s="227"/>
      <c r="D17" s="347"/>
      <c r="E17" s="227"/>
      <c r="F17" s="347"/>
      <c r="G17" s="227"/>
      <c r="H17" s="347"/>
      <c r="I17" s="380"/>
      <c r="J17" s="380"/>
      <c r="K17" s="347"/>
      <c r="L17" s="347"/>
      <c r="M17" s="347"/>
      <c r="N17" s="347"/>
      <c r="O17" s="347"/>
      <c r="P17" s="227"/>
      <c r="Q17" s="380"/>
      <c r="R17" s="227"/>
      <c r="S17" s="347"/>
      <c r="T17" s="227"/>
      <c r="U17" s="347"/>
      <c r="V17" s="227"/>
      <c r="W17" s="371" t="s">
        <v>96</v>
      </c>
      <c r="X17" s="372" t="s">
        <v>241</v>
      </c>
      <c r="Y17" s="372" t="s">
        <v>49</v>
      </c>
      <c r="Z17" s="372"/>
      <c r="AA17" s="372" t="s">
        <v>1547</v>
      </c>
      <c r="AB17" s="365" t="s">
        <v>316</v>
      </c>
      <c r="AC17" s="227"/>
      <c r="AD17" s="368" t="s">
        <v>100</v>
      </c>
      <c r="AE17" s="346" t="s">
        <v>405</v>
      </c>
      <c r="AF17" s="77" t="s">
        <v>1493</v>
      </c>
      <c r="AG17" s="77" t="s">
        <v>1493</v>
      </c>
      <c r="AH17" s="77" t="s">
        <v>1493</v>
      </c>
    </row>
    <row r="18">
      <c r="A18" s="227"/>
      <c r="B18" s="347"/>
      <c r="C18" s="227"/>
      <c r="D18" s="347"/>
      <c r="E18" s="227"/>
      <c r="F18" s="347"/>
      <c r="G18" s="227"/>
      <c r="H18" s="376"/>
      <c r="I18" s="380"/>
      <c r="J18" s="380"/>
      <c r="K18" s="376"/>
      <c r="L18" s="376"/>
      <c r="M18" s="376"/>
      <c r="N18" s="376"/>
      <c r="O18" s="376"/>
      <c r="P18" s="227"/>
      <c r="Q18" s="380"/>
      <c r="R18" s="227"/>
      <c r="S18" s="347"/>
      <c r="T18" s="227"/>
      <c r="U18" s="347"/>
      <c r="V18" s="227"/>
      <c r="W18" s="371" t="s">
        <v>100</v>
      </c>
      <c r="X18" s="372" t="s">
        <v>133</v>
      </c>
      <c r="Y18" s="372" t="s">
        <v>53</v>
      </c>
      <c r="Z18" s="372"/>
      <c r="AA18" s="372" t="s">
        <v>1478</v>
      </c>
      <c r="AB18" s="365"/>
      <c r="AC18" s="227"/>
      <c r="AD18" s="368" t="s">
        <v>106</v>
      </c>
      <c r="AE18" s="346" t="s">
        <v>405</v>
      </c>
      <c r="AF18" s="77" t="s">
        <v>1493</v>
      </c>
      <c r="AG18" s="77" t="s">
        <v>1493</v>
      </c>
      <c r="AH18" s="77" t="s">
        <v>1493</v>
      </c>
    </row>
    <row r="19">
      <c r="A19" s="227"/>
      <c r="B19" s="347"/>
      <c r="C19" s="227"/>
      <c r="D19" s="347"/>
      <c r="E19" s="227"/>
      <c r="F19" s="347"/>
      <c r="G19" s="227"/>
      <c r="H19" s="376"/>
      <c r="I19" s="380"/>
      <c r="J19" s="380"/>
      <c r="K19" s="376"/>
      <c r="L19" s="376"/>
      <c r="M19" s="376"/>
      <c r="N19" s="376"/>
      <c r="O19" s="376"/>
      <c r="P19" s="227"/>
      <c r="Q19" s="380"/>
      <c r="R19" s="227"/>
      <c r="S19" s="347"/>
      <c r="T19" s="227"/>
      <c r="U19" s="347"/>
      <c r="V19" s="227"/>
      <c r="W19" s="371" t="s">
        <v>106</v>
      </c>
      <c r="X19" s="372" t="s">
        <v>242</v>
      </c>
      <c r="Y19" s="372"/>
      <c r="Z19" s="372"/>
      <c r="AA19" s="372" t="s">
        <v>1479</v>
      </c>
      <c r="AB19" s="365"/>
      <c r="AC19" s="227"/>
      <c r="AD19" s="368">
        <v>50536.0</v>
      </c>
      <c r="AE19" s="346" t="s">
        <v>405</v>
      </c>
      <c r="AF19" s="77" t="s">
        <v>1493</v>
      </c>
      <c r="AG19" s="77" t="s">
        <v>1493</v>
      </c>
      <c r="AH19" s="77" t="s">
        <v>1493</v>
      </c>
      <c r="AL19" s="118" t="s">
        <v>368</v>
      </c>
      <c r="AM19" s="118" t="s">
        <v>1548</v>
      </c>
      <c r="AN19" s="118" t="s">
        <v>1549</v>
      </c>
    </row>
    <row r="20">
      <c r="A20" s="227"/>
      <c r="B20" s="347"/>
      <c r="C20" s="227"/>
      <c r="D20" s="347"/>
      <c r="E20" s="227"/>
      <c r="F20" s="347"/>
      <c r="G20" s="227"/>
      <c r="H20" s="376"/>
      <c r="I20" s="380"/>
      <c r="J20" s="380"/>
      <c r="K20" s="376"/>
      <c r="L20" s="376"/>
      <c r="M20" s="376"/>
      <c r="N20" s="376"/>
      <c r="O20" s="376"/>
      <c r="P20" s="227"/>
      <c r="Q20" s="380"/>
      <c r="R20" s="227"/>
      <c r="S20" s="347"/>
      <c r="T20" s="227"/>
      <c r="U20" s="347"/>
      <c r="V20" s="227"/>
      <c r="W20" s="371" t="s">
        <v>320</v>
      </c>
      <c r="X20" s="372" t="s">
        <v>243</v>
      </c>
      <c r="Y20" s="372"/>
      <c r="Z20" s="372"/>
      <c r="AA20" s="372"/>
      <c r="AB20" s="365"/>
      <c r="AC20" s="227"/>
      <c r="AD20" s="368">
        <v>50715.0</v>
      </c>
      <c r="AE20" s="346" t="s">
        <v>405</v>
      </c>
      <c r="AF20" s="77" t="s">
        <v>1493</v>
      </c>
      <c r="AG20" s="77" t="s">
        <v>1493</v>
      </c>
      <c r="AH20" s="77" t="s">
        <v>1493</v>
      </c>
      <c r="AL20" s="77" t="s">
        <v>379</v>
      </c>
      <c r="AM20" s="77" t="s">
        <v>1550</v>
      </c>
      <c r="AN20" s="77" t="s">
        <v>1551</v>
      </c>
    </row>
    <row r="21">
      <c r="A21" s="227"/>
      <c r="B21" s="347"/>
      <c r="C21" s="227"/>
      <c r="D21" s="347"/>
      <c r="E21" s="227"/>
      <c r="F21" s="347"/>
      <c r="G21" s="227"/>
      <c r="H21" s="347"/>
      <c r="I21" s="380"/>
      <c r="J21" s="380"/>
      <c r="K21" s="347"/>
      <c r="L21" s="347"/>
      <c r="M21" s="347"/>
      <c r="N21" s="347"/>
      <c r="O21" s="347"/>
      <c r="P21" s="227"/>
      <c r="Q21" s="380"/>
      <c r="R21" s="227"/>
      <c r="S21" s="347"/>
      <c r="T21" s="227"/>
      <c r="U21" s="347"/>
      <c r="V21" s="227"/>
      <c r="W21" s="371" t="s">
        <v>99</v>
      </c>
      <c r="X21" s="372" t="s">
        <v>244</v>
      </c>
      <c r="Y21" s="372"/>
      <c r="Z21" s="372"/>
      <c r="AA21" s="372"/>
      <c r="AB21" s="365"/>
      <c r="AC21" s="227"/>
      <c r="AD21" s="368">
        <v>50912.0</v>
      </c>
      <c r="AE21" s="346" t="s">
        <v>405</v>
      </c>
      <c r="AF21" s="77" t="s">
        <v>1493</v>
      </c>
      <c r="AG21" s="77" t="s">
        <v>1493</v>
      </c>
      <c r="AH21" s="77" t="s">
        <v>1493</v>
      </c>
      <c r="AL21" s="77" t="s">
        <v>378</v>
      </c>
      <c r="AM21" s="77" t="s">
        <v>1552</v>
      </c>
      <c r="AN21" s="77" t="s">
        <v>1553</v>
      </c>
    </row>
    <row r="22">
      <c r="A22" s="227"/>
      <c r="B22" s="383"/>
      <c r="C22" s="227"/>
      <c r="D22" s="383"/>
      <c r="E22" s="227"/>
      <c r="F22" s="383"/>
      <c r="G22" s="227"/>
      <c r="H22" s="383"/>
      <c r="I22" s="384"/>
      <c r="J22" s="384"/>
      <c r="K22" s="383"/>
      <c r="L22" s="383"/>
      <c r="M22" s="383"/>
      <c r="N22" s="383"/>
      <c r="O22" s="383"/>
      <c r="P22" s="227"/>
      <c r="Q22" s="384"/>
      <c r="R22" s="227"/>
      <c r="S22" s="383"/>
      <c r="T22" s="227"/>
      <c r="U22" s="383"/>
      <c r="V22" s="227"/>
      <c r="W22" s="371" t="s">
        <v>322</v>
      </c>
      <c r="X22" s="372" t="s">
        <v>245</v>
      </c>
      <c r="Y22" s="372"/>
      <c r="Z22" s="372"/>
      <c r="AA22" s="372"/>
      <c r="AB22" s="365"/>
      <c r="AC22" s="227"/>
      <c r="AD22" s="368" t="s">
        <v>229</v>
      </c>
      <c r="AE22" s="385" t="s">
        <v>407</v>
      </c>
      <c r="AF22" s="77" t="s">
        <v>1493</v>
      </c>
      <c r="AG22" s="77" t="s">
        <v>1493</v>
      </c>
      <c r="AH22" s="77" t="s">
        <v>1493</v>
      </c>
      <c r="AL22" s="77" t="s">
        <v>1554</v>
      </c>
      <c r="AM22" s="77" t="s">
        <v>1555</v>
      </c>
      <c r="AN22" s="77" t="s">
        <v>1556</v>
      </c>
    </row>
    <row r="23">
      <c r="W23" s="371" t="s">
        <v>229</v>
      </c>
      <c r="X23" s="372" t="s">
        <v>231</v>
      </c>
      <c r="Y23" s="372"/>
      <c r="Z23" s="372"/>
      <c r="AA23" s="372"/>
      <c r="AB23" s="365"/>
      <c r="AD23" s="345">
        <v>60133.0</v>
      </c>
      <c r="AE23" s="385" t="s">
        <v>407</v>
      </c>
      <c r="AF23" s="77" t="s">
        <v>1493</v>
      </c>
      <c r="AG23" s="77" t="s">
        <v>1493</v>
      </c>
      <c r="AH23" s="77" t="s">
        <v>1493</v>
      </c>
      <c r="AL23" s="77" t="s">
        <v>1557</v>
      </c>
      <c r="AM23" s="77" t="s">
        <v>1558</v>
      </c>
      <c r="AN23" s="77" t="s">
        <v>1559</v>
      </c>
    </row>
    <row r="24">
      <c r="W24" s="371"/>
      <c r="X24" s="372" t="s">
        <v>29</v>
      </c>
      <c r="Y24" s="372"/>
      <c r="Z24" s="372"/>
      <c r="AA24" s="372"/>
      <c r="AB24" s="365"/>
      <c r="AD24" s="346">
        <v>60136.0</v>
      </c>
      <c r="AE24" s="385" t="s">
        <v>407</v>
      </c>
      <c r="AF24" s="77" t="s">
        <v>1493</v>
      </c>
      <c r="AG24" s="77" t="s">
        <v>1521</v>
      </c>
      <c r="AH24" s="77" t="s">
        <v>1521</v>
      </c>
    </row>
    <row r="25">
      <c r="W25" s="371"/>
      <c r="X25" s="372"/>
      <c r="Y25" s="372"/>
      <c r="Z25" s="372"/>
      <c r="AA25" s="372"/>
      <c r="AB25" s="365"/>
      <c r="AD25" s="346">
        <v>60181.0</v>
      </c>
      <c r="AE25" s="385" t="s">
        <v>407</v>
      </c>
      <c r="AF25" s="77" t="s">
        <v>1493</v>
      </c>
      <c r="AG25" s="77" t="s">
        <v>1521</v>
      </c>
      <c r="AH25" s="77" t="s">
        <v>1521</v>
      </c>
    </row>
    <row r="26">
      <c r="W26" s="371"/>
      <c r="X26" s="372"/>
      <c r="Y26" s="372"/>
      <c r="Z26" s="372"/>
      <c r="AA26" s="372"/>
      <c r="AB26" s="365"/>
      <c r="AD26" s="346">
        <v>601330.0</v>
      </c>
      <c r="AE26" s="385" t="s">
        <v>407</v>
      </c>
      <c r="AF26" s="77" t="s">
        <v>1493</v>
      </c>
      <c r="AG26" s="77" t="s">
        <v>1521</v>
      </c>
      <c r="AH26" s="77" t="s">
        <v>1521</v>
      </c>
    </row>
    <row r="27">
      <c r="H27" s="153" t="s">
        <v>375</v>
      </c>
      <c r="W27" s="371"/>
      <c r="X27" s="372"/>
      <c r="Y27" s="372"/>
      <c r="Z27" s="372"/>
      <c r="AA27" s="372"/>
      <c r="AB27" s="365"/>
      <c r="AD27" s="368">
        <v>601331.0</v>
      </c>
      <c r="AE27" s="385" t="s">
        <v>407</v>
      </c>
      <c r="AF27" s="77" t="s">
        <v>1493</v>
      </c>
      <c r="AG27" s="77" t="s">
        <v>1493</v>
      </c>
      <c r="AH27" s="77" t="s">
        <v>1493</v>
      </c>
    </row>
    <row r="28">
      <c r="H28" s="153" t="s">
        <v>486</v>
      </c>
      <c r="W28" s="371"/>
      <c r="X28" s="372"/>
      <c r="Y28" s="372"/>
      <c r="Z28" s="372"/>
      <c r="AA28" s="372"/>
      <c r="AB28" s="365"/>
      <c r="AD28" s="368">
        <v>601391.0</v>
      </c>
      <c r="AE28" s="385" t="s">
        <v>407</v>
      </c>
      <c r="AF28" s="77" t="s">
        <v>1493</v>
      </c>
      <c r="AG28" s="77" t="s">
        <v>1521</v>
      </c>
      <c r="AH28" s="77" t="s">
        <v>1521</v>
      </c>
    </row>
    <row r="29">
      <c r="H29" s="153" t="s">
        <v>504</v>
      </c>
      <c r="W29" s="371"/>
      <c r="X29" s="372"/>
      <c r="Y29" s="372"/>
      <c r="Z29" s="372"/>
      <c r="AA29" s="372"/>
      <c r="AB29" s="365"/>
      <c r="AD29" s="368">
        <v>601444.0</v>
      </c>
      <c r="AE29" s="385" t="s">
        <v>407</v>
      </c>
      <c r="AF29" s="77" t="s">
        <v>1493</v>
      </c>
      <c r="AG29" s="77" t="s">
        <v>1521</v>
      </c>
      <c r="AH29" s="77" t="s">
        <v>1521</v>
      </c>
    </row>
    <row r="30">
      <c r="H30" s="153" t="s">
        <v>506</v>
      </c>
      <c r="W30" s="371"/>
      <c r="X30" s="372"/>
      <c r="Y30" s="372"/>
      <c r="Z30" s="372"/>
      <c r="AA30" s="372"/>
      <c r="AB30" s="365"/>
      <c r="AD30" s="368">
        <v>601448.0</v>
      </c>
      <c r="AE30" s="385" t="s">
        <v>407</v>
      </c>
      <c r="AF30" s="77" t="s">
        <v>1493</v>
      </c>
      <c r="AG30" s="77" t="s">
        <v>1493</v>
      </c>
      <c r="AH30" s="77" t="s">
        <v>1493</v>
      </c>
    </row>
    <row r="31">
      <c r="H31" s="153" t="s">
        <v>525</v>
      </c>
      <c r="W31" s="371"/>
      <c r="X31" s="372"/>
      <c r="Y31" s="372"/>
      <c r="Z31" s="372"/>
      <c r="AA31" s="372"/>
      <c r="AB31" s="365"/>
      <c r="AD31" s="368">
        <v>601511.0</v>
      </c>
      <c r="AE31" s="385" t="s">
        <v>407</v>
      </c>
      <c r="AF31" s="77" t="s">
        <v>1493</v>
      </c>
      <c r="AG31" s="77" t="s">
        <v>1521</v>
      </c>
      <c r="AH31" s="77" t="s">
        <v>1521</v>
      </c>
    </row>
    <row r="32">
      <c r="H32" s="153" t="s">
        <v>519</v>
      </c>
      <c r="W32" s="371"/>
      <c r="X32" s="372"/>
      <c r="Y32" s="372"/>
      <c r="Z32" s="372"/>
      <c r="AA32" s="372"/>
      <c r="AB32" s="365"/>
      <c r="AD32" s="368">
        <v>601514.0</v>
      </c>
      <c r="AE32" s="385" t="s">
        <v>407</v>
      </c>
      <c r="AF32" s="77" t="s">
        <v>1493</v>
      </c>
      <c r="AG32" s="77" t="s">
        <v>1493</v>
      </c>
      <c r="AH32" s="77" t="s">
        <v>1493</v>
      </c>
    </row>
    <row r="33">
      <c r="W33" s="371"/>
      <c r="X33" s="372"/>
      <c r="Y33" s="372"/>
      <c r="Z33" s="372"/>
      <c r="AA33" s="372"/>
      <c r="AB33" s="365"/>
      <c r="AD33" s="368">
        <v>601563.0</v>
      </c>
      <c r="AE33" s="385" t="s">
        <v>407</v>
      </c>
      <c r="AF33" s="77" t="s">
        <v>1493</v>
      </c>
      <c r="AG33" s="77" t="s">
        <v>1521</v>
      </c>
      <c r="AH33" s="77" t="s">
        <v>1521</v>
      </c>
    </row>
    <row r="34">
      <c r="W34" s="371"/>
      <c r="X34" s="372"/>
      <c r="Y34" s="372"/>
      <c r="Z34" s="372"/>
      <c r="AA34" s="372"/>
      <c r="AB34" s="365"/>
      <c r="AD34" s="368">
        <v>601570.0</v>
      </c>
      <c r="AE34" s="385" t="s">
        <v>407</v>
      </c>
      <c r="AF34" s="77" t="s">
        <v>1493</v>
      </c>
      <c r="AG34" s="77" t="s">
        <v>1521</v>
      </c>
      <c r="AH34" s="77" t="s">
        <v>1521</v>
      </c>
    </row>
    <row r="35">
      <c r="W35" s="371"/>
      <c r="X35" s="372"/>
      <c r="Y35" s="372"/>
      <c r="Z35" s="372"/>
      <c r="AA35" s="372"/>
      <c r="AB35" s="365"/>
      <c r="AD35" s="368">
        <v>601571.0</v>
      </c>
      <c r="AE35" s="385" t="s">
        <v>407</v>
      </c>
      <c r="AF35" s="77" t="s">
        <v>1493</v>
      </c>
      <c r="AG35" s="77" t="s">
        <v>1521</v>
      </c>
      <c r="AH35" s="77" t="s">
        <v>1521</v>
      </c>
    </row>
    <row r="36">
      <c r="W36" s="371"/>
      <c r="X36" s="372"/>
      <c r="Y36" s="372"/>
      <c r="Z36" s="372"/>
      <c r="AA36" s="372"/>
      <c r="AB36" s="365"/>
      <c r="AD36" s="368">
        <v>601580.0</v>
      </c>
      <c r="AE36" s="385" t="s">
        <v>407</v>
      </c>
      <c r="AF36" s="77" t="s">
        <v>1493</v>
      </c>
      <c r="AG36" s="77" t="s">
        <v>1521</v>
      </c>
      <c r="AH36" s="77" t="s">
        <v>1521</v>
      </c>
    </row>
    <row r="37">
      <c r="W37" s="371"/>
      <c r="X37" s="372"/>
      <c r="Y37" s="372"/>
      <c r="Z37" s="372"/>
      <c r="AA37" s="372"/>
      <c r="AB37" s="365"/>
      <c r="AD37" s="368">
        <v>601614.0</v>
      </c>
      <c r="AE37" s="385" t="s">
        <v>407</v>
      </c>
      <c r="AF37" s="77" t="s">
        <v>1493</v>
      </c>
      <c r="AG37" s="77" t="s">
        <v>1493</v>
      </c>
      <c r="AH37" s="77" t="s">
        <v>1493</v>
      </c>
    </row>
    <row r="38">
      <c r="W38" s="371"/>
      <c r="X38" s="372"/>
      <c r="Y38" s="372"/>
      <c r="Z38" s="372"/>
      <c r="AA38" s="372"/>
      <c r="AB38" s="365"/>
      <c r="AD38" s="368">
        <v>601678.0</v>
      </c>
      <c r="AE38" s="385" t="s">
        <v>407</v>
      </c>
      <c r="AF38" s="77" t="s">
        <v>1493</v>
      </c>
      <c r="AG38" s="77" t="s">
        <v>1521</v>
      </c>
      <c r="AH38" s="77" t="s">
        <v>1521</v>
      </c>
    </row>
    <row r="39">
      <c r="W39" s="371"/>
      <c r="X39" s="372"/>
      <c r="Y39" s="372"/>
      <c r="Z39" s="372"/>
      <c r="AA39" s="372"/>
      <c r="AB39" s="365"/>
      <c r="AD39" s="368">
        <v>6010102.0</v>
      </c>
      <c r="AE39" s="385" t="s">
        <v>407</v>
      </c>
      <c r="AF39" s="77" t="s">
        <v>1493</v>
      </c>
      <c r="AG39" s="77" t="s">
        <v>1521</v>
      </c>
      <c r="AH39" s="77" t="s">
        <v>1521</v>
      </c>
    </row>
    <row r="40">
      <c r="W40" s="371"/>
      <c r="X40" s="372"/>
      <c r="Y40" s="372"/>
      <c r="Z40" s="372"/>
      <c r="AA40" s="372"/>
      <c r="AB40" s="365"/>
      <c r="AD40" s="368">
        <v>6010178.0</v>
      </c>
      <c r="AE40" s="385" t="s">
        <v>407</v>
      </c>
      <c r="AF40" s="77" t="s">
        <v>1493</v>
      </c>
      <c r="AG40" s="77" t="s">
        <v>1521</v>
      </c>
      <c r="AH40" s="77" t="s">
        <v>1521</v>
      </c>
    </row>
    <row r="41">
      <c r="W41" s="371"/>
      <c r="X41" s="372"/>
      <c r="Y41" s="372"/>
      <c r="Z41" s="372"/>
      <c r="AA41" s="372"/>
      <c r="AB41" s="365"/>
      <c r="AD41" s="368">
        <v>6010231.0</v>
      </c>
      <c r="AE41" s="385" t="s">
        <v>407</v>
      </c>
      <c r="AF41" s="77" t="s">
        <v>1493</v>
      </c>
      <c r="AG41" s="77" t="s">
        <v>1493</v>
      </c>
      <c r="AH41" s="77" t="s">
        <v>1493</v>
      </c>
    </row>
    <row r="42">
      <c r="W42" s="371"/>
      <c r="X42" s="372"/>
      <c r="Y42" s="372"/>
      <c r="Z42" s="372"/>
      <c r="AA42" s="372"/>
      <c r="AB42" s="365"/>
      <c r="AD42" s="368" t="s">
        <v>231</v>
      </c>
      <c r="AE42" s="385" t="s">
        <v>407</v>
      </c>
      <c r="AF42" s="77" t="s">
        <v>1493</v>
      </c>
      <c r="AG42" s="77" t="s">
        <v>1493</v>
      </c>
      <c r="AH42" s="77" t="s">
        <v>1493</v>
      </c>
    </row>
    <row r="43">
      <c r="W43" s="386"/>
      <c r="X43" s="387"/>
      <c r="Y43" s="387"/>
      <c r="Z43" s="387"/>
      <c r="AA43" s="387"/>
      <c r="AB43" s="388"/>
      <c r="AD43" s="368" t="s">
        <v>29</v>
      </c>
      <c r="AE43" s="385" t="s">
        <v>407</v>
      </c>
      <c r="AF43" s="77" t="s">
        <v>1493</v>
      </c>
      <c r="AG43" s="77" t="s">
        <v>1493</v>
      </c>
      <c r="AH43" s="77" t="s">
        <v>1493</v>
      </c>
    </row>
    <row r="44">
      <c r="W44" s="386"/>
      <c r="X44" s="387"/>
      <c r="Y44" s="387"/>
      <c r="Z44" s="387"/>
      <c r="AA44" s="387"/>
      <c r="AB44" s="388"/>
      <c r="AD44" s="368">
        <v>14045.0</v>
      </c>
      <c r="AE44" s="385" t="s">
        <v>409</v>
      </c>
      <c r="AF44" s="77" t="s">
        <v>1493</v>
      </c>
      <c r="AG44" s="77" t="s">
        <v>1493</v>
      </c>
      <c r="AH44" s="77" t="s">
        <v>1493</v>
      </c>
    </row>
    <row r="45">
      <c r="W45" s="386"/>
      <c r="X45" s="387"/>
      <c r="Y45" s="387"/>
      <c r="Z45" s="387"/>
      <c r="AA45" s="387"/>
      <c r="AB45" s="388"/>
      <c r="AD45" s="368">
        <v>14141.0</v>
      </c>
      <c r="AE45" s="385" t="s">
        <v>409</v>
      </c>
      <c r="AF45" s="77" t="s">
        <v>1493</v>
      </c>
      <c r="AG45" s="77" t="s">
        <v>1493</v>
      </c>
      <c r="AH45" s="77" t="s">
        <v>1493</v>
      </c>
    </row>
    <row r="46">
      <c r="W46" s="389"/>
      <c r="X46" s="390"/>
      <c r="Y46" s="390"/>
      <c r="Z46" s="390"/>
      <c r="AA46" s="390"/>
      <c r="AB46" s="391"/>
      <c r="AD46" s="368">
        <v>14894.0</v>
      </c>
      <c r="AE46" s="385" t="s">
        <v>409</v>
      </c>
      <c r="AF46" s="77" t="s">
        <v>1493</v>
      </c>
      <c r="AG46" s="77" t="s">
        <v>1493</v>
      </c>
      <c r="AH46" s="77" t="s">
        <v>1493</v>
      </c>
    </row>
    <row r="47">
      <c r="AD47" s="368">
        <v>14975.0</v>
      </c>
      <c r="AE47" s="385" t="s">
        <v>409</v>
      </c>
      <c r="AF47" s="77" t="s">
        <v>1493</v>
      </c>
      <c r="AG47" s="77" t="s">
        <v>1493</v>
      </c>
      <c r="AH47" s="77" t="s">
        <v>1493</v>
      </c>
    </row>
    <row r="48">
      <c r="AD48" s="368">
        <v>15219.0</v>
      </c>
      <c r="AE48" s="385" t="s">
        <v>409</v>
      </c>
      <c r="AF48" s="77" t="s">
        <v>1493</v>
      </c>
      <c r="AG48" s="77" t="s">
        <v>1493</v>
      </c>
      <c r="AH48" s="77" t="s">
        <v>1493</v>
      </c>
    </row>
    <row r="49">
      <c r="AD49" s="368">
        <v>15220.0</v>
      </c>
      <c r="AE49" s="385" t="s">
        <v>409</v>
      </c>
      <c r="AF49" s="77" t="s">
        <v>1493</v>
      </c>
      <c r="AG49" s="77" t="s">
        <v>1493</v>
      </c>
      <c r="AH49" s="77" t="s">
        <v>1493</v>
      </c>
    </row>
    <row r="50">
      <c r="AD50" s="368">
        <v>15304.0</v>
      </c>
      <c r="AE50" s="385" t="s">
        <v>409</v>
      </c>
      <c r="AF50" s="77" t="s">
        <v>1493</v>
      </c>
      <c r="AG50" s="77" t="s">
        <v>1493</v>
      </c>
      <c r="AH50" s="77" t="s">
        <v>1493</v>
      </c>
    </row>
    <row r="51">
      <c r="AD51" s="368">
        <v>15383.0</v>
      </c>
      <c r="AE51" s="385" t="s">
        <v>409</v>
      </c>
      <c r="AF51" s="77" t="s">
        <v>1493</v>
      </c>
      <c r="AG51" s="77" t="s">
        <v>1493</v>
      </c>
      <c r="AH51" s="77" t="s">
        <v>1493</v>
      </c>
    </row>
    <row r="52">
      <c r="AD52" s="368">
        <v>15478.0</v>
      </c>
      <c r="AE52" s="385" t="s">
        <v>409</v>
      </c>
      <c r="AF52" s="77" t="s">
        <v>1493</v>
      </c>
      <c r="AG52" s="77" t="s">
        <v>1493</v>
      </c>
      <c r="AH52" s="77" t="s">
        <v>1493</v>
      </c>
    </row>
    <row r="53">
      <c r="AD53" s="368">
        <v>20104.0</v>
      </c>
      <c r="AE53" s="385" t="s">
        <v>409</v>
      </c>
      <c r="AF53" s="77" t="s">
        <v>1493</v>
      </c>
      <c r="AG53" s="77" t="s">
        <v>1493</v>
      </c>
      <c r="AH53" s="77" t="s">
        <v>1493</v>
      </c>
    </row>
    <row r="54">
      <c r="AD54" s="368">
        <v>20123.0</v>
      </c>
      <c r="AE54" s="385" t="s">
        <v>409</v>
      </c>
      <c r="AF54" s="77" t="s">
        <v>1493</v>
      </c>
      <c r="AG54" s="77" t="s">
        <v>1493</v>
      </c>
      <c r="AH54" s="77" t="s">
        <v>1493</v>
      </c>
    </row>
    <row r="55">
      <c r="AD55" s="368" t="s">
        <v>55</v>
      </c>
      <c r="AE55" s="385" t="s">
        <v>409</v>
      </c>
      <c r="AF55" s="77" t="s">
        <v>1493</v>
      </c>
      <c r="AG55" s="77" t="s">
        <v>1493</v>
      </c>
      <c r="AH55" s="77" t="s">
        <v>1493</v>
      </c>
    </row>
    <row r="56">
      <c r="AD56" s="368" t="s">
        <v>61</v>
      </c>
      <c r="AE56" s="385" t="s">
        <v>409</v>
      </c>
      <c r="AF56" s="77" t="s">
        <v>1493</v>
      </c>
      <c r="AG56" s="77" t="s">
        <v>1493</v>
      </c>
      <c r="AH56" s="77" t="s">
        <v>1493</v>
      </c>
    </row>
    <row r="57">
      <c r="AD57" s="368" t="s">
        <v>49</v>
      </c>
      <c r="AE57" s="385" t="s">
        <v>409</v>
      </c>
      <c r="AF57" s="77" t="s">
        <v>1493</v>
      </c>
      <c r="AG57" s="77" t="s">
        <v>1493</v>
      </c>
      <c r="AH57" s="77" t="s">
        <v>1493</v>
      </c>
    </row>
    <row r="58">
      <c r="AD58" s="368" t="s">
        <v>53</v>
      </c>
      <c r="AE58" s="385" t="s">
        <v>409</v>
      </c>
      <c r="AF58" s="77" t="s">
        <v>1493</v>
      </c>
      <c r="AG58" s="77" t="s">
        <v>1493</v>
      </c>
      <c r="AH58" s="77" t="s">
        <v>1493</v>
      </c>
    </row>
    <row r="59">
      <c r="AD59" s="392">
        <v>86809.0</v>
      </c>
      <c r="AE59" s="393" t="s">
        <v>410</v>
      </c>
      <c r="AF59" s="77" t="s">
        <v>1493</v>
      </c>
      <c r="AG59" s="77" t="s">
        <v>1493</v>
      </c>
      <c r="AH59" s="77" t="s">
        <v>1493</v>
      </c>
    </row>
    <row r="60">
      <c r="AD60" s="392">
        <v>88327.0</v>
      </c>
      <c r="AE60" s="393" t="s">
        <v>410</v>
      </c>
      <c r="AF60" s="77" t="s">
        <v>1493</v>
      </c>
      <c r="AG60" s="77" t="s">
        <v>1493</v>
      </c>
      <c r="AH60" s="77" t="s">
        <v>1493</v>
      </c>
    </row>
    <row r="61">
      <c r="AD61" s="392" t="s">
        <v>338</v>
      </c>
      <c r="AE61" s="393" t="s">
        <v>410</v>
      </c>
      <c r="AF61" s="77" t="s">
        <v>1493</v>
      </c>
      <c r="AG61" s="77" t="s">
        <v>1493</v>
      </c>
      <c r="AH61" s="77" t="s">
        <v>1493</v>
      </c>
    </row>
    <row r="62">
      <c r="AD62" s="392" t="s">
        <v>339</v>
      </c>
      <c r="AE62" s="393" t="s">
        <v>410</v>
      </c>
      <c r="AF62" s="77" t="s">
        <v>1493</v>
      </c>
      <c r="AG62" s="77" t="s">
        <v>1493</v>
      </c>
      <c r="AH62" s="77" t="s">
        <v>1493</v>
      </c>
    </row>
    <row r="63">
      <c r="AD63" s="394" t="s">
        <v>1469</v>
      </c>
      <c r="AE63" s="393" t="s">
        <v>410</v>
      </c>
      <c r="AF63" s="77" t="s">
        <v>1493</v>
      </c>
      <c r="AG63" s="77" t="s">
        <v>1521</v>
      </c>
      <c r="AH63" s="77" t="s">
        <v>1521</v>
      </c>
    </row>
    <row r="64">
      <c r="AD64" s="394" t="s">
        <v>342</v>
      </c>
      <c r="AE64" s="393" t="s">
        <v>410</v>
      </c>
      <c r="AF64" s="77" t="s">
        <v>1493</v>
      </c>
      <c r="AG64" s="77" t="s">
        <v>1493</v>
      </c>
      <c r="AH64" s="77" t="s">
        <v>1493</v>
      </c>
    </row>
    <row r="65">
      <c r="AD65" s="345">
        <v>64028.0</v>
      </c>
      <c r="AE65" s="395" t="s">
        <v>411</v>
      </c>
      <c r="AF65" s="77" t="s">
        <v>1493</v>
      </c>
      <c r="AG65" s="77" t="s">
        <v>1493</v>
      </c>
      <c r="AH65" s="77" t="s">
        <v>1493</v>
      </c>
    </row>
    <row r="66">
      <c r="AD66" s="345">
        <v>64048.0</v>
      </c>
      <c r="AE66" s="395" t="s">
        <v>411</v>
      </c>
      <c r="AF66" s="77" t="s">
        <v>1493</v>
      </c>
      <c r="AG66" s="77" t="s">
        <v>1493</v>
      </c>
      <c r="AH66" s="77" t="s">
        <v>1493</v>
      </c>
    </row>
    <row r="67">
      <c r="AD67" s="345">
        <v>64115.0</v>
      </c>
      <c r="AE67" s="395" t="s">
        <v>411</v>
      </c>
      <c r="AF67" s="77" t="s">
        <v>1493</v>
      </c>
      <c r="AG67" s="77" t="s">
        <v>1493</v>
      </c>
      <c r="AH67" s="77" t="s">
        <v>1493</v>
      </c>
    </row>
    <row r="68">
      <c r="AD68" s="345">
        <v>64346.0</v>
      </c>
      <c r="AE68" s="395" t="s">
        <v>411</v>
      </c>
      <c r="AF68" s="77" t="s">
        <v>1493</v>
      </c>
      <c r="AG68" s="77" t="s">
        <v>1493</v>
      </c>
      <c r="AH68" s="77" t="s">
        <v>1493</v>
      </c>
    </row>
    <row r="69">
      <c r="AD69" s="368">
        <v>64641.0</v>
      </c>
      <c r="AE69" s="395" t="s">
        <v>411</v>
      </c>
      <c r="AF69" s="77" t="s">
        <v>1493</v>
      </c>
      <c r="AG69" s="77" t="s">
        <v>1493</v>
      </c>
      <c r="AH69" s="77" t="s">
        <v>1493</v>
      </c>
    </row>
    <row r="70">
      <c r="AD70" s="368">
        <v>64829.0</v>
      </c>
      <c r="AE70" s="395" t="s">
        <v>411</v>
      </c>
      <c r="AF70" s="77" t="s">
        <v>1493</v>
      </c>
      <c r="AG70" s="77" t="s">
        <v>1493</v>
      </c>
      <c r="AH70" s="77" t="s">
        <v>1493</v>
      </c>
    </row>
    <row r="71">
      <c r="AD71" s="368">
        <v>64949.0</v>
      </c>
      <c r="AE71" s="395" t="s">
        <v>411</v>
      </c>
      <c r="AF71" s="77" t="s">
        <v>1493</v>
      </c>
      <c r="AG71" s="77" t="s">
        <v>1521</v>
      </c>
      <c r="AH71" s="77" t="s">
        <v>1521</v>
      </c>
    </row>
    <row r="72">
      <c r="AD72" s="368">
        <v>64996.0</v>
      </c>
      <c r="AE72" s="395" t="s">
        <v>411</v>
      </c>
      <c r="AF72" s="77" t="s">
        <v>1493</v>
      </c>
      <c r="AG72" s="77" t="s">
        <v>1493</v>
      </c>
      <c r="AH72" s="77" t="s">
        <v>1493</v>
      </c>
    </row>
    <row r="73">
      <c r="AD73" s="368">
        <v>65199.0</v>
      </c>
      <c r="AE73" s="395" t="s">
        <v>411</v>
      </c>
      <c r="AF73" s="77" t="s">
        <v>1493</v>
      </c>
      <c r="AG73" s="77" t="s">
        <v>1493</v>
      </c>
      <c r="AH73" s="77" t="s">
        <v>1493</v>
      </c>
    </row>
    <row r="74">
      <c r="AD74" s="368" t="s">
        <v>329</v>
      </c>
      <c r="AE74" s="395" t="s">
        <v>411</v>
      </c>
      <c r="AF74" s="77" t="s">
        <v>1493</v>
      </c>
      <c r="AG74" s="77" t="s">
        <v>1493</v>
      </c>
      <c r="AH74" s="77" t="s">
        <v>1493</v>
      </c>
    </row>
    <row r="75">
      <c r="AD75" s="368" t="s">
        <v>330</v>
      </c>
      <c r="AE75" s="395" t="s">
        <v>411</v>
      </c>
      <c r="AF75" s="77" t="s">
        <v>1493</v>
      </c>
      <c r="AG75" s="77" t="s">
        <v>1521</v>
      </c>
      <c r="AH75" s="77" t="s">
        <v>1521</v>
      </c>
    </row>
    <row r="76">
      <c r="AD76" s="368" t="s">
        <v>333</v>
      </c>
      <c r="AE76" s="395" t="s">
        <v>411</v>
      </c>
      <c r="AF76" s="77" t="s">
        <v>1493</v>
      </c>
      <c r="AG76" s="77" t="s">
        <v>1493</v>
      </c>
      <c r="AH76" s="77" t="s">
        <v>1493</v>
      </c>
    </row>
    <row r="77">
      <c r="AD77" s="368" t="s">
        <v>334</v>
      </c>
      <c r="AE77" s="395" t="s">
        <v>411</v>
      </c>
      <c r="AF77" s="77" t="s">
        <v>1493</v>
      </c>
      <c r="AG77" s="77" t="s">
        <v>1521</v>
      </c>
      <c r="AH77" s="77" t="s">
        <v>1521</v>
      </c>
    </row>
    <row r="78">
      <c r="AD78" s="368">
        <v>566.0</v>
      </c>
      <c r="AE78" s="395" t="s">
        <v>411</v>
      </c>
      <c r="AF78" s="77" t="s">
        <v>1493</v>
      </c>
      <c r="AG78" s="77" t="s">
        <v>1493</v>
      </c>
      <c r="AH78" s="77" t="s">
        <v>1493</v>
      </c>
    </row>
    <row r="79">
      <c r="AD79" s="368" t="s">
        <v>1478</v>
      </c>
      <c r="AE79" s="395" t="s">
        <v>411</v>
      </c>
      <c r="AF79" s="77" t="s">
        <v>1493</v>
      </c>
      <c r="AG79" s="77" t="s">
        <v>1493</v>
      </c>
      <c r="AH79" s="77" t="s">
        <v>1493</v>
      </c>
    </row>
    <row r="80">
      <c r="AD80" s="368" t="s">
        <v>1479</v>
      </c>
      <c r="AE80" s="395" t="s">
        <v>411</v>
      </c>
      <c r="AF80" s="77" t="s">
        <v>1493</v>
      </c>
      <c r="AG80" s="77" t="s">
        <v>1493</v>
      </c>
      <c r="AH80" s="77" t="s">
        <v>1493</v>
      </c>
    </row>
    <row r="81">
      <c r="AD81" s="345">
        <v>36167.0</v>
      </c>
      <c r="AE81" s="385" t="s">
        <v>412</v>
      </c>
      <c r="AF81" s="77" t="s">
        <v>1493</v>
      </c>
      <c r="AG81" s="77" t="s">
        <v>1521</v>
      </c>
      <c r="AH81" s="77" t="s">
        <v>1521</v>
      </c>
    </row>
    <row r="82">
      <c r="AD82" s="368">
        <v>36207.0</v>
      </c>
      <c r="AE82" s="385" t="s">
        <v>412</v>
      </c>
      <c r="AF82" s="77" t="s">
        <v>1493</v>
      </c>
      <c r="AG82" s="77" t="s">
        <v>1493</v>
      </c>
      <c r="AH82" s="77" t="s">
        <v>1493</v>
      </c>
    </row>
    <row r="83">
      <c r="AD83" s="368">
        <v>36831.0</v>
      </c>
      <c r="AE83" s="385" t="s">
        <v>412</v>
      </c>
      <c r="AF83" s="77" t="s">
        <v>1493</v>
      </c>
      <c r="AG83" s="77" t="s">
        <v>1521</v>
      </c>
      <c r="AH83" s="77" t="s">
        <v>1521</v>
      </c>
    </row>
    <row r="84">
      <c r="AD84" s="368" t="s">
        <v>1470</v>
      </c>
      <c r="AE84" s="385" t="s">
        <v>412</v>
      </c>
      <c r="AF84" s="77" t="s">
        <v>1493</v>
      </c>
      <c r="AG84" s="77" t="s">
        <v>1493</v>
      </c>
      <c r="AH84" s="77" t="s">
        <v>1493</v>
      </c>
    </row>
    <row r="85">
      <c r="AD85" s="368" t="s">
        <v>315</v>
      </c>
      <c r="AE85" s="385" t="s">
        <v>412</v>
      </c>
      <c r="AF85" s="77" t="s">
        <v>1493</v>
      </c>
      <c r="AG85" s="77" t="s">
        <v>1493</v>
      </c>
      <c r="AH85" s="77" t="s">
        <v>1493</v>
      </c>
    </row>
    <row r="86">
      <c r="AD86" s="368" t="s">
        <v>1471</v>
      </c>
      <c r="AE86" s="385" t="s">
        <v>412</v>
      </c>
      <c r="AF86" s="77" t="s">
        <v>1493</v>
      </c>
      <c r="AG86" s="77" t="s">
        <v>1493</v>
      </c>
      <c r="AH86" s="77" t="s">
        <v>1493</v>
      </c>
    </row>
    <row r="87">
      <c r="AD87" s="368" t="s">
        <v>317</v>
      </c>
      <c r="AE87" s="385" t="s">
        <v>412</v>
      </c>
      <c r="AF87" s="77" t="s">
        <v>1493</v>
      </c>
      <c r="AG87" s="77" t="s">
        <v>1521</v>
      </c>
      <c r="AH87" s="77" t="s">
        <v>1521</v>
      </c>
    </row>
    <row r="88">
      <c r="AD88" s="368" t="s">
        <v>87</v>
      </c>
      <c r="AE88" s="385" t="s">
        <v>412</v>
      </c>
      <c r="AF88" s="77" t="s">
        <v>1521</v>
      </c>
      <c r="AG88" s="77" t="s">
        <v>1493</v>
      </c>
      <c r="AH88" s="77" t="s">
        <v>1521</v>
      </c>
    </row>
    <row r="89">
      <c r="AD89" s="368" t="s">
        <v>168</v>
      </c>
      <c r="AE89" s="385" t="s">
        <v>412</v>
      </c>
      <c r="AF89" s="77" t="s">
        <v>1493</v>
      </c>
      <c r="AG89" s="77" t="s">
        <v>1493</v>
      </c>
      <c r="AH89" s="77" t="s">
        <v>1493</v>
      </c>
    </row>
    <row r="90">
      <c r="AD90" s="368" t="s">
        <v>171</v>
      </c>
      <c r="AE90" s="385" t="s">
        <v>412</v>
      </c>
      <c r="AF90" s="77" t="s">
        <v>1493</v>
      </c>
      <c r="AG90" s="77" t="s">
        <v>1493</v>
      </c>
      <c r="AH90" s="77" t="s">
        <v>1493</v>
      </c>
    </row>
    <row r="91">
      <c r="AD91" s="368" t="s">
        <v>344</v>
      </c>
      <c r="AE91" s="385" t="s">
        <v>412</v>
      </c>
      <c r="AF91" s="77" t="s">
        <v>1493</v>
      </c>
      <c r="AG91" s="77" t="s">
        <v>1493</v>
      </c>
      <c r="AH91" s="77" t="s">
        <v>1493</v>
      </c>
    </row>
    <row r="92">
      <c r="AD92" s="368" t="s">
        <v>304</v>
      </c>
      <c r="AE92" s="385" t="s">
        <v>412</v>
      </c>
      <c r="AF92" s="77" t="s">
        <v>1493</v>
      </c>
      <c r="AG92" s="77" t="s">
        <v>1493</v>
      </c>
      <c r="AH92" s="77" t="s">
        <v>1493</v>
      </c>
    </row>
    <row r="93">
      <c r="AD93" s="368" t="s">
        <v>314</v>
      </c>
      <c r="AE93" s="385" t="s">
        <v>412</v>
      </c>
      <c r="AF93" s="77" t="s">
        <v>1493</v>
      </c>
      <c r="AG93" s="77" t="s">
        <v>1493</v>
      </c>
      <c r="AH93" s="77" t="s">
        <v>1493</v>
      </c>
    </row>
    <row r="94">
      <c r="AD94" s="368" t="s">
        <v>316</v>
      </c>
      <c r="AE94" s="385" t="s">
        <v>412</v>
      </c>
      <c r="AF94" s="77" t="s">
        <v>1493</v>
      </c>
      <c r="AG94" s="77" t="s">
        <v>1493</v>
      </c>
      <c r="AH94" s="77" t="s">
        <v>1493</v>
      </c>
    </row>
    <row r="1487">
      <c r="AJ1487" s="77"/>
      <c r="AK1487" s="77"/>
      <c r="AL1487" s="396"/>
    </row>
    <row r="1488">
      <c r="AJ1488" s="77"/>
      <c r="AK1488" s="77"/>
      <c r="AL1488" s="396"/>
    </row>
    <row r="1490">
      <c r="AJ1490" s="77"/>
      <c r="AK1490" s="77"/>
      <c r="AL1490" s="396"/>
    </row>
    <row r="1491">
      <c r="AJ1491" s="77"/>
      <c r="AK1491" s="77"/>
      <c r="AL1491" s="396"/>
    </row>
    <row r="1493">
      <c r="AJ1493" s="77"/>
      <c r="AK1493" s="77"/>
      <c r="AL1493" s="396"/>
    </row>
    <row r="1494">
      <c r="AJ1494" s="77"/>
      <c r="AK1494" s="77"/>
      <c r="AL1494" s="396"/>
    </row>
    <row r="1496">
      <c r="AJ1496" s="77"/>
      <c r="AK1496" s="77"/>
      <c r="AL1496" s="396"/>
    </row>
    <row r="1497">
      <c r="AJ1497" s="77"/>
      <c r="AK1497" s="77"/>
      <c r="AL1497" s="396"/>
    </row>
  </sheetData>
  <conditionalFormatting sqref="AD3:AD2016">
    <cfRule type="expression" dxfId="5" priority="1">
      <formula>COUNTIF(AD2:AD2016,AD2)&gt;1</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s>
  <sheetData>
    <row r="1">
      <c r="A1" s="397" t="s">
        <v>1560</v>
      </c>
      <c r="B1" s="77" t="s">
        <v>1561</v>
      </c>
    </row>
    <row r="2">
      <c r="A2" s="397" t="s">
        <v>1562</v>
      </c>
      <c r="B2" s="77" t="s">
        <v>1563</v>
      </c>
    </row>
    <row r="3">
      <c r="A3" s="397" t="s">
        <v>1564</v>
      </c>
      <c r="B3" s="77" t="s">
        <v>509</v>
      </c>
    </row>
    <row r="4">
      <c r="A4" s="397" t="s">
        <v>1565</v>
      </c>
      <c r="B4" s="398">
        <v>15.0</v>
      </c>
    </row>
    <row r="5">
      <c r="A5" s="397" t="s">
        <v>430</v>
      </c>
      <c r="B5" s="77" t="s">
        <v>479</v>
      </c>
    </row>
    <row r="6">
      <c r="A6" s="397" t="s">
        <v>1566</v>
      </c>
      <c r="B6" s="77" t="s">
        <v>1567</v>
      </c>
    </row>
    <row r="7">
      <c r="A7" s="397" t="s">
        <v>1568</v>
      </c>
      <c r="B7" s="77" t="s">
        <v>479</v>
      </c>
    </row>
    <row r="8">
      <c r="A8" s="397" t="s">
        <v>433</v>
      </c>
      <c r="B8" s="77" t="s">
        <v>481</v>
      </c>
    </row>
    <row r="9">
      <c r="A9" s="397" t="s">
        <v>435</v>
      </c>
      <c r="B9" s="77" t="s">
        <v>479</v>
      </c>
    </row>
    <row r="10">
      <c r="A10" s="397" t="s">
        <v>1569</v>
      </c>
      <c r="B10" s="77" t="s">
        <v>509</v>
      </c>
    </row>
    <row r="11">
      <c r="A11" s="397" t="s">
        <v>435</v>
      </c>
      <c r="B11" s="77" t="s">
        <v>479</v>
      </c>
    </row>
    <row r="12">
      <c r="A12" s="397" t="s">
        <v>1569</v>
      </c>
      <c r="B12" s="77" t="s">
        <v>509</v>
      </c>
    </row>
    <row r="13">
      <c r="A13" s="37" t="s">
        <v>1570</v>
      </c>
      <c r="B13" s="77" t="s">
        <v>479</v>
      </c>
    </row>
    <row r="14">
      <c r="A14" s="37" t="s">
        <v>1571</v>
      </c>
      <c r="B14" s="77" t="s">
        <v>1572</v>
      </c>
    </row>
    <row r="15">
      <c r="A15" s="37" t="s">
        <v>1573</v>
      </c>
      <c r="B15" s="77" t="s">
        <v>1574</v>
      </c>
    </row>
    <row r="16">
      <c r="A16" s="37" t="s">
        <v>1575</v>
      </c>
      <c r="B16" s="77" t="s">
        <v>1574</v>
      </c>
    </row>
    <row r="17">
      <c r="A17" s="37" t="s">
        <v>1576</v>
      </c>
      <c r="B17" s="77" t="s">
        <v>1577</v>
      </c>
    </row>
    <row r="18">
      <c r="A18" s="37" t="s">
        <v>1578</v>
      </c>
      <c r="B18" s="77" t="s">
        <v>1574</v>
      </c>
    </row>
    <row r="19">
      <c r="A19" s="37" t="s">
        <v>1579</v>
      </c>
      <c r="B19" s="77" t="s">
        <v>1574</v>
      </c>
    </row>
    <row r="20">
      <c r="A20" s="37" t="s">
        <v>1580</v>
      </c>
      <c r="B20" s="77" t="s">
        <v>479</v>
      </c>
    </row>
    <row r="21">
      <c r="A21" s="37" t="s">
        <v>1581</v>
      </c>
      <c r="B21" s="77" t="s">
        <v>1572</v>
      </c>
    </row>
    <row r="22">
      <c r="A22" s="37" t="s">
        <v>1582</v>
      </c>
      <c r="B22" s="77" t="s">
        <v>479</v>
      </c>
    </row>
    <row r="23">
      <c r="A23" s="37" t="s">
        <v>1583</v>
      </c>
      <c r="B23" s="77" t="s">
        <v>1572</v>
      </c>
    </row>
    <row r="24">
      <c r="A24" s="37" t="s">
        <v>1584</v>
      </c>
      <c r="B24" s="77" t="s">
        <v>479</v>
      </c>
    </row>
    <row r="25">
      <c r="A25" s="37" t="s">
        <v>1585</v>
      </c>
      <c r="B25" s="77" t="s">
        <v>1572</v>
      </c>
    </row>
    <row r="26">
      <c r="A26" s="37" t="s">
        <v>1586</v>
      </c>
      <c r="B26" s="77" t="s">
        <v>1574</v>
      </c>
    </row>
    <row r="27">
      <c r="A27" s="37" t="s">
        <v>1587</v>
      </c>
      <c r="B27" s="77" t="s">
        <v>1574</v>
      </c>
    </row>
    <row r="28">
      <c r="A28" s="37" t="s">
        <v>1588</v>
      </c>
      <c r="B28" s="77" t="s">
        <v>1574</v>
      </c>
    </row>
    <row r="29">
      <c r="A29" s="37" t="s">
        <v>1589</v>
      </c>
      <c r="B29" s="77" t="s">
        <v>1574</v>
      </c>
    </row>
    <row r="30">
      <c r="A30" s="37" t="s">
        <v>1590</v>
      </c>
      <c r="B30" s="77" t="s">
        <v>1574</v>
      </c>
    </row>
    <row r="31">
      <c r="A31" s="37" t="s">
        <v>1591</v>
      </c>
      <c r="B31" s="77" t="s">
        <v>1574</v>
      </c>
    </row>
    <row r="32">
      <c r="A32" s="37" t="s">
        <v>1592</v>
      </c>
      <c r="B32" s="77" t="s">
        <v>1577</v>
      </c>
    </row>
    <row r="33">
      <c r="A33" s="37" t="s">
        <v>1593</v>
      </c>
      <c r="B33" s="77" t="s">
        <v>479</v>
      </c>
    </row>
    <row r="34">
      <c r="A34" s="37" t="s">
        <v>1594</v>
      </c>
      <c r="B34" s="77" t="s">
        <v>1572</v>
      </c>
    </row>
    <row r="35">
      <c r="A35" s="37" t="s">
        <v>1595</v>
      </c>
      <c r="B35" s="77" t="s">
        <v>479</v>
      </c>
    </row>
    <row r="36">
      <c r="A36" s="37" t="s">
        <v>1596</v>
      </c>
      <c r="B36" s="77" t="s">
        <v>1572</v>
      </c>
    </row>
    <row r="37">
      <c r="A37" s="77" t="s">
        <v>1597</v>
      </c>
      <c r="B37" s="77" t="s">
        <v>479</v>
      </c>
    </row>
    <row r="38">
      <c r="A38" s="399"/>
      <c r="B38" s="77" t="s">
        <v>1572</v>
      </c>
    </row>
    <row r="39">
      <c r="A39" s="399"/>
      <c r="B39" s="77" t="s">
        <v>1574</v>
      </c>
    </row>
    <row r="40">
      <c r="A40" s="399"/>
      <c r="B40" s="77" t="s">
        <v>1574</v>
      </c>
    </row>
    <row r="41">
      <c r="A41" s="399"/>
      <c r="B41" s="77" t="s">
        <v>479</v>
      </c>
    </row>
    <row r="42">
      <c r="A42" s="399"/>
      <c r="B42" s="77" t="s">
        <v>1572</v>
      </c>
    </row>
    <row r="43">
      <c r="A43" s="399"/>
      <c r="B43" s="77" t="s">
        <v>479</v>
      </c>
    </row>
    <row r="44">
      <c r="A44" s="399"/>
      <c r="B44" s="77" t="s">
        <v>1572</v>
      </c>
    </row>
    <row r="45">
      <c r="A45" s="399"/>
      <c r="B45" s="77" t="s">
        <v>509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5" width="10.75"/>
    <col customWidth="1" min="6" max="8" width="11.13"/>
    <col customWidth="1" min="9" max="9" width="8.38"/>
    <col customWidth="1" min="10" max="11" width="6.13"/>
    <col customWidth="1" min="12" max="12" width="7.25"/>
    <col customWidth="1" min="13" max="13" width="12.0"/>
    <col customWidth="1" min="14" max="15" width="6.13"/>
    <col customWidth="1" min="16" max="16" width="9.38"/>
    <col customWidth="1" min="17" max="17" width="12.0"/>
    <col customWidth="1" min="18" max="25" width="6.13"/>
    <col customWidth="1" min="26" max="50" width="4.13"/>
    <col customWidth="1" min="51" max="75" width="3.38"/>
  </cols>
  <sheetData>
    <row r="1" ht="21.0" customHeight="1">
      <c r="A1" s="400"/>
      <c r="B1" s="400"/>
      <c r="C1" s="400"/>
      <c r="D1" s="401"/>
      <c r="E1" s="401"/>
      <c r="F1" s="401"/>
      <c r="G1" s="401"/>
      <c r="H1" s="401"/>
      <c r="I1" s="401"/>
      <c r="J1" s="401"/>
      <c r="K1" s="401"/>
      <c r="L1" s="401" t="s">
        <v>14</v>
      </c>
      <c r="M1" s="401"/>
      <c r="N1" s="401"/>
      <c r="O1" s="401"/>
      <c r="P1" s="401" t="s">
        <v>1598</v>
      </c>
      <c r="Q1" s="401"/>
      <c r="R1" s="401"/>
      <c r="S1" s="401"/>
      <c r="T1" s="401"/>
      <c r="U1" s="401"/>
      <c r="V1" s="401"/>
      <c r="W1" s="401"/>
      <c r="X1" s="401"/>
      <c r="Y1" s="401"/>
      <c r="Z1" s="401" t="s">
        <v>1599</v>
      </c>
      <c r="AY1" s="402"/>
      <c r="AZ1" s="402"/>
      <c r="BA1" s="402"/>
      <c r="BB1" s="402"/>
      <c r="BC1" s="402"/>
      <c r="BD1" s="402"/>
      <c r="BE1" s="402"/>
      <c r="BF1" s="402"/>
      <c r="BG1" s="402"/>
      <c r="BH1" s="402"/>
      <c r="BI1" s="402"/>
      <c r="BJ1" s="402"/>
      <c r="BK1" s="402"/>
      <c r="BL1" s="402"/>
      <c r="BM1" s="402"/>
      <c r="BN1" s="402"/>
      <c r="BO1" s="402"/>
      <c r="BP1" s="402"/>
      <c r="BQ1" s="402"/>
      <c r="BR1" s="402"/>
      <c r="BS1" s="402"/>
      <c r="BT1" s="402"/>
      <c r="BU1" s="402"/>
      <c r="BV1" s="402"/>
      <c r="BW1" s="402"/>
    </row>
    <row r="2" ht="21.0" customHeight="1">
      <c r="A2" s="403" t="s">
        <v>1600</v>
      </c>
      <c r="B2" s="403" t="s">
        <v>3</v>
      </c>
      <c r="C2" s="403" t="s">
        <v>1601</v>
      </c>
      <c r="D2" s="404" t="s">
        <v>1602</v>
      </c>
      <c r="E2" s="404" t="s">
        <v>1603</v>
      </c>
      <c r="F2" s="405" t="s">
        <v>18</v>
      </c>
      <c r="G2" s="405" t="s">
        <v>24</v>
      </c>
      <c r="H2" s="405" t="s">
        <v>32</v>
      </c>
      <c r="I2" s="405" t="s">
        <v>1604</v>
      </c>
      <c r="J2" s="405"/>
      <c r="K2" s="405"/>
      <c r="L2" s="405" t="s">
        <v>370</v>
      </c>
      <c r="M2" s="405" t="s">
        <v>368</v>
      </c>
      <c r="N2" s="405"/>
      <c r="O2" s="405"/>
      <c r="P2" s="405" t="s">
        <v>370</v>
      </c>
      <c r="Q2" s="405" t="s">
        <v>368</v>
      </c>
      <c r="R2" s="405"/>
      <c r="S2" s="405"/>
      <c r="T2" s="405"/>
      <c r="U2" s="405"/>
      <c r="V2" s="405"/>
      <c r="W2" s="405"/>
      <c r="X2" s="405"/>
      <c r="Y2" s="405" t="s">
        <v>1605</v>
      </c>
      <c r="Z2" s="406" t="s">
        <v>1606</v>
      </c>
      <c r="AA2" s="406" t="s">
        <v>1607</v>
      </c>
      <c r="AB2" s="407" t="s">
        <v>1608</v>
      </c>
      <c r="AC2" s="406" t="s">
        <v>1609</v>
      </c>
      <c r="AD2" s="406" t="s">
        <v>1610</v>
      </c>
      <c r="AE2" s="406" t="s">
        <v>1611</v>
      </c>
      <c r="AF2" s="406" t="s">
        <v>1612</v>
      </c>
      <c r="AG2" s="406" t="s">
        <v>1613</v>
      </c>
      <c r="AH2" s="406" t="s">
        <v>1614</v>
      </c>
      <c r="AI2" s="406" t="s">
        <v>1615</v>
      </c>
      <c r="AJ2" s="406" t="s">
        <v>1616</v>
      </c>
      <c r="AK2" s="406" t="s">
        <v>1617</v>
      </c>
      <c r="AL2" s="406" t="s">
        <v>1618</v>
      </c>
      <c r="AM2" s="406" t="s">
        <v>1619</v>
      </c>
      <c r="AN2" s="406" t="s">
        <v>1620</v>
      </c>
      <c r="AO2" s="406" t="s">
        <v>1621</v>
      </c>
      <c r="AP2" s="406" t="s">
        <v>1622</v>
      </c>
      <c r="AQ2" s="406" t="s">
        <v>1623</v>
      </c>
      <c r="AR2" s="406" t="s">
        <v>1624</v>
      </c>
      <c r="AS2" s="406" t="s">
        <v>1625</v>
      </c>
      <c r="AT2" s="406" t="s">
        <v>1626</v>
      </c>
      <c r="AU2" s="406" t="s">
        <v>1627</v>
      </c>
      <c r="AV2" s="406" t="s">
        <v>1628</v>
      </c>
      <c r="AW2" s="407" t="s">
        <v>1629</v>
      </c>
      <c r="AX2" s="407" t="s">
        <v>1630</v>
      </c>
      <c r="AY2" s="408"/>
      <c r="AZ2" s="408"/>
      <c r="BA2" s="408"/>
      <c r="BB2" s="408"/>
      <c r="BC2" s="408"/>
      <c r="BD2" s="408"/>
      <c r="BE2" s="408"/>
      <c r="BF2" s="408"/>
      <c r="BG2" s="408"/>
      <c r="BH2" s="408"/>
      <c r="BI2" s="408"/>
      <c r="BJ2" s="408"/>
      <c r="BK2" s="408"/>
      <c r="BL2" s="408"/>
      <c r="BM2" s="408"/>
      <c r="BN2" s="408"/>
      <c r="BO2" s="408"/>
      <c r="BP2" s="408"/>
      <c r="BQ2" s="408"/>
      <c r="BR2" s="408"/>
      <c r="BS2" s="408"/>
      <c r="BT2" s="408"/>
      <c r="BU2" s="408"/>
      <c r="BV2" s="408"/>
      <c r="BW2" s="408"/>
    </row>
    <row r="3">
      <c r="A3" s="409" t="s">
        <v>1631</v>
      </c>
      <c r="B3" s="409" t="s">
        <v>175</v>
      </c>
      <c r="C3" s="409" t="s">
        <v>1632</v>
      </c>
      <c r="D3" s="402">
        <v>1.0</v>
      </c>
      <c r="E3" s="402">
        <v>11.0</v>
      </c>
      <c r="F3" s="408">
        <v>0.0</v>
      </c>
      <c r="G3" s="408">
        <v>1.0</v>
      </c>
      <c r="H3" s="408">
        <v>2.0</v>
      </c>
      <c r="I3" s="408">
        <v>22.0</v>
      </c>
      <c r="J3" s="408"/>
      <c r="K3" s="408"/>
      <c r="L3" s="408">
        <v>0.0</v>
      </c>
      <c r="M3" s="408" t="s">
        <v>18</v>
      </c>
      <c r="N3" s="408"/>
      <c r="O3" s="408"/>
      <c r="P3" s="408">
        <v>0.0</v>
      </c>
      <c r="Q3" s="408" t="s">
        <v>18</v>
      </c>
      <c r="R3" s="408"/>
      <c r="S3" s="408"/>
      <c r="T3" s="408"/>
      <c r="U3" s="408"/>
      <c r="V3" s="408"/>
      <c r="W3" s="408"/>
      <c r="X3" s="408"/>
      <c r="Y3" s="408">
        <v>0.2</v>
      </c>
      <c r="Z3" s="408" t="s">
        <v>310</v>
      </c>
      <c r="AA3" s="408" t="s">
        <v>310</v>
      </c>
      <c r="AB3" s="408" t="s">
        <v>1633</v>
      </c>
      <c r="AC3" s="408" t="s">
        <v>1633</v>
      </c>
      <c r="AD3" s="408" t="s">
        <v>1634</v>
      </c>
      <c r="AE3" s="408" t="s">
        <v>310</v>
      </c>
      <c r="AF3" s="408" t="s">
        <v>1633</v>
      </c>
      <c r="AG3" s="408" t="s">
        <v>1634</v>
      </c>
      <c r="AH3" s="408" t="s">
        <v>1634</v>
      </c>
      <c r="AI3" s="408" t="s">
        <v>1633</v>
      </c>
      <c r="AJ3" s="408" t="s">
        <v>1633</v>
      </c>
      <c r="AK3" s="408" t="s">
        <v>310</v>
      </c>
      <c r="AL3" s="408" t="s">
        <v>1634</v>
      </c>
      <c r="AM3" s="408" t="s">
        <v>310</v>
      </c>
      <c r="AN3" s="408" t="s">
        <v>1635</v>
      </c>
      <c r="AO3" s="408" t="s">
        <v>1633</v>
      </c>
      <c r="AP3" s="408" t="s">
        <v>1634</v>
      </c>
      <c r="AQ3" s="408" t="s">
        <v>1633</v>
      </c>
      <c r="AR3" s="408" t="s">
        <v>310</v>
      </c>
      <c r="AS3" s="408" t="s">
        <v>1633</v>
      </c>
      <c r="AT3" s="408" t="s">
        <v>1634</v>
      </c>
      <c r="AU3" s="408" t="s">
        <v>1634</v>
      </c>
      <c r="AV3" s="408" t="s">
        <v>310</v>
      </c>
      <c r="AW3" s="408" t="s">
        <v>310</v>
      </c>
      <c r="AX3" s="408" t="s">
        <v>310</v>
      </c>
      <c r="AY3" s="408"/>
      <c r="AZ3" s="408"/>
      <c r="BA3" s="408"/>
      <c r="BB3" s="408"/>
      <c r="BC3" s="408"/>
      <c r="BD3" s="408"/>
      <c r="BE3" s="408"/>
      <c r="BF3" s="408"/>
      <c r="BG3" s="408"/>
      <c r="BH3" s="408"/>
      <c r="BI3" s="408"/>
      <c r="BJ3" s="408"/>
      <c r="BK3" s="408"/>
      <c r="BL3" s="408"/>
      <c r="BM3" s="408"/>
      <c r="BN3" s="408"/>
      <c r="BO3" s="408"/>
      <c r="BP3" s="408"/>
      <c r="BQ3" s="408"/>
      <c r="BR3" s="408"/>
      <c r="BS3" s="408"/>
      <c r="BT3" s="408"/>
      <c r="BU3" s="408"/>
      <c r="BV3" s="408"/>
      <c r="BW3" s="408"/>
    </row>
    <row r="4">
      <c r="A4" s="409" t="s">
        <v>1636</v>
      </c>
      <c r="B4" s="409" t="s">
        <v>15</v>
      </c>
      <c r="C4" s="409" t="s">
        <v>362</v>
      </c>
      <c r="D4" s="402">
        <v>1.0</v>
      </c>
      <c r="E4" s="402">
        <v>10.0</v>
      </c>
      <c r="F4" s="408">
        <v>0.0</v>
      </c>
      <c r="G4" s="408">
        <v>1.0</v>
      </c>
      <c r="H4" s="408">
        <v>2.0</v>
      </c>
      <c r="I4" s="408">
        <v>20.0</v>
      </c>
      <c r="J4" s="408"/>
      <c r="K4" s="408"/>
      <c r="L4" s="408">
        <v>1.0</v>
      </c>
      <c r="M4" s="408" t="s">
        <v>24</v>
      </c>
      <c r="N4" s="408"/>
      <c r="O4" s="408"/>
      <c r="P4" s="408">
        <v>1.0</v>
      </c>
      <c r="Q4" s="408" t="s">
        <v>18</v>
      </c>
      <c r="R4" s="408"/>
      <c r="S4" s="408"/>
      <c r="T4" s="408"/>
      <c r="U4" s="408"/>
      <c r="V4" s="408"/>
      <c r="W4" s="408"/>
      <c r="X4" s="408"/>
      <c r="Y4" s="408"/>
      <c r="Z4" s="408" t="s">
        <v>1634</v>
      </c>
      <c r="AA4" s="408" t="s">
        <v>1633</v>
      </c>
      <c r="AB4" s="408" t="s">
        <v>1633</v>
      </c>
      <c r="AC4" s="408" t="s">
        <v>310</v>
      </c>
      <c r="AD4" s="408" t="s">
        <v>310</v>
      </c>
      <c r="AE4" s="408" t="s">
        <v>1634</v>
      </c>
      <c r="AF4" s="408" t="s">
        <v>1634</v>
      </c>
      <c r="AG4" s="408" t="s">
        <v>1633</v>
      </c>
      <c r="AH4" s="408" t="s">
        <v>1634</v>
      </c>
      <c r="AI4" s="408" t="s">
        <v>1634</v>
      </c>
      <c r="AJ4" s="408" t="s">
        <v>310</v>
      </c>
      <c r="AK4" s="408" t="s">
        <v>1634</v>
      </c>
      <c r="AL4" s="408" t="s">
        <v>310</v>
      </c>
      <c r="AM4" s="408" t="s">
        <v>1633</v>
      </c>
      <c r="AN4" s="408" t="s">
        <v>1633</v>
      </c>
      <c r="AO4" s="408" t="s">
        <v>310</v>
      </c>
      <c r="AP4" s="408" t="s">
        <v>310</v>
      </c>
      <c r="AQ4" s="408" t="s">
        <v>310</v>
      </c>
      <c r="AR4" s="408" t="s">
        <v>1634</v>
      </c>
      <c r="AS4" s="408" t="s">
        <v>310</v>
      </c>
      <c r="AT4" s="408" t="s">
        <v>310</v>
      </c>
      <c r="AU4" s="408" t="s">
        <v>1634</v>
      </c>
      <c r="AV4" s="408" t="s">
        <v>310</v>
      </c>
      <c r="AW4" s="408" t="s">
        <v>310</v>
      </c>
      <c r="AX4" s="408" t="s">
        <v>310</v>
      </c>
      <c r="AY4" s="408"/>
      <c r="AZ4" s="408"/>
      <c r="BA4" s="408"/>
      <c r="BB4" s="408"/>
      <c r="BC4" s="408"/>
      <c r="BD4" s="408"/>
      <c r="BE4" s="408"/>
      <c r="BF4" s="408"/>
      <c r="BG4" s="408"/>
      <c r="BH4" s="408"/>
      <c r="BI4" s="408"/>
      <c r="BJ4" s="408"/>
      <c r="BK4" s="408"/>
      <c r="BL4" s="408"/>
      <c r="BM4" s="408"/>
      <c r="BN4" s="408"/>
      <c r="BO4" s="408"/>
      <c r="BP4" s="408"/>
      <c r="BQ4" s="408"/>
      <c r="BR4" s="408"/>
      <c r="BS4" s="408"/>
      <c r="BT4" s="408"/>
      <c r="BU4" s="408"/>
      <c r="BV4" s="408"/>
      <c r="BW4" s="408"/>
    </row>
    <row r="5">
      <c r="A5" s="409" t="s">
        <v>1637</v>
      </c>
      <c r="B5" s="409" t="s">
        <v>20</v>
      </c>
      <c r="C5" s="409" t="s">
        <v>362</v>
      </c>
      <c r="D5" s="402">
        <v>1.0</v>
      </c>
      <c r="E5" s="402">
        <v>10.0</v>
      </c>
      <c r="F5" s="408">
        <v>0.0</v>
      </c>
      <c r="G5" s="408">
        <v>1.0</v>
      </c>
      <c r="H5" s="408">
        <v>2.0</v>
      </c>
      <c r="I5" s="408">
        <v>20.0</v>
      </c>
      <c r="J5" s="408"/>
      <c r="K5" s="408"/>
      <c r="L5" s="408">
        <v>2.0</v>
      </c>
      <c r="M5" s="408" t="s">
        <v>32</v>
      </c>
      <c r="N5" s="408"/>
      <c r="O5" s="408"/>
      <c r="P5" s="408">
        <v>2.0</v>
      </c>
      <c r="Q5" s="408" t="s">
        <v>24</v>
      </c>
      <c r="R5" s="408"/>
      <c r="S5" s="408"/>
      <c r="T5" s="408"/>
      <c r="U5" s="408"/>
      <c r="V5" s="408"/>
      <c r="W5" s="408"/>
      <c r="X5" s="408"/>
      <c r="Y5" s="408"/>
      <c r="Z5" s="408" t="s">
        <v>310</v>
      </c>
      <c r="AA5" s="408" t="s">
        <v>1634</v>
      </c>
      <c r="AB5" s="408" t="s">
        <v>310</v>
      </c>
      <c r="AC5" s="408" t="s">
        <v>1633</v>
      </c>
      <c r="AD5" s="408" t="s">
        <v>1634</v>
      </c>
      <c r="AE5" s="408" t="s">
        <v>1634</v>
      </c>
      <c r="AF5" s="408" t="s">
        <v>1633</v>
      </c>
      <c r="AG5" s="408" t="s">
        <v>1634</v>
      </c>
      <c r="AH5" s="408" t="s">
        <v>1634</v>
      </c>
      <c r="AI5" s="408" t="s">
        <v>1634</v>
      </c>
      <c r="AJ5" s="408" t="s">
        <v>1634</v>
      </c>
      <c r="AK5" s="408" t="s">
        <v>310</v>
      </c>
      <c r="AL5" s="408" t="s">
        <v>1634</v>
      </c>
      <c r="AM5" s="408" t="s">
        <v>1633</v>
      </c>
      <c r="AN5" s="408" t="s">
        <v>1634</v>
      </c>
      <c r="AO5" s="408" t="s">
        <v>1634</v>
      </c>
      <c r="AP5" s="408" t="s">
        <v>1633</v>
      </c>
      <c r="AQ5" s="408" t="s">
        <v>1634</v>
      </c>
      <c r="AR5" s="408" t="s">
        <v>1633</v>
      </c>
      <c r="AS5" s="408" t="s">
        <v>1633</v>
      </c>
      <c r="AT5" s="408" t="s">
        <v>310</v>
      </c>
      <c r="AU5" s="408" t="s">
        <v>1634</v>
      </c>
      <c r="AV5" s="408" t="s">
        <v>310</v>
      </c>
      <c r="AW5" s="408" t="s">
        <v>1633</v>
      </c>
      <c r="AX5" s="408" t="s">
        <v>310</v>
      </c>
      <c r="AY5" s="408"/>
      <c r="AZ5" s="408"/>
      <c r="BA5" s="408"/>
      <c r="BB5" s="408"/>
      <c r="BC5" s="408"/>
      <c r="BD5" s="408"/>
      <c r="BE5" s="408"/>
      <c r="BF5" s="408"/>
      <c r="BG5" s="408"/>
      <c r="BH5" s="408"/>
      <c r="BI5" s="408"/>
      <c r="BJ5" s="408"/>
      <c r="BK5" s="408"/>
      <c r="BL5" s="408"/>
      <c r="BM5" s="408"/>
      <c r="BN5" s="408"/>
      <c r="BO5" s="408"/>
      <c r="BP5" s="408"/>
      <c r="BQ5" s="408"/>
      <c r="BR5" s="408"/>
      <c r="BS5" s="408"/>
      <c r="BT5" s="408"/>
      <c r="BU5" s="408"/>
      <c r="BV5" s="408"/>
      <c r="BW5" s="408"/>
    </row>
    <row r="6">
      <c r="A6" s="409" t="s">
        <v>1638</v>
      </c>
      <c r="B6" s="409" t="s">
        <v>22</v>
      </c>
      <c r="C6" s="409" t="s">
        <v>362</v>
      </c>
      <c r="D6" s="402">
        <v>1.0</v>
      </c>
      <c r="E6" s="402">
        <v>11.0</v>
      </c>
      <c r="F6" s="408">
        <v>0.0</v>
      </c>
      <c r="G6" s="408">
        <v>1.0</v>
      </c>
      <c r="H6" s="408">
        <v>2.0</v>
      </c>
      <c r="I6" s="408">
        <v>22.0</v>
      </c>
      <c r="J6" s="408"/>
      <c r="K6" s="408"/>
      <c r="L6" s="408"/>
      <c r="M6" s="408"/>
      <c r="N6" s="408"/>
      <c r="O6" s="408"/>
      <c r="P6" s="408">
        <v>3.0</v>
      </c>
      <c r="Q6" s="408" t="s">
        <v>32</v>
      </c>
      <c r="R6" s="408"/>
      <c r="S6" s="408"/>
      <c r="T6" s="408"/>
      <c r="U6" s="408"/>
      <c r="V6" s="408"/>
      <c r="W6" s="408"/>
      <c r="X6" s="408"/>
      <c r="Y6" s="408"/>
      <c r="Z6" s="408" t="s">
        <v>1634</v>
      </c>
      <c r="AA6" s="408" t="s">
        <v>310</v>
      </c>
      <c r="AB6" s="408" t="s">
        <v>1635</v>
      </c>
      <c r="AC6" s="408" t="s">
        <v>310</v>
      </c>
      <c r="AD6" s="408" t="s">
        <v>1633</v>
      </c>
      <c r="AE6" s="408" t="s">
        <v>1634</v>
      </c>
      <c r="AF6" s="408" t="s">
        <v>1634</v>
      </c>
      <c r="AG6" s="408" t="s">
        <v>1634</v>
      </c>
      <c r="AH6" s="408" t="s">
        <v>310</v>
      </c>
      <c r="AI6" s="408" t="s">
        <v>1635</v>
      </c>
      <c r="AJ6" s="408" t="s">
        <v>310</v>
      </c>
      <c r="AK6" s="408" t="s">
        <v>1633</v>
      </c>
      <c r="AL6" s="408" t="s">
        <v>1634</v>
      </c>
      <c r="AM6" s="408" t="s">
        <v>1633</v>
      </c>
      <c r="AN6" s="408" t="s">
        <v>1635</v>
      </c>
      <c r="AO6" s="408" t="s">
        <v>1633</v>
      </c>
      <c r="AP6" s="408" t="s">
        <v>1633</v>
      </c>
      <c r="AQ6" s="408" t="s">
        <v>1635</v>
      </c>
      <c r="AR6" s="408" t="s">
        <v>310</v>
      </c>
      <c r="AS6" s="408" t="s">
        <v>1635</v>
      </c>
      <c r="AT6" s="408" t="s">
        <v>1634</v>
      </c>
      <c r="AU6" s="408" t="s">
        <v>1634</v>
      </c>
      <c r="AV6" s="408" t="s">
        <v>1633</v>
      </c>
      <c r="AW6" s="408" t="s">
        <v>1635</v>
      </c>
      <c r="AX6" s="408" t="s">
        <v>1635</v>
      </c>
      <c r="AY6" s="408"/>
      <c r="AZ6" s="408"/>
      <c r="BA6" s="408"/>
      <c r="BB6" s="408"/>
      <c r="BC6" s="408"/>
      <c r="BD6" s="408"/>
      <c r="BE6" s="408"/>
      <c r="BF6" s="408"/>
      <c r="BG6" s="408"/>
      <c r="BH6" s="408"/>
      <c r="BI6" s="408"/>
      <c r="BJ6" s="408"/>
      <c r="BK6" s="408"/>
      <c r="BL6" s="408"/>
      <c r="BM6" s="408"/>
      <c r="BN6" s="408"/>
      <c r="BO6" s="408"/>
      <c r="BP6" s="408"/>
      <c r="BQ6" s="408"/>
      <c r="BR6" s="408"/>
      <c r="BS6" s="408"/>
      <c r="BT6" s="408"/>
      <c r="BU6" s="408"/>
      <c r="BV6" s="408"/>
      <c r="BW6" s="408"/>
    </row>
    <row r="7">
      <c r="A7" s="409" t="s">
        <v>1639</v>
      </c>
      <c r="B7" s="409" t="s">
        <v>28</v>
      </c>
      <c r="C7" s="409" t="s">
        <v>362</v>
      </c>
      <c r="D7" s="402">
        <v>1.0</v>
      </c>
      <c r="E7" s="402">
        <v>8.0</v>
      </c>
      <c r="F7" s="408">
        <v>1.0</v>
      </c>
      <c r="G7" s="408">
        <v>2.0</v>
      </c>
      <c r="H7" s="408">
        <v>3.0</v>
      </c>
      <c r="I7" s="408">
        <v>24.0</v>
      </c>
      <c r="J7" s="408"/>
      <c r="K7" s="408"/>
      <c r="L7" s="408"/>
      <c r="M7" s="408"/>
      <c r="N7" s="408"/>
      <c r="O7" s="408"/>
      <c r="P7" s="408"/>
      <c r="Q7" s="408"/>
      <c r="R7" s="408"/>
      <c r="S7" s="408"/>
      <c r="T7" s="408"/>
      <c r="U7" s="408"/>
      <c r="V7" s="408"/>
      <c r="W7" s="408"/>
      <c r="X7" s="408"/>
      <c r="Y7" s="408"/>
      <c r="Z7" s="408" t="s">
        <v>1633</v>
      </c>
      <c r="AA7" s="408" t="s">
        <v>1634</v>
      </c>
      <c r="AB7" s="408" t="s">
        <v>1634</v>
      </c>
      <c r="AC7" s="408" t="s">
        <v>1635</v>
      </c>
      <c r="AD7" s="408" t="s">
        <v>1635</v>
      </c>
      <c r="AE7" s="408" t="s">
        <v>1635</v>
      </c>
      <c r="AF7" s="408" t="s">
        <v>1633</v>
      </c>
      <c r="AG7" s="408" t="s">
        <v>1635</v>
      </c>
      <c r="AH7" s="408" t="s">
        <v>1634</v>
      </c>
      <c r="AI7" s="408" t="s">
        <v>1634</v>
      </c>
      <c r="AJ7" s="408" t="s">
        <v>1635</v>
      </c>
      <c r="AK7" s="408" t="s">
        <v>310</v>
      </c>
      <c r="AL7" s="408" t="s">
        <v>1633</v>
      </c>
      <c r="AM7" s="408" t="s">
        <v>1634</v>
      </c>
      <c r="AN7" s="408" t="s">
        <v>1634</v>
      </c>
      <c r="AO7" s="408" t="s">
        <v>1633</v>
      </c>
      <c r="AP7" s="408" t="s">
        <v>1635</v>
      </c>
      <c r="AQ7" s="408" t="s">
        <v>1633</v>
      </c>
      <c r="AR7" s="408" t="s">
        <v>310</v>
      </c>
      <c r="AS7" s="408" t="s">
        <v>1634</v>
      </c>
      <c r="AT7" s="408" t="s">
        <v>1634</v>
      </c>
      <c r="AU7" s="408" t="s">
        <v>1633</v>
      </c>
      <c r="AV7" s="408" t="s">
        <v>310</v>
      </c>
      <c r="AW7" s="408" t="s">
        <v>1634</v>
      </c>
      <c r="AX7" s="408" t="s">
        <v>1635</v>
      </c>
      <c r="AY7" s="408"/>
      <c r="AZ7" s="408"/>
      <c r="BA7" s="408"/>
      <c r="BB7" s="408"/>
      <c r="BC7" s="408"/>
      <c r="BD7" s="408"/>
      <c r="BE7" s="408"/>
      <c r="BF7" s="408"/>
      <c r="BG7" s="408"/>
      <c r="BH7" s="408"/>
      <c r="BI7" s="408"/>
      <c r="BJ7" s="408"/>
      <c r="BK7" s="408"/>
      <c r="BL7" s="408"/>
      <c r="BM7" s="408"/>
      <c r="BN7" s="408"/>
      <c r="BO7" s="408"/>
      <c r="BP7" s="408"/>
      <c r="BQ7" s="408"/>
      <c r="BR7" s="408"/>
      <c r="BS7" s="408"/>
      <c r="BT7" s="408"/>
      <c r="BU7" s="408"/>
      <c r="BV7" s="408"/>
      <c r="BW7" s="408"/>
    </row>
    <row r="8">
      <c r="A8" s="409" t="s">
        <v>1640</v>
      </c>
      <c r="B8" s="409" t="s">
        <v>30</v>
      </c>
      <c r="C8" s="409" t="s">
        <v>362</v>
      </c>
      <c r="D8" s="402">
        <v>1.0</v>
      </c>
      <c r="E8" s="402">
        <v>8.0</v>
      </c>
      <c r="F8" s="408">
        <v>1.0</v>
      </c>
      <c r="G8" s="408">
        <v>2.0</v>
      </c>
      <c r="H8" s="408">
        <v>3.0</v>
      </c>
      <c r="I8" s="408">
        <v>24.0</v>
      </c>
      <c r="J8" s="408"/>
      <c r="K8" s="408"/>
      <c r="L8" s="408"/>
      <c r="M8" s="408"/>
      <c r="N8" s="408"/>
      <c r="O8" s="408"/>
      <c r="P8" s="408"/>
      <c r="Q8" s="408"/>
      <c r="R8" s="408"/>
      <c r="S8" s="408"/>
      <c r="T8" s="408"/>
      <c r="U8" s="408"/>
      <c r="V8" s="408"/>
      <c r="W8" s="408"/>
      <c r="X8" s="408"/>
      <c r="Y8" s="408"/>
      <c r="Z8" s="408" t="s">
        <v>1633</v>
      </c>
      <c r="AA8" s="408" t="s">
        <v>1634</v>
      </c>
      <c r="AB8" s="408" t="s">
        <v>1634</v>
      </c>
      <c r="AC8" s="408" t="s">
        <v>1635</v>
      </c>
      <c r="AD8" s="408" t="s">
        <v>1633</v>
      </c>
      <c r="AE8" s="408" t="s">
        <v>1634</v>
      </c>
      <c r="AF8" s="408" t="s">
        <v>310</v>
      </c>
      <c r="AG8" s="408" t="s">
        <v>1633</v>
      </c>
      <c r="AH8" s="408" t="s">
        <v>1635</v>
      </c>
      <c r="AI8" s="408" t="s">
        <v>1634</v>
      </c>
      <c r="AJ8" s="408" t="s">
        <v>1635</v>
      </c>
      <c r="AK8" s="408" t="s">
        <v>310</v>
      </c>
      <c r="AL8" s="408" t="s">
        <v>1635</v>
      </c>
      <c r="AM8" s="408" t="s">
        <v>1634</v>
      </c>
      <c r="AN8" s="408" t="s">
        <v>1634</v>
      </c>
      <c r="AO8" s="408" t="s">
        <v>1635</v>
      </c>
      <c r="AP8" s="408" t="s">
        <v>1635</v>
      </c>
      <c r="AQ8" s="408" t="s">
        <v>1635</v>
      </c>
      <c r="AR8" s="408" t="s">
        <v>310</v>
      </c>
      <c r="AS8" s="408" t="s">
        <v>1635</v>
      </c>
      <c r="AT8" s="408" t="s">
        <v>1633</v>
      </c>
      <c r="AU8" s="408" t="s">
        <v>310</v>
      </c>
      <c r="AV8" s="408" t="s">
        <v>1635</v>
      </c>
      <c r="AW8" s="408" t="s">
        <v>1635</v>
      </c>
      <c r="AX8" s="408" t="s">
        <v>310</v>
      </c>
      <c r="AY8" s="408"/>
      <c r="AZ8" s="408"/>
      <c r="BA8" s="408"/>
      <c r="BB8" s="408"/>
      <c r="BC8" s="408"/>
      <c r="BD8" s="408"/>
      <c r="BE8" s="408"/>
      <c r="BF8" s="408"/>
      <c r="BG8" s="408"/>
      <c r="BH8" s="408"/>
      <c r="BI8" s="408"/>
      <c r="BJ8" s="408"/>
      <c r="BK8" s="408"/>
      <c r="BL8" s="408"/>
      <c r="BM8" s="408"/>
      <c r="BN8" s="408"/>
      <c r="BO8" s="408"/>
      <c r="BP8" s="408"/>
      <c r="BQ8" s="408"/>
      <c r="BR8" s="408"/>
      <c r="BS8" s="408"/>
      <c r="BT8" s="408"/>
      <c r="BU8" s="408"/>
      <c r="BV8" s="408"/>
      <c r="BW8" s="408"/>
    </row>
    <row r="9">
      <c r="A9" s="173"/>
      <c r="B9" s="398" t="s">
        <v>365</v>
      </c>
      <c r="C9" s="173"/>
      <c r="D9" s="79"/>
      <c r="E9" s="79"/>
      <c r="AY9" s="408"/>
      <c r="AZ9" s="408"/>
      <c r="BA9" s="408"/>
      <c r="BB9" s="408"/>
      <c r="BC9" s="408"/>
      <c r="BD9" s="408"/>
      <c r="BE9" s="408"/>
      <c r="BF9" s="408"/>
      <c r="BG9" s="408"/>
      <c r="BH9" s="408"/>
      <c r="BI9" s="408"/>
      <c r="BJ9" s="408"/>
      <c r="BK9" s="408"/>
      <c r="BL9" s="408"/>
      <c r="BM9" s="408"/>
      <c r="BN9" s="408"/>
      <c r="BO9" s="408"/>
      <c r="BP9" s="408"/>
      <c r="BQ9" s="408"/>
      <c r="BR9" s="408"/>
      <c r="BS9" s="408"/>
      <c r="BT9" s="408"/>
      <c r="BU9" s="408"/>
      <c r="BV9" s="408"/>
      <c r="BW9" s="408"/>
    </row>
    <row r="10">
      <c r="A10" s="409"/>
      <c r="B10" s="409"/>
      <c r="C10" s="409"/>
      <c r="D10" s="402"/>
      <c r="E10" s="402"/>
      <c r="F10" s="410"/>
      <c r="G10" s="410"/>
      <c r="H10" s="410"/>
      <c r="I10" s="410"/>
      <c r="J10" s="410"/>
      <c r="K10" s="410"/>
      <c r="L10" s="410"/>
      <c r="M10" s="410"/>
      <c r="N10" s="410"/>
      <c r="O10" s="410"/>
      <c r="P10" s="410"/>
      <c r="Q10" s="410"/>
      <c r="R10" s="410"/>
      <c r="S10" s="410"/>
      <c r="T10" s="410"/>
      <c r="U10" s="410"/>
      <c r="V10" s="410"/>
      <c r="W10" s="410"/>
      <c r="X10" s="410"/>
      <c r="Y10" s="410"/>
      <c r="Z10" s="410"/>
      <c r="AA10" s="410"/>
      <c r="AB10" s="410"/>
      <c r="AC10" s="410"/>
      <c r="AD10" s="410"/>
      <c r="AE10" s="410"/>
      <c r="AF10" s="410"/>
      <c r="AG10" s="410"/>
      <c r="AH10" s="410"/>
      <c r="AI10" s="410"/>
      <c r="AJ10" s="410"/>
      <c r="AK10" s="410"/>
      <c r="AL10" s="410"/>
      <c r="AM10" s="410"/>
      <c r="AN10" s="410"/>
      <c r="AO10" s="410"/>
      <c r="AP10" s="410"/>
      <c r="AQ10" s="410"/>
      <c r="AR10" s="410"/>
      <c r="AS10" s="410"/>
      <c r="AT10" s="410"/>
      <c r="AU10" s="410"/>
      <c r="AV10" s="410"/>
      <c r="AW10" s="410"/>
      <c r="AX10" s="410"/>
      <c r="AY10" s="408"/>
      <c r="AZ10" s="408"/>
      <c r="BA10" s="408"/>
      <c r="BB10" s="408"/>
      <c r="BC10" s="408"/>
      <c r="BD10" s="408"/>
      <c r="BE10" s="408"/>
      <c r="BF10" s="408"/>
      <c r="BG10" s="408"/>
      <c r="BH10" s="408"/>
      <c r="BI10" s="408"/>
      <c r="BJ10" s="408"/>
      <c r="BK10" s="408"/>
      <c r="BL10" s="408"/>
      <c r="BM10" s="408"/>
      <c r="BN10" s="408"/>
      <c r="BO10" s="408"/>
      <c r="BP10" s="408"/>
      <c r="BQ10" s="408"/>
      <c r="BR10" s="408"/>
      <c r="BS10" s="408"/>
      <c r="BT10" s="408"/>
      <c r="BU10" s="408"/>
      <c r="BV10" s="408"/>
      <c r="BW10" s="408"/>
    </row>
    <row r="11">
      <c r="A11" s="409"/>
      <c r="B11" s="409"/>
      <c r="C11" s="409"/>
      <c r="D11" s="402"/>
      <c r="E11" s="402"/>
      <c r="F11" s="410"/>
      <c r="G11" s="410"/>
      <c r="H11" s="410"/>
      <c r="I11" s="410"/>
      <c r="J11" s="410"/>
      <c r="K11" s="410"/>
      <c r="L11" s="410"/>
      <c r="M11" s="410"/>
      <c r="N11" s="410"/>
      <c r="O11" s="410"/>
      <c r="P11" s="410"/>
      <c r="Q11" s="410"/>
      <c r="R11" s="410"/>
      <c r="S11" s="410"/>
      <c r="T11" s="410"/>
      <c r="U11" s="410"/>
      <c r="V11" s="410"/>
      <c r="W11" s="410"/>
      <c r="X11" s="410"/>
      <c r="Y11" s="410"/>
      <c r="Z11" s="410"/>
      <c r="AA11" s="410"/>
      <c r="AB11" s="410"/>
      <c r="AC11" s="410"/>
      <c r="AD11" s="410"/>
      <c r="AE11" s="410"/>
      <c r="AF11" s="410"/>
      <c r="AG11" s="410"/>
      <c r="AH11" s="410"/>
      <c r="AI11" s="410"/>
      <c r="AJ11" s="410"/>
      <c r="AK11" s="410"/>
      <c r="AL11" s="410"/>
      <c r="AM11" s="410"/>
      <c r="AN11" s="410"/>
      <c r="AO11" s="410"/>
      <c r="AP11" s="410"/>
      <c r="AQ11" s="410"/>
      <c r="AR11" s="410"/>
      <c r="AS11" s="410"/>
      <c r="AT11" s="410"/>
      <c r="AU11" s="410"/>
      <c r="AV11" s="410"/>
      <c r="AW11" s="410"/>
      <c r="AX11" s="410"/>
    </row>
    <row r="12">
      <c r="A12" s="409"/>
      <c r="B12" s="409"/>
      <c r="C12" s="409"/>
      <c r="D12" s="402"/>
      <c r="E12" s="402"/>
      <c r="F12" s="410"/>
      <c r="G12" s="410"/>
      <c r="H12" s="410"/>
      <c r="I12" s="410"/>
      <c r="J12" s="410"/>
      <c r="K12" s="410"/>
      <c r="L12" s="410"/>
      <c r="M12" s="410"/>
      <c r="N12" s="410"/>
      <c r="O12" s="410"/>
      <c r="P12" s="410"/>
      <c r="Q12" s="410"/>
      <c r="R12" s="410"/>
      <c r="S12" s="410"/>
      <c r="T12" s="410"/>
      <c r="U12" s="410"/>
      <c r="V12" s="410"/>
      <c r="W12" s="410"/>
      <c r="X12" s="410"/>
      <c r="Y12" s="410"/>
      <c r="Z12" s="410"/>
      <c r="AA12" s="410"/>
      <c r="AB12" s="410"/>
      <c r="AC12" s="410"/>
      <c r="AD12" s="410"/>
      <c r="AE12" s="410"/>
      <c r="AF12" s="410"/>
      <c r="AG12" s="410"/>
      <c r="AH12" s="410"/>
      <c r="AI12" s="410"/>
      <c r="AJ12" s="410"/>
      <c r="AK12" s="410"/>
      <c r="AL12" s="410"/>
      <c r="AM12" s="410"/>
      <c r="AN12" s="410"/>
      <c r="AO12" s="410"/>
      <c r="AP12" s="410"/>
      <c r="AQ12" s="410"/>
      <c r="AR12" s="410"/>
      <c r="AS12" s="410"/>
      <c r="AT12" s="410"/>
      <c r="AU12" s="410"/>
      <c r="AV12" s="410"/>
      <c r="AW12" s="410"/>
      <c r="AX12" s="410"/>
    </row>
    <row r="13">
      <c r="A13" s="409"/>
      <c r="B13" s="409"/>
      <c r="C13" s="409"/>
      <c r="D13" s="402"/>
      <c r="E13" s="402"/>
      <c r="F13" s="410"/>
      <c r="G13" s="410"/>
      <c r="H13" s="410"/>
      <c r="I13" s="410"/>
      <c r="J13" s="410"/>
      <c r="K13" s="410"/>
      <c r="L13" s="410"/>
      <c r="M13" s="410"/>
      <c r="N13" s="410"/>
      <c r="O13" s="410"/>
      <c r="P13" s="410"/>
      <c r="Q13" s="410"/>
      <c r="R13" s="410"/>
      <c r="S13" s="410"/>
      <c r="T13" s="410"/>
      <c r="U13" s="410"/>
      <c r="V13" s="410"/>
      <c r="W13" s="410"/>
      <c r="X13" s="410"/>
      <c r="Y13" s="410"/>
      <c r="Z13" s="410"/>
      <c r="AA13" s="410"/>
      <c r="AB13" s="410"/>
      <c r="AC13" s="410"/>
      <c r="AD13" s="410"/>
      <c r="AE13" s="410"/>
      <c r="AF13" s="410"/>
      <c r="AG13" s="410"/>
      <c r="AH13" s="410"/>
      <c r="AI13" s="410"/>
      <c r="AJ13" s="410"/>
      <c r="AK13" s="410"/>
      <c r="AL13" s="410"/>
      <c r="AM13" s="410"/>
      <c r="AN13" s="410"/>
      <c r="AO13" s="410"/>
      <c r="AP13" s="410"/>
      <c r="AQ13" s="410"/>
      <c r="AR13" s="410"/>
      <c r="AS13" s="410"/>
      <c r="AT13" s="410"/>
      <c r="AU13" s="410"/>
      <c r="AV13" s="410"/>
      <c r="AW13" s="410"/>
      <c r="AX13" s="410"/>
    </row>
    <row r="14">
      <c r="A14" s="409"/>
      <c r="B14" s="409"/>
      <c r="C14" s="409"/>
      <c r="D14" s="402"/>
      <c r="E14" s="402"/>
      <c r="F14" s="410"/>
      <c r="G14" s="410"/>
      <c r="H14" s="410"/>
      <c r="I14" s="410"/>
      <c r="J14" s="410"/>
      <c r="K14" s="410"/>
      <c r="L14" s="410"/>
      <c r="M14" s="410"/>
      <c r="N14" s="410"/>
      <c r="O14" s="410"/>
      <c r="P14" s="410"/>
      <c r="Q14" s="410"/>
      <c r="R14" s="410"/>
      <c r="S14" s="410"/>
      <c r="T14" s="410"/>
      <c r="U14" s="410"/>
      <c r="V14" s="410"/>
      <c r="W14" s="410"/>
      <c r="X14" s="410"/>
      <c r="Y14" s="410"/>
      <c r="Z14" s="410"/>
      <c r="AA14" s="410"/>
      <c r="AB14" s="410"/>
      <c r="AC14" s="410"/>
      <c r="AD14" s="410"/>
      <c r="AE14" s="410"/>
      <c r="AF14" s="410"/>
      <c r="AG14" s="410"/>
      <c r="AH14" s="410"/>
      <c r="AI14" s="410"/>
      <c r="AJ14" s="410"/>
      <c r="AK14" s="410"/>
      <c r="AL14" s="410"/>
      <c r="AM14" s="410"/>
      <c r="AN14" s="410"/>
      <c r="AO14" s="410"/>
      <c r="AP14" s="410"/>
      <c r="AQ14" s="410"/>
      <c r="AR14" s="410"/>
      <c r="AS14" s="410"/>
      <c r="AT14" s="410"/>
      <c r="AU14" s="410"/>
      <c r="AV14" s="410"/>
      <c r="AW14" s="410"/>
      <c r="AX14" s="410"/>
    </row>
    <row r="15">
      <c r="A15" s="409"/>
      <c r="B15" s="409"/>
      <c r="C15" s="409"/>
      <c r="D15" s="402"/>
      <c r="E15" s="402"/>
      <c r="F15" s="410"/>
      <c r="G15" s="410"/>
      <c r="H15" s="410"/>
      <c r="I15" s="410"/>
      <c r="J15" s="410"/>
      <c r="K15" s="410"/>
      <c r="L15" s="410"/>
      <c r="M15" s="410"/>
      <c r="N15" s="410"/>
      <c r="O15" s="410"/>
      <c r="P15" s="410"/>
      <c r="Q15" s="410"/>
      <c r="R15" s="410"/>
      <c r="S15" s="410"/>
      <c r="T15" s="410"/>
      <c r="U15" s="410"/>
      <c r="V15" s="410"/>
      <c r="W15" s="410"/>
      <c r="X15" s="410"/>
      <c r="Y15" s="410"/>
      <c r="Z15" s="410"/>
      <c r="AA15" s="410"/>
      <c r="AB15" s="410"/>
      <c r="AC15" s="410"/>
      <c r="AD15" s="410"/>
      <c r="AE15" s="410"/>
      <c r="AF15" s="410"/>
      <c r="AG15" s="410"/>
      <c r="AH15" s="410"/>
      <c r="AI15" s="410"/>
      <c r="AJ15" s="410"/>
      <c r="AK15" s="410"/>
      <c r="AL15" s="410"/>
      <c r="AM15" s="410"/>
      <c r="AN15" s="410"/>
      <c r="AO15" s="410"/>
      <c r="AP15" s="410"/>
      <c r="AQ15" s="410"/>
      <c r="AR15" s="410"/>
      <c r="AS15" s="410"/>
      <c r="AT15" s="410"/>
      <c r="AU15" s="410"/>
      <c r="AV15" s="410"/>
      <c r="AW15" s="410"/>
      <c r="AX15" s="410"/>
    </row>
    <row r="16">
      <c r="A16" s="173"/>
      <c r="B16" s="173"/>
      <c r="C16" s="173"/>
      <c r="D16" s="79"/>
      <c r="E16" s="79"/>
    </row>
    <row r="17">
      <c r="A17" s="409"/>
      <c r="B17" s="409"/>
      <c r="C17" s="411"/>
      <c r="D17" s="408"/>
      <c r="E17" s="408"/>
      <c r="F17" s="410"/>
      <c r="G17" s="410"/>
      <c r="H17" s="410"/>
      <c r="I17" s="410"/>
      <c r="J17" s="410"/>
      <c r="K17" s="410"/>
      <c r="L17" s="410"/>
      <c r="M17" s="410"/>
      <c r="N17" s="410"/>
      <c r="O17" s="410"/>
      <c r="P17" s="410"/>
      <c r="Q17" s="410"/>
      <c r="R17" s="410"/>
      <c r="S17" s="410"/>
      <c r="T17" s="410"/>
      <c r="U17" s="410"/>
      <c r="V17" s="410"/>
      <c r="W17" s="410"/>
      <c r="X17" s="410"/>
      <c r="Y17" s="410"/>
      <c r="Z17" s="410"/>
      <c r="AA17" s="410"/>
      <c r="AB17" s="410"/>
      <c r="AC17" s="410"/>
      <c r="AD17" s="410"/>
      <c r="AE17" s="410"/>
      <c r="AF17" s="410"/>
      <c r="AG17" s="410"/>
      <c r="AH17" s="410"/>
      <c r="AI17" s="410"/>
      <c r="AJ17" s="410"/>
      <c r="AK17" s="410"/>
      <c r="AL17" s="410"/>
      <c r="AM17" s="410"/>
      <c r="AN17" s="410"/>
      <c r="AO17" s="410"/>
      <c r="AP17" s="410"/>
      <c r="AQ17" s="410"/>
      <c r="AR17" s="410"/>
      <c r="AS17" s="410"/>
      <c r="AT17" s="410"/>
      <c r="AU17" s="410"/>
      <c r="AV17" s="410"/>
      <c r="AW17" s="410"/>
      <c r="AX17" s="410"/>
    </row>
    <row r="18">
      <c r="A18" s="409"/>
      <c r="B18" s="409"/>
      <c r="C18" s="411"/>
      <c r="D18" s="410"/>
      <c r="E18" s="410"/>
      <c r="F18" s="408"/>
      <c r="G18" s="408"/>
      <c r="H18" s="408"/>
      <c r="I18" s="408"/>
      <c r="J18" s="408"/>
      <c r="K18" s="408"/>
      <c r="L18" s="408"/>
      <c r="M18" s="408"/>
      <c r="N18" s="408"/>
      <c r="O18" s="408"/>
      <c r="P18" s="408"/>
      <c r="Q18" s="408"/>
      <c r="R18" s="408"/>
      <c r="S18" s="408"/>
      <c r="T18" s="408"/>
      <c r="U18" s="408"/>
      <c r="V18" s="408"/>
      <c r="W18" s="408"/>
      <c r="X18" s="408"/>
      <c r="Y18" s="408"/>
      <c r="Z18" s="408"/>
      <c r="AA18" s="410"/>
      <c r="AB18" s="410"/>
      <c r="AC18" s="410"/>
      <c r="AD18" s="410"/>
      <c r="AE18" s="410"/>
      <c r="AF18" s="410"/>
      <c r="AG18" s="410"/>
      <c r="AH18" s="410"/>
      <c r="AI18" s="410"/>
      <c r="AJ18" s="410"/>
      <c r="AK18" s="410"/>
      <c r="AL18" s="410"/>
      <c r="AM18" s="410"/>
      <c r="AN18" s="410"/>
      <c r="AO18" s="410"/>
      <c r="AP18" s="410"/>
      <c r="AQ18" s="410"/>
      <c r="AR18" s="410"/>
      <c r="AS18" s="410"/>
      <c r="AT18" s="410"/>
      <c r="AU18" s="410"/>
      <c r="AV18" s="410"/>
      <c r="AW18" s="410"/>
      <c r="AX18" s="410"/>
    </row>
    <row r="19">
      <c r="A19" s="409"/>
      <c r="B19" s="409"/>
      <c r="C19" s="411"/>
      <c r="D19" s="410"/>
      <c r="E19" s="410"/>
      <c r="F19" s="408"/>
      <c r="G19" s="408"/>
      <c r="H19" s="408"/>
      <c r="I19" s="408"/>
      <c r="J19" s="408"/>
      <c r="K19" s="408"/>
      <c r="L19" s="408"/>
      <c r="M19" s="408"/>
      <c r="N19" s="408"/>
      <c r="O19" s="408"/>
      <c r="P19" s="408"/>
      <c r="Q19" s="408"/>
      <c r="R19" s="408"/>
      <c r="S19" s="408"/>
      <c r="T19" s="408"/>
      <c r="U19" s="408"/>
      <c r="V19" s="408"/>
      <c r="W19" s="408"/>
      <c r="X19" s="408"/>
      <c r="Y19" s="408"/>
      <c r="Z19" s="408"/>
      <c r="AA19" s="410"/>
      <c r="AB19" s="410"/>
      <c r="AC19" s="410"/>
      <c r="AD19" s="410"/>
      <c r="AE19" s="410"/>
      <c r="AF19" s="410"/>
      <c r="AG19" s="410"/>
      <c r="AH19" s="410"/>
      <c r="AI19" s="410"/>
      <c r="AJ19" s="410"/>
      <c r="AK19" s="410"/>
      <c r="AL19" s="410"/>
      <c r="AM19" s="410"/>
      <c r="AN19" s="410"/>
      <c r="AO19" s="410"/>
      <c r="AP19" s="410"/>
      <c r="AQ19" s="410"/>
      <c r="AR19" s="410"/>
      <c r="AS19" s="410"/>
      <c r="AT19" s="410"/>
      <c r="AU19" s="410"/>
      <c r="AV19" s="410"/>
      <c r="AW19" s="410"/>
      <c r="AX19" s="410"/>
    </row>
    <row r="20">
      <c r="A20" s="409"/>
      <c r="B20" s="409"/>
      <c r="C20" s="411"/>
      <c r="D20" s="410"/>
      <c r="E20" s="410"/>
      <c r="F20" s="408"/>
      <c r="G20" s="408"/>
      <c r="H20" s="408"/>
      <c r="I20" s="408"/>
      <c r="J20" s="408"/>
      <c r="K20" s="408"/>
      <c r="L20" s="408"/>
      <c r="M20" s="408"/>
      <c r="N20" s="408"/>
      <c r="O20" s="408"/>
      <c r="P20" s="408"/>
      <c r="Q20" s="408"/>
      <c r="R20" s="408"/>
      <c r="S20" s="408"/>
      <c r="T20" s="408"/>
      <c r="U20" s="408"/>
      <c r="V20" s="408"/>
      <c r="W20" s="408"/>
      <c r="X20" s="408"/>
      <c r="Y20" s="408"/>
      <c r="Z20" s="408"/>
      <c r="AA20" s="410"/>
      <c r="AB20" s="410"/>
      <c r="AC20" s="410"/>
      <c r="AD20" s="410"/>
      <c r="AE20" s="410"/>
      <c r="AF20" s="410"/>
      <c r="AG20" s="410"/>
      <c r="AH20" s="410"/>
      <c r="AI20" s="410"/>
      <c r="AJ20" s="410"/>
      <c r="AK20" s="410"/>
      <c r="AL20" s="410"/>
      <c r="AM20" s="410"/>
      <c r="AN20" s="410"/>
      <c r="AO20" s="410"/>
      <c r="AP20" s="410"/>
      <c r="AQ20" s="410"/>
      <c r="AR20" s="410"/>
      <c r="AS20" s="410"/>
      <c r="AT20" s="410"/>
      <c r="AU20" s="410"/>
      <c r="AV20" s="410"/>
      <c r="AW20" s="410"/>
      <c r="AX20" s="410"/>
    </row>
    <row r="21">
      <c r="A21" s="409"/>
      <c r="B21" s="409"/>
      <c r="C21" s="411"/>
      <c r="D21" s="410"/>
      <c r="E21" s="410"/>
      <c r="F21" s="408"/>
      <c r="G21" s="408"/>
      <c r="H21" s="408"/>
      <c r="I21" s="408"/>
      <c r="J21" s="408"/>
      <c r="K21" s="408"/>
      <c r="L21" s="408"/>
      <c r="M21" s="408"/>
      <c r="N21" s="408"/>
      <c r="O21" s="408"/>
      <c r="P21" s="408"/>
      <c r="Q21" s="408"/>
      <c r="R21" s="408"/>
      <c r="S21" s="408"/>
      <c r="T21" s="408"/>
      <c r="U21" s="408"/>
      <c r="V21" s="408"/>
      <c r="W21" s="408"/>
      <c r="X21" s="408"/>
      <c r="Y21" s="408"/>
      <c r="Z21" s="408"/>
      <c r="AA21" s="410"/>
      <c r="AB21" s="410"/>
      <c r="AC21" s="410"/>
      <c r="AD21" s="410"/>
      <c r="AE21" s="410"/>
      <c r="AF21" s="410"/>
      <c r="AG21" s="410"/>
      <c r="AH21" s="410"/>
      <c r="AI21" s="410"/>
      <c r="AJ21" s="410"/>
      <c r="AK21" s="410"/>
      <c r="AL21" s="410"/>
      <c r="AM21" s="410"/>
      <c r="AN21" s="410"/>
      <c r="AO21" s="410"/>
      <c r="AP21" s="410"/>
      <c r="AQ21" s="410"/>
      <c r="AR21" s="410"/>
      <c r="AS21" s="410"/>
      <c r="AT21" s="410"/>
      <c r="AU21" s="410"/>
      <c r="AV21" s="410"/>
      <c r="AW21" s="410"/>
      <c r="AX21" s="410"/>
    </row>
    <row r="22">
      <c r="A22" s="409"/>
      <c r="B22" s="409"/>
      <c r="C22" s="411"/>
      <c r="D22" s="410"/>
      <c r="E22" s="410"/>
      <c r="F22" s="408"/>
      <c r="G22" s="408"/>
      <c r="H22" s="408"/>
      <c r="I22" s="408"/>
      <c r="J22" s="408"/>
      <c r="K22" s="408"/>
      <c r="L22" s="408"/>
      <c r="M22" s="408"/>
      <c r="N22" s="408"/>
      <c r="O22" s="408"/>
      <c r="P22" s="408"/>
      <c r="Q22" s="408"/>
      <c r="R22" s="408"/>
      <c r="S22" s="408"/>
      <c r="T22" s="408"/>
      <c r="U22" s="408"/>
      <c r="V22" s="408"/>
      <c r="W22" s="408"/>
      <c r="X22" s="408"/>
      <c r="Y22" s="408"/>
      <c r="Z22" s="408"/>
      <c r="AA22" s="410"/>
      <c r="AB22" s="410"/>
      <c r="AC22" s="410"/>
      <c r="AD22" s="410"/>
      <c r="AE22" s="410"/>
      <c r="AF22" s="410"/>
      <c r="AG22" s="410"/>
      <c r="AH22" s="410"/>
      <c r="AI22" s="410"/>
      <c r="AJ22" s="410"/>
      <c r="AK22" s="410"/>
      <c r="AL22" s="410"/>
      <c r="AM22" s="410"/>
      <c r="AN22" s="410"/>
      <c r="AO22" s="410"/>
      <c r="AP22" s="410"/>
      <c r="AQ22" s="410"/>
      <c r="AR22" s="410"/>
      <c r="AS22" s="410"/>
      <c r="AT22" s="410"/>
      <c r="AU22" s="410"/>
      <c r="AV22" s="410"/>
      <c r="AW22" s="410"/>
      <c r="AX22" s="410"/>
    </row>
    <row r="23">
      <c r="A23" s="409"/>
      <c r="B23" s="409"/>
      <c r="C23" s="411"/>
      <c r="D23" s="410"/>
      <c r="E23" s="410"/>
      <c r="F23" s="408"/>
      <c r="G23" s="408"/>
      <c r="H23" s="408"/>
      <c r="I23" s="408"/>
      <c r="J23" s="408"/>
      <c r="K23" s="408"/>
      <c r="L23" s="408"/>
      <c r="M23" s="408"/>
      <c r="N23" s="408"/>
      <c r="O23" s="408"/>
      <c r="P23" s="408"/>
      <c r="Q23" s="408"/>
      <c r="R23" s="408"/>
      <c r="S23" s="408"/>
      <c r="T23" s="408"/>
      <c r="U23" s="408"/>
      <c r="V23" s="408"/>
      <c r="W23" s="408"/>
      <c r="X23" s="408"/>
      <c r="Y23" s="408"/>
      <c r="Z23" s="408"/>
      <c r="AA23" s="410"/>
      <c r="AB23" s="410"/>
      <c r="AC23" s="410"/>
      <c r="AD23" s="410"/>
      <c r="AE23" s="410"/>
      <c r="AF23" s="410"/>
      <c r="AG23" s="410"/>
      <c r="AH23" s="410"/>
      <c r="AI23" s="410"/>
      <c r="AJ23" s="410"/>
      <c r="AK23" s="410"/>
      <c r="AL23" s="410"/>
      <c r="AM23" s="410"/>
      <c r="AN23" s="410"/>
      <c r="AO23" s="410"/>
      <c r="AP23" s="410"/>
      <c r="AQ23" s="410"/>
      <c r="AR23" s="410"/>
      <c r="AS23" s="410"/>
      <c r="AT23" s="410"/>
      <c r="AU23" s="410"/>
      <c r="AV23" s="410"/>
      <c r="AW23" s="410"/>
      <c r="AX23" s="410"/>
    </row>
    <row r="24">
      <c r="A24" s="409"/>
      <c r="B24" s="409"/>
      <c r="C24" s="411"/>
      <c r="D24" s="410"/>
      <c r="E24" s="410"/>
      <c r="F24" s="410"/>
      <c r="G24" s="410"/>
      <c r="H24" s="410"/>
      <c r="I24" s="410"/>
      <c r="J24" s="410"/>
      <c r="K24" s="410"/>
      <c r="L24" s="410"/>
      <c r="M24" s="410"/>
      <c r="N24" s="410"/>
      <c r="O24" s="410"/>
      <c r="P24" s="410"/>
      <c r="Q24" s="410"/>
      <c r="R24" s="410"/>
      <c r="S24" s="410"/>
      <c r="T24" s="410"/>
      <c r="U24" s="410"/>
      <c r="V24" s="410"/>
      <c r="W24" s="410"/>
      <c r="X24" s="410"/>
      <c r="Y24" s="410"/>
      <c r="Z24" s="410"/>
      <c r="AA24" s="410"/>
      <c r="AB24" s="410"/>
      <c r="AC24" s="410"/>
      <c r="AD24" s="410"/>
      <c r="AE24" s="410"/>
      <c r="AF24" s="410"/>
      <c r="AG24" s="410"/>
      <c r="AH24" s="410"/>
      <c r="AI24" s="410"/>
      <c r="AJ24" s="410"/>
      <c r="AK24" s="410"/>
      <c r="AL24" s="410"/>
      <c r="AM24" s="410"/>
      <c r="AN24" s="410"/>
      <c r="AO24" s="410"/>
      <c r="AP24" s="410"/>
      <c r="AQ24" s="410"/>
      <c r="AR24" s="410"/>
      <c r="AS24" s="410"/>
      <c r="AT24" s="410"/>
      <c r="AU24" s="410"/>
      <c r="AV24" s="410"/>
      <c r="AW24" s="410"/>
      <c r="AX24" s="410"/>
    </row>
    <row r="25">
      <c r="A25" s="409"/>
      <c r="B25" s="409"/>
      <c r="C25" s="411"/>
      <c r="D25" s="410"/>
      <c r="E25" s="410"/>
      <c r="F25" s="410"/>
      <c r="G25" s="410"/>
      <c r="H25" s="410"/>
      <c r="I25" s="410"/>
      <c r="J25" s="410"/>
      <c r="K25" s="410"/>
      <c r="L25" s="410"/>
      <c r="M25" s="410"/>
      <c r="N25" s="410"/>
      <c r="O25" s="410"/>
      <c r="P25" s="410"/>
      <c r="Q25" s="410"/>
      <c r="R25" s="410"/>
      <c r="S25" s="410"/>
      <c r="T25" s="410"/>
      <c r="U25" s="410"/>
      <c r="V25" s="410"/>
      <c r="W25" s="410"/>
      <c r="X25" s="410"/>
      <c r="Y25" s="410"/>
      <c r="Z25" s="410"/>
      <c r="AA25" s="410"/>
      <c r="AB25" s="410"/>
      <c r="AC25" s="410"/>
      <c r="AD25" s="410"/>
      <c r="AE25" s="410"/>
      <c r="AF25" s="410"/>
      <c r="AG25" s="410"/>
      <c r="AH25" s="410"/>
      <c r="AI25" s="410"/>
      <c r="AJ25" s="410"/>
      <c r="AK25" s="410"/>
      <c r="AL25" s="410"/>
      <c r="AM25" s="410"/>
      <c r="AN25" s="410"/>
      <c r="AO25" s="410"/>
      <c r="AP25" s="410"/>
      <c r="AQ25" s="410"/>
      <c r="AR25" s="410"/>
      <c r="AS25" s="410"/>
      <c r="AT25" s="410"/>
      <c r="AU25" s="410"/>
      <c r="AV25" s="410"/>
      <c r="AW25" s="410"/>
      <c r="AX25" s="410"/>
    </row>
    <row r="26">
      <c r="A26" s="409"/>
      <c r="B26" s="409"/>
      <c r="C26" s="411"/>
      <c r="D26" s="410"/>
      <c r="E26" s="410"/>
      <c r="F26" s="410"/>
      <c r="G26" s="410"/>
      <c r="H26" s="410"/>
      <c r="I26" s="410"/>
      <c r="J26" s="410"/>
      <c r="K26" s="410"/>
      <c r="L26" s="410"/>
      <c r="M26" s="410"/>
      <c r="N26" s="410"/>
      <c r="O26" s="410"/>
      <c r="P26" s="410"/>
      <c r="Q26" s="410"/>
      <c r="R26" s="410"/>
      <c r="S26" s="410"/>
      <c r="T26" s="410"/>
      <c r="U26" s="410"/>
      <c r="V26" s="410"/>
      <c r="W26" s="410"/>
      <c r="X26" s="410"/>
      <c r="Y26" s="410"/>
      <c r="Z26" s="410"/>
      <c r="AA26" s="410"/>
      <c r="AB26" s="410"/>
      <c r="AC26" s="410"/>
      <c r="AD26" s="410"/>
      <c r="AE26" s="410"/>
      <c r="AF26" s="410"/>
      <c r="AG26" s="410"/>
      <c r="AH26" s="410"/>
      <c r="AI26" s="410"/>
      <c r="AJ26" s="410"/>
      <c r="AK26" s="410"/>
      <c r="AL26" s="410"/>
      <c r="AM26" s="410"/>
      <c r="AN26" s="410"/>
      <c r="AO26" s="410"/>
      <c r="AP26" s="410"/>
      <c r="AQ26" s="410"/>
      <c r="AR26" s="410"/>
      <c r="AS26" s="410"/>
      <c r="AT26" s="410"/>
      <c r="AU26" s="410"/>
      <c r="AV26" s="410"/>
      <c r="AW26" s="410"/>
      <c r="AX26" s="410"/>
    </row>
    <row r="27">
      <c r="A27" s="409"/>
      <c r="B27" s="409"/>
      <c r="C27" s="411"/>
      <c r="D27" s="410"/>
      <c r="E27" s="410"/>
      <c r="F27" s="410"/>
      <c r="G27" s="410"/>
      <c r="H27" s="410"/>
      <c r="I27" s="410"/>
      <c r="J27" s="410"/>
      <c r="K27" s="410"/>
      <c r="L27" s="410"/>
      <c r="M27" s="410"/>
      <c r="N27" s="410"/>
      <c r="O27" s="410"/>
      <c r="P27" s="410"/>
      <c r="Q27" s="410"/>
      <c r="R27" s="410"/>
      <c r="S27" s="410"/>
      <c r="T27" s="410"/>
      <c r="U27" s="410"/>
      <c r="V27" s="410"/>
      <c r="W27" s="410"/>
      <c r="X27" s="410"/>
      <c r="Y27" s="410"/>
      <c r="Z27" s="410"/>
      <c r="AA27" s="410"/>
      <c r="AB27" s="410"/>
      <c r="AC27" s="410"/>
      <c r="AD27" s="410"/>
      <c r="AE27" s="410"/>
      <c r="AF27" s="410"/>
      <c r="AG27" s="410"/>
      <c r="AH27" s="410"/>
      <c r="AI27" s="410"/>
      <c r="AJ27" s="410"/>
      <c r="AK27" s="410"/>
      <c r="AL27" s="410"/>
      <c r="AM27" s="410"/>
      <c r="AN27" s="410"/>
      <c r="AO27" s="410"/>
      <c r="AP27" s="410"/>
      <c r="AQ27" s="410"/>
      <c r="AR27" s="410"/>
      <c r="AS27" s="410"/>
      <c r="AT27" s="410"/>
      <c r="AU27" s="410"/>
      <c r="AV27" s="410"/>
      <c r="AW27" s="410"/>
      <c r="AX27" s="410"/>
    </row>
    <row r="28">
      <c r="A28" s="409"/>
      <c r="B28" s="409"/>
      <c r="C28" s="411"/>
      <c r="D28" s="410"/>
      <c r="E28" s="410"/>
      <c r="F28" s="410"/>
      <c r="G28" s="410"/>
      <c r="H28" s="410"/>
      <c r="I28" s="410"/>
      <c r="J28" s="410"/>
      <c r="K28" s="410"/>
      <c r="L28" s="410"/>
      <c r="M28" s="410"/>
      <c r="N28" s="410"/>
      <c r="O28" s="410"/>
      <c r="P28" s="410"/>
      <c r="Q28" s="410"/>
      <c r="R28" s="410"/>
      <c r="S28" s="410"/>
      <c r="T28" s="410"/>
      <c r="U28" s="410"/>
      <c r="V28" s="410"/>
      <c r="W28" s="410"/>
      <c r="X28" s="410"/>
      <c r="Y28" s="410"/>
      <c r="Z28" s="410"/>
      <c r="AA28" s="410"/>
      <c r="AB28" s="410"/>
      <c r="AC28" s="410"/>
      <c r="AD28" s="410"/>
      <c r="AE28" s="410"/>
      <c r="AF28" s="410"/>
      <c r="AG28" s="410"/>
      <c r="AH28" s="410"/>
      <c r="AI28" s="410"/>
      <c r="AJ28" s="410"/>
      <c r="AK28" s="410"/>
      <c r="AL28" s="410"/>
      <c r="AM28" s="410"/>
      <c r="AN28" s="410"/>
      <c r="AO28" s="410"/>
      <c r="AP28" s="410"/>
      <c r="AQ28" s="410"/>
      <c r="AR28" s="410"/>
      <c r="AS28" s="410"/>
      <c r="AT28" s="410"/>
      <c r="AU28" s="410"/>
      <c r="AV28" s="410"/>
      <c r="AW28" s="410"/>
      <c r="AX28" s="410"/>
    </row>
    <row r="29">
      <c r="A29" s="409"/>
      <c r="B29" s="409"/>
      <c r="C29" s="411"/>
      <c r="D29" s="410"/>
      <c r="E29" s="410"/>
      <c r="F29" s="410"/>
      <c r="G29" s="410"/>
      <c r="H29" s="410"/>
      <c r="I29" s="410"/>
      <c r="J29" s="410"/>
      <c r="K29" s="410"/>
      <c r="L29" s="410"/>
      <c r="M29" s="410"/>
      <c r="N29" s="410"/>
      <c r="O29" s="410"/>
      <c r="P29" s="410"/>
      <c r="Q29" s="410"/>
      <c r="R29" s="410"/>
      <c r="S29" s="410"/>
      <c r="T29" s="410"/>
      <c r="U29" s="410"/>
      <c r="V29" s="410"/>
      <c r="W29" s="410"/>
      <c r="X29" s="410"/>
      <c r="Y29" s="410"/>
      <c r="Z29" s="410"/>
      <c r="AA29" s="410"/>
      <c r="AB29" s="410"/>
      <c r="AC29" s="410"/>
      <c r="AD29" s="410"/>
      <c r="AE29" s="410"/>
      <c r="AF29" s="410"/>
      <c r="AG29" s="410"/>
      <c r="AH29" s="410"/>
      <c r="AI29" s="410"/>
      <c r="AJ29" s="410"/>
      <c r="AK29" s="410"/>
      <c r="AL29" s="410"/>
      <c r="AM29" s="410"/>
      <c r="AN29" s="410"/>
      <c r="AO29" s="410"/>
      <c r="AP29" s="410"/>
      <c r="AQ29" s="410"/>
      <c r="AR29" s="410"/>
      <c r="AS29" s="410"/>
      <c r="AT29" s="410"/>
      <c r="AU29" s="410"/>
      <c r="AV29" s="410"/>
      <c r="AW29" s="410"/>
      <c r="AX29" s="410"/>
    </row>
    <row r="30">
      <c r="A30" s="409"/>
      <c r="B30" s="398"/>
      <c r="C30" s="398"/>
      <c r="D30" s="408"/>
      <c r="E30" s="408"/>
      <c r="AA30" s="410"/>
      <c r="AB30" s="410"/>
      <c r="AC30" s="410"/>
      <c r="AD30" s="410"/>
      <c r="AE30" s="410"/>
      <c r="AF30" s="410"/>
      <c r="AG30" s="410"/>
      <c r="AH30" s="410"/>
      <c r="AI30" s="410"/>
      <c r="AJ30" s="410"/>
      <c r="AK30" s="410"/>
      <c r="AL30" s="410"/>
      <c r="AM30" s="410"/>
      <c r="AN30" s="410"/>
      <c r="AO30" s="410"/>
      <c r="AP30" s="410"/>
      <c r="AQ30" s="410"/>
      <c r="AR30" s="410"/>
      <c r="AS30" s="410"/>
      <c r="AT30" s="410"/>
      <c r="AU30" s="410"/>
      <c r="AV30" s="410"/>
      <c r="AW30" s="410"/>
      <c r="AX30" s="410"/>
    </row>
    <row r="31">
      <c r="A31" s="173"/>
      <c r="B31" s="173"/>
      <c r="C31" s="411"/>
      <c r="D31" s="79"/>
      <c r="E31" s="79"/>
      <c r="F31" s="410"/>
      <c r="G31" s="410"/>
      <c r="H31" s="410"/>
      <c r="I31" s="410"/>
      <c r="J31" s="410"/>
      <c r="K31" s="410"/>
      <c r="L31" s="410"/>
      <c r="M31" s="410"/>
      <c r="N31" s="410"/>
      <c r="O31" s="410"/>
      <c r="P31" s="410"/>
      <c r="Q31" s="410"/>
      <c r="R31" s="410"/>
      <c r="S31" s="410"/>
      <c r="T31" s="410"/>
      <c r="U31" s="410"/>
      <c r="V31" s="410"/>
      <c r="W31" s="410"/>
      <c r="X31" s="410"/>
      <c r="Y31" s="410"/>
      <c r="Z31" s="410"/>
      <c r="AA31" s="410"/>
      <c r="AB31" s="410"/>
      <c r="AC31" s="410"/>
      <c r="AD31" s="410"/>
      <c r="AE31" s="410"/>
      <c r="AF31" s="410"/>
      <c r="AG31" s="410"/>
      <c r="AH31" s="410"/>
      <c r="AI31" s="410"/>
      <c r="AJ31" s="410"/>
      <c r="AK31" s="410"/>
      <c r="AL31" s="410"/>
      <c r="AM31" s="410"/>
      <c r="AN31" s="410"/>
      <c r="AO31" s="410"/>
      <c r="AP31" s="410"/>
      <c r="AQ31" s="410"/>
      <c r="AR31" s="410"/>
      <c r="AS31" s="410"/>
      <c r="AT31" s="410"/>
      <c r="AU31" s="410"/>
      <c r="AV31" s="410"/>
      <c r="AW31" s="410"/>
      <c r="AX31" s="410"/>
    </row>
    <row r="35">
      <c r="A35" s="409"/>
      <c r="B35" s="398"/>
      <c r="D35" s="408"/>
      <c r="E35" s="408"/>
    </row>
    <row r="36">
      <c r="A36" s="409"/>
      <c r="B36" s="398"/>
      <c r="D36" s="408"/>
      <c r="E36" s="408"/>
    </row>
    <row r="37">
      <c r="A37" s="409"/>
      <c r="B37" s="398"/>
      <c r="D37" s="408"/>
      <c r="E37" s="408"/>
      <c r="F37" s="412"/>
      <c r="G37" s="412"/>
      <c r="H37" s="412"/>
      <c r="I37" s="412"/>
      <c r="J37" s="412"/>
      <c r="K37" s="412"/>
      <c r="L37" s="412"/>
      <c r="M37" s="412"/>
      <c r="N37" s="412"/>
      <c r="O37" s="412"/>
      <c r="P37" s="412"/>
      <c r="Q37" s="412"/>
      <c r="R37" s="412"/>
      <c r="S37" s="412"/>
      <c r="T37" s="412"/>
      <c r="U37" s="412"/>
      <c r="V37" s="412"/>
      <c r="W37" s="412"/>
      <c r="X37" s="412"/>
      <c r="Y37" s="412"/>
      <c r="Z37" s="412"/>
      <c r="AA37" s="413"/>
      <c r="AB37" s="413"/>
      <c r="AC37" s="413"/>
      <c r="AD37" s="413"/>
      <c r="AE37" s="413"/>
      <c r="AF37" s="413"/>
      <c r="AG37" s="413"/>
      <c r="AH37" s="413"/>
      <c r="AI37" s="413"/>
      <c r="AJ37" s="413"/>
      <c r="AK37" s="413"/>
      <c r="AL37" s="413"/>
      <c r="AM37" s="413"/>
      <c r="AN37" s="413"/>
      <c r="AO37" s="413"/>
      <c r="AP37" s="413"/>
      <c r="AQ37" s="413"/>
      <c r="AR37" s="413"/>
      <c r="AS37" s="413"/>
    </row>
    <row r="38">
      <c r="A38" s="409"/>
      <c r="B38" s="398"/>
      <c r="C38" s="398"/>
      <c r="D38" s="408"/>
      <c r="E38" s="408"/>
    </row>
    <row r="39">
      <c r="A39" s="173"/>
      <c r="B39" s="398"/>
      <c r="C39" s="398"/>
      <c r="D39" s="79"/>
      <c r="E39" s="79"/>
    </row>
    <row r="40">
      <c r="A40" s="173"/>
      <c r="B40" s="173"/>
      <c r="C40" s="173"/>
      <c r="D40" s="79"/>
      <c r="E40" s="79"/>
    </row>
    <row r="41">
      <c r="A41" s="173"/>
      <c r="B41" s="398"/>
      <c r="C41" s="398"/>
      <c r="D41" s="79"/>
      <c r="E41" s="79"/>
    </row>
    <row r="42">
      <c r="A42" s="409"/>
      <c r="B42" s="398"/>
      <c r="D42" s="408"/>
      <c r="E42" s="408"/>
    </row>
    <row r="43">
      <c r="A43" s="409"/>
      <c r="B43" s="398"/>
      <c r="D43" s="408"/>
      <c r="E43" s="408"/>
    </row>
    <row r="44">
      <c r="A44" s="409"/>
      <c r="B44" s="398"/>
      <c r="D44" s="408"/>
      <c r="E44" s="408"/>
    </row>
    <row r="45">
      <c r="A45" s="409"/>
      <c r="B45" s="398"/>
      <c r="D45" s="408"/>
      <c r="E45" s="408"/>
    </row>
    <row r="46">
      <c r="A46" s="173"/>
      <c r="B46" s="173"/>
    </row>
    <row r="47">
      <c r="A47" s="173"/>
      <c r="B47" s="173"/>
    </row>
    <row r="48">
      <c r="A48" s="173"/>
      <c r="B48" s="173"/>
    </row>
    <row r="49">
      <c r="A49" s="409"/>
      <c r="B49" s="409"/>
    </row>
    <row r="50">
      <c r="A50" s="409"/>
      <c r="B50" s="409"/>
      <c r="D50" s="79"/>
      <c r="E50" s="79"/>
    </row>
    <row r="51">
      <c r="A51" s="409"/>
      <c r="B51" s="409"/>
      <c r="D51" s="79"/>
      <c r="E51" s="79"/>
    </row>
    <row r="52">
      <c r="A52" s="409"/>
      <c r="B52" s="409"/>
      <c r="D52" s="79"/>
      <c r="E52" s="79"/>
    </row>
    <row r="53">
      <c r="A53" s="173"/>
      <c r="B53" s="173"/>
    </row>
    <row r="54">
      <c r="A54" s="173"/>
      <c r="B54" s="173"/>
    </row>
    <row r="55">
      <c r="A55" s="173"/>
      <c r="B55" s="173"/>
    </row>
    <row r="56">
      <c r="A56" s="173"/>
      <c r="B56" s="173"/>
    </row>
    <row r="57">
      <c r="A57" s="173"/>
      <c r="B57" s="173"/>
      <c r="C57" s="173"/>
      <c r="D57" s="79"/>
      <c r="E57" s="79"/>
    </row>
    <row r="58">
      <c r="A58" s="173"/>
      <c r="B58" s="173"/>
    </row>
    <row r="59">
      <c r="A59" s="173"/>
      <c r="B59" s="173"/>
      <c r="C59" s="173"/>
      <c r="D59" s="79"/>
      <c r="E59" s="79"/>
    </row>
    <row r="60">
      <c r="A60" s="173"/>
      <c r="B60" s="173"/>
      <c r="C60" s="173"/>
      <c r="D60" s="79"/>
      <c r="E60" s="79"/>
    </row>
    <row r="61">
      <c r="A61" s="173"/>
      <c r="B61" s="173"/>
      <c r="C61" s="173"/>
      <c r="D61" s="79"/>
      <c r="E61" s="79"/>
    </row>
    <row r="62">
      <c r="A62" s="173"/>
      <c r="B62" s="173"/>
      <c r="C62" s="173"/>
      <c r="D62" s="79"/>
      <c r="E62" s="79"/>
    </row>
    <row r="63">
      <c r="A63" s="173"/>
      <c r="B63" s="173"/>
      <c r="C63" s="173"/>
      <c r="D63" s="79"/>
      <c r="E63" s="79"/>
    </row>
    <row r="64">
      <c r="A64" s="173"/>
      <c r="B64" s="173"/>
      <c r="C64" s="173"/>
      <c r="D64" s="79"/>
      <c r="E64" s="79"/>
    </row>
    <row r="65">
      <c r="A65" s="173"/>
      <c r="B65" s="173"/>
      <c r="C65" s="173"/>
      <c r="D65" s="79"/>
      <c r="E65" s="79"/>
    </row>
    <row r="66">
      <c r="A66" s="173"/>
      <c r="B66" s="173"/>
      <c r="C66" s="173"/>
      <c r="D66" s="79"/>
      <c r="E66" s="79"/>
    </row>
    <row r="67">
      <c r="A67" s="173"/>
      <c r="B67" s="173"/>
      <c r="C67" s="173"/>
      <c r="D67" s="79"/>
      <c r="E67" s="79"/>
    </row>
    <row r="68">
      <c r="A68" s="173"/>
      <c r="B68" s="173"/>
      <c r="C68" s="173"/>
      <c r="D68" s="79"/>
      <c r="E68" s="79"/>
    </row>
    <row r="69">
      <c r="A69" s="173"/>
      <c r="B69" s="173"/>
      <c r="C69" s="173"/>
      <c r="D69" s="79"/>
      <c r="E69" s="79"/>
    </row>
    <row r="70">
      <c r="A70" s="173"/>
      <c r="B70" s="173"/>
      <c r="C70" s="173"/>
      <c r="D70" s="79"/>
      <c r="E70" s="79"/>
    </row>
    <row r="71">
      <c r="A71" s="173"/>
      <c r="B71" s="173"/>
      <c r="C71" s="173"/>
      <c r="D71" s="79"/>
      <c r="E71" s="79"/>
    </row>
    <row r="72">
      <c r="A72" s="173"/>
      <c r="B72" s="173"/>
      <c r="C72" s="173"/>
      <c r="D72" s="79"/>
      <c r="E72" s="79"/>
    </row>
    <row r="73">
      <c r="A73" s="173"/>
      <c r="B73" s="173"/>
      <c r="C73" s="173"/>
      <c r="D73" s="79"/>
      <c r="E73" s="79"/>
    </row>
    <row r="74">
      <c r="A74" s="173"/>
      <c r="B74" s="173"/>
      <c r="C74" s="173"/>
      <c r="D74" s="79"/>
      <c r="E74" s="79"/>
    </row>
    <row r="75">
      <c r="A75" s="173"/>
      <c r="B75" s="173"/>
      <c r="C75" s="173"/>
      <c r="D75" s="79"/>
      <c r="E75" s="79"/>
    </row>
    <row r="76">
      <c r="A76" s="173"/>
      <c r="B76" s="173"/>
      <c r="C76" s="173"/>
      <c r="D76" s="79"/>
      <c r="E76" s="79"/>
    </row>
    <row r="77">
      <c r="A77" s="173"/>
      <c r="B77" s="173"/>
      <c r="C77" s="173"/>
      <c r="D77" s="79"/>
      <c r="E77" s="79"/>
    </row>
    <row r="78">
      <c r="A78" s="173"/>
      <c r="B78" s="173"/>
      <c r="C78" s="173"/>
      <c r="D78" s="79"/>
      <c r="E78" s="79"/>
    </row>
    <row r="79">
      <c r="A79" s="173"/>
      <c r="B79" s="173"/>
      <c r="C79" s="173"/>
      <c r="D79" s="79"/>
      <c r="E79" s="79"/>
    </row>
    <row r="80">
      <c r="A80" s="173"/>
      <c r="B80" s="173"/>
      <c r="C80" s="173"/>
      <c r="D80" s="79"/>
      <c r="E80" s="79"/>
    </row>
    <row r="81">
      <c r="A81" s="173"/>
      <c r="B81" s="173"/>
      <c r="C81" s="173"/>
      <c r="D81" s="79"/>
      <c r="E81" s="79"/>
    </row>
    <row r="82">
      <c r="A82" s="173"/>
      <c r="B82" s="173"/>
      <c r="C82" s="173"/>
      <c r="D82" s="79"/>
      <c r="E82" s="79"/>
    </row>
    <row r="83">
      <c r="A83" s="173"/>
      <c r="B83" s="173"/>
      <c r="C83" s="173"/>
      <c r="D83" s="79"/>
      <c r="E83" s="79"/>
    </row>
    <row r="84">
      <c r="A84" s="173"/>
      <c r="B84" s="173"/>
      <c r="C84" s="173"/>
      <c r="D84" s="79"/>
      <c r="E84" s="79"/>
    </row>
    <row r="85">
      <c r="A85" s="173"/>
      <c r="B85" s="173"/>
      <c r="C85" s="173"/>
      <c r="D85" s="79"/>
      <c r="E85" s="79"/>
    </row>
    <row r="86">
      <c r="A86" s="173"/>
      <c r="B86" s="173"/>
      <c r="C86" s="173"/>
      <c r="D86" s="79"/>
      <c r="E86" s="79"/>
    </row>
    <row r="87">
      <c r="A87" s="173"/>
      <c r="B87" s="173"/>
      <c r="C87" s="173"/>
      <c r="D87" s="79"/>
      <c r="E87" s="79"/>
    </row>
    <row r="88">
      <c r="A88" s="173"/>
      <c r="B88" s="173"/>
      <c r="C88" s="173"/>
      <c r="D88" s="79"/>
      <c r="E88" s="79"/>
    </row>
    <row r="89">
      <c r="A89" s="173"/>
      <c r="B89" s="173"/>
      <c r="C89" s="173"/>
      <c r="D89" s="79"/>
      <c r="E89" s="79"/>
    </row>
    <row r="90">
      <c r="A90" s="173"/>
      <c r="B90" s="173"/>
      <c r="C90" s="173"/>
      <c r="D90" s="79"/>
      <c r="E90" s="79"/>
    </row>
    <row r="91">
      <c r="A91" s="173"/>
      <c r="B91" s="173"/>
      <c r="C91" s="173"/>
      <c r="D91" s="79"/>
      <c r="E91" s="79"/>
    </row>
    <row r="92">
      <c r="A92" s="173"/>
      <c r="B92" s="173"/>
      <c r="C92" s="173"/>
      <c r="D92" s="79"/>
      <c r="E92" s="79"/>
    </row>
    <row r="93">
      <c r="A93" s="173"/>
      <c r="B93" s="173"/>
      <c r="C93" s="173"/>
      <c r="D93" s="79"/>
      <c r="E93" s="79"/>
    </row>
    <row r="94">
      <c r="A94" s="173"/>
      <c r="B94" s="173"/>
      <c r="C94" s="173"/>
      <c r="D94" s="79"/>
      <c r="E94" s="79"/>
    </row>
    <row r="95">
      <c r="A95" s="173"/>
      <c r="B95" s="173"/>
      <c r="C95" s="173"/>
      <c r="D95" s="79"/>
      <c r="E95" s="79"/>
    </row>
    <row r="96">
      <c r="A96" s="173"/>
      <c r="B96" s="173"/>
      <c r="C96" s="173"/>
      <c r="D96" s="79"/>
      <c r="E96" s="79"/>
    </row>
    <row r="97">
      <c r="A97" s="173"/>
      <c r="B97" s="173"/>
      <c r="C97" s="173"/>
      <c r="D97" s="79"/>
      <c r="E97" s="79"/>
    </row>
    <row r="98">
      <c r="A98" s="173"/>
      <c r="B98" s="173"/>
      <c r="C98" s="173"/>
      <c r="D98" s="79"/>
      <c r="E98" s="79"/>
    </row>
    <row r="99">
      <c r="A99" s="173"/>
      <c r="B99" s="173"/>
      <c r="C99" s="173"/>
      <c r="D99" s="79"/>
      <c r="E99" s="79"/>
    </row>
    <row r="100">
      <c r="A100" s="173"/>
      <c r="B100" s="173"/>
      <c r="C100" s="173"/>
      <c r="D100" s="79"/>
      <c r="E100" s="79"/>
    </row>
    <row r="101">
      <c r="A101" s="173"/>
      <c r="B101" s="173"/>
      <c r="C101" s="173"/>
      <c r="D101" s="79"/>
      <c r="E101" s="79"/>
    </row>
    <row r="102">
      <c r="A102" s="173"/>
      <c r="B102" s="173"/>
      <c r="C102" s="173"/>
      <c r="D102" s="79"/>
      <c r="E102" s="79"/>
    </row>
  </sheetData>
  <mergeCells count="1">
    <mergeCell ref="Z1:AX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2" width="10.63"/>
    <col customWidth="1" min="3" max="3" width="5.13"/>
    <col customWidth="1" min="4" max="4" width="13.25"/>
    <col customWidth="1" min="5" max="5" width="10.88"/>
    <col customWidth="1" min="6" max="6" width="12.38"/>
    <col customWidth="1" min="7" max="7" width="10.13"/>
    <col customWidth="1" min="8" max="8" width="19.75"/>
    <col customWidth="1" min="9" max="9" width="20.13"/>
    <col customWidth="1" min="10" max="10" width="19.63"/>
    <col customWidth="1" min="11" max="11" width="14.38"/>
    <col customWidth="1" min="12" max="12" width="2.75"/>
    <col customWidth="1" min="13" max="33" width="3.0"/>
    <col customWidth="1" min="34" max="34" width="7.0"/>
    <col customWidth="1" min="35" max="35" width="3.75"/>
    <col customWidth="1" min="36" max="56" width="3.0"/>
    <col customWidth="1" min="57" max="57" width="7.0"/>
    <col customWidth="1" min="58" max="58" width="3.75"/>
  </cols>
  <sheetData>
    <row r="1">
      <c r="A1" s="414" t="s">
        <v>1641</v>
      </c>
      <c r="B1" s="414"/>
      <c r="C1" s="414"/>
      <c r="D1" s="414"/>
      <c r="E1" s="414"/>
      <c r="F1" s="414"/>
      <c r="G1" s="414"/>
      <c r="H1" s="414"/>
      <c r="I1" s="414"/>
      <c r="J1" s="414"/>
      <c r="K1" s="414"/>
      <c r="L1" s="415"/>
      <c r="M1" s="416" t="s">
        <v>1642</v>
      </c>
      <c r="N1" s="417"/>
      <c r="O1" s="417"/>
      <c r="P1" s="417"/>
      <c r="Q1" s="417"/>
      <c r="R1" s="417"/>
      <c r="S1" s="417"/>
      <c r="T1" s="417"/>
      <c r="U1" s="417"/>
      <c r="V1" s="417"/>
      <c r="W1" s="417"/>
      <c r="X1" s="417"/>
      <c r="Y1" s="417"/>
      <c r="Z1" s="417"/>
      <c r="AA1" s="417"/>
      <c r="AB1" s="417"/>
      <c r="AC1" s="417"/>
      <c r="AD1" s="417"/>
      <c r="AE1" s="417"/>
      <c r="AF1" s="417"/>
      <c r="AG1" s="418">
        <f>COUNTIF(AG3:AG152,"&lt;&gt;"&amp;0)</f>
        <v>143</v>
      </c>
      <c r="AH1" s="419" t="s">
        <v>1643</v>
      </c>
      <c r="AI1" s="420"/>
      <c r="AJ1" s="421" t="s">
        <v>1644</v>
      </c>
      <c r="AK1" s="422"/>
      <c r="AL1" s="422"/>
      <c r="AM1" s="422"/>
      <c r="AN1" s="422"/>
      <c r="AO1" s="422"/>
      <c r="AP1" s="422"/>
      <c r="AQ1" s="422"/>
      <c r="AR1" s="422"/>
      <c r="AS1" s="422"/>
      <c r="AT1" s="422"/>
      <c r="AU1" s="422"/>
      <c r="AV1" s="422"/>
      <c r="AW1" s="422"/>
      <c r="AX1" s="422"/>
      <c r="AY1" s="422"/>
      <c r="AZ1" s="422"/>
      <c r="BA1" s="422"/>
      <c r="BB1" s="422"/>
      <c r="BC1" s="422"/>
      <c r="BD1" s="423">
        <f>COUNTIF(BD3:BD152,"&lt;&gt;"&amp;0)</f>
        <v>150</v>
      </c>
      <c r="BE1" s="419" t="s">
        <v>1643</v>
      </c>
      <c r="BF1" s="420"/>
    </row>
    <row r="2" ht="14.25" customHeight="1">
      <c r="A2" s="408" t="s">
        <v>1645</v>
      </c>
      <c r="B2" s="160" t="s">
        <v>352</v>
      </c>
      <c r="C2" s="160" t="s">
        <v>8</v>
      </c>
      <c r="D2" s="77" t="s">
        <v>1646</v>
      </c>
      <c r="E2" s="77" t="s">
        <v>1647</v>
      </c>
      <c r="F2" s="77" t="s">
        <v>1648</v>
      </c>
      <c r="G2" s="424" t="s">
        <v>353</v>
      </c>
      <c r="H2" s="424" t="s">
        <v>1649</v>
      </c>
      <c r="I2" s="424" t="s">
        <v>1650</v>
      </c>
      <c r="J2" s="424" t="s">
        <v>1651</v>
      </c>
      <c r="K2" s="424"/>
      <c r="M2" s="425" t="s">
        <v>1606</v>
      </c>
      <c r="N2" s="425" t="s">
        <v>1607</v>
      </c>
      <c r="O2" s="426" t="s">
        <v>1608</v>
      </c>
      <c r="P2" s="425" t="s">
        <v>1609</v>
      </c>
      <c r="Q2" s="425" t="s">
        <v>1610</v>
      </c>
      <c r="R2" s="425" t="s">
        <v>1611</v>
      </c>
      <c r="S2" s="425" t="s">
        <v>1612</v>
      </c>
      <c r="T2" s="425" t="s">
        <v>1613</v>
      </c>
      <c r="U2" s="425" t="s">
        <v>1614</v>
      </c>
      <c r="V2" s="425" t="s">
        <v>1615</v>
      </c>
      <c r="W2" s="425" t="s">
        <v>1616</v>
      </c>
      <c r="X2" s="425" t="s">
        <v>1617</v>
      </c>
      <c r="Y2" s="425" t="s">
        <v>1618</v>
      </c>
      <c r="Z2" s="425" t="s">
        <v>1619</v>
      </c>
      <c r="AA2" s="425" t="s">
        <v>1620</v>
      </c>
      <c r="AB2" s="425" t="s">
        <v>1621</v>
      </c>
      <c r="AC2" s="425" t="s">
        <v>1622</v>
      </c>
      <c r="AD2" s="425" t="s">
        <v>1623</v>
      </c>
      <c r="AE2" s="425" t="s">
        <v>1624</v>
      </c>
      <c r="AF2" s="425" t="s">
        <v>1625</v>
      </c>
      <c r="AG2" s="427" t="s">
        <v>1652</v>
      </c>
      <c r="AH2" s="428"/>
      <c r="AI2" s="429"/>
      <c r="AJ2" s="430" t="s">
        <v>1606</v>
      </c>
      <c r="AK2" s="430" t="s">
        <v>1607</v>
      </c>
      <c r="AL2" s="431" t="s">
        <v>1608</v>
      </c>
      <c r="AM2" s="430" t="s">
        <v>1609</v>
      </c>
      <c r="AN2" s="430" t="s">
        <v>1610</v>
      </c>
      <c r="AO2" s="430" t="s">
        <v>1611</v>
      </c>
      <c r="AP2" s="430" t="s">
        <v>1612</v>
      </c>
      <c r="AQ2" s="430" t="s">
        <v>1613</v>
      </c>
      <c r="AR2" s="430" t="s">
        <v>1614</v>
      </c>
      <c r="AS2" s="430" t="s">
        <v>1615</v>
      </c>
      <c r="AT2" s="430" t="s">
        <v>1616</v>
      </c>
      <c r="AU2" s="430" t="s">
        <v>1617</v>
      </c>
      <c r="AV2" s="430" t="s">
        <v>1618</v>
      </c>
      <c r="AW2" s="430" t="s">
        <v>1619</v>
      </c>
      <c r="AX2" s="430" t="s">
        <v>1620</v>
      </c>
      <c r="AY2" s="430" t="s">
        <v>1621</v>
      </c>
      <c r="AZ2" s="430" t="s">
        <v>1622</v>
      </c>
      <c r="BA2" s="430" t="s">
        <v>1623</v>
      </c>
      <c r="BB2" s="430" t="s">
        <v>1624</v>
      </c>
      <c r="BC2" s="430" t="s">
        <v>1625</v>
      </c>
      <c r="BD2" s="423" t="s">
        <v>1652</v>
      </c>
      <c r="BE2" s="428"/>
      <c r="BF2" s="429"/>
    </row>
    <row r="3" ht="14.25" customHeight="1">
      <c r="A3" s="408">
        <v>1.0</v>
      </c>
      <c r="B3" s="153" t="s">
        <v>1653</v>
      </c>
      <c r="C3" s="153">
        <v>2024.0</v>
      </c>
      <c r="D3" s="77" t="s">
        <v>362</v>
      </c>
      <c r="E3" s="409" t="str">
        <f>IFERROR(__xludf.DUMMYFUNCTION("ARRAYFORMULA(JOIN("""", ARRAYFORMULA(MID(SPLIT(F3, "" ""), 1, 1))))
&amp;""/""&amp;G3"),"MC/2 Primaria")</f>
        <v>MC/2 Primaria</v>
      </c>
      <c r="F3" s="77" t="s">
        <v>1654</v>
      </c>
      <c r="G3" s="432" t="s">
        <v>15</v>
      </c>
      <c r="H3" s="433" t="s">
        <v>1655</v>
      </c>
      <c r="I3" s="433" t="s">
        <v>1656</v>
      </c>
      <c r="J3" s="433" t="s">
        <v>1657</v>
      </c>
      <c r="K3" s="433" t="s">
        <v>1658</v>
      </c>
      <c r="L3" s="415"/>
      <c r="M3" s="434" t="s">
        <v>1659</v>
      </c>
      <c r="N3" s="434" t="s">
        <v>1660</v>
      </c>
      <c r="O3" s="434" t="s">
        <v>1661</v>
      </c>
      <c r="P3" s="434" t="s">
        <v>1660</v>
      </c>
      <c r="Q3" s="434" t="s">
        <v>1660</v>
      </c>
      <c r="R3" s="434" t="s">
        <v>1660</v>
      </c>
      <c r="S3" s="434" t="s">
        <v>1659</v>
      </c>
      <c r="T3" s="434" t="s">
        <v>1661</v>
      </c>
      <c r="U3" s="434" t="s">
        <v>1659</v>
      </c>
      <c r="V3" s="434" t="s">
        <v>1660</v>
      </c>
      <c r="W3" s="434" t="s">
        <v>1659</v>
      </c>
      <c r="X3" s="434" t="s">
        <v>1660</v>
      </c>
      <c r="Y3" s="434" t="s">
        <v>1661</v>
      </c>
      <c r="Z3" s="434" t="s">
        <v>1661</v>
      </c>
      <c r="AA3" s="434" t="s">
        <v>1661</v>
      </c>
      <c r="AB3" s="434" t="s">
        <v>1661</v>
      </c>
      <c r="AC3" s="434" t="s">
        <v>1659</v>
      </c>
      <c r="AD3" s="434" t="s">
        <v>1660</v>
      </c>
      <c r="AE3" s="434" t="s">
        <v>1661</v>
      </c>
      <c r="AF3" s="434" t="s">
        <v>1661</v>
      </c>
      <c r="AG3" s="427">
        <v>14.0</v>
      </c>
      <c r="AH3" s="435" t="s">
        <v>24</v>
      </c>
      <c r="AI3" s="415"/>
      <c r="AJ3" s="436" t="str">
        <f t="array" ref="AJ3">IF(M3=DGET(claves!$A$2:$AS423,M$2,{claves!$A$2;$E3}),1,0)</f>
        <v>#VALUE!</v>
      </c>
      <c r="AK3" s="436" t="str">
        <f t="array" ref="AK3">IF(N3=DGET(claves!$A$2:$AS423,N$2,{claves!$A$2;$E3}),1,0)</f>
        <v>#VALUE!</v>
      </c>
      <c r="AL3" s="436" t="str">
        <f t="array" ref="AL3">IF(O3=DGET(claves!$A$2:$AS423,O$2,{claves!$A$2;$E3}),1,0)</f>
        <v>#VALUE!</v>
      </c>
      <c r="AM3" s="436" t="str">
        <f t="array" ref="AM3">IF(P3=DGET(claves!$A$2:$AS423,P$2,{claves!$A$2;$E3}),1,0)</f>
        <v>#VALUE!</v>
      </c>
      <c r="AN3" s="436" t="str">
        <f t="array" ref="AN3">IF(Q3=DGET(claves!$A$2:$AS423,Q$2,{claves!$A$2;$E3}),1,0)</f>
        <v>#VALUE!</v>
      </c>
      <c r="AO3" s="436" t="str">
        <f t="array" ref="AO3">IF(R3=DGET(claves!$A$2:$AS423,R$2,{claves!$A$2;$E3}),1,0)</f>
        <v>#VALUE!</v>
      </c>
      <c r="AP3" s="436" t="str">
        <f t="array" ref="AP3">IF(S3=DGET(claves!$A$2:$AS423,S$2,{claves!$A$2;$E3}),1,0)</f>
        <v>#VALUE!</v>
      </c>
      <c r="AQ3" s="436" t="str">
        <f t="array" ref="AQ3">IF(T3=DGET(claves!$A$2:$AS423,T$2,{claves!$A$2;$E3}),1,0)</f>
        <v>#VALUE!</v>
      </c>
      <c r="AR3" s="436" t="str">
        <f t="array" ref="AR3">IF(U3=DGET(claves!$A$2:$AS423,U$2,{claves!$A$2;$E3}),1,0)</f>
        <v>#VALUE!</v>
      </c>
      <c r="AS3" s="436" t="str">
        <f t="array" ref="AS3">IF(V3=DGET(claves!$A$2:$AS423,V$2,{claves!$A$2;$E3}),1,0)</f>
        <v>#VALUE!</v>
      </c>
      <c r="AT3" s="436" t="str">
        <f t="array" ref="AT3">IF(W3=DGET(claves!$A$2:$AS423,W$2,{claves!$A$2;$E3}),1,0)</f>
        <v>#VALUE!</v>
      </c>
      <c r="AU3" s="436" t="str">
        <f t="array" ref="AU3">IF(X3=DGET(claves!$A$2:$AS423,X$2,{claves!$A$2;$E3}),1,0)</f>
        <v>#VALUE!</v>
      </c>
      <c r="AV3" s="436" t="str">
        <f t="array" ref="AV3">IF(Y3=DGET(claves!$A$2:$AS423,Y$2,{claves!$A$2;$E3}),1,0)</f>
        <v>#VALUE!</v>
      </c>
      <c r="AW3" s="436" t="str">
        <f t="array" ref="AW3">IF(Z3=DGET(claves!$A$2:$AS423,Z$2,{claves!$A$2;$E3}),1,0)</f>
        <v>#VALUE!</v>
      </c>
      <c r="AX3" s="436" t="str">
        <f t="array" ref="AX3">IF(AA3=DGET(claves!$A$2:$AS423,AA$2,{claves!$A$2;$E3}),1,0)</f>
        <v>#VALUE!</v>
      </c>
      <c r="AY3" s="436" t="str">
        <f t="array" ref="AY3">IF(AB3=DGET(claves!$A$2:$AS423,AB$2,{claves!$A$2;$E3}),1,0)</f>
        <v>#VALUE!</v>
      </c>
      <c r="AZ3" s="436" t="str">
        <f t="array" ref="AZ3">IF(AC3=DGET(claves!$A$2:$AS423,AC$2,{claves!$A$2;$E3}),1,0)</f>
        <v>#VALUE!</v>
      </c>
      <c r="BA3" s="436" t="str">
        <f t="array" ref="BA3">IF(AD3=DGET(claves!$A$2:$AS423,AD$2,{claves!$A$2;$E3}),1,0)</f>
        <v>#VALUE!</v>
      </c>
      <c r="BB3" s="436" t="str">
        <f t="array" ref="BB3">IF(AE3=DGET(claves!$A$2:$AS423,AE$2,{claves!$A$2;$E3}),1,0)</f>
        <v>#VALUE!</v>
      </c>
      <c r="BC3" s="436" t="str">
        <f t="array" ref="BC3">IF(AF3=DGET(claves!$A$2:$AS423,AF$2,{claves!$A$2;$E3}),1,0)</f>
        <v>#VALUE!</v>
      </c>
      <c r="BD3" s="437" t="str">
        <f t="shared" ref="BD3:BD423" si="1">SUM(AJ3:BC3)</f>
        <v>#VALUE!</v>
      </c>
      <c r="BE3" s="435" t="s">
        <v>1468</v>
      </c>
      <c r="BF3" s="415"/>
    </row>
    <row r="4" ht="14.25" customHeight="1">
      <c r="A4" s="408">
        <v>2.0</v>
      </c>
      <c r="B4" s="153" t="s">
        <v>1653</v>
      </c>
      <c r="C4" s="153">
        <v>2024.0</v>
      </c>
      <c r="D4" s="77" t="s">
        <v>362</v>
      </c>
      <c r="E4" s="409" t="str">
        <f>IFERROR(__xludf.DUMMYFUNCTION("ARRAYFORMULA(JOIN("""", ARRAYFORMULA(MID(SPLIT(F4, "" ""), 1, 1))))
&amp;""/""&amp;G4"),"MC/2 Primaria")</f>
        <v>MC/2 Primaria</v>
      </c>
      <c r="F4" s="77" t="s">
        <v>1654</v>
      </c>
      <c r="G4" s="432" t="s">
        <v>15</v>
      </c>
      <c r="H4" s="433" t="s">
        <v>1662</v>
      </c>
      <c r="I4" s="433" t="s">
        <v>1663</v>
      </c>
      <c r="J4" s="433" t="s">
        <v>1664</v>
      </c>
      <c r="K4" s="432" t="s">
        <v>1665</v>
      </c>
      <c r="L4" s="415"/>
      <c r="M4" s="434" t="s">
        <v>1659</v>
      </c>
      <c r="N4" s="434"/>
      <c r="O4" s="434" t="s">
        <v>1660</v>
      </c>
      <c r="P4" s="434" t="s">
        <v>1659</v>
      </c>
      <c r="Q4" s="434" t="s">
        <v>1659</v>
      </c>
      <c r="R4" s="434" t="s">
        <v>1660</v>
      </c>
      <c r="S4" s="434" t="s">
        <v>1660</v>
      </c>
      <c r="T4" s="434" t="s">
        <v>1661</v>
      </c>
      <c r="U4" s="434" t="s">
        <v>1661</v>
      </c>
      <c r="V4" s="434" t="s">
        <v>1660</v>
      </c>
      <c r="W4" s="434" t="s">
        <v>1659</v>
      </c>
      <c r="X4" s="434" t="s">
        <v>1660</v>
      </c>
      <c r="Y4" s="434" t="s">
        <v>1661</v>
      </c>
      <c r="Z4" s="434" t="s">
        <v>1661</v>
      </c>
      <c r="AA4" s="434" t="s">
        <v>1659</v>
      </c>
      <c r="AB4" s="434" t="s">
        <v>1661</v>
      </c>
      <c r="AC4" s="434" t="s">
        <v>1659</v>
      </c>
      <c r="AD4" s="434" t="s">
        <v>1660</v>
      </c>
      <c r="AE4" s="434" t="s">
        <v>1659</v>
      </c>
      <c r="AF4" s="434" t="s">
        <v>1660</v>
      </c>
      <c r="AG4" s="427">
        <v>12.0</v>
      </c>
      <c r="AH4" s="435" t="s">
        <v>24</v>
      </c>
      <c r="AI4" s="415"/>
      <c r="AJ4" s="436" t="str">
        <f t="array" ref="AJ4">IF(M4=DGET(claves!$A$2:$AS423,M$2,{claves!$A$2;$E4}),1,0)</f>
        <v>#VALUE!</v>
      </c>
      <c r="AK4" s="436" t="str">
        <f t="array" ref="AK4">IF(N4=DGET(claves!$A$2:$AS423,N$2,{claves!$A$2;$E4}),1,0)</f>
        <v>#VALUE!</v>
      </c>
      <c r="AL4" s="436" t="str">
        <f t="array" ref="AL4">IF(O4=DGET(claves!$A$2:$AS423,O$2,{claves!$A$2;$E4}),1,0)</f>
        <v>#VALUE!</v>
      </c>
      <c r="AM4" s="436" t="str">
        <f t="array" ref="AM4">IF(P4=DGET(claves!$A$2:$AS423,P$2,{claves!$A$2;$E4}),1,0)</f>
        <v>#VALUE!</v>
      </c>
      <c r="AN4" s="436" t="str">
        <f t="array" ref="AN4">IF(Q4=DGET(claves!$A$2:$AS423,Q$2,{claves!$A$2;$E4}),1,0)</f>
        <v>#VALUE!</v>
      </c>
      <c r="AO4" s="436" t="str">
        <f t="array" ref="AO4">IF(R4=DGET(claves!$A$2:$AS423,R$2,{claves!$A$2;$E4}),1,0)</f>
        <v>#VALUE!</v>
      </c>
      <c r="AP4" s="436" t="str">
        <f t="array" ref="AP4">IF(S4=DGET(claves!$A$2:$AS423,S$2,{claves!$A$2;$E4}),1,0)</f>
        <v>#VALUE!</v>
      </c>
      <c r="AQ4" s="436" t="str">
        <f t="array" ref="AQ4">IF(T4=DGET(claves!$A$2:$AS423,T$2,{claves!$A$2;$E4}),1,0)</f>
        <v>#VALUE!</v>
      </c>
      <c r="AR4" s="436" t="str">
        <f t="array" ref="AR4">IF(U4=DGET(claves!$A$2:$AS423,U$2,{claves!$A$2;$E4}),1,0)</f>
        <v>#VALUE!</v>
      </c>
      <c r="AS4" s="436" t="str">
        <f t="array" ref="AS4">IF(V4=DGET(claves!$A$2:$AS423,V$2,{claves!$A$2;$E4}),1,0)</f>
        <v>#VALUE!</v>
      </c>
      <c r="AT4" s="436" t="str">
        <f t="array" ref="AT4">IF(W4=DGET(claves!$A$2:$AS423,W$2,{claves!$A$2;$E4}),1,0)</f>
        <v>#VALUE!</v>
      </c>
      <c r="AU4" s="436" t="str">
        <f t="array" ref="AU4">IF(X4=DGET(claves!$A$2:$AS423,X$2,{claves!$A$2;$E4}),1,0)</f>
        <v>#VALUE!</v>
      </c>
      <c r="AV4" s="436" t="str">
        <f t="array" ref="AV4">IF(Y4=DGET(claves!$A$2:$AS423,Y$2,{claves!$A$2;$E4}),1,0)</f>
        <v>#VALUE!</v>
      </c>
      <c r="AW4" s="436" t="str">
        <f t="array" ref="AW4">IF(Z4=DGET(claves!$A$2:$AS423,Z$2,{claves!$A$2;$E4}),1,0)</f>
        <v>#VALUE!</v>
      </c>
      <c r="AX4" s="436" t="str">
        <f t="array" ref="AX4">IF(AA4=DGET(claves!$A$2:$AS423,AA$2,{claves!$A$2;$E4}),1,0)</f>
        <v>#VALUE!</v>
      </c>
      <c r="AY4" s="436" t="str">
        <f t="array" ref="AY4">IF(AB4=DGET(claves!$A$2:$AS423,AB$2,{claves!$A$2;$E4}),1,0)</f>
        <v>#VALUE!</v>
      </c>
      <c r="AZ4" s="436" t="str">
        <f t="array" ref="AZ4">IF(AC4=DGET(claves!$A$2:$AS423,AC$2,{claves!$A$2;$E4}),1,0)</f>
        <v>#VALUE!</v>
      </c>
      <c r="BA4" s="436" t="str">
        <f t="array" ref="BA4">IF(AD4=DGET(claves!$A$2:$AS423,AD$2,{claves!$A$2;$E4}),1,0)</f>
        <v>#VALUE!</v>
      </c>
      <c r="BB4" s="436" t="str">
        <f t="array" ref="BB4">IF(AE4=DGET(claves!$A$2:$AS423,AE$2,{claves!$A$2;$E4}),1,0)</f>
        <v>#VALUE!</v>
      </c>
      <c r="BC4" s="436" t="str">
        <f t="array" ref="BC4">IF(AF4=DGET(claves!$A$2:$AS423,AF$2,{claves!$A$2;$E4}),1,0)</f>
        <v>#VALUE!</v>
      </c>
      <c r="BD4" s="437" t="str">
        <f t="shared" si="1"/>
        <v>#VALUE!</v>
      </c>
      <c r="BE4" s="435" t="s">
        <v>1468</v>
      </c>
      <c r="BF4" s="415"/>
    </row>
    <row r="5" ht="14.25" customHeight="1">
      <c r="A5" s="408">
        <v>3.0</v>
      </c>
      <c r="B5" s="153" t="s">
        <v>1653</v>
      </c>
      <c r="C5" s="153">
        <v>2024.0</v>
      </c>
      <c r="D5" s="77" t="s">
        <v>362</v>
      </c>
      <c r="E5" s="409" t="str">
        <f>IFERROR(__xludf.DUMMYFUNCTION("ARRAYFORMULA(JOIN("""", ARRAYFORMULA(MID(SPLIT(F5, "" ""), 1, 1))))
&amp;""/""&amp;G5"),"MC/2 Primaria")</f>
        <v>MC/2 Primaria</v>
      </c>
      <c r="F5" s="77" t="s">
        <v>1654</v>
      </c>
      <c r="G5" s="432" t="s">
        <v>15</v>
      </c>
      <c r="H5" s="433" t="s">
        <v>1666</v>
      </c>
      <c r="I5" s="433" t="s">
        <v>1667</v>
      </c>
      <c r="J5" s="433" t="s">
        <v>1668</v>
      </c>
      <c r="K5" s="432" t="s">
        <v>1665</v>
      </c>
      <c r="L5" s="415"/>
      <c r="M5" s="434" t="s">
        <v>1659</v>
      </c>
      <c r="N5" s="434" t="s">
        <v>1661</v>
      </c>
      <c r="O5" s="434" t="s">
        <v>1659</v>
      </c>
      <c r="P5" s="434" t="s">
        <v>1661</v>
      </c>
      <c r="Q5" s="434" t="s">
        <v>1659</v>
      </c>
      <c r="R5" s="434" t="s">
        <v>1660</v>
      </c>
      <c r="S5" s="434" t="s">
        <v>1659</v>
      </c>
      <c r="T5" s="434" t="s">
        <v>1661</v>
      </c>
      <c r="U5" s="434" t="s">
        <v>1659</v>
      </c>
      <c r="V5" s="434" t="s">
        <v>1660</v>
      </c>
      <c r="W5" s="434" t="s">
        <v>1661</v>
      </c>
      <c r="X5" s="434" t="s">
        <v>1659</v>
      </c>
      <c r="Y5" s="434" t="s">
        <v>1661</v>
      </c>
      <c r="Z5" s="434" t="s">
        <v>1661</v>
      </c>
      <c r="AA5" s="434" t="s">
        <v>1661</v>
      </c>
      <c r="AB5" s="434" t="s">
        <v>1661</v>
      </c>
      <c r="AC5" s="434" t="s">
        <v>1661</v>
      </c>
      <c r="AD5" s="434" t="s">
        <v>1660</v>
      </c>
      <c r="AE5" s="434" t="s">
        <v>1661</v>
      </c>
      <c r="AF5" s="434" t="s">
        <v>1659</v>
      </c>
      <c r="AG5" s="427">
        <v>17.0</v>
      </c>
      <c r="AH5" s="438" t="s">
        <v>32</v>
      </c>
      <c r="AI5" s="415"/>
      <c r="AJ5" s="436" t="str">
        <f t="array" ref="AJ5">IF(M5=DGET(claves!$A$2:$AS423,M$2,{claves!$A$2;$E5}),1,0)</f>
        <v>#VALUE!</v>
      </c>
      <c r="AK5" s="436" t="str">
        <f t="array" ref="AK5">IF(N5=DGET(claves!$A$2:$AS423,N$2,{claves!$A$2;$E5}),1,0)</f>
        <v>#VALUE!</v>
      </c>
      <c r="AL5" s="436" t="str">
        <f t="array" ref="AL5">IF(O5=DGET(claves!$A$2:$AS423,O$2,{claves!$A$2;$E5}),1,0)</f>
        <v>#VALUE!</v>
      </c>
      <c r="AM5" s="436" t="str">
        <f t="array" ref="AM5">IF(P5=DGET(claves!$A$2:$AS423,P$2,{claves!$A$2;$E5}),1,0)</f>
        <v>#VALUE!</v>
      </c>
      <c r="AN5" s="436" t="str">
        <f t="array" ref="AN5">IF(Q5=DGET(claves!$A$2:$AS423,Q$2,{claves!$A$2;$E5}),1,0)</f>
        <v>#VALUE!</v>
      </c>
      <c r="AO5" s="436" t="str">
        <f t="array" ref="AO5">IF(R5=DGET(claves!$A$2:$AS423,R$2,{claves!$A$2;$E5}),1,0)</f>
        <v>#VALUE!</v>
      </c>
      <c r="AP5" s="436" t="str">
        <f t="array" ref="AP5">IF(S5=DGET(claves!$A$2:$AS423,S$2,{claves!$A$2;$E5}),1,0)</f>
        <v>#VALUE!</v>
      </c>
      <c r="AQ5" s="436" t="str">
        <f t="array" ref="AQ5">IF(T5=DGET(claves!$A$2:$AS423,T$2,{claves!$A$2;$E5}),1,0)</f>
        <v>#VALUE!</v>
      </c>
      <c r="AR5" s="436" t="str">
        <f t="array" ref="AR5">IF(U5=DGET(claves!$A$2:$AS423,U$2,{claves!$A$2;$E5}),1,0)</f>
        <v>#VALUE!</v>
      </c>
      <c r="AS5" s="436" t="str">
        <f t="array" ref="AS5">IF(V5=DGET(claves!$A$2:$AS423,V$2,{claves!$A$2;$E5}),1,0)</f>
        <v>#VALUE!</v>
      </c>
      <c r="AT5" s="436" t="str">
        <f t="array" ref="AT5">IF(W5=DGET(claves!$A$2:$AS423,W$2,{claves!$A$2;$E5}),1,0)</f>
        <v>#VALUE!</v>
      </c>
      <c r="AU5" s="436" t="str">
        <f t="array" ref="AU5">IF(X5=DGET(claves!$A$2:$AS423,X$2,{claves!$A$2;$E5}),1,0)</f>
        <v>#VALUE!</v>
      </c>
      <c r="AV5" s="436" t="str">
        <f t="array" ref="AV5">IF(Y5=DGET(claves!$A$2:$AS423,Y$2,{claves!$A$2;$E5}),1,0)</f>
        <v>#VALUE!</v>
      </c>
      <c r="AW5" s="436" t="str">
        <f t="array" ref="AW5">IF(Z5=DGET(claves!$A$2:$AS423,Z$2,{claves!$A$2;$E5}),1,0)</f>
        <v>#VALUE!</v>
      </c>
      <c r="AX5" s="436" t="str">
        <f t="array" ref="AX5">IF(AA5=DGET(claves!$A$2:$AS423,AA$2,{claves!$A$2;$E5}),1,0)</f>
        <v>#VALUE!</v>
      </c>
      <c r="AY5" s="436" t="str">
        <f t="array" ref="AY5">IF(AB5=DGET(claves!$A$2:$AS423,AB$2,{claves!$A$2;$E5}),1,0)</f>
        <v>#VALUE!</v>
      </c>
      <c r="AZ5" s="436" t="str">
        <f t="array" ref="AZ5">IF(AC5=DGET(claves!$A$2:$AS423,AC$2,{claves!$A$2;$E5}),1,0)</f>
        <v>#VALUE!</v>
      </c>
      <c r="BA5" s="436" t="str">
        <f t="array" ref="BA5">IF(AD5=DGET(claves!$A$2:$AS423,AD$2,{claves!$A$2;$E5}),1,0)</f>
        <v>#VALUE!</v>
      </c>
      <c r="BB5" s="436" t="str">
        <f t="array" ref="BB5">IF(AE5=DGET(claves!$A$2:$AS423,AE$2,{claves!$A$2;$E5}),1,0)</f>
        <v>#VALUE!</v>
      </c>
      <c r="BC5" s="436" t="str">
        <f t="array" ref="BC5">IF(AF5=DGET(claves!$A$2:$AS423,AF$2,{claves!$A$2;$E5}),1,0)</f>
        <v>#VALUE!</v>
      </c>
      <c r="BD5" s="437" t="str">
        <f t="shared" si="1"/>
        <v>#VALUE!</v>
      </c>
      <c r="BE5" s="435" t="s">
        <v>1468</v>
      </c>
      <c r="BF5" s="415"/>
    </row>
    <row r="6" ht="14.25" customHeight="1">
      <c r="A6" s="408">
        <v>4.0</v>
      </c>
      <c r="B6" s="153" t="s">
        <v>1653</v>
      </c>
      <c r="C6" s="153">
        <v>2024.0</v>
      </c>
      <c r="D6" s="77" t="s">
        <v>362</v>
      </c>
      <c r="E6" s="409" t="str">
        <f>IFERROR(__xludf.DUMMYFUNCTION("ARRAYFORMULA(JOIN("""", ARRAYFORMULA(MID(SPLIT(F6, "" ""), 1, 1))))
&amp;""/""&amp;G6"),"MC/2 Primaria")</f>
        <v>MC/2 Primaria</v>
      </c>
      <c r="F6" s="77" t="s">
        <v>1654</v>
      </c>
      <c r="G6" s="432" t="s">
        <v>15</v>
      </c>
      <c r="H6" s="433" t="s">
        <v>1669</v>
      </c>
      <c r="I6" s="433" t="s">
        <v>1670</v>
      </c>
      <c r="J6" s="433" t="s">
        <v>1671</v>
      </c>
      <c r="K6" s="433" t="s">
        <v>1658</v>
      </c>
      <c r="L6" s="415"/>
      <c r="M6" s="434" t="s">
        <v>1659</v>
      </c>
      <c r="N6" s="434" t="s">
        <v>1661</v>
      </c>
      <c r="O6" s="434" t="s">
        <v>1659</v>
      </c>
      <c r="P6" s="434" t="s">
        <v>1661</v>
      </c>
      <c r="Q6" s="434" t="s">
        <v>1659</v>
      </c>
      <c r="R6" s="434" t="s">
        <v>1660</v>
      </c>
      <c r="S6" s="434" t="s">
        <v>1660</v>
      </c>
      <c r="T6" s="434" t="s">
        <v>1661</v>
      </c>
      <c r="U6" s="434" t="s">
        <v>1661</v>
      </c>
      <c r="V6" s="434" t="s">
        <v>1660</v>
      </c>
      <c r="W6" s="434" t="s">
        <v>1661</v>
      </c>
      <c r="X6" s="434"/>
      <c r="Y6" s="434" t="s">
        <v>1661</v>
      </c>
      <c r="Z6" s="434" t="s">
        <v>1661</v>
      </c>
      <c r="AA6" s="434" t="s">
        <v>1661</v>
      </c>
      <c r="AB6" s="434"/>
      <c r="AC6" s="434" t="s">
        <v>1661</v>
      </c>
      <c r="AD6" s="434" t="s">
        <v>1660</v>
      </c>
      <c r="AE6" s="434" t="s">
        <v>1661</v>
      </c>
      <c r="AF6" s="434" t="s">
        <v>1659</v>
      </c>
      <c r="AG6" s="427">
        <v>14.0</v>
      </c>
      <c r="AH6" s="435" t="s">
        <v>24</v>
      </c>
      <c r="AI6" s="415"/>
      <c r="AJ6" s="436" t="str">
        <f t="array" ref="AJ6">IF(M6=DGET(claves!$A$2:$AS423,M$2,{claves!$A$2;$E6}),1,0)</f>
        <v>#VALUE!</v>
      </c>
      <c r="AK6" s="436" t="str">
        <f t="array" ref="AK6">IF(N6=DGET(claves!$A$2:$AS423,N$2,{claves!$A$2;$E6}),1,0)</f>
        <v>#VALUE!</v>
      </c>
      <c r="AL6" s="436" t="str">
        <f t="array" ref="AL6">IF(O6=DGET(claves!$A$2:$AS423,O$2,{claves!$A$2;$E6}),1,0)</f>
        <v>#VALUE!</v>
      </c>
      <c r="AM6" s="436" t="str">
        <f t="array" ref="AM6">IF(P6=DGET(claves!$A$2:$AS423,P$2,{claves!$A$2;$E6}),1,0)</f>
        <v>#VALUE!</v>
      </c>
      <c r="AN6" s="436" t="str">
        <f t="array" ref="AN6">IF(Q6=DGET(claves!$A$2:$AS423,Q$2,{claves!$A$2;$E6}),1,0)</f>
        <v>#VALUE!</v>
      </c>
      <c r="AO6" s="436" t="str">
        <f t="array" ref="AO6">IF(R6=DGET(claves!$A$2:$AS423,R$2,{claves!$A$2;$E6}),1,0)</f>
        <v>#VALUE!</v>
      </c>
      <c r="AP6" s="436" t="str">
        <f t="array" ref="AP6">IF(S6=DGET(claves!$A$2:$AS423,S$2,{claves!$A$2;$E6}),1,0)</f>
        <v>#VALUE!</v>
      </c>
      <c r="AQ6" s="436" t="str">
        <f t="array" ref="AQ6">IF(T6=DGET(claves!$A$2:$AS423,T$2,{claves!$A$2;$E6}),1,0)</f>
        <v>#VALUE!</v>
      </c>
      <c r="AR6" s="436" t="str">
        <f t="array" ref="AR6">IF(U6=DGET(claves!$A$2:$AS423,U$2,{claves!$A$2;$E6}),1,0)</f>
        <v>#VALUE!</v>
      </c>
      <c r="AS6" s="436" t="str">
        <f t="array" ref="AS6">IF(V6=DGET(claves!$A$2:$AS423,V$2,{claves!$A$2;$E6}),1,0)</f>
        <v>#VALUE!</v>
      </c>
      <c r="AT6" s="436" t="str">
        <f t="array" ref="AT6">IF(W6=DGET(claves!$A$2:$AS423,W$2,{claves!$A$2;$E6}),1,0)</f>
        <v>#VALUE!</v>
      </c>
      <c r="AU6" s="436" t="str">
        <f t="array" ref="AU6">IF(X6=DGET(claves!$A$2:$AS423,X$2,{claves!$A$2;$E6}),1,0)</f>
        <v>#VALUE!</v>
      </c>
      <c r="AV6" s="436" t="str">
        <f t="array" ref="AV6">IF(Y6=DGET(claves!$A$2:$AS423,Y$2,{claves!$A$2;$E6}),1,0)</f>
        <v>#VALUE!</v>
      </c>
      <c r="AW6" s="436" t="str">
        <f t="array" ref="AW6">IF(Z6=DGET(claves!$A$2:$AS423,Z$2,{claves!$A$2;$E6}),1,0)</f>
        <v>#VALUE!</v>
      </c>
      <c r="AX6" s="436" t="str">
        <f t="array" ref="AX6">IF(AA6=DGET(claves!$A$2:$AS423,AA$2,{claves!$A$2;$E6}),1,0)</f>
        <v>#VALUE!</v>
      </c>
      <c r="AY6" s="436" t="str">
        <f t="array" ref="AY6">IF(AB6=DGET(claves!$A$2:$AS423,AB$2,{claves!$A$2;$E6}),1,0)</f>
        <v>#VALUE!</v>
      </c>
      <c r="AZ6" s="436" t="str">
        <f t="array" ref="AZ6">IF(AC6=DGET(claves!$A$2:$AS423,AC$2,{claves!$A$2;$E6}),1,0)</f>
        <v>#VALUE!</v>
      </c>
      <c r="BA6" s="436" t="str">
        <f t="array" ref="BA6">IF(AD6=DGET(claves!$A$2:$AS423,AD$2,{claves!$A$2;$E6}),1,0)</f>
        <v>#VALUE!</v>
      </c>
      <c r="BB6" s="436" t="str">
        <f t="array" ref="BB6">IF(AE6=DGET(claves!$A$2:$AS423,AE$2,{claves!$A$2;$E6}),1,0)</f>
        <v>#VALUE!</v>
      </c>
      <c r="BC6" s="436" t="str">
        <f t="array" ref="BC6">IF(AF6=DGET(claves!$A$2:$AS423,AF$2,{claves!$A$2;$E6}),1,0)</f>
        <v>#VALUE!</v>
      </c>
      <c r="BD6" s="437" t="str">
        <f t="shared" si="1"/>
        <v>#VALUE!</v>
      </c>
      <c r="BE6" s="435" t="s">
        <v>1468</v>
      </c>
      <c r="BF6" s="415"/>
    </row>
    <row r="7" ht="14.25" customHeight="1">
      <c r="A7" s="408">
        <v>5.0</v>
      </c>
      <c r="B7" s="153" t="s">
        <v>1653</v>
      </c>
      <c r="C7" s="153">
        <v>2024.0</v>
      </c>
      <c r="D7" s="77" t="s">
        <v>362</v>
      </c>
      <c r="E7" s="409" t="str">
        <f>IFERROR(__xludf.DUMMYFUNCTION("ARRAYFORMULA(JOIN("""", ARRAYFORMULA(MID(SPLIT(F7, "" ""), 1, 1))))
&amp;""/""&amp;G7"),"MC/2 Primaria")</f>
        <v>MC/2 Primaria</v>
      </c>
      <c r="F7" s="77" t="s">
        <v>1654</v>
      </c>
      <c r="G7" s="432" t="s">
        <v>15</v>
      </c>
      <c r="H7" s="433" t="s">
        <v>1672</v>
      </c>
      <c r="I7" s="433" t="s">
        <v>1673</v>
      </c>
      <c r="J7" s="433" t="s">
        <v>1674</v>
      </c>
      <c r="K7" s="432" t="s">
        <v>1665</v>
      </c>
      <c r="L7" s="415"/>
      <c r="M7" s="434" t="s">
        <v>1659</v>
      </c>
      <c r="N7" s="434" t="s">
        <v>1661</v>
      </c>
      <c r="O7" s="434" t="s">
        <v>1659</v>
      </c>
      <c r="P7" s="434" t="s">
        <v>1659</v>
      </c>
      <c r="Q7" s="434" t="s">
        <v>1659</v>
      </c>
      <c r="R7" s="434" t="s">
        <v>1660</v>
      </c>
      <c r="S7" s="434"/>
      <c r="T7" s="434" t="s">
        <v>1659</v>
      </c>
      <c r="U7" s="434" t="s">
        <v>1659</v>
      </c>
      <c r="V7" s="434" t="s">
        <v>1660</v>
      </c>
      <c r="W7" s="434" t="s">
        <v>1661</v>
      </c>
      <c r="X7" s="434" t="s">
        <v>1659</v>
      </c>
      <c r="Y7" s="434" t="s">
        <v>1659</v>
      </c>
      <c r="Z7" s="434" t="s">
        <v>1661</v>
      </c>
      <c r="AA7" s="434" t="s">
        <v>1659</v>
      </c>
      <c r="AB7" s="434" t="s">
        <v>1660</v>
      </c>
      <c r="AC7" s="434" t="s">
        <v>1659</v>
      </c>
      <c r="AD7" s="434" t="s">
        <v>1661</v>
      </c>
      <c r="AE7" s="434" t="s">
        <v>1659</v>
      </c>
      <c r="AF7" s="434" t="s">
        <v>1659</v>
      </c>
      <c r="AG7" s="427">
        <v>12.0</v>
      </c>
      <c r="AH7" s="435" t="s">
        <v>24</v>
      </c>
      <c r="AI7" s="415"/>
      <c r="AJ7" s="436" t="str">
        <f t="array" ref="AJ7">IF(M7=DGET(claves!$A$2:$AS423,M$2,{claves!$A$2;$E7}),1,0)</f>
        <v>#VALUE!</v>
      </c>
      <c r="AK7" s="436" t="str">
        <f t="array" ref="AK7">IF(N7=DGET(claves!$A$2:$AS423,N$2,{claves!$A$2;$E7}),1,0)</f>
        <v>#VALUE!</v>
      </c>
      <c r="AL7" s="436" t="str">
        <f t="array" ref="AL7">IF(O7=DGET(claves!$A$2:$AS423,O$2,{claves!$A$2;$E7}),1,0)</f>
        <v>#VALUE!</v>
      </c>
      <c r="AM7" s="436" t="str">
        <f t="array" ref="AM7">IF(P7=DGET(claves!$A$2:$AS423,P$2,{claves!$A$2;$E7}),1,0)</f>
        <v>#VALUE!</v>
      </c>
      <c r="AN7" s="436" t="str">
        <f t="array" ref="AN7">IF(Q7=DGET(claves!$A$2:$AS423,Q$2,{claves!$A$2;$E7}),1,0)</f>
        <v>#VALUE!</v>
      </c>
      <c r="AO7" s="436" t="str">
        <f t="array" ref="AO7">IF(R7=DGET(claves!$A$2:$AS423,R$2,{claves!$A$2;$E7}),1,0)</f>
        <v>#VALUE!</v>
      </c>
      <c r="AP7" s="436" t="str">
        <f t="array" ref="AP7">IF(S7=DGET(claves!$A$2:$AS423,S$2,{claves!$A$2;$E7}),1,0)</f>
        <v>#VALUE!</v>
      </c>
      <c r="AQ7" s="436" t="str">
        <f t="array" ref="AQ7">IF(T7=DGET(claves!$A$2:$AS423,T$2,{claves!$A$2;$E7}),1,0)</f>
        <v>#VALUE!</v>
      </c>
      <c r="AR7" s="436" t="str">
        <f t="array" ref="AR7">IF(U7=DGET(claves!$A$2:$AS423,U$2,{claves!$A$2;$E7}),1,0)</f>
        <v>#VALUE!</v>
      </c>
      <c r="AS7" s="436" t="str">
        <f t="array" ref="AS7">IF(V7=DGET(claves!$A$2:$AS423,V$2,{claves!$A$2;$E7}),1,0)</f>
        <v>#VALUE!</v>
      </c>
      <c r="AT7" s="436" t="str">
        <f t="array" ref="AT7">IF(W7=DGET(claves!$A$2:$AS423,W$2,{claves!$A$2;$E7}),1,0)</f>
        <v>#VALUE!</v>
      </c>
      <c r="AU7" s="436" t="str">
        <f t="array" ref="AU7">IF(X7=DGET(claves!$A$2:$AS423,X$2,{claves!$A$2;$E7}),1,0)</f>
        <v>#VALUE!</v>
      </c>
      <c r="AV7" s="436" t="str">
        <f t="array" ref="AV7">IF(Y7=DGET(claves!$A$2:$AS423,Y$2,{claves!$A$2;$E7}),1,0)</f>
        <v>#VALUE!</v>
      </c>
      <c r="AW7" s="436" t="str">
        <f t="array" ref="AW7">IF(Z7=DGET(claves!$A$2:$AS423,Z$2,{claves!$A$2;$E7}),1,0)</f>
        <v>#VALUE!</v>
      </c>
      <c r="AX7" s="436" t="str">
        <f t="array" ref="AX7">IF(AA7=DGET(claves!$A$2:$AS423,AA$2,{claves!$A$2;$E7}),1,0)</f>
        <v>#VALUE!</v>
      </c>
      <c r="AY7" s="436" t="str">
        <f t="array" ref="AY7">IF(AB7=DGET(claves!$A$2:$AS423,AB$2,{claves!$A$2;$E7}),1,0)</f>
        <v>#VALUE!</v>
      </c>
      <c r="AZ7" s="436" t="str">
        <f t="array" ref="AZ7">IF(AC7=DGET(claves!$A$2:$AS423,AC$2,{claves!$A$2;$E7}),1,0)</f>
        <v>#VALUE!</v>
      </c>
      <c r="BA7" s="436" t="str">
        <f t="array" ref="BA7">IF(AD7=DGET(claves!$A$2:$AS423,AD$2,{claves!$A$2;$E7}),1,0)</f>
        <v>#VALUE!</v>
      </c>
      <c r="BB7" s="436" t="str">
        <f t="array" ref="BB7">IF(AE7=DGET(claves!$A$2:$AS423,AE$2,{claves!$A$2;$E7}),1,0)</f>
        <v>#VALUE!</v>
      </c>
      <c r="BC7" s="436" t="str">
        <f t="array" ref="BC7">IF(AF7=DGET(claves!$A$2:$AS423,AF$2,{claves!$A$2;$E7}),1,0)</f>
        <v>#VALUE!</v>
      </c>
      <c r="BD7" s="437" t="str">
        <f t="shared" si="1"/>
        <v>#VALUE!</v>
      </c>
      <c r="BE7" s="435" t="s">
        <v>1468</v>
      </c>
      <c r="BF7" s="415"/>
    </row>
    <row r="8" ht="14.25" customHeight="1">
      <c r="A8" s="408">
        <v>6.0</v>
      </c>
      <c r="B8" s="153" t="s">
        <v>1653</v>
      </c>
      <c r="C8" s="153">
        <v>2024.0</v>
      </c>
      <c r="D8" s="77" t="s">
        <v>362</v>
      </c>
      <c r="E8" s="409" t="str">
        <f>IFERROR(__xludf.DUMMYFUNCTION("ARRAYFORMULA(JOIN("""", ARRAYFORMULA(MID(SPLIT(F8, "" ""), 1, 1))))
&amp;""/""&amp;G8"),"MC/2 Primaria")</f>
        <v>MC/2 Primaria</v>
      </c>
      <c r="F8" s="77" t="s">
        <v>1654</v>
      </c>
      <c r="G8" s="432" t="s">
        <v>15</v>
      </c>
      <c r="H8" s="433" t="s">
        <v>1675</v>
      </c>
      <c r="I8" s="433" t="s">
        <v>1676</v>
      </c>
      <c r="J8" s="433" t="s">
        <v>1677</v>
      </c>
      <c r="K8" s="433" t="s">
        <v>1658</v>
      </c>
      <c r="L8" s="415"/>
      <c r="M8" s="434" t="s">
        <v>1659</v>
      </c>
      <c r="N8" s="434" t="s">
        <v>1661</v>
      </c>
      <c r="O8" s="434" t="s">
        <v>1659</v>
      </c>
      <c r="P8" s="434" t="s">
        <v>1659</v>
      </c>
      <c r="Q8" s="434" t="s">
        <v>1659</v>
      </c>
      <c r="R8" s="434" t="s">
        <v>1660</v>
      </c>
      <c r="S8" s="434" t="s">
        <v>1661</v>
      </c>
      <c r="T8" s="434" t="s">
        <v>1661</v>
      </c>
      <c r="U8" s="434" t="s">
        <v>1661</v>
      </c>
      <c r="V8" s="434" t="s">
        <v>1660</v>
      </c>
      <c r="W8" s="434" t="s">
        <v>1661</v>
      </c>
      <c r="X8" s="434" t="s">
        <v>1660</v>
      </c>
      <c r="Y8" s="434" t="s">
        <v>1661</v>
      </c>
      <c r="Z8" s="434" t="s">
        <v>1661</v>
      </c>
      <c r="AA8" s="434" t="s">
        <v>1661</v>
      </c>
      <c r="AB8" s="434" t="s">
        <v>1661</v>
      </c>
      <c r="AC8" s="434" t="s">
        <v>1659</v>
      </c>
      <c r="AD8" s="434" t="s">
        <v>1660</v>
      </c>
      <c r="AE8" s="434" t="s">
        <v>1661</v>
      </c>
      <c r="AF8" s="434" t="s">
        <v>1659</v>
      </c>
      <c r="AG8" s="427">
        <v>18.0</v>
      </c>
      <c r="AH8" s="438" t="s">
        <v>32</v>
      </c>
      <c r="AI8" s="415"/>
      <c r="AJ8" s="436" t="str">
        <f t="array" ref="AJ8">IF(M8=DGET(claves!$A$2:$AS423,M$2,{claves!$A$2;$E8}),1,0)</f>
        <v>#VALUE!</v>
      </c>
      <c r="AK8" s="436" t="str">
        <f t="array" ref="AK8">IF(N8=DGET(claves!$A$2:$AS423,N$2,{claves!$A$2;$E8}),1,0)</f>
        <v>#VALUE!</v>
      </c>
      <c r="AL8" s="436" t="str">
        <f t="array" ref="AL8">IF(O8=DGET(claves!$A$2:$AS423,O$2,{claves!$A$2;$E8}),1,0)</f>
        <v>#VALUE!</v>
      </c>
      <c r="AM8" s="436" t="str">
        <f t="array" ref="AM8">IF(P8=DGET(claves!$A$2:$AS423,P$2,{claves!$A$2;$E8}),1,0)</f>
        <v>#VALUE!</v>
      </c>
      <c r="AN8" s="436" t="str">
        <f t="array" ref="AN8">IF(Q8=DGET(claves!$A$2:$AS423,Q$2,{claves!$A$2;$E8}),1,0)</f>
        <v>#VALUE!</v>
      </c>
      <c r="AO8" s="436" t="str">
        <f t="array" ref="AO8">IF(R8=DGET(claves!$A$2:$AS423,R$2,{claves!$A$2;$E8}),1,0)</f>
        <v>#VALUE!</v>
      </c>
      <c r="AP8" s="436" t="str">
        <f t="array" ref="AP8">IF(S8=DGET(claves!$A$2:$AS423,S$2,{claves!$A$2;$E8}),1,0)</f>
        <v>#VALUE!</v>
      </c>
      <c r="AQ8" s="436" t="str">
        <f t="array" ref="AQ8">IF(T8=DGET(claves!$A$2:$AS423,T$2,{claves!$A$2;$E8}),1,0)</f>
        <v>#VALUE!</v>
      </c>
      <c r="AR8" s="436" t="str">
        <f t="array" ref="AR8">IF(U8=DGET(claves!$A$2:$AS423,U$2,{claves!$A$2;$E8}),1,0)</f>
        <v>#VALUE!</v>
      </c>
      <c r="AS8" s="436" t="str">
        <f t="array" ref="AS8">IF(V8=DGET(claves!$A$2:$AS423,V$2,{claves!$A$2;$E8}),1,0)</f>
        <v>#VALUE!</v>
      </c>
      <c r="AT8" s="436" t="str">
        <f t="array" ref="AT8">IF(W8=DGET(claves!$A$2:$AS423,W$2,{claves!$A$2;$E8}),1,0)</f>
        <v>#VALUE!</v>
      </c>
      <c r="AU8" s="436" t="str">
        <f t="array" ref="AU8">IF(X8=DGET(claves!$A$2:$AS423,X$2,{claves!$A$2;$E8}),1,0)</f>
        <v>#VALUE!</v>
      </c>
      <c r="AV8" s="436" t="str">
        <f t="array" ref="AV8">IF(Y8=DGET(claves!$A$2:$AS423,Y$2,{claves!$A$2;$E8}),1,0)</f>
        <v>#VALUE!</v>
      </c>
      <c r="AW8" s="436" t="str">
        <f t="array" ref="AW8">IF(Z8=DGET(claves!$A$2:$AS423,Z$2,{claves!$A$2;$E8}),1,0)</f>
        <v>#VALUE!</v>
      </c>
      <c r="AX8" s="436" t="str">
        <f t="array" ref="AX8">IF(AA8=DGET(claves!$A$2:$AS423,AA$2,{claves!$A$2;$E8}),1,0)</f>
        <v>#VALUE!</v>
      </c>
      <c r="AY8" s="436" t="str">
        <f t="array" ref="AY8">IF(AB8=DGET(claves!$A$2:$AS423,AB$2,{claves!$A$2;$E8}),1,0)</f>
        <v>#VALUE!</v>
      </c>
      <c r="AZ8" s="436" t="str">
        <f t="array" ref="AZ8">IF(AC8=DGET(claves!$A$2:$AS423,AC$2,{claves!$A$2;$E8}),1,0)</f>
        <v>#VALUE!</v>
      </c>
      <c r="BA8" s="436" t="str">
        <f t="array" ref="BA8">IF(AD8=DGET(claves!$A$2:$AS423,AD$2,{claves!$A$2;$E8}),1,0)</f>
        <v>#VALUE!</v>
      </c>
      <c r="BB8" s="436" t="str">
        <f t="array" ref="BB8">IF(AE8=DGET(claves!$A$2:$AS423,AE$2,{claves!$A$2;$E8}),1,0)</f>
        <v>#VALUE!</v>
      </c>
      <c r="BC8" s="436" t="str">
        <f t="array" ref="BC8">IF(AF8=DGET(claves!$A$2:$AS423,AF$2,{claves!$A$2;$E8}),1,0)</f>
        <v>#VALUE!</v>
      </c>
      <c r="BD8" s="437" t="str">
        <f t="shared" si="1"/>
        <v>#VALUE!</v>
      </c>
      <c r="BE8" s="435" t="s">
        <v>1468</v>
      </c>
      <c r="BF8" s="415"/>
    </row>
    <row r="9" ht="14.25" customHeight="1">
      <c r="A9" s="408">
        <v>7.0</v>
      </c>
      <c r="B9" s="153" t="s">
        <v>1653</v>
      </c>
      <c r="C9" s="153">
        <v>2024.0</v>
      </c>
      <c r="D9" s="77" t="s">
        <v>362</v>
      </c>
      <c r="E9" s="409" t="str">
        <f>IFERROR(__xludf.DUMMYFUNCTION("ARRAYFORMULA(JOIN("""", ARRAYFORMULA(MID(SPLIT(F9, "" ""), 1, 1))))
&amp;""/""&amp;G9"),"MC/2 Primaria")</f>
        <v>MC/2 Primaria</v>
      </c>
      <c r="F9" s="77" t="s">
        <v>1654</v>
      </c>
      <c r="G9" s="432" t="s">
        <v>15</v>
      </c>
      <c r="H9" s="433" t="s">
        <v>1670</v>
      </c>
      <c r="I9" s="433" t="s">
        <v>1678</v>
      </c>
      <c r="J9" s="433" t="s">
        <v>1679</v>
      </c>
      <c r="K9" s="432" t="s">
        <v>1665</v>
      </c>
      <c r="L9" s="415"/>
      <c r="M9" s="434" t="s">
        <v>1659</v>
      </c>
      <c r="N9" s="434" t="s">
        <v>1660</v>
      </c>
      <c r="O9" s="434" t="s">
        <v>1660</v>
      </c>
      <c r="P9" s="434" t="s">
        <v>1661</v>
      </c>
      <c r="Q9" s="434" t="s">
        <v>1660</v>
      </c>
      <c r="R9" s="434" t="s">
        <v>1660</v>
      </c>
      <c r="S9" s="434" t="s">
        <v>1661</v>
      </c>
      <c r="T9" s="434" t="s">
        <v>1661</v>
      </c>
      <c r="U9" s="434" t="s">
        <v>1660</v>
      </c>
      <c r="V9" s="434" t="s">
        <v>1661</v>
      </c>
      <c r="W9" s="434" t="s">
        <v>1660</v>
      </c>
      <c r="X9" s="434" t="s">
        <v>1660</v>
      </c>
      <c r="Y9" s="434" t="s">
        <v>1661</v>
      </c>
      <c r="Z9" s="434" t="s">
        <v>1661</v>
      </c>
      <c r="AA9" s="434" t="s">
        <v>1661</v>
      </c>
      <c r="AB9" s="434" t="s">
        <v>1661</v>
      </c>
      <c r="AC9" s="434" t="s">
        <v>1659</v>
      </c>
      <c r="AD9" s="434" t="s">
        <v>1660</v>
      </c>
      <c r="AE9" s="434" t="s">
        <v>1660</v>
      </c>
      <c r="AF9" s="434" t="s">
        <v>1660</v>
      </c>
      <c r="AG9" s="427">
        <v>10.0</v>
      </c>
      <c r="AH9" s="435" t="s">
        <v>18</v>
      </c>
      <c r="AI9" s="415"/>
      <c r="AJ9" s="436" t="str">
        <f t="array" ref="AJ9">IF(M9=DGET(claves!$A$2:$AS423,M$2,{claves!$A$2;$E9}),1,0)</f>
        <v>#VALUE!</v>
      </c>
      <c r="AK9" s="436" t="str">
        <f t="array" ref="AK9">IF(N9=DGET(claves!$A$2:$AS423,N$2,{claves!$A$2;$E9}),1,0)</f>
        <v>#VALUE!</v>
      </c>
      <c r="AL9" s="436" t="str">
        <f t="array" ref="AL9">IF(O9=DGET(claves!$A$2:$AS423,O$2,{claves!$A$2;$E9}),1,0)</f>
        <v>#VALUE!</v>
      </c>
      <c r="AM9" s="436" t="str">
        <f t="array" ref="AM9">IF(P9=DGET(claves!$A$2:$AS423,P$2,{claves!$A$2;$E9}),1,0)</f>
        <v>#VALUE!</v>
      </c>
      <c r="AN9" s="436" t="str">
        <f t="array" ref="AN9">IF(Q9=DGET(claves!$A$2:$AS423,Q$2,{claves!$A$2;$E9}),1,0)</f>
        <v>#VALUE!</v>
      </c>
      <c r="AO9" s="436" t="str">
        <f t="array" ref="AO9">IF(R9=DGET(claves!$A$2:$AS423,R$2,{claves!$A$2;$E9}),1,0)</f>
        <v>#VALUE!</v>
      </c>
      <c r="AP9" s="436" t="str">
        <f t="array" ref="AP9">IF(S9=DGET(claves!$A$2:$AS423,S$2,{claves!$A$2;$E9}),1,0)</f>
        <v>#VALUE!</v>
      </c>
      <c r="AQ9" s="436" t="str">
        <f t="array" ref="AQ9">IF(T9=DGET(claves!$A$2:$AS423,T$2,{claves!$A$2;$E9}),1,0)</f>
        <v>#VALUE!</v>
      </c>
      <c r="AR9" s="436" t="str">
        <f t="array" ref="AR9">IF(U9=DGET(claves!$A$2:$AS423,U$2,{claves!$A$2;$E9}),1,0)</f>
        <v>#VALUE!</v>
      </c>
      <c r="AS9" s="436" t="str">
        <f t="array" ref="AS9">IF(V9=DGET(claves!$A$2:$AS423,V$2,{claves!$A$2;$E9}),1,0)</f>
        <v>#VALUE!</v>
      </c>
      <c r="AT9" s="436" t="str">
        <f t="array" ref="AT9">IF(W9=DGET(claves!$A$2:$AS423,W$2,{claves!$A$2;$E9}),1,0)</f>
        <v>#VALUE!</v>
      </c>
      <c r="AU9" s="436" t="str">
        <f t="array" ref="AU9">IF(X9=DGET(claves!$A$2:$AS423,X$2,{claves!$A$2;$E9}),1,0)</f>
        <v>#VALUE!</v>
      </c>
      <c r="AV9" s="436" t="str">
        <f t="array" ref="AV9">IF(Y9=DGET(claves!$A$2:$AS423,Y$2,{claves!$A$2;$E9}),1,0)</f>
        <v>#VALUE!</v>
      </c>
      <c r="AW9" s="436" t="str">
        <f t="array" ref="AW9">IF(Z9=DGET(claves!$A$2:$AS423,Z$2,{claves!$A$2;$E9}),1,0)</f>
        <v>#VALUE!</v>
      </c>
      <c r="AX9" s="436" t="str">
        <f t="array" ref="AX9">IF(AA9=DGET(claves!$A$2:$AS423,AA$2,{claves!$A$2;$E9}),1,0)</f>
        <v>#VALUE!</v>
      </c>
      <c r="AY9" s="436" t="str">
        <f t="array" ref="AY9">IF(AB9=DGET(claves!$A$2:$AS423,AB$2,{claves!$A$2;$E9}),1,0)</f>
        <v>#VALUE!</v>
      </c>
      <c r="AZ9" s="436" t="str">
        <f t="array" ref="AZ9">IF(AC9=DGET(claves!$A$2:$AS423,AC$2,{claves!$A$2;$E9}),1,0)</f>
        <v>#VALUE!</v>
      </c>
      <c r="BA9" s="436" t="str">
        <f t="array" ref="BA9">IF(AD9=DGET(claves!$A$2:$AS423,AD$2,{claves!$A$2;$E9}),1,0)</f>
        <v>#VALUE!</v>
      </c>
      <c r="BB9" s="436" t="str">
        <f t="array" ref="BB9">IF(AE9=DGET(claves!$A$2:$AS423,AE$2,{claves!$A$2;$E9}),1,0)</f>
        <v>#VALUE!</v>
      </c>
      <c r="BC9" s="436" t="str">
        <f t="array" ref="BC9">IF(AF9=DGET(claves!$A$2:$AS423,AF$2,{claves!$A$2;$E9}),1,0)</f>
        <v>#VALUE!</v>
      </c>
      <c r="BD9" s="437" t="str">
        <f t="shared" si="1"/>
        <v>#VALUE!</v>
      </c>
      <c r="BE9" s="435" t="s">
        <v>1468</v>
      </c>
      <c r="BF9" s="415"/>
    </row>
    <row r="10" ht="14.25" customHeight="1">
      <c r="A10" s="408">
        <v>8.0</v>
      </c>
      <c r="B10" s="153" t="s">
        <v>1653</v>
      </c>
      <c r="C10" s="153">
        <v>2024.0</v>
      </c>
      <c r="D10" s="77" t="s">
        <v>362</v>
      </c>
      <c r="E10" s="409" t="str">
        <f>IFERROR(__xludf.DUMMYFUNCTION("ARRAYFORMULA(JOIN("""", ARRAYFORMULA(MID(SPLIT(F10, "" ""), 1, 1))))
&amp;""/""&amp;G10"),"MC/2 Primaria")</f>
        <v>MC/2 Primaria</v>
      </c>
      <c r="F10" s="77" t="s">
        <v>1654</v>
      </c>
      <c r="G10" s="432" t="s">
        <v>15</v>
      </c>
      <c r="H10" s="433" t="s">
        <v>1680</v>
      </c>
      <c r="I10" s="433" t="s">
        <v>1681</v>
      </c>
      <c r="J10" s="433" t="s">
        <v>1682</v>
      </c>
      <c r="K10" s="433" t="s">
        <v>1658</v>
      </c>
      <c r="L10" s="415"/>
      <c r="M10" s="434" t="s">
        <v>1659</v>
      </c>
      <c r="N10" s="434" t="s">
        <v>1661</v>
      </c>
      <c r="O10" s="434" t="s">
        <v>1659</v>
      </c>
      <c r="P10" s="434" t="s">
        <v>1659</v>
      </c>
      <c r="Q10" s="434" t="s">
        <v>1659</v>
      </c>
      <c r="R10" s="434" t="s">
        <v>1660</v>
      </c>
      <c r="S10" s="434" t="s">
        <v>1659</v>
      </c>
      <c r="T10" s="434" t="s">
        <v>1661</v>
      </c>
      <c r="U10" s="434" t="s">
        <v>1661</v>
      </c>
      <c r="V10" s="434" t="s">
        <v>1661</v>
      </c>
      <c r="W10" s="434"/>
      <c r="X10" s="434" t="s">
        <v>1660</v>
      </c>
      <c r="Y10" s="434" t="s">
        <v>1661</v>
      </c>
      <c r="Z10" s="434" t="s">
        <v>1661</v>
      </c>
      <c r="AA10" s="434" t="s">
        <v>1661</v>
      </c>
      <c r="AB10" s="434" t="s">
        <v>1661</v>
      </c>
      <c r="AC10" s="434" t="s">
        <v>1661</v>
      </c>
      <c r="AD10" s="434" t="s">
        <v>1660</v>
      </c>
      <c r="AE10" s="434" t="s">
        <v>1661</v>
      </c>
      <c r="AF10" s="434" t="s">
        <v>1659</v>
      </c>
      <c r="AG10" s="427">
        <v>16.0</v>
      </c>
      <c r="AH10" s="435" t="s">
        <v>24</v>
      </c>
      <c r="AI10" s="415"/>
      <c r="AJ10" s="436" t="str">
        <f t="array" ref="AJ10">IF(M10=DGET(claves!$A$2:$AS423,M$2,{claves!$A$2;$E10}),1,0)</f>
        <v>#VALUE!</v>
      </c>
      <c r="AK10" s="436" t="str">
        <f t="array" ref="AK10">IF(N10=DGET(claves!$A$2:$AS423,N$2,{claves!$A$2;$E10}),1,0)</f>
        <v>#VALUE!</v>
      </c>
      <c r="AL10" s="436" t="str">
        <f t="array" ref="AL10">IF(O10=DGET(claves!$A$2:$AS423,O$2,{claves!$A$2;$E10}),1,0)</f>
        <v>#VALUE!</v>
      </c>
      <c r="AM10" s="436" t="str">
        <f t="array" ref="AM10">IF(P10=DGET(claves!$A$2:$AS423,P$2,{claves!$A$2;$E10}),1,0)</f>
        <v>#VALUE!</v>
      </c>
      <c r="AN10" s="436" t="str">
        <f t="array" ref="AN10">IF(Q10=DGET(claves!$A$2:$AS423,Q$2,{claves!$A$2;$E10}),1,0)</f>
        <v>#VALUE!</v>
      </c>
      <c r="AO10" s="436" t="str">
        <f t="array" ref="AO10">IF(R10=DGET(claves!$A$2:$AS423,R$2,{claves!$A$2;$E10}),1,0)</f>
        <v>#VALUE!</v>
      </c>
      <c r="AP10" s="436" t="str">
        <f t="array" ref="AP10">IF(S10=DGET(claves!$A$2:$AS423,S$2,{claves!$A$2;$E10}),1,0)</f>
        <v>#VALUE!</v>
      </c>
      <c r="AQ10" s="436" t="str">
        <f t="array" ref="AQ10">IF(T10=DGET(claves!$A$2:$AS423,T$2,{claves!$A$2;$E10}),1,0)</f>
        <v>#VALUE!</v>
      </c>
      <c r="AR10" s="436" t="str">
        <f t="array" ref="AR10">IF(U10=DGET(claves!$A$2:$AS423,U$2,{claves!$A$2;$E10}),1,0)</f>
        <v>#VALUE!</v>
      </c>
      <c r="AS10" s="436" t="str">
        <f t="array" ref="AS10">IF(V10=DGET(claves!$A$2:$AS423,V$2,{claves!$A$2;$E10}),1,0)</f>
        <v>#VALUE!</v>
      </c>
      <c r="AT10" s="436" t="str">
        <f t="array" ref="AT10">IF(W10=DGET(claves!$A$2:$AS423,W$2,{claves!$A$2;$E10}),1,0)</f>
        <v>#VALUE!</v>
      </c>
      <c r="AU10" s="436" t="str">
        <f t="array" ref="AU10">IF(X10=DGET(claves!$A$2:$AS423,X$2,{claves!$A$2;$E10}),1,0)</f>
        <v>#VALUE!</v>
      </c>
      <c r="AV10" s="436" t="str">
        <f t="array" ref="AV10">IF(Y10=DGET(claves!$A$2:$AS423,Y$2,{claves!$A$2;$E10}),1,0)</f>
        <v>#VALUE!</v>
      </c>
      <c r="AW10" s="436" t="str">
        <f t="array" ref="AW10">IF(Z10=DGET(claves!$A$2:$AS423,Z$2,{claves!$A$2;$E10}),1,0)</f>
        <v>#VALUE!</v>
      </c>
      <c r="AX10" s="436" t="str">
        <f t="array" ref="AX10">IF(AA10=DGET(claves!$A$2:$AS423,AA$2,{claves!$A$2;$E10}),1,0)</f>
        <v>#VALUE!</v>
      </c>
      <c r="AY10" s="436" t="str">
        <f t="array" ref="AY10">IF(AB10=DGET(claves!$A$2:$AS423,AB$2,{claves!$A$2;$E10}),1,0)</f>
        <v>#VALUE!</v>
      </c>
      <c r="AZ10" s="436" t="str">
        <f t="array" ref="AZ10">IF(AC10=DGET(claves!$A$2:$AS423,AC$2,{claves!$A$2;$E10}),1,0)</f>
        <v>#VALUE!</v>
      </c>
      <c r="BA10" s="436" t="str">
        <f t="array" ref="BA10">IF(AD10=DGET(claves!$A$2:$AS423,AD$2,{claves!$A$2;$E10}),1,0)</f>
        <v>#VALUE!</v>
      </c>
      <c r="BB10" s="436" t="str">
        <f t="array" ref="BB10">IF(AE10=DGET(claves!$A$2:$AS423,AE$2,{claves!$A$2;$E10}),1,0)</f>
        <v>#VALUE!</v>
      </c>
      <c r="BC10" s="436" t="str">
        <f t="array" ref="BC10">IF(AF10=DGET(claves!$A$2:$AS423,AF$2,{claves!$A$2;$E10}),1,0)</f>
        <v>#VALUE!</v>
      </c>
      <c r="BD10" s="437" t="str">
        <f t="shared" si="1"/>
        <v>#VALUE!</v>
      </c>
      <c r="BE10" s="435" t="s">
        <v>1468</v>
      </c>
      <c r="BF10" s="415"/>
    </row>
    <row r="11" ht="14.25" customHeight="1">
      <c r="A11" s="408">
        <v>9.0</v>
      </c>
      <c r="B11" s="153" t="s">
        <v>1653</v>
      </c>
      <c r="C11" s="153">
        <v>2024.0</v>
      </c>
      <c r="D11" s="77" t="s">
        <v>362</v>
      </c>
      <c r="E11" s="409" t="str">
        <f>IFERROR(__xludf.DUMMYFUNCTION("ARRAYFORMULA(JOIN("""", ARRAYFORMULA(MID(SPLIT(F11, "" ""), 1, 1))))
&amp;""/""&amp;G11"),"MC/2 Primaria")</f>
        <v>MC/2 Primaria</v>
      </c>
      <c r="F11" s="77" t="s">
        <v>1654</v>
      </c>
      <c r="G11" s="432" t="s">
        <v>15</v>
      </c>
      <c r="H11" s="433" t="s">
        <v>1683</v>
      </c>
      <c r="I11" s="433" t="s">
        <v>1684</v>
      </c>
      <c r="J11" s="433" t="s">
        <v>1685</v>
      </c>
      <c r="K11" s="432" t="s">
        <v>1665</v>
      </c>
      <c r="L11" s="415"/>
      <c r="M11" s="434" t="s">
        <v>1659</v>
      </c>
      <c r="N11" s="434" t="s">
        <v>1661</v>
      </c>
      <c r="O11" s="434" t="s">
        <v>1659</v>
      </c>
      <c r="P11" s="434" t="s">
        <v>1659</v>
      </c>
      <c r="Q11" s="434" t="s">
        <v>1659</v>
      </c>
      <c r="R11" s="434" t="s">
        <v>1660</v>
      </c>
      <c r="S11" s="434" t="s">
        <v>1659</v>
      </c>
      <c r="T11" s="434" t="s">
        <v>1661</v>
      </c>
      <c r="U11" s="434" t="s">
        <v>1659</v>
      </c>
      <c r="V11" s="434" t="s">
        <v>1661</v>
      </c>
      <c r="W11" s="434" t="s">
        <v>1660</v>
      </c>
      <c r="X11" s="434" t="s">
        <v>1659</v>
      </c>
      <c r="Y11" s="434" t="s">
        <v>1661</v>
      </c>
      <c r="Z11" s="434" t="s">
        <v>1661</v>
      </c>
      <c r="AA11" s="434" t="s">
        <v>1660</v>
      </c>
      <c r="AB11" s="434" t="s">
        <v>1659</v>
      </c>
      <c r="AC11" s="434" t="s">
        <v>1661</v>
      </c>
      <c r="AD11" s="434" t="s">
        <v>1660</v>
      </c>
      <c r="AE11" s="434" t="s">
        <v>1659</v>
      </c>
      <c r="AF11" s="434" t="s">
        <v>1659</v>
      </c>
      <c r="AG11" s="427">
        <v>13.0</v>
      </c>
      <c r="AH11" s="435" t="s">
        <v>24</v>
      </c>
      <c r="AI11" s="415"/>
      <c r="AJ11" s="436" t="str">
        <f t="array" ref="AJ11">IF(M11=DGET(claves!$A$2:$AS423,M$2,{claves!$A$2;$E11}),1,0)</f>
        <v>#VALUE!</v>
      </c>
      <c r="AK11" s="436" t="str">
        <f t="array" ref="AK11">IF(N11=DGET(claves!$A$2:$AS423,N$2,{claves!$A$2;$E11}),1,0)</f>
        <v>#VALUE!</v>
      </c>
      <c r="AL11" s="436" t="str">
        <f t="array" ref="AL11">IF(O11=DGET(claves!$A$2:$AS423,O$2,{claves!$A$2;$E11}),1,0)</f>
        <v>#VALUE!</v>
      </c>
      <c r="AM11" s="436" t="str">
        <f t="array" ref="AM11">IF(P11=DGET(claves!$A$2:$AS423,P$2,{claves!$A$2;$E11}),1,0)</f>
        <v>#VALUE!</v>
      </c>
      <c r="AN11" s="436" t="str">
        <f t="array" ref="AN11">IF(Q11=DGET(claves!$A$2:$AS423,Q$2,{claves!$A$2;$E11}),1,0)</f>
        <v>#VALUE!</v>
      </c>
      <c r="AO11" s="436" t="str">
        <f t="array" ref="AO11">IF(R11=DGET(claves!$A$2:$AS423,R$2,{claves!$A$2;$E11}),1,0)</f>
        <v>#VALUE!</v>
      </c>
      <c r="AP11" s="436" t="str">
        <f t="array" ref="AP11">IF(S11=DGET(claves!$A$2:$AS423,S$2,{claves!$A$2;$E11}),1,0)</f>
        <v>#VALUE!</v>
      </c>
      <c r="AQ11" s="436" t="str">
        <f t="array" ref="AQ11">IF(T11=DGET(claves!$A$2:$AS423,T$2,{claves!$A$2;$E11}),1,0)</f>
        <v>#VALUE!</v>
      </c>
      <c r="AR11" s="436" t="str">
        <f t="array" ref="AR11">IF(U11=DGET(claves!$A$2:$AS423,U$2,{claves!$A$2;$E11}),1,0)</f>
        <v>#VALUE!</v>
      </c>
      <c r="AS11" s="436" t="str">
        <f t="array" ref="AS11">IF(V11=DGET(claves!$A$2:$AS423,V$2,{claves!$A$2;$E11}),1,0)</f>
        <v>#VALUE!</v>
      </c>
      <c r="AT11" s="436" t="str">
        <f t="array" ref="AT11">IF(W11=DGET(claves!$A$2:$AS423,W$2,{claves!$A$2;$E11}),1,0)</f>
        <v>#VALUE!</v>
      </c>
      <c r="AU11" s="436" t="str">
        <f t="array" ref="AU11">IF(X11=DGET(claves!$A$2:$AS423,X$2,{claves!$A$2;$E11}),1,0)</f>
        <v>#VALUE!</v>
      </c>
      <c r="AV11" s="436" t="str">
        <f t="array" ref="AV11">IF(Y11=DGET(claves!$A$2:$AS423,Y$2,{claves!$A$2;$E11}),1,0)</f>
        <v>#VALUE!</v>
      </c>
      <c r="AW11" s="436" t="str">
        <f t="array" ref="AW11">IF(Z11=DGET(claves!$A$2:$AS423,Z$2,{claves!$A$2;$E11}),1,0)</f>
        <v>#VALUE!</v>
      </c>
      <c r="AX11" s="436" t="str">
        <f t="array" ref="AX11">IF(AA11=DGET(claves!$A$2:$AS423,AA$2,{claves!$A$2;$E11}),1,0)</f>
        <v>#VALUE!</v>
      </c>
      <c r="AY11" s="436" t="str">
        <f t="array" ref="AY11">IF(AB11=DGET(claves!$A$2:$AS423,AB$2,{claves!$A$2;$E11}),1,0)</f>
        <v>#VALUE!</v>
      </c>
      <c r="AZ11" s="436" t="str">
        <f t="array" ref="AZ11">IF(AC11=DGET(claves!$A$2:$AS423,AC$2,{claves!$A$2;$E11}),1,0)</f>
        <v>#VALUE!</v>
      </c>
      <c r="BA11" s="436" t="str">
        <f t="array" ref="BA11">IF(AD11=DGET(claves!$A$2:$AS423,AD$2,{claves!$A$2;$E11}),1,0)</f>
        <v>#VALUE!</v>
      </c>
      <c r="BB11" s="436" t="str">
        <f t="array" ref="BB11">IF(AE11=DGET(claves!$A$2:$AS423,AE$2,{claves!$A$2;$E11}),1,0)</f>
        <v>#VALUE!</v>
      </c>
      <c r="BC11" s="436" t="str">
        <f t="array" ref="BC11">IF(AF11=DGET(claves!$A$2:$AS423,AF$2,{claves!$A$2;$E11}),1,0)</f>
        <v>#VALUE!</v>
      </c>
      <c r="BD11" s="437" t="str">
        <f t="shared" si="1"/>
        <v>#VALUE!</v>
      </c>
      <c r="BE11" s="435" t="s">
        <v>1468</v>
      </c>
      <c r="BF11" s="415"/>
    </row>
    <row r="12" ht="14.25" customHeight="1">
      <c r="A12" s="408">
        <v>10.0</v>
      </c>
      <c r="B12" s="153" t="s">
        <v>1653</v>
      </c>
      <c r="C12" s="153">
        <v>2024.0</v>
      </c>
      <c r="D12" s="77" t="s">
        <v>362</v>
      </c>
      <c r="E12" s="409" t="str">
        <f>IFERROR(__xludf.DUMMYFUNCTION("ARRAYFORMULA(JOIN("""", ARRAYFORMULA(MID(SPLIT(F12, "" ""), 1, 1))))
&amp;""/""&amp;G12"),"MC/2 Primaria")</f>
        <v>MC/2 Primaria</v>
      </c>
      <c r="F12" s="77" t="s">
        <v>1654</v>
      </c>
      <c r="G12" s="432" t="s">
        <v>15</v>
      </c>
      <c r="H12" s="433" t="s">
        <v>1686</v>
      </c>
      <c r="I12" s="433" t="s">
        <v>1687</v>
      </c>
      <c r="J12" s="433" t="s">
        <v>1688</v>
      </c>
      <c r="K12" s="433" t="s">
        <v>1658</v>
      </c>
      <c r="L12" s="415"/>
      <c r="M12" s="434" t="s">
        <v>1659</v>
      </c>
      <c r="N12" s="434" t="s">
        <v>1661</v>
      </c>
      <c r="O12" s="434" t="s">
        <v>1689</v>
      </c>
      <c r="P12" s="434" t="s">
        <v>1659</v>
      </c>
      <c r="Q12" s="434" t="s">
        <v>1659</v>
      </c>
      <c r="R12" s="434" t="s">
        <v>1660</v>
      </c>
      <c r="S12" s="434" t="s">
        <v>1659</v>
      </c>
      <c r="T12" s="434" t="s">
        <v>1661</v>
      </c>
      <c r="U12" s="434" t="s">
        <v>1659</v>
      </c>
      <c r="V12" s="434" t="s">
        <v>1661</v>
      </c>
      <c r="W12" s="434" t="s">
        <v>1661</v>
      </c>
      <c r="X12" s="434" t="s">
        <v>1660</v>
      </c>
      <c r="Y12" s="434" t="s">
        <v>1661</v>
      </c>
      <c r="Z12" s="434" t="s">
        <v>1661</v>
      </c>
      <c r="AA12" s="434" t="s">
        <v>1661</v>
      </c>
      <c r="AB12" s="434" t="s">
        <v>1661</v>
      </c>
      <c r="AC12" s="434" t="s">
        <v>1659</v>
      </c>
      <c r="AD12" s="434" t="s">
        <v>1660</v>
      </c>
      <c r="AE12" s="434" t="s">
        <v>1661</v>
      </c>
      <c r="AF12" s="434" t="s">
        <v>1659</v>
      </c>
      <c r="AG12" s="427">
        <v>18.0</v>
      </c>
      <c r="AH12" s="438" t="s">
        <v>32</v>
      </c>
      <c r="AI12" s="415"/>
      <c r="AJ12" s="436" t="str">
        <f t="array" ref="AJ12">IF(M12=DGET(claves!$A$2:$AS423,M$2,{claves!$A$2;$E12}),1,0)</f>
        <v>#VALUE!</v>
      </c>
      <c r="AK12" s="436" t="str">
        <f t="array" ref="AK12">IF(N12=DGET(claves!$A$2:$AS423,N$2,{claves!$A$2;$E12}),1,0)</f>
        <v>#VALUE!</v>
      </c>
      <c r="AL12" s="436" t="str">
        <f t="array" ref="AL12">IF(O12=DGET(claves!$A$2:$AS423,O$2,{claves!$A$2;$E12}),1,0)</f>
        <v>#VALUE!</v>
      </c>
      <c r="AM12" s="436" t="str">
        <f t="array" ref="AM12">IF(P12=DGET(claves!$A$2:$AS423,P$2,{claves!$A$2;$E12}),1,0)</f>
        <v>#VALUE!</v>
      </c>
      <c r="AN12" s="436" t="str">
        <f t="array" ref="AN12">IF(Q12=DGET(claves!$A$2:$AS423,Q$2,{claves!$A$2;$E12}),1,0)</f>
        <v>#VALUE!</v>
      </c>
      <c r="AO12" s="436" t="str">
        <f t="array" ref="AO12">IF(R12=DGET(claves!$A$2:$AS423,R$2,{claves!$A$2;$E12}),1,0)</f>
        <v>#VALUE!</v>
      </c>
      <c r="AP12" s="436" t="str">
        <f t="array" ref="AP12">IF(S12=DGET(claves!$A$2:$AS423,S$2,{claves!$A$2;$E12}),1,0)</f>
        <v>#VALUE!</v>
      </c>
      <c r="AQ12" s="436" t="str">
        <f t="array" ref="AQ12">IF(T12=DGET(claves!$A$2:$AS423,T$2,{claves!$A$2;$E12}),1,0)</f>
        <v>#VALUE!</v>
      </c>
      <c r="AR12" s="436" t="str">
        <f t="array" ref="AR12">IF(U12=DGET(claves!$A$2:$AS423,U$2,{claves!$A$2;$E12}),1,0)</f>
        <v>#VALUE!</v>
      </c>
      <c r="AS12" s="436" t="str">
        <f t="array" ref="AS12">IF(V12=DGET(claves!$A$2:$AS423,V$2,{claves!$A$2;$E12}),1,0)</f>
        <v>#VALUE!</v>
      </c>
      <c r="AT12" s="436" t="str">
        <f t="array" ref="AT12">IF(W12=DGET(claves!$A$2:$AS423,W$2,{claves!$A$2;$E12}),1,0)</f>
        <v>#VALUE!</v>
      </c>
      <c r="AU12" s="436" t="str">
        <f t="array" ref="AU12">IF(X12=DGET(claves!$A$2:$AS423,X$2,{claves!$A$2;$E12}),1,0)</f>
        <v>#VALUE!</v>
      </c>
      <c r="AV12" s="436" t="str">
        <f t="array" ref="AV12">IF(Y12=DGET(claves!$A$2:$AS423,Y$2,{claves!$A$2;$E12}),1,0)</f>
        <v>#VALUE!</v>
      </c>
      <c r="AW12" s="436" t="str">
        <f t="array" ref="AW12">IF(Z12=DGET(claves!$A$2:$AS423,Z$2,{claves!$A$2;$E12}),1,0)</f>
        <v>#VALUE!</v>
      </c>
      <c r="AX12" s="436" t="str">
        <f t="array" ref="AX12">IF(AA12=DGET(claves!$A$2:$AS423,AA$2,{claves!$A$2;$E12}),1,0)</f>
        <v>#VALUE!</v>
      </c>
      <c r="AY12" s="436" t="str">
        <f t="array" ref="AY12">IF(AB12=DGET(claves!$A$2:$AS423,AB$2,{claves!$A$2;$E12}),1,0)</f>
        <v>#VALUE!</v>
      </c>
      <c r="AZ12" s="436" t="str">
        <f t="array" ref="AZ12">IF(AC12=DGET(claves!$A$2:$AS423,AC$2,{claves!$A$2;$E12}),1,0)</f>
        <v>#VALUE!</v>
      </c>
      <c r="BA12" s="436" t="str">
        <f t="array" ref="BA12">IF(AD12=DGET(claves!$A$2:$AS423,AD$2,{claves!$A$2;$E12}),1,0)</f>
        <v>#VALUE!</v>
      </c>
      <c r="BB12" s="436" t="str">
        <f t="array" ref="BB12">IF(AE12=DGET(claves!$A$2:$AS423,AE$2,{claves!$A$2;$E12}),1,0)</f>
        <v>#VALUE!</v>
      </c>
      <c r="BC12" s="436" t="str">
        <f t="array" ref="BC12">IF(AF12=DGET(claves!$A$2:$AS423,AF$2,{claves!$A$2;$E12}),1,0)</f>
        <v>#VALUE!</v>
      </c>
      <c r="BD12" s="437" t="str">
        <f t="shared" si="1"/>
        <v>#VALUE!</v>
      </c>
      <c r="BE12" s="435" t="s">
        <v>1468</v>
      </c>
      <c r="BF12" s="415"/>
    </row>
    <row r="13" ht="14.25" customHeight="1">
      <c r="A13" s="408">
        <v>11.0</v>
      </c>
      <c r="B13" s="153" t="s">
        <v>1653</v>
      </c>
      <c r="C13" s="153">
        <v>2024.0</v>
      </c>
      <c r="D13" s="77" t="s">
        <v>362</v>
      </c>
      <c r="E13" s="409" t="str">
        <f>IFERROR(__xludf.DUMMYFUNCTION("ARRAYFORMULA(JOIN("""", ARRAYFORMULA(MID(SPLIT(F13, "" ""), 1, 1))))
&amp;""/""&amp;G13"),"MC/2 Primaria")</f>
        <v>MC/2 Primaria</v>
      </c>
      <c r="F13" s="77" t="s">
        <v>1654</v>
      </c>
      <c r="G13" s="432" t="s">
        <v>15</v>
      </c>
      <c r="H13" s="433" t="s">
        <v>1690</v>
      </c>
      <c r="I13" s="433" t="s">
        <v>1691</v>
      </c>
      <c r="J13" s="433" t="s">
        <v>1692</v>
      </c>
      <c r="K13" s="432" t="s">
        <v>1665</v>
      </c>
      <c r="L13" s="415"/>
      <c r="M13" s="434"/>
      <c r="N13" s="434" t="s">
        <v>1661</v>
      </c>
      <c r="O13" s="434" t="s">
        <v>1659</v>
      </c>
      <c r="P13" s="434" t="s">
        <v>1659</v>
      </c>
      <c r="Q13" s="434" t="s">
        <v>1659</v>
      </c>
      <c r="R13" s="434" t="s">
        <v>1660</v>
      </c>
      <c r="S13" s="434" t="s">
        <v>1659</v>
      </c>
      <c r="T13" s="434" t="s">
        <v>1661</v>
      </c>
      <c r="U13" s="434" t="s">
        <v>1661</v>
      </c>
      <c r="V13" s="434" t="s">
        <v>1660</v>
      </c>
      <c r="W13" s="434" t="s">
        <v>1661</v>
      </c>
      <c r="X13" s="434" t="s">
        <v>1661</v>
      </c>
      <c r="Y13" s="434" t="s">
        <v>1661</v>
      </c>
      <c r="Z13" s="434" t="s">
        <v>1661</v>
      </c>
      <c r="AA13" s="434" t="s">
        <v>1661</v>
      </c>
      <c r="AB13" s="434" t="s">
        <v>1661</v>
      </c>
      <c r="AC13" s="434" t="s">
        <v>1659</v>
      </c>
      <c r="AD13" s="434" t="s">
        <v>1660</v>
      </c>
      <c r="AE13" s="434" t="s">
        <v>1661</v>
      </c>
      <c r="AF13" s="434" t="s">
        <v>1660</v>
      </c>
      <c r="AG13" s="427">
        <v>16.0</v>
      </c>
      <c r="AH13" s="435" t="s">
        <v>24</v>
      </c>
      <c r="AI13" s="415"/>
      <c r="AJ13" s="436" t="str">
        <f t="array" ref="AJ13">IF(M13=DGET(claves!$A$2:$AS423,M$2,{claves!$A$2;$E13}),1,0)</f>
        <v>#VALUE!</v>
      </c>
      <c r="AK13" s="436" t="str">
        <f t="array" ref="AK13">IF(N13=DGET(claves!$A$2:$AS423,N$2,{claves!$A$2;$E13}),1,0)</f>
        <v>#VALUE!</v>
      </c>
      <c r="AL13" s="436" t="str">
        <f t="array" ref="AL13">IF(O13=DGET(claves!$A$2:$AS423,O$2,{claves!$A$2;$E13}),1,0)</f>
        <v>#VALUE!</v>
      </c>
      <c r="AM13" s="436" t="str">
        <f t="array" ref="AM13">IF(P13=DGET(claves!$A$2:$AS423,P$2,{claves!$A$2;$E13}),1,0)</f>
        <v>#VALUE!</v>
      </c>
      <c r="AN13" s="436" t="str">
        <f t="array" ref="AN13">IF(Q13=DGET(claves!$A$2:$AS423,Q$2,{claves!$A$2;$E13}),1,0)</f>
        <v>#VALUE!</v>
      </c>
      <c r="AO13" s="436" t="str">
        <f t="array" ref="AO13">IF(R13=DGET(claves!$A$2:$AS423,R$2,{claves!$A$2;$E13}),1,0)</f>
        <v>#VALUE!</v>
      </c>
      <c r="AP13" s="436" t="str">
        <f t="array" ref="AP13">IF(S13=DGET(claves!$A$2:$AS423,S$2,{claves!$A$2;$E13}),1,0)</f>
        <v>#VALUE!</v>
      </c>
      <c r="AQ13" s="436" t="str">
        <f t="array" ref="AQ13">IF(T13=DGET(claves!$A$2:$AS423,T$2,{claves!$A$2;$E13}),1,0)</f>
        <v>#VALUE!</v>
      </c>
      <c r="AR13" s="436" t="str">
        <f t="array" ref="AR13">IF(U13=DGET(claves!$A$2:$AS423,U$2,{claves!$A$2;$E13}),1,0)</f>
        <v>#VALUE!</v>
      </c>
      <c r="AS13" s="436" t="str">
        <f t="array" ref="AS13">IF(V13=DGET(claves!$A$2:$AS423,V$2,{claves!$A$2;$E13}),1,0)</f>
        <v>#VALUE!</v>
      </c>
      <c r="AT13" s="436" t="str">
        <f t="array" ref="AT13">IF(W13=DGET(claves!$A$2:$AS423,W$2,{claves!$A$2;$E13}),1,0)</f>
        <v>#VALUE!</v>
      </c>
      <c r="AU13" s="436" t="str">
        <f t="array" ref="AU13">IF(X13=DGET(claves!$A$2:$AS423,X$2,{claves!$A$2;$E13}),1,0)</f>
        <v>#VALUE!</v>
      </c>
      <c r="AV13" s="436" t="str">
        <f t="array" ref="AV13">IF(Y13=DGET(claves!$A$2:$AS423,Y$2,{claves!$A$2;$E13}),1,0)</f>
        <v>#VALUE!</v>
      </c>
      <c r="AW13" s="436" t="str">
        <f t="array" ref="AW13">IF(Z13=DGET(claves!$A$2:$AS423,Z$2,{claves!$A$2;$E13}),1,0)</f>
        <v>#VALUE!</v>
      </c>
      <c r="AX13" s="436" t="str">
        <f t="array" ref="AX13">IF(AA13=DGET(claves!$A$2:$AS423,AA$2,{claves!$A$2;$E13}),1,0)</f>
        <v>#VALUE!</v>
      </c>
      <c r="AY13" s="436" t="str">
        <f t="array" ref="AY13">IF(AB13=DGET(claves!$A$2:$AS423,AB$2,{claves!$A$2;$E13}),1,0)</f>
        <v>#VALUE!</v>
      </c>
      <c r="AZ13" s="436" t="str">
        <f t="array" ref="AZ13">IF(AC13=DGET(claves!$A$2:$AS423,AC$2,{claves!$A$2;$E13}),1,0)</f>
        <v>#VALUE!</v>
      </c>
      <c r="BA13" s="436" t="str">
        <f t="array" ref="BA13">IF(AD13=DGET(claves!$A$2:$AS423,AD$2,{claves!$A$2;$E13}),1,0)</f>
        <v>#VALUE!</v>
      </c>
      <c r="BB13" s="436" t="str">
        <f t="array" ref="BB13">IF(AE13=DGET(claves!$A$2:$AS423,AE$2,{claves!$A$2;$E13}),1,0)</f>
        <v>#VALUE!</v>
      </c>
      <c r="BC13" s="436" t="str">
        <f t="array" ref="BC13">IF(AF13=DGET(claves!$A$2:$AS423,AF$2,{claves!$A$2;$E13}),1,0)</f>
        <v>#VALUE!</v>
      </c>
      <c r="BD13" s="437" t="str">
        <f t="shared" si="1"/>
        <v>#VALUE!</v>
      </c>
      <c r="BE13" s="435" t="s">
        <v>1468</v>
      </c>
      <c r="BF13" s="415"/>
    </row>
    <row r="14" ht="14.25" customHeight="1">
      <c r="A14" s="408">
        <v>12.0</v>
      </c>
      <c r="B14" s="153" t="s">
        <v>1653</v>
      </c>
      <c r="C14" s="153">
        <v>2024.0</v>
      </c>
      <c r="D14" s="77" t="s">
        <v>362</v>
      </c>
      <c r="E14" s="409" t="str">
        <f>IFERROR(__xludf.DUMMYFUNCTION("ARRAYFORMULA(JOIN("""", ARRAYFORMULA(MID(SPLIT(F14, "" ""), 1, 1))))
&amp;""/""&amp;G14"),"MC/2 Primaria")</f>
        <v>MC/2 Primaria</v>
      </c>
      <c r="F14" s="77" t="s">
        <v>1654</v>
      </c>
      <c r="G14" s="432" t="s">
        <v>15</v>
      </c>
      <c r="H14" s="433" t="s">
        <v>1693</v>
      </c>
      <c r="I14" s="433" t="s">
        <v>1694</v>
      </c>
      <c r="J14" s="433" t="s">
        <v>1695</v>
      </c>
      <c r="K14" s="433" t="s">
        <v>1658</v>
      </c>
      <c r="L14" s="415"/>
      <c r="M14" s="434"/>
      <c r="N14" s="434"/>
      <c r="O14" s="434"/>
      <c r="P14" s="434"/>
      <c r="Q14" s="434"/>
      <c r="R14" s="434"/>
      <c r="S14" s="434"/>
      <c r="T14" s="434"/>
      <c r="U14" s="434"/>
      <c r="V14" s="434"/>
      <c r="W14" s="434"/>
      <c r="X14" s="434"/>
      <c r="Y14" s="434"/>
      <c r="Z14" s="434"/>
      <c r="AA14" s="434"/>
      <c r="AB14" s="434"/>
      <c r="AC14" s="434"/>
      <c r="AD14" s="434"/>
      <c r="AE14" s="434"/>
      <c r="AF14" s="434"/>
      <c r="AG14" s="427">
        <v>0.0</v>
      </c>
      <c r="AH14" s="435" t="s">
        <v>1468</v>
      </c>
      <c r="AI14" s="415"/>
      <c r="AJ14" s="436" t="str">
        <f t="array" ref="AJ14">IF(M14=DGET(claves!$A$2:$AS423,M$2,{claves!$A$2;$E14}),1,0)</f>
        <v>#VALUE!</v>
      </c>
      <c r="AK14" s="436" t="str">
        <f t="array" ref="AK14">IF(N14=DGET(claves!$A$2:$AS423,N$2,{claves!$A$2;$E14}),1,0)</f>
        <v>#VALUE!</v>
      </c>
      <c r="AL14" s="436" t="str">
        <f t="array" ref="AL14">IF(O14=DGET(claves!$A$2:$AS423,O$2,{claves!$A$2;$E14}),1,0)</f>
        <v>#VALUE!</v>
      </c>
      <c r="AM14" s="436" t="str">
        <f t="array" ref="AM14">IF(P14=DGET(claves!$A$2:$AS423,P$2,{claves!$A$2;$E14}),1,0)</f>
        <v>#VALUE!</v>
      </c>
      <c r="AN14" s="436" t="str">
        <f t="array" ref="AN14">IF(Q14=DGET(claves!$A$2:$AS423,Q$2,{claves!$A$2;$E14}),1,0)</f>
        <v>#VALUE!</v>
      </c>
      <c r="AO14" s="436" t="str">
        <f t="array" ref="AO14">IF(R14=DGET(claves!$A$2:$AS423,R$2,{claves!$A$2;$E14}),1,0)</f>
        <v>#VALUE!</v>
      </c>
      <c r="AP14" s="436" t="str">
        <f t="array" ref="AP14">IF(S14=DGET(claves!$A$2:$AS423,S$2,{claves!$A$2;$E14}),1,0)</f>
        <v>#VALUE!</v>
      </c>
      <c r="AQ14" s="436" t="str">
        <f t="array" ref="AQ14">IF(T14=DGET(claves!$A$2:$AS423,T$2,{claves!$A$2;$E14}),1,0)</f>
        <v>#VALUE!</v>
      </c>
      <c r="AR14" s="436" t="str">
        <f t="array" ref="AR14">IF(U14=DGET(claves!$A$2:$AS423,U$2,{claves!$A$2;$E14}),1,0)</f>
        <v>#VALUE!</v>
      </c>
      <c r="AS14" s="436" t="str">
        <f t="array" ref="AS14">IF(V14=DGET(claves!$A$2:$AS423,V$2,{claves!$A$2;$E14}),1,0)</f>
        <v>#VALUE!</v>
      </c>
      <c r="AT14" s="436" t="str">
        <f t="array" ref="AT14">IF(W14=DGET(claves!$A$2:$AS423,W$2,{claves!$A$2;$E14}),1,0)</f>
        <v>#VALUE!</v>
      </c>
      <c r="AU14" s="436" t="str">
        <f t="array" ref="AU14">IF(X14=DGET(claves!$A$2:$AS423,X$2,{claves!$A$2;$E14}),1,0)</f>
        <v>#VALUE!</v>
      </c>
      <c r="AV14" s="436" t="str">
        <f t="array" ref="AV14">IF(Y14=DGET(claves!$A$2:$AS423,Y$2,{claves!$A$2;$E14}),1,0)</f>
        <v>#VALUE!</v>
      </c>
      <c r="AW14" s="436" t="str">
        <f t="array" ref="AW14">IF(Z14=DGET(claves!$A$2:$AS423,Z$2,{claves!$A$2;$E14}),1,0)</f>
        <v>#VALUE!</v>
      </c>
      <c r="AX14" s="436" t="str">
        <f t="array" ref="AX14">IF(AA14=DGET(claves!$A$2:$AS423,AA$2,{claves!$A$2;$E14}),1,0)</f>
        <v>#VALUE!</v>
      </c>
      <c r="AY14" s="436" t="str">
        <f t="array" ref="AY14">IF(AB14=DGET(claves!$A$2:$AS423,AB$2,{claves!$A$2;$E14}),1,0)</f>
        <v>#VALUE!</v>
      </c>
      <c r="AZ14" s="436" t="str">
        <f t="array" ref="AZ14">IF(AC14=DGET(claves!$A$2:$AS423,AC$2,{claves!$A$2;$E14}),1,0)</f>
        <v>#VALUE!</v>
      </c>
      <c r="BA14" s="436" t="str">
        <f t="array" ref="BA14">IF(AD14=DGET(claves!$A$2:$AS423,AD$2,{claves!$A$2;$E14}),1,0)</f>
        <v>#VALUE!</v>
      </c>
      <c r="BB14" s="436" t="str">
        <f t="array" ref="BB14">IF(AE14=DGET(claves!$A$2:$AS423,AE$2,{claves!$A$2;$E14}),1,0)</f>
        <v>#VALUE!</v>
      </c>
      <c r="BC14" s="436" t="str">
        <f t="array" ref="BC14">IF(AF14=DGET(claves!$A$2:$AS423,AF$2,{claves!$A$2;$E14}),1,0)</f>
        <v>#VALUE!</v>
      </c>
      <c r="BD14" s="437" t="str">
        <f t="shared" si="1"/>
        <v>#VALUE!</v>
      </c>
      <c r="BE14" s="435" t="s">
        <v>1468</v>
      </c>
      <c r="BF14" s="415"/>
    </row>
    <row r="15" ht="14.25" customHeight="1">
      <c r="A15" s="408">
        <v>13.0</v>
      </c>
      <c r="B15" s="153" t="s">
        <v>1653</v>
      </c>
      <c r="C15" s="153">
        <v>2024.0</v>
      </c>
      <c r="D15" s="77" t="s">
        <v>362</v>
      </c>
      <c r="E15" s="409" t="str">
        <f>IFERROR(__xludf.DUMMYFUNCTION("ARRAYFORMULA(JOIN("""", ARRAYFORMULA(MID(SPLIT(F15, "" ""), 1, 1))))
&amp;""/""&amp;G15"),"MC/2 Primaria")</f>
        <v>MC/2 Primaria</v>
      </c>
      <c r="F15" s="77" t="s">
        <v>1654</v>
      </c>
      <c r="G15" s="432" t="s">
        <v>15</v>
      </c>
      <c r="H15" s="433" t="s">
        <v>1696</v>
      </c>
      <c r="I15" s="433" t="s">
        <v>1697</v>
      </c>
      <c r="J15" s="433" t="s">
        <v>1698</v>
      </c>
      <c r="K15" s="432" t="s">
        <v>1665</v>
      </c>
      <c r="L15" s="415"/>
      <c r="M15" s="434" t="s">
        <v>1659</v>
      </c>
      <c r="N15" s="434" t="s">
        <v>1661</v>
      </c>
      <c r="O15" s="434" t="s">
        <v>1659</v>
      </c>
      <c r="P15" s="434" t="s">
        <v>1659</v>
      </c>
      <c r="Q15" s="434" t="s">
        <v>1659</v>
      </c>
      <c r="R15" s="434" t="s">
        <v>1660</v>
      </c>
      <c r="S15" s="434" t="s">
        <v>1659</v>
      </c>
      <c r="T15" s="434" t="s">
        <v>1661</v>
      </c>
      <c r="U15" s="434" t="s">
        <v>1659</v>
      </c>
      <c r="V15" s="434" t="s">
        <v>1660</v>
      </c>
      <c r="W15" s="434" t="s">
        <v>1661</v>
      </c>
      <c r="X15" s="434" t="s">
        <v>1660</v>
      </c>
      <c r="Y15" s="434" t="s">
        <v>1661</v>
      </c>
      <c r="Z15" s="434" t="s">
        <v>1661</v>
      </c>
      <c r="AA15" s="434" t="s">
        <v>1661</v>
      </c>
      <c r="AB15" s="434" t="s">
        <v>1661</v>
      </c>
      <c r="AC15" s="434" t="s">
        <v>1659</v>
      </c>
      <c r="AD15" s="434" t="s">
        <v>1660</v>
      </c>
      <c r="AE15" s="434" t="s">
        <v>1660</v>
      </c>
      <c r="AF15" s="434" t="s">
        <v>1659</v>
      </c>
      <c r="AG15" s="427">
        <v>19.0</v>
      </c>
      <c r="AH15" s="438" t="s">
        <v>32</v>
      </c>
      <c r="AI15" s="415"/>
      <c r="AJ15" s="436" t="str">
        <f t="array" ref="AJ15">IF(M15=DGET(claves!$A$2:$AS423,M$2,{claves!$A$2;$E15}),1,0)</f>
        <v>#VALUE!</v>
      </c>
      <c r="AK15" s="436" t="str">
        <f t="array" ref="AK15">IF(N15=DGET(claves!$A$2:$AS423,N$2,{claves!$A$2;$E15}),1,0)</f>
        <v>#VALUE!</v>
      </c>
      <c r="AL15" s="436" t="str">
        <f t="array" ref="AL15">IF(O15=DGET(claves!$A$2:$AS423,O$2,{claves!$A$2;$E15}),1,0)</f>
        <v>#VALUE!</v>
      </c>
      <c r="AM15" s="436" t="str">
        <f t="array" ref="AM15">IF(P15=DGET(claves!$A$2:$AS423,P$2,{claves!$A$2;$E15}),1,0)</f>
        <v>#VALUE!</v>
      </c>
      <c r="AN15" s="436" t="str">
        <f t="array" ref="AN15">IF(Q15=DGET(claves!$A$2:$AS423,Q$2,{claves!$A$2;$E15}),1,0)</f>
        <v>#VALUE!</v>
      </c>
      <c r="AO15" s="436" t="str">
        <f t="array" ref="AO15">IF(R15=DGET(claves!$A$2:$AS423,R$2,{claves!$A$2;$E15}),1,0)</f>
        <v>#VALUE!</v>
      </c>
      <c r="AP15" s="436" t="str">
        <f t="array" ref="AP15">IF(S15=DGET(claves!$A$2:$AS423,S$2,{claves!$A$2;$E15}),1,0)</f>
        <v>#VALUE!</v>
      </c>
      <c r="AQ15" s="436" t="str">
        <f t="array" ref="AQ15">IF(T15=DGET(claves!$A$2:$AS423,T$2,{claves!$A$2;$E15}),1,0)</f>
        <v>#VALUE!</v>
      </c>
      <c r="AR15" s="436" t="str">
        <f t="array" ref="AR15">IF(U15=DGET(claves!$A$2:$AS423,U$2,{claves!$A$2;$E15}),1,0)</f>
        <v>#VALUE!</v>
      </c>
      <c r="AS15" s="436" t="str">
        <f t="array" ref="AS15">IF(V15=DGET(claves!$A$2:$AS423,V$2,{claves!$A$2;$E15}),1,0)</f>
        <v>#VALUE!</v>
      </c>
      <c r="AT15" s="436" t="str">
        <f t="array" ref="AT15">IF(W15=DGET(claves!$A$2:$AS423,W$2,{claves!$A$2;$E15}),1,0)</f>
        <v>#VALUE!</v>
      </c>
      <c r="AU15" s="436" t="str">
        <f t="array" ref="AU15">IF(X15=DGET(claves!$A$2:$AS423,X$2,{claves!$A$2;$E15}),1,0)</f>
        <v>#VALUE!</v>
      </c>
      <c r="AV15" s="436" t="str">
        <f t="array" ref="AV15">IF(Y15=DGET(claves!$A$2:$AS423,Y$2,{claves!$A$2;$E15}),1,0)</f>
        <v>#VALUE!</v>
      </c>
      <c r="AW15" s="436" t="str">
        <f t="array" ref="AW15">IF(Z15=DGET(claves!$A$2:$AS423,Z$2,{claves!$A$2;$E15}),1,0)</f>
        <v>#VALUE!</v>
      </c>
      <c r="AX15" s="436" t="str">
        <f t="array" ref="AX15">IF(AA15=DGET(claves!$A$2:$AS423,AA$2,{claves!$A$2;$E15}),1,0)</f>
        <v>#VALUE!</v>
      </c>
      <c r="AY15" s="436" t="str">
        <f t="array" ref="AY15">IF(AB15=DGET(claves!$A$2:$AS423,AB$2,{claves!$A$2;$E15}),1,0)</f>
        <v>#VALUE!</v>
      </c>
      <c r="AZ15" s="436" t="str">
        <f t="array" ref="AZ15">IF(AC15=DGET(claves!$A$2:$AS423,AC$2,{claves!$A$2;$E15}),1,0)</f>
        <v>#VALUE!</v>
      </c>
      <c r="BA15" s="436" t="str">
        <f t="array" ref="BA15">IF(AD15=DGET(claves!$A$2:$AS423,AD$2,{claves!$A$2;$E15}),1,0)</f>
        <v>#VALUE!</v>
      </c>
      <c r="BB15" s="436" t="str">
        <f t="array" ref="BB15">IF(AE15=DGET(claves!$A$2:$AS423,AE$2,{claves!$A$2;$E15}),1,0)</f>
        <v>#VALUE!</v>
      </c>
      <c r="BC15" s="436" t="str">
        <f t="array" ref="BC15">IF(AF15=DGET(claves!$A$2:$AS423,AF$2,{claves!$A$2;$E15}),1,0)</f>
        <v>#VALUE!</v>
      </c>
      <c r="BD15" s="437" t="str">
        <f t="shared" si="1"/>
        <v>#VALUE!</v>
      </c>
      <c r="BE15" s="435" t="s">
        <v>1468</v>
      </c>
      <c r="BF15" s="415"/>
    </row>
    <row r="16" ht="14.25" customHeight="1">
      <c r="A16" s="408">
        <v>14.0</v>
      </c>
      <c r="B16" s="153" t="s">
        <v>1653</v>
      </c>
      <c r="C16" s="153">
        <v>2024.0</v>
      </c>
      <c r="D16" s="77" t="s">
        <v>362</v>
      </c>
      <c r="E16" s="409" t="str">
        <f>IFERROR(__xludf.DUMMYFUNCTION("ARRAYFORMULA(JOIN("""", ARRAYFORMULA(MID(SPLIT(F16, "" ""), 1, 1))))
&amp;""/""&amp;G16"),"MC/2 Primaria")</f>
        <v>MC/2 Primaria</v>
      </c>
      <c r="F16" s="77" t="s">
        <v>1654</v>
      </c>
      <c r="G16" s="432" t="s">
        <v>15</v>
      </c>
      <c r="H16" s="433" t="s">
        <v>1699</v>
      </c>
      <c r="I16" s="433" t="s">
        <v>1684</v>
      </c>
      <c r="J16" s="433" t="s">
        <v>1700</v>
      </c>
      <c r="K16" s="433" t="s">
        <v>1658</v>
      </c>
      <c r="L16" s="415"/>
      <c r="M16" s="434" t="s">
        <v>1659</v>
      </c>
      <c r="N16" s="434" t="s">
        <v>1659</v>
      </c>
      <c r="O16" s="434" t="s">
        <v>1660</v>
      </c>
      <c r="P16" s="434" t="s">
        <v>1659</v>
      </c>
      <c r="Q16" s="434" t="s">
        <v>1659</v>
      </c>
      <c r="R16" s="434" t="s">
        <v>1660</v>
      </c>
      <c r="S16" s="434" t="s">
        <v>1661</v>
      </c>
      <c r="T16" s="434" t="s">
        <v>1661</v>
      </c>
      <c r="U16" s="434" t="s">
        <v>1661</v>
      </c>
      <c r="V16" s="434" t="s">
        <v>1661</v>
      </c>
      <c r="W16" s="434" t="s">
        <v>1659</v>
      </c>
      <c r="X16" s="434" t="s">
        <v>1660</v>
      </c>
      <c r="Y16" s="434"/>
      <c r="Z16" s="434" t="s">
        <v>1660</v>
      </c>
      <c r="AA16" s="434" t="s">
        <v>1659</v>
      </c>
      <c r="AB16" s="434"/>
      <c r="AC16" s="434"/>
      <c r="AD16" s="434" t="s">
        <v>1660</v>
      </c>
      <c r="AE16" s="434" t="s">
        <v>1659</v>
      </c>
      <c r="AF16" s="434"/>
      <c r="AG16" s="427">
        <v>7.0</v>
      </c>
      <c r="AH16" s="435" t="s">
        <v>18</v>
      </c>
      <c r="AI16" s="415"/>
      <c r="AJ16" s="436" t="str">
        <f t="array" ref="AJ16">IF(M16=DGET(claves!$A$2:$AS423,M$2,{claves!$A$2;$E16}),1,0)</f>
        <v>#VALUE!</v>
      </c>
      <c r="AK16" s="436" t="str">
        <f t="array" ref="AK16">IF(N16=DGET(claves!$A$2:$AS423,N$2,{claves!$A$2;$E16}),1,0)</f>
        <v>#VALUE!</v>
      </c>
      <c r="AL16" s="436" t="str">
        <f t="array" ref="AL16">IF(O16=DGET(claves!$A$2:$AS423,O$2,{claves!$A$2;$E16}),1,0)</f>
        <v>#VALUE!</v>
      </c>
      <c r="AM16" s="436" t="str">
        <f t="array" ref="AM16">IF(P16=DGET(claves!$A$2:$AS423,P$2,{claves!$A$2;$E16}),1,0)</f>
        <v>#VALUE!</v>
      </c>
      <c r="AN16" s="436" t="str">
        <f t="array" ref="AN16">IF(Q16=DGET(claves!$A$2:$AS423,Q$2,{claves!$A$2;$E16}),1,0)</f>
        <v>#VALUE!</v>
      </c>
      <c r="AO16" s="436" t="str">
        <f t="array" ref="AO16">IF(R16=DGET(claves!$A$2:$AS423,R$2,{claves!$A$2;$E16}),1,0)</f>
        <v>#VALUE!</v>
      </c>
      <c r="AP16" s="436" t="str">
        <f t="array" ref="AP16">IF(S16=DGET(claves!$A$2:$AS423,S$2,{claves!$A$2;$E16}),1,0)</f>
        <v>#VALUE!</v>
      </c>
      <c r="AQ16" s="436" t="str">
        <f t="array" ref="AQ16">IF(T16=DGET(claves!$A$2:$AS423,T$2,{claves!$A$2;$E16}),1,0)</f>
        <v>#VALUE!</v>
      </c>
      <c r="AR16" s="436" t="str">
        <f t="array" ref="AR16">IF(U16=DGET(claves!$A$2:$AS423,U$2,{claves!$A$2;$E16}),1,0)</f>
        <v>#VALUE!</v>
      </c>
      <c r="AS16" s="436" t="str">
        <f t="array" ref="AS16">IF(V16=DGET(claves!$A$2:$AS423,V$2,{claves!$A$2;$E16}),1,0)</f>
        <v>#VALUE!</v>
      </c>
      <c r="AT16" s="436" t="str">
        <f t="array" ref="AT16">IF(W16=DGET(claves!$A$2:$AS423,W$2,{claves!$A$2;$E16}),1,0)</f>
        <v>#VALUE!</v>
      </c>
      <c r="AU16" s="436" t="str">
        <f t="array" ref="AU16">IF(X16=DGET(claves!$A$2:$AS423,X$2,{claves!$A$2;$E16}),1,0)</f>
        <v>#VALUE!</v>
      </c>
      <c r="AV16" s="436" t="str">
        <f t="array" ref="AV16">IF(Y16=DGET(claves!$A$2:$AS423,Y$2,{claves!$A$2;$E16}),1,0)</f>
        <v>#VALUE!</v>
      </c>
      <c r="AW16" s="436" t="str">
        <f t="array" ref="AW16">IF(Z16=DGET(claves!$A$2:$AS423,Z$2,{claves!$A$2;$E16}),1,0)</f>
        <v>#VALUE!</v>
      </c>
      <c r="AX16" s="436" t="str">
        <f t="array" ref="AX16">IF(AA16=DGET(claves!$A$2:$AS423,AA$2,{claves!$A$2;$E16}),1,0)</f>
        <v>#VALUE!</v>
      </c>
      <c r="AY16" s="436" t="str">
        <f t="array" ref="AY16">IF(AB16=DGET(claves!$A$2:$AS423,AB$2,{claves!$A$2;$E16}),1,0)</f>
        <v>#VALUE!</v>
      </c>
      <c r="AZ16" s="436" t="str">
        <f t="array" ref="AZ16">IF(AC16=DGET(claves!$A$2:$AS423,AC$2,{claves!$A$2;$E16}),1,0)</f>
        <v>#VALUE!</v>
      </c>
      <c r="BA16" s="436" t="str">
        <f t="array" ref="BA16">IF(AD16=DGET(claves!$A$2:$AS423,AD$2,{claves!$A$2;$E16}),1,0)</f>
        <v>#VALUE!</v>
      </c>
      <c r="BB16" s="436" t="str">
        <f t="array" ref="BB16">IF(AE16=DGET(claves!$A$2:$AS423,AE$2,{claves!$A$2;$E16}),1,0)</f>
        <v>#VALUE!</v>
      </c>
      <c r="BC16" s="436" t="str">
        <f t="array" ref="BC16">IF(AF16=DGET(claves!$A$2:$AS423,AF$2,{claves!$A$2;$E16}),1,0)</f>
        <v>#VALUE!</v>
      </c>
      <c r="BD16" s="437" t="str">
        <f t="shared" si="1"/>
        <v>#VALUE!</v>
      </c>
      <c r="BE16" s="435" t="s">
        <v>1468</v>
      </c>
      <c r="BF16" s="415"/>
    </row>
    <row r="17" ht="14.25" customHeight="1">
      <c r="A17" s="408">
        <v>15.0</v>
      </c>
      <c r="B17" s="153" t="s">
        <v>1653</v>
      </c>
      <c r="C17" s="153">
        <v>2024.0</v>
      </c>
      <c r="D17" s="77" t="s">
        <v>362</v>
      </c>
      <c r="E17" s="409" t="str">
        <f>IFERROR(__xludf.DUMMYFUNCTION("ARRAYFORMULA(JOIN("""", ARRAYFORMULA(MID(SPLIT(F17, "" ""), 1, 1))))
&amp;""/""&amp;G17"),"MC/2 Primaria")</f>
        <v>MC/2 Primaria</v>
      </c>
      <c r="F17" s="77" t="s">
        <v>1654</v>
      </c>
      <c r="G17" s="432" t="s">
        <v>15</v>
      </c>
      <c r="H17" s="433" t="s">
        <v>1701</v>
      </c>
      <c r="I17" s="433" t="s">
        <v>1684</v>
      </c>
      <c r="J17" s="433" t="s">
        <v>1702</v>
      </c>
      <c r="K17" s="432" t="s">
        <v>1665</v>
      </c>
      <c r="L17" s="415"/>
      <c r="M17" s="434" t="s">
        <v>1661</v>
      </c>
      <c r="N17" s="434" t="s">
        <v>1661</v>
      </c>
      <c r="O17" s="434" t="s">
        <v>1659</v>
      </c>
      <c r="P17" s="434" t="s">
        <v>1660</v>
      </c>
      <c r="Q17" s="434" t="s">
        <v>1659</v>
      </c>
      <c r="R17" s="434"/>
      <c r="S17" s="434" t="s">
        <v>1659</v>
      </c>
      <c r="T17" s="434" t="s">
        <v>1661</v>
      </c>
      <c r="U17" s="434" t="s">
        <v>1659</v>
      </c>
      <c r="V17" s="434" t="s">
        <v>1660</v>
      </c>
      <c r="W17" s="434" t="s">
        <v>1661</v>
      </c>
      <c r="X17" s="434" t="s">
        <v>1660</v>
      </c>
      <c r="Y17" s="434" t="s">
        <v>1661</v>
      </c>
      <c r="Z17" s="434" t="s">
        <v>1661</v>
      </c>
      <c r="AA17" s="434" t="s">
        <v>1660</v>
      </c>
      <c r="AB17" s="434" t="s">
        <v>1661</v>
      </c>
      <c r="AC17" s="434" t="s">
        <v>1659</v>
      </c>
      <c r="AD17" s="434" t="s">
        <v>1660</v>
      </c>
      <c r="AE17" s="434" t="s">
        <v>1659</v>
      </c>
      <c r="AF17" s="434" t="s">
        <v>1659</v>
      </c>
      <c r="AG17" s="427">
        <v>15.0</v>
      </c>
      <c r="AH17" s="435" t="s">
        <v>24</v>
      </c>
      <c r="AI17" s="415"/>
      <c r="AJ17" s="436" t="str">
        <f t="array" ref="AJ17">IF(M17=DGET(claves!$A$2:$AS423,M$2,{claves!$A$2;$E17}),1,0)</f>
        <v>#VALUE!</v>
      </c>
      <c r="AK17" s="436" t="str">
        <f t="array" ref="AK17">IF(N17=DGET(claves!$A$2:$AS423,N$2,{claves!$A$2;$E17}),1,0)</f>
        <v>#VALUE!</v>
      </c>
      <c r="AL17" s="436" t="str">
        <f t="array" ref="AL17">IF(O17=DGET(claves!$A$2:$AS423,O$2,{claves!$A$2;$E17}),1,0)</f>
        <v>#VALUE!</v>
      </c>
      <c r="AM17" s="436" t="str">
        <f t="array" ref="AM17">IF(P17=DGET(claves!$A$2:$AS423,P$2,{claves!$A$2;$E17}),1,0)</f>
        <v>#VALUE!</v>
      </c>
      <c r="AN17" s="436" t="str">
        <f t="array" ref="AN17">IF(Q17=DGET(claves!$A$2:$AS423,Q$2,{claves!$A$2;$E17}),1,0)</f>
        <v>#VALUE!</v>
      </c>
      <c r="AO17" s="436" t="str">
        <f t="array" ref="AO17">IF(R17=DGET(claves!$A$2:$AS423,R$2,{claves!$A$2;$E17}),1,0)</f>
        <v>#VALUE!</v>
      </c>
      <c r="AP17" s="436" t="str">
        <f t="array" ref="AP17">IF(S17=DGET(claves!$A$2:$AS423,S$2,{claves!$A$2;$E17}),1,0)</f>
        <v>#VALUE!</v>
      </c>
      <c r="AQ17" s="436" t="str">
        <f t="array" ref="AQ17">IF(T17=DGET(claves!$A$2:$AS423,T$2,{claves!$A$2;$E17}),1,0)</f>
        <v>#VALUE!</v>
      </c>
      <c r="AR17" s="436" t="str">
        <f t="array" ref="AR17">IF(U17=DGET(claves!$A$2:$AS423,U$2,{claves!$A$2;$E17}),1,0)</f>
        <v>#VALUE!</v>
      </c>
      <c r="AS17" s="436" t="str">
        <f t="array" ref="AS17">IF(V17=DGET(claves!$A$2:$AS423,V$2,{claves!$A$2;$E17}),1,0)</f>
        <v>#VALUE!</v>
      </c>
      <c r="AT17" s="436" t="str">
        <f t="array" ref="AT17">IF(W17=DGET(claves!$A$2:$AS423,W$2,{claves!$A$2;$E17}),1,0)</f>
        <v>#VALUE!</v>
      </c>
      <c r="AU17" s="436" t="str">
        <f t="array" ref="AU17">IF(X17=DGET(claves!$A$2:$AS423,X$2,{claves!$A$2;$E17}),1,0)</f>
        <v>#VALUE!</v>
      </c>
      <c r="AV17" s="436" t="str">
        <f t="array" ref="AV17">IF(Y17=DGET(claves!$A$2:$AS423,Y$2,{claves!$A$2;$E17}),1,0)</f>
        <v>#VALUE!</v>
      </c>
      <c r="AW17" s="436" t="str">
        <f t="array" ref="AW17">IF(Z17=DGET(claves!$A$2:$AS423,Z$2,{claves!$A$2;$E17}),1,0)</f>
        <v>#VALUE!</v>
      </c>
      <c r="AX17" s="436" t="str">
        <f t="array" ref="AX17">IF(AA17=DGET(claves!$A$2:$AS423,AA$2,{claves!$A$2;$E17}),1,0)</f>
        <v>#VALUE!</v>
      </c>
      <c r="AY17" s="436" t="str">
        <f t="array" ref="AY17">IF(AB17=DGET(claves!$A$2:$AS423,AB$2,{claves!$A$2;$E17}),1,0)</f>
        <v>#VALUE!</v>
      </c>
      <c r="AZ17" s="436" t="str">
        <f t="array" ref="AZ17">IF(AC17=DGET(claves!$A$2:$AS423,AC$2,{claves!$A$2;$E17}),1,0)</f>
        <v>#VALUE!</v>
      </c>
      <c r="BA17" s="436" t="str">
        <f t="array" ref="BA17">IF(AD17=DGET(claves!$A$2:$AS423,AD$2,{claves!$A$2;$E17}),1,0)</f>
        <v>#VALUE!</v>
      </c>
      <c r="BB17" s="436" t="str">
        <f t="array" ref="BB17">IF(AE17=DGET(claves!$A$2:$AS423,AE$2,{claves!$A$2;$E17}),1,0)</f>
        <v>#VALUE!</v>
      </c>
      <c r="BC17" s="436" t="str">
        <f t="array" ref="BC17">IF(AF17=DGET(claves!$A$2:$AS423,AF$2,{claves!$A$2;$E17}),1,0)</f>
        <v>#VALUE!</v>
      </c>
      <c r="BD17" s="437" t="str">
        <f t="shared" si="1"/>
        <v>#VALUE!</v>
      </c>
      <c r="BE17" s="435" t="s">
        <v>1468</v>
      </c>
      <c r="BF17" s="415"/>
    </row>
    <row r="18" ht="14.25" customHeight="1">
      <c r="A18" s="408">
        <v>16.0</v>
      </c>
      <c r="B18" s="153" t="s">
        <v>1653</v>
      </c>
      <c r="C18" s="153">
        <v>2024.0</v>
      </c>
      <c r="D18" s="77" t="s">
        <v>362</v>
      </c>
      <c r="E18" s="409" t="str">
        <f>IFERROR(__xludf.DUMMYFUNCTION("ARRAYFORMULA(JOIN("""", ARRAYFORMULA(MID(SPLIT(F18, "" ""), 1, 1))))
&amp;""/""&amp;G18"),"MC/2 Primaria")</f>
        <v>MC/2 Primaria</v>
      </c>
      <c r="F18" s="77" t="s">
        <v>1654</v>
      </c>
      <c r="G18" s="432" t="s">
        <v>15</v>
      </c>
      <c r="H18" s="433" t="s">
        <v>1703</v>
      </c>
      <c r="I18" s="433" t="s">
        <v>1676</v>
      </c>
      <c r="J18" s="433" t="s">
        <v>1704</v>
      </c>
      <c r="K18" s="432" t="s">
        <v>1665</v>
      </c>
      <c r="L18" s="415"/>
      <c r="M18" s="434" t="s">
        <v>1659</v>
      </c>
      <c r="N18" s="434" t="s">
        <v>1659</v>
      </c>
      <c r="O18" s="434" t="s">
        <v>1660</v>
      </c>
      <c r="P18" s="434" t="s">
        <v>1661</v>
      </c>
      <c r="Q18" s="434" t="s">
        <v>1660</v>
      </c>
      <c r="R18" s="434" t="s">
        <v>1660</v>
      </c>
      <c r="S18" s="434" t="s">
        <v>1660</v>
      </c>
      <c r="T18" s="434" t="s">
        <v>1661</v>
      </c>
      <c r="U18" s="434" t="s">
        <v>1659</v>
      </c>
      <c r="V18" s="434" t="s">
        <v>1660</v>
      </c>
      <c r="W18" s="434" t="s">
        <v>1659</v>
      </c>
      <c r="X18" s="434" t="s">
        <v>1660</v>
      </c>
      <c r="Y18" s="434" t="s">
        <v>1661</v>
      </c>
      <c r="Z18" s="434" t="s">
        <v>1659</v>
      </c>
      <c r="AA18" s="434" t="s">
        <v>1660</v>
      </c>
      <c r="AB18" s="434" t="s">
        <v>1661</v>
      </c>
      <c r="AC18" s="434" t="s">
        <v>1660</v>
      </c>
      <c r="AD18" s="434" t="s">
        <v>1661</v>
      </c>
      <c r="AE18" s="434" t="s">
        <v>1661</v>
      </c>
      <c r="AF18" s="434" t="s">
        <v>1660</v>
      </c>
      <c r="AG18" s="427">
        <v>9.0</v>
      </c>
      <c r="AH18" s="435" t="s">
        <v>18</v>
      </c>
      <c r="AI18" s="415"/>
      <c r="AJ18" s="436" t="str">
        <f t="array" ref="AJ18">IF(M18=DGET(claves!$A$2:$AS423,M$2,{claves!$A$2;$E18}),1,0)</f>
        <v>#VALUE!</v>
      </c>
      <c r="AK18" s="436" t="str">
        <f t="array" ref="AK18">IF(N18=DGET(claves!$A$2:$AS423,N$2,{claves!$A$2;$E18}),1,0)</f>
        <v>#VALUE!</v>
      </c>
      <c r="AL18" s="436" t="str">
        <f t="array" ref="AL18">IF(O18=DGET(claves!$A$2:$AS423,O$2,{claves!$A$2;$E18}),1,0)</f>
        <v>#VALUE!</v>
      </c>
      <c r="AM18" s="436" t="str">
        <f t="array" ref="AM18">IF(P18=DGET(claves!$A$2:$AS423,P$2,{claves!$A$2;$E18}),1,0)</f>
        <v>#VALUE!</v>
      </c>
      <c r="AN18" s="436" t="str">
        <f t="array" ref="AN18">IF(Q18=DGET(claves!$A$2:$AS423,Q$2,{claves!$A$2;$E18}),1,0)</f>
        <v>#VALUE!</v>
      </c>
      <c r="AO18" s="436" t="str">
        <f t="array" ref="AO18">IF(R18=DGET(claves!$A$2:$AS423,R$2,{claves!$A$2;$E18}),1,0)</f>
        <v>#VALUE!</v>
      </c>
      <c r="AP18" s="436" t="str">
        <f t="array" ref="AP18">IF(S18=DGET(claves!$A$2:$AS423,S$2,{claves!$A$2;$E18}),1,0)</f>
        <v>#VALUE!</v>
      </c>
      <c r="AQ18" s="436" t="str">
        <f t="array" ref="AQ18">IF(T18=DGET(claves!$A$2:$AS423,T$2,{claves!$A$2;$E18}),1,0)</f>
        <v>#VALUE!</v>
      </c>
      <c r="AR18" s="436" t="str">
        <f t="array" ref="AR18">IF(U18=DGET(claves!$A$2:$AS423,U$2,{claves!$A$2;$E18}),1,0)</f>
        <v>#VALUE!</v>
      </c>
      <c r="AS18" s="436" t="str">
        <f t="array" ref="AS18">IF(V18=DGET(claves!$A$2:$AS423,V$2,{claves!$A$2;$E18}),1,0)</f>
        <v>#VALUE!</v>
      </c>
      <c r="AT18" s="436" t="str">
        <f t="array" ref="AT18">IF(W18=DGET(claves!$A$2:$AS423,W$2,{claves!$A$2;$E18}),1,0)</f>
        <v>#VALUE!</v>
      </c>
      <c r="AU18" s="436" t="str">
        <f t="array" ref="AU18">IF(X18=DGET(claves!$A$2:$AS423,X$2,{claves!$A$2;$E18}),1,0)</f>
        <v>#VALUE!</v>
      </c>
      <c r="AV18" s="436" t="str">
        <f t="array" ref="AV18">IF(Y18=DGET(claves!$A$2:$AS423,Y$2,{claves!$A$2;$E18}),1,0)</f>
        <v>#VALUE!</v>
      </c>
      <c r="AW18" s="436" t="str">
        <f t="array" ref="AW18">IF(Z18=DGET(claves!$A$2:$AS423,Z$2,{claves!$A$2;$E18}),1,0)</f>
        <v>#VALUE!</v>
      </c>
      <c r="AX18" s="436" t="str">
        <f t="array" ref="AX18">IF(AA18=DGET(claves!$A$2:$AS423,AA$2,{claves!$A$2;$E18}),1,0)</f>
        <v>#VALUE!</v>
      </c>
      <c r="AY18" s="436" t="str">
        <f t="array" ref="AY18">IF(AB18=DGET(claves!$A$2:$AS423,AB$2,{claves!$A$2;$E18}),1,0)</f>
        <v>#VALUE!</v>
      </c>
      <c r="AZ18" s="436" t="str">
        <f t="array" ref="AZ18">IF(AC18=DGET(claves!$A$2:$AS423,AC$2,{claves!$A$2;$E18}),1,0)</f>
        <v>#VALUE!</v>
      </c>
      <c r="BA18" s="436" t="str">
        <f t="array" ref="BA18">IF(AD18=DGET(claves!$A$2:$AS423,AD$2,{claves!$A$2;$E18}),1,0)</f>
        <v>#VALUE!</v>
      </c>
      <c r="BB18" s="436" t="str">
        <f t="array" ref="BB18">IF(AE18=DGET(claves!$A$2:$AS423,AE$2,{claves!$A$2;$E18}),1,0)</f>
        <v>#VALUE!</v>
      </c>
      <c r="BC18" s="436" t="str">
        <f t="array" ref="BC18">IF(AF18=DGET(claves!$A$2:$AS423,AF$2,{claves!$A$2;$E18}),1,0)</f>
        <v>#VALUE!</v>
      </c>
      <c r="BD18" s="437" t="str">
        <f t="shared" si="1"/>
        <v>#VALUE!</v>
      </c>
      <c r="BE18" s="435" t="s">
        <v>1468</v>
      </c>
      <c r="BF18" s="415"/>
    </row>
    <row r="19" ht="14.25" customHeight="1">
      <c r="A19" s="408">
        <v>17.0</v>
      </c>
      <c r="B19" s="153" t="s">
        <v>1653</v>
      </c>
      <c r="C19" s="153">
        <v>2024.0</v>
      </c>
      <c r="D19" s="77" t="s">
        <v>362</v>
      </c>
      <c r="E19" s="409" t="str">
        <f>IFERROR(__xludf.DUMMYFUNCTION("ARRAYFORMULA(JOIN("""", ARRAYFORMULA(MID(SPLIT(F19, "" ""), 1, 1))))
&amp;""/""&amp;G19"),"MC/2 Primaria")</f>
        <v>MC/2 Primaria</v>
      </c>
      <c r="F19" s="77" t="s">
        <v>1654</v>
      </c>
      <c r="G19" s="432" t="s">
        <v>15</v>
      </c>
      <c r="H19" s="433" t="s">
        <v>1705</v>
      </c>
      <c r="I19" s="433" t="s">
        <v>1706</v>
      </c>
      <c r="J19" s="433" t="s">
        <v>1707</v>
      </c>
      <c r="K19" s="433" t="s">
        <v>1658</v>
      </c>
      <c r="L19" s="415"/>
      <c r="M19" s="434" t="s">
        <v>1660</v>
      </c>
      <c r="N19" s="434" t="s">
        <v>1659</v>
      </c>
      <c r="O19" s="434" t="s">
        <v>1661</v>
      </c>
      <c r="P19" s="434" t="s">
        <v>1660</v>
      </c>
      <c r="Q19" s="434" t="s">
        <v>1659</v>
      </c>
      <c r="R19" s="434" t="s">
        <v>1660</v>
      </c>
      <c r="S19" s="434" t="s">
        <v>1659</v>
      </c>
      <c r="T19" s="434" t="s">
        <v>1660</v>
      </c>
      <c r="U19" s="434" t="s">
        <v>1659</v>
      </c>
      <c r="V19" s="434" t="s">
        <v>1660</v>
      </c>
      <c r="W19" s="434" t="s">
        <v>1659</v>
      </c>
      <c r="X19" s="434" t="s">
        <v>1660</v>
      </c>
      <c r="Y19" s="434" t="s">
        <v>1659</v>
      </c>
      <c r="Z19" s="434" t="s">
        <v>1660</v>
      </c>
      <c r="AA19" s="434" t="s">
        <v>1659</v>
      </c>
      <c r="AB19" s="434" t="s">
        <v>1660</v>
      </c>
      <c r="AC19" s="434" t="s">
        <v>1659</v>
      </c>
      <c r="AD19" s="434" t="s">
        <v>1660</v>
      </c>
      <c r="AE19" s="434" t="s">
        <v>1659</v>
      </c>
      <c r="AF19" s="434" t="s">
        <v>1660</v>
      </c>
      <c r="AG19" s="427">
        <v>8.0</v>
      </c>
      <c r="AH19" s="435" t="s">
        <v>18</v>
      </c>
      <c r="AI19" s="415"/>
      <c r="AJ19" s="436" t="str">
        <f t="array" ref="AJ19">IF(M19=DGET(claves!$A$2:$AS423,M$2,{claves!$A$2;$E19}),1,0)</f>
        <v>#VALUE!</v>
      </c>
      <c r="AK19" s="436" t="str">
        <f t="array" ref="AK19">IF(N19=DGET(claves!$A$2:$AS423,N$2,{claves!$A$2;$E19}),1,0)</f>
        <v>#VALUE!</v>
      </c>
      <c r="AL19" s="436" t="str">
        <f t="array" ref="AL19">IF(O19=DGET(claves!$A$2:$AS423,O$2,{claves!$A$2;$E19}),1,0)</f>
        <v>#VALUE!</v>
      </c>
      <c r="AM19" s="436" t="str">
        <f t="array" ref="AM19">IF(P19=DGET(claves!$A$2:$AS423,P$2,{claves!$A$2;$E19}),1,0)</f>
        <v>#VALUE!</v>
      </c>
      <c r="AN19" s="436" t="str">
        <f t="array" ref="AN19">IF(Q19=DGET(claves!$A$2:$AS423,Q$2,{claves!$A$2;$E19}),1,0)</f>
        <v>#VALUE!</v>
      </c>
      <c r="AO19" s="436" t="str">
        <f t="array" ref="AO19">IF(R19=DGET(claves!$A$2:$AS423,R$2,{claves!$A$2;$E19}),1,0)</f>
        <v>#VALUE!</v>
      </c>
      <c r="AP19" s="436" t="str">
        <f t="array" ref="AP19">IF(S19=DGET(claves!$A$2:$AS423,S$2,{claves!$A$2;$E19}),1,0)</f>
        <v>#VALUE!</v>
      </c>
      <c r="AQ19" s="436" t="str">
        <f t="array" ref="AQ19">IF(T19=DGET(claves!$A$2:$AS423,T$2,{claves!$A$2;$E19}),1,0)</f>
        <v>#VALUE!</v>
      </c>
      <c r="AR19" s="436" t="str">
        <f t="array" ref="AR19">IF(U19=DGET(claves!$A$2:$AS423,U$2,{claves!$A$2;$E19}),1,0)</f>
        <v>#VALUE!</v>
      </c>
      <c r="AS19" s="436" t="str">
        <f t="array" ref="AS19">IF(V19=DGET(claves!$A$2:$AS423,V$2,{claves!$A$2;$E19}),1,0)</f>
        <v>#VALUE!</v>
      </c>
      <c r="AT19" s="436" t="str">
        <f t="array" ref="AT19">IF(W19=DGET(claves!$A$2:$AS423,W$2,{claves!$A$2;$E19}),1,0)</f>
        <v>#VALUE!</v>
      </c>
      <c r="AU19" s="436" t="str">
        <f t="array" ref="AU19">IF(X19=DGET(claves!$A$2:$AS423,X$2,{claves!$A$2;$E19}),1,0)</f>
        <v>#VALUE!</v>
      </c>
      <c r="AV19" s="436" t="str">
        <f t="array" ref="AV19">IF(Y19=DGET(claves!$A$2:$AS423,Y$2,{claves!$A$2;$E19}),1,0)</f>
        <v>#VALUE!</v>
      </c>
      <c r="AW19" s="436" t="str">
        <f t="array" ref="AW19">IF(Z19=DGET(claves!$A$2:$AS423,Z$2,{claves!$A$2;$E19}),1,0)</f>
        <v>#VALUE!</v>
      </c>
      <c r="AX19" s="436" t="str">
        <f t="array" ref="AX19">IF(AA19=DGET(claves!$A$2:$AS423,AA$2,{claves!$A$2;$E19}),1,0)</f>
        <v>#VALUE!</v>
      </c>
      <c r="AY19" s="436" t="str">
        <f t="array" ref="AY19">IF(AB19=DGET(claves!$A$2:$AS423,AB$2,{claves!$A$2;$E19}),1,0)</f>
        <v>#VALUE!</v>
      </c>
      <c r="AZ19" s="436" t="str">
        <f t="array" ref="AZ19">IF(AC19=DGET(claves!$A$2:$AS423,AC$2,{claves!$A$2;$E19}),1,0)</f>
        <v>#VALUE!</v>
      </c>
      <c r="BA19" s="436" t="str">
        <f t="array" ref="BA19">IF(AD19=DGET(claves!$A$2:$AS423,AD$2,{claves!$A$2;$E19}),1,0)</f>
        <v>#VALUE!</v>
      </c>
      <c r="BB19" s="436" t="str">
        <f t="array" ref="BB19">IF(AE19=DGET(claves!$A$2:$AS423,AE$2,{claves!$A$2;$E19}),1,0)</f>
        <v>#VALUE!</v>
      </c>
      <c r="BC19" s="436" t="str">
        <f t="array" ref="BC19">IF(AF19=DGET(claves!$A$2:$AS423,AF$2,{claves!$A$2;$E19}),1,0)</f>
        <v>#VALUE!</v>
      </c>
      <c r="BD19" s="437" t="str">
        <f t="shared" si="1"/>
        <v>#VALUE!</v>
      </c>
      <c r="BE19" s="435" t="s">
        <v>1468</v>
      </c>
      <c r="BF19" s="415"/>
    </row>
    <row r="20" ht="14.25" customHeight="1">
      <c r="A20" s="408">
        <v>18.0</v>
      </c>
      <c r="B20" s="153" t="s">
        <v>1653</v>
      </c>
      <c r="C20" s="153">
        <v>2024.0</v>
      </c>
      <c r="D20" s="77" t="s">
        <v>362</v>
      </c>
      <c r="E20" s="409" t="str">
        <f>IFERROR(__xludf.DUMMYFUNCTION("ARRAYFORMULA(JOIN("""", ARRAYFORMULA(MID(SPLIT(F20, "" ""), 1, 1))))
&amp;""/""&amp;G20"),"MC/2 Primaria")</f>
        <v>MC/2 Primaria</v>
      </c>
      <c r="F20" s="77" t="s">
        <v>1654</v>
      </c>
      <c r="G20" s="432" t="s">
        <v>15</v>
      </c>
      <c r="H20" s="433" t="s">
        <v>1708</v>
      </c>
      <c r="I20" s="433" t="s">
        <v>1709</v>
      </c>
      <c r="J20" s="433" t="s">
        <v>1710</v>
      </c>
      <c r="K20" s="432" t="s">
        <v>1665</v>
      </c>
      <c r="L20" s="415"/>
      <c r="M20" s="434" t="s">
        <v>1659</v>
      </c>
      <c r="N20" s="434" t="s">
        <v>1661</v>
      </c>
      <c r="O20" s="434" t="s">
        <v>1659</v>
      </c>
      <c r="P20" s="434" t="s">
        <v>1659</v>
      </c>
      <c r="Q20" s="434" t="s">
        <v>1659</v>
      </c>
      <c r="R20" s="434" t="s">
        <v>1660</v>
      </c>
      <c r="S20" s="434" t="s">
        <v>1659</v>
      </c>
      <c r="T20" s="434" t="s">
        <v>1661</v>
      </c>
      <c r="U20" s="434" t="s">
        <v>1659</v>
      </c>
      <c r="V20" s="434" t="s">
        <v>1660</v>
      </c>
      <c r="W20" s="434" t="s">
        <v>1661</v>
      </c>
      <c r="X20" s="434" t="s">
        <v>1660</v>
      </c>
      <c r="Y20" s="434" t="s">
        <v>1661</v>
      </c>
      <c r="Z20" s="434" t="s">
        <v>1661</v>
      </c>
      <c r="AA20" s="434" t="s">
        <v>1661</v>
      </c>
      <c r="AB20" s="434" t="s">
        <v>1661</v>
      </c>
      <c r="AC20" s="434" t="s">
        <v>1659</v>
      </c>
      <c r="AD20" s="434" t="s">
        <v>1660</v>
      </c>
      <c r="AE20" s="434" t="s">
        <v>1661</v>
      </c>
      <c r="AF20" s="434" t="s">
        <v>1661</v>
      </c>
      <c r="AG20" s="427">
        <v>19.0</v>
      </c>
      <c r="AH20" s="438" t="s">
        <v>32</v>
      </c>
      <c r="AI20" s="415"/>
      <c r="AJ20" s="436" t="str">
        <f t="array" ref="AJ20">IF(M20=DGET(claves!$A$2:$AS423,M$2,{claves!$A$2;$E20}),1,0)</f>
        <v>#VALUE!</v>
      </c>
      <c r="AK20" s="436" t="str">
        <f t="array" ref="AK20">IF(N20=DGET(claves!$A$2:$AS423,N$2,{claves!$A$2;$E20}),1,0)</f>
        <v>#VALUE!</v>
      </c>
      <c r="AL20" s="436" t="str">
        <f t="array" ref="AL20">IF(O20=DGET(claves!$A$2:$AS423,O$2,{claves!$A$2;$E20}),1,0)</f>
        <v>#VALUE!</v>
      </c>
      <c r="AM20" s="436" t="str">
        <f t="array" ref="AM20">IF(P20=DGET(claves!$A$2:$AS423,P$2,{claves!$A$2;$E20}),1,0)</f>
        <v>#VALUE!</v>
      </c>
      <c r="AN20" s="436" t="str">
        <f t="array" ref="AN20">IF(Q20=DGET(claves!$A$2:$AS423,Q$2,{claves!$A$2;$E20}),1,0)</f>
        <v>#VALUE!</v>
      </c>
      <c r="AO20" s="436" t="str">
        <f t="array" ref="AO20">IF(R20=DGET(claves!$A$2:$AS423,R$2,{claves!$A$2;$E20}),1,0)</f>
        <v>#VALUE!</v>
      </c>
      <c r="AP20" s="436" t="str">
        <f t="array" ref="AP20">IF(S20=DGET(claves!$A$2:$AS423,S$2,{claves!$A$2;$E20}),1,0)</f>
        <v>#VALUE!</v>
      </c>
      <c r="AQ20" s="436" t="str">
        <f t="array" ref="AQ20">IF(T20=DGET(claves!$A$2:$AS423,T$2,{claves!$A$2;$E20}),1,0)</f>
        <v>#VALUE!</v>
      </c>
      <c r="AR20" s="436" t="str">
        <f t="array" ref="AR20">IF(U20=DGET(claves!$A$2:$AS423,U$2,{claves!$A$2;$E20}),1,0)</f>
        <v>#VALUE!</v>
      </c>
      <c r="AS20" s="436" t="str">
        <f t="array" ref="AS20">IF(V20=DGET(claves!$A$2:$AS423,V$2,{claves!$A$2;$E20}),1,0)</f>
        <v>#VALUE!</v>
      </c>
      <c r="AT20" s="436" t="str">
        <f t="array" ref="AT20">IF(W20=DGET(claves!$A$2:$AS423,W$2,{claves!$A$2;$E20}),1,0)</f>
        <v>#VALUE!</v>
      </c>
      <c r="AU20" s="436" t="str">
        <f t="array" ref="AU20">IF(X20=DGET(claves!$A$2:$AS423,X$2,{claves!$A$2;$E20}),1,0)</f>
        <v>#VALUE!</v>
      </c>
      <c r="AV20" s="436" t="str">
        <f t="array" ref="AV20">IF(Y20=DGET(claves!$A$2:$AS423,Y$2,{claves!$A$2;$E20}),1,0)</f>
        <v>#VALUE!</v>
      </c>
      <c r="AW20" s="436" t="str">
        <f t="array" ref="AW20">IF(Z20=DGET(claves!$A$2:$AS423,Z$2,{claves!$A$2;$E20}),1,0)</f>
        <v>#VALUE!</v>
      </c>
      <c r="AX20" s="436" t="str">
        <f t="array" ref="AX20">IF(AA20=DGET(claves!$A$2:$AS423,AA$2,{claves!$A$2;$E20}),1,0)</f>
        <v>#VALUE!</v>
      </c>
      <c r="AY20" s="436" t="str">
        <f t="array" ref="AY20">IF(AB20=DGET(claves!$A$2:$AS423,AB$2,{claves!$A$2;$E20}),1,0)</f>
        <v>#VALUE!</v>
      </c>
      <c r="AZ20" s="436" t="str">
        <f t="array" ref="AZ20">IF(AC20=DGET(claves!$A$2:$AS423,AC$2,{claves!$A$2;$E20}),1,0)</f>
        <v>#VALUE!</v>
      </c>
      <c r="BA20" s="436" t="str">
        <f t="array" ref="BA20">IF(AD20=DGET(claves!$A$2:$AS423,AD$2,{claves!$A$2;$E20}),1,0)</f>
        <v>#VALUE!</v>
      </c>
      <c r="BB20" s="436" t="str">
        <f t="array" ref="BB20">IF(AE20=DGET(claves!$A$2:$AS423,AE$2,{claves!$A$2;$E20}),1,0)</f>
        <v>#VALUE!</v>
      </c>
      <c r="BC20" s="436" t="str">
        <f t="array" ref="BC20">IF(AF20=DGET(claves!$A$2:$AS423,AF$2,{claves!$A$2;$E20}),1,0)</f>
        <v>#VALUE!</v>
      </c>
      <c r="BD20" s="437" t="str">
        <f t="shared" si="1"/>
        <v>#VALUE!</v>
      </c>
      <c r="BE20" s="435" t="s">
        <v>1468</v>
      </c>
      <c r="BF20" s="415"/>
    </row>
    <row r="21" ht="14.25" customHeight="1">
      <c r="A21" s="408">
        <v>19.0</v>
      </c>
      <c r="B21" s="153" t="s">
        <v>1653</v>
      </c>
      <c r="C21" s="153">
        <v>2024.0</v>
      </c>
      <c r="D21" s="77" t="s">
        <v>362</v>
      </c>
      <c r="E21" s="409" t="str">
        <f>IFERROR(__xludf.DUMMYFUNCTION("ARRAYFORMULA(JOIN("""", ARRAYFORMULA(MID(SPLIT(F21, "" ""), 1, 1))))
&amp;""/""&amp;G21"),"MC/2 Primaria")</f>
        <v>MC/2 Primaria</v>
      </c>
      <c r="F21" s="77" t="s">
        <v>1654</v>
      </c>
      <c r="G21" s="432" t="s">
        <v>15</v>
      </c>
      <c r="H21" s="433" t="s">
        <v>1711</v>
      </c>
      <c r="I21" s="433" t="s">
        <v>1712</v>
      </c>
      <c r="J21" s="433" t="s">
        <v>1713</v>
      </c>
      <c r="K21" s="433" t="s">
        <v>1658</v>
      </c>
      <c r="L21" s="415"/>
      <c r="M21" s="434" t="s">
        <v>1659</v>
      </c>
      <c r="N21" s="434" t="s">
        <v>1661</v>
      </c>
      <c r="O21" s="434" t="s">
        <v>1661</v>
      </c>
      <c r="P21" s="434" t="s">
        <v>1659</v>
      </c>
      <c r="Q21" s="434" t="s">
        <v>1659</v>
      </c>
      <c r="R21" s="434" t="s">
        <v>1660</v>
      </c>
      <c r="S21" s="434" t="s">
        <v>1659</v>
      </c>
      <c r="T21" s="434" t="s">
        <v>1661</v>
      </c>
      <c r="U21" s="434" t="s">
        <v>1659</v>
      </c>
      <c r="V21" s="434" t="s">
        <v>1660</v>
      </c>
      <c r="W21" s="434" t="s">
        <v>1661</v>
      </c>
      <c r="X21" s="434" t="s">
        <v>1660</v>
      </c>
      <c r="Y21" s="434" t="s">
        <v>1661</v>
      </c>
      <c r="Z21" s="434" t="s">
        <v>1661</v>
      </c>
      <c r="AA21" s="434" t="s">
        <v>1661</v>
      </c>
      <c r="AB21" s="434" t="s">
        <v>1661</v>
      </c>
      <c r="AC21" s="434" t="s">
        <v>1659</v>
      </c>
      <c r="AD21" s="434" t="s">
        <v>1660</v>
      </c>
      <c r="AE21" s="434" t="s">
        <v>1659</v>
      </c>
      <c r="AF21" s="434" t="s">
        <v>1659</v>
      </c>
      <c r="AG21" s="427">
        <v>18.0</v>
      </c>
      <c r="AH21" s="438" t="s">
        <v>32</v>
      </c>
      <c r="AI21" s="415"/>
      <c r="AJ21" s="436" t="str">
        <f t="array" ref="AJ21">IF(M21=DGET(claves!$A$2:$AS423,M$2,{claves!$A$2;$E21}),1,0)</f>
        <v>#VALUE!</v>
      </c>
      <c r="AK21" s="436" t="str">
        <f t="array" ref="AK21">IF(N21=DGET(claves!$A$2:$AS423,N$2,{claves!$A$2;$E21}),1,0)</f>
        <v>#VALUE!</v>
      </c>
      <c r="AL21" s="436" t="str">
        <f t="array" ref="AL21">IF(O21=DGET(claves!$A$2:$AS423,O$2,{claves!$A$2;$E21}),1,0)</f>
        <v>#VALUE!</v>
      </c>
      <c r="AM21" s="436" t="str">
        <f t="array" ref="AM21">IF(P21=DGET(claves!$A$2:$AS423,P$2,{claves!$A$2;$E21}),1,0)</f>
        <v>#VALUE!</v>
      </c>
      <c r="AN21" s="436" t="str">
        <f t="array" ref="AN21">IF(Q21=DGET(claves!$A$2:$AS423,Q$2,{claves!$A$2;$E21}),1,0)</f>
        <v>#VALUE!</v>
      </c>
      <c r="AO21" s="436" t="str">
        <f t="array" ref="AO21">IF(R21=DGET(claves!$A$2:$AS423,R$2,{claves!$A$2;$E21}),1,0)</f>
        <v>#VALUE!</v>
      </c>
      <c r="AP21" s="436" t="str">
        <f t="array" ref="AP21">IF(S21=DGET(claves!$A$2:$AS423,S$2,{claves!$A$2;$E21}),1,0)</f>
        <v>#VALUE!</v>
      </c>
      <c r="AQ21" s="436" t="str">
        <f t="array" ref="AQ21">IF(T21=DGET(claves!$A$2:$AS423,T$2,{claves!$A$2;$E21}),1,0)</f>
        <v>#VALUE!</v>
      </c>
      <c r="AR21" s="436" t="str">
        <f t="array" ref="AR21">IF(U21=DGET(claves!$A$2:$AS423,U$2,{claves!$A$2;$E21}),1,0)</f>
        <v>#VALUE!</v>
      </c>
      <c r="AS21" s="436" t="str">
        <f t="array" ref="AS21">IF(V21=DGET(claves!$A$2:$AS423,V$2,{claves!$A$2;$E21}),1,0)</f>
        <v>#VALUE!</v>
      </c>
      <c r="AT21" s="436" t="str">
        <f t="array" ref="AT21">IF(W21=DGET(claves!$A$2:$AS423,W$2,{claves!$A$2;$E21}),1,0)</f>
        <v>#VALUE!</v>
      </c>
      <c r="AU21" s="436" t="str">
        <f t="array" ref="AU21">IF(X21=DGET(claves!$A$2:$AS423,X$2,{claves!$A$2;$E21}),1,0)</f>
        <v>#VALUE!</v>
      </c>
      <c r="AV21" s="436" t="str">
        <f t="array" ref="AV21">IF(Y21=DGET(claves!$A$2:$AS423,Y$2,{claves!$A$2;$E21}),1,0)</f>
        <v>#VALUE!</v>
      </c>
      <c r="AW21" s="436" t="str">
        <f t="array" ref="AW21">IF(Z21=DGET(claves!$A$2:$AS423,Z$2,{claves!$A$2;$E21}),1,0)</f>
        <v>#VALUE!</v>
      </c>
      <c r="AX21" s="436" t="str">
        <f t="array" ref="AX21">IF(AA21=DGET(claves!$A$2:$AS423,AA$2,{claves!$A$2;$E21}),1,0)</f>
        <v>#VALUE!</v>
      </c>
      <c r="AY21" s="436" t="str">
        <f t="array" ref="AY21">IF(AB21=DGET(claves!$A$2:$AS423,AB$2,{claves!$A$2;$E21}),1,0)</f>
        <v>#VALUE!</v>
      </c>
      <c r="AZ21" s="436" t="str">
        <f t="array" ref="AZ21">IF(AC21=DGET(claves!$A$2:$AS423,AC$2,{claves!$A$2;$E21}),1,0)</f>
        <v>#VALUE!</v>
      </c>
      <c r="BA21" s="436" t="str">
        <f t="array" ref="BA21">IF(AD21=DGET(claves!$A$2:$AS423,AD$2,{claves!$A$2;$E21}),1,0)</f>
        <v>#VALUE!</v>
      </c>
      <c r="BB21" s="436" t="str">
        <f t="array" ref="BB21">IF(AE21=DGET(claves!$A$2:$AS423,AE$2,{claves!$A$2;$E21}),1,0)</f>
        <v>#VALUE!</v>
      </c>
      <c r="BC21" s="436" t="str">
        <f t="array" ref="BC21">IF(AF21=DGET(claves!$A$2:$AS423,AF$2,{claves!$A$2;$E21}),1,0)</f>
        <v>#VALUE!</v>
      </c>
      <c r="BD21" s="437" t="str">
        <f t="shared" si="1"/>
        <v>#VALUE!</v>
      </c>
      <c r="BE21" s="435" t="s">
        <v>1468</v>
      </c>
      <c r="BF21" s="415"/>
    </row>
    <row r="22" ht="14.25" customHeight="1">
      <c r="A22" s="408">
        <v>20.0</v>
      </c>
      <c r="B22" s="153" t="s">
        <v>1653</v>
      </c>
      <c r="C22" s="153">
        <v>2024.0</v>
      </c>
      <c r="D22" s="77" t="s">
        <v>362</v>
      </c>
      <c r="E22" s="409" t="str">
        <f>IFERROR(__xludf.DUMMYFUNCTION("ARRAYFORMULA(JOIN("""", ARRAYFORMULA(MID(SPLIT(F22, "" ""), 1, 1))))
&amp;""/""&amp;G22"),"MC/2 Primaria")</f>
        <v>MC/2 Primaria</v>
      </c>
      <c r="F22" s="77" t="s">
        <v>1654</v>
      </c>
      <c r="G22" s="432" t="s">
        <v>15</v>
      </c>
      <c r="H22" s="433" t="s">
        <v>1714</v>
      </c>
      <c r="I22" s="433" t="s">
        <v>1662</v>
      </c>
      <c r="J22" s="433" t="s">
        <v>1715</v>
      </c>
      <c r="K22" s="432" t="s">
        <v>1665</v>
      </c>
      <c r="L22" s="415"/>
      <c r="M22" s="434" t="s">
        <v>1659</v>
      </c>
      <c r="N22" s="434" t="s">
        <v>1661</v>
      </c>
      <c r="O22" s="434" t="s">
        <v>1659</v>
      </c>
      <c r="P22" s="434" t="s">
        <v>1659</v>
      </c>
      <c r="Q22" s="434" t="s">
        <v>1659</v>
      </c>
      <c r="R22" s="434" t="s">
        <v>1660</v>
      </c>
      <c r="S22" s="434" t="s">
        <v>1659</v>
      </c>
      <c r="T22" s="434" t="s">
        <v>1661</v>
      </c>
      <c r="U22" s="434" t="s">
        <v>1659</v>
      </c>
      <c r="V22" s="434" t="s">
        <v>1660</v>
      </c>
      <c r="W22" s="434" t="s">
        <v>1661</v>
      </c>
      <c r="X22" s="434" t="s">
        <v>1660</v>
      </c>
      <c r="Y22" s="434" t="s">
        <v>1661</v>
      </c>
      <c r="Z22" s="434" t="s">
        <v>1661</v>
      </c>
      <c r="AA22" s="434" t="s">
        <v>1661</v>
      </c>
      <c r="AB22" s="434"/>
      <c r="AC22" s="434"/>
      <c r="AD22" s="434"/>
      <c r="AE22" s="434"/>
      <c r="AF22" s="434" t="s">
        <v>1659</v>
      </c>
      <c r="AG22" s="427">
        <v>16.0</v>
      </c>
      <c r="AH22" s="435" t="s">
        <v>24</v>
      </c>
      <c r="AI22" s="415"/>
      <c r="AJ22" s="436" t="str">
        <f t="array" ref="AJ22">IF(M22=DGET(claves!$A$2:$AS423,M$2,{claves!$A$2;$E22}),1,0)</f>
        <v>#VALUE!</v>
      </c>
      <c r="AK22" s="436" t="str">
        <f t="array" ref="AK22">IF(N22=DGET(claves!$A$2:$AS423,N$2,{claves!$A$2;$E22}),1,0)</f>
        <v>#VALUE!</v>
      </c>
      <c r="AL22" s="436" t="str">
        <f t="array" ref="AL22">IF(O22=DGET(claves!$A$2:$AS423,O$2,{claves!$A$2;$E22}),1,0)</f>
        <v>#VALUE!</v>
      </c>
      <c r="AM22" s="436" t="str">
        <f t="array" ref="AM22">IF(P22=DGET(claves!$A$2:$AS423,P$2,{claves!$A$2;$E22}),1,0)</f>
        <v>#VALUE!</v>
      </c>
      <c r="AN22" s="436" t="str">
        <f t="array" ref="AN22">IF(Q22=DGET(claves!$A$2:$AS423,Q$2,{claves!$A$2;$E22}),1,0)</f>
        <v>#VALUE!</v>
      </c>
      <c r="AO22" s="436" t="str">
        <f t="array" ref="AO22">IF(R22=DGET(claves!$A$2:$AS423,R$2,{claves!$A$2;$E22}),1,0)</f>
        <v>#VALUE!</v>
      </c>
      <c r="AP22" s="436" t="str">
        <f t="array" ref="AP22">IF(S22=DGET(claves!$A$2:$AS423,S$2,{claves!$A$2;$E22}),1,0)</f>
        <v>#VALUE!</v>
      </c>
      <c r="AQ22" s="436" t="str">
        <f t="array" ref="AQ22">IF(T22=DGET(claves!$A$2:$AS423,T$2,{claves!$A$2;$E22}),1,0)</f>
        <v>#VALUE!</v>
      </c>
      <c r="AR22" s="436" t="str">
        <f t="array" ref="AR22">IF(U22=DGET(claves!$A$2:$AS423,U$2,{claves!$A$2;$E22}),1,0)</f>
        <v>#VALUE!</v>
      </c>
      <c r="AS22" s="436" t="str">
        <f t="array" ref="AS22">IF(V22=DGET(claves!$A$2:$AS423,V$2,{claves!$A$2;$E22}),1,0)</f>
        <v>#VALUE!</v>
      </c>
      <c r="AT22" s="436" t="str">
        <f t="array" ref="AT22">IF(W22=DGET(claves!$A$2:$AS423,W$2,{claves!$A$2;$E22}),1,0)</f>
        <v>#VALUE!</v>
      </c>
      <c r="AU22" s="436" t="str">
        <f t="array" ref="AU22">IF(X22=DGET(claves!$A$2:$AS423,X$2,{claves!$A$2;$E22}),1,0)</f>
        <v>#VALUE!</v>
      </c>
      <c r="AV22" s="436" t="str">
        <f t="array" ref="AV22">IF(Y22=DGET(claves!$A$2:$AS423,Y$2,{claves!$A$2;$E22}),1,0)</f>
        <v>#VALUE!</v>
      </c>
      <c r="AW22" s="436" t="str">
        <f t="array" ref="AW22">IF(Z22=DGET(claves!$A$2:$AS423,Z$2,{claves!$A$2;$E22}),1,0)</f>
        <v>#VALUE!</v>
      </c>
      <c r="AX22" s="436" t="str">
        <f t="array" ref="AX22">IF(AA22=DGET(claves!$A$2:$AS423,AA$2,{claves!$A$2;$E22}),1,0)</f>
        <v>#VALUE!</v>
      </c>
      <c r="AY22" s="436" t="str">
        <f t="array" ref="AY22">IF(AB22=DGET(claves!$A$2:$AS423,AB$2,{claves!$A$2;$E22}),1,0)</f>
        <v>#VALUE!</v>
      </c>
      <c r="AZ22" s="436" t="str">
        <f t="array" ref="AZ22">IF(AC22=DGET(claves!$A$2:$AS423,AC$2,{claves!$A$2;$E22}),1,0)</f>
        <v>#VALUE!</v>
      </c>
      <c r="BA22" s="436" t="str">
        <f t="array" ref="BA22">IF(AD22=DGET(claves!$A$2:$AS423,AD$2,{claves!$A$2;$E22}),1,0)</f>
        <v>#VALUE!</v>
      </c>
      <c r="BB22" s="436" t="str">
        <f t="array" ref="BB22">IF(AE22=DGET(claves!$A$2:$AS423,AE$2,{claves!$A$2;$E22}),1,0)</f>
        <v>#VALUE!</v>
      </c>
      <c r="BC22" s="436" t="str">
        <f t="array" ref="BC22">IF(AF22=DGET(claves!$A$2:$AS423,AF$2,{claves!$A$2;$E22}),1,0)</f>
        <v>#VALUE!</v>
      </c>
      <c r="BD22" s="437" t="str">
        <f t="shared" si="1"/>
        <v>#VALUE!</v>
      </c>
      <c r="BE22" s="435" t="s">
        <v>1468</v>
      </c>
      <c r="BF22" s="415"/>
    </row>
    <row r="23" ht="14.25" customHeight="1">
      <c r="A23" s="408">
        <v>21.0</v>
      </c>
      <c r="B23" s="153" t="s">
        <v>1653</v>
      </c>
      <c r="C23" s="153">
        <v>2024.0</v>
      </c>
      <c r="D23" s="77" t="s">
        <v>362</v>
      </c>
      <c r="E23" s="409" t="str">
        <f>IFERROR(__xludf.DUMMYFUNCTION("ARRAYFORMULA(JOIN("""", ARRAYFORMULA(MID(SPLIT(F23, "" ""), 1, 1))))
&amp;""/""&amp;G23"),"MC/2 Primaria")</f>
        <v>MC/2 Primaria</v>
      </c>
      <c r="F23" s="77" t="s">
        <v>1654</v>
      </c>
      <c r="G23" s="432" t="s">
        <v>15</v>
      </c>
      <c r="H23" s="433" t="s">
        <v>1716</v>
      </c>
      <c r="I23" s="433" t="s">
        <v>1717</v>
      </c>
      <c r="J23" s="433" t="s">
        <v>1718</v>
      </c>
      <c r="K23" s="433" t="s">
        <v>1658</v>
      </c>
      <c r="L23" s="415"/>
      <c r="M23" s="434" t="s">
        <v>1659</v>
      </c>
      <c r="N23" s="434" t="s">
        <v>1661</v>
      </c>
      <c r="O23" s="434" t="s">
        <v>1660</v>
      </c>
      <c r="P23" s="434" t="s">
        <v>1661</v>
      </c>
      <c r="Q23" s="434" t="s">
        <v>1659</v>
      </c>
      <c r="R23" s="434" t="s">
        <v>1660</v>
      </c>
      <c r="S23" s="434" t="s">
        <v>1661</v>
      </c>
      <c r="T23" s="434" t="s">
        <v>1661</v>
      </c>
      <c r="U23" s="434" t="s">
        <v>1661</v>
      </c>
      <c r="V23" s="434" t="s">
        <v>1659</v>
      </c>
      <c r="W23" s="434" t="s">
        <v>1659</v>
      </c>
      <c r="X23" s="434" t="s">
        <v>1660</v>
      </c>
      <c r="Y23" s="434" t="s">
        <v>1661</v>
      </c>
      <c r="Z23" s="434" t="s">
        <v>1660</v>
      </c>
      <c r="AA23" s="434" t="s">
        <v>1659</v>
      </c>
      <c r="AB23" s="434"/>
      <c r="AC23" s="434"/>
      <c r="AD23" s="434"/>
      <c r="AE23" s="434"/>
      <c r="AF23" s="434"/>
      <c r="AG23" s="427">
        <v>7.0</v>
      </c>
      <c r="AH23" s="435" t="s">
        <v>18</v>
      </c>
      <c r="AI23" s="415"/>
      <c r="AJ23" s="436" t="str">
        <f t="array" ref="AJ23">IF(M23=DGET(claves!$A$2:$AS423,M$2,{claves!$A$2;$E23}),1,0)</f>
        <v>#VALUE!</v>
      </c>
      <c r="AK23" s="436" t="str">
        <f t="array" ref="AK23">IF(N23=DGET(claves!$A$2:$AS423,N$2,{claves!$A$2;$E23}),1,0)</f>
        <v>#VALUE!</v>
      </c>
      <c r="AL23" s="436" t="str">
        <f t="array" ref="AL23">IF(O23=DGET(claves!$A$2:$AS423,O$2,{claves!$A$2;$E23}),1,0)</f>
        <v>#VALUE!</v>
      </c>
      <c r="AM23" s="436" t="str">
        <f t="array" ref="AM23">IF(P23=DGET(claves!$A$2:$AS423,P$2,{claves!$A$2;$E23}),1,0)</f>
        <v>#VALUE!</v>
      </c>
      <c r="AN23" s="436" t="str">
        <f t="array" ref="AN23">IF(Q23=DGET(claves!$A$2:$AS423,Q$2,{claves!$A$2;$E23}),1,0)</f>
        <v>#VALUE!</v>
      </c>
      <c r="AO23" s="436" t="str">
        <f t="array" ref="AO23">IF(R23=DGET(claves!$A$2:$AS423,R$2,{claves!$A$2;$E23}),1,0)</f>
        <v>#VALUE!</v>
      </c>
      <c r="AP23" s="436" t="str">
        <f t="array" ref="AP23">IF(S23=DGET(claves!$A$2:$AS423,S$2,{claves!$A$2;$E23}),1,0)</f>
        <v>#VALUE!</v>
      </c>
      <c r="AQ23" s="436" t="str">
        <f t="array" ref="AQ23">IF(T23=DGET(claves!$A$2:$AS423,T$2,{claves!$A$2;$E23}),1,0)</f>
        <v>#VALUE!</v>
      </c>
      <c r="AR23" s="436" t="str">
        <f t="array" ref="AR23">IF(U23=DGET(claves!$A$2:$AS423,U$2,{claves!$A$2;$E23}),1,0)</f>
        <v>#VALUE!</v>
      </c>
      <c r="AS23" s="436" t="str">
        <f t="array" ref="AS23">IF(V23=DGET(claves!$A$2:$AS423,V$2,{claves!$A$2;$E23}),1,0)</f>
        <v>#VALUE!</v>
      </c>
      <c r="AT23" s="436" t="str">
        <f t="array" ref="AT23">IF(W23=DGET(claves!$A$2:$AS423,W$2,{claves!$A$2;$E23}),1,0)</f>
        <v>#VALUE!</v>
      </c>
      <c r="AU23" s="436" t="str">
        <f t="array" ref="AU23">IF(X23=DGET(claves!$A$2:$AS423,X$2,{claves!$A$2;$E23}),1,0)</f>
        <v>#VALUE!</v>
      </c>
      <c r="AV23" s="436" t="str">
        <f t="array" ref="AV23">IF(Y23=DGET(claves!$A$2:$AS423,Y$2,{claves!$A$2;$E23}),1,0)</f>
        <v>#VALUE!</v>
      </c>
      <c r="AW23" s="436" t="str">
        <f t="array" ref="AW23">IF(Z23=DGET(claves!$A$2:$AS423,Z$2,{claves!$A$2;$E23}),1,0)</f>
        <v>#VALUE!</v>
      </c>
      <c r="AX23" s="436" t="str">
        <f t="array" ref="AX23">IF(AA23=DGET(claves!$A$2:$AS423,AA$2,{claves!$A$2;$E23}),1,0)</f>
        <v>#VALUE!</v>
      </c>
      <c r="AY23" s="436" t="str">
        <f t="array" ref="AY23">IF(AB23=DGET(claves!$A$2:$AS423,AB$2,{claves!$A$2;$E23}),1,0)</f>
        <v>#VALUE!</v>
      </c>
      <c r="AZ23" s="436" t="str">
        <f t="array" ref="AZ23">IF(AC23=DGET(claves!$A$2:$AS423,AC$2,{claves!$A$2;$E23}),1,0)</f>
        <v>#VALUE!</v>
      </c>
      <c r="BA23" s="436" t="str">
        <f t="array" ref="BA23">IF(AD23=DGET(claves!$A$2:$AS423,AD$2,{claves!$A$2;$E23}),1,0)</f>
        <v>#VALUE!</v>
      </c>
      <c r="BB23" s="436" t="str">
        <f t="array" ref="BB23">IF(AE23=DGET(claves!$A$2:$AS423,AE$2,{claves!$A$2;$E23}),1,0)</f>
        <v>#VALUE!</v>
      </c>
      <c r="BC23" s="436" t="str">
        <f t="array" ref="BC23">IF(AF23=DGET(claves!$A$2:$AS423,AF$2,{claves!$A$2;$E23}),1,0)</f>
        <v>#VALUE!</v>
      </c>
      <c r="BD23" s="437" t="str">
        <f t="shared" si="1"/>
        <v>#VALUE!</v>
      </c>
      <c r="BE23" s="435" t="s">
        <v>1468</v>
      </c>
      <c r="BF23" s="415"/>
    </row>
    <row r="24" ht="14.25" customHeight="1">
      <c r="A24" s="408">
        <v>22.0</v>
      </c>
      <c r="B24" s="153" t="s">
        <v>1653</v>
      </c>
      <c r="C24" s="153">
        <v>2024.0</v>
      </c>
      <c r="D24" s="77" t="s">
        <v>362</v>
      </c>
      <c r="E24" s="409" t="str">
        <f>IFERROR(__xludf.DUMMYFUNCTION("ARRAYFORMULA(JOIN("""", ARRAYFORMULA(MID(SPLIT(F24, "" ""), 1, 1))))
&amp;""/""&amp;G24"),"MC/2 Primaria")</f>
        <v>MC/2 Primaria</v>
      </c>
      <c r="F24" s="77" t="s">
        <v>1654</v>
      </c>
      <c r="G24" s="432" t="s">
        <v>15</v>
      </c>
      <c r="H24" s="433" t="s">
        <v>1719</v>
      </c>
      <c r="I24" s="433" t="s">
        <v>1720</v>
      </c>
      <c r="J24" s="433" t="s">
        <v>1721</v>
      </c>
      <c r="K24" s="432" t="s">
        <v>1665</v>
      </c>
      <c r="L24" s="415"/>
      <c r="M24" s="434"/>
      <c r="N24" s="434"/>
      <c r="O24" s="434"/>
      <c r="P24" s="434"/>
      <c r="Q24" s="434"/>
      <c r="R24" s="434"/>
      <c r="S24" s="434"/>
      <c r="T24" s="434"/>
      <c r="U24" s="434"/>
      <c r="V24" s="434"/>
      <c r="W24" s="434"/>
      <c r="X24" s="434"/>
      <c r="Y24" s="434"/>
      <c r="Z24" s="434"/>
      <c r="AA24" s="434"/>
      <c r="AB24" s="434"/>
      <c r="AC24" s="434"/>
      <c r="AD24" s="434"/>
      <c r="AE24" s="434"/>
      <c r="AF24" s="434"/>
      <c r="AG24" s="427">
        <v>0.0</v>
      </c>
      <c r="AH24" s="435" t="s">
        <v>1468</v>
      </c>
      <c r="AI24" s="415"/>
      <c r="AJ24" s="436" t="str">
        <f t="array" ref="AJ24">IF(M24=DGET(claves!$A$2:$AS423,M$2,{claves!$A$2;$E24}),1,0)</f>
        <v>#VALUE!</v>
      </c>
      <c r="AK24" s="436" t="str">
        <f t="array" ref="AK24">IF(N24=DGET(claves!$A$2:$AS423,N$2,{claves!$A$2;$E24}),1,0)</f>
        <v>#VALUE!</v>
      </c>
      <c r="AL24" s="436" t="str">
        <f t="array" ref="AL24">IF(O24=DGET(claves!$A$2:$AS423,O$2,{claves!$A$2;$E24}),1,0)</f>
        <v>#VALUE!</v>
      </c>
      <c r="AM24" s="436" t="str">
        <f t="array" ref="AM24">IF(P24=DGET(claves!$A$2:$AS423,P$2,{claves!$A$2;$E24}),1,0)</f>
        <v>#VALUE!</v>
      </c>
      <c r="AN24" s="436" t="str">
        <f t="array" ref="AN24">IF(Q24=DGET(claves!$A$2:$AS423,Q$2,{claves!$A$2;$E24}),1,0)</f>
        <v>#VALUE!</v>
      </c>
      <c r="AO24" s="436" t="str">
        <f t="array" ref="AO24">IF(R24=DGET(claves!$A$2:$AS423,R$2,{claves!$A$2;$E24}),1,0)</f>
        <v>#VALUE!</v>
      </c>
      <c r="AP24" s="436" t="str">
        <f t="array" ref="AP24">IF(S24=DGET(claves!$A$2:$AS423,S$2,{claves!$A$2;$E24}),1,0)</f>
        <v>#VALUE!</v>
      </c>
      <c r="AQ24" s="436" t="str">
        <f t="array" ref="AQ24">IF(T24=DGET(claves!$A$2:$AS423,T$2,{claves!$A$2;$E24}),1,0)</f>
        <v>#VALUE!</v>
      </c>
      <c r="AR24" s="436" t="str">
        <f t="array" ref="AR24">IF(U24=DGET(claves!$A$2:$AS423,U$2,{claves!$A$2;$E24}),1,0)</f>
        <v>#VALUE!</v>
      </c>
      <c r="AS24" s="436" t="str">
        <f t="array" ref="AS24">IF(V24=DGET(claves!$A$2:$AS423,V$2,{claves!$A$2;$E24}),1,0)</f>
        <v>#VALUE!</v>
      </c>
      <c r="AT24" s="436" t="str">
        <f t="array" ref="AT24">IF(W24=DGET(claves!$A$2:$AS423,W$2,{claves!$A$2;$E24}),1,0)</f>
        <v>#VALUE!</v>
      </c>
      <c r="AU24" s="436" t="str">
        <f t="array" ref="AU24">IF(X24=DGET(claves!$A$2:$AS423,X$2,{claves!$A$2;$E24}),1,0)</f>
        <v>#VALUE!</v>
      </c>
      <c r="AV24" s="436" t="str">
        <f t="array" ref="AV24">IF(Y24=DGET(claves!$A$2:$AS423,Y$2,{claves!$A$2;$E24}),1,0)</f>
        <v>#VALUE!</v>
      </c>
      <c r="AW24" s="436" t="str">
        <f t="array" ref="AW24">IF(Z24=DGET(claves!$A$2:$AS423,Z$2,{claves!$A$2;$E24}),1,0)</f>
        <v>#VALUE!</v>
      </c>
      <c r="AX24" s="436" t="str">
        <f t="array" ref="AX24">IF(AA24=DGET(claves!$A$2:$AS423,AA$2,{claves!$A$2;$E24}),1,0)</f>
        <v>#VALUE!</v>
      </c>
      <c r="AY24" s="436" t="str">
        <f t="array" ref="AY24">IF(AB24=DGET(claves!$A$2:$AS423,AB$2,{claves!$A$2;$E24}),1,0)</f>
        <v>#VALUE!</v>
      </c>
      <c r="AZ24" s="436" t="str">
        <f t="array" ref="AZ24">IF(AC24=DGET(claves!$A$2:$AS423,AC$2,{claves!$A$2;$E24}),1,0)</f>
        <v>#VALUE!</v>
      </c>
      <c r="BA24" s="436" t="str">
        <f t="array" ref="BA24">IF(AD24=DGET(claves!$A$2:$AS423,AD$2,{claves!$A$2;$E24}),1,0)</f>
        <v>#VALUE!</v>
      </c>
      <c r="BB24" s="436" t="str">
        <f t="array" ref="BB24">IF(AE24=DGET(claves!$A$2:$AS423,AE$2,{claves!$A$2;$E24}),1,0)</f>
        <v>#VALUE!</v>
      </c>
      <c r="BC24" s="436" t="str">
        <f t="array" ref="BC24">IF(AF24=DGET(claves!$A$2:$AS423,AF$2,{claves!$A$2;$E24}),1,0)</f>
        <v>#VALUE!</v>
      </c>
      <c r="BD24" s="437" t="str">
        <f t="shared" si="1"/>
        <v>#VALUE!</v>
      </c>
      <c r="BE24" s="435" t="s">
        <v>1468</v>
      </c>
      <c r="BF24" s="415"/>
    </row>
    <row r="25" ht="14.25" customHeight="1">
      <c r="A25" s="408">
        <v>23.0</v>
      </c>
      <c r="B25" s="153" t="s">
        <v>1653</v>
      </c>
      <c r="C25" s="153">
        <v>2024.0</v>
      </c>
      <c r="D25" s="77" t="s">
        <v>362</v>
      </c>
      <c r="E25" s="409" t="str">
        <f>IFERROR(__xludf.DUMMYFUNCTION("ARRAYFORMULA(JOIN("""", ARRAYFORMULA(MID(SPLIT(F25, "" ""), 1, 1))))
&amp;""/""&amp;G25"),"MC/4 Primaria")</f>
        <v>MC/4 Primaria</v>
      </c>
      <c r="F25" s="77" t="s">
        <v>1654</v>
      </c>
      <c r="G25" s="432" t="s">
        <v>20</v>
      </c>
      <c r="H25" s="433" t="s">
        <v>1722</v>
      </c>
      <c r="I25" s="433" t="s">
        <v>1723</v>
      </c>
      <c r="J25" s="433" t="s">
        <v>1724</v>
      </c>
      <c r="K25" s="433" t="s">
        <v>1658</v>
      </c>
      <c r="L25" s="415"/>
      <c r="M25" s="434" t="s">
        <v>1689</v>
      </c>
      <c r="N25" s="434" t="s">
        <v>1661</v>
      </c>
      <c r="O25" s="434" t="s">
        <v>1689</v>
      </c>
      <c r="P25" s="434" t="s">
        <v>1689</v>
      </c>
      <c r="Q25" s="434" t="s">
        <v>1661</v>
      </c>
      <c r="R25" s="434" t="s">
        <v>1660</v>
      </c>
      <c r="S25" s="434" t="s">
        <v>1659</v>
      </c>
      <c r="T25" s="434" t="s">
        <v>1689</v>
      </c>
      <c r="U25" s="434" t="s">
        <v>1660</v>
      </c>
      <c r="V25" s="434" t="s">
        <v>1660</v>
      </c>
      <c r="W25" s="434" t="s">
        <v>1660</v>
      </c>
      <c r="X25" s="434" t="s">
        <v>1661</v>
      </c>
      <c r="Y25" s="434" t="s">
        <v>1660</v>
      </c>
      <c r="Z25" s="434" t="s">
        <v>1689</v>
      </c>
      <c r="AA25" s="434" t="s">
        <v>1660</v>
      </c>
      <c r="AB25" s="434" t="s">
        <v>1659</v>
      </c>
      <c r="AC25" s="434" t="s">
        <v>1661</v>
      </c>
      <c r="AD25" s="434" t="s">
        <v>1661</v>
      </c>
      <c r="AE25" s="434" t="s">
        <v>1659</v>
      </c>
      <c r="AF25" s="434" t="s">
        <v>1660</v>
      </c>
      <c r="AG25" s="427">
        <v>18.0</v>
      </c>
      <c r="AH25" s="438" t="s">
        <v>32</v>
      </c>
      <c r="AI25" s="415"/>
      <c r="AJ25" s="436" t="str">
        <f t="array" ref="AJ25">IF(M25=DGET(claves!$A$2:$AS423,M$2,{claves!$A$2;$E25}),1,0)</f>
        <v>#VALUE!</v>
      </c>
      <c r="AK25" s="436" t="str">
        <f t="array" ref="AK25">IF(N25=DGET(claves!$A$2:$AS423,N$2,{claves!$A$2;$E25}),1,0)</f>
        <v>#VALUE!</v>
      </c>
      <c r="AL25" s="436" t="str">
        <f t="array" ref="AL25">IF(O25=DGET(claves!$A$2:$AS423,O$2,{claves!$A$2;$E25}),1,0)</f>
        <v>#VALUE!</v>
      </c>
      <c r="AM25" s="436" t="str">
        <f t="array" ref="AM25">IF(P25=DGET(claves!$A$2:$AS423,P$2,{claves!$A$2;$E25}),1,0)</f>
        <v>#VALUE!</v>
      </c>
      <c r="AN25" s="436" t="str">
        <f t="array" ref="AN25">IF(Q25=DGET(claves!$A$2:$AS423,Q$2,{claves!$A$2;$E25}),1,0)</f>
        <v>#VALUE!</v>
      </c>
      <c r="AO25" s="436" t="str">
        <f t="array" ref="AO25">IF(R25=DGET(claves!$A$2:$AS423,R$2,{claves!$A$2;$E25}),1,0)</f>
        <v>#VALUE!</v>
      </c>
      <c r="AP25" s="436" t="str">
        <f t="array" ref="AP25">IF(S25=DGET(claves!$A$2:$AS423,S$2,{claves!$A$2;$E25}),1,0)</f>
        <v>#VALUE!</v>
      </c>
      <c r="AQ25" s="436" t="str">
        <f t="array" ref="AQ25">IF(T25=DGET(claves!$A$2:$AS423,T$2,{claves!$A$2;$E25}),1,0)</f>
        <v>#VALUE!</v>
      </c>
      <c r="AR25" s="436" t="str">
        <f t="array" ref="AR25">IF(U25=DGET(claves!$A$2:$AS423,U$2,{claves!$A$2;$E25}),1,0)</f>
        <v>#VALUE!</v>
      </c>
      <c r="AS25" s="436" t="str">
        <f t="array" ref="AS25">IF(V25=DGET(claves!$A$2:$AS423,V$2,{claves!$A$2;$E25}),1,0)</f>
        <v>#VALUE!</v>
      </c>
      <c r="AT25" s="436" t="str">
        <f t="array" ref="AT25">IF(W25=DGET(claves!$A$2:$AS423,W$2,{claves!$A$2;$E25}),1,0)</f>
        <v>#VALUE!</v>
      </c>
      <c r="AU25" s="436" t="str">
        <f t="array" ref="AU25">IF(X25=DGET(claves!$A$2:$AS423,X$2,{claves!$A$2;$E25}),1,0)</f>
        <v>#VALUE!</v>
      </c>
      <c r="AV25" s="436" t="str">
        <f t="array" ref="AV25">IF(Y25=DGET(claves!$A$2:$AS423,Y$2,{claves!$A$2;$E25}),1,0)</f>
        <v>#VALUE!</v>
      </c>
      <c r="AW25" s="436" t="str">
        <f t="array" ref="AW25">IF(Z25=DGET(claves!$A$2:$AS423,Z$2,{claves!$A$2;$E25}),1,0)</f>
        <v>#VALUE!</v>
      </c>
      <c r="AX25" s="436" t="str">
        <f t="array" ref="AX25">IF(AA25=DGET(claves!$A$2:$AS423,AA$2,{claves!$A$2;$E25}),1,0)</f>
        <v>#VALUE!</v>
      </c>
      <c r="AY25" s="436" t="str">
        <f t="array" ref="AY25">IF(AB25=DGET(claves!$A$2:$AS423,AB$2,{claves!$A$2;$E25}),1,0)</f>
        <v>#VALUE!</v>
      </c>
      <c r="AZ25" s="436" t="str">
        <f t="array" ref="AZ25">IF(AC25=DGET(claves!$A$2:$AS423,AC$2,{claves!$A$2;$E25}),1,0)</f>
        <v>#VALUE!</v>
      </c>
      <c r="BA25" s="436" t="str">
        <f t="array" ref="BA25">IF(AD25=DGET(claves!$A$2:$AS423,AD$2,{claves!$A$2;$E25}),1,0)</f>
        <v>#VALUE!</v>
      </c>
      <c r="BB25" s="436" t="str">
        <f t="array" ref="BB25">IF(AE25=DGET(claves!$A$2:$AS423,AE$2,{claves!$A$2;$E25}),1,0)</f>
        <v>#VALUE!</v>
      </c>
      <c r="BC25" s="436" t="str">
        <f t="array" ref="BC25">IF(AF25=DGET(claves!$A$2:$AS423,AF$2,{claves!$A$2;$E25}),1,0)</f>
        <v>#VALUE!</v>
      </c>
      <c r="BD25" s="437" t="str">
        <f t="shared" si="1"/>
        <v>#VALUE!</v>
      </c>
      <c r="BE25" s="435" t="s">
        <v>1468</v>
      </c>
      <c r="BF25" s="415"/>
    </row>
    <row r="26" ht="14.25" customHeight="1">
      <c r="A26" s="408">
        <v>24.0</v>
      </c>
      <c r="B26" s="153" t="s">
        <v>1653</v>
      </c>
      <c r="C26" s="153">
        <v>2024.0</v>
      </c>
      <c r="D26" s="77" t="s">
        <v>362</v>
      </c>
      <c r="E26" s="409" t="str">
        <f>IFERROR(__xludf.DUMMYFUNCTION("ARRAYFORMULA(JOIN("""", ARRAYFORMULA(MID(SPLIT(F26, "" ""), 1, 1))))
&amp;""/""&amp;G26"),"MC/4 Primaria")</f>
        <v>MC/4 Primaria</v>
      </c>
      <c r="F26" s="77" t="s">
        <v>1654</v>
      </c>
      <c r="G26" s="432" t="s">
        <v>20</v>
      </c>
      <c r="H26" s="433" t="s">
        <v>1725</v>
      </c>
      <c r="I26" s="433" t="s">
        <v>1726</v>
      </c>
      <c r="J26" s="433" t="s">
        <v>1727</v>
      </c>
      <c r="K26" s="432" t="s">
        <v>1665</v>
      </c>
      <c r="L26" s="415"/>
      <c r="M26" s="434" t="s">
        <v>1689</v>
      </c>
      <c r="N26" s="434" t="s">
        <v>1661</v>
      </c>
      <c r="O26" s="434" t="s">
        <v>1689</v>
      </c>
      <c r="P26" s="434" t="s">
        <v>1689</v>
      </c>
      <c r="Q26" s="434" t="s">
        <v>1661</v>
      </c>
      <c r="R26" s="434" t="s">
        <v>1660</v>
      </c>
      <c r="S26" s="434" t="s">
        <v>1660</v>
      </c>
      <c r="T26" s="434" t="s">
        <v>1661</v>
      </c>
      <c r="U26" s="434" t="s">
        <v>1660</v>
      </c>
      <c r="V26" s="434" t="s">
        <v>1660</v>
      </c>
      <c r="W26" s="434" t="s">
        <v>1660</v>
      </c>
      <c r="X26" s="434" t="s">
        <v>1661</v>
      </c>
      <c r="Y26" s="434" t="s">
        <v>1660</v>
      </c>
      <c r="Z26" s="434" t="s">
        <v>1689</v>
      </c>
      <c r="AA26" s="434" t="s">
        <v>1660</v>
      </c>
      <c r="AB26" s="434" t="s">
        <v>1659</v>
      </c>
      <c r="AC26" s="434" t="s">
        <v>1689</v>
      </c>
      <c r="AD26" s="434" t="s">
        <v>1661</v>
      </c>
      <c r="AE26" s="434" t="s">
        <v>1659</v>
      </c>
      <c r="AF26" s="434" t="s">
        <v>1660</v>
      </c>
      <c r="AG26" s="427">
        <v>17.0</v>
      </c>
      <c r="AH26" s="438" t="s">
        <v>32</v>
      </c>
      <c r="AI26" s="415"/>
      <c r="AJ26" s="436" t="str">
        <f t="array" ref="AJ26">IF(M26=DGET(claves!$A$2:$AS423,M$2,{claves!$A$2;$E26}),1,0)</f>
        <v>#VALUE!</v>
      </c>
      <c r="AK26" s="436" t="str">
        <f t="array" ref="AK26">IF(N26=DGET(claves!$A$2:$AS423,N$2,{claves!$A$2;$E26}),1,0)</f>
        <v>#VALUE!</v>
      </c>
      <c r="AL26" s="436" t="str">
        <f t="array" ref="AL26">IF(O26=DGET(claves!$A$2:$AS423,O$2,{claves!$A$2;$E26}),1,0)</f>
        <v>#VALUE!</v>
      </c>
      <c r="AM26" s="436" t="str">
        <f t="array" ref="AM26">IF(P26=DGET(claves!$A$2:$AS423,P$2,{claves!$A$2;$E26}),1,0)</f>
        <v>#VALUE!</v>
      </c>
      <c r="AN26" s="436" t="str">
        <f t="array" ref="AN26">IF(Q26=DGET(claves!$A$2:$AS423,Q$2,{claves!$A$2;$E26}),1,0)</f>
        <v>#VALUE!</v>
      </c>
      <c r="AO26" s="436" t="str">
        <f t="array" ref="AO26">IF(R26=DGET(claves!$A$2:$AS423,R$2,{claves!$A$2;$E26}),1,0)</f>
        <v>#VALUE!</v>
      </c>
      <c r="AP26" s="436" t="str">
        <f t="array" ref="AP26">IF(S26=DGET(claves!$A$2:$AS423,S$2,{claves!$A$2;$E26}),1,0)</f>
        <v>#VALUE!</v>
      </c>
      <c r="AQ26" s="436" t="str">
        <f t="array" ref="AQ26">IF(T26=DGET(claves!$A$2:$AS423,T$2,{claves!$A$2;$E26}),1,0)</f>
        <v>#VALUE!</v>
      </c>
      <c r="AR26" s="436" t="str">
        <f t="array" ref="AR26">IF(U26=DGET(claves!$A$2:$AS423,U$2,{claves!$A$2;$E26}),1,0)</f>
        <v>#VALUE!</v>
      </c>
      <c r="AS26" s="436" t="str">
        <f t="array" ref="AS26">IF(V26=DGET(claves!$A$2:$AS423,V$2,{claves!$A$2;$E26}),1,0)</f>
        <v>#VALUE!</v>
      </c>
      <c r="AT26" s="436" t="str">
        <f t="array" ref="AT26">IF(W26=DGET(claves!$A$2:$AS423,W$2,{claves!$A$2;$E26}),1,0)</f>
        <v>#VALUE!</v>
      </c>
      <c r="AU26" s="436" t="str">
        <f t="array" ref="AU26">IF(X26=DGET(claves!$A$2:$AS423,X$2,{claves!$A$2;$E26}),1,0)</f>
        <v>#VALUE!</v>
      </c>
      <c r="AV26" s="436" t="str">
        <f t="array" ref="AV26">IF(Y26=DGET(claves!$A$2:$AS423,Y$2,{claves!$A$2;$E26}),1,0)</f>
        <v>#VALUE!</v>
      </c>
      <c r="AW26" s="436" t="str">
        <f t="array" ref="AW26">IF(Z26=DGET(claves!$A$2:$AS423,Z$2,{claves!$A$2;$E26}),1,0)</f>
        <v>#VALUE!</v>
      </c>
      <c r="AX26" s="436" t="str">
        <f t="array" ref="AX26">IF(AA26=DGET(claves!$A$2:$AS423,AA$2,{claves!$A$2;$E26}),1,0)</f>
        <v>#VALUE!</v>
      </c>
      <c r="AY26" s="436" t="str">
        <f t="array" ref="AY26">IF(AB26=DGET(claves!$A$2:$AS423,AB$2,{claves!$A$2;$E26}),1,0)</f>
        <v>#VALUE!</v>
      </c>
      <c r="AZ26" s="436" t="str">
        <f t="array" ref="AZ26">IF(AC26=DGET(claves!$A$2:$AS423,AC$2,{claves!$A$2;$E26}),1,0)</f>
        <v>#VALUE!</v>
      </c>
      <c r="BA26" s="436" t="str">
        <f t="array" ref="BA26">IF(AD26=DGET(claves!$A$2:$AS423,AD$2,{claves!$A$2;$E26}),1,0)</f>
        <v>#VALUE!</v>
      </c>
      <c r="BB26" s="436" t="str">
        <f t="array" ref="BB26">IF(AE26=DGET(claves!$A$2:$AS423,AE$2,{claves!$A$2;$E26}),1,0)</f>
        <v>#VALUE!</v>
      </c>
      <c r="BC26" s="436" t="str">
        <f t="array" ref="BC26">IF(AF26=DGET(claves!$A$2:$AS423,AF$2,{claves!$A$2;$E26}),1,0)</f>
        <v>#VALUE!</v>
      </c>
      <c r="BD26" s="437" t="str">
        <f t="shared" si="1"/>
        <v>#VALUE!</v>
      </c>
      <c r="BE26" s="435" t="s">
        <v>1468</v>
      </c>
      <c r="BF26" s="415"/>
    </row>
    <row r="27" ht="14.25" customHeight="1">
      <c r="A27" s="408">
        <v>25.0</v>
      </c>
      <c r="B27" s="153" t="s">
        <v>1653</v>
      </c>
      <c r="C27" s="153">
        <v>2024.0</v>
      </c>
      <c r="D27" s="77" t="s">
        <v>362</v>
      </c>
      <c r="E27" s="409" t="str">
        <f>IFERROR(__xludf.DUMMYFUNCTION("ARRAYFORMULA(JOIN("""", ARRAYFORMULA(MID(SPLIT(F27, "" ""), 1, 1))))
&amp;""/""&amp;G27"),"MC/4 Primaria")</f>
        <v>MC/4 Primaria</v>
      </c>
      <c r="F27" s="77" t="s">
        <v>1654</v>
      </c>
      <c r="G27" s="432" t="s">
        <v>20</v>
      </c>
      <c r="H27" s="433" t="s">
        <v>1728</v>
      </c>
      <c r="I27" s="433" t="s">
        <v>1729</v>
      </c>
      <c r="J27" s="433" t="s">
        <v>1730</v>
      </c>
      <c r="K27" s="432" t="s">
        <v>1665</v>
      </c>
      <c r="L27" s="415"/>
      <c r="M27" s="434" t="s">
        <v>1660</v>
      </c>
      <c r="N27" s="434" t="s">
        <v>1659</v>
      </c>
      <c r="O27" s="434" t="s">
        <v>1689</v>
      </c>
      <c r="P27" s="434" t="s">
        <v>1689</v>
      </c>
      <c r="Q27" s="434" t="s">
        <v>1689</v>
      </c>
      <c r="R27" s="434" t="s">
        <v>1660</v>
      </c>
      <c r="S27" s="434" t="s">
        <v>1661</v>
      </c>
      <c r="T27" s="434" t="s">
        <v>1661</v>
      </c>
      <c r="U27" s="434" t="s">
        <v>1659</v>
      </c>
      <c r="V27" s="434" t="s">
        <v>1659</v>
      </c>
      <c r="W27" s="434" t="s">
        <v>1659</v>
      </c>
      <c r="X27" s="434" t="s">
        <v>1661</v>
      </c>
      <c r="Y27" s="434" t="s">
        <v>1661</v>
      </c>
      <c r="Z27" s="434" t="s">
        <v>1661</v>
      </c>
      <c r="AA27" s="434" t="s">
        <v>1659</v>
      </c>
      <c r="AB27" s="434"/>
      <c r="AC27" s="434"/>
      <c r="AD27" s="434" t="s">
        <v>1659</v>
      </c>
      <c r="AE27" s="434" t="s">
        <v>1659</v>
      </c>
      <c r="AF27" s="434" t="s">
        <v>1661</v>
      </c>
      <c r="AG27" s="427">
        <v>6.0</v>
      </c>
      <c r="AH27" s="435" t="s">
        <v>18</v>
      </c>
      <c r="AI27" s="415"/>
      <c r="AJ27" s="436" t="str">
        <f t="array" ref="AJ27">IF(M27=DGET(claves!$A$2:$AS423,M$2,{claves!$A$2;$E27}),1,0)</f>
        <v>#VALUE!</v>
      </c>
      <c r="AK27" s="436" t="str">
        <f t="array" ref="AK27">IF(N27=DGET(claves!$A$2:$AS423,N$2,{claves!$A$2;$E27}),1,0)</f>
        <v>#VALUE!</v>
      </c>
      <c r="AL27" s="436" t="str">
        <f t="array" ref="AL27">IF(O27=DGET(claves!$A$2:$AS423,O$2,{claves!$A$2;$E27}),1,0)</f>
        <v>#VALUE!</v>
      </c>
      <c r="AM27" s="436" t="str">
        <f t="array" ref="AM27">IF(P27=DGET(claves!$A$2:$AS423,P$2,{claves!$A$2;$E27}),1,0)</f>
        <v>#VALUE!</v>
      </c>
      <c r="AN27" s="436" t="str">
        <f t="array" ref="AN27">IF(Q27=DGET(claves!$A$2:$AS423,Q$2,{claves!$A$2;$E27}),1,0)</f>
        <v>#VALUE!</v>
      </c>
      <c r="AO27" s="436" t="str">
        <f t="array" ref="AO27">IF(R27=DGET(claves!$A$2:$AS423,R$2,{claves!$A$2;$E27}),1,0)</f>
        <v>#VALUE!</v>
      </c>
      <c r="AP27" s="436" t="str">
        <f t="array" ref="AP27">IF(S27=DGET(claves!$A$2:$AS423,S$2,{claves!$A$2;$E27}),1,0)</f>
        <v>#VALUE!</v>
      </c>
      <c r="AQ27" s="436" t="str">
        <f t="array" ref="AQ27">IF(T27=DGET(claves!$A$2:$AS423,T$2,{claves!$A$2;$E27}),1,0)</f>
        <v>#VALUE!</v>
      </c>
      <c r="AR27" s="436" t="str">
        <f t="array" ref="AR27">IF(U27=DGET(claves!$A$2:$AS423,U$2,{claves!$A$2;$E27}),1,0)</f>
        <v>#VALUE!</v>
      </c>
      <c r="AS27" s="436" t="str">
        <f t="array" ref="AS27">IF(V27=DGET(claves!$A$2:$AS423,V$2,{claves!$A$2;$E27}),1,0)</f>
        <v>#VALUE!</v>
      </c>
      <c r="AT27" s="436" t="str">
        <f t="array" ref="AT27">IF(W27=DGET(claves!$A$2:$AS423,W$2,{claves!$A$2;$E27}),1,0)</f>
        <v>#VALUE!</v>
      </c>
      <c r="AU27" s="436" t="str">
        <f t="array" ref="AU27">IF(X27=DGET(claves!$A$2:$AS423,X$2,{claves!$A$2;$E27}),1,0)</f>
        <v>#VALUE!</v>
      </c>
      <c r="AV27" s="436" t="str">
        <f t="array" ref="AV27">IF(Y27=DGET(claves!$A$2:$AS423,Y$2,{claves!$A$2;$E27}),1,0)</f>
        <v>#VALUE!</v>
      </c>
      <c r="AW27" s="436" t="str">
        <f t="array" ref="AW27">IF(Z27=DGET(claves!$A$2:$AS423,Z$2,{claves!$A$2;$E27}),1,0)</f>
        <v>#VALUE!</v>
      </c>
      <c r="AX27" s="436" t="str">
        <f t="array" ref="AX27">IF(AA27=DGET(claves!$A$2:$AS423,AA$2,{claves!$A$2;$E27}),1,0)</f>
        <v>#VALUE!</v>
      </c>
      <c r="AY27" s="436" t="str">
        <f t="array" ref="AY27">IF(AB27=DGET(claves!$A$2:$AS423,AB$2,{claves!$A$2;$E27}),1,0)</f>
        <v>#VALUE!</v>
      </c>
      <c r="AZ27" s="436" t="str">
        <f t="array" ref="AZ27">IF(AC27=DGET(claves!$A$2:$AS423,AC$2,{claves!$A$2;$E27}),1,0)</f>
        <v>#VALUE!</v>
      </c>
      <c r="BA27" s="436" t="str">
        <f t="array" ref="BA27">IF(AD27=DGET(claves!$A$2:$AS423,AD$2,{claves!$A$2;$E27}),1,0)</f>
        <v>#VALUE!</v>
      </c>
      <c r="BB27" s="436" t="str">
        <f t="array" ref="BB27">IF(AE27=DGET(claves!$A$2:$AS423,AE$2,{claves!$A$2;$E27}),1,0)</f>
        <v>#VALUE!</v>
      </c>
      <c r="BC27" s="436" t="str">
        <f t="array" ref="BC27">IF(AF27=DGET(claves!$A$2:$AS423,AF$2,{claves!$A$2;$E27}),1,0)</f>
        <v>#VALUE!</v>
      </c>
      <c r="BD27" s="437" t="str">
        <f t="shared" si="1"/>
        <v>#VALUE!</v>
      </c>
      <c r="BE27" s="435" t="s">
        <v>1468</v>
      </c>
      <c r="BF27" s="415"/>
    </row>
    <row r="28" ht="14.25" customHeight="1">
      <c r="A28" s="408">
        <v>26.0</v>
      </c>
      <c r="B28" s="153" t="s">
        <v>1653</v>
      </c>
      <c r="C28" s="153">
        <v>2024.0</v>
      </c>
      <c r="D28" s="77" t="s">
        <v>362</v>
      </c>
      <c r="E28" s="409" t="str">
        <f>IFERROR(__xludf.DUMMYFUNCTION("ARRAYFORMULA(JOIN("""", ARRAYFORMULA(MID(SPLIT(F28, "" ""), 1, 1))))
&amp;""/""&amp;G28"),"MC/4 Primaria")</f>
        <v>MC/4 Primaria</v>
      </c>
      <c r="F28" s="77" t="s">
        <v>1654</v>
      </c>
      <c r="G28" s="432" t="s">
        <v>20</v>
      </c>
      <c r="H28" s="433" t="s">
        <v>1667</v>
      </c>
      <c r="I28" s="433" t="s">
        <v>1731</v>
      </c>
      <c r="J28" s="433" t="s">
        <v>1732</v>
      </c>
      <c r="K28" s="433" t="s">
        <v>1658</v>
      </c>
      <c r="L28" s="415"/>
      <c r="M28" s="434" t="s">
        <v>1689</v>
      </c>
      <c r="N28" s="434" t="s">
        <v>1659</v>
      </c>
      <c r="O28" s="434" t="s">
        <v>1689</v>
      </c>
      <c r="P28" s="434" t="s">
        <v>1689</v>
      </c>
      <c r="Q28" s="434" t="s">
        <v>1661</v>
      </c>
      <c r="R28" s="434" t="s">
        <v>1661</v>
      </c>
      <c r="S28" s="434" t="s">
        <v>1659</v>
      </c>
      <c r="T28" s="434" t="s">
        <v>1661</v>
      </c>
      <c r="U28" s="434" t="s">
        <v>1660</v>
      </c>
      <c r="V28" s="434" t="s">
        <v>1659</v>
      </c>
      <c r="W28" s="434" t="s">
        <v>1661</v>
      </c>
      <c r="X28" s="434" t="s">
        <v>1660</v>
      </c>
      <c r="Y28" s="434" t="s">
        <v>1661</v>
      </c>
      <c r="Z28" s="434" t="s">
        <v>1661</v>
      </c>
      <c r="AA28" s="434" t="s">
        <v>1660</v>
      </c>
      <c r="AB28" s="434" t="s">
        <v>1659</v>
      </c>
      <c r="AC28" s="434" t="s">
        <v>1661</v>
      </c>
      <c r="AD28" s="434" t="s">
        <v>1661</v>
      </c>
      <c r="AE28" s="434" t="s">
        <v>1659</v>
      </c>
      <c r="AF28" s="434" t="s">
        <v>1660</v>
      </c>
      <c r="AG28" s="427">
        <v>13.0</v>
      </c>
      <c r="AH28" s="435" t="s">
        <v>24</v>
      </c>
      <c r="AI28" s="415"/>
      <c r="AJ28" s="436" t="str">
        <f t="array" ref="AJ28">IF(M28=DGET(claves!$A$2:$AS423,M$2,{claves!$A$2;$E28}),1,0)</f>
        <v>#VALUE!</v>
      </c>
      <c r="AK28" s="436" t="str">
        <f t="array" ref="AK28">IF(N28=DGET(claves!$A$2:$AS423,N$2,{claves!$A$2;$E28}),1,0)</f>
        <v>#VALUE!</v>
      </c>
      <c r="AL28" s="436" t="str">
        <f t="array" ref="AL28">IF(O28=DGET(claves!$A$2:$AS423,O$2,{claves!$A$2;$E28}),1,0)</f>
        <v>#VALUE!</v>
      </c>
      <c r="AM28" s="436" t="str">
        <f t="array" ref="AM28">IF(P28=DGET(claves!$A$2:$AS423,P$2,{claves!$A$2;$E28}),1,0)</f>
        <v>#VALUE!</v>
      </c>
      <c r="AN28" s="436" t="str">
        <f t="array" ref="AN28">IF(Q28=DGET(claves!$A$2:$AS423,Q$2,{claves!$A$2;$E28}),1,0)</f>
        <v>#VALUE!</v>
      </c>
      <c r="AO28" s="436" t="str">
        <f t="array" ref="AO28">IF(R28=DGET(claves!$A$2:$AS423,R$2,{claves!$A$2;$E28}),1,0)</f>
        <v>#VALUE!</v>
      </c>
      <c r="AP28" s="436" t="str">
        <f t="array" ref="AP28">IF(S28=DGET(claves!$A$2:$AS423,S$2,{claves!$A$2;$E28}),1,0)</f>
        <v>#VALUE!</v>
      </c>
      <c r="AQ28" s="436" t="str">
        <f t="array" ref="AQ28">IF(T28=DGET(claves!$A$2:$AS423,T$2,{claves!$A$2;$E28}),1,0)</f>
        <v>#VALUE!</v>
      </c>
      <c r="AR28" s="436" t="str">
        <f t="array" ref="AR28">IF(U28=DGET(claves!$A$2:$AS423,U$2,{claves!$A$2;$E28}),1,0)</f>
        <v>#VALUE!</v>
      </c>
      <c r="AS28" s="436" t="str">
        <f t="array" ref="AS28">IF(V28=DGET(claves!$A$2:$AS423,V$2,{claves!$A$2;$E28}),1,0)</f>
        <v>#VALUE!</v>
      </c>
      <c r="AT28" s="436" t="str">
        <f t="array" ref="AT28">IF(W28=DGET(claves!$A$2:$AS423,W$2,{claves!$A$2;$E28}),1,0)</f>
        <v>#VALUE!</v>
      </c>
      <c r="AU28" s="436" t="str">
        <f t="array" ref="AU28">IF(X28=DGET(claves!$A$2:$AS423,X$2,{claves!$A$2;$E28}),1,0)</f>
        <v>#VALUE!</v>
      </c>
      <c r="AV28" s="436" t="str">
        <f t="array" ref="AV28">IF(Y28=DGET(claves!$A$2:$AS423,Y$2,{claves!$A$2;$E28}),1,0)</f>
        <v>#VALUE!</v>
      </c>
      <c r="AW28" s="436" t="str">
        <f t="array" ref="AW28">IF(Z28=DGET(claves!$A$2:$AS423,Z$2,{claves!$A$2;$E28}),1,0)</f>
        <v>#VALUE!</v>
      </c>
      <c r="AX28" s="436" t="str">
        <f t="array" ref="AX28">IF(AA28=DGET(claves!$A$2:$AS423,AA$2,{claves!$A$2;$E28}),1,0)</f>
        <v>#VALUE!</v>
      </c>
      <c r="AY28" s="436" t="str">
        <f t="array" ref="AY28">IF(AB28=DGET(claves!$A$2:$AS423,AB$2,{claves!$A$2;$E28}),1,0)</f>
        <v>#VALUE!</v>
      </c>
      <c r="AZ28" s="436" t="str">
        <f t="array" ref="AZ28">IF(AC28=DGET(claves!$A$2:$AS423,AC$2,{claves!$A$2;$E28}),1,0)</f>
        <v>#VALUE!</v>
      </c>
      <c r="BA28" s="436" t="str">
        <f t="array" ref="BA28">IF(AD28=DGET(claves!$A$2:$AS423,AD$2,{claves!$A$2;$E28}),1,0)</f>
        <v>#VALUE!</v>
      </c>
      <c r="BB28" s="436" t="str">
        <f t="array" ref="BB28">IF(AE28=DGET(claves!$A$2:$AS423,AE$2,{claves!$A$2;$E28}),1,0)</f>
        <v>#VALUE!</v>
      </c>
      <c r="BC28" s="436" t="str">
        <f t="array" ref="BC28">IF(AF28=DGET(claves!$A$2:$AS423,AF$2,{claves!$A$2;$E28}),1,0)</f>
        <v>#VALUE!</v>
      </c>
      <c r="BD28" s="437" t="str">
        <f t="shared" si="1"/>
        <v>#VALUE!</v>
      </c>
      <c r="BE28" s="435" t="s">
        <v>1468</v>
      </c>
      <c r="BF28" s="415"/>
    </row>
    <row r="29" ht="14.25" customHeight="1">
      <c r="A29" s="408">
        <v>27.0</v>
      </c>
      <c r="B29" s="153" t="s">
        <v>1653</v>
      </c>
      <c r="C29" s="153">
        <v>2024.0</v>
      </c>
      <c r="D29" s="77" t="s">
        <v>362</v>
      </c>
      <c r="E29" s="409" t="str">
        <f>IFERROR(__xludf.DUMMYFUNCTION("ARRAYFORMULA(JOIN("""", ARRAYFORMULA(MID(SPLIT(F29, "" ""), 1, 1))))
&amp;""/""&amp;G29"),"MC/4 Primaria")</f>
        <v>MC/4 Primaria</v>
      </c>
      <c r="F29" s="77" t="s">
        <v>1654</v>
      </c>
      <c r="G29" s="432" t="s">
        <v>20</v>
      </c>
      <c r="H29" s="433" t="s">
        <v>1733</v>
      </c>
      <c r="I29" s="433" t="s">
        <v>1734</v>
      </c>
      <c r="J29" s="433" t="s">
        <v>1735</v>
      </c>
      <c r="K29" s="432" t="s">
        <v>1665</v>
      </c>
      <c r="L29" s="415"/>
      <c r="M29" s="434" t="s">
        <v>1689</v>
      </c>
      <c r="N29" s="434" t="s">
        <v>1661</v>
      </c>
      <c r="O29" s="434" t="s">
        <v>1661</v>
      </c>
      <c r="P29" s="434" t="s">
        <v>1689</v>
      </c>
      <c r="Q29" s="434" t="s">
        <v>1661</v>
      </c>
      <c r="R29" s="434" t="s">
        <v>1660</v>
      </c>
      <c r="S29" s="434" t="s">
        <v>1659</v>
      </c>
      <c r="T29" s="434" t="s">
        <v>1661</v>
      </c>
      <c r="U29" s="434" t="s">
        <v>1660</v>
      </c>
      <c r="V29" s="434" t="s">
        <v>1659</v>
      </c>
      <c r="W29" s="434" t="s">
        <v>1661</v>
      </c>
      <c r="X29" s="434" t="s">
        <v>1661</v>
      </c>
      <c r="Y29" s="434" t="s">
        <v>1689</v>
      </c>
      <c r="Z29" s="434" t="s">
        <v>1689</v>
      </c>
      <c r="AA29" s="434" t="s">
        <v>1660</v>
      </c>
      <c r="AB29" s="434" t="s">
        <v>1660</v>
      </c>
      <c r="AC29" s="434" t="s">
        <v>1661</v>
      </c>
      <c r="AD29" s="434" t="s">
        <v>1661</v>
      </c>
      <c r="AE29" s="434" t="s">
        <v>1659</v>
      </c>
      <c r="AF29" s="434" t="s">
        <v>1660</v>
      </c>
      <c r="AG29" s="427">
        <v>15.0</v>
      </c>
      <c r="AH29" s="435" t="s">
        <v>24</v>
      </c>
      <c r="AI29" s="415"/>
      <c r="AJ29" s="436" t="str">
        <f t="array" ref="AJ29">IF(M29=DGET(claves!$A$2:$AS423,M$2,{claves!$A$2;$E29}),1,0)</f>
        <v>#VALUE!</v>
      </c>
      <c r="AK29" s="436" t="str">
        <f t="array" ref="AK29">IF(N29=DGET(claves!$A$2:$AS423,N$2,{claves!$A$2;$E29}),1,0)</f>
        <v>#VALUE!</v>
      </c>
      <c r="AL29" s="436" t="str">
        <f t="array" ref="AL29">IF(O29=DGET(claves!$A$2:$AS423,O$2,{claves!$A$2;$E29}),1,0)</f>
        <v>#VALUE!</v>
      </c>
      <c r="AM29" s="436" t="str">
        <f t="array" ref="AM29">IF(P29=DGET(claves!$A$2:$AS423,P$2,{claves!$A$2;$E29}),1,0)</f>
        <v>#VALUE!</v>
      </c>
      <c r="AN29" s="436" t="str">
        <f t="array" ref="AN29">IF(Q29=DGET(claves!$A$2:$AS423,Q$2,{claves!$A$2;$E29}),1,0)</f>
        <v>#VALUE!</v>
      </c>
      <c r="AO29" s="436" t="str">
        <f t="array" ref="AO29">IF(R29=DGET(claves!$A$2:$AS423,R$2,{claves!$A$2;$E29}),1,0)</f>
        <v>#VALUE!</v>
      </c>
      <c r="AP29" s="436" t="str">
        <f t="array" ref="AP29">IF(S29=DGET(claves!$A$2:$AS423,S$2,{claves!$A$2;$E29}),1,0)</f>
        <v>#VALUE!</v>
      </c>
      <c r="AQ29" s="436" t="str">
        <f t="array" ref="AQ29">IF(T29=DGET(claves!$A$2:$AS423,T$2,{claves!$A$2;$E29}),1,0)</f>
        <v>#VALUE!</v>
      </c>
      <c r="AR29" s="436" t="str">
        <f t="array" ref="AR29">IF(U29=DGET(claves!$A$2:$AS423,U$2,{claves!$A$2;$E29}),1,0)</f>
        <v>#VALUE!</v>
      </c>
      <c r="AS29" s="436" t="str">
        <f t="array" ref="AS29">IF(V29=DGET(claves!$A$2:$AS423,V$2,{claves!$A$2;$E29}),1,0)</f>
        <v>#VALUE!</v>
      </c>
      <c r="AT29" s="436" t="str">
        <f t="array" ref="AT29">IF(W29=DGET(claves!$A$2:$AS423,W$2,{claves!$A$2;$E29}),1,0)</f>
        <v>#VALUE!</v>
      </c>
      <c r="AU29" s="436" t="str">
        <f t="array" ref="AU29">IF(X29=DGET(claves!$A$2:$AS423,X$2,{claves!$A$2;$E29}),1,0)</f>
        <v>#VALUE!</v>
      </c>
      <c r="AV29" s="436" t="str">
        <f t="array" ref="AV29">IF(Y29=DGET(claves!$A$2:$AS423,Y$2,{claves!$A$2;$E29}),1,0)</f>
        <v>#VALUE!</v>
      </c>
      <c r="AW29" s="436" t="str">
        <f t="array" ref="AW29">IF(Z29=DGET(claves!$A$2:$AS423,Z$2,{claves!$A$2;$E29}),1,0)</f>
        <v>#VALUE!</v>
      </c>
      <c r="AX29" s="436" t="str">
        <f t="array" ref="AX29">IF(AA29=DGET(claves!$A$2:$AS423,AA$2,{claves!$A$2;$E29}),1,0)</f>
        <v>#VALUE!</v>
      </c>
      <c r="AY29" s="436" t="str">
        <f t="array" ref="AY29">IF(AB29=DGET(claves!$A$2:$AS423,AB$2,{claves!$A$2;$E29}),1,0)</f>
        <v>#VALUE!</v>
      </c>
      <c r="AZ29" s="436" t="str">
        <f t="array" ref="AZ29">IF(AC29=DGET(claves!$A$2:$AS423,AC$2,{claves!$A$2;$E29}),1,0)</f>
        <v>#VALUE!</v>
      </c>
      <c r="BA29" s="436" t="str">
        <f t="array" ref="BA29">IF(AD29=DGET(claves!$A$2:$AS423,AD$2,{claves!$A$2;$E29}),1,0)</f>
        <v>#VALUE!</v>
      </c>
      <c r="BB29" s="436" t="str">
        <f t="array" ref="BB29">IF(AE29=DGET(claves!$A$2:$AS423,AE$2,{claves!$A$2;$E29}),1,0)</f>
        <v>#VALUE!</v>
      </c>
      <c r="BC29" s="436" t="str">
        <f t="array" ref="BC29">IF(AF29=DGET(claves!$A$2:$AS423,AF$2,{claves!$A$2;$E29}),1,0)</f>
        <v>#VALUE!</v>
      </c>
      <c r="BD29" s="437" t="str">
        <f t="shared" si="1"/>
        <v>#VALUE!</v>
      </c>
      <c r="BE29" s="435" t="s">
        <v>1468</v>
      </c>
      <c r="BF29" s="415"/>
    </row>
    <row r="30" ht="14.25" customHeight="1">
      <c r="A30" s="408">
        <v>28.0</v>
      </c>
      <c r="B30" s="153" t="s">
        <v>1653</v>
      </c>
      <c r="C30" s="153">
        <v>2024.0</v>
      </c>
      <c r="D30" s="77" t="s">
        <v>362</v>
      </c>
      <c r="E30" s="409" t="str">
        <f>IFERROR(__xludf.DUMMYFUNCTION("ARRAYFORMULA(JOIN("""", ARRAYFORMULA(MID(SPLIT(F30, "" ""), 1, 1))))
&amp;""/""&amp;G30"),"MC/4 Primaria")</f>
        <v>MC/4 Primaria</v>
      </c>
      <c r="F30" s="77" t="s">
        <v>1654</v>
      </c>
      <c r="G30" s="432" t="s">
        <v>20</v>
      </c>
      <c r="H30" s="433" t="s">
        <v>1716</v>
      </c>
      <c r="I30" s="433" t="s">
        <v>1719</v>
      </c>
      <c r="J30" s="433" t="s">
        <v>1736</v>
      </c>
      <c r="K30" s="433" t="s">
        <v>1658</v>
      </c>
      <c r="L30" s="415"/>
      <c r="M30" s="434" t="s">
        <v>1689</v>
      </c>
      <c r="N30" s="434" t="s">
        <v>1661</v>
      </c>
      <c r="O30" s="434" t="s">
        <v>1689</v>
      </c>
      <c r="P30" s="434" t="s">
        <v>1689</v>
      </c>
      <c r="Q30" s="434" t="s">
        <v>1661</v>
      </c>
      <c r="R30" s="434" t="s">
        <v>1660</v>
      </c>
      <c r="S30" s="434" t="s">
        <v>1661</v>
      </c>
      <c r="T30" s="434" t="s">
        <v>1661</v>
      </c>
      <c r="U30" s="434" t="s">
        <v>1660</v>
      </c>
      <c r="V30" s="434" t="s">
        <v>1661</v>
      </c>
      <c r="W30" s="434" t="s">
        <v>1659</v>
      </c>
      <c r="X30" s="434" t="s">
        <v>1660</v>
      </c>
      <c r="Y30" s="434" t="s">
        <v>1689</v>
      </c>
      <c r="Z30" s="434" t="s">
        <v>1689</v>
      </c>
      <c r="AA30" s="434" t="s">
        <v>1660</v>
      </c>
      <c r="AB30" s="434" t="s">
        <v>1659</v>
      </c>
      <c r="AC30" s="434" t="s">
        <v>1689</v>
      </c>
      <c r="AD30" s="434" t="s">
        <v>1661</v>
      </c>
      <c r="AE30" s="434" t="s">
        <v>1659</v>
      </c>
      <c r="AF30" s="434" t="s">
        <v>1660</v>
      </c>
      <c r="AG30" s="427">
        <v>14.0</v>
      </c>
      <c r="AH30" s="435" t="s">
        <v>24</v>
      </c>
      <c r="AI30" s="415"/>
      <c r="AJ30" s="436" t="str">
        <f t="array" ref="AJ30">IF(M30=DGET(claves!$A$2:$AS423,M$2,{claves!$A$2;$E30}),1,0)</f>
        <v>#VALUE!</v>
      </c>
      <c r="AK30" s="436" t="str">
        <f t="array" ref="AK30">IF(N30=DGET(claves!$A$2:$AS423,N$2,{claves!$A$2;$E30}),1,0)</f>
        <v>#VALUE!</v>
      </c>
      <c r="AL30" s="436" t="str">
        <f t="array" ref="AL30">IF(O30=DGET(claves!$A$2:$AS423,O$2,{claves!$A$2;$E30}),1,0)</f>
        <v>#VALUE!</v>
      </c>
      <c r="AM30" s="436" t="str">
        <f t="array" ref="AM30">IF(P30=DGET(claves!$A$2:$AS423,P$2,{claves!$A$2;$E30}),1,0)</f>
        <v>#VALUE!</v>
      </c>
      <c r="AN30" s="436" t="str">
        <f t="array" ref="AN30">IF(Q30=DGET(claves!$A$2:$AS423,Q$2,{claves!$A$2;$E30}),1,0)</f>
        <v>#VALUE!</v>
      </c>
      <c r="AO30" s="436" t="str">
        <f t="array" ref="AO30">IF(R30=DGET(claves!$A$2:$AS423,R$2,{claves!$A$2;$E30}),1,0)</f>
        <v>#VALUE!</v>
      </c>
      <c r="AP30" s="436" t="str">
        <f t="array" ref="AP30">IF(S30=DGET(claves!$A$2:$AS423,S$2,{claves!$A$2;$E30}),1,0)</f>
        <v>#VALUE!</v>
      </c>
      <c r="AQ30" s="436" t="str">
        <f t="array" ref="AQ30">IF(T30=DGET(claves!$A$2:$AS423,T$2,{claves!$A$2;$E30}),1,0)</f>
        <v>#VALUE!</v>
      </c>
      <c r="AR30" s="436" t="str">
        <f t="array" ref="AR30">IF(U30=DGET(claves!$A$2:$AS423,U$2,{claves!$A$2;$E30}),1,0)</f>
        <v>#VALUE!</v>
      </c>
      <c r="AS30" s="436" t="str">
        <f t="array" ref="AS30">IF(V30=DGET(claves!$A$2:$AS423,V$2,{claves!$A$2;$E30}),1,0)</f>
        <v>#VALUE!</v>
      </c>
      <c r="AT30" s="436" t="str">
        <f t="array" ref="AT30">IF(W30=DGET(claves!$A$2:$AS423,W$2,{claves!$A$2;$E30}),1,0)</f>
        <v>#VALUE!</v>
      </c>
      <c r="AU30" s="436" t="str">
        <f t="array" ref="AU30">IF(X30=DGET(claves!$A$2:$AS423,X$2,{claves!$A$2;$E30}),1,0)</f>
        <v>#VALUE!</v>
      </c>
      <c r="AV30" s="436" t="str">
        <f t="array" ref="AV30">IF(Y30=DGET(claves!$A$2:$AS423,Y$2,{claves!$A$2;$E30}),1,0)</f>
        <v>#VALUE!</v>
      </c>
      <c r="AW30" s="436" t="str">
        <f t="array" ref="AW30">IF(Z30=DGET(claves!$A$2:$AS423,Z$2,{claves!$A$2;$E30}),1,0)</f>
        <v>#VALUE!</v>
      </c>
      <c r="AX30" s="436" t="str">
        <f t="array" ref="AX30">IF(AA30=DGET(claves!$A$2:$AS423,AA$2,{claves!$A$2;$E30}),1,0)</f>
        <v>#VALUE!</v>
      </c>
      <c r="AY30" s="436" t="str">
        <f t="array" ref="AY30">IF(AB30=DGET(claves!$A$2:$AS423,AB$2,{claves!$A$2;$E30}),1,0)</f>
        <v>#VALUE!</v>
      </c>
      <c r="AZ30" s="436" t="str">
        <f t="array" ref="AZ30">IF(AC30=DGET(claves!$A$2:$AS423,AC$2,{claves!$A$2;$E30}),1,0)</f>
        <v>#VALUE!</v>
      </c>
      <c r="BA30" s="436" t="str">
        <f t="array" ref="BA30">IF(AD30=DGET(claves!$A$2:$AS423,AD$2,{claves!$A$2;$E30}),1,0)</f>
        <v>#VALUE!</v>
      </c>
      <c r="BB30" s="436" t="str">
        <f t="array" ref="BB30">IF(AE30=DGET(claves!$A$2:$AS423,AE$2,{claves!$A$2;$E30}),1,0)</f>
        <v>#VALUE!</v>
      </c>
      <c r="BC30" s="436" t="str">
        <f t="array" ref="BC30">IF(AF30=DGET(claves!$A$2:$AS423,AF$2,{claves!$A$2;$E30}),1,0)</f>
        <v>#VALUE!</v>
      </c>
      <c r="BD30" s="437" t="str">
        <f t="shared" si="1"/>
        <v>#VALUE!</v>
      </c>
      <c r="BE30" s="435" t="s">
        <v>1468</v>
      </c>
      <c r="BF30" s="415"/>
    </row>
    <row r="31" ht="14.25" customHeight="1">
      <c r="A31" s="408">
        <v>29.0</v>
      </c>
      <c r="B31" s="153" t="s">
        <v>1653</v>
      </c>
      <c r="C31" s="153">
        <v>2024.0</v>
      </c>
      <c r="D31" s="77" t="s">
        <v>362</v>
      </c>
      <c r="E31" s="409" t="str">
        <f>IFERROR(__xludf.DUMMYFUNCTION("ARRAYFORMULA(JOIN("""", ARRAYFORMULA(MID(SPLIT(F31, "" ""), 1, 1))))
&amp;""/""&amp;G31"),"MC/4 Primaria")</f>
        <v>MC/4 Primaria</v>
      </c>
      <c r="F31" s="77" t="s">
        <v>1654</v>
      </c>
      <c r="G31" s="432" t="s">
        <v>20</v>
      </c>
      <c r="H31" s="433" t="s">
        <v>1676</v>
      </c>
      <c r="I31" s="433" t="s">
        <v>1737</v>
      </c>
      <c r="J31" s="433" t="s">
        <v>1738</v>
      </c>
      <c r="K31" s="432" t="s">
        <v>1665</v>
      </c>
      <c r="L31" s="415"/>
      <c r="M31" s="434" t="s">
        <v>1689</v>
      </c>
      <c r="N31" s="434" t="s">
        <v>1661</v>
      </c>
      <c r="O31" s="434" t="s">
        <v>1689</v>
      </c>
      <c r="P31" s="434" t="s">
        <v>1689</v>
      </c>
      <c r="Q31" s="434" t="s">
        <v>1661</v>
      </c>
      <c r="R31" s="434" t="s">
        <v>1660</v>
      </c>
      <c r="S31" s="434" t="s">
        <v>1659</v>
      </c>
      <c r="T31" s="434" t="s">
        <v>1661</v>
      </c>
      <c r="U31" s="434" t="s">
        <v>1659</v>
      </c>
      <c r="V31" s="434" t="s">
        <v>1660</v>
      </c>
      <c r="W31" s="434" t="s">
        <v>1661</v>
      </c>
      <c r="X31" s="434" t="s">
        <v>1660</v>
      </c>
      <c r="Y31" s="434" t="s">
        <v>1660</v>
      </c>
      <c r="Z31" s="434" t="s">
        <v>1689</v>
      </c>
      <c r="AA31" s="434" t="s">
        <v>1689</v>
      </c>
      <c r="AB31" s="434" t="s">
        <v>1659</v>
      </c>
      <c r="AC31" s="434" t="s">
        <v>1661</v>
      </c>
      <c r="AD31" s="434" t="s">
        <v>1661</v>
      </c>
      <c r="AE31" s="434" t="s">
        <v>1659</v>
      </c>
      <c r="AF31" s="434" t="s">
        <v>1660</v>
      </c>
      <c r="AG31" s="427">
        <v>16.0</v>
      </c>
      <c r="AH31" s="435" t="s">
        <v>24</v>
      </c>
      <c r="AI31" s="415"/>
      <c r="AJ31" s="436" t="str">
        <f t="array" ref="AJ31">IF(M31=DGET(claves!$A$2:$AS423,M$2,{claves!$A$2;$E31}),1,0)</f>
        <v>#VALUE!</v>
      </c>
      <c r="AK31" s="436" t="str">
        <f t="array" ref="AK31">IF(N31=DGET(claves!$A$2:$AS423,N$2,{claves!$A$2;$E31}),1,0)</f>
        <v>#VALUE!</v>
      </c>
      <c r="AL31" s="436" t="str">
        <f t="array" ref="AL31">IF(O31=DGET(claves!$A$2:$AS423,O$2,{claves!$A$2;$E31}),1,0)</f>
        <v>#VALUE!</v>
      </c>
      <c r="AM31" s="436" t="str">
        <f t="array" ref="AM31">IF(P31=DGET(claves!$A$2:$AS423,P$2,{claves!$A$2;$E31}),1,0)</f>
        <v>#VALUE!</v>
      </c>
      <c r="AN31" s="436" t="str">
        <f t="array" ref="AN31">IF(Q31=DGET(claves!$A$2:$AS423,Q$2,{claves!$A$2;$E31}),1,0)</f>
        <v>#VALUE!</v>
      </c>
      <c r="AO31" s="436" t="str">
        <f t="array" ref="AO31">IF(R31=DGET(claves!$A$2:$AS423,R$2,{claves!$A$2;$E31}),1,0)</f>
        <v>#VALUE!</v>
      </c>
      <c r="AP31" s="436" t="str">
        <f t="array" ref="AP31">IF(S31=DGET(claves!$A$2:$AS423,S$2,{claves!$A$2;$E31}),1,0)</f>
        <v>#VALUE!</v>
      </c>
      <c r="AQ31" s="436" t="str">
        <f t="array" ref="AQ31">IF(T31=DGET(claves!$A$2:$AS423,T$2,{claves!$A$2;$E31}),1,0)</f>
        <v>#VALUE!</v>
      </c>
      <c r="AR31" s="436" t="str">
        <f t="array" ref="AR31">IF(U31=DGET(claves!$A$2:$AS423,U$2,{claves!$A$2;$E31}),1,0)</f>
        <v>#VALUE!</v>
      </c>
      <c r="AS31" s="436" t="str">
        <f t="array" ref="AS31">IF(V31=DGET(claves!$A$2:$AS423,V$2,{claves!$A$2;$E31}),1,0)</f>
        <v>#VALUE!</v>
      </c>
      <c r="AT31" s="436" t="str">
        <f t="array" ref="AT31">IF(W31=DGET(claves!$A$2:$AS423,W$2,{claves!$A$2;$E31}),1,0)</f>
        <v>#VALUE!</v>
      </c>
      <c r="AU31" s="436" t="str">
        <f t="array" ref="AU31">IF(X31=DGET(claves!$A$2:$AS423,X$2,{claves!$A$2;$E31}),1,0)</f>
        <v>#VALUE!</v>
      </c>
      <c r="AV31" s="436" t="str">
        <f t="array" ref="AV31">IF(Y31=DGET(claves!$A$2:$AS423,Y$2,{claves!$A$2;$E31}),1,0)</f>
        <v>#VALUE!</v>
      </c>
      <c r="AW31" s="436" t="str">
        <f t="array" ref="AW31">IF(Z31=DGET(claves!$A$2:$AS423,Z$2,{claves!$A$2;$E31}),1,0)</f>
        <v>#VALUE!</v>
      </c>
      <c r="AX31" s="436" t="str">
        <f t="array" ref="AX31">IF(AA31=DGET(claves!$A$2:$AS423,AA$2,{claves!$A$2;$E31}),1,0)</f>
        <v>#VALUE!</v>
      </c>
      <c r="AY31" s="436" t="str">
        <f t="array" ref="AY31">IF(AB31=DGET(claves!$A$2:$AS423,AB$2,{claves!$A$2;$E31}),1,0)</f>
        <v>#VALUE!</v>
      </c>
      <c r="AZ31" s="436" t="str">
        <f t="array" ref="AZ31">IF(AC31=DGET(claves!$A$2:$AS423,AC$2,{claves!$A$2;$E31}),1,0)</f>
        <v>#VALUE!</v>
      </c>
      <c r="BA31" s="436" t="str">
        <f t="array" ref="BA31">IF(AD31=DGET(claves!$A$2:$AS423,AD$2,{claves!$A$2;$E31}),1,0)</f>
        <v>#VALUE!</v>
      </c>
      <c r="BB31" s="436" t="str">
        <f t="array" ref="BB31">IF(AE31=DGET(claves!$A$2:$AS423,AE$2,{claves!$A$2;$E31}),1,0)</f>
        <v>#VALUE!</v>
      </c>
      <c r="BC31" s="436" t="str">
        <f t="array" ref="BC31">IF(AF31=DGET(claves!$A$2:$AS423,AF$2,{claves!$A$2;$E31}),1,0)</f>
        <v>#VALUE!</v>
      </c>
      <c r="BD31" s="437" t="str">
        <f t="shared" si="1"/>
        <v>#VALUE!</v>
      </c>
      <c r="BE31" s="435" t="s">
        <v>1468</v>
      </c>
      <c r="BF31" s="415"/>
    </row>
    <row r="32" ht="14.25" customHeight="1">
      <c r="A32" s="408">
        <v>30.0</v>
      </c>
      <c r="B32" s="153" t="s">
        <v>1653</v>
      </c>
      <c r="C32" s="153">
        <v>2024.0</v>
      </c>
      <c r="D32" s="77" t="s">
        <v>362</v>
      </c>
      <c r="E32" s="409" t="str">
        <f>IFERROR(__xludf.DUMMYFUNCTION("ARRAYFORMULA(JOIN("""", ARRAYFORMULA(MID(SPLIT(F32, "" ""), 1, 1))))
&amp;""/""&amp;G32"),"MC/4 Primaria")</f>
        <v>MC/4 Primaria</v>
      </c>
      <c r="F32" s="77" t="s">
        <v>1654</v>
      </c>
      <c r="G32" s="432" t="s">
        <v>20</v>
      </c>
      <c r="H32" s="433" t="s">
        <v>1703</v>
      </c>
      <c r="I32" s="433" t="s">
        <v>1739</v>
      </c>
      <c r="J32" s="433" t="s">
        <v>1740</v>
      </c>
      <c r="K32" s="432" t="s">
        <v>1665</v>
      </c>
      <c r="L32" s="415"/>
      <c r="M32" s="434" t="s">
        <v>1659</v>
      </c>
      <c r="N32" s="434" t="s">
        <v>1660</v>
      </c>
      <c r="O32" s="434" t="s">
        <v>1661</v>
      </c>
      <c r="P32" s="434" t="s">
        <v>1689</v>
      </c>
      <c r="Q32" s="434" t="s">
        <v>1660</v>
      </c>
      <c r="R32" s="434" t="s">
        <v>1659</v>
      </c>
      <c r="S32" s="434" t="s">
        <v>1660</v>
      </c>
      <c r="T32" s="434" t="s">
        <v>1659</v>
      </c>
      <c r="U32" s="434" t="s">
        <v>1659</v>
      </c>
      <c r="V32" s="434" t="s">
        <v>1659</v>
      </c>
      <c r="W32" s="434" t="s">
        <v>1661</v>
      </c>
      <c r="X32" s="434" t="s">
        <v>1689</v>
      </c>
      <c r="Y32" s="434" t="s">
        <v>1661</v>
      </c>
      <c r="Z32" s="434" t="s">
        <v>1661</v>
      </c>
      <c r="AA32" s="434" t="s">
        <v>1689</v>
      </c>
      <c r="AB32" s="434" t="s">
        <v>1659</v>
      </c>
      <c r="AC32" s="434" t="s">
        <v>1661</v>
      </c>
      <c r="AD32" s="434" t="s">
        <v>1661</v>
      </c>
      <c r="AE32" s="434" t="s">
        <v>1659</v>
      </c>
      <c r="AF32" s="434"/>
      <c r="AG32" s="427">
        <v>5.0</v>
      </c>
      <c r="AH32" s="435" t="s">
        <v>18</v>
      </c>
      <c r="AI32" s="415"/>
      <c r="AJ32" s="436" t="str">
        <f t="array" ref="AJ32">IF(M32=DGET(claves!$A$2:$AS423,M$2,{claves!$A$2;$E32}),1,0)</f>
        <v>#VALUE!</v>
      </c>
      <c r="AK32" s="436" t="str">
        <f t="array" ref="AK32">IF(N32=DGET(claves!$A$2:$AS423,N$2,{claves!$A$2;$E32}),1,0)</f>
        <v>#VALUE!</v>
      </c>
      <c r="AL32" s="436" t="str">
        <f t="array" ref="AL32">IF(O32=DGET(claves!$A$2:$AS423,O$2,{claves!$A$2;$E32}),1,0)</f>
        <v>#VALUE!</v>
      </c>
      <c r="AM32" s="436" t="str">
        <f t="array" ref="AM32">IF(P32=DGET(claves!$A$2:$AS423,P$2,{claves!$A$2;$E32}),1,0)</f>
        <v>#VALUE!</v>
      </c>
      <c r="AN32" s="436" t="str">
        <f t="array" ref="AN32">IF(Q32=DGET(claves!$A$2:$AS423,Q$2,{claves!$A$2;$E32}),1,0)</f>
        <v>#VALUE!</v>
      </c>
      <c r="AO32" s="436" t="str">
        <f t="array" ref="AO32">IF(R32=DGET(claves!$A$2:$AS423,R$2,{claves!$A$2;$E32}),1,0)</f>
        <v>#VALUE!</v>
      </c>
      <c r="AP32" s="436" t="str">
        <f t="array" ref="AP32">IF(S32=DGET(claves!$A$2:$AS423,S$2,{claves!$A$2;$E32}),1,0)</f>
        <v>#VALUE!</v>
      </c>
      <c r="AQ32" s="436" t="str">
        <f t="array" ref="AQ32">IF(T32=DGET(claves!$A$2:$AS423,T$2,{claves!$A$2;$E32}),1,0)</f>
        <v>#VALUE!</v>
      </c>
      <c r="AR32" s="436" t="str">
        <f t="array" ref="AR32">IF(U32=DGET(claves!$A$2:$AS423,U$2,{claves!$A$2;$E32}),1,0)</f>
        <v>#VALUE!</v>
      </c>
      <c r="AS32" s="436" t="str">
        <f t="array" ref="AS32">IF(V32=DGET(claves!$A$2:$AS423,V$2,{claves!$A$2;$E32}),1,0)</f>
        <v>#VALUE!</v>
      </c>
      <c r="AT32" s="436" t="str">
        <f t="array" ref="AT32">IF(W32=DGET(claves!$A$2:$AS423,W$2,{claves!$A$2;$E32}),1,0)</f>
        <v>#VALUE!</v>
      </c>
      <c r="AU32" s="436" t="str">
        <f t="array" ref="AU32">IF(X32=DGET(claves!$A$2:$AS423,X$2,{claves!$A$2;$E32}),1,0)</f>
        <v>#VALUE!</v>
      </c>
      <c r="AV32" s="436" t="str">
        <f t="array" ref="AV32">IF(Y32=DGET(claves!$A$2:$AS423,Y$2,{claves!$A$2;$E32}),1,0)</f>
        <v>#VALUE!</v>
      </c>
      <c r="AW32" s="436" t="str">
        <f t="array" ref="AW32">IF(Z32=DGET(claves!$A$2:$AS423,Z$2,{claves!$A$2;$E32}),1,0)</f>
        <v>#VALUE!</v>
      </c>
      <c r="AX32" s="436" t="str">
        <f t="array" ref="AX32">IF(AA32=DGET(claves!$A$2:$AS423,AA$2,{claves!$A$2;$E32}),1,0)</f>
        <v>#VALUE!</v>
      </c>
      <c r="AY32" s="436" t="str">
        <f t="array" ref="AY32">IF(AB32=DGET(claves!$A$2:$AS423,AB$2,{claves!$A$2;$E32}),1,0)</f>
        <v>#VALUE!</v>
      </c>
      <c r="AZ32" s="436" t="str">
        <f t="array" ref="AZ32">IF(AC32=DGET(claves!$A$2:$AS423,AC$2,{claves!$A$2;$E32}),1,0)</f>
        <v>#VALUE!</v>
      </c>
      <c r="BA32" s="436" t="str">
        <f t="array" ref="BA32">IF(AD32=DGET(claves!$A$2:$AS423,AD$2,{claves!$A$2;$E32}),1,0)</f>
        <v>#VALUE!</v>
      </c>
      <c r="BB32" s="436" t="str">
        <f t="array" ref="BB32">IF(AE32=DGET(claves!$A$2:$AS423,AE$2,{claves!$A$2;$E32}),1,0)</f>
        <v>#VALUE!</v>
      </c>
      <c r="BC32" s="436" t="str">
        <f t="array" ref="BC32">IF(AF32=DGET(claves!$A$2:$AS423,AF$2,{claves!$A$2;$E32}),1,0)</f>
        <v>#VALUE!</v>
      </c>
      <c r="BD32" s="437" t="str">
        <f t="shared" si="1"/>
        <v>#VALUE!</v>
      </c>
      <c r="BE32" s="435" t="s">
        <v>1468</v>
      </c>
      <c r="BF32" s="415"/>
    </row>
    <row r="33" ht="14.25" customHeight="1">
      <c r="A33" s="408">
        <v>31.0</v>
      </c>
      <c r="B33" s="153" t="s">
        <v>1653</v>
      </c>
      <c r="C33" s="153">
        <v>2024.0</v>
      </c>
      <c r="D33" s="77" t="s">
        <v>362</v>
      </c>
      <c r="E33" s="409" t="str">
        <f>IFERROR(__xludf.DUMMYFUNCTION("ARRAYFORMULA(JOIN("""", ARRAYFORMULA(MID(SPLIT(F33, "" ""), 1, 1))))
&amp;""/""&amp;G33"),"MC/4 Primaria")</f>
        <v>MC/4 Primaria</v>
      </c>
      <c r="F33" s="77" t="s">
        <v>1654</v>
      </c>
      <c r="G33" s="432" t="s">
        <v>20</v>
      </c>
      <c r="H33" s="433" t="s">
        <v>1741</v>
      </c>
      <c r="I33" s="433" t="s">
        <v>1742</v>
      </c>
      <c r="J33" s="433" t="s">
        <v>1743</v>
      </c>
      <c r="K33" s="433" t="s">
        <v>1658</v>
      </c>
      <c r="L33" s="415"/>
      <c r="M33" s="434" t="s">
        <v>1659</v>
      </c>
      <c r="N33" s="434" t="s">
        <v>1661</v>
      </c>
      <c r="O33" s="434" t="s">
        <v>1660</v>
      </c>
      <c r="P33" s="434" t="s">
        <v>1659</v>
      </c>
      <c r="Q33" s="434" t="s">
        <v>1689</v>
      </c>
      <c r="R33" s="434" t="s">
        <v>1660</v>
      </c>
      <c r="S33" s="434" t="s">
        <v>1659</v>
      </c>
      <c r="T33" s="434" t="s">
        <v>1661</v>
      </c>
      <c r="U33" s="434" t="s">
        <v>1661</v>
      </c>
      <c r="V33" s="434" t="s">
        <v>1659</v>
      </c>
      <c r="W33" s="434" t="s">
        <v>1689</v>
      </c>
      <c r="X33" s="434" t="s">
        <v>1689</v>
      </c>
      <c r="Y33" s="434" t="s">
        <v>1689</v>
      </c>
      <c r="Z33" s="434" t="s">
        <v>1659</v>
      </c>
      <c r="AA33" s="434" t="s">
        <v>1660</v>
      </c>
      <c r="AB33" s="434" t="s">
        <v>1659</v>
      </c>
      <c r="AC33" s="434"/>
      <c r="AD33" s="434" t="s">
        <v>1659</v>
      </c>
      <c r="AE33" s="434" t="s">
        <v>1659</v>
      </c>
      <c r="AF33" s="434"/>
      <c r="AG33" s="427">
        <v>8.0</v>
      </c>
      <c r="AH33" s="435" t="s">
        <v>18</v>
      </c>
      <c r="AI33" s="415"/>
      <c r="AJ33" s="436" t="str">
        <f t="array" ref="AJ33">IF(M33=DGET(claves!$A$2:$AS423,M$2,{claves!$A$2;$E33}),1,0)</f>
        <v>#VALUE!</v>
      </c>
      <c r="AK33" s="436" t="str">
        <f t="array" ref="AK33">IF(N33=DGET(claves!$A$2:$AS423,N$2,{claves!$A$2;$E33}),1,0)</f>
        <v>#VALUE!</v>
      </c>
      <c r="AL33" s="436" t="str">
        <f t="array" ref="AL33">IF(O33=DGET(claves!$A$2:$AS423,O$2,{claves!$A$2;$E33}),1,0)</f>
        <v>#VALUE!</v>
      </c>
      <c r="AM33" s="436" t="str">
        <f t="array" ref="AM33">IF(P33=DGET(claves!$A$2:$AS423,P$2,{claves!$A$2;$E33}),1,0)</f>
        <v>#VALUE!</v>
      </c>
      <c r="AN33" s="436" t="str">
        <f t="array" ref="AN33">IF(Q33=DGET(claves!$A$2:$AS423,Q$2,{claves!$A$2;$E33}),1,0)</f>
        <v>#VALUE!</v>
      </c>
      <c r="AO33" s="436" t="str">
        <f t="array" ref="AO33">IF(R33=DGET(claves!$A$2:$AS423,R$2,{claves!$A$2;$E33}),1,0)</f>
        <v>#VALUE!</v>
      </c>
      <c r="AP33" s="436" t="str">
        <f t="array" ref="AP33">IF(S33=DGET(claves!$A$2:$AS423,S$2,{claves!$A$2;$E33}),1,0)</f>
        <v>#VALUE!</v>
      </c>
      <c r="AQ33" s="436" t="str">
        <f t="array" ref="AQ33">IF(T33=DGET(claves!$A$2:$AS423,T$2,{claves!$A$2;$E33}),1,0)</f>
        <v>#VALUE!</v>
      </c>
      <c r="AR33" s="436" t="str">
        <f t="array" ref="AR33">IF(U33=DGET(claves!$A$2:$AS423,U$2,{claves!$A$2;$E33}),1,0)</f>
        <v>#VALUE!</v>
      </c>
      <c r="AS33" s="436" t="str">
        <f t="array" ref="AS33">IF(V33=DGET(claves!$A$2:$AS423,V$2,{claves!$A$2;$E33}),1,0)</f>
        <v>#VALUE!</v>
      </c>
      <c r="AT33" s="436" t="str">
        <f t="array" ref="AT33">IF(W33=DGET(claves!$A$2:$AS423,W$2,{claves!$A$2;$E33}),1,0)</f>
        <v>#VALUE!</v>
      </c>
      <c r="AU33" s="436" t="str">
        <f t="array" ref="AU33">IF(X33=DGET(claves!$A$2:$AS423,X$2,{claves!$A$2;$E33}),1,0)</f>
        <v>#VALUE!</v>
      </c>
      <c r="AV33" s="436" t="str">
        <f t="array" ref="AV33">IF(Y33=DGET(claves!$A$2:$AS423,Y$2,{claves!$A$2;$E33}),1,0)</f>
        <v>#VALUE!</v>
      </c>
      <c r="AW33" s="436" t="str">
        <f t="array" ref="AW33">IF(Z33=DGET(claves!$A$2:$AS423,Z$2,{claves!$A$2;$E33}),1,0)</f>
        <v>#VALUE!</v>
      </c>
      <c r="AX33" s="436" t="str">
        <f t="array" ref="AX33">IF(AA33=DGET(claves!$A$2:$AS423,AA$2,{claves!$A$2;$E33}),1,0)</f>
        <v>#VALUE!</v>
      </c>
      <c r="AY33" s="436" t="str">
        <f t="array" ref="AY33">IF(AB33=DGET(claves!$A$2:$AS423,AB$2,{claves!$A$2;$E33}),1,0)</f>
        <v>#VALUE!</v>
      </c>
      <c r="AZ33" s="436" t="str">
        <f t="array" ref="AZ33">IF(AC33=DGET(claves!$A$2:$AS423,AC$2,{claves!$A$2;$E33}),1,0)</f>
        <v>#VALUE!</v>
      </c>
      <c r="BA33" s="436" t="str">
        <f t="array" ref="BA33">IF(AD33=DGET(claves!$A$2:$AS423,AD$2,{claves!$A$2;$E33}),1,0)</f>
        <v>#VALUE!</v>
      </c>
      <c r="BB33" s="436" t="str">
        <f t="array" ref="BB33">IF(AE33=DGET(claves!$A$2:$AS423,AE$2,{claves!$A$2;$E33}),1,0)</f>
        <v>#VALUE!</v>
      </c>
      <c r="BC33" s="436" t="str">
        <f t="array" ref="BC33">IF(AF33=DGET(claves!$A$2:$AS423,AF$2,{claves!$A$2;$E33}),1,0)</f>
        <v>#VALUE!</v>
      </c>
      <c r="BD33" s="437" t="str">
        <f t="shared" si="1"/>
        <v>#VALUE!</v>
      </c>
      <c r="BE33" s="435" t="s">
        <v>1468</v>
      </c>
      <c r="BF33" s="415"/>
    </row>
    <row r="34" ht="14.25" customHeight="1">
      <c r="A34" s="408">
        <v>32.0</v>
      </c>
      <c r="B34" s="153" t="s">
        <v>1653</v>
      </c>
      <c r="C34" s="153">
        <v>2024.0</v>
      </c>
      <c r="D34" s="77" t="s">
        <v>362</v>
      </c>
      <c r="E34" s="409" t="str">
        <f>IFERROR(__xludf.DUMMYFUNCTION("ARRAYFORMULA(JOIN("""", ARRAYFORMULA(MID(SPLIT(F34, "" ""), 1, 1))))
&amp;""/""&amp;G34"),"MC/4 Primaria")</f>
        <v>MC/4 Primaria</v>
      </c>
      <c r="F34" s="77" t="s">
        <v>1654</v>
      </c>
      <c r="G34" s="432" t="s">
        <v>20</v>
      </c>
      <c r="H34" s="433" t="s">
        <v>1744</v>
      </c>
      <c r="I34" s="433" t="s">
        <v>1728</v>
      </c>
      <c r="J34" s="433" t="s">
        <v>1745</v>
      </c>
      <c r="K34" s="433" t="s">
        <v>1658</v>
      </c>
      <c r="L34" s="415"/>
      <c r="M34" s="434" t="s">
        <v>1689</v>
      </c>
      <c r="N34" s="434" t="s">
        <v>1661</v>
      </c>
      <c r="O34" s="434" t="s">
        <v>1660</v>
      </c>
      <c r="P34" s="434" t="s">
        <v>1660</v>
      </c>
      <c r="Q34" s="434" t="s">
        <v>1660</v>
      </c>
      <c r="R34" s="434" t="s">
        <v>1660</v>
      </c>
      <c r="S34" s="434" t="s">
        <v>1660</v>
      </c>
      <c r="T34" s="434" t="s">
        <v>1660</v>
      </c>
      <c r="U34" s="434" t="s">
        <v>1660</v>
      </c>
      <c r="V34" s="434" t="s">
        <v>1660</v>
      </c>
      <c r="W34" s="434" t="s">
        <v>1689</v>
      </c>
      <c r="X34" s="434" t="s">
        <v>1659</v>
      </c>
      <c r="Y34" s="434" t="s">
        <v>1659</v>
      </c>
      <c r="Z34" s="434" t="s">
        <v>1661</v>
      </c>
      <c r="AA34" s="434" t="s">
        <v>1689</v>
      </c>
      <c r="AB34" s="434" t="s">
        <v>1659</v>
      </c>
      <c r="AC34" s="434" t="s">
        <v>1659</v>
      </c>
      <c r="AD34" s="434" t="s">
        <v>1659</v>
      </c>
      <c r="AE34" s="434" t="s">
        <v>1659</v>
      </c>
      <c r="AF34" s="434" t="s">
        <v>1660</v>
      </c>
      <c r="AG34" s="427">
        <v>9.0</v>
      </c>
      <c r="AH34" s="435" t="s">
        <v>18</v>
      </c>
      <c r="AI34" s="415"/>
      <c r="AJ34" s="436" t="str">
        <f t="array" ref="AJ34">IF(M34=DGET(claves!$A$2:$AS423,M$2,{claves!$A$2;$E34}),1,0)</f>
        <v>#VALUE!</v>
      </c>
      <c r="AK34" s="436" t="str">
        <f t="array" ref="AK34">IF(N34=DGET(claves!$A$2:$AS423,N$2,{claves!$A$2;$E34}),1,0)</f>
        <v>#VALUE!</v>
      </c>
      <c r="AL34" s="436" t="str">
        <f t="array" ref="AL34">IF(O34=DGET(claves!$A$2:$AS423,O$2,{claves!$A$2;$E34}),1,0)</f>
        <v>#VALUE!</v>
      </c>
      <c r="AM34" s="436" t="str">
        <f t="array" ref="AM34">IF(P34=DGET(claves!$A$2:$AS423,P$2,{claves!$A$2;$E34}),1,0)</f>
        <v>#VALUE!</v>
      </c>
      <c r="AN34" s="436" t="str">
        <f t="array" ref="AN34">IF(Q34=DGET(claves!$A$2:$AS423,Q$2,{claves!$A$2;$E34}),1,0)</f>
        <v>#VALUE!</v>
      </c>
      <c r="AO34" s="436" t="str">
        <f t="array" ref="AO34">IF(R34=DGET(claves!$A$2:$AS423,R$2,{claves!$A$2;$E34}),1,0)</f>
        <v>#VALUE!</v>
      </c>
      <c r="AP34" s="436" t="str">
        <f t="array" ref="AP34">IF(S34=DGET(claves!$A$2:$AS423,S$2,{claves!$A$2;$E34}),1,0)</f>
        <v>#VALUE!</v>
      </c>
      <c r="AQ34" s="436" t="str">
        <f t="array" ref="AQ34">IF(T34=DGET(claves!$A$2:$AS423,T$2,{claves!$A$2;$E34}),1,0)</f>
        <v>#VALUE!</v>
      </c>
      <c r="AR34" s="436" t="str">
        <f t="array" ref="AR34">IF(U34=DGET(claves!$A$2:$AS423,U$2,{claves!$A$2;$E34}),1,0)</f>
        <v>#VALUE!</v>
      </c>
      <c r="AS34" s="436" t="str">
        <f t="array" ref="AS34">IF(V34=DGET(claves!$A$2:$AS423,V$2,{claves!$A$2;$E34}),1,0)</f>
        <v>#VALUE!</v>
      </c>
      <c r="AT34" s="436" t="str">
        <f t="array" ref="AT34">IF(W34=DGET(claves!$A$2:$AS423,W$2,{claves!$A$2;$E34}),1,0)</f>
        <v>#VALUE!</v>
      </c>
      <c r="AU34" s="436" t="str">
        <f t="array" ref="AU34">IF(X34=DGET(claves!$A$2:$AS423,X$2,{claves!$A$2;$E34}),1,0)</f>
        <v>#VALUE!</v>
      </c>
      <c r="AV34" s="436" t="str">
        <f t="array" ref="AV34">IF(Y34=DGET(claves!$A$2:$AS423,Y$2,{claves!$A$2;$E34}),1,0)</f>
        <v>#VALUE!</v>
      </c>
      <c r="AW34" s="436" t="str">
        <f t="array" ref="AW34">IF(Z34=DGET(claves!$A$2:$AS423,Z$2,{claves!$A$2;$E34}),1,0)</f>
        <v>#VALUE!</v>
      </c>
      <c r="AX34" s="436" t="str">
        <f t="array" ref="AX34">IF(AA34=DGET(claves!$A$2:$AS423,AA$2,{claves!$A$2;$E34}),1,0)</f>
        <v>#VALUE!</v>
      </c>
      <c r="AY34" s="436" t="str">
        <f t="array" ref="AY34">IF(AB34=DGET(claves!$A$2:$AS423,AB$2,{claves!$A$2;$E34}),1,0)</f>
        <v>#VALUE!</v>
      </c>
      <c r="AZ34" s="436" t="str">
        <f t="array" ref="AZ34">IF(AC34=DGET(claves!$A$2:$AS423,AC$2,{claves!$A$2;$E34}),1,0)</f>
        <v>#VALUE!</v>
      </c>
      <c r="BA34" s="436" t="str">
        <f t="array" ref="BA34">IF(AD34=DGET(claves!$A$2:$AS423,AD$2,{claves!$A$2;$E34}),1,0)</f>
        <v>#VALUE!</v>
      </c>
      <c r="BB34" s="436" t="str">
        <f t="array" ref="BB34">IF(AE34=DGET(claves!$A$2:$AS423,AE$2,{claves!$A$2;$E34}),1,0)</f>
        <v>#VALUE!</v>
      </c>
      <c r="BC34" s="436" t="str">
        <f t="array" ref="BC34">IF(AF34=DGET(claves!$A$2:$AS423,AF$2,{claves!$A$2;$E34}),1,0)</f>
        <v>#VALUE!</v>
      </c>
      <c r="BD34" s="437" t="str">
        <f t="shared" si="1"/>
        <v>#VALUE!</v>
      </c>
      <c r="BE34" s="435" t="s">
        <v>1468</v>
      </c>
      <c r="BF34" s="415"/>
    </row>
    <row r="35" ht="14.25" customHeight="1">
      <c r="A35" s="408">
        <v>33.0</v>
      </c>
      <c r="B35" s="153" t="s">
        <v>1653</v>
      </c>
      <c r="C35" s="153">
        <v>2024.0</v>
      </c>
      <c r="D35" s="77" t="s">
        <v>362</v>
      </c>
      <c r="E35" s="409" t="str">
        <f>IFERROR(__xludf.DUMMYFUNCTION("ARRAYFORMULA(JOIN("""", ARRAYFORMULA(MID(SPLIT(F35, "" ""), 1, 1))))
&amp;""/""&amp;G35"),"MC/4 Primaria")</f>
        <v>MC/4 Primaria</v>
      </c>
      <c r="F35" s="77" t="s">
        <v>1654</v>
      </c>
      <c r="G35" s="432" t="s">
        <v>20</v>
      </c>
      <c r="H35" s="433" t="s">
        <v>1746</v>
      </c>
      <c r="I35" s="433" t="s">
        <v>1728</v>
      </c>
      <c r="J35" s="433" t="s">
        <v>1747</v>
      </c>
      <c r="K35" s="432" t="s">
        <v>1665</v>
      </c>
      <c r="L35" s="415"/>
      <c r="M35" s="434" t="s">
        <v>1689</v>
      </c>
      <c r="N35" s="434" t="s">
        <v>1661</v>
      </c>
      <c r="O35" s="434" t="s">
        <v>1689</v>
      </c>
      <c r="P35" s="434" t="s">
        <v>1659</v>
      </c>
      <c r="Q35" s="434" t="s">
        <v>1661</v>
      </c>
      <c r="R35" s="434" t="s">
        <v>1661</v>
      </c>
      <c r="S35" s="434" t="s">
        <v>1661</v>
      </c>
      <c r="T35" s="434" t="s">
        <v>1661</v>
      </c>
      <c r="U35" s="434" t="s">
        <v>1689</v>
      </c>
      <c r="V35" s="434" t="s">
        <v>1659</v>
      </c>
      <c r="W35" s="434" t="s">
        <v>1689</v>
      </c>
      <c r="X35" s="434" t="s">
        <v>1689</v>
      </c>
      <c r="Y35" s="434" t="s">
        <v>1660</v>
      </c>
      <c r="Z35" s="434" t="s">
        <v>1689</v>
      </c>
      <c r="AA35" s="434" t="s">
        <v>1659</v>
      </c>
      <c r="AB35" s="434" t="s">
        <v>1659</v>
      </c>
      <c r="AC35" s="434" t="s">
        <v>1661</v>
      </c>
      <c r="AD35" s="434" t="s">
        <v>1661</v>
      </c>
      <c r="AE35" s="434" t="s">
        <v>1659</v>
      </c>
      <c r="AF35" s="434" t="s">
        <v>1660</v>
      </c>
      <c r="AG35" s="427">
        <v>13.0</v>
      </c>
      <c r="AH35" s="435" t="s">
        <v>24</v>
      </c>
      <c r="AI35" s="415"/>
      <c r="AJ35" s="436" t="str">
        <f t="array" ref="AJ35">IF(M35=DGET(claves!$A$2:$AS423,M$2,{claves!$A$2;$E35}),1,0)</f>
        <v>#VALUE!</v>
      </c>
      <c r="AK35" s="436" t="str">
        <f t="array" ref="AK35">IF(N35=DGET(claves!$A$2:$AS423,N$2,{claves!$A$2;$E35}),1,0)</f>
        <v>#VALUE!</v>
      </c>
      <c r="AL35" s="436" t="str">
        <f t="array" ref="AL35">IF(O35=DGET(claves!$A$2:$AS423,O$2,{claves!$A$2;$E35}),1,0)</f>
        <v>#VALUE!</v>
      </c>
      <c r="AM35" s="436" t="str">
        <f t="array" ref="AM35">IF(P35=DGET(claves!$A$2:$AS423,P$2,{claves!$A$2;$E35}),1,0)</f>
        <v>#VALUE!</v>
      </c>
      <c r="AN35" s="436" t="str">
        <f t="array" ref="AN35">IF(Q35=DGET(claves!$A$2:$AS423,Q$2,{claves!$A$2;$E35}),1,0)</f>
        <v>#VALUE!</v>
      </c>
      <c r="AO35" s="436" t="str">
        <f t="array" ref="AO35">IF(R35=DGET(claves!$A$2:$AS423,R$2,{claves!$A$2;$E35}),1,0)</f>
        <v>#VALUE!</v>
      </c>
      <c r="AP35" s="436" t="str">
        <f t="array" ref="AP35">IF(S35=DGET(claves!$A$2:$AS423,S$2,{claves!$A$2;$E35}),1,0)</f>
        <v>#VALUE!</v>
      </c>
      <c r="AQ35" s="436" t="str">
        <f t="array" ref="AQ35">IF(T35=DGET(claves!$A$2:$AS423,T$2,{claves!$A$2;$E35}),1,0)</f>
        <v>#VALUE!</v>
      </c>
      <c r="AR35" s="436" t="str">
        <f t="array" ref="AR35">IF(U35=DGET(claves!$A$2:$AS423,U$2,{claves!$A$2;$E35}),1,0)</f>
        <v>#VALUE!</v>
      </c>
      <c r="AS35" s="436" t="str">
        <f t="array" ref="AS35">IF(V35=DGET(claves!$A$2:$AS423,V$2,{claves!$A$2;$E35}),1,0)</f>
        <v>#VALUE!</v>
      </c>
      <c r="AT35" s="436" t="str">
        <f t="array" ref="AT35">IF(W35=DGET(claves!$A$2:$AS423,W$2,{claves!$A$2;$E35}),1,0)</f>
        <v>#VALUE!</v>
      </c>
      <c r="AU35" s="436" t="str">
        <f t="array" ref="AU35">IF(X35=DGET(claves!$A$2:$AS423,X$2,{claves!$A$2;$E35}),1,0)</f>
        <v>#VALUE!</v>
      </c>
      <c r="AV35" s="436" t="str">
        <f t="array" ref="AV35">IF(Y35=DGET(claves!$A$2:$AS423,Y$2,{claves!$A$2;$E35}),1,0)</f>
        <v>#VALUE!</v>
      </c>
      <c r="AW35" s="436" t="str">
        <f t="array" ref="AW35">IF(Z35=DGET(claves!$A$2:$AS423,Z$2,{claves!$A$2;$E35}),1,0)</f>
        <v>#VALUE!</v>
      </c>
      <c r="AX35" s="436" t="str">
        <f t="array" ref="AX35">IF(AA35=DGET(claves!$A$2:$AS423,AA$2,{claves!$A$2;$E35}),1,0)</f>
        <v>#VALUE!</v>
      </c>
      <c r="AY35" s="436" t="str">
        <f t="array" ref="AY35">IF(AB35=DGET(claves!$A$2:$AS423,AB$2,{claves!$A$2;$E35}),1,0)</f>
        <v>#VALUE!</v>
      </c>
      <c r="AZ35" s="436" t="str">
        <f t="array" ref="AZ35">IF(AC35=DGET(claves!$A$2:$AS423,AC$2,{claves!$A$2;$E35}),1,0)</f>
        <v>#VALUE!</v>
      </c>
      <c r="BA35" s="436" t="str">
        <f t="array" ref="BA35">IF(AD35=DGET(claves!$A$2:$AS423,AD$2,{claves!$A$2;$E35}),1,0)</f>
        <v>#VALUE!</v>
      </c>
      <c r="BB35" s="436" t="str">
        <f t="array" ref="BB35">IF(AE35=DGET(claves!$A$2:$AS423,AE$2,{claves!$A$2;$E35}),1,0)</f>
        <v>#VALUE!</v>
      </c>
      <c r="BC35" s="436" t="str">
        <f t="array" ref="BC35">IF(AF35=DGET(claves!$A$2:$AS423,AF$2,{claves!$A$2;$E35}),1,0)</f>
        <v>#VALUE!</v>
      </c>
      <c r="BD35" s="437" t="str">
        <f t="shared" si="1"/>
        <v>#VALUE!</v>
      </c>
      <c r="BE35" s="435" t="s">
        <v>1468</v>
      </c>
      <c r="BF35" s="415"/>
    </row>
    <row r="36" ht="14.25" customHeight="1">
      <c r="A36" s="408">
        <v>34.0</v>
      </c>
      <c r="B36" s="153" t="s">
        <v>1653</v>
      </c>
      <c r="C36" s="153">
        <v>2024.0</v>
      </c>
      <c r="D36" s="77" t="s">
        <v>362</v>
      </c>
      <c r="E36" s="409" t="str">
        <f>IFERROR(__xludf.DUMMYFUNCTION("ARRAYFORMULA(JOIN("""", ARRAYFORMULA(MID(SPLIT(F36, "" ""), 1, 1))))
&amp;""/""&amp;G36"),"MC/4 Primaria")</f>
        <v>MC/4 Primaria</v>
      </c>
      <c r="F36" s="77" t="s">
        <v>1654</v>
      </c>
      <c r="G36" s="432" t="s">
        <v>20</v>
      </c>
      <c r="H36" s="433" t="s">
        <v>1748</v>
      </c>
      <c r="I36" s="433" t="s">
        <v>1749</v>
      </c>
      <c r="J36" s="433" t="s">
        <v>1750</v>
      </c>
      <c r="K36" s="432" t="s">
        <v>1665</v>
      </c>
      <c r="L36" s="415"/>
      <c r="M36" s="434"/>
      <c r="N36" s="434"/>
      <c r="O36" s="434"/>
      <c r="P36" s="434"/>
      <c r="Q36" s="434"/>
      <c r="R36" s="434"/>
      <c r="S36" s="434"/>
      <c r="T36" s="434"/>
      <c r="U36" s="434"/>
      <c r="V36" s="434"/>
      <c r="W36" s="434"/>
      <c r="X36" s="434"/>
      <c r="Y36" s="434"/>
      <c r="Z36" s="434"/>
      <c r="AA36" s="434"/>
      <c r="AB36" s="434"/>
      <c r="AC36" s="434"/>
      <c r="AD36" s="434"/>
      <c r="AE36" s="434" t="s">
        <v>1659</v>
      </c>
      <c r="AF36" s="434"/>
      <c r="AG36" s="427">
        <v>1.0</v>
      </c>
      <c r="AH36" s="435" t="s">
        <v>18</v>
      </c>
      <c r="AI36" s="415"/>
      <c r="AJ36" s="436" t="str">
        <f t="array" ref="AJ36">IF(M36=DGET(claves!$A$2:$AS423,M$2,{claves!$A$2;$E36}),1,0)</f>
        <v>#VALUE!</v>
      </c>
      <c r="AK36" s="436" t="str">
        <f t="array" ref="AK36">IF(N36=DGET(claves!$A$2:$AS423,N$2,{claves!$A$2;$E36}),1,0)</f>
        <v>#VALUE!</v>
      </c>
      <c r="AL36" s="436" t="str">
        <f t="array" ref="AL36">IF(O36=DGET(claves!$A$2:$AS423,O$2,{claves!$A$2;$E36}),1,0)</f>
        <v>#VALUE!</v>
      </c>
      <c r="AM36" s="436" t="str">
        <f t="array" ref="AM36">IF(P36=DGET(claves!$A$2:$AS423,P$2,{claves!$A$2;$E36}),1,0)</f>
        <v>#VALUE!</v>
      </c>
      <c r="AN36" s="436" t="str">
        <f t="array" ref="AN36">IF(Q36=DGET(claves!$A$2:$AS423,Q$2,{claves!$A$2;$E36}),1,0)</f>
        <v>#VALUE!</v>
      </c>
      <c r="AO36" s="436" t="str">
        <f t="array" ref="AO36">IF(R36=DGET(claves!$A$2:$AS423,R$2,{claves!$A$2;$E36}),1,0)</f>
        <v>#VALUE!</v>
      </c>
      <c r="AP36" s="436" t="str">
        <f t="array" ref="AP36">IF(S36=DGET(claves!$A$2:$AS423,S$2,{claves!$A$2;$E36}),1,0)</f>
        <v>#VALUE!</v>
      </c>
      <c r="AQ36" s="436" t="str">
        <f t="array" ref="AQ36">IF(T36=DGET(claves!$A$2:$AS423,T$2,{claves!$A$2;$E36}),1,0)</f>
        <v>#VALUE!</v>
      </c>
      <c r="AR36" s="436" t="str">
        <f t="array" ref="AR36">IF(U36=DGET(claves!$A$2:$AS423,U$2,{claves!$A$2;$E36}),1,0)</f>
        <v>#VALUE!</v>
      </c>
      <c r="AS36" s="436" t="str">
        <f t="array" ref="AS36">IF(V36=DGET(claves!$A$2:$AS423,V$2,{claves!$A$2;$E36}),1,0)</f>
        <v>#VALUE!</v>
      </c>
      <c r="AT36" s="436" t="str">
        <f t="array" ref="AT36">IF(W36=DGET(claves!$A$2:$AS423,W$2,{claves!$A$2;$E36}),1,0)</f>
        <v>#VALUE!</v>
      </c>
      <c r="AU36" s="436" t="str">
        <f t="array" ref="AU36">IF(X36=DGET(claves!$A$2:$AS423,X$2,{claves!$A$2;$E36}),1,0)</f>
        <v>#VALUE!</v>
      </c>
      <c r="AV36" s="436" t="str">
        <f t="array" ref="AV36">IF(Y36=DGET(claves!$A$2:$AS423,Y$2,{claves!$A$2;$E36}),1,0)</f>
        <v>#VALUE!</v>
      </c>
      <c r="AW36" s="436" t="str">
        <f t="array" ref="AW36">IF(Z36=DGET(claves!$A$2:$AS423,Z$2,{claves!$A$2;$E36}),1,0)</f>
        <v>#VALUE!</v>
      </c>
      <c r="AX36" s="436" t="str">
        <f t="array" ref="AX36">IF(AA36=DGET(claves!$A$2:$AS423,AA$2,{claves!$A$2;$E36}),1,0)</f>
        <v>#VALUE!</v>
      </c>
      <c r="AY36" s="436" t="str">
        <f t="array" ref="AY36">IF(AB36=DGET(claves!$A$2:$AS423,AB$2,{claves!$A$2;$E36}),1,0)</f>
        <v>#VALUE!</v>
      </c>
      <c r="AZ36" s="436" t="str">
        <f t="array" ref="AZ36">IF(AC36=DGET(claves!$A$2:$AS423,AC$2,{claves!$A$2;$E36}),1,0)</f>
        <v>#VALUE!</v>
      </c>
      <c r="BA36" s="436" t="str">
        <f t="array" ref="BA36">IF(AD36=DGET(claves!$A$2:$AS423,AD$2,{claves!$A$2;$E36}),1,0)</f>
        <v>#VALUE!</v>
      </c>
      <c r="BB36" s="436" t="str">
        <f t="array" ref="BB36">IF(AE36=DGET(claves!$A$2:$AS423,AE$2,{claves!$A$2;$E36}),1,0)</f>
        <v>#VALUE!</v>
      </c>
      <c r="BC36" s="436" t="str">
        <f t="array" ref="BC36">IF(AF36=DGET(claves!$A$2:$AS423,AF$2,{claves!$A$2;$E36}),1,0)</f>
        <v>#VALUE!</v>
      </c>
      <c r="BD36" s="437" t="str">
        <f t="shared" si="1"/>
        <v>#VALUE!</v>
      </c>
      <c r="BE36" s="435" t="s">
        <v>1468</v>
      </c>
      <c r="BF36" s="415"/>
    </row>
    <row r="37" ht="14.25" customHeight="1">
      <c r="A37" s="408">
        <v>35.0</v>
      </c>
      <c r="B37" s="153" t="s">
        <v>1653</v>
      </c>
      <c r="C37" s="153">
        <v>2024.0</v>
      </c>
      <c r="D37" s="77" t="s">
        <v>362</v>
      </c>
      <c r="E37" s="409" t="str">
        <f>IFERROR(__xludf.DUMMYFUNCTION("ARRAYFORMULA(JOIN("""", ARRAYFORMULA(MID(SPLIT(F37, "" ""), 1, 1))))
&amp;""/""&amp;G37"),"MC/4 Primaria")</f>
        <v>MC/4 Primaria</v>
      </c>
      <c r="F37" s="77" t="s">
        <v>1654</v>
      </c>
      <c r="G37" s="432" t="s">
        <v>20</v>
      </c>
      <c r="H37" s="433" t="s">
        <v>1751</v>
      </c>
      <c r="I37" s="433" t="s">
        <v>1752</v>
      </c>
      <c r="J37" s="433" t="s">
        <v>1753</v>
      </c>
      <c r="K37" s="433" t="s">
        <v>1658</v>
      </c>
      <c r="L37" s="415"/>
      <c r="M37" s="434"/>
      <c r="N37" s="434"/>
      <c r="O37" s="434"/>
      <c r="P37" s="434"/>
      <c r="Q37" s="434"/>
      <c r="R37" s="434"/>
      <c r="S37" s="434"/>
      <c r="T37" s="434"/>
      <c r="U37" s="434"/>
      <c r="V37" s="434"/>
      <c r="W37" s="434"/>
      <c r="X37" s="434"/>
      <c r="Y37" s="434"/>
      <c r="Z37" s="434"/>
      <c r="AA37" s="434"/>
      <c r="AB37" s="434"/>
      <c r="AC37" s="434"/>
      <c r="AD37" s="434"/>
      <c r="AE37" s="434"/>
      <c r="AF37" s="434"/>
      <c r="AG37" s="427">
        <v>0.0</v>
      </c>
      <c r="AH37" s="435" t="s">
        <v>1468</v>
      </c>
      <c r="AI37" s="415"/>
      <c r="AJ37" s="436" t="str">
        <f t="array" ref="AJ37">IF(M37=DGET(claves!$A$2:$AS423,M$2,{claves!$A$2;$E37}),1,0)</f>
        <v>#VALUE!</v>
      </c>
      <c r="AK37" s="436" t="str">
        <f t="array" ref="AK37">IF(N37=DGET(claves!$A$2:$AS423,N$2,{claves!$A$2;$E37}),1,0)</f>
        <v>#VALUE!</v>
      </c>
      <c r="AL37" s="436" t="str">
        <f t="array" ref="AL37">IF(O37=DGET(claves!$A$2:$AS423,O$2,{claves!$A$2;$E37}),1,0)</f>
        <v>#VALUE!</v>
      </c>
      <c r="AM37" s="436" t="str">
        <f t="array" ref="AM37">IF(P37=DGET(claves!$A$2:$AS423,P$2,{claves!$A$2;$E37}),1,0)</f>
        <v>#VALUE!</v>
      </c>
      <c r="AN37" s="436" t="str">
        <f t="array" ref="AN37">IF(Q37=DGET(claves!$A$2:$AS423,Q$2,{claves!$A$2;$E37}),1,0)</f>
        <v>#VALUE!</v>
      </c>
      <c r="AO37" s="436" t="str">
        <f t="array" ref="AO37">IF(R37=DGET(claves!$A$2:$AS423,R$2,{claves!$A$2;$E37}),1,0)</f>
        <v>#VALUE!</v>
      </c>
      <c r="AP37" s="436" t="str">
        <f t="array" ref="AP37">IF(S37=DGET(claves!$A$2:$AS423,S$2,{claves!$A$2;$E37}),1,0)</f>
        <v>#VALUE!</v>
      </c>
      <c r="AQ37" s="436" t="str">
        <f t="array" ref="AQ37">IF(T37=DGET(claves!$A$2:$AS423,T$2,{claves!$A$2;$E37}),1,0)</f>
        <v>#VALUE!</v>
      </c>
      <c r="AR37" s="436" t="str">
        <f t="array" ref="AR37">IF(U37=DGET(claves!$A$2:$AS423,U$2,{claves!$A$2;$E37}),1,0)</f>
        <v>#VALUE!</v>
      </c>
      <c r="AS37" s="436" t="str">
        <f t="array" ref="AS37">IF(V37=DGET(claves!$A$2:$AS423,V$2,{claves!$A$2;$E37}),1,0)</f>
        <v>#VALUE!</v>
      </c>
      <c r="AT37" s="436" t="str">
        <f t="array" ref="AT37">IF(W37=DGET(claves!$A$2:$AS423,W$2,{claves!$A$2;$E37}),1,0)</f>
        <v>#VALUE!</v>
      </c>
      <c r="AU37" s="436" t="str">
        <f t="array" ref="AU37">IF(X37=DGET(claves!$A$2:$AS423,X$2,{claves!$A$2;$E37}),1,0)</f>
        <v>#VALUE!</v>
      </c>
      <c r="AV37" s="436" t="str">
        <f t="array" ref="AV37">IF(Y37=DGET(claves!$A$2:$AS423,Y$2,{claves!$A$2;$E37}),1,0)</f>
        <v>#VALUE!</v>
      </c>
      <c r="AW37" s="436" t="str">
        <f t="array" ref="AW37">IF(Z37=DGET(claves!$A$2:$AS423,Z$2,{claves!$A$2;$E37}),1,0)</f>
        <v>#VALUE!</v>
      </c>
      <c r="AX37" s="436" t="str">
        <f t="array" ref="AX37">IF(AA37=DGET(claves!$A$2:$AS423,AA$2,{claves!$A$2;$E37}),1,0)</f>
        <v>#VALUE!</v>
      </c>
      <c r="AY37" s="436" t="str">
        <f t="array" ref="AY37">IF(AB37=DGET(claves!$A$2:$AS423,AB$2,{claves!$A$2;$E37}),1,0)</f>
        <v>#VALUE!</v>
      </c>
      <c r="AZ37" s="436" t="str">
        <f t="array" ref="AZ37">IF(AC37=DGET(claves!$A$2:$AS423,AC$2,{claves!$A$2;$E37}),1,0)</f>
        <v>#VALUE!</v>
      </c>
      <c r="BA37" s="436" t="str">
        <f t="array" ref="BA37">IF(AD37=DGET(claves!$A$2:$AS423,AD$2,{claves!$A$2;$E37}),1,0)</f>
        <v>#VALUE!</v>
      </c>
      <c r="BB37" s="436" t="str">
        <f t="array" ref="BB37">IF(AE37=DGET(claves!$A$2:$AS423,AE$2,{claves!$A$2;$E37}),1,0)</f>
        <v>#VALUE!</v>
      </c>
      <c r="BC37" s="436" t="str">
        <f t="array" ref="BC37">IF(AF37=DGET(claves!$A$2:$AS423,AF$2,{claves!$A$2;$E37}),1,0)</f>
        <v>#VALUE!</v>
      </c>
      <c r="BD37" s="437" t="str">
        <f t="shared" si="1"/>
        <v>#VALUE!</v>
      </c>
      <c r="BE37" s="435" t="s">
        <v>1468</v>
      </c>
      <c r="BF37" s="415"/>
    </row>
    <row r="38" ht="14.25" customHeight="1">
      <c r="A38" s="408">
        <v>36.0</v>
      </c>
      <c r="B38" s="153" t="s">
        <v>1653</v>
      </c>
      <c r="C38" s="153">
        <v>2024.0</v>
      </c>
      <c r="D38" s="77" t="s">
        <v>362</v>
      </c>
      <c r="E38" s="409" t="str">
        <f>IFERROR(__xludf.DUMMYFUNCTION("ARRAYFORMULA(JOIN("""", ARRAYFORMULA(MID(SPLIT(F38, "" ""), 1, 1))))
&amp;""/""&amp;G38"),"MC/4 Primaria")</f>
        <v>MC/4 Primaria</v>
      </c>
      <c r="F38" s="77" t="s">
        <v>1654</v>
      </c>
      <c r="G38" s="432" t="s">
        <v>20</v>
      </c>
      <c r="H38" s="433" t="s">
        <v>1754</v>
      </c>
      <c r="I38" s="433" t="s">
        <v>1755</v>
      </c>
      <c r="J38" s="433" t="s">
        <v>1756</v>
      </c>
      <c r="K38" s="432" t="s">
        <v>1665</v>
      </c>
      <c r="L38" s="415"/>
      <c r="M38" s="434" t="s">
        <v>1659</v>
      </c>
      <c r="N38" s="434" t="s">
        <v>1661</v>
      </c>
      <c r="O38" s="434" t="s">
        <v>1661</v>
      </c>
      <c r="P38" s="434" t="s">
        <v>1659</v>
      </c>
      <c r="Q38" s="434" t="s">
        <v>1659</v>
      </c>
      <c r="R38" s="434" t="s">
        <v>1659</v>
      </c>
      <c r="S38" s="434" t="s">
        <v>1660</v>
      </c>
      <c r="T38" s="434" t="s">
        <v>1689</v>
      </c>
      <c r="U38" s="434" t="s">
        <v>1689</v>
      </c>
      <c r="V38" s="434" t="s">
        <v>1659</v>
      </c>
      <c r="W38" s="434" t="s">
        <v>1689</v>
      </c>
      <c r="X38" s="434" t="s">
        <v>1689</v>
      </c>
      <c r="Y38" s="434" t="s">
        <v>1661</v>
      </c>
      <c r="Z38" s="434" t="s">
        <v>1689</v>
      </c>
      <c r="AA38" s="434" t="s">
        <v>1661</v>
      </c>
      <c r="AB38" s="434" t="s">
        <v>1660</v>
      </c>
      <c r="AC38" s="434" t="s">
        <v>1689</v>
      </c>
      <c r="AD38" s="434" t="s">
        <v>1661</v>
      </c>
      <c r="AE38" s="434" t="s">
        <v>1659</v>
      </c>
      <c r="AF38" s="434" t="s">
        <v>1659</v>
      </c>
      <c r="AG38" s="427">
        <v>5.0</v>
      </c>
      <c r="AH38" s="435" t="s">
        <v>18</v>
      </c>
      <c r="AI38" s="415"/>
      <c r="AJ38" s="436" t="str">
        <f t="array" ref="AJ38">IF(M38=DGET(claves!$A$2:$AS423,M$2,{claves!$A$2;$E38}),1,0)</f>
        <v>#VALUE!</v>
      </c>
      <c r="AK38" s="436" t="str">
        <f t="array" ref="AK38">IF(N38=DGET(claves!$A$2:$AS423,N$2,{claves!$A$2;$E38}),1,0)</f>
        <v>#VALUE!</v>
      </c>
      <c r="AL38" s="436" t="str">
        <f t="array" ref="AL38">IF(O38=DGET(claves!$A$2:$AS423,O$2,{claves!$A$2;$E38}),1,0)</f>
        <v>#VALUE!</v>
      </c>
      <c r="AM38" s="436" t="str">
        <f t="array" ref="AM38">IF(P38=DGET(claves!$A$2:$AS423,P$2,{claves!$A$2;$E38}),1,0)</f>
        <v>#VALUE!</v>
      </c>
      <c r="AN38" s="436" t="str">
        <f t="array" ref="AN38">IF(Q38=DGET(claves!$A$2:$AS423,Q$2,{claves!$A$2;$E38}),1,0)</f>
        <v>#VALUE!</v>
      </c>
      <c r="AO38" s="436" t="str">
        <f t="array" ref="AO38">IF(R38=DGET(claves!$A$2:$AS423,R$2,{claves!$A$2;$E38}),1,0)</f>
        <v>#VALUE!</v>
      </c>
      <c r="AP38" s="436" t="str">
        <f t="array" ref="AP38">IF(S38=DGET(claves!$A$2:$AS423,S$2,{claves!$A$2;$E38}),1,0)</f>
        <v>#VALUE!</v>
      </c>
      <c r="AQ38" s="436" t="str">
        <f t="array" ref="AQ38">IF(T38=DGET(claves!$A$2:$AS423,T$2,{claves!$A$2;$E38}),1,0)</f>
        <v>#VALUE!</v>
      </c>
      <c r="AR38" s="436" t="str">
        <f t="array" ref="AR38">IF(U38=DGET(claves!$A$2:$AS423,U$2,{claves!$A$2;$E38}),1,0)</f>
        <v>#VALUE!</v>
      </c>
      <c r="AS38" s="436" t="str">
        <f t="array" ref="AS38">IF(V38=DGET(claves!$A$2:$AS423,V$2,{claves!$A$2;$E38}),1,0)</f>
        <v>#VALUE!</v>
      </c>
      <c r="AT38" s="436" t="str">
        <f t="array" ref="AT38">IF(W38=DGET(claves!$A$2:$AS423,W$2,{claves!$A$2;$E38}),1,0)</f>
        <v>#VALUE!</v>
      </c>
      <c r="AU38" s="436" t="str">
        <f t="array" ref="AU38">IF(X38=DGET(claves!$A$2:$AS423,X$2,{claves!$A$2;$E38}),1,0)</f>
        <v>#VALUE!</v>
      </c>
      <c r="AV38" s="436" t="str">
        <f t="array" ref="AV38">IF(Y38=DGET(claves!$A$2:$AS423,Y$2,{claves!$A$2;$E38}),1,0)</f>
        <v>#VALUE!</v>
      </c>
      <c r="AW38" s="436" t="str">
        <f t="array" ref="AW38">IF(Z38=DGET(claves!$A$2:$AS423,Z$2,{claves!$A$2;$E38}),1,0)</f>
        <v>#VALUE!</v>
      </c>
      <c r="AX38" s="436" t="str">
        <f t="array" ref="AX38">IF(AA38=DGET(claves!$A$2:$AS423,AA$2,{claves!$A$2;$E38}),1,0)</f>
        <v>#VALUE!</v>
      </c>
      <c r="AY38" s="436" t="str">
        <f t="array" ref="AY38">IF(AB38=DGET(claves!$A$2:$AS423,AB$2,{claves!$A$2;$E38}),1,0)</f>
        <v>#VALUE!</v>
      </c>
      <c r="AZ38" s="436" t="str">
        <f t="array" ref="AZ38">IF(AC38=DGET(claves!$A$2:$AS423,AC$2,{claves!$A$2;$E38}),1,0)</f>
        <v>#VALUE!</v>
      </c>
      <c r="BA38" s="436" t="str">
        <f t="array" ref="BA38">IF(AD38=DGET(claves!$A$2:$AS423,AD$2,{claves!$A$2;$E38}),1,0)</f>
        <v>#VALUE!</v>
      </c>
      <c r="BB38" s="436" t="str">
        <f t="array" ref="BB38">IF(AE38=DGET(claves!$A$2:$AS423,AE$2,{claves!$A$2;$E38}),1,0)</f>
        <v>#VALUE!</v>
      </c>
      <c r="BC38" s="436" t="str">
        <f t="array" ref="BC38">IF(AF38=DGET(claves!$A$2:$AS423,AF$2,{claves!$A$2;$E38}),1,0)</f>
        <v>#VALUE!</v>
      </c>
      <c r="BD38" s="437" t="str">
        <f t="shared" si="1"/>
        <v>#VALUE!</v>
      </c>
      <c r="BE38" s="435" t="s">
        <v>1468</v>
      </c>
      <c r="BF38" s="415"/>
    </row>
    <row r="39" ht="14.25" customHeight="1">
      <c r="A39" s="408">
        <v>37.0</v>
      </c>
      <c r="B39" s="153" t="s">
        <v>1653</v>
      </c>
      <c r="C39" s="153">
        <v>2024.0</v>
      </c>
      <c r="D39" s="77" t="s">
        <v>362</v>
      </c>
      <c r="E39" s="409" t="str">
        <f>IFERROR(__xludf.DUMMYFUNCTION("ARRAYFORMULA(JOIN("""", ARRAYFORMULA(MID(SPLIT(F39, "" ""), 1, 1))))
&amp;""/""&amp;G39"),"MC/4 Primaria")</f>
        <v>MC/4 Primaria</v>
      </c>
      <c r="F39" s="77" t="s">
        <v>1654</v>
      </c>
      <c r="G39" s="432" t="s">
        <v>20</v>
      </c>
      <c r="H39" s="433" t="s">
        <v>1737</v>
      </c>
      <c r="I39" s="433" t="s">
        <v>1684</v>
      </c>
      <c r="J39" s="433" t="s">
        <v>1757</v>
      </c>
      <c r="K39" s="433" t="s">
        <v>1658</v>
      </c>
      <c r="L39" s="415"/>
      <c r="M39" s="434" t="s">
        <v>1689</v>
      </c>
      <c r="N39" s="434" t="s">
        <v>1661</v>
      </c>
      <c r="O39" s="434" t="s">
        <v>1689</v>
      </c>
      <c r="P39" s="434" t="s">
        <v>1689</v>
      </c>
      <c r="Q39" s="434" t="s">
        <v>1661</v>
      </c>
      <c r="R39" s="434" t="s">
        <v>1660</v>
      </c>
      <c r="S39" s="434" t="s">
        <v>1659</v>
      </c>
      <c r="T39" s="434" t="s">
        <v>1661</v>
      </c>
      <c r="U39" s="434" t="s">
        <v>1660</v>
      </c>
      <c r="V39" s="434" t="s">
        <v>1660</v>
      </c>
      <c r="W39" s="434" t="s">
        <v>1689</v>
      </c>
      <c r="X39" s="434" t="s">
        <v>1660</v>
      </c>
      <c r="Y39" s="434" t="s">
        <v>1660</v>
      </c>
      <c r="Z39" s="434" t="s">
        <v>1661</v>
      </c>
      <c r="AA39" s="434" t="s">
        <v>1660</v>
      </c>
      <c r="AB39" s="434" t="s">
        <v>1659</v>
      </c>
      <c r="AC39" s="434" t="s">
        <v>1661</v>
      </c>
      <c r="AD39" s="434" t="s">
        <v>1661</v>
      </c>
      <c r="AE39" s="434" t="s">
        <v>1659</v>
      </c>
      <c r="AF39" s="434" t="s">
        <v>1660</v>
      </c>
      <c r="AG39" s="427">
        <v>18.0</v>
      </c>
      <c r="AH39" s="438" t="s">
        <v>32</v>
      </c>
      <c r="AI39" s="415"/>
      <c r="AJ39" s="436" t="str">
        <f t="array" ref="AJ39">IF(M39=DGET(claves!$A$2:$AS423,M$2,{claves!$A$2;$E39}),1,0)</f>
        <v>#VALUE!</v>
      </c>
      <c r="AK39" s="436" t="str">
        <f t="array" ref="AK39">IF(N39=DGET(claves!$A$2:$AS423,N$2,{claves!$A$2;$E39}),1,0)</f>
        <v>#VALUE!</v>
      </c>
      <c r="AL39" s="436" t="str">
        <f t="array" ref="AL39">IF(O39=DGET(claves!$A$2:$AS423,O$2,{claves!$A$2;$E39}),1,0)</f>
        <v>#VALUE!</v>
      </c>
      <c r="AM39" s="436" t="str">
        <f t="array" ref="AM39">IF(P39=DGET(claves!$A$2:$AS423,P$2,{claves!$A$2;$E39}),1,0)</f>
        <v>#VALUE!</v>
      </c>
      <c r="AN39" s="436" t="str">
        <f t="array" ref="AN39">IF(Q39=DGET(claves!$A$2:$AS423,Q$2,{claves!$A$2;$E39}),1,0)</f>
        <v>#VALUE!</v>
      </c>
      <c r="AO39" s="436" t="str">
        <f t="array" ref="AO39">IF(R39=DGET(claves!$A$2:$AS423,R$2,{claves!$A$2;$E39}),1,0)</f>
        <v>#VALUE!</v>
      </c>
      <c r="AP39" s="436" t="str">
        <f t="array" ref="AP39">IF(S39=DGET(claves!$A$2:$AS423,S$2,{claves!$A$2;$E39}),1,0)</f>
        <v>#VALUE!</v>
      </c>
      <c r="AQ39" s="436" t="str">
        <f t="array" ref="AQ39">IF(T39=DGET(claves!$A$2:$AS423,T$2,{claves!$A$2;$E39}),1,0)</f>
        <v>#VALUE!</v>
      </c>
      <c r="AR39" s="436" t="str">
        <f t="array" ref="AR39">IF(U39=DGET(claves!$A$2:$AS423,U$2,{claves!$A$2;$E39}),1,0)</f>
        <v>#VALUE!</v>
      </c>
      <c r="AS39" s="436" t="str">
        <f t="array" ref="AS39">IF(V39=DGET(claves!$A$2:$AS423,V$2,{claves!$A$2;$E39}),1,0)</f>
        <v>#VALUE!</v>
      </c>
      <c r="AT39" s="436" t="str">
        <f t="array" ref="AT39">IF(W39=DGET(claves!$A$2:$AS423,W$2,{claves!$A$2;$E39}),1,0)</f>
        <v>#VALUE!</v>
      </c>
      <c r="AU39" s="436" t="str">
        <f t="array" ref="AU39">IF(X39=DGET(claves!$A$2:$AS423,X$2,{claves!$A$2;$E39}),1,0)</f>
        <v>#VALUE!</v>
      </c>
      <c r="AV39" s="436" t="str">
        <f t="array" ref="AV39">IF(Y39=DGET(claves!$A$2:$AS423,Y$2,{claves!$A$2;$E39}),1,0)</f>
        <v>#VALUE!</v>
      </c>
      <c r="AW39" s="436" t="str">
        <f t="array" ref="AW39">IF(Z39=DGET(claves!$A$2:$AS423,Z$2,{claves!$A$2;$E39}),1,0)</f>
        <v>#VALUE!</v>
      </c>
      <c r="AX39" s="436" t="str">
        <f t="array" ref="AX39">IF(AA39=DGET(claves!$A$2:$AS423,AA$2,{claves!$A$2;$E39}),1,0)</f>
        <v>#VALUE!</v>
      </c>
      <c r="AY39" s="436" t="str">
        <f t="array" ref="AY39">IF(AB39=DGET(claves!$A$2:$AS423,AB$2,{claves!$A$2;$E39}),1,0)</f>
        <v>#VALUE!</v>
      </c>
      <c r="AZ39" s="436" t="str">
        <f t="array" ref="AZ39">IF(AC39=DGET(claves!$A$2:$AS423,AC$2,{claves!$A$2;$E39}),1,0)</f>
        <v>#VALUE!</v>
      </c>
      <c r="BA39" s="436" t="str">
        <f t="array" ref="BA39">IF(AD39=DGET(claves!$A$2:$AS423,AD$2,{claves!$A$2;$E39}),1,0)</f>
        <v>#VALUE!</v>
      </c>
      <c r="BB39" s="436" t="str">
        <f t="array" ref="BB39">IF(AE39=DGET(claves!$A$2:$AS423,AE$2,{claves!$A$2;$E39}),1,0)</f>
        <v>#VALUE!</v>
      </c>
      <c r="BC39" s="436" t="str">
        <f t="array" ref="BC39">IF(AF39=DGET(claves!$A$2:$AS423,AF$2,{claves!$A$2;$E39}),1,0)</f>
        <v>#VALUE!</v>
      </c>
      <c r="BD39" s="437" t="str">
        <f t="shared" si="1"/>
        <v>#VALUE!</v>
      </c>
      <c r="BE39" s="435" t="s">
        <v>1468</v>
      </c>
      <c r="BF39" s="415"/>
    </row>
    <row r="40" ht="14.25" customHeight="1">
      <c r="A40" s="408">
        <v>38.0</v>
      </c>
      <c r="B40" s="153" t="s">
        <v>1653</v>
      </c>
      <c r="C40" s="153">
        <v>2024.0</v>
      </c>
      <c r="D40" s="77" t="s">
        <v>362</v>
      </c>
      <c r="E40" s="409" t="str">
        <f>IFERROR(__xludf.DUMMYFUNCTION("ARRAYFORMULA(JOIN("""", ARRAYFORMULA(MID(SPLIT(F40, "" ""), 1, 1))))
&amp;""/""&amp;G40"),"MC/4 Primaria")</f>
        <v>MC/4 Primaria</v>
      </c>
      <c r="F40" s="77" t="s">
        <v>1654</v>
      </c>
      <c r="G40" s="432" t="s">
        <v>20</v>
      </c>
      <c r="H40" s="433" t="s">
        <v>1758</v>
      </c>
      <c r="I40" s="433" t="s">
        <v>1759</v>
      </c>
      <c r="J40" s="433" t="s">
        <v>1760</v>
      </c>
      <c r="K40" s="432" t="s">
        <v>1665</v>
      </c>
      <c r="L40" s="415"/>
      <c r="M40" s="434" t="s">
        <v>1689</v>
      </c>
      <c r="N40" s="434" t="s">
        <v>1661</v>
      </c>
      <c r="O40" s="434" t="s">
        <v>1689</v>
      </c>
      <c r="P40" s="434" t="s">
        <v>1660</v>
      </c>
      <c r="Q40" s="434" t="s">
        <v>1661</v>
      </c>
      <c r="R40" s="434" t="s">
        <v>1661</v>
      </c>
      <c r="S40" s="434" t="s">
        <v>1661</v>
      </c>
      <c r="T40" s="434" t="s">
        <v>1661</v>
      </c>
      <c r="U40" s="434" t="s">
        <v>1689</v>
      </c>
      <c r="V40" s="434" t="s">
        <v>1659</v>
      </c>
      <c r="W40" s="434" t="s">
        <v>1659</v>
      </c>
      <c r="X40" s="434" t="s">
        <v>1661</v>
      </c>
      <c r="Y40" s="434" t="s">
        <v>1660</v>
      </c>
      <c r="Z40" s="434" t="s">
        <v>1689</v>
      </c>
      <c r="AA40" s="434" t="s">
        <v>1659</v>
      </c>
      <c r="AB40" s="434" t="s">
        <v>1659</v>
      </c>
      <c r="AC40" s="434" t="s">
        <v>1689</v>
      </c>
      <c r="AD40" s="434" t="s">
        <v>1689</v>
      </c>
      <c r="AE40" s="434" t="s">
        <v>1659</v>
      </c>
      <c r="AF40" s="434" t="s">
        <v>1661</v>
      </c>
      <c r="AG40" s="427">
        <v>10.0</v>
      </c>
      <c r="AH40" s="435" t="s">
        <v>18</v>
      </c>
      <c r="AI40" s="415"/>
      <c r="AJ40" s="436" t="str">
        <f t="array" ref="AJ40">IF(M40=DGET(claves!$A$2:$AS423,M$2,{claves!$A$2;$E40}),1,0)</f>
        <v>#VALUE!</v>
      </c>
      <c r="AK40" s="436" t="str">
        <f t="array" ref="AK40">IF(N40=DGET(claves!$A$2:$AS423,N$2,{claves!$A$2;$E40}),1,0)</f>
        <v>#VALUE!</v>
      </c>
      <c r="AL40" s="436" t="str">
        <f t="array" ref="AL40">IF(O40=DGET(claves!$A$2:$AS423,O$2,{claves!$A$2;$E40}),1,0)</f>
        <v>#VALUE!</v>
      </c>
      <c r="AM40" s="436" t="str">
        <f t="array" ref="AM40">IF(P40=DGET(claves!$A$2:$AS423,P$2,{claves!$A$2;$E40}),1,0)</f>
        <v>#VALUE!</v>
      </c>
      <c r="AN40" s="436" t="str">
        <f t="array" ref="AN40">IF(Q40=DGET(claves!$A$2:$AS423,Q$2,{claves!$A$2;$E40}),1,0)</f>
        <v>#VALUE!</v>
      </c>
      <c r="AO40" s="436" t="str">
        <f t="array" ref="AO40">IF(R40=DGET(claves!$A$2:$AS423,R$2,{claves!$A$2;$E40}),1,0)</f>
        <v>#VALUE!</v>
      </c>
      <c r="AP40" s="436" t="str">
        <f t="array" ref="AP40">IF(S40=DGET(claves!$A$2:$AS423,S$2,{claves!$A$2;$E40}),1,0)</f>
        <v>#VALUE!</v>
      </c>
      <c r="AQ40" s="436" t="str">
        <f t="array" ref="AQ40">IF(T40=DGET(claves!$A$2:$AS423,T$2,{claves!$A$2;$E40}),1,0)</f>
        <v>#VALUE!</v>
      </c>
      <c r="AR40" s="436" t="str">
        <f t="array" ref="AR40">IF(U40=DGET(claves!$A$2:$AS423,U$2,{claves!$A$2;$E40}),1,0)</f>
        <v>#VALUE!</v>
      </c>
      <c r="AS40" s="436" t="str">
        <f t="array" ref="AS40">IF(V40=DGET(claves!$A$2:$AS423,V$2,{claves!$A$2;$E40}),1,0)</f>
        <v>#VALUE!</v>
      </c>
      <c r="AT40" s="436" t="str">
        <f t="array" ref="AT40">IF(W40=DGET(claves!$A$2:$AS423,W$2,{claves!$A$2;$E40}),1,0)</f>
        <v>#VALUE!</v>
      </c>
      <c r="AU40" s="436" t="str">
        <f t="array" ref="AU40">IF(X40=DGET(claves!$A$2:$AS423,X$2,{claves!$A$2;$E40}),1,0)</f>
        <v>#VALUE!</v>
      </c>
      <c r="AV40" s="436" t="str">
        <f t="array" ref="AV40">IF(Y40=DGET(claves!$A$2:$AS423,Y$2,{claves!$A$2;$E40}),1,0)</f>
        <v>#VALUE!</v>
      </c>
      <c r="AW40" s="436" t="str">
        <f t="array" ref="AW40">IF(Z40=DGET(claves!$A$2:$AS423,Z$2,{claves!$A$2;$E40}),1,0)</f>
        <v>#VALUE!</v>
      </c>
      <c r="AX40" s="436" t="str">
        <f t="array" ref="AX40">IF(AA40=DGET(claves!$A$2:$AS423,AA$2,{claves!$A$2;$E40}),1,0)</f>
        <v>#VALUE!</v>
      </c>
      <c r="AY40" s="436" t="str">
        <f t="array" ref="AY40">IF(AB40=DGET(claves!$A$2:$AS423,AB$2,{claves!$A$2;$E40}),1,0)</f>
        <v>#VALUE!</v>
      </c>
      <c r="AZ40" s="436" t="str">
        <f t="array" ref="AZ40">IF(AC40=DGET(claves!$A$2:$AS423,AC$2,{claves!$A$2;$E40}),1,0)</f>
        <v>#VALUE!</v>
      </c>
      <c r="BA40" s="436" t="str">
        <f t="array" ref="BA40">IF(AD40=DGET(claves!$A$2:$AS423,AD$2,{claves!$A$2;$E40}),1,0)</f>
        <v>#VALUE!</v>
      </c>
      <c r="BB40" s="436" t="str">
        <f t="array" ref="BB40">IF(AE40=DGET(claves!$A$2:$AS423,AE$2,{claves!$A$2;$E40}),1,0)</f>
        <v>#VALUE!</v>
      </c>
      <c r="BC40" s="436" t="str">
        <f t="array" ref="BC40">IF(AF40=DGET(claves!$A$2:$AS423,AF$2,{claves!$A$2;$E40}),1,0)</f>
        <v>#VALUE!</v>
      </c>
      <c r="BD40" s="437" t="str">
        <f t="shared" si="1"/>
        <v>#VALUE!</v>
      </c>
      <c r="BE40" s="435" t="s">
        <v>1468</v>
      </c>
      <c r="BF40" s="415"/>
    </row>
    <row r="41" ht="14.25" customHeight="1">
      <c r="A41" s="408">
        <v>39.0</v>
      </c>
      <c r="B41" s="153" t="s">
        <v>1653</v>
      </c>
      <c r="C41" s="153">
        <v>2024.0</v>
      </c>
      <c r="D41" s="77" t="s">
        <v>362</v>
      </c>
      <c r="E41" s="409" t="str">
        <f>IFERROR(__xludf.DUMMYFUNCTION("ARRAYFORMULA(JOIN("""", ARRAYFORMULA(MID(SPLIT(F41, "" ""), 1, 1))))
&amp;""/""&amp;G41"),"MC/4 Primaria")</f>
        <v>MC/4 Primaria</v>
      </c>
      <c r="F41" s="77" t="s">
        <v>1654</v>
      </c>
      <c r="G41" s="432" t="s">
        <v>20</v>
      </c>
      <c r="H41" s="433" t="s">
        <v>1761</v>
      </c>
      <c r="I41" s="433" t="s">
        <v>1762</v>
      </c>
      <c r="J41" s="433" t="s">
        <v>1763</v>
      </c>
      <c r="K41" s="433" t="s">
        <v>1658</v>
      </c>
      <c r="L41" s="415"/>
      <c r="M41" s="434" t="s">
        <v>1689</v>
      </c>
      <c r="N41" s="434" t="s">
        <v>1661</v>
      </c>
      <c r="O41" s="434" t="s">
        <v>1689</v>
      </c>
      <c r="P41" s="434" t="s">
        <v>1689</v>
      </c>
      <c r="Q41" s="434" t="s">
        <v>1661</v>
      </c>
      <c r="R41" s="434" t="s">
        <v>1660</v>
      </c>
      <c r="S41" s="434" t="s">
        <v>1661</v>
      </c>
      <c r="T41" s="434" t="s">
        <v>1661</v>
      </c>
      <c r="U41" s="434" t="s">
        <v>1659</v>
      </c>
      <c r="V41" s="434" t="s">
        <v>1660</v>
      </c>
      <c r="W41" s="434" t="s">
        <v>1689</v>
      </c>
      <c r="X41" s="434" t="s">
        <v>1659</v>
      </c>
      <c r="Y41" s="434" t="s">
        <v>1660</v>
      </c>
      <c r="Z41" s="434" t="s">
        <v>1659</v>
      </c>
      <c r="AA41" s="434" t="s">
        <v>1660</v>
      </c>
      <c r="AB41" s="434" t="s">
        <v>1659</v>
      </c>
      <c r="AC41" s="434" t="s">
        <v>1689</v>
      </c>
      <c r="AD41" s="434" t="s">
        <v>1661</v>
      </c>
      <c r="AE41" s="434" t="s">
        <v>1659</v>
      </c>
      <c r="AF41" s="434" t="s">
        <v>1660</v>
      </c>
      <c r="AG41" s="427">
        <v>15.0</v>
      </c>
      <c r="AH41" s="435" t="s">
        <v>24</v>
      </c>
      <c r="AI41" s="415"/>
      <c r="AJ41" s="436" t="str">
        <f t="array" ref="AJ41">IF(M41=DGET(claves!$A$2:$AS423,M$2,{claves!$A$2;$E41}),1,0)</f>
        <v>#VALUE!</v>
      </c>
      <c r="AK41" s="436" t="str">
        <f t="array" ref="AK41">IF(N41=DGET(claves!$A$2:$AS423,N$2,{claves!$A$2;$E41}),1,0)</f>
        <v>#VALUE!</v>
      </c>
      <c r="AL41" s="436" t="str">
        <f t="array" ref="AL41">IF(O41=DGET(claves!$A$2:$AS423,O$2,{claves!$A$2;$E41}),1,0)</f>
        <v>#VALUE!</v>
      </c>
      <c r="AM41" s="436" t="str">
        <f t="array" ref="AM41">IF(P41=DGET(claves!$A$2:$AS423,P$2,{claves!$A$2;$E41}),1,0)</f>
        <v>#VALUE!</v>
      </c>
      <c r="AN41" s="436" t="str">
        <f t="array" ref="AN41">IF(Q41=DGET(claves!$A$2:$AS423,Q$2,{claves!$A$2;$E41}),1,0)</f>
        <v>#VALUE!</v>
      </c>
      <c r="AO41" s="436" t="str">
        <f t="array" ref="AO41">IF(R41=DGET(claves!$A$2:$AS423,R$2,{claves!$A$2;$E41}),1,0)</f>
        <v>#VALUE!</v>
      </c>
      <c r="AP41" s="436" t="str">
        <f t="array" ref="AP41">IF(S41=DGET(claves!$A$2:$AS423,S$2,{claves!$A$2;$E41}),1,0)</f>
        <v>#VALUE!</v>
      </c>
      <c r="AQ41" s="436" t="str">
        <f t="array" ref="AQ41">IF(T41=DGET(claves!$A$2:$AS423,T$2,{claves!$A$2;$E41}),1,0)</f>
        <v>#VALUE!</v>
      </c>
      <c r="AR41" s="436" t="str">
        <f t="array" ref="AR41">IF(U41=DGET(claves!$A$2:$AS423,U$2,{claves!$A$2;$E41}),1,0)</f>
        <v>#VALUE!</v>
      </c>
      <c r="AS41" s="436" t="str">
        <f t="array" ref="AS41">IF(V41=DGET(claves!$A$2:$AS423,V$2,{claves!$A$2;$E41}),1,0)</f>
        <v>#VALUE!</v>
      </c>
      <c r="AT41" s="436" t="str">
        <f t="array" ref="AT41">IF(W41=DGET(claves!$A$2:$AS423,W$2,{claves!$A$2;$E41}),1,0)</f>
        <v>#VALUE!</v>
      </c>
      <c r="AU41" s="436" t="str">
        <f t="array" ref="AU41">IF(X41=DGET(claves!$A$2:$AS423,X$2,{claves!$A$2;$E41}),1,0)</f>
        <v>#VALUE!</v>
      </c>
      <c r="AV41" s="436" t="str">
        <f t="array" ref="AV41">IF(Y41=DGET(claves!$A$2:$AS423,Y$2,{claves!$A$2;$E41}),1,0)</f>
        <v>#VALUE!</v>
      </c>
      <c r="AW41" s="436" t="str">
        <f t="array" ref="AW41">IF(Z41=DGET(claves!$A$2:$AS423,Z$2,{claves!$A$2;$E41}),1,0)</f>
        <v>#VALUE!</v>
      </c>
      <c r="AX41" s="436" t="str">
        <f t="array" ref="AX41">IF(AA41=DGET(claves!$A$2:$AS423,AA$2,{claves!$A$2;$E41}),1,0)</f>
        <v>#VALUE!</v>
      </c>
      <c r="AY41" s="436" t="str">
        <f t="array" ref="AY41">IF(AB41=DGET(claves!$A$2:$AS423,AB$2,{claves!$A$2;$E41}),1,0)</f>
        <v>#VALUE!</v>
      </c>
      <c r="AZ41" s="436" t="str">
        <f t="array" ref="AZ41">IF(AC41=DGET(claves!$A$2:$AS423,AC$2,{claves!$A$2;$E41}),1,0)</f>
        <v>#VALUE!</v>
      </c>
      <c r="BA41" s="436" t="str">
        <f t="array" ref="BA41">IF(AD41=DGET(claves!$A$2:$AS423,AD$2,{claves!$A$2;$E41}),1,0)</f>
        <v>#VALUE!</v>
      </c>
      <c r="BB41" s="436" t="str">
        <f t="array" ref="BB41">IF(AE41=DGET(claves!$A$2:$AS423,AE$2,{claves!$A$2;$E41}),1,0)</f>
        <v>#VALUE!</v>
      </c>
      <c r="BC41" s="436" t="str">
        <f t="array" ref="BC41">IF(AF41=DGET(claves!$A$2:$AS423,AF$2,{claves!$A$2;$E41}),1,0)</f>
        <v>#VALUE!</v>
      </c>
      <c r="BD41" s="437" t="str">
        <f t="shared" si="1"/>
        <v>#VALUE!</v>
      </c>
      <c r="BE41" s="435" t="s">
        <v>1468</v>
      </c>
      <c r="BF41" s="415"/>
    </row>
    <row r="42" ht="14.25" customHeight="1">
      <c r="A42" s="408">
        <v>40.0</v>
      </c>
      <c r="B42" s="153" t="s">
        <v>1653</v>
      </c>
      <c r="C42" s="153">
        <v>2024.0</v>
      </c>
      <c r="D42" s="77" t="s">
        <v>362</v>
      </c>
      <c r="E42" s="409" t="str">
        <f>IFERROR(__xludf.DUMMYFUNCTION("ARRAYFORMULA(JOIN("""", ARRAYFORMULA(MID(SPLIT(F42, "" ""), 1, 1))))
&amp;""/""&amp;G42"),"MC/4 Primaria")</f>
        <v>MC/4 Primaria</v>
      </c>
      <c r="F42" s="77" t="s">
        <v>1654</v>
      </c>
      <c r="G42" s="432" t="s">
        <v>20</v>
      </c>
      <c r="H42" s="433" t="s">
        <v>1667</v>
      </c>
      <c r="I42" s="433" t="s">
        <v>1744</v>
      </c>
      <c r="J42" s="433" t="s">
        <v>1764</v>
      </c>
      <c r="K42" s="433" t="s">
        <v>1658</v>
      </c>
      <c r="L42" s="415"/>
      <c r="M42" s="434" t="s">
        <v>1689</v>
      </c>
      <c r="N42" s="434" t="s">
        <v>1661</v>
      </c>
      <c r="O42" s="434" t="s">
        <v>1689</v>
      </c>
      <c r="P42" s="434" t="s">
        <v>1689</v>
      </c>
      <c r="Q42" s="434" t="s">
        <v>1661</v>
      </c>
      <c r="R42" s="434" t="s">
        <v>1660</v>
      </c>
      <c r="S42" s="434" t="s">
        <v>1659</v>
      </c>
      <c r="T42" s="434" t="s">
        <v>1661</v>
      </c>
      <c r="U42" s="434" t="s">
        <v>1660</v>
      </c>
      <c r="V42" s="434" t="s">
        <v>1660</v>
      </c>
      <c r="W42" s="434" t="s">
        <v>1660</v>
      </c>
      <c r="X42" s="434" t="s">
        <v>1661</v>
      </c>
      <c r="Y42" s="434" t="s">
        <v>1660</v>
      </c>
      <c r="Z42" s="434" t="s">
        <v>1689</v>
      </c>
      <c r="AA42" s="434" t="s">
        <v>1660</v>
      </c>
      <c r="AB42" s="434" t="s">
        <v>1659</v>
      </c>
      <c r="AC42" s="434" t="s">
        <v>1661</v>
      </c>
      <c r="AD42" s="434" t="s">
        <v>1661</v>
      </c>
      <c r="AE42" s="434" t="s">
        <v>1659</v>
      </c>
      <c r="AF42" s="434" t="s">
        <v>1660</v>
      </c>
      <c r="AG42" s="427">
        <v>19.0</v>
      </c>
      <c r="AH42" s="438" t="s">
        <v>32</v>
      </c>
      <c r="AI42" s="415"/>
      <c r="AJ42" s="436" t="str">
        <f t="array" ref="AJ42">IF(M42=DGET(claves!$A$2:$AS423,M$2,{claves!$A$2;$E42}),1,0)</f>
        <v>#VALUE!</v>
      </c>
      <c r="AK42" s="436" t="str">
        <f t="array" ref="AK42">IF(N42=DGET(claves!$A$2:$AS423,N$2,{claves!$A$2;$E42}),1,0)</f>
        <v>#VALUE!</v>
      </c>
      <c r="AL42" s="436" t="str">
        <f t="array" ref="AL42">IF(O42=DGET(claves!$A$2:$AS423,O$2,{claves!$A$2;$E42}),1,0)</f>
        <v>#VALUE!</v>
      </c>
      <c r="AM42" s="436" t="str">
        <f t="array" ref="AM42">IF(P42=DGET(claves!$A$2:$AS423,P$2,{claves!$A$2;$E42}),1,0)</f>
        <v>#VALUE!</v>
      </c>
      <c r="AN42" s="436" t="str">
        <f t="array" ref="AN42">IF(Q42=DGET(claves!$A$2:$AS423,Q$2,{claves!$A$2;$E42}),1,0)</f>
        <v>#VALUE!</v>
      </c>
      <c r="AO42" s="436" t="str">
        <f t="array" ref="AO42">IF(R42=DGET(claves!$A$2:$AS423,R$2,{claves!$A$2;$E42}),1,0)</f>
        <v>#VALUE!</v>
      </c>
      <c r="AP42" s="436" t="str">
        <f t="array" ref="AP42">IF(S42=DGET(claves!$A$2:$AS423,S$2,{claves!$A$2;$E42}),1,0)</f>
        <v>#VALUE!</v>
      </c>
      <c r="AQ42" s="436" t="str">
        <f t="array" ref="AQ42">IF(T42=DGET(claves!$A$2:$AS423,T$2,{claves!$A$2;$E42}),1,0)</f>
        <v>#VALUE!</v>
      </c>
      <c r="AR42" s="436" t="str">
        <f t="array" ref="AR42">IF(U42=DGET(claves!$A$2:$AS423,U$2,{claves!$A$2;$E42}),1,0)</f>
        <v>#VALUE!</v>
      </c>
      <c r="AS42" s="436" t="str">
        <f t="array" ref="AS42">IF(V42=DGET(claves!$A$2:$AS423,V$2,{claves!$A$2;$E42}),1,0)</f>
        <v>#VALUE!</v>
      </c>
      <c r="AT42" s="436" t="str">
        <f t="array" ref="AT42">IF(W42=DGET(claves!$A$2:$AS423,W$2,{claves!$A$2;$E42}),1,0)</f>
        <v>#VALUE!</v>
      </c>
      <c r="AU42" s="436" t="str">
        <f t="array" ref="AU42">IF(X42=DGET(claves!$A$2:$AS423,X$2,{claves!$A$2;$E42}),1,0)</f>
        <v>#VALUE!</v>
      </c>
      <c r="AV42" s="436" t="str">
        <f t="array" ref="AV42">IF(Y42=DGET(claves!$A$2:$AS423,Y$2,{claves!$A$2;$E42}),1,0)</f>
        <v>#VALUE!</v>
      </c>
      <c r="AW42" s="436" t="str">
        <f t="array" ref="AW42">IF(Z42=DGET(claves!$A$2:$AS423,Z$2,{claves!$A$2;$E42}),1,0)</f>
        <v>#VALUE!</v>
      </c>
      <c r="AX42" s="436" t="str">
        <f t="array" ref="AX42">IF(AA42=DGET(claves!$A$2:$AS423,AA$2,{claves!$A$2;$E42}),1,0)</f>
        <v>#VALUE!</v>
      </c>
      <c r="AY42" s="436" t="str">
        <f t="array" ref="AY42">IF(AB42=DGET(claves!$A$2:$AS423,AB$2,{claves!$A$2;$E42}),1,0)</f>
        <v>#VALUE!</v>
      </c>
      <c r="AZ42" s="436" t="str">
        <f t="array" ref="AZ42">IF(AC42=DGET(claves!$A$2:$AS423,AC$2,{claves!$A$2;$E42}),1,0)</f>
        <v>#VALUE!</v>
      </c>
      <c r="BA42" s="436" t="str">
        <f t="array" ref="BA42">IF(AD42=DGET(claves!$A$2:$AS423,AD$2,{claves!$A$2;$E42}),1,0)</f>
        <v>#VALUE!</v>
      </c>
      <c r="BB42" s="436" t="str">
        <f t="array" ref="BB42">IF(AE42=DGET(claves!$A$2:$AS423,AE$2,{claves!$A$2;$E42}),1,0)</f>
        <v>#VALUE!</v>
      </c>
      <c r="BC42" s="436" t="str">
        <f t="array" ref="BC42">IF(AF42=DGET(claves!$A$2:$AS423,AF$2,{claves!$A$2;$E42}),1,0)</f>
        <v>#VALUE!</v>
      </c>
      <c r="BD42" s="437" t="str">
        <f t="shared" si="1"/>
        <v>#VALUE!</v>
      </c>
      <c r="BE42" s="435" t="s">
        <v>1468</v>
      </c>
      <c r="BF42" s="415"/>
    </row>
    <row r="43" ht="14.25" customHeight="1">
      <c r="A43" s="408">
        <v>41.0</v>
      </c>
      <c r="B43" s="153" t="s">
        <v>1653</v>
      </c>
      <c r="C43" s="153">
        <v>2024.0</v>
      </c>
      <c r="D43" s="77" t="s">
        <v>362</v>
      </c>
      <c r="E43" s="409" t="str">
        <f>IFERROR(__xludf.DUMMYFUNCTION("ARRAYFORMULA(JOIN("""", ARRAYFORMULA(MID(SPLIT(F43, "" ""), 1, 1))))
&amp;""/""&amp;G43"),"MC/4 Primaria")</f>
        <v>MC/4 Primaria</v>
      </c>
      <c r="F43" s="77" t="s">
        <v>1654</v>
      </c>
      <c r="G43" s="432" t="s">
        <v>20</v>
      </c>
      <c r="H43" s="433" t="s">
        <v>1684</v>
      </c>
      <c r="I43" s="433" t="s">
        <v>1684</v>
      </c>
      <c r="J43" s="433" t="s">
        <v>1765</v>
      </c>
      <c r="K43" s="433" t="s">
        <v>1658</v>
      </c>
      <c r="L43" s="415"/>
      <c r="M43" s="434" t="s">
        <v>1689</v>
      </c>
      <c r="N43" s="434" t="s">
        <v>1661</v>
      </c>
      <c r="O43" s="434" t="s">
        <v>1689</v>
      </c>
      <c r="P43" s="434" t="s">
        <v>1689</v>
      </c>
      <c r="Q43" s="434" t="s">
        <v>1661</v>
      </c>
      <c r="R43" s="434" t="s">
        <v>1660</v>
      </c>
      <c r="S43" s="434" t="s">
        <v>1660</v>
      </c>
      <c r="T43" s="434" t="s">
        <v>1661</v>
      </c>
      <c r="U43" s="434" t="s">
        <v>1659</v>
      </c>
      <c r="V43" s="434" t="s">
        <v>1661</v>
      </c>
      <c r="W43" s="434" t="s">
        <v>1689</v>
      </c>
      <c r="X43" s="434" t="s">
        <v>1660</v>
      </c>
      <c r="Y43" s="434" t="s">
        <v>1689</v>
      </c>
      <c r="Z43" s="434" t="s">
        <v>1661</v>
      </c>
      <c r="AA43" s="434" t="s">
        <v>1659</v>
      </c>
      <c r="AB43" s="434" t="s">
        <v>1659</v>
      </c>
      <c r="AC43" s="434" t="s">
        <v>1689</v>
      </c>
      <c r="AD43" s="434" t="s">
        <v>1689</v>
      </c>
      <c r="AE43" s="434" t="s">
        <v>1659</v>
      </c>
      <c r="AF43" s="434" t="s">
        <v>1660</v>
      </c>
      <c r="AG43" s="427">
        <v>11.0</v>
      </c>
      <c r="AH43" s="435" t="s">
        <v>24</v>
      </c>
      <c r="AI43" s="415"/>
      <c r="AJ43" s="436" t="str">
        <f t="array" ref="AJ43">IF(M43=DGET(claves!$A$2:$AS423,M$2,{claves!$A$2;$E43}),1,0)</f>
        <v>#VALUE!</v>
      </c>
      <c r="AK43" s="436" t="str">
        <f t="array" ref="AK43">IF(N43=DGET(claves!$A$2:$AS423,N$2,{claves!$A$2;$E43}),1,0)</f>
        <v>#VALUE!</v>
      </c>
      <c r="AL43" s="436" t="str">
        <f t="array" ref="AL43">IF(O43=DGET(claves!$A$2:$AS423,O$2,{claves!$A$2;$E43}),1,0)</f>
        <v>#VALUE!</v>
      </c>
      <c r="AM43" s="436" t="str">
        <f t="array" ref="AM43">IF(P43=DGET(claves!$A$2:$AS423,P$2,{claves!$A$2;$E43}),1,0)</f>
        <v>#VALUE!</v>
      </c>
      <c r="AN43" s="436" t="str">
        <f t="array" ref="AN43">IF(Q43=DGET(claves!$A$2:$AS423,Q$2,{claves!$A$2;$E43}),1,0)</f>
        <v>#VALUE!</v>
      </c>
      <c r="AO43" s="436" t="str">
        <f t="array" ref="AO43">IF(R43=DGET(claves!$A$2:$AS423,R$2,{claves!$A$2;$E43}),1,0)</f>
        <v>#VALUE!</v>
      </c>
      <c r="AP43" s="436" t="str">
        <f t="array" ref="AP43">IF(S43=DGET(claves!$A$2:$AS423,S$2,{claves!$A$2;$E43}),1,0)</f>
        <v>#VALUE!</v>
      </c>
      <c r="AQ43" s="436" t="str">
        <f t="array" ref="AQ43">IF(T43=DGET(claves!$A$2:$AS423,T$2,{claves!$A$2;$E43}),1,0)</f>
        <v>#VALUE!</v>
      </c>
      <c r="AR43" s="436" t="str">
        <f t="array" ref="AR43">IF(U43=DGET(claves!$A$2:$AS423,U$2,{claves!$A$2;$E43}),1,0)</f>
        <v>#VALUE!</v>
      </c>
      <c r="AS43" s="436" t="str">
        <f t="array" ref="AS43">IF(V43=DGET(claves!$A$2:$AS423,V$2,{claves!$A$2;$E43}),1,0)</f>
        <v>#VALUE!</v>
      </c>
      <c r="AT43" s="436" t="str">
        <f t="array" ref="AT43">IF(W43=DGET(claves!$A$2:$AS423,W$2,{claves!$A$2;$E43}),1,0)</f>
        <v>#VALUE!</v>
      </c>
      <c r="AU43" s="436" t="str">
        <f t="array" ref="AU43">IF(X43=DGET(claves!$A$2:$AS423,X$2,{claves!$A$2;$E43}),1,0)</f>
        <v>#VALUE!</v>
      </c>
      <c r="AV43" s="436" t="str">
        <f t="array" ref="AV43">IF(Y43=DGET(claves!$A$2:$AS423,Y$2,{claves!$A$2;$E43}),1,0)</f>
        <v>#VALUE!</v>
      </c>
      <c r="AW43" s="436" t="str">
        <f t="array" ref="AW43">IF(Z43=DGET(claves!$A$2:$AS423,Z$2,{claves!$A$2;$E43}),1,0)</f>
        <v>#VALUE!</v>
      </c>
      <c r="AX43" s="436" t="str">
        <f t="array" ref="AX43">IF(AA43=DGET(claves!$A$2:$AS423,AA$2,{claves!$A$2;$E43}),1,0)</f>
        <v>#VALUE!</v>
      </c>
      <c r="AY43" s="436" t="str">
        <f t="array" ref="AY43">IF(AB43=DGET(claves!$A$2:$AS423,AB$2,{claves!$A$2;$E43}),1,0)</f>
        <v>#VALUE!</v>
      </c>
      <c r="AZ43" s="436" t="str">
        <f t="array" ref="AZ43">IF(AC43=DGET(claves!$A$2:$AS423,AC$2,{claves!$A$2;$E43}),1,0)</f>
        <v>#VALUE!</v>
      </c>
      <c r="BA43" s="436" t="str">
        <f t="array" ref="BA43">IF(AD43=DGET(claves!$A$2:$AS423,AD$2,{claves!$A$2;$E43}),1,0)</f>
        <v>#VALUE!</v>
      </c>
      <c r="BB43" s="436" t="str">
        <f t="array" ref="BB43">IF(AE43=DGET(claves!$A$2:$AS423,AE$2,{claves!$A$2;$E43}),1,0)</f>
        <v>#VALUE!</v>
      </c>
      <c r="BC43" s="436" t="str">
        <f t="array" ref="BC43">IF(AF43=DGET(claves!$A$2:$AS423,AF$2,{claves!$A$2;$E43}),1,0)</f>
        <v>#VALUE!</v>
      </c>
      <c r="BD43" s="437" t="str">
        <f t="shared" si="1"/>
        <v>#VALUE!</v>
      </c>
      <c r="BE43" s="435" t="s">
        <v>1468</v>
      </c>
      <c r="BF43" s="415"/>
    </row>
    <row r="44" ht="14.25" customHeight="1">
      <c r="A44" s="408">
        <v>42.0</v>
      </c>
      <c r="B44" s="153" t="s">
        <v>1653</v>
      </c>
      <c r="C44" s="153">
        <v>2024.0</v>
      </c>
      <c r="D44" s="77" t="s">
        <v>362</v>
      </c>
      <c r="E44" s="409" t="str">
        <f>IFERROR(__xludf.DUMMYFUNCTION("ARRAYFORMULA(JOIN("""", ARRAYFORMULA(MID(SPLIT(F44, "" ""), 1, 1))))
&amp;""/""&amp;G44"),"MC/4 Primaria")</f>
        <v>MC/4 Primaria</v>
      </c>
      <c r="F44" s="77" t="s">
        <v>1654</v>
      </c>
      <c r="G44" s="432" t="s">
        <v>20</v>
      </c>
      <c r="H44" s="433" t="s">
        <v>1766</v>
      </c>
      <c r="I44" s="433" t="s">
        <v>1767</v>
      </c>
      <c r="J44" s="433" t="s">
        <v>1768</v>
      </c>
      <c r="K44" s="432" t="s">
        <v>1665</v>
      </c>
      <c r="L44" s="415"/>
      <c r="M44" s="434" t="s">
        <v>1689</v>
      </c>
      <c r="N44" s="434" t="s">
        <v>1661</v>
      </c>
      <c r="O44" s="434" t="s">
        <v>1660</v>
      </c>
      <c r="P44" s="434" t="s">
        <v>1689</v>
      </c>
      <c r="Q44" s="434" t="s">
        <v>1661</v>
      </c>
      <c r="R44" s="434" t="s">
        <v>1660</v>
      </c>
      <c r="S44" s="434" t="s">
        <v>1661</v>
      </c>
      <c r="T44" s="434" t="s">
        <v>1661</v>
      </c>
      <c r="U44" s="434" t="s">
        <v>1659</v>
      </c>
      <c r="V44" s="434" t="s">
        <v>1659</v>
      </c>
      <c r="W44" s="434" t="s">
        <v>1659</v>
      </c>
      <c r="X44" s="434" t="s">
        <v>1660</v>
      </c>
      <c r="Y44" s="434" t="s">
        <v>1660</v>
      </c>
      <c r="Z44" s="434" t="s">
        <v>1661</v>
      </c>
      <c r="AA44" s="434" t="s">
        <v>1659</v>
      </c>
      <c r="AB44" s="434" t="s">
        <v>1659</v>
      </c>
      <c r="AC44" s="434" t="s">
        <v>1661</v>
      </c>
      <c r="AD44" s="434" t="s">
        <v>1661</v>
      </c>
      <c r="AE44" s="434" t="s">
        <v>1659</v>
      </c>
      <c r="AF44" s="434" t="s">
        <v>1660</v>
      </c>
      <c r="AG44" s="427">
        <v>12.0</v>
      </c>
      <c r="AH44" s="435" t="s">
        <v>24</v>
      </c>
      <c r="AI44" s="415"/>
      <c r="AJ44" s="436" t="str">
        <f t="array" ref="AJ44">IF(M44=DGET(claves!$A$2:$AS423,M$2,{claves!$A$2;$E44}),1,0)</f>
        <v>#VALUE!</v>
      </c>
      <c r="AK44" s="436" t="str">
        <f t="array" ref="AK44">IF(N44=DGET(claves!$A$2:$AS423,N$2,{claves!$A$2;$E44}),1,0)</f>
        <v>#VALUE!</v>
      </c>
      <c r="AL44" s="436" t="str">
        <f t="array" ref="AL44">IF(O44=DGET(claves!$A$2:$AS423,O$2,{claves!$A$2;$E44}),1,0)</f>
        <v>#VALUE!</v>
      </c>
      <c r="AM44" s="436" t="str">
        <f t="array" ref="AM44">IF(P44=DGET(claves!$A$2:$AS423,P$2,{claves!$A$2;$E44}),1,0)</f>
        <v>#VALUE!</v>
      </c>
      <c r="AN44" s="436" t="str">
        <f t="array" ref="AN44">IF(Q44=DGET(claves!$A$2:$AS423,Q$2,{claves!$A$2;$E44}),1,0)</f>
        <v>#VALUE!</v>
      </c>
      <c r="AO44" s="436" t="str">
        <f t="array" ref="AO44">IF(R44=DGET(claves!$A$2:$AS423,R$2,{claves!$A$2;$E44}),1,0)</f>
        <v>#VALUE!</v>
      </c>
      <c r="AP44" s="436" t="str">
        <f t="array" ref="AP44">IF(S44=DGET(claves!$A$2:$AS423,S$2,{claves!$A$2;$E44}),1,0)</f>
        <v>#VALUE!</v>
      </c>
      <c r="AQ44" s="436" t="str">
        <f t="array" ref="AQ44">IF(T44=DGET(claves!$A$2:$AS423,T$2,{claves!$A$2;$E44}),1,0)</f>
        <v>#VALUE!</v>
      </c>
      <c r="AR44" s="436" t="str">
        <f t="array" ref="AR44">IF(U44=DGET(claves!$A$2:$AS423,U$2,{claves!$A$2;$E44}),1,0)</f>
        <v>#VALUE!</v>
      </c>
      <c r="AS44" s="436" t="str">
        <f t="array" ref="AS44">IF(V44=DGET(claves!$A$2:$AS423,V$2,{claves!$A$2;$E44}),1,0)</f>
        <v>#VALUE!</v>
      </c>
      <c r="AT44" s="436" t="str">
        <f t="array" ref="AT44">IF(W44=DGET(claves!$A$2:$AS423,W$2,{claves!$A$2;$E44}),1,0)</f>
        <v>#VALUE!</v>
      </c>
      <c r="AU44" s="436" t="str">
        <f t="array" ref="AU44">IF(X44=DGET(claves!$A$2:$AS423,X$2,{claves!$A$2;$E44}),1,0)</f>
        <v>#VALUE!</v>
      </c>
      <c r="AV44" s="436" t="str">
        <f t="array" ref="AV44">IF(Y44=DGET(claves!$A$2:$AS423,Y$2,{claves!$A$2;$E44}),1,0)</f>
        <v>#VALUE!</v>
      </c>
      <c r="AW44" s="436" t="str">
        <f t="array" ref="AW44">IF(Z44=DGET(claves!$A$2:$AS423,Z$2,{claves!$A$2;$E44}),1,0)</f>
        <v>#VALUE!</v>
      </c>
      <c r="AX44" s="436" t="str">
        <f t="array" ref="AX44">IF(AA44=DGET(claves!$A$2:$AS423,AA$2,{claves!$A$2;$E44}),1,0)</f>
        <v>#VALUE!</v>
      </c>
      <c r="AY44" s="436" t="str">
        <f t="array" ref="AY44">IF(AB44=DGET(claves!$A$2:$AS423,AB$2,{claves!$A$2;$E44}),1,0)</f>
        <v>#VALUE!</v>
      </c>
      <c r="AZ44" s="436" t="str">
        <f t="array" ref="AZ44">IF(AC44=DGET(claves!$A$2:$AS423,AC$2,{claves!$A$2;$E44}),1,0)</f>
        <v>#VALUE!</v>
      </c>
      <c r="BA44" s="436" t="str">
        <f t="array" ref="BA44">IF(AD44=DGET(claves!$A$2:$AS423,AD$2,{claves!$A$2;$E44}),1,0)</f>
        <v>#VALUE!</v>
      </c>
      <c r="BB44" s="436" t="str">
        <f t="array" ref="BB44">IF(AE44=DGET(claves!$A$2:$AS423,AE$2,{claves!$A$2;$E44}),1,0)</f>
        <v>#VALUE!</v>
      </c>
      <c r="BC44" s="436" t="str">
        <f t="array" ref="BC44">IF(AF44=DGET(claves!$A$2:$AS423,AF$2,{claves!$A$2;$E44}),1,0)</f>
        <v>#VALUE!</v>
      </c>
      <c r="BD44" s="437" t="str">
        <f t="shared" si="1"/>
        <v>#VALUE!</v>
      </c>
      <c r="BE44" s="435" t="s">
        <v>1468</v>
      </c>
      <c r="BF44" s="415"/>
    </row>
    <row r="45" ht="14.25" customHeight="1">
      <c r="A45" s="408">
        <v>43.0</v>
      </c>
      <c r="B45" s="153" t="s">
        <v>1653</v>
      </c>
      <c r="C45" s="153">
        <v>2024.0</v>
      </c>
      <c r="D45" s="77" t="s">
        <v>362</v>
      </c>
      <c r="E45" s="409" t="str">
        <f>IFERROR(__xludf.DUMMYFUNCTION("ARRAYFORMULA(JOIN("""", ARRAYFORMULA(MID(SPLIT(F45, "" ""), 1, 1))))
&amp;""/""&amp;G45"),"MC/4 Primaria")</f>
        <v>MC/4 Primaria</v>
      </c>
      <c r="F45" s="77" t="s">
        <v>1654</v>
      </c>
      <c r="G45" s="432" t="s">
        <v>20</v>
      </c>
      <c r="H45" s="433" t="s">
        <v>1769</v>
      </c>
      <c r="I45" s="433" t="s">
        <v>1684</v>
      </c>
      <c r="J45" s="433" t="s">
        <v>1770</v>
      </c>
      <c r="K45" s="432" t="s">
        <v>1665</v>
      </c>
      <c r="L45" s="415"/>
      <c r="M45" s="434" t="s">
        <v>1689</v>
      </c>
      <c r="N45" s="434" t="s">
        <v>1659</v>
      </c>
      <c r="O45" s="434" t="s">
        <v>1659</v>
      </c>
      <c r="P45" s="434" t="s">
        <v>1661</v>
      </c>
      <c r="Q45" s="434" t="s">
        <v>1660</v>
      </c>
      <c r="R45" s="434" t="s">
        <v>1661</v>
      </c>
      <c r="S45" s="434" t="s">
        <v>1689</v>
      </c>
      <c r="T45" s="434" t="s">
        <v>1661</v>
      </c>
      <c r="U45" s="434" t="s">
        <v>1659</v>
      </c>
      <c r="V45" s="434" t="s">
        <v>1689</v>
      </c>
      <c r="W45" s="434" t="s">
        <v>1689</v>
      </c>
      <c r="X45" s="434" t="s">
        <v>1661</v>
      </c>
      <c r="Y45" s="434" t="s">
        <v>1661</v>
      </c>
      <c r="Z45" s="434" t="s">
        <v>1661</v>
      </c>
      <c r="AA45" s="434" t="s">
        <v>1660</v>
      </c>
      <c r="AB45" s="434" t="s">
        <v>1659</v>
      </c>
      <c r="AC45" s="434" t="s">
        <v>1661</v>
      </c>
      <c r="AD45" s="434" t="s">
        <v>1689</v>
      </c>
      <c r="AE45" s="434" t="s">
        <v>1659</v>
      </c>
      <c r="AF45" s="434" t="s">
        <v>1660</v>
      </c>
      <c r="AG45" s="427">
        <v>9.0</v>
      </c>
      <c r="AH45" s="435" t="s">
        <v>18</v>
      </c>
      <c r="AI45" s="415"/>
      <c r="AJ45" s="436" t="str">
        <f t="array" ref="AJ45">IF(M45=DGET(claves!$A$2:$AS423,M$2,{claves!$A$2;$E45}),1,0)</f>
        <v>#VALUE!</v>
      </c>
      <c r="AK45" s="436" t="str">
        <f t="array" ref="AK45">IF(N45=DGET(claves!$A$2:$AS423,N$2,{claves!$A$2;$E45}),1,0)</f>
        <v>#VALUE!</v>
      </c>
      <c r="AL45" s="436" t="str">
        <f t="array" ref="AL45">IF(O45=DGET(claves!$A$2:$AS423,O$2,{claves!$A$2;$E45}),1,0)</f>
        <v>#VALUE!</v>
      </c>
      <c r="AM45" s="436" t="str">
        <f t="array" ref="AM45">IF(P45=DGET(claves!$A$2:$AS423,P$2,{claves!$A$2;$E45}),1,0)</f>
        <v>#VALUE!</v>
      </c>
      <c r="AN45" s="436" t="str">
        <f t="array" ref="AN45">IF(Q45=DGET(claves!$A$2:$AS423,Q$2,{claves!$A$2;$E45}),1,0)</f>
        <v>#VALUE!</v>
      </c>
      <c r="AO45" s="436" t="str">
        <f t="array" ref="AO45">IF(R45=DGET(claves!$A$2:$AS423,R$2,{claves!$A$2;$E45}),1,0)</f>
        <v>#VALUE!</v>
      </c>
      <c r="AP45" s="436" t="str">
        <f t="array" ref="AP45">IF(S45=DGET(claves!$A$2:$AS423,S$2,{claves!$A$2;$E45}),1,0)</f>
        <v>#VALUE!</v>
      </c>
      <c r="AQ45" s="436" t="str">
        <f t="array" ref="AQ45">IF(T45=DGET(claves!$A$2:$AS423,T$2,{claves!$A$2;$E45}),1,0)</f>
        <v>#VALUE!</v>
      </c>
      <c r="AR45" s="436" t="str">
        <f t="array" ref="AR45">IF(U45=DGET(claves!$A$2:$AS423,U$2,{claves!$A$2;$E45}),1,0)</f>
        <v>#VALUE!</v>
      </c>
      <c r="AS45" s="436" t="str">
        <f t="array" ref="AS45">IF(V45=DGET(claves!$A$2:$AS423,V$2,{claves!$A$2;$E45}),1,0)</f>
        <v>#VALUE!</v>
      </c>
      <c r="AT45" s="436" t="str">
        <f t="array" ref="AT45">IF(W45=DGET(claves!$A$2:$AS423,W$2,{claves!$A$2;$E45}),1,0)</f>
        <v>#VALUE!</v>
      </c>
      <c r="AU45" s="436" t="str">
        <f t="array" ref="AU45">IF(X45=DGET(claves!$A$2:$AS423,X$2,{claves!$A$2;$E45}),1,0)</f>
        <v>#VALUE!</v>
      </c>
      <c r="AV45" s="436" t="str">
        <f t="array" ref="AV45">IF(Y45=DGET(claves!$A$2:$AS423,Y$2,{claves!$A$2;$E45}),1,0)</f>
        <v>#VALUE!</v>
      </c>
      <c r="AW45" s="436" t="str">
        <f t="array" ref="AW45">IF(Z45=DGET(claves!$A$2:$AS423,Z$2,{claves!$A$2;$E45}),1,0)</f>
        <v>#VALUE!</v>
      </c>
      <c r="AX45" s="436" t="str">
        <f t="array" ref="AX45">IF(AA45=DGET(claves!$A$2:$AS423,AA$2,{claves!$A$2;$E45}),1,0)</f>
        <v>#VALUE!</v>
      </c>
      <c r="AY45" s="436" t="str">
        <f t="array" ref="AY45">IF(AB45=DGET(claves!$A$2:$AS423,AB$2,{claves!$A$2;$E45}),1,0)</f>
        <v>#VALUE!</v>
      </c>
      <c r="AZ45" s="436" t="str">
        <f t="array" ref="AZ45">IF(AC45=DGET(claves!$A$2:$AS423,AC$2,{claves!$A$2;$E45}),1,0)</f>
        <v>#VALUE!</v>
      </c>
      <c r="BA45" s="436" t="str">
        <f t="array" ref="BA45">IF(AD45=DGET(claves!$A$2:$AS423,AD$2,{claves!$A$2;$E45}),1,0)</f>
        <v>#VALUE!</v>
      </c>
      <c r="BB45" s="436" t="str">
        <f t="array" ref="BB45">IF(AE45=DGET(claves!$A$2:$AS423,AE$2,{claves!$A$2;$E45}),1,0)</f>
        <v>#VALUE!</v>
      </c>
      <c r="BC45" s="436" t="str">
        <f t="array" ref="BC45">IF(AF45=DGET(claves!$A$2:$AS423,AF$2,{claves!$A$2;$E45}),1,0)</f>
        <v>#VALUE!</v>
      </c>
      <c r="BD45" s="437" t="str">
        <f t="shared" si="1"/>
        <v>#VALUE!</v>
      </c>
      <c r="BE45" s="435" t="s">
        <v>1468</v>
      </c>
      <c r="BF45" s="415"/>
    </row>
    <row r="46" ht="14.25" customHeight="1">
      <c r="A46" s="408">
        <v>44.0</v>
      </c>
      <c r="B46" s="153" t="s">
        <v>1653</v>
      </c>
      <c r="C46" s="153">
        <v>2024.0</v>
      </c>
      <c r="D46" s="77" t="s">
        <v>362</v>
      </c>
      <c r="E46" s="409" t="str">
        <f>IFERROR(__xludf.DUMMYFUNCTION("ARRAYFORMULA(JOIN("""", ARRAYFORMULA(MID(SPLIT(F46, "" ""), 1, 1))))
&amp;""/""&amp;G46"),"MC/6 Primaria")</f>
        <v>MC/6 Primaria</v>
      </c>
      <c r="F46" s="77" t="s">
        <v>1654</v>
      </c>
      <c r="G46" s="432" t="s">
        <v>22</v>
      </c>
      <c r="H46" s="433" t="s">
        <v>1771</v>
      </c>
      <c r="I46" s="433" t="s">
        <v>1772</v>
      </c>
      <c r="J46" s="433" t="s">
        <v>1773</v>
      </c>
      <c r="K46" s="432" t="s">
        <v>1665</v>
      </c>
      <c r="L46" s="415"/>
      <c r="M46" s="434" t="s">
        <v>1660</v>
      </c>
      <c r="N46" s="434" t="s">
        <v>1689</v>
      </c>
      <c r="O46" s="434" t="s">
        <v>1659</v>
      </c>
      <c r="P46" s="434" t="s">
        <v>1689</v>
      </c>
      <c r="Q46" s="434" t="s">
        <v>1659</v>
      </c>
      <c r="R46" s="434" t="s">
        <v>1659</v>
      </c>
      <c r="S46" s="434" t="s">
        <v>1659</v>
      </c>
      <c r="T46" s="434" t="s">
        <v>1659</v>
      </c>
      <c r="U46" s="434" t="s">
        <v>1659</v>
      </c>
      <c r="V46" s="434" t="s">
        <v>1661</v>
      </c>
      <c r="W46" s="434" t="s">
        <v>1661</v>
      </c>
      <c r="X46" s="434" t="s">
        <v>1689</v>
      </c>
      <c r="Y46" s="434" t="s">
        <v>1660</v>
      </c>
      <c r="Z46" s="434" t="s">
        <v>1661</v>
      </c>
      <c r="AA46" s="434" t="s">
        <v>1689</v>
      </c>
      <c r="AB46" s="434" t="s">
        <v>1689</v>
      </c>
      <c r="AC46" s="434" t="s">
        <v>1660</v>
      </c>
      <c r="AD46" s="434" t="s">
        <v>1659</v>
      </c>
      <c r="AE46" s="434" t="s">
        <v>1689</v>
      </c>
      <c r="AF46" s="434" t="s">
        <v>1661</v>
      </c>
      <c r="AG46" s="427">
        <v>17.0</v>
      </c>
      <c r="AH46" s="438" t="s">
        <v>32</v>
      </c>
      <c r="AI46" s="415"/>
      <c r="AJ46" s="436" t="str">
        <f t="array" ref="AJ46">IF(M46=DGET(claves!$A$2:$AS423,M$2,{claves!$A$2;$E46}),1,0)</f>
        <v>#VALUE!</v>
      </c>
      <c r="AK46" s="436" t="str">
        <f t="array" ref="AK46">IF(N46=DGET(claves!$A$2:$AS423,N$2,{claves!$A$2;$E46}),1,0)</f>
        <v>#VALUE!</v>
      </c>
      <c r="AL46" s="436" t="str">
        <f t="array" ref="AL46">IF(O46=DGET(claves!$A$2:$AS423,O$2,{claves!$A$2;$E46}),1,0)</f>
        <v>#VALUE!</v>
      </c>
      <c r="AM46" s="436" t="str">
        <f t="array" ref="AM46">IF(P46=DGET(claves!$A$2:$AS423,P$2,{claves!$A$2;$E46}),1,0)</f>
        <v>#VALUE!</v>
      </c>
      <c r="AN46" s="436" t="str">
        <f t="array" ref="AN46">IF(Q46=DGET(claves!$A$2:$AS423,Q$2,{claves!$A$2;$E46}),1,0)</f>
        <v>#VALUE!</v>
      </c>
      <c r="AO46" s="436" t="str">
        <f t="array" ref="AO46">IF(R46=DGET(claves!$A$2:$AS423,R$2,{claves!$A$2;$E46}),1,0)</f>
        <v>#VALUE!</v>
      </c>
      <c r="AP46" s="436" t="str">
        <f t="array" ref="AP46">IF(S46=DGET(claves!$A$2:$AS423,S$2,{claves!$A$2;$E46}),1,0)</f>
        <v>#VALUE!</v>
      </c>
      <c r="AQ46" s="436" t="str">
        <f t="array" ref="AQ46">IF(T46=DGET(claves!$A$2:$AS423,T$2,{claves!$A$2;$E46}),1,0)</f>
        <v>#VALUE!</v>
      </c>
      <c r="AR46" s="436" t="str">
        <f t="array" ref="AR46">IF(U46=DGET(claves!$A$2:$AS423,U$2,{claves!$A$2;$E46}),1,0)</f>
        <v>#VALUE!</v>
      </c>
      <c r="AS46" s="436" t="str">
        <f t="array" ref="AS46">IF(V46=DGET(claves!$A$2:$AS423,V$2,{claves!$A$2;$E46}),1,0)</f>
        <v>#VALUE!</v>
      </c>
      <c r="AT46" s="436" t="str">
        <f t="array" ref="AT46">IF(W46=DGET(claves!$A$2:$AS423,W$2,{claves!$A$2;$E46}),1,0)</f>
        <v>#VALUE!</v>
      </c>
      <c r="AU46" s="436" t="str">
        <f t="array" ref="AU46">IF(X46=DGET(claves!$A$2:$AS423,X$2,{claves!$A$2;$E46}),1,0)</f>
        <v>#VALUE!</v>
      </c>
      <c r="AV46" s="436" t="str">
        <f t="array" ref="AV46">IF(Y46=DGET(claves!$A$2:$AS423,Y$2,{claves!$A$2;$E46}),1,0)</f>
        <v>#VALUE!</v>
      </c>
      <c r="AW46" s="436" t="str">
        <f t="array" ref="AW46">IF(Z46=DGET(claves!$A$2:$AS423,Z$2,{claves!$A$2;$E46}),1,0)</f>
        <v>#VALUE!</v>
      </c>
      <c r="AX46" s="436" t="str">
        <f t="array" ref="AX46">IF(AA46=DGET(claves!$A$2:$AS423,AA$2,{claves!$A$2;$E46}),1,0)</f>
        <v>#VALUE!</v>
      </c>
      <c r="AY46" s="436" t="str">
        <f t="array" ref="AY46">IF(AB46=DGET(claves!$A$2:$AS423,AB$2,{claves!$A$2;$E46}),1,0)</f>
        <v>#VALUE!</v>
      </c>
      <c r="AZ46" s="436" t="str">
        <f t="array" ref="AZ46">IF(AC46=DGET(claves!$A$2:$AS423,AC$2,{claves!$A$2;$E46}),1,0)</f>
        <v>#VALUE!</v>
      </c>
      <c r="BA46" s="436" t="str">
        <f t="array" ref="BA46">IF(AD46=DGET(claves!$A$2:$AS423,AD$2,{claves!$A$2;$E46}),1,0)</f>
        <v>#VALUE!</v>
      </c>
      <c r="BB46" s="436" t="str">
        <f t="array" ref="BB46">IF(AE46=DGET(claves!$A$2:$AS423,AE$2,{claves!$A$2;$E46}),1,0)</f>
        <v>#VALUE!</v>
      </c>
      <c r="BC46" s="436" t="str">
        <f t="array" ref="BC46">IF(AF46=DGET(claves!$A$2:$AS423,AF$2,{claves!$A$2;$E46}),1,0)</f>
        <v>#VALUE!</v>
      </c>
      <c r="BD46" s="437" t="str">
        <f t="shared" si="1"/>
        <v>#VALUE!</v>
      </c>
      <c r="BE46" s="435" t="s">
        <v>1468</v>
      </c>
      <c r="BF46" s="415"/>
    </row>
    <row r="47" ht="14.25" customHeight="1">
      <c r="A47" s="408">
        <v>45.0</v>
      </c>
      <c r="B47" s="153" t="s">
        <v>1653</v>
      </c>
      <c r="C47" s="153">
        <v>2024.0</v>
      </c>
      <c r="D47" s="77" t="s">
        <v>362</v>
      </c>
      <c r="E47" s="409" t="str">
        <f>IFERROR(__xludf.DUMMYFUNCTION("ARRAYFORMULA(JOIN("""", ARRAYFORMULA(MID(SPLIT(F47, "" ""), 1, 1))))
&amp;""/""&amp;G47"),"MC/6 Primaria")</f>
        <v>MC/6 Primaria</v>
      </c>
      <c r="F47" s="77" t="s">
        <v>1654</v>
      </c>
      <c r="G47" s="432" t="s">
        <v>22</v>
      </c>
      <c r="H47" s="433" t="s">
        <v>1774</v>
      </c>
      <c r="I47" s="433" t="s">
        <v>1684</v>
      </c>
      <c r="J47" s="433" t="s">
        <v>1775</v>
      </c>
      <c r="K47" s="432" t="s">
        <v>1665</v>
      </c>
      <c r="L47" s="415"/>
      <c r="M47" s="434" t="s">
        <v>1660</v>
      </c>
      <c r="N47" s="434" t="s">
        <v>1689</v>
      </c>
      <c r="O47" s="434" t="s">
        <v>1660</v>
      </c>
      <c r="P47" s="434" t="s">
        <v>1659</v>
      </c>
      <c r="Q47" s="434" t="s">
        <v>1659</v>
      </c>
      <c r="R47" s="434" t="s">
        <v>1659</v>
      </c>
      <c r="S47" s="434" t="s">
        <v>1660</v>
      </c>
      <c r="T47" s="434" t="s">
        <v>1661</v>
      </c>
      <c r="U47" s="434" t="s">
        <v>1659</v>
      </c>
      <c r="V47" s="434" t="s">
        <v>1661</v>
      </c>
      <c r="W47" s="434" t="s">
        <v>1661</v>
      </c>
      <c r="X47" s="434" t="s">
        <v>1689</v>
      </c>
      <c r="Y47" s="434" t="s">
        <v>1661</v>
      </c>
      <c r="Z47" s="434" t="s">
        <v>1661</v>
      </c>
      <c r="AA47" s="434" t="s">
        <v>1689</v>
      </c>
      <c r="AB47" s="434" t="s">
        <v>1689</v>
      </c>
      <c r="AC47" s="434" t="s">
        <v>1660</v>
      </c>
      <c r="AD47" s="434" t="s">
        <v>1659</v>
      </c>
      <c r="AE47" s="434" t="s">
        <v>1689</v>
      </c>
      <c r="AF47" s="434" t="s">
        <v>1661</v>
      </c>
      <c r="AG47" s="427">
        <v>13.0</v>
      </c>
      <c r="AH47" s="435" t="s">
        <v>24</v>
      </c>
      <c r="AI47" s="415"/>
      <c r="AJ47" s="436" t="str">
        <f t="array" ref="AJ47">IF(M47=DGET(claves!$A$2:$AS423,M$2,{claves!$A$2;$E47}),1,0)</f>
        <v>#VALUE!</v>
      </c>
      <c r="AK47" s="436" t="str">
        <f t="array" ref="AK47">IF(N47=DGET(claves!$A$2:$AS423,N$2,{claves!$A$2;$E47}),1,0)</f>
        <v>#VALUE!</v>
      </c>
      <c r="AL47" s="436" t="str">
        <f t="array" ref="AL47">IF(O47=DGET(claves!$A$2:$AS423,O$2,{claves!$A$2;$E47}),1,0)</f>
        <v>#VALUE!</v>
      </c>
      <c r="AM47" s="436" t="str">
        <f t="array" ref="AM47">IF(P47=DGET(claves!$A$2:$AS423,P$2,{claves!$A$2;$E47}),1,0)</f>
        <v>#VALUE!</v>
      </c>
      <c r="AN47" s="436" t="str">
        <f t="array" ref="AN47">IF(Q47=DGET(claves!$A$2:$AS423,Q$2,{claves!$A$2;$E47}),1,0)</f>
        <v>#VALUE!</v>
      </c>
      <c r="AO47" s="436" t="str">
        <f t="array" ref="AO47">IF(R47=DGET(claves!$A$2:$AS423,R$2,{claves!$A$2;$E47}),1,0)</f>
        <v>#VALUE!</v>
      </c>
      <c r="AP47" s="436" t="str">
        <f t="array" ref="AP47">IF(S47=DGET(claves!$A$2:$AS423,S$2,{claves!$A$2;$E47}),1,0)</f>
        <v>#VALUE!</v>
      </c>
      <c r="AQ47" s="436" t="str">
        <f t="array" ref="AQ47">IF(T47=DGET(claves!$A$2:$AS423,T$2,{claves!$A$2;$E47}),1,0)</f>
        <v>#VALUE!</v>
      </c>
      <c r="AR47" s="436" t="str">
        <f t="array" ref="AR47">IF(U47=DGET(claves!$A$2:$AS423,U$2,{claves!$A$2;$E47}),1,0)</f>
        <v>#VALUE!</v>
      </c>
      <c r="AS47" s="436" t="str">
        <f t="array" ref="AS47">IF(V47=DGET(claves!$A$2:$AS423,V$2,{claves!$A$2;$E47}),1,0)</f>
        <v>#VALUE!</v>
      </c>
      <c r="AT47" s="436" t="str">
        <f t="array" ref="AT47">IF(W47=DGET(claves!$A$2:$AS423,W$2,{claves!$A$2;$E47}),1,0)</f>
        <v>#VALUE!</v>
      </c>
      <c r="AU47" s="436" t="str">
        <f t="array" ref="AU47">IF(X47=DGET(claves!$A$2:$AS423,X$2,{claves!$A$2;$E47}),1,0)</f>
        <v>#VALUE!</v>
      </c>
      <c r="AV47" s="436" t="str">
        <f t="array" ref="AV47">IF(Y47=DGET(claves!$A$2:$AS423,Y$2,{claves!$A$2;$E47}),1,0)</f>
        <v>#VALUE!</v>
      </c>
      <c r="AW47" s="436" t="str">
        <f t="array" ref="AW47">IF(Z47=DGET(claves!$A$2:$AS423,Z$2,{claves!$A$2;$E47}),1,0)</f>
        <v>#VALUE!</v>
      </c>
      <c r="AX47" s="436" t="str">
        <f t="array" ref="AX47">IF(AA47=DGET(claves!$A$2:$AS423,AA$2,{claves!$A$2;$E47}),1,0)</f>
        <v>#VALUE!</v>
      </c>
      <c r="AY47" s="436" t="str">
        <f t="array" ref="AY47">IF(AB47=DGET(claves!$A$2:$AS423,AB$2,{claves!$A$2;$E47}),1,0)</f>
        <v>#VALUE!</v>
      </c>
      <c r="AZ47" s="436" t="str">
        <f t="array" ref="AZ47">IF(AC47=DGET(claves!$A$2:$AS423,AC$2,{claves!$A$2;$E47}),1,0)</f>
        <v>#VALUE!</v>
      </c>
      <c r="BA47" s="436" t="str">
        <f t="array" ref="BA47">IF(AD47=DGET(claves!$A$2:$AS423,AD$2,{claves!$A$2;$E47}),1,0)</f>
        <v>#VALUE!</v>
      </c>
      <c r="BB47" s="436" t="str">
        <f t="array" ref="BB47">IF(AE47=DGET(claves!$A$2:$AS423,AE$2,{claves!$A$2;$E47}),1,0)</f>
        <v>#VALUE!</v>
      </c>
      <c r="BC47" s="436" t="str">
        <f t="array" ref="BC47">IF(AF47=DGET(claves!$A$2:$AS423,AF$2,{claves!$A$2;$E47}),1,0)</f>
        <v>#VALUE!</v>
      </c>
      <c r="BD47" s="437" t="str">
        <f t="shared" si="1"/>
        <v>#VALUE!</v>
      </c>
      <c r="BE47" s="435" t="s">
        <v>1468</v>
      </c>
      <c r="BF47" s="415"/>
    </row>
    <row r="48" ht="14.25" customHeight="1">
      <c r="A48" s="408">
        <v>46.0</v>
      </c>
      <c r="B48" s="153" t="s">
        <v>1653</v>
      </c>
      <c r="C48" s="153">
        <v>2024.0</v>
      </c>
      <c r="D48" s="77" t="s">
        <v>362</v>
      </c>
      <c r="E48" s="409" t="str">
        <f>IFERROR(__xludf.DUMMYFUNCTION("ARRAYFORMULA(JOIN("""", ARRAYFORMULA(MID(SPLIT(F48, "" ""), 1, 1))))
&amp;""/""&amp;G48"),"MC/6 Primaria")</f>
        <v>MC/6 Primaria</v>
      </c>
      <c r="F48" s="77" t="s">
        <v>1654</v>
      </c>
      <c r="G48" s="432" t="s">
        <v>22</v>
      </c>
      <c r="H48" s="433" t="s">
        <v>1712</v>
      </c>
      <c r="I48" s="433" t="s">
        <v>1776</v>
      </c>
      <c r="J48" s="433" t="s">
        <v>1777</v>
      </c>
      <c r="K48" s="433" t="s">
        <v>1658</v>
      </c>
      <c r="L48" s="415"/>
      <c r="M48" s="434" t="s">
        <v>1660</v>
      </c>
      <c r="N48" s="434" t="s">
        <v>1689</v>
      </c>
      <c r="O48" s="434" t="s">
        <v>1661</v>
      </c>
      <c r="P48" s="434" t="s">
        <v>1661</v>
      </c>
      <c r="Q48" s="434" t="s">
        <v>1659</v>
      </c>
      <c r="R48" s="434" t="s">
        <v>1659</v>
      </c>
      <c r="S48" s="434" t="s">
        <v>1660</v>
      </c>
      <c r="T48" s="434" t="s">
        <v>1660</v>
      </c>
      <c r="U48" s="434" t="s">
        <v>1689</v>
      </c>
      <c r="V48" s="434"/>
      <c r="W48" s="434" t="s">
        <v>1659</v>
      </c>
      <c r="X48" s="434" t="s">
        <v>1661</v>
      </c>
      <c r="Y48" s="434" t="s">
        <v>1660</v>
      </c>
      <c r="Z48" s="434" t="s">
        <v>1661</v>
      </c>
      <c r="AA48" s="434" t="s">
        <v>1659</v>
      </c>
      <c r="AB48" s="434" t="s">
        <v>1689</v>
      </c>
      <c r="AC48" s="434" t="s">
        <v>1660</v>
      </c>
      <c r="AD48" s="434" t="s">
        <v>1659</v>
      </c>
      <c r="AE48" s="434" t="s">
        <v>1689</v>
      </c>
      <c r="AF48" s="434" t="s">
        <v>1661</v>
      </c>
      <c r="AG48" s="427">
        <v>13.0</v>
      </c>
      <c r="AH48" s="435" t="s">
        <v>24</v>
      </c>
      <c r="AI48" s="415"/>
      <c r="AJ48" s="436" t="str">
        <f t="array" ref="AJ48">IF(M48=DGET(claves!$A$2:$AS423,M$2,{claves!$A$2;$E48}),1,0)</f>
        <v>#VALUE!</v>
      </c>
      <c r="AK48" s="436" t="str">
        <f t="array" ref="AK48">IF(N48=DGET(claves!$A$2:$AS423,N$2,{claves!$A$2;$E48}),1,0)</f>
        <v>#VALUE!</v>
      </c>
      <c r="AL48" s="436" t="str">
        <f t="array" ref="AL48">IF(O48=DGET(claves!$A$2:$AS423,O$2,{claves!$A$2;$E48}),1,0)</f>
        <v>#VALUE!</v>
      </c>
      <c r="AM48" s="436" t="str">
        <f t="array" ref="AM48">IF(P48=DGET(claves!$A$2:$AS423,P$2,{claves!$A$2;$E48}),1,0)</f>
        <v>#VALUE!</v>
      </c>
      <c r="AN48" s="436" t="str">
        <f t="array" ref="AN48">IF(Q48=DGET(claves!$A$2:$AS423,Q$2,{claves!$A$2;$E48}),1,0)</f>
        <v>#VALUE!</v>
      </c>
      <c r="AO48" s="436" t="str">
        <f t="array" ref="AO48">IF(R48=DGET(claves!$A$2:$AS423,R$2,{claves!$A$2;$E48}),1,0)</f>
        <v>#VALUE!</v>
      </c>
      <c r="AP48" s="436" t="str">
        <f t="array" ref="AP48">IF(S48=DGET(claves!$A$2:$AS423,S$2,{claves!$A$2;$E48}),1,0)</f>
        <v>#VALUE!</v>
      </c>
      <c r="AQ48" s="436" t="str">
        <f t="array" ref="AQ48">IF(T48=DGET(claves!$A$2:$AS423,T$2,{claves!$A$2;$E48}),1,0)</f>
        <v>#VALUE!</v>
      </c>
      <c r="AR48" s="436" t="str">
        <f t="array" ref="AR48">IF(U48=DGET(claves!$A$2:$AS423,U$2,{claves!$A$2;$E48}),1,0)</f>
        <v>#VALUE!</v>
      </c>
      <c r="AS48" s="436" t="str">
        <f t="array" ref="AS48">IF(V48=DGET(claves!$A$2:$AS423,V$2,{claves!$A$2;$E48}),1,0)</f>
        <v>#VALUE!</v>
      </c>
      <c r="AT48" s="436" t="str">
        <f t="array" ref="AT48">IF(W48=DGET(claves!$A$2:$AS423,W$2,{claves!$A$2;$E48}),1,0)</f>
        <v>#VALUE!</v>
      </c>
      <c r="AU48" s="436" t="str">
        <f t="array" ref="AU48">IF(X48=DGET(claves!$A$2:$AS423,X$2,{claves!$A$2;$E48}),1,0)</f>
        <v>#VALUE!</v>
      </c>
      <c r="AV48" s="436" t="str">
        <f t="array" ref="AV48">IF(Y48=DGET(claves!$A$2:$AS423,Y$2,{claves!$A$2;$E48}),1,0)</f>
        <v>#VALUE!</v>
      </c>
      <c r="AW48" s="436" t="str">
        <f t="array" ref="AW48">IF(Z48=DGET(claves!$A$2:$AS423,Z$2,{claves!$A$2;$E48}),1,0)</f>
        <v>#VALUE!</v>
      </c>
      <c r="AX48" s="436" t="str">
        <f t="array" ref="AX48">IF(AA48=DGET(claves!$A$2:$AS423,AA$2,{claves!$A$2;$E48}),1,0)</f>
        <v>#VALUE!</v>
      </c>
      <c r="AY48" s="436" t="str">
        <f t="array" ref="AY48">IF(AB48=DGET(claves!$A$2:$AS423,AB$2,{claves!$A$2;$E48}),1,0)</f>
        <v>#VALUE!</v>
      </c>
      <c r="AZ48" s="436" t="str">
        <f t="array" ref="AZ48">IF(AC48=DGET(claves!$A$2:$AS423,AC$2,{claves!$A$2;$E48}),1,0)</f>
        <v>#VALUE!</v>
      </c>
      <c r="BA48" s="436" t="str">
        <f t="array" ref="BA48">IF(AD48=DGET(claves!$A$2:$AS423,AD$2,{claves!$A$2;$E48}),1,0)</f>
        <v>#VALUE!</v>
      </c>
      <c r="BB48" s="436" t="str">
        <f t="array" ref="BB48">IF(AE48=DGET(claves!$A$2:$AS423,AE$2,{claves!$A$2;$E48}),1,0)</f>
        <v>#VALUE!</v>
      </c>
      <c r="BC48" s="436" t="str">
        <f t="array" ref="BC48">IF(AF48=DGET(claves!$A$2:$AS423,AF$2,{claves!$A$2;$E48}),1,0)</f>
        <v>#VALUE!</v>
      </c>
      <c r="BD48" s="437" t="str">
        <f t="shared" si="1"/>
        <v>#VALUE!</v>
      </c>
      <c r="BE48" s="435" t="s">
        <v>1468</v>
      </c>
      <c r="BF48" s="415"/>
    </row>
    <row r="49" ht="14.25" customHeight="1">
      <c r="A49" s="408">
        <v>47.0</v>
      </c>
      <c r="B49" s="153" t="s">
        <v>1653</v>
      </c>
      <c r="C49" s="153">
        <v>2024.0</v>
      </c>
      <c r="D49" s="77" t="s">
        <v>362</v>
      </c>
      <c r="E49" s="409" t="str">
        <f>IFERROR(__xludf.DUMMYFUNCTION("ARRAYFORMULA(JOIN("""", ARRAYFORMULA(MID(SPLIT(F49, "" ""), 1, 1))))
&amp;""/""&amp;G49"),"MC/6 Primaria")</f>
        <v>MC/6 Primaria</v>
      </c>
      <c r="F49" s="77" t="s">
        <v>1654</v>
      </c>
      <c r="G49" s="432" t="s">
        <v>22</v>
      </c>
      <c r="H49" s="433" t="s">
        <v>1667</v>
      </c>
      <c r="I49" s="433" t="s">
        <v>1778</v>
      </c>
      <c r="J49" s="433" t="s">
        <v>1779</v>
      </c>
      <c r="K49" s="432" t="s">
        <v>1665</v>
      </c>
      <c r="L49" s="415"/>
      <c r="M49" s="434" t="s">
        <v>1660</v>
      </c>
      <c r="N49" s="434" t="s">
        <v>1689</v>
      </c>
      <c r="O49" s="434" t="s">
        <v>1659</v>
      </c>
      <c r="P49" s="434" t="s">
        <v>1659</v>
      </c>
      <c r="Q49" s="434" t="s">
        <v>1659</v>
      </c>
      <c r="R49" s="434" t="s">
        <v>1689</v>
      </c>
      <c r="S49" s="434" t="s">
        <v>1659</v>
      </c>
      <c r="T49" s="434" t="s">
        <v>1659</v>
      </c>
      <c r="U49" s="434" t="s">
        <v>1659</v>
      </c>
      <c r="V49" s="434" t="s">
        <v>1661</v>
      </c>
      <c r="W49" s="434" t="s">
        <v>1659</v>
      </c>
      <c r="X49" s="434" t="s">
        <v>1689</v>
      </c>
      <c r="Y49" s="434" t="s">
        <v>1660</v>
      </c>
      <c r="Z49" s="434" t="s">
        <v>1661</v>
      </c>
      <c r="AA49" s="434" t="s">
        <v>1661</v>
      </c>
      <c r="AB49" s="434" t="s">
        <v>1689</v>
      </c>
      <c r="AC49" s="434" t="s">
        <v>1660</v>
      </c>
      <c r="AD49" s="434" t="s">
        <v>1659</v>
      </c>
      <c r="AE49" s="434" t="s">
        <v>1689</v>
      </c>
      <c r="AF49" s="434" t="s">
        <v>1661</v>
      </c>
      <c r="AG49" s="427">
        <v>14.0</v>
      </c>
      <c r="AH49" s="435" t="s">
        <v>24</v>
      </c>
      <c r="AI49" s="415"/>
      <c r="AJ49" s="436" t="str">
        <f t="array" ref="AJ49">IF(M49=DGET(claves!$A$2:$AS423,M$2,{claves!$A$2;$E49}),1,0)</f>
        <v>#VALUE!</v>
      </c>
      <c r="AK49" s="436" t="str">
        <f t="array" ref="AK49">IF(N49=DGET(claves!$A$2:$AS423,N$2,{claves!$A$2;$E49}),1,0)</f>
        <v>#VALUE!</v>
      </c>
      <c r="AL49" s="436" t="str">
        <f t="array" ref="AL49">IF(O49=DGET(claves!$A$2:$AS423,O$2,{claves!$A$2;$E49}),1,0)</f>
        <v>#VALUE!</v>
      </c>
      <c r="AM49" s="436" t="str">
        <f t="array" ref="AM49">IF(P49=DGET(claves!$A$2:$AS423,P$2,{claves!$A$2;$E49}),1,0)</f>
        <v>#VALUE!</v>
      </c>
      <c r="AN49" s="436" t="str">
        <f t="array" ref="AN49">IF(Q49=DGET(claves!$A$2:$AS423,Q$2,{claves!$A$2;$E49}),1,0)</f>
        <v>#VALUE!</v>
      </c>
      <c r="AO49" s="436" t="str">
        <f t="array" ref="AO49">IF(R49=DGET(claves!$A$2:$AS423,R$2,{claves!$A$2;$E49}),1,0)</f>
        <v>#VALUE!</v>
      </c>
      <c r="AP49" s="436" t="str">
        <f t="array" ref="AP49">IF(S49=DGET(claves!$A$2:$AS423,S$2,{claves!$A$2;$E49}),1,0)</f>
        <v>#VALUE!</v>
      </c>
      <c r="AQ49" s="436" t="str">
        <f t="array" ref="AQ49">IF(T49=DGET(claves!$A$2:$AS423,T$2,{claves!$A$2;$E49}),1,0)</f>
        <v>#VALUE!</v>
      </c>
      <c r="AR49" s="436" t="str">
        <f t="array" ref="AR49">IF(U49=DGET(claves!$A$2:$AS423,U$2,{claves!$A$2;$E49}),1,0)</f>
        <v>#VALUE!</v>
      </c>
      <c r="AS49" s="436" t="str">
        <f t="array" ref="AS49">IF(V49=DGET(claves!$A$2:$AS423,V$2,{claves!$A$2;$E49}),1,0)</f>
        <v>#VALUE!</v>
      </c>
      <c r="AT49" s="436" t="str">
        <f t="array" ref="AT49">IF(W49=DGET(claves!$A$2:$AS423,W$2,{claves!$A$2;$E49}),1,0)</f>
        <v>#VALUE!</v>
      </c>
      <c r="AU49" s="436" t="str">
        <f t="array" ref="AU49">IF(X49=DGET(claves!$A$2:$AS423,X$2,{claves!$A$2;$E49}),1,0)</f>
        <v>#VALUE!</v>
      </c>
      <c r="AV49" s="436" t="str">
        <f t="array" ref="AV49">IF(Y49=DGET(claves!$A$2:$AS423,Y$2,{claves!$A$2;$E49}),1,0)</f>
        <v>#VALUE!</v>
      </c>
      <c r="AW49" s="436" t="str">
        <f t="array" ref="AW49">IF(Z49=DGET(claves!$A$2:$AS423,Z$2,{claves!$A$2;$E49}),1,0)</f>
        <v>#VALUE!</v>
      </c>
      <c r="AX49" s="436" t="str">
        <f t="array" ref="AX49">IF(AA49=DGET(claves!$A$2:$AS423,AA$2,{claves!$A$2;$E49}),1,0)</f>
        <v>#VALUE!</v>
      </c>
      <c r="AY49" s="436" t="str">
        <f t="array" ref="AY49">IF(AB49=DGET(claves!$A$2:$AS423,AB$2,{claves!$A$2;$E49}),1,0)</f>
        <v>#VALUE!</v>
      </c>
      <c r="AZ49" s="436" t="str">
        <f t="array" ref="AZ49">IF(AC49=DGET(claves!$A$2:$AS423,AC$2,{claves!$A$2;$E49}),1,0)</f>
        <v>#VALUE!</v>
      </c>
      <c r="BA49" s="436" t="str">
        <f t="array" ref="BA49">IF(AD49=DGET(claves!$A$2:$AS423,AD$2,{claves!$A$2;$E49}),1,0)</f>
        <v>#VALUE!</v>
      </c>
      <c r="BB49" s="436" t="str">
        <f t="array" ref="BB49">IF(AE49=DGET(claves!$A$2:$AS423,AE$2,{claves!$A$2;$E49}),1,0)</f>
        <v>#VALUE!</v>
      </c>
      <c r="BC49" s="436" t="str">
        <f t="array" ref="BC49">IF(AF49=DGET(claves!$A$2:$AS423,AF$2,{claves!$A$2;$E49}),1,0)</f>
        <v>#VALUE!</v>
      </c>
      <c r="BD49" s="437" t="str">
        <f t="shared" si="1"/>
        <v>#VALUE!</v>
      </c>
      <c r="BE49" s="435" t="s">
        <v>1468</v>
      </c>
      <c r="BF49" s="415"/>
    </row>
    <row r="50" ht="14.25" customHeight="1">
      <c r="A50" s="408">
        <v>48.0</v>
      </c>
      <c r="B50" s="153" t="s">
        <v>1653</v>
      </c>
      <c r="C50" s="153">
        <v>2024.0</v>
      </c>
      <c r="D50" s="77" t="s">
        <v>362</v>
      </c>
      <c r="E50" s="409" t="str">
        <f>IFERROR(__xludf.DUMMYFUNCTION("ARRAYFORMULA(JOIN("""", ARRAYFORMULA(MID(SPLIT(F50, "" ""), 1, 1))))
&amp;""/""&amp;G50"),"MC/6 Primaria")</f>
        <v>MC/6 Primaria</v>
      </c>
      <c r="F50" s="77" t="s">
        <v>1654</v>
      </c>
      <c r="G50" s="432" t="s">
        <v>22</v>
      </c>
      <c r="H50" s="433" t="s">
        <v>1676</v>
      </c>
      <c r="I50" s="433" t="s">
        <v>1780</v>
      </c>
      <c r="J50" s="433" t="s">
        <v>1781</v>
      </c>
      <c r="K50" s="433" t="s">
        <v>1658</v>
      </c>
      <c r="L50" s="415"/>
      <c r="M50" s="434" t="s">
        <v>1661</v>
      </c>
      <c r="N50" s="434" t="s">
        <v>1659</v>
      </c>
      <c r="O50" s="434" t="s">
        <v>1661</v>
      </c>
      <c r="P50" s="434" t="s">
        <v>1689</v>
      </c>
      <c r="Q50" s="434" t="s">
        <v>1661</v>
      </c>
      <c r="R50" s="434" t="s">
        <v>1660</v>
      </c>
      <c r="S50" s="434" t="s">
        <v>1660</v>
      </c>
      <c r="T50" s="434" t="s">
        <v>1659</v>
      </c>
      <c r="U50" s="434" t="s">
        <v>1659</v>
      </c>
      <c r="V50" s="434" t="s">
        <v>1661</v>
      </c>
      <c r="W50" s="434" t="s">
        <v>1661</v>
      </c>
      <c r="X50" s="434" t="s">
        <v>1661</v>
      </c>
      <c r="Y50" s="434" t="s">
        <v>1659</v>
      </c>
      <c r="Z50" s="434" t="s">
        <v>1661</v>
      </c>
      <c r="AA50" s="434" t="s">
        <v>1660</v>
      </c>
      <c r="AB50" s="434" t="s">
        <v>1689</v>
      </c>
      <c r="AC50" s="434" t="s">
        <v>1660</v>
      </c>
      <c r="AD50" s="434" t="s">
        <v>1659</v>
      </c>
      <c r="AE50" s="434" t="s">
        <v>1689</v>
      </c>
      <c r="AF50" s="434" t="s">
        <v>1661</v>
      </c>
      <c r="AG50" s="427">
        <v>11.0</v>
      </c>
      <c r="AH50" s="435" t="s">
        <v>24</v>
      </c>
      <c r="AI50" s="415"/>
      <c r="AJ50" s="436" t="str">
        <f t="array" ref="AJ50">IF(M50=DGET(claves!$A$2:$AS423,M$2,{claves!$A$2;$E50}),1,0)</f>
        <v>#VALUE!</v>
      </c>
      <c r="AK50" s="436" t="str">
        <f t="array" ref="AK50">IF(N50=DGET(claves!$A$2:$AS423,N$2,{claves!$A$2;$E50}),1,0)</f>
        <v>#VALUE!</v>
      </c>
      <c r="AL50" s="436" t="str">
        <f t="array" ref="AL50">IF(O50=DGET(claves!$A$2:$AS423,O$2,{claves!$A$2;$E50}),1,0)</f>
        <v>#VALUE!</v>
      </c>
      <c r="AM50" s="436" t="str">
        <f t="array" ref="AM50">IF(P50=DGET(claves!$A$2:$AS423,P$2,{claves!$A$2;$E50}),1,0)</f>
        <v>#VALUE!</v>
      </c>
      <c r="AN50" s="436" t="str">
        <f t="array" ref="AN50">IF(Q50=DGET(claves!$A$2:$AS423,Q$2,{claves!$A$2;$E50}),1,0)</f>
        <v>#VALUE!</v>
      </c>
      <c r="AO50" s="436" t="str">
        <f t="array" ref="AO50">IF(R50=DGET(claves!$A$2:$AS423,R$2,{claves!$A$2;$E50}),1,0)</f>
        <v>#VALUE!</v>
      </c>
      <c r="AP50" s="436" t="str">
        <f t="array" ref="AP50">IF(S50=DGET(claves!$A$2:$AS423,S$2,{claves!$A$2;$E50}),1,0)</f>
        <v>#VALUE!</v>
      </c>
      <c r="AQ50" s="436" t="str">
        <f t="array" ref="AQ50">IF(T50=DGET(claves!$A$2:$AS423,T$2,{claves!$A$2;$E50}),1,0)</f>
        <v>#VALUE!</v>
      </c>
      <c r="AR50" s="436" t="str">
        <f t="array" ref="AR50">IF(U50=DGET(claves!$A$2:$AS423,U$2,{claves!$A$2;$E50}),1,0)</f>
        <v>#VALUE!</v>
      </c>
      <c r="AS50" s="436" t="str">
        <f t="array" ref="AS50">IF(V50=DGET(claves!$A$2:$AS423,V$2,{claves!$A$2;$E50}),1,0)</f>
        <v>#VALUE!</v>
      </c>
      <c r="AT50" s="436" t="str">
        <f t="array" ref="AT50">IF(W50=DGET(claves!$A$2:$AS423,W$2,{claves!$A$2;$E50}),1,0)</f>
        <v>#VALUE!</v>
      </c>
      <c r="AU50" s="436" t="str">
        <f t="array" ref="AU50">IF(X50=DGET(claves!$A$2:$AS423,X$2,{claves!$A$2;$E50}),1,0)</f>
        <v>#VALUE!</v>
      </c>
      <c r="AV50" s="436" t="str">
        <f t="array" ref="AV50">IF(Y50=DGET(claves!$A$2:$AS423,Y$2,{claves!$A$2;$E50}),1,0)</f>
        <v>#VALUE!</v>
      </c>
      <c r="AW50" s="436" t="str">
        <f t="array" ref="AW50">IF(Z50=DGET(claves!$A$2:$AS423,Z$2,{claves!$A$2;$E50}),1,0)</f>
        <v>#VALUE!</v>
      </c>
      <c r="AX50" s="436" t="str">
        <f t="array" ref="AX50">IF(AA50=DGET(claves!$A$2:$AS423,AA$2,{claves!$A$2;$E50}),1,0)</f>
        <v>#VALUE!</v>
      </c>
      <c r="AY50" s="436" t="str">
        <f t="array" ref="AY50">IF(AB50=DGET(claves!$A$2:$AS423,AB$2,{claves!$A$2;$E50}),1,0)</f>
        <v>#VALUE!</v>
      </c>
      <c r="AZ50" s="436" t="str">
        <f t="array" ref="AZ50">IF(AC50=DGET(claves!$A$2:$AS423,AC$2,{claves!$A$2;$E50}),1,0)</f>
        <v>#VALUE!</v>
      </c>
      <c r="BA50" s="436" t="str">
        <f t="array" ref="BA50">IF(AD50=DGET(claves!$A$2:$AS423,AD$2,{claves!$A$2;$E50}),1,0)</f>
        <v>#VALUE!</v>
      </c>
      <c r="BB50" s="436" t="str">
        <f t="array" ref="BB50">IF(AE50=DGET(claves!$A$2:$AS423,AE$2,{claves!$A$2;$E50}),1,0)</f>
        <v>#VALUE!</v>
      </c>
      <c r="BC50" s="436" t="str">
        <f t="array" ref="BC50">IF(AF50=DGET(claves!$A$2:$AS423,AF$2,{claves!$A$2;$E50}),1,0)</f>
        <v>#VALUE!</v>
      </c>
      <c r="BD50" s="437" t="str">
        <f t="shared" si="1"/>
        <v>#VALUE!</v>
      </c>
      <c r="BE50" s="435" t="s">
        <v>1468</v>
      </c>
      <c r="BF50" s="415"/>
    </row>
    <row r="51" ht="14.25" customHeight="1">
      <c r="A51" s="408">
        <v>49.0</v>
      </c>
      <c r="B51" s="153" t="s">
        <v>1653</v>
      </c>
      <c r="C51" s="153">
        <v>2024.0</v>
      </c>
      <c r="D51" s="77" t="s">
        <v>362</v>
      </c>
      <c r="E51" s="409" t="str">
        <f>IFERROR(__xludf.DUMMYFUNCTION("ARRAYFORMULA(JOIN("""", ARRAYFORMULA(MID(SPLIT(F51, "" ""), 1, 1))))
&amp;""/""&amp;G51"),"MC/6 Primaria")</f>
        <v>MC/6 Primaria</v>
      </c>
      <c r="F51" s="77" t="s">
        <v>1654</v>
      </c>
      <c r="G51" s="432" t="s">
        <v>22</v>
      </c>
      <c r="H51" s="433" t="s">
        <v>1782</v>
      </c>
      <c r="I51" s="433" t="s">
        <v>1783</v>
      </c>
      <c r="J51" s="433" t="s">
        <v>1784</v>
      </c>
      <c r="K51" s="432" t="s">
        <v>1665</v>
      </c>
      <c r="L51" s="415"/>
      <c r="M51" s="434" t="s">
        <v>1660</v>
      </c>
      <c r="N51" s="434" t="s">
        <v>1689</v>
      </c>
      <c r="O51" s="434" t="s">
        <v>1661</v>
      </c>
      <c r="P51" s="434" t="s">
        <v>1661</v>
      </c>
      <c r="Q51" s="434" t="s">
        <v>1689</v>
      </c>
      <c r="R51" s="434" t="s">
        <v>1660</v>
      </c>
      <c r="S51" s="434" t="s">
        <v>1659</v>
      </c>
      <c r="T51" s="434" t="s">
        <v>1659</v>
      </c>
      <c r="U51" s="434" t="s">
        <v>1659</v>
      </c>
      <c r="V51" s="434" t="s">
        <v>1659</v>
      </c>
      <c r="W51" s="434" t="s">
        <v>1661</v>
      </c>
      <c r="X51" s="434" t="s">
        <v>1689</v>
      </c>
      <c r="Y51" s="434" t="s">
        <v>1660</v>
      </c>
      <c r="Z51" s="434" t="s">
        <v>1660</v>
      </c>
      <c r="AA51" s="434" t="s">
        <v>1661</v>
      </c>
      <c r="AB51" s="434" t="s">
        <v>1661</v>
      </c>
      <c r="AC51" s="434" t="s">
        <v>1660</v>
      </c>
      <c r="AD51" s="434" t="s">
        <v>1661</v>
      </c>
      <c r="AE51" s="434" t="s">
        <v>1660</v>
      </c>
      <c r="AF51" s="434" t="s">
        <v>1660</v>
      </c>
      <c r="AG51" s="427">
        <v>10.0</v>
      </c>
      <c r="AH51" s="435" t="s">
        <v>18</v>
      </c>
      <c r="AI51" s="415"/>
      <c r="AJ51" s="436" t="str">
        <f t="array" ref="AJ51">IF(M51=DGET(claves!$A$2:$AS423,M$2,{claves!$A$2;$E51}),1,0)</f>
        <v>#VALUE!</v>
      </c>
      <c r="AK51" s="436" t="str">
        <f t="array" ref="AK51">IF(N51=DGET(claves!$A$2:$AS423,N$2,{claves!$A$2;$E51}),1,0)</f>
        <v>#VALUE!</v>
      </c>
      <c r="AL51" s="436" t="str">
        <f t="array" ref="AL51">IF(O51=DGET(claves!$A$2:$AS423,O$2,{claves!$A$2;$E51}),1,0)</f>
        <v>#VALUE!</v>
      </c>
      <c r="AM51" s="436" t="str">
        <f t="array" ref="AM51">IF(P51=DGET(claves!$A$2:$AS423,P$2,{claves!$A$2;$E51}),1,0)</f>
        <v>#VALUE!</v>
      </c>
      <c r="AN51" s="436" t="str">
        <f t="array" ref="AN51">IF(Q51=DGET(claves!$A$2:$AS423,Q$2,{claves!$A$2;$E51}),1,0)</f>
        <v>#VALUE!</v>
      </c>
      <c r="AO51" s="436" t="str">
        <f t="array" ref="AO51">IF(R51=DGET(claves!$A$2:$AS423,R$2,{claves!$A$2;$E51}),1,0)</f>
        <v>#VALUE!</v>
      </c>
      <c r="AP51" s="436" t="str">
        <f t="array" ref="AP51">IF(S51=DGET(claves!$A$2:$AS423,S$2,{claves!$A$2;$E51}),1,0)</f>
        <v>#VALUE!</v>
      </c>
      <c r="AQ51" s="436" t="str">
        <f t="array" ref="AQ51">IF(T51=DGET(claves!$A$2:$AS423,T$2,{claves!$A$2;$E51}),1,0)</f>
        <v>#VALUE!</v>
      </c>
      <c r="AR51" s="436" t="str">
        <f t="array" ref="AR51">IF(U51=DGET(claves!$A$2:$AS423,U$2,{claves!$A$2;$E51}),1,0)</f>
        <v>#VALUE!</v>
      </c>
      <c r="AS51" s="436" t="str">
        <f t="array" ref="AS51">IF(V51=DGET(claves!$A$2:$AS423,V$2,{claves!$A$2;$E51}),1,0)</f>
        <v>#VALUE!</v>
      </c>
      <c r="AT51" s="436" t="str">
        <f t="array" ref="AT51">IF(W51=DGET(claves!$A$2:$AS423,W$2,{claves!$A$2;$E51}),1,0)</f>
        <v>#VALUE!</v>
      </c>
      <c r="AU51" s="436" t="str">
        <f t="array" ref="AU51">IF(X51=DGET(claves!$A$2:$AS423,X$2,{claves!$A$2;$E51}),1,0)</f>
        <v>#VALUE!</v>
      </c>
      <c r="AV51" s="436" t="str">
        <f t="array" ref="AV51">IF(Y51=DGET(claves!$A$2:$AS423,Y$2,{claves!$A$2;$E51}),1,0)</f>
        <v>#VALUE!</v>
      </c>
      <c r="AW51" s="436" t="str">
        <f t="array" ref="AW51">IF(Z51=DGET(claves!$A$2:$AS423,Z$2,{claves!$A$2;$E51}),1,0)</f>
        <v>#VALUE!</v>
      </c>
      <c r="AX51" s="436" t="str">
        <f t="array" ref="AX51">IF(AA51=DGET(claves!$A$2:$AS423,AA$2,{claves!$A$2;$E51}),1,0)</f>
        <v>#VALUE!</v>
      </c>
      <c r="AY51" s="436" t="str">
        <f t="array" ref="AY51">IF(AB51=DGET(claves!$A$2:$AS423,AB$2,{claves!$A$2;$E51}),1,0)</f>
        <v>#VALUE!</v>
      </c>
      <c r="AZ51" s="436" t="str">
        <f t="array" ref="AZ51">IF(AC51=DGET(claves!$A$2:$AS423,AC$2,{claves!$A$2;$E51}),1,0)</f>
        <v>#VALUE!</v>
      </c>
      <c r="BA51" s="436" t="str">
        <f t="array" ref="BA51">IF(AD51=DGET(claves!$A$2:$AS423,AD$2,{claves!$A$2;$E51}),1,0)</f>
        <v>#VALUE!</v>
      </c>
      <c r="BB51" s="436" t="str">
        <f t="array" ref="BB51">IF(AE51=DGET(claves!$A$2:$AS423,AE$2,{claves!$A$2;$E51}),1,0)</f>
        <v>#VALUE!</v>
      </c>
      <c r="BC51" s="436" t="str">
        <f t="array" ref="BC51">IF(AF51=DGET(claves!$A$2:$AS423,AF$2,{claves!$A$2;$E51}),1,0)</f>
        <v>#VALUE!</v>
      </c>
      <c r="BD51" s="437" t="str">
        <f t="shared" si="1"/>
        <v>#VALUE!</v>
      </c>
      <c r="BE51" s="435" t="s">
        <v>1468</v>
      </c>
      <c r="BF51" s="415"/>
    </row>
    <row r="52" ht="14.25" customHeight="1">
      <c r="A52" s="408">
        <v>50.0</v>
      </c>
      <c r="B52" s="153" t="s">
        <v>1653</v>
      </c>
      <c r="C52" s="153">
        <v>2024.0</v>
      </c>
      <c r="D52" s="77" t="s">
        <v>362</v>
      </c>
      <c r="E52" s="409" t="str">
        <f>IFERROR(__xludf.DUMMYFUNCTION("ARRAYFORMULA(JOIN("""", ARRAYFORMULA(MID(SPLIT(F52, "" ""), 1, 1))))
&amp;""/""&amp;G52"),"MC/6 Primaria")</f>
        <v>MC/6 Primaria</v>
      </c>
      <c r="F52" s="77" t="s">
        <v>1654</v>
      </c>
      <c r="G52" s="432" t="s">
        <v>22</v>
      </c>
      <c r="H52" s="433" t="s">
        <v>1723</v>
      </c>
      <c r="I52" s="433" t="s">
        <v>1772</v>
      </c>
      <c r="J52" s="433" t="s">
        <v>1785</v>
      </c>
      <c r="K52" s="433" t="s">
        <v>1658</v>
      </c>
      <c r="L52" s="415"/>
      <c r="M52" s="434" t="s">
        <v>1660</v>
      </c>
      <c r="N52" s="434" t="s">
        <v>1689</v>
      </c>
      <c r="O52" s="434" t="s">
        <v>1661</v>
      </c>
      <c r="P52" s="434" t="s">
        <v>1689</v>
      </c>
      <c r="Q52" s="434" t="s">
        <v>1659</v>
      </c>
      <c r="R52" s="434" t="s">
        <v>1659</v>
      </c>
      <c r="S52" s="434" t="s">
        <v>1659</v>
      </c>
      <c r="T52" s="434" t="s">
        <v>1659</v>
      </c>
      <c r="U52" s="434" t="s">
        <v>1659</v>
      </c>
      <c r="V52" s="434" t="s">
        <v>1661</v>
      </c>
      <c r="W52" s="434" t="s">
        <v>1661</v>
      </c>
      <c r="X52" s="434" t="s">
        <v>1689</v>
      </c>
      <c r="Y52" s="434" t="s">
        <v>1660</v>
      </c>
      <c r="Z52" s="434" t="s">
        <v>1661</v>
      </c>
      <c r="AA52" s="434" t="s">
        <v>1659</v>
      </c>
      <c r="AB52" s="434" t="s">
        <v>1689</v>
      </c>
      <c r="AC52" s="434" t="s">
        <v>1660</v>
      </c>
      <c r="AD52" s="434" t="s">
        <v>1659</v>
      </c>
      <c r="AE52" s="434" t="s">
        <v>1689</v>
      </c>
      <c r="AF52" s="434" t="s">
        <v>1661</v>
      </c>
      <c r="AG52" s="427">
        <v>19.0</v>
      </c>
      <c r="AH52" s="438" t="s">
        <v>32</v>
      </c>
      <c r="AI52" s="415"/>
      <c r="AJ52" s="436" t="str">
        <f t="array" ref="AJ52">IF(M52=DGET(claves!$A$2:$AS423,M$2,{claves!$A$2;$E52}),1,0)</f>
        <v>#VALUE!</v>
      </c>
      <c r="AK52" s="436" t="str">
        <f t="array" ref="AK52">IF(N52=DGET(claves!$A$2:$AS423,N$2,{claves!$A$2;$E52}),1,0)</f>
        <v>#VALUE!</v>
      </c>
      <c r="AL52" s="436" t="str">
        <f t="array" ref="AL52">IF(O52=DGET(claves!$A$2:$AS423,O$2,{claves!$A$2;$E52}),1,0)</f>
        <v>#VALUE!</v>
      </c>
      <c r="AM52" s="436" t="str">
        <f t="array" ref="AM52">IF(P52=DGET(claves!$A$2:$AS423,P$2,{claves!$A$2;$E52}),1,0)</f>
        <v>#VALUE!</v>
      </c>
      <c r="AN52" s="436" t="str">
        <f t="array" ref="AN52">IF(Q52=DGET(claves!$A$2:$AS423,Q$2,{claves!$A$2;$E52}),1,0)</f>
        <v>#VALUE!</v>
      </c>
      <c r="AO52" s="436" t="str">
        <f t="array" ref="AO52">IF(R52=DGET(claves!$A$2:$AS423,R$2,{claves!$A$2;$E52}),1,0)</f>
        <v>#VALUE!</v>
      </c>
      <c r="AP52" s="436" t="str">
        <f t="array" ref="AP52">IF(S52=DGET(claves!$A$2:$AS423,S$2,{claves!$A$2;$E52}),1,0)</f>
        <v>#VALUE!</v>
      </c>
      <c r="AQ52" s="436" t="str">
        <f t="array" ref="AQ52">IF(T52=DGET(claves!$A$2:$AS423,T$2,{claves!$A$2;$E52}),1,0)</f>
        <v>#VALUE!</v>
      </c>
      <c r="AR52" s="436" t="str">
        <f t="array" ref="AR52">IF(U52=DGET(claves!$A$2:$AS423,U$2,{claves!$A$2;$E52}),1,0)</f>
        <v>#VALUE!</v>
      </c>
      <c r="AS52" s="436" t="str">
        <f t="array" ref="AS52">IF(V52=DGET(claves!$A$2:$AS423,V$2,{claves!$A$2;$E52}),1,0)</f>
        <v>#VALUE!</v>
      </c>
      <c r="AT52" s="436" t="str">
        <f t="array" ref="AT52">IF(W52=DGET(claves!$A$2:$AS423,W$2,{claves!$A$2;$E52}),1,0)</f>
        <v>#VALUE!</v>
      </c>
      <c r="AU52" s="436" t="str">
        <f t="array" ref="AU52">IF(X52=DGET(claves!$A$2:$AS423,X$2,{claves!$A$2;$E52}),1,0)</f>
        <v>#VALUE!</v>
      </c>
      <c r="AV52" s="436" t="str">
        <f t="array" ref="AV52">IF(Y52=DGET(claves!$A$2:$AS423,Y$2,{claves!$A$2;$E52}),1,0)</f>
        <v>#VALUE!</v>
      </c>
      <c r="AW52" s="436" t="str">
        <f t="array" ref="AW52">IF(Z52=DGET(claves!$A$2:$AS423,Z$2,{claves!$A$2;$E52}),1,0)</f>
        <v>#VALUE!</v>
      </c>
      <c r="AX52" s="436" t="str">
        <f t="array" ref="AX52">IF(AA52=DGET(claves!$A$2:$AS423,AA$2,{claves!$A$2;$E52}),1,0)</f>
        <v>#VALUE!</v>
      </c>
      <c r="AY52" s="436" t="str">
        <f t="array" ref="AY52">IF(AB52=DGET(claves!$A$2:$AS423,AB$2,{claves!$A$2;$E52}),1,0)</f>
        <v>#VALUE!</v>
      </c>
      <c r="AZ52" s="436" t="str">
        <f t="array" ref="AZ52">IF(AC52=DGET(claves!$A$2:$AS423,AC$2,{claves!$A$2;$E52}),1,0)</f>
        <v>#VALUE!</v>
      </c>
      <c r="BA52" s="436" t="str">
        <f t="array" ref="BA52">IF(AD52=DGET(claves!$A$2:$AS423,AD$2,{claves!$A$2;$E52}),1,0)</f>
        <v>#VALUE!</v>
      </c>
      <c r="BB52" s="436" t="str">
        <f t="array" ref="BB52">IF(AE52=DGET(claves!$A$2:$AS423,AE$2,{claves!$A$2;$E52}),1,0)</f>
        <v>#VALUE!</v>
      </c>
      <c r="BC52" s="436" t="str">
        <f t="array" ref="BC52">IF(AF52=DGET(claves!$A$2:$AS423,AF$2,{claves!$A$2;$E52}),1,0)</f>
        <v>#VALUE!</v>
      </c>
      <c r="BD52" s="437" t="str">
        <f t="shared" si="1"/>
        <v>#VALUE!</v>
      </c>
      <c r="BE52" s="435" t="s">
        <v>1468</v>
      </c>
      <c r="BF52" s="415"/>
    </row>
    <row r="53" ht="14.25" customHeight="1">
      <c r="A53" s="408">
        <v>51.0</v>
      </c>
      <c r="B53" s="153" t="s">
        <v>1653</v>
      </c>
      <c r="C53" s="153">
        <v>2024.0</v>
      </c>
      <c r="D53" s="77" t="s">
        <v>362</v>
      </c>
      <c r="E53" s="409" t="str">
        <f>IFERROR(__xludf.DUMMYFUNCTION("ARRAYFORMULA(JOIN("""", ARRAYFORMULA(MID(SPLIT(F53, "" ""), 1, 1))))
&amp;""/""&amp;G53"),"MC/6 Primaria")</f>
        <v>MC/6 Primaria</v>
      </c>
      <c r="F53" s="77" t="s">
        <v>1654</v>
      </c>
      <c r="G53" s="432" t="s">
        <v>22</v>
      </c>
      <c r="H53" s="433" t="s">
        <v>1786</v>
      </c>
      <c r="I53" s="433" t="s">
        <v>1787</v>
      </c>
      <c r="J53" s="433" t="s">
        <v>1788</v>
      </c>
      <c r="K53" s="433" t="s">
        <v>1658</v>
      </c>
      <c r="L53" s="415"/>
      <c r="M53" s="434" t="s">
        <v>1660</v>
      </c>
      <c r="N53" s="434" t="s">
        <v>1689</v>
      </c>
      <c r="O53" s="434" t="s">
        <v>1661</v>
      </c>
      <c r="P53" s="434" t="s">
        <v>1689</v>
      </c>
      <c r="Q53" s="434" t="s">
        <v>1659</v>
      </c>
      <c r="R53" s="434" t="s">
        <v>1659</v>
      </c>
      <c r="S53" s="434" t="s">
        <v>1659</v>
      </c>
      <c r="T53" s="434" t="s">
        <v>1659</v>
      </c>
      <c r="U53" s="434" t="s">
        <v>1659</v>
      </c>
      <c r="V53" s="434" t="s">
        <v>1661</v>
      </c>
      <c r="W53" s="434" t="s">
        <v>1661</v>
      </c>
      <c r="X53" s="434" t="s">
        <v>1689</v>
      </c>
      <c r="Y53" s="434" t="s">
        <v>1660</v>
      </c>
      <c r="Z53" s="434" t="s">
        <v>1661</v>
      </c>
      <c r="AA53" s="434" t="s">
        <v>1689</v>
      </c>
      <c r="AB53" s="434" t="s">
        <v>1689</v>
      </c>
      <c r="AC53" s="434" t="s">
        <v>1660</v>
      </c>
      <c r="AD53" s="434" t="s">
        <v>1659</v>
      </c>
      <c r="AE53" s="434" t="s">
        <v>1689</v>
      </c>
      <c r="AF53" s="434" t="s">
        <v>1661</v>
      </c>
      <c r="AG53" s="427">
        <v>18.0</v>
      </c>
      <c r="AH53" s="438" t="s">
        <v>32</v>
      </c>
      <c r="AI53" s="415"/>
      <c r="AJ53" s="436" t="str">
        <f t="array" ref="AJ53">IF(M53=DGET(claves!$A$2:$AS423,M$2,{claves!$A$2;$E53}),1,0)</f>
        <v>#VALUE!</v>
      </c>
      <c r="AK53" s="436" t="str">
        <f t="array" ref="AK53">IF(N53=DGET(claves!$A$2:$AS423,N$2,{claves!$A$2;$E53}),1,0)</f>
        <v>#VALUE!</v>
      </c>
      <c r="AL53" s="436" t="str">
        <f t="array" ref="AL53">IF(O53=DGET(claves!$A$2:$AS423,O$2,{claves!$A$2;$E53}),1,0)</f>
        <v>#VALUE!</v>
      </c>
      <c r="AM53" s="436" t="str">
        <f t="array" ref="AM53">IF(P53=DGET(claves!$A$2:$AS423,P$2,{claves!$A$2;$E53}),1,0)</f>
        <v>#VALUE!</v>
      </c>
      <c r="AN53" s="436" t="str">
        <f t="array" ref="AN53">IF(Q53=DGET(claves!$A$2:$AS423,Q$2,{claves!$A$2;$E53}),1,0)</f>
        <v>#VALUE!</v>
      </c>
      <c r="AO53" s="436" t="str">
        <f t="array" ref="AO53">IF(R53=DGET(claves!$A$2:$AS423,R$2,{claves!$A$2;$E53}),1,0)</f>
        <v>#VALUE!</v>
      </c>
      <c r="AP53" s="436" t="str">
        <f t="array" ref="AP53">IF(S53=DGET(claves!$A$2:$AS423,S$2,{claves!$A$2;$E53}),1,0)</f>
        <v>#VALUE!</v>
      </c>
      <c r="AQ53" s="436" t="str">
        <f t="array" ref="AQ53">IF(T53=DGET(claves!$A$2:$AS423,T$2,{claves!$A$2;$E53}),1,0)</f>
        <v>#VALUE!</v>
      </c>
      <c r="AR53" s="436" t="str">
        <f t="array" ref="AR53">IF(U53=DGET(claves!$A$2:$AS423,U$2,{claves!$A$2;$E53}),1,0)</f>
        <v>#VALUE!</v>
      </c>
      <c r="AS53" s="436" t="str">
        <f t="array" ref="AS53">IF(V53=DGET(claves!$A$2:$AS423,V$2,{claves!$A$2;$E53}),1,0)</f>
        <v>#VALUE!</v>
      </c>
      <c r="AT53" s="436" t="str">
        <f t="array" ref="AT53">IF(W53=DGET(claves!$A$2:$AS423,W$2,{claves!$A$2;$E53}),1,0)</f>
        <v>#VALUE!</v>
      </c>
      <c r="AU53" s="436" t="str">
        <f t="array" ref="AU53">IF(X53=DGET(claves!$A$2:$AS423,X$2,{claves!$A$2;$E53}),1,0)</f>
        <v>#VALUE!</v>
      </c>
      <c r="AV53" s="436" t="str">
        <f t="array" ref="AV53">IF(Y53=DGET(claves!$A$2:$AS423,Y$2,{claves!$A$2;$E53}),1,0)</f>
        <v>#VALUE!</v>
      </c>
      <c r="AW53" s="436" t="str">
        <f t="array" ref="AW53">IF(Z53=DGET(claves!$A$2:$AS423,Z$2,{claves!$A$2;$E53}),1,0)</f>
        <v>#VALUE!</v>
      </c>
      <c r="AX53" s="436" t="str">
        <f t="array" ref="AX53">IF(AA53=DGET(claves!$A$2:$AS423,AA$2,{claves!$A$2;$E53}),1,0)</f>
        <v>#VALUE!</v>
      </c>
      <c r="AY53" s="436" t="str">
        <f t="array" ref="AY53">IF(AB53=DGET(claves!$A$2:$AS423,AB$2,{claves!$A$2;$E53}),1,0)</f>
        <v>#VALUE!</v>
      </c>
      <c r="AZ53" s="436" t="str">
        <f t="array" ref="AZ53">IF(AC53=DGET(claves!$A$2:$AS423,AC$2,{claves!$A$2;$E53}),1,0)</f>
        <v>#VALUE!</v>
      </c>
      <c r="BA53" s="436" t="str">
        <f t="array" ref="BA53">IF(AD53=DGET(claves!$A$2:$AS423,AD$2,{claves!$A$2;$E53}),1,0)</f>
        <v>#VALUE!</v>
      </c>
      <c r="BB53" s="436" t="str">
        <f t="array" ref="BB53">IF(AE53=DGET(claves!$A$2:$AS423,AE$2,{claves!$A$2;$E53}),1,0)</f>
        <v>#VALUE!</v>
      </c>
      <c r="BC53" s="436" t="str">
        <f t="array" ref="BC53">IF(AF53=DGET(claves!$A$2:$AS423,AF$2,{claves!$A$2;$E53}),1,0)</f>
        <v>#VALUE!</v>
      </c>
      <c r="BD53" s="437" t="str">
        <f t="shared" si="1"/>
        <v>#VALUE!</v>
      </c>
      <c r="BE53" s="435" t="s">
        <v>1468</v>
      </c>
      <c r="BF53" s="415"/>
    </row>
    <row r="54" ht="14.25" customHeight="1">
      <c r="A54" s="408">
        <v>52.0</v>
      </c>
      <c r="B54" s="153" t="s">
        <v>1653</v>
      </c>
      <c r="C54" s="153">
        <v>2024.0</v>
      </c>
      <c r="D54" s="77" t="s">
        <v>362</v>
      </c>
      <c r="E54" s="409" t="str">
        <f>IFERROR(__xludf.DUMMYFUNCTION("ARRAYFORMULA(JOIN("""", ARRAYFORMULA(MID(SPLIT(F54, "" ""), 1, 1))))
&amp;""/""&amp;G54"),"MC/6 Primaria")</f>
        <v>MC/6 Primaria</v>
      </c>
      <c r="F54" s="77" t="s">
        <v>1654</v>
      </c>
      <c r="G54" s="432" t="s">
        <v>22</v>
      </c>
      <c r="H54" s="433" t="s">
        <v>1789</v>
      </c>
      <c r="I54" s="433" t="s">
        <v>1790</v>
      </c>
      <c r="J54" s="433" t="s">
        <v>1791</v>
      </c>
      <c r="K54" s="432" t="s">
        <v>1665</v>
      </c>
      <c r="L54" s="415"/>
      <c r="M54" s="434" t="s">
        <v>1661</v>
      </c>
      <c r="N54" s="434" t="s">
        <v>1689</v>
      </c>
      <c r="O54" s="434" t="s">
        <v>1659</v>
      </c>
      <c r="P54" s="434" t="s">
        <v>1659</v>
      </c>
      <c r="Q54" s="434" t="s">
        <v>1660</v>
      </c>
      <c r="R54" s="434" t="s">
        <v>1659</v>
      </c>
      <c r="S54" s="434" t="s">
        <v>1659</v>
      </c>
      <c r="T54" s="434" t="s">
        <v>1659</v>
      </c>
      <c r="U54" s="434" t="s">
        <v>1689</v>
      </c>
      <c r="V54" s="434" t="s">
        <v>1661</v>
      </c>
      <c r="W54" s="434" t="s">
        <v>1661</v>
      </c>
      <c r="X54" s="434" t="s">
        <v>1661</v>
      </c>
      <c r="Y54" s="434" t="s">
        <v>1660</v>
      </c>
      <c r="Z54" s="434" t="s">
        <v>1659</v>
      </c>
      <c r="AA54" s="434" t="s">
        <v>1661</v>
      </c>
      <c r="AB54" s="434" t="s">
        <v>1689</v>
      </c>
      <c r="AC54" s="434" t="s">
        <v>1661</v>
      </c>
      <c r="AD54" s="434" t="s">
        <v>1659</v>
      </c>
      <c r="AE54" s="434" t="s">
        <v>1660</v>
      </c>
      <c r="AF54" s="434" t="s">
        <v>1660</v>
      </c>
      <c r="AG54" s="427">
        <v>8.0</v>
      </c>
      <c r="AH54" s="435" t="s">
        <v>18</v>
      </c>
      <c r="AI54" s="415"/>
      <c r="AJ54" s="436" t="str">
        <f t="array" ref="AJ54">IF(M54=DGET(claves!$A$2:$AS423,M$2,{claves!$A$2;$E54}),1,0)</f>
        <v>#VALUE!</v>
      </c>
      <c r="AK54" s="436" t="str">
        <f t="array" ref="AK54">IF(N54=DGET(claves!$A$2:$AS423,N$2,{claves!$A$2;$E54}),1,0)</f>
        <v>#VALUE!</v>
      </c>
      <c r="AL54" s="436" t="str">
        <f t="array" ref="AL54">IF(O54=DGET(claves!$A$2:$AS423,O$2,{claves!$A$2;$E54}),1,0)</f>
        <v>#VALUE!</v>
      </c>
      <c r="AM54" s="436" t="str">
        <f t="array" ref="AM54">IF(P54=DGET(claves!$A$2:$AS423,P$2,{claves!$A$2;$E54}),1,0)</f>
        <v>#VALUE!</v>
      </c>
      <c r="AN54" s="436" t="str">
        <f t="array" ref="AN54">IF(Q54=DGET(claves!$A$2:$AS423,Q$2,{claves!$A$2;$E54}),1,0)</f>
        <v>#VALUE!</v>
      </c>
      <c r="AO54" s="436" t="str">
        <f t="array" ref="AO54">IF(R54=DGET(claves!$A$2:$AS423,R$2,{claves!$A$2;$E54}),1,0)</f>
        <v>#VALUE!</v>
      </c>
      <c r="AP54" s="436" t="str">
        <f t="array" ref="AP54">IF(S54=DGET(claves!$A$2:$AS423,S$2,{claves!$A$2;$E54}),1,0)</f>
        <v>#VALUE!</v>
      </c>
      <c r="AQ54" s="436" t="str">
        <f t="array" ref="AQ54">IF(T54=DGET(claves!$A$2:$AS423,T$2,{claves!$A$2;$E54}),1,0)</f>
        <v>#VALUE!</v>
      </c>
      <c r="AR54" s="436" t="str">
        <f t="array" ref="AR54">IF(U54=DGET(claves!$A$2:$AS423,U$2,{claves!$A$2;$E54}),1,0)</f>
        <v>#VALUE!</v>
      </c>
      <c r="AS54" s="436" t="str">
        <f t="array" ref="AS54">IF(V54=DGET(claves!$A$2:$AS423,V$2,{claves!$A$2;$E54}),1,0)</f>
        <v>#VALUE!</v>
      </c>
      <c r="AT54" s="436" t="str">
        <f t="array" ref="AT54">IF(W54=DGET(claves!$A$2:$AS423,W$2,{claves!$A$2;$E54}),1,0)</f>
        <v>#VALUE!</v>
      </c>
      <c r="AU54" s="436" t="str">
        <f t="array" ref="AU54">IF(X54=DGET(claves!$A$2:$AS423,X$2,{claves!$A$2;$E54}),1,0)</f>
        <v>#VALUE!</v>
      </c>
      <c r="AV54" s="436" t="str">
        <f t="array" ref="AV54">IF(Y54=DGET(claves!$A$2:$AS423,Y$2,{claves!$A$2;$E54}),1,0)</f>
        <v>#VALUE!</v>
      </c>
      <c r="AW54" s="436" t="str">
        <f t="array" ref="AW54">IF(Z54=DGET(claves!$A$2:$AS423,Z$2,{claves!$A$2;$E54}),1,0)</f>
        <v>#VALUE!</v>
      </c>
      <c r="AX54" s="436" t="str">
        <f t="array" ref="AX54">IF(AA54=DGET(claves!$A$2:$AS423,AA$2,{claves!$A$2;$E54}),1,0)</f>
        <v>#VALUE!</v>
      </c>
      <c r="AY54" s="436" t="str">
        <f t="array" ref="AY54">IF(AB54=DGET(claves!$A$2:$AS423,AB$2,{claves!$A$2;$E54}),1,0)</f>
        <v>#VALUE!</v>
      </c>
      <c r="AZ54" s="436" t="str">
        <f t="array" ref="AZ54">IF(AC54=DGET(claves!$A$2:$AS423,AC$2,{claves!$A$2;$E54}),1,0)</f>
        <v>#VALUE!</v>
      </c>
      <c r="BA54" s="436" t="str">
        <f t="array" ref="BA54">IF(AD54=DGET(claves!$A$2:$AS423,AD$2,{claves!$A$2;$E54}),1,0)</f>
        <v>#VALUE!</v>
      </c>
      <c r="BB54" s="436" t="str">
        <f t="array" ref="BB54">IF(AE54=DGET(claves!$A$2:$AS423,AE$2,{claves!$A$2;$E54}),1,0)</f>
        <v>#VALUE!</v>
      </c>
      <c r="BC54" s="436" t="str">
        <f t="array" ref="BC54">IF(AF54=DGET(claves!$A$2:$AS423,AF$2,{claves!$A$2;$E54}),1,0)</f>
        <v>#VALUE!</v>
      </c>
      <c r="BD54" s="437" t="str">
        <f t="shared" si="1"/>
        <v>#VALUE!</v>
      </c>
      <c r="BE54" s="435" t="s">
        <v>1468</v>
      </c>
      <c r="BF54" s="415"/>
    </row>
    <row r="55" ht="14.25" customHeight="1">
      <c r="A55" s="408">
        <v>53.0</v>
      </c>
      <c r="B55" s="153" t="s">
        <v>1653</v>
      </c>
      <c r="C55" s="153">
        <v>2024.0</v>
      </c>
      <c r="D55" s="77" t="s">
        <v>362</v>
      </c>
      <c r="E55" s="409" t="str">
        <f>IFERROR(__xludf.DUMMYFUNCTION("ARRAYFORMULA(JOIN("""", ARRAYFORMULA(MID(SPLIT(F55, "" ""), 1, 1))))
&amp;""/""&amp;G55"),"MC/6 Primaria")</f>
        <v>MC/6 Primaria</v>
      </c>
      <c r="F55" s="77" t="s">
        <v>1654</v>
      </c>
      <c r="G55" s="432" t="s">
        <v>22</v>
      </c>
      <c r="H55" s="433" t="s">
        <v>1792</v>
      </c>
      <c r="I55" s="433" t="s">
        <v>1684</v>
      </c>
      <c r="J55" s="433" t="s">
        <v>1793</v>
      </c>
      <c r="K55" s="433" t="s">
        <v>1658</v>
      </c>
      <c r="L55" s="415"/>
      <c r="M55" s="434" t="s">
        <v>1661</v>
      </c>
      <c r="N55" s="434" t="s">
        <v>1659</v>
      </c>
      <c r="O55" s="434" t="s">
        <v>1661</v>
      </c>
      <c r="P55" s="434" t="s">
        <v>1659</v>
      </c>
      <c r="Q55" s="434" t="s">
        <v>1661</v>
      </c>
      <c r="R55" s="434" t="s">
        <v>1660</v>
      </c>
      <c r="S55" s="434" t="s">
        <v>1659</v>
      </c>
      <c r="T55" s="434" t="s">
        <v>1689</v>
      </c>
      <c r="U55" s="434" t="s">
        <v>1659</v>
      </c>
      <c r="V55" s="434" t="s">
        <v>1660</v>
      </c>
      <c r="W55" s="434" t="s">
        <v>1659</v>
      </c>
      <c r="X55" s="434" t="s">
        <v>1661</v>
      </c>
      <c r="Y55" s="434" t="s">
        <v>1660</v>
      </c>
      <c r="Z55" s="434" t="s">
        <v>1689</v>
      </c>
      <c r="AA55" s="434" t="s">
        <v>1659</v>
      </c>
      <c r="AB55" s="434" t="s">
        <v>1660</v>
      </c>
      <c r="AC55" s="434" t="s">
        <v>1659</v>
      </c>
      <c r="AD55" s="434" t="s">
        <v>1659</v>
      </c>
      <c r="AE55" s="434" t="s">
        <v>1660</v>
      </c>
      <c r="AF55" s="434" t="s">
        <v>1660</v>
      </c>
      <c r="AG55" s="427">
        <v>6.0</v>
      </c>
      <c r="AH55" s="435" t="s">
        <v>18</v>
      </c>
      <c r="AI55" s="415"/>
      <c r="AJ55" s="436" t="str">
        <f t="array" ref="AJ55">IF(M55=DGET(claves!$A$2:$AS423,M$2,{claves!$A$2;$E55}),1,0)</f>
        <v>#VALUE!</v>
      </c>
      <c r="AK55" s="436" t="str">
        <f t="array" ref="AK55">IF(N55=DGET(claves!$A$2:$AS423,N$2,{claves!$A$2;$E55}),1,0)</f>
        <v>#VALUE!</v>
      </c>
      <c r="AL55" s="436" t="str">
        <f t="array" ref="AL55">IF(O55=DGET(claves!$A$2:$AS423,O$2,{claves!$A$2;$E55}),1,0)</f>
        <v>#VALUE!</v>
      </c>
      <c r="AM55" s="436" t="str">
        <f t="array" ref="AM55">IF(P55=DGET(claves!$A$2:$AS423,P$2,{claves!$A$2;$E55}),1,0)</f>
        <v>#VALUE!</v>
      </c>
      <c r="AN55" s="436" t="str">
        <f t="array" ref="AN55">IF(Q55=DGET(claves!$A$2:$AS423,Q$2,{claves!$A$2;$E55}),1,0)</f>
        <v>#VALUE!</v>
      </c>
      <c r="AO55" s="436" t="str">
        <f t="array" ref="AO55">IF(R55=DGET(claves!$A$2:$AS423,R$2,{claves!$A$2;$E55}),1,0)</f>
        <v>#VALUE!</v>
      </c>
      <c r="AP55" s="436" t="str">
        <f t="array" ref="AP55">IF(S55=DGET(claves!$A$2:$AS423,S$2,{claves!$A$2;$E55}),1,0)</f>
        <v>#VALUE!</v>
      </c>
      <c r="AQ55" s="436" t="str">
        <f t="array" ref="AQ55">IF(T55=DGET(claves!$A$2:$AS423,T$2,{claves!$A$2;$E55}),1,0)</f>
        <v>#VALUE!</v>
      </c>
      <c r="AR55" s="436" t="str">
        <f t="array" ref="AR55">IF(U55=DGET(claves!$A$2:$AS423,U$2,{claves!$A$2;$E55}),1,0)</f>
        <v>#VALUE!</v>
      </c>
      <c r="AS55" s="436" t="str">
        <f t="array" ref="AS55">IF(V55=DGET(claves!$A$2:$AS423,V$2,{claves!$A$2;$E55}),1,0)</f>
        <v>#VALUE!</v>
      </c>
      <c r="AT55" s="436" t="str">
        <f t="array" ref="AT55">IF(W55=DGET(claves!$A$2:$AS423,W$2,{claves!$A$2;$E55}),1,0)</f>
        <v>#VALUE!</v>
      </c>
      <c r="AU55" s="436" t="str">
        <f t="array" ref="AU55">IF(X55=DGET(claves!$A$2:$AS423,X$2,{claves!$A$2;$E55}),1,0)</f>
        <v>#VALUE!</v>
      </c>
      <c r="AV55" s="436" t="str">
        <f t="array" ref="AV55">IF(Y55=DGET(claves!$A$2:$AS423,Y$2,{claves!$A$2;$E55}),1,0)</f>
        <v>#VALUE!</v>
      </c>
      <c r="AW55" s="436" t="str">
        <f t="array" ref="AW55">IF(Z55=DGET(claves!$A$2:$AS423,Z$2,{claves!$A$2;$E55}),1,0)</f>
        <v>#VALUE!</v>
      </c>
      <c r="AX55" s="436" t="str">
        <f t="array" ref="AX55">IF(AA55=DGET(claves!$A$2:$AS423,AA$2,{claves!$A$2;$E55}),1,0)</f>
        <v>#VALUE!</v>
      </c>
      <c r="AY55" s="436" t="str">
        <f t="array" ref="AY55">IF(AB55=DGET(claves!$A$2:$AS423,AB$2,{claves!$A$2;$E55}),1,0)</f>
        <v>#VALUE!</v>
      </c>
      <c r="AZ55" s="436" t="str">
        <f t="array" ref="AZ55">IF(AC55=DGET(claves!$A$2:$AS423,AC$2,{claves!$A$2;$E55}),1,0)</f>
        <v>#VALUE!</v>
      </c>
      <c r="BA55" s="436" t="str">
        <f t="array" ref="BA55">IF(AD55=DGET(claves!$A$2:$AS423,AD$2,{claves!$A$2;$E55}),1,0)</f>
        <v>#VALUE!</v>
      </c>
      <c r="BB55" s="436" t="str">
        <f t="array" ref="BB55">IF(AE55=DGET(claves!$A$2:$AS423,AE$2,{claves!$A$2;$E55}),1,0)</f>
        <v>#VALUE!</v>
      </c>
      <c r="BC55" s="436" t="str">
        <f t="array" ref="BC55">IF(AF55=DGET(claves!$A$2:$AS423,AF$2,{claves!$A$2;$E55}),1,0)</f>
        <v>#VALUE!</v>
      </c>
      <c r="BD55" s="437" t="str">
        <f t="shared" si="1"/>
        <v>#VALUE!</v>
      </c>
      <c r="BE55" s="435" t="s">
        <v>1468</v>
      </c>
      <c r="BF55" s="415"/>
    </row>
    <row r="56" ht="14.25" customHeight="1">
      <c r="A56" s="408">
        <v>54.0</v>
      </c>
      <c r="B56" s="153" t="s">
        <v>1653</v>
      </c>
      <c r="C56" s="153">
        <v>2024.0</v>
      </c>
      <c r="D56" s="77" t="s">
        <v>362</v>
      </c>
      <c r="E56" s="409" t="str">
        <f>IFERROR(__xludf.DUMMYFUNCTION("ARRAYFORMULA(JOIN("""", ARRAYFORMULA(MID(SPLIT(F56, "" ""), 1, 1))))
&amp;""/""&amp;G56"),"MC/6 Primaria")</f>
        <v>MC/6 Primaria</v>
      </c>
      <c r="F56" s="77" t="s">
        <v>1654</v>
      </c>
      <c r="G56" s="432" t="s">
        <v>22</v>
      </c>
      <c r="H56" s="433" t="s">
        <v>1794</v>
      </c>
      <c r="I56" s="433" t="s">
        <v>1737</v>
      </c>
      <c r="J56" s="433" t="s">
        <v>1795</v>
      </c>
      <c r="K56" s="432" t="s">
        <v>1665</v>
      </c>
      <c r="L56" s="415"/>
      <c r="M56" s="434" t="s">
        <v>1689</v>
      </c>
      <c r="N56" s="434" t="s">
        <v>1689</v>
      </c>
      <c r="O56" s="434" t="s">
        <v>1661</v>
      </c>
      <c r="P56" s="434" t="s">
        <v>1659</v>
      </c>
      <c r="Q56" s="434" t="s">
        <v>1660</v>
      </c>
      <c r="R56" s="434" t="s">
        <v>1689</v>
      </c>
      <c r="S56" s="434" t="s">
        <v>1660</v>
      </c>
      <c r="T56" s="434" t="s">
        <v>1689</v>
      </c>
      <c r="U56" s="434" t="s">
        <v>1660</v>
      </c>
      <c r="V56" s="434" t="s">
        <v>1661</v>
      </c>
      <c r="W56" s="434" t="s">
        <v>1661</v>
      </c>
      <c r="X56" s="434" t="s">
        <v>1689</v>
      </c>
      <c r="Y56" s="434" t="s">
        <v>1689</v>
      </c>
      <c r="Z56" s="434" t="s">
        <v>1661</v>
      </c>
      <c r="AA56" s="434" t="s">
        <v>1661</v>
      </c>
      <c r="AB56" s="434" t="s">
        <v>1689</v>
      </c>
      <c r="AC56" s="434" t="s">
        <v>1689</v>
      </c>
      <c r="AD56" s="434" t="s">
        <v>1659</v>
      </c>
      <c r="AE56" s="434" t="s">
        <v>1660</v>
      </c>
      <c r="AF56" s="434" t="s">
        <v>1660</v>
      </c>
      <c r="AG56" s="427">
        <v>7.0</v>
      </c>
      <c r="AH56" s="435" t="s">
        <v>18</v>
      </c>
      <c r="AI56" s="415"/>
      <c r="AJ56" s="436" t="str">
        <f t="array" ref="AJ56">IF(M56=DGET(claves!$A$2:$AS423,M$2,{claves!$A$2;$E56}),1,0)</f>
        <v>#VALUE!</v>
      </c>
      <c r="AK56" s="436" t="str">
        <f t="array" ref="AK56">IF(N56=DGET(claves!$A$2:$AS423,N$2,{claves!$A$2;$E56}),1,0)</f>
        <v>#VALUE!</v>
      </c>
      <c r="AL56" s="436" t="str">
        <f t="array" ref="AL56">IF(O56=DGET(claves!$A$2:$AS423,O$2,{claves!$A$2;$E56}),1,0)</f>
        <v>#VALUE!</v>
      </c>
      <c r="AM56" s="436" t="str">
        <f t="array" ref="AM56">IF(P56=DGET(claves!$A$2:$AS423,P$2,{claves!$A$2;$E56}),1,0)</f>
        <v>#VALUE!</v>
      </c>
      <c r="AN56" s="436" t="str">
        <f t="array" ref="AN56">IF(Q56=DGET(claves!$A$2:$AS423,Q$2,{claves!$A$2;$E56}),1,0)</f>
        <v>#VALUE!</v>
      </c>
      <c r="AO56" s="436" t="str">
        <f t="array" ref="AO56">IF(R56=DGET(claves!$A$2:$AS423,R$2,{claves!$A$2;$E56}),1,0)</f>
        <v>#VALUE!</v>
      </c>
      <c r="AP56" s="436" t="str">
        <f t="array" ref="AP56">IF(S56=DGET(claves!$A$2:$AS423,S$2,{claves!$A$2;$E56}),1,0)</f>
        <v>#VALUE!</v>
      </c>
      <c r="AQ56" s="436" t="str">
        <f t="array" ref="AQ56">IF(T56=DGET(claves!$A$2:$AS423,T$2,{claves!$A$2;$E56}),1,0)</f>
        <v>#VALUE!</v>
      </c>
      <c r="AR56" s="436" t="str">
        <f t="array" ref="AR56">IF(U56=DGET(claves!$A$2:$AS423,U$2,{claves!$A$2;$E56}),1,0)</f>
        <v>#VALUE!</v>
      </c>
      <c r="AS56" s="436" t="str">
        <f t="array" ref="AS56">IF(V56=DGET(claves!$A$2:$AS423,V$2,{claves!$A$2;$E56}),1,0)</f>
        <v>#VALUE!</v>
      </c>
      <c r="AT56" s="436" t="str">
        <f t="array" ref="AT56">IF(W56=DGET(claves!$A$2:$AS423,W$2,{claves!$A$2;$E56}),1,0)</f>
        <v>#VALUE!</v>
      </c>
      <c r="AU56" s="436" t="str">
        <f t="array" ref="AU56">IF(X56=DGET(claves!$A$2:$AS423,X$2,{claves!$A$2;$E56}),1,0)</f>
        <v>#VALUE!</v>
      </c>
      <c r="AV56" s="436" t="str">
        <f t="array" ref="AV56">IF(Y56=DGET(claves!$A$2:$AS423,Y$2,{claves!$A$2;$E56}),1,0)</f>
        <v>#VALUE!</v>
      </c>
      <c r="AW56" s="436" t="str">
        <f t="array" ref="AW56">IF(Z56=DGET(claves!$A$2:$AS423,Z$2,{claves!$A$2;$E56}),1,0)</f>
        <v>#VALUE!</v>
      </c>
      <c r="AX56" s="436" t="str">
        <f t="array" ref="AX56">IF(AA56=DGET(claves!$A$2:$AS423,AA$2,{claves!$A$2;$E56}),1,0)</f>
        <v>#VALUE!</v>
      </c>
      <c r="AY56" s="436" t="str">
        <f t="array" ref="AY56">IF(AB56=DGET(claves!$A$2:$AS423,AB$2,{claves!$A$2;$E56}),1,0)</f>
        <v>#VALUE!</v>
      </c>
      <c r="AZ56" s="436" t="str">
        <f t="array" ref="AZ56">IF(AC56=DGET(claves!$A$2:$AS423,AC$2,{claves!$A$2;$E56}),1,0)</f>
        <v>#VALUE!</v>
      </c>
      <c r="BA56" s="436" t="str">
        <f t="array" ref="BA56">IF(AD56=DGET(claves!$A$2:$AS423,AD$2,{claves!$A$2;$E56}),1,0)</f>
        <v>#VALUE!</v>
      </c>
      <c r="BB56" s="436" t="str">
        <f t="array" ref="BB56">IF(AE56=DGET(claves!$A$2:$AS423,AE$2,{claves!$A$2;$E56}),1,0)</f>
        <v>#VALUE!</v>
      </c>
      <c r="BC56" s="436" t="str">
        <f t="array" ref="BC56">IF(AF56=DGET(claves!$A$2:$AS423,AF$2,{claves!$A$2;$E56}),1,0)</f>
        <v>#VALUE!</v>
      </c>
      <c r="BD56" s="437" t="str">
        <f t="shared" si="1"/>
        <v>#VALUE!</v>
      </c>
      <c r="BE56" s="435" t="s">
        <v>1468</v>
      </c>
      <c r="BF56" s="415"/>
    </row>
    <row r="57" ht="14.25" customHeight="1">
      <c r="A57" s="408">
        <v>55.0</v>
      </c>
      <c r="B57" s="153" t="s">
        <v>1653</v>
      </c>
      <c r="C57" s="153">
        <v>2024.0</v>
      </c>
      <c r="D57" s="77" t="s">
        <v>362</v>
      </c>
      <c r="E57" s="409" t="str">
        <f>IFERROR(__xludf.DUMMYFUNCTION("ARRAYFORMULA(JOIN("""", ARRAYFORMULA(MID(SPLIT(F57, "" ""), 1, 1))))
&amp;""/""&amp;G57"),"MC/6 Primaria")</f>
        <v>MC/6 Primaria</v>
      </c>
      <c r="F57" s="77" t="s">
        <v>1654</v>
      </c>
      <c r="G57" s="432" t="s">
        <v>22</v>
      </c>
      <c r="H57" s="433" t="s">
        <v>1796</v>
      </c>
      <c r="I57" s="433" t="s">
        <v>1667</v>
      </c>
      <c r="J57" s="433" t="s">
        <v>1797</v>
      </c>
      <c r="K57" s="433" t="s">
        <v>1658</v>
      </c>
      <c r="L57" s="415"/>
      <c r="M57" s="434" t="s">
        <v>1661</v>
      </c>
      <c r="N57" s="434" t="s">
        <v>1689</v>
      </c>
      <c r="O57" s="434" t="s">
        <v>1659</v>
      </c>
      <c r="P57" s="434" t="s">
        <v>1661</v>
      </c>
      <c r="Q57" s="434" t="s">
        <v>1659</v>
      </c>
      <c r="R57" s="434" t="s">
        <v>1689</v>
      </c>
      <c r="S57" s="434" t="s">
        <v>1659</v>
      </c>
      <c r="T57" s="434" t="s">
        <v>1661</v>
      </c>
      <c r="U57" s="434" t="s">
        <v>1659</v>
      </c>
      <c r="V57" s="434" t="s">
        <v>1661</v>
      </c>
      <c r="W57" s="434" t="s">
        <v>1659</v>
      </c>
      <c r="X57" s="434" t="s">
        <v>1689</v>
      </c>
      <c r="Y57" s="434" t="s">
        <v>1660</v>
      </c>
      <c r="Z57" s="434" t="s">
        <v>1661</v>
      </c>
      <c r="AA57" s="434" t="s">
        <v>1661</v>
      </c>
      <c r="AB57" s="434" t="s">
        <v>1689</v>
      </c>
      <c r="AC57" s="434" t="s">
        <v>1660</v>
      </c>
      <c r="AD57" s="434" t="s">
        <v>1661</v>
      </c>
      <c r="AE57" s="434" t="s">
        <v>1689</v>
      </c>
      <c r="AF57" s="434" t="s">
        <v>1661</v>
      </c>
      <c r="AG57" s="427">
        <v>11.0</v>
      </c>
      <c r="AH57" s="435" t="s">
        <v>24</v>
      </c>
      <c r="AI57" s="415"/>
      <c r="AJ57" s="436" t="str">
        <f t="array" ref="AJ57">IF(M57=DGET(claves!$A$2:$AS423,M$2,{claves!$A$2;$E57}),1,0)</f>
        <v>#VALUE!</v>
      </c>
      <c r="AK57" s="436" t="str">
        <f t="array" ref="AK57">IF(N57=DGET(claves!$A$2:$AS423,N$2,{claves!$A$2;$E57}),1,0)</f>
        <v>#VALUE!</v>
      </c>
      <c r="AL57" s="436" t="str">
        <f t="array" ref="AL57">IF(O57=DGET(claves!$A$2:$AS423,O$2,{claves!$A$2;$E57}),1,0)</f>
        <v>#VALUE!</v>
      </c>
      <c r="AM57" s="436" t="str">
        <f t="array" ref="AM57">IF(P57=DGET(claves!$A$2:$AS423,P$2,{claves!$A$2;$E57}),1,0)</f>
        <v>#VALUE!</v>
      </c>
      <c r="AN57" s="436" t="str">
        <f t="array" ref="AN57">IF(Q57=DGET(claves!$A$2:$AS423,Q$2,{claves!$A$2;$E57}),1,0)</f>
        <v>#VALUE!</v>
      </c>
      <c r="AO57" s="436" t="str">
        <f t="array" ref="AO57">IF(R57=DGET(claves!$A$2:$AS423,R$2,{claves!$A$2;$E57}),1,0)</f>
        <v>#VALUE!</v>
      </c>
      <c r="AP57" s="436" t="str">
        <f t="array" ref="AP57">IF(S57=DGET(claves!$A$2:$AS423,S$2,{claves!$A$2;$E57}),1,0)</f>
        <v>#VALUE!</v>
      </c>
      <c r="AQ57" s="436" t="str">
        <f t="array" ref="AQ57">IF(T57=DGET(claves!$A$2:$AS423,T$2,{claves!$A$2;$E57}),1,0)</f>
        <v>#VALUE!</v>
      </c>
      <c r="AR57" s="436" t="str">
        <f t="array" ref="AR57">IF(U57=DGET(claves!$A$2:$AS423,U$2,{claves!$A$2;$E57}),1,0)</f>
        <v>#VALUE!</v>
      </c>
      <c r="AS57" s="436" t="str">
        <f t="array" ref="AS57">IF(V57=DGET(claves!$A$2:$AS423,V$2,{claves!$A$2;$E57}),1,0)</f>
        <v>#VALUE!</v>
      </c>
      <c r="AT57" s="436" t="str">
        <f t="array" ref="AT57">IF(W57=DGET(claves!$A$2:$AS423,W$2,{claves!$A$2;$E57}),1,0)</f>
        <v>#VALUE!</v>
      </c>
      <c r="AU57" s="436" t="str">
        <f t="array" ref="AU57">IF(X57=DGET(claves!$A$2:$AS423,X$2,{claves!$A$2;$E57}),1,0)</f>
        <v>#VALUE!</v>
      </c>
      <c r="AV57" s="436" t="str">
        <f t="array" ref="AV57">IF(Y57=DGET(claves!$A$2:$AS423,Y$2,{claves!$A$2;$E57}),1,0)</f>
        <v>#VALUE!</v>
      </c>
      <c r="AW57" s="436" t="str">
        <f t="array" ref="AW57">IF(Z57=DGET(claves!$A$2:$AS423,Z$2,{claves!$A$2;$E57}),1,0)</f>
        <v>#VALUE!</v>
      </c>
      <c r="AX57" s="436" t="str">
        <f t="array" ref="AX57">IF(AA57=DGET(claves!$A$2:$AS423,AA$2,{claves!$A$2;$E57}),1,0)</f>
        <v>#VALUE!</v>
      </c>
      <c r="AY57" s="436" t="str">
        <f t="array" ref="AY57">IF(AB57=DGET(claves!$A$2:$AS423,AB$2,{claves!$A$2;$E57}),1,0)</f>
        <v>#VALUE!</v>
      </c>
      <c r="AZ57" s="436" t="str">
        <f t="array" ref="AZ57">IF(AC57=DGET(claves!$A$2:$AS423,AC$2,{claves!$A$2;$E57}),1,0)</f>
        <v>#VALUE!</v>
      </c>
      <c r="BA57" s="436" t="str">
        <f t="array" ref="BA57">IF(AD57=DGET(claves!$A$2:$AS423,AD$2,{claves!$A$2;$E57}),1,0)</f>
        <v>#VALUE!</v>
      </c>
      <c r="BB57" s="436" t="str">
        <f t="array" ref="BB57">IF(AE57=DGET(claves!$A$2:$AS423,AE$2,{claves!$A$2;$E57}),1,0)</f>
        <v>#VALUE!</v>
      </c>
      <c r="BC57" s="436" t="str">
        <f t="array" ref="BC57">IF(AF57=DGET(claves!$A$2:$AS423,AF$2,{claves!$A$2;$E57}),1,0)</f>
        <v>#VALUE!</v>
      </c>
      <c r="BD57" s="437" t="str">
        <f t="shared" si="1"/>
        <v>#VALUE!</v>
      </c>
      <c r="BE57" s="435" t="s">
        <v>1468</v>
      </c>
      <c r="BF57" s="415"/>
    </row>
    <row r="58" ht="14.25" customHeight="1">
      <c r="A58" s="408">
        <v>56.0</v>
      </c>
      <c r="B58" s="153" t="s">
        <v>1653</v>
      </c>
      <c r="C58" s="153">
        <v>2024.0</v>
      </c>
      <c r="D58" s="77" t="s">
        <v>362</v>
      </c>
      <c r="E58" s="409" t="str">
        <f>IFERROR(__xludf.DUMMYFUNCTION("ARRAYFORMULA(JOIN("""", ARRAYFORMULA(MID(SPLIT(F58, "" ""), 1, 1))))
&amp;""/""&amp;G58"),"MC/6 Primaria")</f>
        <v>MC/6 Primaria</v>
      </c>
      <c r="F58" s="77" t="s">
        <v>1654</v>
      </c>
      <c r="G58" s="432" t="s">
        <v>22</v>
      </c>
      <c r="H58" s="433" t="s">
        <v>1798</v>
      </c>
      <c r="I58" s="433" t="s">
        <v>1744</v>
      </c>
      <c r="J58" s="433" t="s">
        <v>1799</v>
      </c>
      <c r="K58" s="432" t="s">
        <v>1665</v>
      </c>
      <c r="L58" s="415"/>
      <c r="M58" s="434" t="s">
        <v>1689</v>
      </c>
      <c r="N58" s="434" t="s">
        <v>1689</v>
      </c>
      <c r="O58" s="434" t="s">
        <v>1659</v>
      </c>
      <c r="P58" s="434" t="s">
        <v>1689</v>
      </c>
      <c r="Q58" s="434" t="s">
        <v>1659</v>
      </c>
      <c r="R58" s="434" t="s">
        <v>1659</v>
      </c>
      <c r="S58" s="434" t="s">
        <v>1659</v>
      </c>
      <c r="T58" s="434" t="s">
        <v>1660</v>
      </c>
      <c r="U58" s="434" t="s">
        <v>1660</v>
      </c>
      <c r="V58" s="434" t="s">
        <v>1659</v>
      </c>
      <c r="W58" s="434" t="s">
        <v>1660</v>
      </c>
      <c r="X58" s="434" t="s">
        <v>1689</v>
      </c>
      <c r="Y58" s="434" t="s">
        <v>1659</v>
      </c>
      <c r="Z58" s="434" t="s">
        <v>1659</v>
      </c>
      <c r="AA58" s="434" t="s">
        <v>1661</v>
      </c>
      <c r="AB58" s="434" t="s">
        <v>1661</v>
      </c>
      <c r="AC58" s="434" t="s">
        <v>1689</v>
      </c>
      <c r="AD58" s="434" t="s">
        <v>1660</v>
      </c>
      <c r="AE58" s="434" t="s">
        <v>1689</v>
      </c>
      <c r="AF58" s="434" t="s">
        <v>1660</v>
      </c>
      <c r="AG58" s="427">
        <v>7.0</v>
      </c>
      <c r="AH58" s="435" t="s">
        <v>18</v>
      </c>
      <c r="AI58" s="415"/>
      <c r="AJ58" s="436" t="str">
        <f t="array" ref="AJ58">IF(M58=DGET(claves!$A$2:$AS423,M$2,{claves!$A$2;$E58}),1,0)</f>
        <v>#VALUE!</v>
      </c>
      <c r="AK58" s="436" t="str">
        <f t="array" ref="AK58">IF(N58=DGET(claves!$A$2:$AS423,N$2,{claves!$A$2;$E58}),1,0)</f>
        <v>#VALUE!</v>
      </c>
      <c r="AL58" s="436" t="str">
        <f t="array" ref="AL58">IF(O58=DGET(claves!$A$2:$AS423,O$2,{claves!$A$2;$E58}),1,0)</f>
        <v>#VALUE!</v>
      </c>
      <c r="AM58" s="436" t="str">
        <f t="array" ref="AM58">IF(P58=DGET(claves!$A$2:$AS423,P$2,{claves!$A$2;$E58}),1,0)</f>
        <v>#VALUE!</v>
      </c>
      <c r="AN58" s="436" t="str">
        <f t="array" ref="AN58">IF(Q58=DGET(claves!$A$2:$AS423,Q$2,{claves!$A$2;$E58}),1,0)</f>
        <v>#VALUE!</v>
      </c>
      <c r="AO58" s="436" t="str">
        <f t="array" ref="AO58">IF(R58=DGET(claves!$A$2:$AS423,R$2,{claves!$A$2;$E58}),1,0)</f>
        <v>#VALUE!</v>
      </c>
      <c r="AP58" s="436" t="str">
        <f t="array" ref="AP58">IF(S58=DGET(claves!$A$2:$AS423,S$2,{claves!$A$2;$E58}),1,0)</f>
        <v>#VALUE!</v>
      </c>
      <c r="AQ58" s="436" t="str">
        <f t="array" ref="AQ58">IF(T58=DGET(claves!$A$2:$AS423,T$2,{claves!$A$2;$E58}),1,0)</f>
        <v>#VALUE!</v>
      </c>
      <c r="AR58" s="436" t="str">
        <f t="array" ref="AR58">IF(U58=DGET(claves!$A$2:$AS423,U$2,{claves!$A$2;$E58}),1,0)</f>
        <v>#VALUE!</v>
      </c>
      <c r="AS58" s="436" t="str">
        <f t="array" ref="AS58">IF(V58=DGET(claves!$A$2:$AS423,V$2,{claves!$A$2;$E58}),1,0)</f>
        <v>#VALUE!</v>
      </c>
      <c r="AT58" s="436" t="str">
        <f t="array" ref="AT58">IF(W58=DGET(claves!$A$2:$AS423,W$2,{claves!$A$2;$E58}),1,0)</f>
        <v>#VALUE!</v>
      </c>
      <c r="AU58" s="436" t="str">
        <f t="array" ref="AU58">IF(X58=DGET(claves!$A$2:$AS423,X$2,{claves!$A$2;$E58}),1,0)</f>
        <v>#VALUE!</v>
      </c>
      <c r="AV58" s="436" t="str">
        <f t="array" ref="AV58">IF(Y58=DGET(claves!$A$2:$AS423,Y$2,{claves!$A$2;$E58}),1,0)</f>
        <v>#VALUE!</v>
      </c>
      <c r="AW58" s="436" t="str">
        <f t="array" ref="AW58">IF(Z58=DGET(claves!$A$2:$AS423,Z$2,{claves!$A$2;$E58}),1,0)</f>
        <v>#VALUE!</v>
      </c>
      <c r="AX58" s="436" t="str">
        <f t="array" ref="AX58">IF(AA58=DGET(claves!$A$2:$AS423,AA$2,{claves!$A$2;$E58}),1,0)</f>
        <v>#VALUE!</v>
      </c>
      <c r="AY58" s="436" t="str">
        <f t="array" ref="AY58">IF(AB58=DGET(claves!$A$2:$AS423,AB$2,{claves!$A$2;$E58}),1,0)</f>
        <v>#VALUE!</v>
      </c>
      <c r="AZ58" s="436" t="str">
        <f t="array" ref="AZ58">IF(AC58=DGET(claves!$A$2:$AS423,AC$2,{claves!$A$2;$E58}),1,0)</f>
        <v>#VALUE!</v>
      </c>
      <c r="BA58" s="436" t="str">
        <f t="array" ref="BA58">IF(AD58=DGET(claves!$A$2:$AS423,AD$2,{claves!$A$2;$E58}),1,0)</f>
        <v>#VALUE!</v>
      </c>
      <c r="BB58" s="436" t="str">
        <f t="array" ref="BB58">IF(AE58=DGET(claves!$A$2:$AS423,AE$2,{claves!$A$2;$E58}),1,0)</f>
        <v>#VALUE!</v>
      </c>
      <c r="BC58" s="436" t="str">
        <f t="array" ref="BC58">IF(AF58=DGET(claves!$A$2:$AS423,AF$2,{claves!$A$2;$E58}),1,0)</f>
        <v>#VALUE!</v>
      </c>
      <c r="BD58" s="437" t="str">
        <f t="shared" si="1"/>
        <v>#VALUE!</v>
      </c>
      <c r="BE58" s="435" t="s">
        <v>1468</v>
      </c>
      <c r="BF58" s="415"/>
    </row>
    <row r="59" ht="14.25" customHeight="1">
      <c r="A59" s="408">
        <v>57.0</v>
      </c>
      <c r="B59" s="153" t="s">
        <v>1653</v>
      </c>
      <c r="C59" s="153">
        <v>2024.0</v>
      </c>
      <c r="D59" s="77" t="s">
        <v>362</v>
      </c>
      <c r="E59" s="409" t="str">
        <f>IFERROR(__xludf.DUMMYFUNCTION("ARRAYFORMULA(JOIN("""", ARRAYFORMULA(MID(SPLIT(F59, "" ""), 1, 1))))
&amp;""/""&amp;G59"),"MC/6 Primaria")</f>
        <v>MC/6 Primaria</v>
      </c>
      <c r="F59" s="77" t="s">
        <v>1654</v>
      </c>
      <c r="G59" s="432" t="s">
        <v>22</v>
      </c>
      <c r="H59" s="433" t="s">
        <v>1684</v>
      </c>
      <c r="I59" s="433" t="s">
        <v>1800</v>
      </c>
      <c r="J59" s="433" t="s">
        <v>1801</v>
      </c>
      <c r="K59" s="432" t="s">
        <v>1665</v>
      </c>
      <c r="L59" s="415"/>
      <c r="M59" s="434" t="s">
        <v>1661</v>
      </c>
      <c r="N59" s="434" t="s">
        <v>1689</v>
      </c>
      <c r="O59" s="434" t="s">
        <v>1661</v>
      </c>
      <c r="P59" s="434" t="s">
        <v>1659</v>
      </c>
      <c r="Q59" s="434" t="s">
        <v>1659</v>
      </c>
      <c r="R59" s="434" t="s">
        <v>1659</v>
      </c>
      <c r="S59" s="434" t="s">
        <v>1660</v>
      </c>
      <c r="T59" s="434" t="s">
        <v>1661</v>
      </c>
      <c r="U59" s="434" t="s">
        <v>1659</v>
      </c>
      <c r="V59" s="434" t="s">
        <v>1659</v>
      </c>
      <c r="W59" s="434" t="s">
        <v>1661</v>
      </c>
      <c r="X59" s="434" t="s">
        <v>1689</v>
      </c>
      <c r="Y59" s="434" t="s">
        <v>1660</v>
      </c>
      <c r="Z59" s="434" t="s">
        <v>1689</v>
      </c>
      <c r="AA59" s="434" t="s">
        <v>1689</v>
      </c>
      <c r="AB59" s="434" t="s">
        <v>1689</v>
      </c>
      <c r="AC59" s="434" t="s">
        <v>1660</v>
      </c>
      <c r="AD59" s="434" t="s">
        <v>1659</v>
      </c>
      <c r="AE59" s="434" t="s">
        <v>1689</v>
      </c>
      <c r="AF59" s="434" t="s">
        <v>1660</v>
      </c>
      <c r="AG59" s="427">
        <v>12.0</v>
      </c>
      <c r="AH59" s="435" t="s">
        <v>24</v>
      </c>
      <c r="AI59" s="415"/>
      <c r="AJ59" s="436" t="str">
        <f t="array" ref="AJ59">IF(M59=DGET(claves!$A$2:$AS423,M$2,{claves!$A$2;$E59}),1,0)</f>
        <v>#VALUE!</v>
      </c>
      <c r="AK59" s="436" t="str">
        <f t="array" ref="AK59">IF(N59=DGET(claves!$A$2:$AS423,N$2,{claves!$A$2;$E59}),1,0)</f>
        <v>#VALUE!</v>
      </c>
      <c r="AL59" s="436" t="str">
        <f t="array" ref="AL59">IF(O59=DGET(claves!$A$2:$AS423,O$2,{claves!$A$2;$E59}),1,0)</f>
        <v>#VALUE!</v>
      </c>
      <c r="AM59" s="436" t="str">
        <f t="array" ref="AM59">IF(P59=DGET(claves!$A$2:$AS423,P$2,{claves!$A$2;$E59}),1,0)</f>
        <v>#VALUE!</v>
      </c>
      <c r="AN59" s="436" t="str">
        <f t="array" ref="AN59">IF(Q59=DGET(claves!$A$2:$AS423,Q$2,{claves!$A$2;$E59}),1,0)</f>
        <v>#VALUE!</v>
      </c>
      <c r="AO59" s="436" t="str">
        <f t="array" ref="AO59">IF(R59=DGET(claves!$A$2:$AS423,R$2,{claves!$A$2;$E59}),1,0)</f>
        <v>#VALUE!</v>
      </c>
      <c r="AP59" s="436" t="str">
        <f t="array" ref="AP59">IF(S59=DGET(claves!$A$2:$AS423,S$2,{claves!$A$2;$E59}),1,0)</f>
        <v>#VALUE!</v>
      </c>
      <c r="AQ59" s="436" t="str">
        <f t="array" ref="AQ59">IF(T59=DGET(claves!$A$2:$AS423,T$2,{claves!$A$2;$E59}),1,0)</f>
        <v>#VALUE!</v>
      </c>
      <c r="AR59" s="436" t="str">
        <f t="array" ref="AR59">IF(U59=DGET(claves!$A$2:$AS423,U$2,{claves!$A$2;$E59}),1,0)</f>
        <v>#VALUE!</v>
      </c>
      <c r="AS59" s="436" t="str">
        <f t="array" ref="AS59">IF(V59=DGET(claves!$A$2:$AS423,V$2,{claves!$A$2;$E59}),1,0)</f>
        <v>#VALUE!</v>
      </c>
      <c r="AT59" s="436" t="str">
        <f t="array" ref="AT59">IF(W59=DGET(claves!$A$2:$AS423,W$2,{claves!$A$2;$E59}),1,0)</f>
        <v>#VALUE!</v>
      </c>
      <c r="AU59" s="436" t="str">
        <f t="array" ref="AU59">IF(X59=DGET(claves!$A$2:$AS423,X$2,{claves!$A$2;$E59}),1,0)</f>
        <v>#VALUE!</v>
      </c>
      <c r="AV59" s="436" t="str">
        <f t="array" ref="AV59">IF(Y59=DGET(claves!$A$2:$AS423,Y$2,{claves!$A$2;$E59}),1,0)</f>
        <v>#VALUE!</v>
      </c>
      <c r="AW59" s="436" t="str">
        <f t="array" ref="AW59">IF(Z59=DGET(claves!$A$2:$AS423,Z$2,{claves!$A$2;$E59}),1,0)</f>
        <v>#VALUE!</v>
      </c>
      <c r="AX59" s="436" t="str">
        <f t="array" ref="AX59">IF(AA59=DGET(claves!$A$2:$AS423,AA$2,{claves!$A$2;$E59}),1,0)</f>
        <v>#VALUE!</v>
      </c>
      <c r="AY59" s="436" t="str">
        <f t="array" ref="AY59">IF(AB59=DGET(claves!$A$2:$AS423,AB$2,{claves!$A$2;$E59}),1,0)</f>
        <v>#VALUE!</v>
      </c>
      <c r="AZ59" s="436" t="str">
        <f t="array" ref="AZ59">IF(AC59=DGET(claves!$A$2:$AS423,AC$2,{claves!$A$2;$E59}),1,0)</f>
        <v>#VALUE!</v>
      </c>
      <c r="BA59" s="436" t="str">
        <f t="array" ref="BA59">IF(AD59=DGET(claves!$A$2:$AS423,AD$2,{claves!$A$2;$E59}),1,0)</f>
        <v>#VALUE!</v>
      </c>
      <c r="BB59" s="436" t="str">
        <f t="array" ref="BB59">IF(AE59=DGET(claves!$A$2:$AS423,AE$2,{claves!$A$2;$E59}),1,0)</f>
        <v>#VALUE!</v>
      </c>
      <c r="BC59" s="436" t="str">
        <f t="array" ref="BC59">IF(AF59=DGET(claves!$A$2:$AS423,AF$2,{claves!$A$2;$E59}),1,0)</f>
        <v>#VALUE!</v>
      </c>
      <c r="BD59" s="437" t="str">
        <f t="shared" si="1"/>
        <v>#VALUE!</v>
      </c>
      <c r="BE59" s="435" t="s">
        <v>1468</v>
      </c>
      <c r="BF59" s="415"/>
    </row>
    <row r="60" ht="14.25" customHeight="1">
      <c r="A60" s="408">
        <v>58.0</v>
      </c>
      <c r="B60" s="153" t="s">
        <v>1653</v>
      </c>
      <c r="C60" s="153">
        <v>2024.0</v>
      </c>
      <c r="D60" s="77" t="s">
        <v>362</v>
      </c>
      <c r="E60" s="409" t="str">
        <f>IFERROR(__xludf.DUMMYFUNCTION("ARRAYFORMULA(JOIN("""", ARRAYFORMULA(MID(SPLIT(F60, "" ""), 1, 1))))
&amp;""/""&amp;G60"),"MC/6 Primaria")</f>
        <v>MC/6 Primaria</v>
      </c>
      <c r="F60" s="77" t="s">
        <v>1654</v>
      </c>
      <c r="G60" s="432" t="s">
        <v>22</v>
      </c>
      <c r="H60" s="433" t="s">
        <v>1719</v>
      </c>
      <c r="I60" s="433" t="s">
        <v>1684</v>
      </c>
      <c r="J60" s="433" t="s">
        <v>1802</v>
      </c>
      <c r="K60" s="433" t="s">
        <v>1658</v>
      </c>
      <c r="L60" s="415"/>
      <c r="M60" s="434" t="s">
        <v>1660</v>
      </c>
      <c r="N60" s="434" t="s">
        <v>1689</v>
      </c>
      <c r="O60" s="434" t="s">
        <v>1661</v>
      </c>
      <c r="P60" s="434" t="s">
        <v>1689</v>
      </c>
      <c r="Q60" s="434" t="s">
        <v>1659</v>
      </c>
      <c r="R60" s="434" t="s">
        <v>1689</v>
      </c>
      <c r="S60" s="434" t="s">
        <v>1659</v>
      </c>
      <c r="T60" s="434" t="s">
        <v>1659</v>
      </c>
      <c r="U60" s="434" t="s">
        <v>1659</v>
      </c>
      <c r="V60" s="434" t="s">
        <v>1689</v>
      </c>
      <c r="W60" s="434" t="s">
        <v>1661</v>
      </c>
      <c r="X60" s="434" t="s">
        <v>1689</v>
      </c>
      <c r="Y60" s="434" t="s">
        <v>1660</v>
      </c>
      <c r="Z60" s="434" t="s">
        <v>1661</v>
      </c>
      <c r="AA60" s="434" t="s">
        <v>1689</v>
      </c>
      <c r="AB60" s="434" t="s">
        <v>1689</v>
      </c>
      <c r="AC60" s="434" t="s">
        <v>1689</v>
      </c>
      <c r="AD60" s="434" t="s">
        <v>1659</v>
      </c>
      <c r="AE60" s="434" t="s">
        <v>1689</v>
      </c>
      <c r="AF60" s="434" t="s">
        <v>1660</v>
      </c>
      <c r="AG60" s="427">
        <v>16.0</v>
      </c>
      <c r="AH60" s="435" t="s">
        <v>24</v>
      </c>
      <c r="AI60" s="415"/>
      <c r="AJ60" s="436" t="str">
        <f t="array" ref="AJ60">IF(M60=DGET(claves!$A$2:$AS423,M$2,{claves!$A$2;$E60}),1,0)</f>
        <v>#VALUE!</v>
      </c>
      <c r="AK60" s="436" t="str">
        <f t="array" ref="AK60">IF(N60=DGET(claves!$A$2:$AS423,N$2,{claves!$A$2;$E60}),1,0)</f>
        <v>#VALUE!</v>
      </c>
      <c r="AL60" s="436" t="str">
        <f t="array" ref="AL60">IF(O60=DGET(claves!$A$2:$AS423,O$2,{claves!$A$2;$E60}),1,0)</f>
        <v>#VALUE!</v>
      </c>
      <c r="AM60" s="436" t="str">
        <f t="array" ref="AM60">IF(P60=DGET(claves!$A$2:$AS423,P$2,{claves!$A$2;$E60}),1,0)</f>
        <v>#VALUE!</v>
      </c>
      <c r="AN60" s="436" t="str">
        <f t="array" ref="AN60">IF(Q60=DGET(claves!$A$2:$AS423,Q$2,{claves!$A$2;$E60}),1,0)</f>
        <v>#VALUE!</v>
      </c>
      <c r="AO60" s="436" t="str">
        <f t="array" ref="AO60">IF(R60=DGET(claves!$A$2:$AS423,R$2,{claves!$A$2;$E60}),1,0)</f>
        <v>#VALUE!</v>
      </c>
      <c r="AP60" s="436" t="str">
        <f t="array" ref="AP60">IF(S60=DGET(claves!$A$2:$AS423,S$2,{claves!$A$2;$E60}),1,0)</f>
        <v>#VALUE!</v>
      </c>
      <c r="AQ60" s="436" t="str">
        <f t="array" ref="AQ60">IF(T60=DGET(claves!$A$2:$AS423,T$2,{claves!$A$2;$E60}),1,0)</f>
        <v>#VALUE!</v>
      </c>
      <c r="AR60" s="436" t="str">
        <f t="array" ref="AR60">IF(U60=DGET(claves!$A$2:$AS423,U$2,{claves!$A$2;$E60}),1,0)</f>
        <v>#VALUE!</v>
      </c>
      <c r="AS60" s="436" t="str">
        <f t="array" ref="AS60">IF(V60=DGET(claves!$A$2:$AS423,V$2,{claves!$A$2;$E60}),1,0)</f>
        <v>#VALUE!</v>
      </c>
      <c r="AT60" s="436" t="str">
        <f t="array" ref="AT60">IF(W60=DGET(claves!$A$2:$AS423,W$2,{claves!$A$2;$E60}),1,0)</f>
        <v>#VALUE!</v>
      </c>
      <c r="AU60" s="436" t="str">
        <f t="array" ref="AU60">IF(X60=DGET(claves!$A$2:$AS423,X$2,{claves!$A$2;$E60}),1,0)</f>
        <v>#VALUE!</v>
      </c>
      <c r="AV60" s="436" t="str">
        <f t="array" ref="AV60">IF(Y60=DGET(claves!$A$2:$AS423,Y$2,{claves!$A$2;$E60}),1,0)</f>
        <v>#VALUE!</v>
      </c>
      <c r="AW60" s="436" t="str">
        <f t="array" ref="AW60">IF(Z60=DGET(claves!$A$2:$AS423,Z$2,{claves!$A$2;$E60}),1,0)</f>
        <v>#VALUE!</v>
      </c>
      <c r="AX60" s="436" t="str">
        <f t="array" ref="AX60">IF(AA60=DGET(claves!$A$2:$AS423,AA$2,{claves!$A$2;$E60}),1,0)</f>
        <v>#VALUE!</v>
      </c>
      <c r="AY60" s="436" t="str">
        <f t="array" ref="AY60">IF(AB60=DGET(claves!$A$2:$AS423,AB$2,{claves!$A$2;$E60}),1,0)</f>
        <v>#VALUE!</v>
      </c>
      <c r="AZ60" s="436" t="str">
        <f t="array" ref="AZ60">IF(AC60=DGET(claves!$A$2:$AS423,AC$2,{claves!$A$2;$E60}),1,0)</f>
        <v>#VALUE!</v>
      </c>
      <c r="BA60" s="436" t="str">
        <f t="array" ref="BA60">IF(AD60=DGET(claves!$A$2:$AS423,AD$2,{claves!$A$2;$E60}),1,0)</f>
        <v>#VALUE!</v>
      </c>
      <c r="BB60" s="436" t="str">
        <f t="array" ref="BB60">IF(AE60=DGET(claves!$A$2:$AS423,AE$2,{claves!$A$2;$E60}),1,0)</f>
        <v>#VALUE!</v>
      </c>
      <c r="BC60" s="436" t="str">
        <f t="array" ref="BC60">IF(AF60=DGET(claves!$A$2:$AS423,AF$2,{claves!$A$2;$E60}),1,0)</f>
        <v>#VALUE!</v>
      </c>
      <c r="BD60" s="437" t="str">
        <f t="shared" si="1"/>
        <v>#VALUE!</v>
      </c>
      <c r="BE60" s="435" t="s">
        <v>1468</v>
      </c>
      <c r="BF60" s="415"/>
    </row>
    <row r="61" ht="14.25" customHeight="1">
      <c r="A61" s="408">
        <v>59.0</v>
      </c>
      <c r="B61" s="153" t="s">
        <v>1653</v>
      </c>
      <c r="C61" s="153">
        <v>2024.0</v>
      </c>
      <c r="D61" s="77" t="s">
        <v>362</v>
      </c>
      <c r="E61" s="409" t="str">
        <f>IFERROR(__xludf.DUMMYFUNCTION("ARRAYFORMULA(JOIN("""", ARRAYFORMULA(MID(SPLIT(F61, "" ""), 1, 1))))
&amp;""/""&amp;G61"),"MC/6 Primaria")</f>
        <v>MC/6 Primaria</v>
      </c>
      <c r="F61" s="77" t="s">
        <v>1654</v>
      </c>
      <c r="G61" s="432" t="s">
        <v>22</v>
      </c>
      <c r="H61" s="433" t="s">
        <v>1803</v>
      </c>
      <c r="I61" s="433" t="s">
        <v>1804</v>
      </c>
      <c r="J61" s="433" t="s">
        <v>1805</v>
      </c>
      <c r="K61" s="432" t="s">
        <v>1665</v>
      </c>
      <c r="L61" s="415"/>
      <c r="M61" s="434" t="s">
        <v>1660</v>
      </c>
      <c r="N61" s="434" t="s">
        <v>1689</v>
      </c>
      <c r="O61" s="434" t="s">
        <v>1661</v>
      </c>
      <c r="P61" s="434" t="s">
        <v>1689</v>
      </c>
      <c r="Q61" s="434" t="s">
        <v>1659</v>
      </c>
      <c r="R61" s="434" t="s">
        <v>1659</v>
      </c>
      <c r="S61" s="434" t="s">
        <v>1659</v>
      </c>
      <c r="T61" s="434" t="s">
        <v>1659</v>
      </c>
      <c r="U61" s="434" t="s">
        <v>1661</v>
      </c>
      <c r="V61" s="434" t="s">
        <v>1661</v>
      </c>
      <c r="W61" s="434" t="s">
        <v>1661</v>
      </c>
      <c r="X61" s="434" t="s">
        <v>1689</v>
      </c>
      <c r="Y61" s="434" t="s">
        <v>1660</v>
      </c>
      <c r="Z61" s="434" t="s">
        <v>1661</v>
      </c>
      <c r="AA61" s="434" t="s">
        <v>1661</v>
      </c>
      <c r="AB61" s="434" t="s">
        <v>1689</v>
      </c>
      <c r="AC61" s="434" t="s">
        <v>1661</v>
      </c>
      <c r="AD61" s="434" t="s">
        <v>1659</v>
      </c>
      <c r="AE61" s="434" t="s">
        <v>1689</v>
      </c>
      <c r="AF61" s="434" t="s">
        <v>1661</v>
      </c>
      <c r="AG61" s="427">
        <v>16.0</v>
      </c>
      <c r="AH61" s="435" t="s">
        <v>24</v>
      </c>
      <c r="AI61" s="415"/>
      <c r="AJ61" s="436" t="str">
        <f t="array" ref="AJ61">IF(M61=DGET(claves!$A$2:$AS423,M$2,{claves!$A$2;$E61}),1,0)</f>
        <v>#VALUE!</v>
      </c>
      <c r="AK61" s="436" t="str">
        <f t="array" ref="AK61">IF(N61=DGET(claves!$A$2:$AS423,N$2,{claves!$A$2;$E61}),1,0)</f>
        <v>#VALUE!</v>
      </c>
      <c r="AL61" s="436" t="str">
        <f t="array" ref="AL61">IF(O61=DGET(claves!$A$2:$AS423,O$2,{claves!$A$2;$E61}),1,0)</f>
        <v>#VALUE!</v>
      </c>
      <c r="AM61" s="436" t="str">
        <f t="array" ref="AM61">IF(P61=DGET(claves!$A$2:$AS423,P$2,{claves!$A$2;$E61}),1,0)</f>
        <v>#VALUE!</v>
      </c>
      <c r="AN61" s="436" t="str">
        <f t="array" ref="AN61">IF(Q61=DGET(claves!$A$2:$AS423,Q$2,{claves!$A$2;$E61}),1,0)</f>
        <v>#VALUE!</v>
      </c>
      <c r="AO61" s="436" t="str">
        <f t="array" ref="AO61">IF(R61=DGET(claves!$A$2:$AS423,R$2,{claves!$A$2;$E61}),1,0)</f>
        <v>#VALUE!</v>
      </c>
      <c r="AP61" s="436" t="str">
        <f t="array" ref="AP61">IF(S61=DGET(claves!$A$2:$AS423,S$2,{claves!$A$2;$E61}),1,0)</f>
        <v>#VALUE!</v>
      </c>
      <c r="AQ61" s="436" t="str">
        <f t="array" ref="AQ61">IF(T61=DGET(claves!$A$2:$AS423,T$2,{claves!$A$2;$E61}),1,0)</f>
        <v>#VALUE!</v>
      </c>
      <c r="AR61" s="436" t="str">
        <f t="array" ref="AR61">IF(U61=DGET(claves!$A$2:$AS423,U$2,{claves!$A$2;$E61}),1,0)</f>
        <v>#VALUE!</v>
      </c>
      <c r="AS61" s="436" t="str">
        <f t="array" ref="AS61">IF(V61=DGET(claves!$A$2:$AS423,V$2,{claves!$A$2;$E61}),1,0)</f>
        <v>#VALUE!</v>
      </c>
      <c r="AT61" s="436" t="str">
        <f t="array" ref="AT61">IF(W61=DGET(claves!$A$2:$AS423,W$2,{claves!$A$2;$E61}),1,0)</f>
        <v>#VALUE!</v>
      </c>
      <c r="AU61" s="436" t="str">
        <f t="array" ref="AU61">IF(X61=DGET(claves!$A$2:$AS423,X$2,{claves!$A$2;$E61}),1,0)</f>
        <v>#VALUE!</v>
      </c>
      <c r="AV61" s="436" t="str">
        <f t="array" ref="AV61">IF(Y61=DGET(claves!$A$2:$AS423,Y$2,{claves!$A$2;$E61}),1,0)</f>
        <v>#VALUE!</v>
      </c>
      <c r="AW61" s="436" t="str">
        <f t="array" ref="AW61">IF(Z61=DGET(claves!$A$2:$AS423,Z$2,{claves!$A$2;$E61}),1,0)</f>
        <v>#VALUE!</v>
      </c>
      <c r="AX61" s="436" t="str">
        <f t="array" ref="AX61">IF(AA61=DGET(claves!$A$2:$AS423,AA$2,{claves!$A$2;$E61}),1,0)</f>
        <v>#VALUE!</v>
      </c>
      <c r="AY61" s="436" t="str">
        <f t="array" ref="AY61">IF(AB61=DGET(claves!$A$2:$AS423,AB$2,{claves!$A$2;$E61}),1,0)</f>
        <v>#VALUE!</v>
      </c>
      <c r="AZ61" s="436" t="str">
        <f t="array" ref="AZ61">IF(AC61=DGET(claves!$A$2:$AS423,AC$2,{claves!$A$2;$E61}),1,0)</f>
        <v>#VALUE!</v>
      </c>
      <c r="BA61" s="436" t="str">
        <f t="array" ref="BA61">IF(AD61=DGET(claves!$A$2:$AS423,AD$2,{claves!$A$2;$E61}),1,0)</f>
        <v>#VALUE!</v>
      </c>
      <c r="BB61" s="436" t="str">
        <f t="array" ref="BB61">IF(AE61=DGET(claves!$A$2:$AS423,AE$2,{claves!$A$2;$E61}),1,0)</f>
        <v>#VALUE!</v>
      </c>
      <c r="BC61" s="436" t="str">
        <f t="array" ref="BC61">IF(AF61=DGET(claves!$A$2:$AS423,AF$2,{claves!$A$2;$E61}),1,0)</f>
        <v>#VALUE!</v>
      </c>
      <c r="BD61" s="437" t="str">
        <f t="shared" si="1"/>
        <v>#VALUE!</v>
      </c>
      <c r="BE61" s="435" t="s">
        <v>1468</v>
      </c>
      <c r="BF61" s="415"/>
    </row>
    <row r="62" ht="14.25" customHeight="1">
      <c r="A62" s="408">
        <v>60.0</v>
      </c>
      <c r="B62" s="153" t="s">
        <v>1653</v>
      </c>
      <c r="C62" s="153">
        <v>2024.0</v>
      </c>
      <c r="D62" s="77" t="s">
        <v>362</v>
      </c>
      <c r="E62" s="409" t="str">
        <f>IFERROR(__xludf.DUMMYFUNCTION("ARRAYFORMULA(JOIN("""", ARRAYFORMULA(MID(SPLIT(F62, "" ""), 1, 1))))
&amp;""/""&amp;G62"),"MC/6 Primaria")</f>
        <v>MC/6 Primaria</v>
      </c>
      <c r="F62" s="77" t="s">
        <v>1654</v>
      </c>
      <c r="G62" s="432" t="s">
        <v>22</v>
      </c>
      <c r="H62" s="433" t="s">
        <v>1806</v>
      </c>
      <c r="I62" s="433" t="s">
        <v>1684</v>
      </c>
      <c r="J62" s="433" t="s">
        <v>1807</v>
      </c>
      <c r="K62" s="432" t="s">
        <v>1665</v>
      </c>
      <c r="L62" s="415"/>
      <c r="M62" s="434" t="s">
        <v>1660</v>
      </c>
      <c r="N62" s="434" t="s">
        <v>1689</v>
      </c>
      <c r="O62" s="434" t="s">
        <v>1661</v>
      </c>
      <c r="P62" s="434" t="s">
        <v>1689</v>
      </c>
      <c r="Q62" s="434" t="s">
        <v>1659</v>
      </c>
      <c r="R62" s="434" t="s">
        <v>1659</v>
      </c>
      <c r="S62" s="434" t="s">
        <v>1659</v>
      </c>
      <c r="T62" s="434" t="s">
        <v>1659</v>
      </c>
      <c r="U62" s="434" t="s">
        <v>1659</v>
      </c>
      <c r="V62" s="434" t="s">
        <v>1689</v>
      </c>
      <c r="W62" s="434" t="s">
        <v>1661</v>
      </c>
      <c r="X62" s="434" t="s">
        <v>1689</v>
      </c>
      <c r="Y62" s="434" t="s">
        <v>1661</v>
      </c>
      <c r="Z62" s="434" t="s">
        <v>1661</v>
      </c>
      <c r="AA62" s="434" t="s">
        <v>1659</v>
      </c>
      <c r="AB62" s="434" t="s">
        <v>1689</v>
      </c>
      <c r="AC62" s="434" t="s">
        <v>1661</v>
      </c>
      <c r="AD62" s="434" t="s">
        <v>1661</v>
      </c>
      <c r="AE62" s="434" t="s">
        <v>1689</v>
      </c>
      <c r="AF62" s="434" t="s">
        <v>1660</v>
      </c>
      <c r="AG62" s="427">
        <v>16.0</v>
      </c>
      <c r="AH62" s="435" t="s">
        <v>24</v>
      </c>
      <c r="AI62" s="415"/>
      <c r="AJ62" s="436" t="str">
        <f t="array" ref="AJ62">IF(M62=DGET(claves!$A$2:$AS423,M$2,{claves!$A$2;$E62}),1,0)</f>
        <v>#VALUE!</v>
      </c>
      <c r="AK62" s="436" t="str">
        <f t="array" ref="AK62">IF(N62=DGET(claves!$A$2:$AS423,N$2,{claves!$A$2;$E62}),1,0)</f>
        <v>#VALUE!</v>
      </c>
      <c r="AL62" s="436" t="str">
        <f t="array" ref="AL62">IF(O62=DGET(claves!$A$2:$AS423,O$2,{claves!$A$2;$E62}),1,0)</f>
        <v>#VALUE!</v>
      </c>
      <c r="AM62" s="436" t="str">
        <f t="array" ref="AM62">IF(P62=DGET(claves!$A$2:$AS423,P$2,{claves!$A$2;$E62}),1,0)</f>
        <v>#VALUE!</v>
      </c>
      <c r="AN62" s="436" t="str">
        <f t="array" ref="AN62">IF(Q62=DGET(claves!$A$2:$AS423,Q$2,{claves!$A$2;$E62}),1,0)</f>
        <v>#VALUE!</v>
      </c>
      <c r="AO62" s="436" t="str">
        <f t="array" ref="AO62">IF(R62=DGET(claves!$A$2:$AS423,R$2,{claves!$A$2;$E62}),1,0)</f>
        <v>#VALUE!</v>
      </c>
      <c r="AP62" s="436" t="str">
        <f t="array" ref="AP62">IF(S62=DGET(claves!$A$2:$AS423,S$2,{claves!$A$2;$E62}),1,0)</f>
        <v>#VALUE!</v>
      </c>
      <c r="AQ62" s="436" t="str">
        <f t="array" ref="AQ62">IF(T62=DGET(claves!$A$2:$AS423,T$2,{claves!$A$2;$E62}),1,0)</f>
        <v>#VALUE!</v>
      </c>
      <c r="AR62" s="436" t="str">
        <f t="array" ref="AR62">IF(U62=DGET(claves!$A$2:$AS423,U$2,{claves!$A$2;$E62}),1,0)</f>
        <v>#VALUE!</v>
      </c>
      <c r="AS62" s="436" t="str">
        <f t="array" ref="AS62">IF(V62=DGET(claves!$A$2:$AS423,V$2,{claves!$A$2;$E62}),1,0)</f>
        <v>#VALUE!</v>
      </c>
      <c r="AT62" s="436" t="str">
        <f t="array" ref="AT62">IF(W62=DGET(claves!$A$2:$AS423,W$2,{claves!$A$2;$E62}),1,0)</f>
        <v>#VALUE!</v>
      </c>
      <c r="AU62" s="436" t="str">
        <f t="array" ref="AU62">IF(X62=DGET(claves!$A$2:$AS423,X$2,{claves!$A$2;$E62}),1,0)</f>
        <v>#VALUE!</v>
      </c>
      <c r="AV62" s="436" t="str">
        <f t="array" ref="AV62">IF(Y62=DGET(claves!$A$2:$AS423,Y$2,{claves!$A$2;$E62}),1,0)</f>
        <v>#VALUE!</v>
      </c>
      <c r="AW62" s="436" t="str">
        <f t="array" ref="AW62">IF(Z62=DGET(claves!$A$2:$AS423,Z$2,{claves!$A$2;$E62}),1,0)</f>
        <v>#VALUE!</v>
      </c>
      <c r="AX62" s="436" t="str">
        <f t="array" ref="AX62">IF(AA62=DGET(claves!$A$2:$AS423,AA$2,{claves!$A$2;$E62}),1,0)</f>
        <v>#VALUE!</v>
      </c>
      <c r="AY62" s="436" t="str">
        <f t="array" ref="AY62">IF(AB62=DGET(claves!$A$2:$AS423,AB$2,{claves!$A$2;$E62}),1,0)</f>
        <v>#VALUE!</v>
      </c>
      <c r="AZ62" s="436" t="str">
        <f t="array" ref="AZ62">IF(AC62=DGET(claves!$A$2:$AS423,AC$2,{claves!$A$2;$E62}),1,0)</f>
        <v>#VALUE!</v>
      </c>
      <c r="BA62" s="436" t="str">
        <f t="array" ref="BA62">IF(AD62=DGET(claves!$A$2:$AS423,AD$2,{claves!$A$2;$E62}),1,0)</f>
        <v>#VALUE!</v>
      </c>
      <c r="BB62" s="436" t="str">
        <f t="array" ref="BB62">IF(AE62=DGET(claves!$A$2:$AS423,AE$2,{claves!$A$2;$E62}),1,0)</f>
        <v>#VALUE!</v>
      </c>
      <c r="BC62" s="436" t="str">
        <f t="array" ref="BC62">IF(AF62=DGET(claves!$A$2:$AS423,AF$2,{claves!$A$2;$E62}),1,0)</f>
        <v>#VALUE!</v>
      </c>
      <c r="BD62" s="437" t="str">
        <f t="shared" si="1"/>
        <v>#VALUE!</v>
      </c>
      <c r="BE62" s="435" t="s">
        <v>1468</v>
      </c>
      <c r="BF62" s="415"/>
    </row>
    <row r="63" ht="14.25" customHeight="1">
      <c r="A63" s="408">
        <v>61.0</v>
      </c>
      <c r="B63" s="153" t="s">
        <v>1653</v>
      </c>
      <c r="C63" s="153">
        <v>2024.0</v>
      </c>
      <c r="D63" s="77" t="s">
        <v>362</v>
      </c>
      <c r="E63" s="409" t="str">
        <f>IFERROR(__xludf.DUMMYFUNCTION("ARRAYFORMULA(JOIN("""", ARRAYFORMULA(MID(SPLIT(F63, "" ""), 1, 1))))
&amp;""/""&amp;G63"),"MC/6 Primaria")</f>
        <v>MC/6 Primaria</v>
      </c>
      <c r="F63" s="77" t="s">
        <v>1654</v>
      </c>
      <c r="G63" s="432" t="s">
        <v>22</v>
      </c>
      <c r="H63" s="433" t="s">
        <v>1808</v>
      </c>
      <c r="I63" s="433" t="s">
        <v>1766</v>
      </c>
      <c r="J63" s="433" t="s">
        <v>1809</v>
      </c>
      <c r="K63" s="433" t="s">
        <v>1658</v>
      </c>
      <c r="L63" s="415"/>
      <c r="M63" s="434" t="s">
        <v>1660</v>
      </c>
      <c r="N63" s="434" t="s">
        <v>1689</v>
      </c>
      <c r="O63" s="434" t="s">
        <v>1661</v>
      </c>
      <c r="P63" s="434" t="s">
        <v>1689</v>
      </c>
      <c r="Q63" s="434" t="s">
        <v>1659</v>
      </c>
      <c r="R63" s="434" t="s">
        <v>1659</v>
      </c>
      <c r="S63" s="434" t="s">
        <v>1659</v>
      </c>
      <c r="T63" s="434" t="s">
        <v>1659</v>
      </c>
      <c r="U63" s="434" t="s">
        <v>1659</v>
      </c>
      <c r="V63" s="434" t="s">
        <v>1689</v>
      </c>
      <c r="W63" s="434" t="s">
        <v>1661</v>
      </c>
      <c r="X63" s="434" t="s">
        <v>1689</v>
      </c>
      <c r="Y63" s="434" t="s">
        <v>1660</v>
      </c>
      <c r="Z63" s="434" t="s">
        <v>1661</v>
      </c>
      <c r="AA63" s="434" t="s">
        <v>1659</v>
      </c>
      <c r="AB63" s="434" t="s">
        <v>1689</v>
      </c>
      <c r="AC63" s="434" t="s">
        <v>1661</v>
      </c>
      <c r="AD63" s="434" t="s">
        <v>1661</v>
      </c>
      <c r="AE63" s="434" t="s">
        <v>1689</v>
      </c>
      <c r="AF63" s="434" t="s">
        <v>1661</v>
      </c>
      <c r="AG63" s="427">
        <v>18.0</v>
      </c>
      <c r="AH63" s="438" t="s">
        <v>32</v>
      </c>
      <c r="AI63" s="415"/>
      <c r="AJ63" s="436" t="str">
        <f t="array" ref="AJ63">IF(M63=DGET(claves!$A$2:$AS423,M$2,{claves!$A$2;$E63}),1,0)</f>
        <v>#VALUE!</v>
      </c>
      <c r="AK63" s="436" t="str">
        <f t="array" ref="AK63">IF(N63=DGET(claves!$A$2:$AS423,N$2,{claves!$A$2;$E63}),1,0)</f>
        <v>#VALUE!</v>
      </c>
      <c r="AL63" s="436" t="str">
        <f t="array" ref="AL63">IF(O63=DGET(claves!$A$2:$AS423,O$2,{claves!$A$2;$E63}),1,0)</f>
        <v>#VALUE!</v>
      </c>
      <c r="AM63" s="436" t="str">
        <f t="array" ref="AM63">IF(P63=DGET(claves!$A$2:$AS423,P$2,{claves!$A$2;$E63}),1,0)</f>
        <v>#VALUE!</v>
      </c>
      <c r="AN63" s="436" t="str">
        <f t="array" ref="AN63">IF(Q63=DGET(claves!$A$2:$AS423,Q$2,{claves!$A$2;$E63}),1,0)</f>
        <v>#VALUE!</v>
      </c>
      <c r="AO63" s="436" t="str">
        <f t="array" ref="AO63">IF(R63=DGET(claves!$A$2:$AS423,R$2,{claves!$A$2;$E63}),1,0)</f>
        <v>#VALUE!</v>
      </c>
      <c r="AP63" s="436" t="str">
        <f t="array" ref="AP63">IF(S63=DGET(claves!$A$2:$AS423,S$2,{claves!$A$2;$E63}),1,0)</f>
        <v>#VALUE!</v>
      </c>
      <c r="AQ63" s="436" t="str">
        <f t="array" ref="AQ63">IF(T63=DGET(claves!$A$2:$AS423,T$2,{claves!$A$2;$E63}),1,0)</f>
        <v>#VALUE!</v>
      </c>
      <c r="AR63" s="436" t="str">
        <f t="array" ref="AR63">IF(U63=DGET(claves!$A$2:$AS423,U$2,{claves!$A$2;$E63}),1,0)</f>
        <v>#VALUE!</v>
      </c>
      <c r="AS63" s="436" t="str">
        <f t="array" ref="AS63">IF(V63=DGET(claves!$A$2:$AS423,V$2,{claves!$A$2;$E63}),1,0)</f>
        <v>#VALUE!</v>
      </c>
      <c r="AT63" s="436" t="str">
        <f t="array" ref="AT63">IF(W63=DGET(claves!$A$2:$AS423,W$2,{claves!$A$2;$E63}),1,0)</f>
        <v>#VALUE!</v>
      </c>
      <c r="AU63" s="436" t="str">
        <f t="array" ref="AU63">IF(X63=DGET(claves!$A$2:$AS423,X$2,{claves!$A$2;$E63}),1,0)</f>
        <v>#VALUE!</v>
      </c>
      <c r="AV63" s="436" t="str">
        <f t="array" ref="AV63">IF(Y63=DGET(claves!$A$2:$AS423,Y$2,{claves!$A$2;$E63}),1,0)</f>
        <v>#VALUE!</v>
      </c>
      <c r="AW63" s="436" t="str">
        <f t="array" ref="AW63">IF(Z63=DGET(claves!$A$2:$AS423,Z$2,{claves!$A$2;$E63}),1,0)</f>
        <v>#VALUE!</v>
      </c>
      <c r="AX63" s="436" t="str">
        <f t="array" ref="AX63">IF(AA63=DGET(claves!$A$2:$AS423,AA$2,{claves!$A$2;$E63}),1,0)</f>
        <v>#VALUE!</v>
      </c>
      <c r="AY63" s="436" t="str">
        <f t="array" ref="AY63">IF(AB63=DGET(claves!$A$2:$AS423,AB$2,{claves!$A$2;$E63}),1,0)</f>
        <v>#VALUE!</v>
      </c>
      <c r="AZ63" s="436" t="str">
        <f t="array" ref="AZ63">IF(AC63=DGET(claves!$A$2:$AS423,AC$2,{claves!$A$2;$E63}),1,0)</f>
        <v>#VALUE!</v>
      </c>
      <c r="BA63" s="436" t="str">
        <f t="array" ref="BA63">IF(AD63=DGET(claves!$A$2:$AS423,AD$2,{claves!$A$2;$E63}),1,0)</f>
        <v>#VALUE!</v>
      </c>
      <c r="BB63" s="436" t="str">
        <f t="array" ref="BB63">IF(AE63=DGET(claves!$A$2:$AS423,AE$2,{claves!$A$2;$E63}),1,0)</f>
        <v>#VALUE!</v>
      </c>
      <c r="BC63" s="436" t="str">
        <f t="array" ref="BC63">IF(AF63=DGET(claves!$A$2:$AS423,AF$2,{claves!$A$2;$E63}),1,0)</f>
        <v>#VALUE!</v>
      </c>
      <c r="BD63" s="437" t="str">
        <f t="shared" si="1"/>
        <v>#VALUE!</v>
      </c>
      <c r="BE63" s="435" t="s">
        <v>1468</v>
      </c>
      <c r="BF63" s="415"/>
    </row>
    <row r="64" ht="14.25" customHeight="1">
      <c r="A64" s="408">
        <v>62.0</v>
      </c>
      <c r="B64" s="153" t="s">
        <v>1653</v>
      </c>
      <c r="C64" s="153">
        <v>2024.0</v>
      </c>
      <c r="D64" s="77" t="s">
        <v>362</v>
      </c>
      <c r="E64" s="409" t="str">
        <f>IFERROR(__xludf.DUMMYFUNCTION("ARRAYFORMULA(JOIN("""", ARRAYFORMULA(MID(SPLIT(F64, "" ""), 1, 1))))
&amp;""/""&amp;G64"),"MC/6 Primaria")</f>
        <v>MC/6 Primaria</v>
      </c>
      <c r="F64" s="77" t="s">
        <v>1654</v>
      </c>
      <c r="G64" s="432" t="s">
        <v>22</v>
      </c>
      <c r="H64" s="433" t="s">
        <v>1810</v>
      </c>
      <c r="I64" s="433" t="s">
        <v>1811</v>
      </c>
      <c r="J64" s="433" t="s">
        <v>1812</v>
      </c>
      <c r="K64" s="432" t="s">
        <v>1665</v>
      </c>
      <c r="L64" s="415"/>
      <c r="M64" s="434" t="s">
        <v>1660</v>
      </c>
      <c r="N64" s="434" t="s">
        <v>1689</v>
      </c>
      <c r="O64" s="434" t="s">
        <v>1661</v>
      </c>
      <c r="P64" s="434" t="s">
        <v>1689</v>
      </c>
      <c r="Q64" s="434" t="s">
        <v>1659</v>
      </c>
      <c r="R64" s="434" t="s">
        <v>1659</v>
      </c>
      <c r="S64" s="434" t="s">
        <v>1659</v>
      </c>
      <c r="T64" s="434" t="s">
        <v>1659</v>
      </c>
      <c r="U64" s="434" t="s">
        <v>1659</v>
      </c>
      <c r="V64" s="434" t="s">
        <v>1689</v>
      </c>
      <c r="W64" s="434" t="s">
        <v>1661</v>
      </c>
      <c r="X64" s="434" t="s">
        <v>1689</v>
      </c>
      <c r="Y64" s="434" t="s">
        <v>1660</v>
      </c>
      <c r="Z64" s="434" t="s">
        <v>1661</v>
      </c>
      <c r="AA64" s="434" t="s">
        <v>1659</v>
      </c>
      <c r="AB64" s="434" t="s">
        <v>1689</v>
      </c>
      <c r="AC64" s="434" t="s">
        <v>1660</v>
      </c>
      <c r="AD64" s="434" t="s">
        <v>1659</v>
      </c>
      <c r="AE64" s="434" t="s">
        <v>1689</v>
      </c>
      <c r="AF64" s="434" t="s">
        <v>1660</v>
      </c>
      <c r="AG64" s="427">
        <v>19.0</v>
      </c>
      <c r="AH64" s="438" t="s">
        <v>32</v>
      </c>
      <c r="AI64" s="415"/>
      <c r="AJ64" s="436" t="str">
        <f t="array" ref="AJ64">IF(M64=DGET(claves!$A$2:$AS423,M$2,{claves!$A$2;$E64}),1,0)</f>
        <v>#VALUE!</v>
      </c>
      <c r="AK64" s="436" t="str">
        <f t="array" ref="AK64">IF(N64=DGET(claves!$A$2:$AS423,N$2,{claves!$A$2;$E64}),1,0)</f>
        <v>#VALUE!</v>
      </c>
      <c r="AL64" s="436" t="str">
        <f t="array" ref="AL64">IF(O64=DGET(claves!$A$2:$AS423,O$2,{claves!$A$2;$E64}),1,0)</f>
        <v>#VALUE!</v>
      </c>
      <c r="AM64" s="436" t="str">
        <f t="array" ref="AM64">IF(P64=DGET(claves!$A$2:$AS423,P$2,{claves!$A$2;$E64}),1,0)</f>
        <v>#VALUE!</v>
      </c>
      <c r="AN64" s="436" t="str">
        <f t="array" ref="AN64">IF(Q64=DGET(claves!$A$2:$AS423,Q$2,{claves!$A$2;$E64}),1,0)</f>
        <v>#VALUE!</v>
      </c>
      <c r="AO64" s="436" t="str">
        <f t="array" ref="AO64">IF(R64=DGET(claves!$A$2:$AS423,R$2,{claves!$A$2;$E64}),1,0)</f>
        <v>#VALUE!</v>
      </c>
      <c r="AP64" s="436" t="str">
        <f t="array" ref="AP64">IF(S64=DGET(claves!$A$2:$AS423,S$2,{claves!$A$2;$E64}),1,0)</f>
        <v>#VALUE!</v>
      </c>
      <c r="AQ64" s="436" t="str">
        <f t="array" ref="AQ64">IF(T64=DGET(claves!$A$2:$AS423,T$2,{claves!$A$2;$E64}),1,0)</f>
        <v>#VALUE!</v>
      </c>
      <c r="AR64" s="436" t="str">
        <f t="array" ref="AR64">IF(U64=DGET(claves!$A$2:$AS423,U$2,{claves!$A$2;$E64}),1,0)</f>
        <v>#VALUE!</v>
      </c>
      <c r="AS64" s="436" t="str">
        <f t="array" ref="AS64">IF(V64=DGET(claves!$A$2:$AS423,V$2,{claves!$A$2;$E64}),1,0)</f>
        <v>#VALUE!</v>
      </c>
      <c r="AT64" s="436" t="str">
        <f t="array" ref="AT64">IF(W64=DGET(claves!$A$2:$AS423,W$2,{claves!$A$2;$E64}),1,0)</f>
        <v>#VALUE!</v>
      </c>
      <c r="AU64" s="436" t="str">
        <f t="array" ref="AU64">IF(X64=DGET(claves!$A$2:$AS423,X$2,{claves!$A$2;$E64}),1,0)</f>
        <v>#VALUE!</v>
      </c>
      <c r="AV64" s="436" t="str">
        <f t="array" ref="AV64">IF(Y64=DGET(claves!$A$2:$AS423,Y$2,{claves!$A$2;$E64}),1,0)</f>
        <v>#VALUE!</v>
      </c>
      <c r="AW64" s="436" t="str">
        <f t="array" ref="AW64">IF(Z64=DGET(claves!$A$2:$AS423,Z$2,{claves!$A$2;$E64}),1,0)</f>
        <v>#VALUE!</v>
      </c>
      <c r="AX64" s="436" t="str">
        <f t="array" ref="AX64">IF(AA64=DGET(claves!$A$2:$AS423,AA$2,{claves!$A$2;$E64}),1,0)</f>
        <v>#VALUE!</v>
      </c>
      <c r="AY64" s="436" t="str">
        <f t="array" ref="AY64">IF(AB64=DGET(claves!$A$2:$AS423,AB$2,{claves!$A$2;$E64}),1,0)</f>
        <v>#VALUE!</v>
      </c>
      <c r="AZ64" s="436" t="str">
        <f t="array" ref="AZ64">IF(AC64=DGET(claves!$A$2:$AS423,AC$2,{claves!$A$2;$E64}),1,0)</f>
        <v>#VALUE!</v>
      </c>
      <c r="BA64" s="436" t="str">
        <f t="array" ref="BA64">IF(AD64=DGET(claves!$A$2:$AS423,AD$2,{claves!$A$2;$E64}),1,0)</f>
        <v>#VALUE!</v>
      </c>
      <c r="BB64" s="436" t="str">
        <f t="array" ref="BB64">IF(AE64=DGET(claves!$A$2:$AS423,AE$2,{claves!$A$2;$E64}),1,0)</f>
        <v>#VALUE!</v>
      </c>
      <c r="BC64" s="436" t="str">
        <f t="array" ref="BC64">IF(AF64=DGET(claves!$A$2:$AS423,AF$2,{claves!$A$2;$E64}),1,0)</f>
        <v>#VALUE!</v>
      </c>
      <c r="BD64" s="437" t="str">
        <f t="shared" si="1"/>
        <v>#VALUE!</v>
      </c>
      <c r="BE64" s="435" t="s">
        <v>1468</v>
      </c>
      <c r="BF64" s="415"/>
    </row>
    <row r="65" ht="14.25" customHeight="1">
      <c r="A65" s="408">
        <v>63.0</v>
      </c>
      <c r="B65" s="153" t="s">
        <v>1653</v>
      </c>
      <c r="C65" s="153">
        <v>2024.0</v>
      </c>
      <c r="D65" s="77" t="s">
        <v>362</v>
      </c>
      <c r="E65" s="409" t="str">
        <f>IFERROR(__xludf.DUMMYFUNCTION("ARRAYFORMULA(JOIN("""", ARRAYFORMULA(MID(SPLIT(F65, "" ""), 1, 1))))
&amp;""/""&amp;G65"),"MC/6 Primaria")</f>
        <v>MC/6 Primaria</v>
      </c>
      <c r="F65" s="77" t="s">
        <v>1654</v>
      </c>
      <c r="G65" s="432" t="s">
        <v>22</v>
      </c>
      <c r="H65" s="433" t="s">
        <v>1684</v>
      </c>
      <c r="I65" s="433" t="s">
        <v>1744</v>
      </c>
      <c r="J65" s="433" t="s">
        <v>1813</v>
      </c>
      <c r="K65" s="432" t="s">
        <v>1665</v>
      </c>
      <c r="L65" s="415"/>
      <c r="M65" s="434" t="s">
        <v>1660</v>
      </c>
      <c r="N65" s="434" t="s">
        <v>1689</v>
      </c>
      <c r="O65" s="434" t="s">
        <v>1661</v>
      </c>
      <c r="P65" s="434" t="s">
        <v>1689</v>
      </c>
      <c r="Q65" s="434" t="s">
        <v>1659</v>
      </c>
      <c r="R65" s="434" t="s">
        <v>1659</v>
      </c>
      <c r="S65" s="434" t="s">
        <v>1659</v>
      </c>
      <c r="T65" s="434" t="s">
        <v>1659</v>
      </c>
      <c r="U65" s="434" t="s">
        <v>1659</v>
      </c>
      <c r="V65" s="434" t="s">
        <v>1689</v>
      </c>
      <c r="W65" s="434" t="s">
        <v>1661</v>
      </c>
      <c r="X65" s="434" t="s">
        <v>1689</v>
      </c>
      <c r="Y65" s="434" t="s">
        <v>1660</v>
      </c>
      <c r="Z65" s="434" t="s">
        <v>1661</v>
      </c>
      <c r="AA65" s="434" t="s">
        <v>1659</v>
      </c>
      <c r="AB65" s="434" t="s">
        <v>1689</v>
      </c>
      <c r="AC65" s="434" t="s">
        <v>1661</v>
      </c>
      <c r="AD65" s="434" t="s">
        <v>1659</v>
      </c>
      <c r="AE65" s="434" t="s">
        <v>1659</v>
      </c>
      <c r="AF65" s="434" t="s">
        <v>1661</v>
      </c>
      <c r="AG65" s="427">
        <v>18.0</v>
      </c>
      <c r="AH65" s="438" t="s">
        <v>32</v>
      </c>
      <c r="AI65" s="415"/>
      <c r="AJ65" s="436" t="str">
        <f t="array" ref="AJ65">IF(M65=DGET(claves!$A$2:$AS423,M$2,{claves!$A$2;$E65}),1,0)</f>
        <v>#VALUE!</v>
      </c>
      <c r="AK65" s="436" t="str">
        <f t="array" ref="AK65">IF(N65=DGET(claves!$A$2:$AS423,N$2,{claves!$A$2;$E65}),1,0)</f>
        <v>#VALUE!</v>
      </c>
      <c r="AL65" s="436" t="str">
        <f t="array" ref="AL65">IF(O65=DGET(claves!$A$2:$AS423,O$2,{claves!$A$2;$E65}),1,0)</f>
        <v>#VALUE!</v>
      </c>
      <c r="AM65" s="436" t="str">
        <f t="array" ref="AM65">IF(P65=DGET(claves!$A$2:$AS423,P$2,{claves!$A$2;$E65}),1,0)</f>
        <v>#VALUE!</v>
      </c>
      <c r="AN65" s="436" t="str">
        <f t="array" ref="AN65">IF(Q65=DGET(claves!$A$2:$AS423,Q$2,{claves!$A$2;$E65}),1,0)</f>
        <v>#VALUE!</v>
      </c>
      <c r="AO65" s="436" t="str">
        <f t="array" ref="AO65">IF(R65=DGET(claves!$A$2:$AS423,R$2,{claves!$A$2;$E65}),1,0)</f>
        <v>#VALUE!</v>
      </c>
      <c r="AP65" s="436" t="str">
        <f t="array" ref="AP65">IF(S65=DGET(claves!$A$2:$AS423,S$2,{claves!$A$2;$E65}),1,0)</f>
        <v>#VALUE!</v>
      </c>
      <c r="AQ65" s="436" t="str">
        <f t="array" ref="AQ65">IF(T65=DGET(claves!$A$2:$AS423,T$2,{claves!$A$2;$E65}),1,0)</f>
        <v>#VALUE!</v>
      </c>
      <c r="AR65" s="436" t="str">
        <f t="array" ref="AR65">IF(U65=DGET(claves!$A$2:$AS423,U$2,{claves!$A$2;$E65}),1,0)</f>
        <v>#VALUE!</v>
      </c>
      <c r="AS65" s="436" t="str">
        <f t="array" ref="AS65">IF(V65=DGET(claves!$A$2:$AS423,V$2,{claves!$A$2;$E65}),1,0)</f>
        <v>#VALUE!</v>
      </c>
      <c r="AT65" s="436" t="str">
        <f t="array" ref="AT65">IF(W65=DGET(claves!$A$2:$AS423,W$2,{claves!$A$2;$E65}),1,0)</f>
        <v>#VALUE!</v>
      </c>
      <c r="AU65" s="436" t="str">
        <f t="array" ref="AU65">IF(X65=DGET(claves!$A$2:$AS423,X$2,{claves!$A$2;$E65}),1,0)</f>
        <v>#VALUE!</v>
      </c>
      <c r="AV65" s="436" t="str">
        <f t="array" ref="AV65">IF(Y65=DGET(claves!$A$2:$AS423,Y$2,{claves!$A$2;$E65}),1,0)</f>
        <v>#VALUE!</v>
      </c>
      <c r="AW65" s="436" t="str">
        <f t="array" ref="AW65">IF(Z65=DGET(claves!$A$2:$AS423,Z$2,{claves!$A$2;$E65}),1,0)</f>
        <v>#VALUE!</v>
      </c>
      <c r="AX65" s="436" t="str">
        <f t="array" ref="AX65">IF(AA65=DGET(claves!$A$2:$AS423,AA$2,{claves!$A$2;$E65}),1,0)</f>
        <v>#VALUE!</v>
      </c>
      <c r="AY65" s="436" t="str">
        <f t="array" ref="AY65">IF(AB65=DGET(claves!$A$2:$AS423,AB$2,{claves!$A$2;$E65}),1,0)</f>
        <v>#VALUE!</v>
      </c>
      <c r="AZ65" s="436" t="str">
        <f t="array" ref="AZ65">IF(AC65=DGET(claves!$A$2:$AS423,AC$2,{claves!$A$2;$E65}),1,0)</f>
        <v>#VALUE!</v>
      </c>
      <c r="BA65" s="436" t="str">
        <f t="array" ref="BA65">IF(AD65=DGET(claves!$A$2:$AS423,AD$2,{claves!$A$2;$E65}),1,0)</f>
        <v>#VALUE!</v>
      </c>
      <c r="BB65" s="436" t="str">
        <f t="array" ref="BB65">IF(AE65=DGET(claves!$A$2:$AS423,AE$2,{claves!$A$2;$E65}),1,0)</f>
        <v>#VALUE!</v>
      </c>
      <c r="BC65" s="436" t="str">
        <f t="array" ref="BC65">IF(AF65=DGET(claves!$A$2:$AS423,AF$2,{claves!$A$2;$E65}),1,0)</f>
        <v>#VALUE!</v>
      </c>
      <c r="BD65" s="437" t="str">
        <f t="shared" si="1"/>
        <v>#VALUE!</v>
      </c>
      <c r="BE65" s="435" t="s">
        <v>1468</v>
      </c>
      <c r="BF65" s="415"/>
    </row>
    <row r="66" ht="14.25" customHeight="1">
      <c r="A66" s="408">
        <v>64.0</v>
      </c>
      <c r="B66" s="153" t="s">
        <v>1653</v>
      </c>
      <c r="C66" s="153">
        <v>2024.0</v>
      </c>
      <c r="D66" s="77" t="s">
        <v>362</v>
      </c>
      <c r="E66" s="409" t="str">
        <f>IFERROR(__xludf.DUMMYFUNCTION("ARRAYFORMULA(JOIN("""", ARRAYFORMULA(MID(SPLIT(F66, "" ""), 1, 1))))
&amp;""/""&amp;G66"),"MC/6 Primaria")</f>
        <v>MC/6 Primaria</v>
      </c>
      <c r="F66" s="77" t="s">
        <v>1654</v>
      </c>
      <c r="G66" s="432" t="s">
        <v>22</v>
      </c>
      <c r="H66" s="433" t="s">
        <v>1684</v>
      </c>
      <c r="I66" s="433" t="s">
        <v>1769</v>
      </c>
      <c r="J66" s="433" t="s">
        <v>1814</v>
      </c>
      <c r="K66" s="433" t="s">
        <v>1658</v>
      </c>
      <c r="L66" s="415"/>
      <c r="M66" s="434" t="s">
        <v>1660</v>
      </c>
      <c r="N66" s="434" t="s">
        <v>1689</v>
      </c>
      <c r="O66" s="434" t="s">
        <v>1661</v>
      </c>
      <c r="P66" s="434" t="s">
        <v>1661</v>
      </c>
      <c r="Q66" s="434" t="s">
        <v>1659</v>
      </c>
      <c r="R66" s="434" t="s">
        <v>1689</v>
      </c>
      <c r="S66" s="434" t="s">
        <v>1689</v>
      </c>
      <c r="T66" s="434" t="s">
        <v>1659</v>
      </c>
      <c r="U66" s="434" t="s">
        <v>1659</v>
      </c>
      <c r="V66" s="434" t="s">
        <v>1689</v>
      </c>
      <c r="W66" s="434" t="s">
        <v>1661</v>
      </c>
      <c r="X66" s="434" t="s">
        <v>1689</v>
      </c>
      <c r="Y66" s="434" t="s">
        <v>1661</v>
      </c>
      <c r="Z66" s="434" t="s">
        <v>1689</v>
      </c>
      <c r="AA66" s="434" t="s">
        <v>1659</v>
      </c>
      <c r="AB66" s="434" t="s">
        <v>1689</v>
      </c>
      <c r="AC66" s="434" t="s">
        <v>1661</v>
      </c>
      <c r="AD66" s="434" t="s">
        <v>1661</v>
      </c>
      <c r="AE66" s="434" t="s">
        <v>1689</v>
      </c>
      <c r="AF66" s="434" t="s">
        <v>1660</v>
      </c>
      <c r="AG66" s="427">
        <v>12.0</v>
      </c>
      <c r="AH66" s="435" t="s">
        <v>24</v>
      </c>
      <c r="AI66" s="415"/>
      <c r="AJ66" s="436" t="str">
        <f t="array" ref="AJ66">IF(M66=DGET(claves!$A$2:$AS423,M$2,{claves!$A$2;$E66}),1,0)</f>
        <v>#VALUE!</v>
      </c>
      <c r="AK66" s="436" t="str">
        <f t="array" ref="AK66">IF(N66=DGET(claves!$A$2:$AS423,N$2,{claves!$A$2;$E66}),1,0)</f>
        <v>#VALUE!</v>
      </c>
      <c r="AL66" s="436" t="str">
        <f t="array" ref="AL66">IF(O66=DGET(claves!$A$2:$AS423,O$2,{claves!$A$2;$E66}),1,0)</f>
        <v>#VALUE!</v>
      </c>
      <c r="AM66" s="436" t="str">
        <f t="array" ref="AM66">IF(P66=DGET(claves!$A$2:$AS423,P$2,{claves!$A$2;$E66}),1,0)</f>
        <v>#VALUE!</v>
      </c>
      <c r="AN66" s="436" t="str">
        <f t="array" ref="AN66">IF(Q66=DGET(claves!$A$2:$AS423,Q$2,{claves!$A$2;$E66}),1,0)</f>
        <v>#VALUE!</v>
      </c>
      <c r="AO66" s="436" t="str">
        <f t="array" ref="AO66">IF(R66=DGET(claves!$A$2:$AS423,R$2,{claves!$A$2;$E66}),1,0)</f>
        <v>#VALUE!</v>
      </c>
      <c r="AP66" s="436" t="str">
        <f t="array" ref="AP66">IF(S66=DGET(claves!$A$2:$AS423,S$2,{claves!$A$2;$E66}),1,0)</f>
        <v>#VALUE!</v>
      </c>
      <c r="AQ66" s="436" t="str">
        <f t="array" ref="AQ66">IF(T66=DGET(claves!$A$2:$AS423,T$2,{claves!$A$2;$E66}),1,0)</f>
        <v>#VALUE!</v>
      </c>
      <c r="AR66" s="436" t="str">
        <f t="array" ref="AR66">IF(U66=DGET(claves!$A$2:$AS423,U$2,{claves!$A$2;$E66}),1,0)</f>
        <v>#VALUE!</v>
      </c>
      <c r="AS66" s="436" t="str">
        <f t="array" ref="AS66">IF(V66=DGET(claves!$A$2:$AS423,V$2,{claves!$A$2;$E66}),1,0)</f>
        <v>#VALUE!</v>
      </c>
      <c r="AT66" s="436" t="str">
        <f t="array" ref="AT66">IF(W66=DGET(claves!$A$2:$AS423,W$2,{claves!$A$2;$E66}),1,0)</f>
        <v>#VALUE!</v>
      </c>
      <c r="AU66" s="436" t="str">
        <f t="array" ref="AU66">IF(X66=DGET(claves!$A$2:$AS423,X$2,{claves!$A$2;$E66}),1,0)</f>
        <v>#VALUE!</v>
      </c>
      <c r="AV66" s="436" t="str">
        <f t="array" ref="AV66">IF(Y66=DGET(claves!$A$2:$AS423,Y$2,{claves!$A$2;$E66}),1,0)</f>
        <v>#VALUE!</v>
      </c>
      <c r="AW66" s="436" t="str">
        <f t="array" ref="AW66">IF(Z66=DGET(claves!$A$2:$AS423,Z$2,{claves!$A$2;$E66}),1,0)</f>
        <v>#VALUE!</v>
      </c>
      <c r="AX66" s="436" t="str">
        <f t="array" ref="AX66">IF(AA66=DGET(claves!$A$2:$AS423,AA$2,{claves!$A$2;$E66}),1,0)</f>
        <v>#VALUE!</v>
      </c>
      <c r="AY66" s="436" t="str">
        <f t="array" ref="AY66">IF(AB66=DGET(claves!$A$2:$AS423,AB$2,{claves!$A$2;$E66}),1,0)</f>
        <v>#VALUE!</v>
      </c>
      <c r="AZ66" s="436" t="str">
        <f t="array" ref="AZ66">IF(AC66=DGET(claves!$A$2:$AS423,AC$2,{claves!$A$2;$E66}),1,0)</f>
        <v>#VALUE!</v>
      </c>
      <c r="BA66" s="436" t="str">
        <f t="array" ref="BA66">IF(AD66=DGET(claves!$A$2:$AS423,AD$2,{claves!$A$2;$E66}),1,0)</f>
        <v>#VALUE!</v>
      </c>
      <c r="BB66" s="436" t="str">
        <f t="array" ref="BB66">IF(AE66=DGET(claves!$A$2:$AS423,AE$2,{claves!$A$2;$E66}),1,0)</f>
        <v>#VALUE!</v>
      </c>
      <c r="BC66" s="436" t="str">
        <f t="array" ref="BC66">IF(AF66=DGET(claves!$A$2:$AS423,AF$2,{claves!$A$2;$E66}),1,0)</f>
        <v>#VALUE!</v>
      </c>
      <c r="BD66" s="437" t="str">
        <f t="shared" si="1"/>
        <v>#VALUE!</v>
      </c>
      <c r="BE66" s="435" t="s">
        <v>1468</v>
      </c>
      <c r="BF66" s="415"/>
    </row>
    <row r="67" ht="14.25" customHeight="1">
      <c r="A67" s="408">
        <v>65.0</v>
      </c>
      <c r="B67" s="153" t="s">
        <v>1653</v>
      </c>
      <c r="C67" s="153">
        <v>2024.0</v>
      </c>
      <c r="D67" s="77" t="s">
        <v>362</v>
      </c>
      <c r="E67" s="409" t="str">
        <f>IFERROR(__xludf.DUMMYFUNCTION("ARRAYFORMULA(JOIN("""", ARRAYFORMULA(MID(SPLIT(F67, "" ""), 1, 1))))
&amp;""/""&amp;G67"),"MC/6 Primaria")</f>
        <v>MC/6 Primaria</v>
      </c>
      <c r="F67" s="77" t="s">
        <v>1654</v>
      </c>
      <c r="G67" s="432" t="s">
        <v>22</v>
      </c>
      <c r="H67" s="433" t="s">
        <v>1815</v>
      </c>
      <c r="I67" s="433" t="s">
        <v>1684</v>
      </c>
      <c r="J67" s="433" t="s">
        <v>1816</v>
      </c>
      <c r="K67" s="432" t="s">
        <v>1665</v>
      </c>
      <c r="L67" s="415"/>
      <c r="M67" s="434" t="s">
        <v>1660</v>
      </c>
      <c r="N67" s="434" t="s">
        <v>1689</v>
      </c>
      <c r="O67" s="434" t="s">
        <v>1661</v>
      </c>
      <c r="P67" s="434" t="s">
        <v>1689</v>
      </c>
      <c r="Q67" s="434" t="s">
        <v>1659</v>
      </c>
      <c r="R67" s="434" t="s">
        <v>1659</v>
      </c>
      <c r="S67" s="434" t="s">
        <v>1659</v>
      </c>
      <c r="T67" s="434" t="s">
        <v>1659</v>
      </c>
      <c r="U67" s="434" t="s">
        <v>1659</v>
      </c>
      <c r="V67" s="434" t="s">
        <v>1689</v>
      </c>
      <c r="W67" s="434" t="s">
        <v>1661</v>
      </c>
      <c r="X67" s="434" t="s">
        <v>1689</v>
      </c>
      <c r="Y67" s="434" t="s">
        <v>1660</v>
      </c>
      <c r="Z67" s="434" t="s">
        <v>1661</v>
      </c>
      <c r="AA67" s="434" t="s">
        <v>1659</v>
      </c>
      <c r="AB67" s="434" t="s">
        <v>1689</v>
      </c>
      <c r="AC67" s="434" t="s">
        <v>1660</v>
      </c>
      <c r="AD67" s="434" t="s">
        <v>1659</v>
      </c>
      <c r="AE67" s="434" t="s">
        <v>1689</v>
      </c>
      <c r="AF67" s="434" t="s">
        <v>1660</v>
      </c>
      <c r="AG67" s="427">
        <v>19.0</v>
      </c>
      <c r="AH67" s="438" t="s">
        <v>32</v>
      </c>
      <c r="AI67" s="415"/>
      <c r="AJ67" s="436" t="str">
        <f t="array" ref="AJ67">IF(M67=DGET(claves!$A$2:$AS423,M$2,{claves!$A$2;$E67}),1,0)</f>
        <v>#VALUE!</v>
      </c>
      <c r="AK67" s="436" t="str">
        <f t="array" ref="AK67">IF(N67=DGET(claves!$A$2:$AS423,N$2,{claves!$A$2;$E67}),1,0)</f>
        <v>#VALUE!</v>
      </c>
      <c r="AL67" s="436" t="str">
        <f t="array" ref="AL67">IF(O67=DGET(claves!$A$2:$AS423,O$2,{claves!$A$2;$E67}),1,0)</f>
        <v>#VALUE!</v>
      </c>
      <c r="AM67" s="436" t="str">
        <f t="array" ref="AM67">IF(P67=DGET(claves!$A$2:$AS423,P$2,{claves!$A$2;$E67}),1,0)</f>
        <v>#VALUE!</v>
      </c>
      <c r="AN67" s="436" t="str">
        <f t="array" ref="AN67">IF(Q67=DGET(claves!$A$2:$AS423,Q$2,{claves!$A$2;$E67}),1,0)</f>
        <v>#VALUE!</v>
      </c>
      <c r="AO67" s="436" t="str">
        <f t="array" ref="AO67">IF(R67=DGET(claves!$A$2:$AS423,R$2,{claves!$A$2;$E67}),1,0)</f>
        <v>#VALUE!</v>
      </c>
      <c r="AP67" s="436" t="str">
        <f t="array" ref="AP67">IF(S67=DGET(claves!$A$2:$AS423,S$2,{claves!$A$2;$E67}),1,0)</f>
        <v>#VALUE!</v>
      </c>
      <c r="AQ67" s="436" t="str">
        <f t="array" ref="AQ67">IF(T67=DGET(claves!$A$2:$AS423,T$2,{claves!$A$2;$E67}),1,0)</f>
        <v>#VALUE!</v>
      </c>
      <c r="AR67" s="436" t="str">
        <f t="array" ref="AR67">IF(U67=DGET(claves!$A$2:$AS423,U$2,{claves!$A$2;$E67}),1,0)</f>
        <v>#VALUE!</v>
      </c>
      <c r="AS67" s="436" t="str">
        <f t="array" ref="AS67">IF(V67=DGET(claves!$A$2:$AS423,V$2,{claves!$A$2;$E67}),1,0)</f>
        <v>#VALUE!</v>
      </c>
      <c r="AT67" s="436" t="str">
        <f t="array" ref="AT67">IF(W67=DGET(claves!$A$2:$AS423,W$2,{claves!$A$2;$E67}),1,0)</f>
        <v>#VALUE!</v>
      </c>
      <c r="AU67" s="436" t="str">
        <f t="array" ref="AU67">IF(X67=DGET(claves!$A$2:$AS423,X$2,{claves!$A$2;$E67}),1,0)</f>
        <v>#VALUE!</v>
      </c>
      <c r="AV67" s="436" t="str">
        <f t="array" ref="AV67">IF(Y67=DGET(claves!$A$2:$AS423,Y$2,{claves!$A$2;$E67}),1,0)</f>
        <v>#VALUE!</v>
      </c>
      <c r="AW67" s="436" t="str">
        <f t="array" ref="AW67">IF(Z67=DGET(claves!$A$2:$AS423,Z$2,{claves!$A$2;$E67}),1,0)</f>
        <v>#VALUE!</v>
      </c>
      <c r="AX67" s="436" t="str">
        <f t="array" ref="AX67">IF(AA67=DGET(claves!$A$2:$AS423,AA$2,{claves!$A$2;$E67}),1,0)</f>
        <v>#VALUE!</v>
      </c>
      <c r="AY67" s="436" t="str">
        <f t="array" ref="AY67">IF(AB67=DGET(claves!$A$2:$AS423,AB$2,{claves!$A$2;$E67}),1,0)</f>
        <v>#VALUE!</v>
      </c>
      <c r="AZ67" s="436" t="str">
        <f t="array" ref="AZ67">IF(AC67=DGET(claves!$A$2:$AS423,AC$2,{claves!$A$2;$E67}),1,0)</f>
        <v>#VALUE!</v>
      </c>
      <c r="BA67" s="436" t="str">
        <f t="array" ref="BA67">IF(AD67=DGET(claves!$A$2:$AS423,AD$2,{claves!$A$2;$E67}),1,0)</f>
        <v>#VALUE!</v>
      </c>
      <c r="BB67" s="436" t="str">
        <f t="array" ref="BB67">IF(AE67=DGET(claves!$A$2:$AS423,AE$2,{claves!$A$2;$E67}),1,0)</f>
        <v>#VALUE!</v>
      </c>
      <c r="BC67" s="436" t="str">
        <f t="array" ref="BC67">IF(AF67=DGET(claves!$A$2:$AS423,AF$2,{claves!$A$2;$E67}),1,0)</f>
        <v>#VALUE!</v>
      </c>
      <c r="BD67" s="437" t="str">
        <f t="shared" si="1"/>
        <v>#VALUE!</v>
      </c>
      <c r="BE67" s="435" t="s">
        <v>1468</v>
      </c>
      <c r="BF67" s="415"/>
    </row>
    <row r="68" ht="14.25" customHeight="1">
      <c r="A68" s="408">
        <v>66.0</v>
      </c>
      <c r="B68" s="153" t="s">
        <v>1653</v>
      </c>
      <c r="C68" s="153">
        <v>2024.0</v>
      </c>
      <c r="D68" s="77" t="s">
        <v>1817</v>
      </c>
      <c r="E68" s="409" t="s">
        <v>1818</v>
      </c>
      <c r="F68" s="77" t="s">
        <v>1819</v>
      </c>
      <c r="G68" s="432" t="s">
        <v>15</v>
      </c>
      <c r="H68" s="433" t="s">
        <v>1655</v>
      </c>
      <c r="I68" s="433" t="s">
        <v>1656</v>
      </c>
      <c r="J68" s="433" t="s">
        <v>1657</v>
      </c>
      <c r="K68" s="433" t="s">
        <v>1658</v>
      </c>
      <c r="L68" s="415"/>
      <c r="M68" s="434" t="s">
        <v>1661</v>
      </c>
      <c r="N68" s="434" t="s">
        <v>1659</v>
      </c>
      <c r="O68" s="434" t="s">
        <v>1659</v>
      </c>
      <c r="P68" s="434" t="s">
        <v>1661</v>
      </c>
      <c r="Q68" s="434" t="s">
        <v>1659</v>
      </c>
      <c r="R68" s="434" t="s">
        <v>1661</v>
      </c>
      <c r="S68" s="434" t="s">
        <v>1659</v>
      </c>
      <c r="T68" s="434" t="s">
        <v>1661</v>
      </c>
      <c r="U68" s="434" t="s">
        <v>1660</v>
      </c>
      <c r="V68" s="434" t="s">
        <v>1660</v>
      </c>
      <c r="W68" s="434" t="s">
        <v>1659</v>
      </c>
      <c r="X68" s="434" t="s">
        <v>1659</v>
      </c>
      <c r="Y68" s="434" t="s">
        <v>1659</v>
      </c>
      <c r="Z68" s="434" t="s">
        <v>1659</v>
      </c>
      <c r="AA68" s="434" t="s">
        <v>1660</v>
      </c>
      <c r="AB68" s="434" t="s">
        <v>1659</v>
      </c>
      <c r="AC68" s="434" t="s">
        <v>1661</v>
      </c>
      <c r="AD68" s="434" t="s">
        <v>1660</v>
      </c>
      <c r="AE68" s="434" t="s">
        <v>1659</v>
      </c>
      <c r="AF68" s="434" t="s">
        <v>1661</v>
      </c>
      <c r="AG68" s="427">
        <v>15.0</v>
      </c>
      <c r="AH68" s="435" t="s">
        <v>24</v>
      </c>
      <c r="AI68" s="415"/>
      <c r="AJ68" s="436" t="str">
        <f t="array" ref="AJ68">IF(M68=DGET(claves!$A$2:$AS423,M$2,{claves!$A$2;$E68}),1,0)</f>
        <v>#VALUE!</v>
      </c>
      <c r="AK68" s="436" t="str">
        <f t="array" ref="AK68">IF(N68=DGET(claves!$A$2:$AS423,N$2,{claves!$A$2;$E68}),1,0)</f>
        <v>#VALUE!</v>
      </c>
      <c r="AL68" s="436" t="str">
        <f t="array" ref="AL68">IF(O68=DGET(claves!$A$2:$AS423,O$2,{claves!$A$2;$E68}),1,0)</f>
        <v>#VALUE!</v>
      </c>
      <c r="AM68" s="436" t="str">
        <f t="array" ref="AM68">IF(P68=DGET(claves!$A$2:$AS423,P$2,{claves!$A$2;$E68}),1,0)</f>
        <v>#VALUE!</v>
      </c>
      <c r="AN68" s="436" t="str">
        <f t="array" ref="AN68">IF(Q68=DGET(claves!$A$2:$AS423,Q$2,{claves!$A$2;$E68}),1,0)</f>
        <v>#VALUE!</v>
      </c>
      <c r="AO68" s="436" t="str">
        <f t="array" ref="AO68">IF(R68=DGET(claves!$A$2:$AS423,R$2,{claves!$A$2;$E68}),1,0)</f>
        <v>#VALUE!</v>
      </c>
      <c r="AP68" s="436" t="str">
        <f t="array" ref="AP68">IF(S68=DGET(claves!$A$2:$AS423,S$2,{claves!$A$2;$E68}),1,0)</f>
        <v>#VALUE!</v>
      </c>
      <c r="AQ68" s="436" t="str">
        <f t="array" ref="AQ68">IF(T68=DGET(claves!$A$2:$AS423,T$2,{claves!$A$2;$E68}),1,0)</f>
        <v>#VALUE!</v>
      </c>
      <c r="AR68" s="436" t="str">
        <f t="array" ref="AR68">IF(U68=DGET(claves!$A$2:$AS423,U$2,{claves!$A$2;$E68}),1,0)</f>
        <v>#VALUE!</v>
      </c>
      <c r="AS68" s="436" t="str">
        <f t="array" ref="AS68">IF(V68=DGET(claves!$A$2:$AS423,V$2,{claves!$A$2;$E68}),1,0)</f>
        <v>#VALUE!</v>
      </c>
      <c r="AT68" s="436" t="str">
        <f t="array" ref="AT68">IF(W68=DGET(claves!$A$2:$AS423,W$2,{claves!$A$2;$E68}),1,0)</f>
        <v>#VALUE!</v>
      </c>
      <c r="AU68" s="436" t="str">
        <f t="array" ref="AU68">IF(X68=DGET(claves!$A$2:$AS423,X$2,{claves!$A$2;$E68}),1,0)</f>
        <v>#VALUE!</v>
      </c>
      <c r="AV68" s="436" t="str">
        <f t="array" ref="AV68">IF(Y68=DGET(claves!$A$2:$AS423,Y$2,{claves!$A$2;$E68}),1,0)</f>
        <v>#VALUE!</v>
      </c>
      <c r="AW68" s="436" t="str">
        <f t="array" ref="AW68">IF(Z68=DGET(claves!$A$2:$AS423,Z$2,{claves!$A$2;$E68}),1,0)</f>
        <v>#VALUE!</v>
      </c>
      <c r="AX68" s="436" t="str">
        <f t="array" ref="AX68">IF(AA68=DGET(claves!$A$2:$AS423,AA$2,{claves!$A$2;$E68}),1,0)</f>
        <v>#VALUE!</v>
      </c>
      <c r="AY68" s="436" t="str">
        <f t="array" ref="AY68">IF(AB68=DGET(claves!$A$2:$AS423,AB$2,{claves!$A$2;$E68}),1,0)</f>
        <v>#VALUE!</v>
      </c>
      <c r="AZ68" s="436" t="str">
        <f t="array" ref="AZ68">IF(AC68=DGET(claves!$A$2:$AS423,AC$2,{claves!$A$2;$E68}),1,0)</f>
        <v>#VALUE!</v>
      </c>
      <c r="BA68" s="436" t="str">
        <f t="array" ref="BA68">IF(AD68=DGET(claves!$A$2:$AS423,AD$2,{claves!$A$2;$E68}),1,0)</f>
        <v>#VALUE!</v>
      </c>
      <c r="BB68" s="436" t="str">
        <f t="array" ref="BB68">IF(AE68=DGET(claves!$A$2:$AS423,AE$2,{claves!$A$2;$E68}),1,0)</f>
        <v>#VALUE!</v>
      </c>
      <c r="BC68" s="436" t="str">
        <f t="array" ref="BC68">IF(AF68=DGET(claves!$A$2:$AS423,AF$2,{claves!$A$2;$E68}),1,0)</f>
        <v>#VALUE!</v>
      </c>
      <c r="BD68" s="437" t="str">
        <f t="shared" si="1"/>
        <v>#VALUE!</v>
      </c>
      <c r="BE68" s="435"/>
      <c r="BF68" s="415"/>
    </row>
    <row r="69" ht="14.25" customHeight="1">
      <c r="A69" s="408">
        <v>67.0</v>
      </c>
      <c r="B69" s="153" t="s">
        <v>1653</v>
      </c>
      <c r="C69" s="153">
        <v>2024.0</v>
      </c>
      <c r="D69" s="77" t="s">
        <v>1817</v>
      </c>
      <c r="E69" s="409" t="s">
        <v>1818</v>
      </c>
      <c r="F69" s="77" t="s">
        <v>1819</v>
      </c>
      <c r="G69" s="432" t="s">
        <v>15</v>
      </c>
      <c r="H69" s="433" t="s">
        <v>1662</v>
      </c>
      <c r="I69" s="433" t="s">
        <v>1663</v>
      </c>
      <c r="J69" s="433" t="s">
        <v>1664</v>
      </c>
      <c r="K69" s="432" t="s">
        <v>1665</v>
      </c>
      <c r="L69" s="415"/>
      <c r="M69" s="434" t="s">
        <v>1661</v>
      </c>
      <c r="N69" s="434" t="s">
        <v>1660</v>
      </c>
      <c r="O69" s="434" t="s">
        <v>1659</v>
      </c>
      <c r="P69" s="434" t="s">
        <v>1661</v>
      </c>
      <c r="Q69" s="434" t="s">
        <v>1659</v>
      </c>
      <c r="R69" s="434" t="s">
        <v>1661</v>
      </c>
      <c r="S69" s="434" t="s">
        <v>1659</v>
      </c>
      <c r="T69" s="434" t="s">
        <v>1661</v>
      </c>
      <c r="U69" s="434" t="s">
        <v>1661</v>
      </c>
      <c r="V69" s="434" t="s">
        <v>1659</v>
      </c>
      <c r="W69" s="434" t="s">
        <v>1661</v>
      </c>
      <c r="X69" s="434" t="s">
        <v>1659</v>
      </c>
      <c r="Y69" s="434" t="s">
        <v>1659</v>
      </c>
      <c r="Z69" s="434" t="s">
        <v>1660</v>
      </c>
      <c r="AA69" s="434" t="s">
        <v>1660</v>
      </c>
      <c r="AB69" s="434" t="s">
        <v>1659</v>
      </c>
      <c r="AC69" s="434" t="s">
        <v>1661</v>
      </c>
      <c r="AD69" s="434" t="s">
        <v>1660</v>
      </c>
      <c r="AE69" s="434" t="s">
        <v>1659</v>
      </c>
      <c r="AF69" s="434" t="s">
        <v>1661</v>
      </c>
      <c r="AG69" s="427">
        <v>16.0</v>
      </c>
      <c r="AH69" s="435" t="s">
        <v>24</v>
      </c>
      <c r="AI69" s="415"/>
      <c r="AJ69" s="436" t="str">
        <f t="array" ref="AJ69">IF(M69=DGET(claves!$A$2:$AS423,M$2,{claves!$A$2;$E69}),1,0)</f>
        <v>#VALUE!</v>
      </c>
      <c r="AK69" s="436" t="str">
        <f t="array" ref="AK69">IF(N69=DGET(claves!$A$2:$AS423,N$2,{claves!$A$2;$E69}),1,0)</f>
        <v>#VALUE!</v>
      </c>
      <c r="AL69" s="436" t="str">
        <f t="array" ref="AL69">IF(O69=DGET(claves!$A$2:$AS423,O$2,{claves!$A$2;$E69}),1,0)</f>
        <v>#VALUE!</v>
      </c>
      <c r="AM69" s="436" t="str">
        <f t="array" ref="AM69">IF(P69=DGET(claves!$A$2:$AS423,P$2,{claves!$A$2;$E69}),1,0)</f>
        <v>#VALUE!</v>
      </c>
      <c r="AN69" s="436" t="str">
        <f t="array" ref="AN69">IF(Q69=DGET(claves!$A$2:$AS423,Q$2,{claves!$A$2;$E69}),1,0)</f>
        <v>#VALUE!</v>
      </c>
      <c r="AO69" s="436" t="str">
        <f t="array" ref="AO69">IF(R69=DGET(claves!$A$2:$AS423,R$2,{claves!$A$2;$E69}),1,0)</f>
        <v>#VALUE!</v>
      </c>
      <c r="AP69" s="436" t="str">
        <f t="array" ref="AP69">IF(S69=DGET(claves!$A$2:$AS423,S$2,{claves!$A$2;$E69}),1,0)</f>
        <v>#VALUE!</v>
      </c>
      <c r="AQ69" s="436" t="str">
        <f t="array" ref="AQ69">IF(T69=DGET(claves!$A$2:$AS423,T$2,{claves!$A$2;$E69}),1,0)</f>
        <v>#VALUE!</v>
      </c>
      <c r="AR69" s="436" t="str">
        <f t="array" ref="AR69">IF(U69=DGET(claves!$A$2:$AS423,U$2,{claves!$A$2;$E69}),1,0)</f>
        <v>#VALUE!</v>
      </c>
      <c r="AS69" s="436" t="str">
        <f t="array" ref="AS69">IF(V69=DGET(claves!$A$2:$AS423,V$2,{claves!$A$2;$E69}),1,0)</f>
        <v>#VALUE!</v>
      </c>
      <c r="AT69" s="436" t="str">
        <f t="array" ref="AT69">IF(W69=DGET(claves!$A$2:$AS423,W$2,{claves!$A$2;$E69}),1,0)</f>
        <v>#VALUE!</v>
      </c>
      <c r="AU69" s="436" t="str">
        <f t="array" ref="AU69">IF(X69=DGET(claves!$A$2:$AS423,X$2,{claves!$A$2;$E69}),1,0)</f>
        <v>#VALUE!</v>
      </c>
      <c r="AV69" s="436" t="str">
        <f t="array" ref="AV69">IF(Y69=DGET(claves!$A$2:$AS423,Y$2,{claves!$A$2;$E69}),1,0)</f>
        <v>#VALUE!</v>
      </c>
      <c r="AW69" s="436" t="str">
        <f t="array" ref="AW69">IF(Z69=DGET(claves!$A$2:$AS423,Z$2,{claves!$A$2;$E69}),1,0)</f>
        <v>#VALUE!</v>
      </c>
      <c r="AX69" s="436" t="str">
        <f t="array" ref="AX69">IF(AA69=DGET(claves!$A$2:$AS423,AA$2,{claves!$A$2;$E69}),1,0)</f>
        <v>#VALUE!</v>
      </c>
      <c r="AY69" s="436" t="str">
        <f t="array" ref="AY69">IF(AB69=DGET(claves!$A$2:$AS423,AB$2,{claves!$A$2;$E69}),1,0)</f>
        <v>#VALUE!</v>
      </c>
      <c r="AZ69" s="436" t="str">
        <f t="array" ref="AZ69">IF(AC69=DGET(claves!$A$2:$AS423,AC$2,{claves!$A$2;$E69}),1,0)</f>
        <v>#VALUE!</v>
      </c>
      <c r="BA69" s="436" t="str">
        <f t="array" ref="BA69">IF(AD69=DGET(claves!$A$2:$AS423,AD$2,{claves!$A$2;$E69}),1,0)</f>
        <v>#VALUE!</v>
      </c>
      <c r="BB69" s="436" t="str">
        <f t="array" ref="BB69">IF(AE69=DGET(claves!$A$2:$AS423,AE$2,{claves!$A$2;$E69}),1,0)</f>
        <v>#VALUE!</v>
      </c>
      <c r="BC69" s="436" t="str">
        <f t="array" ref="BC69">IF(AF69=DGET(claves!$A$2:$AS423,AF$2,{claves!$A$2;$E69}),1,0)</f>
        <v>#VALUE!</v>
      </c>
      <c r="BD69" s="437" t="str">
        <f t="shared" si="1"/>
        <v>#VALUE!</v>
      </c>
      <c r="BE69" s="435"/>
      <c r="BF69" s="415"/>
    </row>
    <row r="70" ht="14.25" customHeight="1">
      <c r="A70" s="408">
        <v>68.0</v>
      </c>
      <c r="B70" s="153" t="s">
        <v>1653</v>
      </c>
      <c r="C70" s="153">
        <v>2024.0</v>
      </c>
      <c r="D70" s="77" t="s">
        <v>1817</v>
      </c>
      <c r="E70" s="409" t="s">
        <v>1818</v>
      </c>
      <c r="F70" s="77" t="s">
        <v>1819</v>
      </c>
      <c r="G70" s="432" t="s">
        <v>15</v>
      </c>
      <c r="H70" s="433" t="s">
        <v>1666</v>
      </c>
      <c r="I70" s="433" t="s">
        <v>1667</v>
      </c>
      <c r="J70" s="433" t="s">
        <v>1668</v>
      </c>
      <c r="K70" s="432" t="s">
        <v>1665</v>
      </c>
      <c r="L70" s="415"/>
      <c r="M70" s="434" t="s">
        <v>1661</v>
      </c>
      <c r="N70" s="434" t="s">
        <v>1659</v>
      </c>
      <c r="O70" s="434" t="s">
        <v>1659</v>
      </c>
      <c r="P70" s="434" t="s">
        <v>1661</v>
      </c>
      <c r="Q70" s="434" t="s">
        <v>1660</v>
      </c>
      <c r="R70" s="434" t="s">
        <v>1661</v>
      </c>
      <c r="S70" s="434" t="s">
        <v>1659</v>
      </c>
      <c r="T70" s="434" t="s">
        <v>1661</v>
      </c>
      <c r="U70" s="434" t="s">
        <v>1660</v>
      </c>
      <c r="V70" s="434" t="s">
        <v>1660</v>
      </c>
      <c r="W70" s="434" t="s">
        <v>1661</v>
      </c>
      <c r="X70" s="434" t="s">
        <v>1659</v>
      </c>
      <c r="Y70" s="434" t="s">
        <v>1661</v>
      </c>
      <c r="Z70" s="434" t="s">
        <v>1659</v>
      </c>
      <c r="AA70" s="434" t="s">
        <v>1660</v>
      </c>
      <c r="AB70" s="434" t="s">
        <v>1659</v>
      </c>
      <c r="AC70" s="434" t="s">
        <v>1661</v>
      </c>
      <c r="AD70" s="434" t="s">
        <v>1660</v>
      </c>
      <c r="AE70" s="434" t="s">
        <v>1659</v>
      </c>
      <c r="AF70" s="434" t="s">
        <v>1659</v>
      </c>
      <c r="AG70" s="427">
        <v>16.0</v>
      </c>
      <c r="AH70" s="435" t="s">
        <v>24</v>
      </c>
      <c r="AI70" s="415"/>
      <c r="AJ70" s="436" t="str">
        <f t="array" ref="AJ70">IF(M70=DGET(claves!$A$2:$AS423,M$2,{claves!$A$2;$E70}),1,0)</f>
        <v>#VALUE!</v>
      </c>
      <c r="AK70" s="436" t="str">
        <f t="array" ref="AK70">IF(N70=DGET(claves!$A$2:$AS423,N$2,{claves!$A$2;$E70}),1,0)</f>
        <v>#VALUE!</v>
      </c>
      <c r="AL70" s="436" t="str">
        <f t="array" ref="AL70">IF(O70=DGET(claves!$A$2:$AS423,O$2,{claves!$A$2;$E70}),1,0)</f>
        <v>#VALUE!</v>
      </c>
      <c r="AM70" s="436" t="str">
        <f t="array" ref="AM70">IF(P70=DGET(claves!$A$2:$AS423,P$2,{claves!$A$2;$E70}),1,0)</f>
        <v>#VALUE!</v>
      </c>
      <c r="AN70" s="436" t="str">
        <f t="array" ref="AN70">IF(Q70=DGET(claves!$A$2:$AS423,Q$2,{claves!$A$2;$E70}),1,0)</f>
        <v>#VALUE!</v>
      </c>
      <c r="AO70" s="436" t="str">
        <f t="array" ref="AO70">IF(R70=DGET(claves!$A$2:$AS423,R$2,{claves!$A$2;$E70}),1,0)</f>
        <v>#VALUE!</v>
      </c>
      <c r="AP70" s="436" t="str">
        <f t="array" ref="AP70">IF(S70=DGET(claves!$A$2:$AS423,S$2,{claves!$A$2;$E70}),1,0)</f>
        <v>#VALUE!</v>
      </c>
      <c r="AQ70" s="436" t="str">
        <f t="array" ref="AQ70">IF(T70=DGET(claves!$A$2:$AS423,T$2,{claves!$A$2;$E70}),1,0)</f>
        <v>#VALUE!</v>
      </c>
      <c r="AR70" s="436" t="str">
        <f t="array" ref="AR70">IF(U70=DGET(claves!$A$2:$AS423,U$2,{claves!$A$2;$E70}),1,0)</f>
        <v>#VALUE!</v>
      </c>
      <c r="AS70" s="436" t="str">
        <f t="array" ref="AS70">IF(V70=DGET(claves!$A$2:$AS423,V$2,{claves!$A$2;$E70}),1,0)</f>
        <v>#VALUE!</v>
      </c>
      <c r="AT70" s="436" t="str">
        <f t="array" ref="AT70">IF(W70=DGET(claves!$A$2:$AS423,W$2,{claves!$A$2;$E70}),1,0)</f>
        <v>#VALUE!</v>
      </c>
      <c r="AU70" s="436" t="str">
        <f t="array" ref="AU70">IF(X70=DGET(claves!$A$2:$AS423,X$2,{claves!$A$2;$E70}),1,0)</f>
        <v>#VALUE!</v>
      </c>
      <c r="AV70" s="436" t="str">
        <f t="array" ref="AV70">IF(Y70=DGET(claves!$A$2:$AS423,Y$2,{claves!$A$2;$E70}),1,0)</f>
        <v>#VALUE!</v>
      </c>
      <c r="AW70" s="436" t="str">
        <f t="array" ref="AW70">IF(Z70=DGET(claves!$A$2:$AS423,Z$2,{claves!$A$2;$E70}),1,0)</f>
        <v>#VALUE!</v>
      </c>
      <c r="AX70" s="436" t="str">
        <f t="array" ref="AX70">IF(AA70=DGET(claves!$A$2:$AS423,AA$2,{claves!$A$2;$E70}),1,0)</f>
        <v>#VALUE!</v>
      </c>
      <c r="AY70" s="436" t="str">
        <f t="array" ref="AY70">IF(AB70=DGET(claves!$A$2:$AS423,AB$2,{claves!$A$2;$E70}),1,0)</f>
        <v>#VALUE!</v>
      </c>
      <c r="AZ70" s="436" t="str">
        <f t="array" ref="AZ70">IF(AC70=DGET(claves!$A$2:$AS423,AC$2,{claves!$A$2;$E70}),1,0)</f>
        <v>#VALUE!</v>
      </c>
      <c r="BA70" s="436" t="str">
        <f t="array" ref="BA70">IF(AD70=DGET(claves!$A$2:$AS423,AD$2,{claves!$A$2;$E70}),1,0)</f>
        <v>#VALUE!</v>
      </c>
      <c r="BB70" s="436" t="str">
        <f t="array" ref="BB70">IF(AE70=DGET(claves!$A$2:$AS423,AE$2,{claves!$A$2;$E70}),1,0)</f>
        <v>#VALUE!</v>
      </c>
      <c r="BC70" s="436" t="str">
        <f t="array" ref="BC70">IF(AF70=DGET(claves!$A$2:$AS423,AF$2,{claves!$A$2;$E70}),1,0)</f>
        <v>#VALUE!</v>
      </c>
      <c r="BD70" s="437" t="str">
        <f t="shared" si="1"/>
        <v>#VALUE!</v>
      </c>
      <c r="BE70" s="435"/>
      <c r="BF70" s="415"/>
    </row>
    <row r="71" ht="14.25" customHeight="1">
      <c r="A71" s="408">
        <v>69.0</v>
      </c>
      <c r="B71" s="153" t="s">
        <v>1653</v>
      </c>
      <c r="C71" s="153">
        <v>2024.0</v>
      </c>
      <c r="D71" s="77" t="s">
        <v>1817</v>
      </c>
      <c r="E71" s="409" t="s">
        <v>1818</v>
      </c>
      <c r="F71" s="77" t="s">
        <v>1819</v>
      </c>
      <c r="G71" s="432" t="s">
        <v>15</v>
      </c>
      <c r="H71" s="433" t="s">
        <v>1669</v>
      </c>
      <c r="I71" s="433" t="s">
        <v>1670</v>
      </c>
      <c r="J71" s="433" t="s">
        <v>1671</v>
      </c>
      <c r="K71" s="433" t="s">
        <v>1658</v>
      </c>
      <c r="L71" s="415"/>
      <c r="M71" s="434" t="s">
        <v>1661</v>
      </c>
      <c r="N71" s="434" t="s">
        <v>1660</v>
      </c>
      <c r="O71" s="434" t="s">
        <v>1659</v>
      </c>
      <c r="P71" s="434" t="s">
        <v>1661</v>
      </c>
      <c r="Q71" s="434" t="s">
        <v>1661</v>
      </c>
      <c r="R71" s="434" t="s">
        <v>1659</v>
      </c>
      <c r="S71" s="434" t="s">
        <v>1659</v>
      </c>
      <c r="T71" s="434" t="s">
        <v>1661</v>
      </c>
      <c r="U71" s="434" t="s">
        <v>1660</v>
      </c>
      <c r="V71" s="434" t="s">
        <v>1659</v>
      </c>
      <c r="W71" s="434" t="s">
        <v>1661</v>
      </c>
      <c r="X71" s="434" t="s">
        <v>1659</v>
      </c>
      <c r="Y71" s="434" t="s">
        <v>1660</v>
      </c>
      <c r="Z71" s="434" t="s">
        <v>1659</v>
      </c>
      <c r="AA71" s="434" t="s">
        <v>1660</v>
      </c>
      <c r="AB71" s="434" t="s">
        <v>1659</v>
      </c>
      <c r="AC71" s="434" t="s">
        <v>1661</v>
      </c>
      <c r="AD71" s="434" t="s">
        <v>1660</v>
      </c>
      <c r="AE71" s="434" t="s">
        <v>1659</v>
      </c>
      <c r="AF71" s="434" t="s">
        <v>1659</v>
      </c>
      <c r="AG71" s="427">
        <v>18.0</v>
      </c>
      <c r="AH71" s="438" t="s">
        <v>32</v>
      </c>
      <c r="AI71" s="415"/>
      <c r="AJ71" s="436" t="str">
        <f t="array" ref="AJ71">IF(M71=DGET(claves!$A$2:$AS423,M$2,{claves!$A$2;$E71}),1,0)</f>
        <v>#VALUE!</v>
      </c>
      <c r="AK71" s="436" t="str">
        <f t="array" ref="AK71">IF(N71=DGET(claves!$A$2:$AS423,N$2,{claves!$A$2;$E71}),1,0)</f>
        <v>#VALUE!</v>
      </c>
      <c r="AL71" s="436" t="str">
        <f t="array" ref="AL71">IF(O71=DGET(claves!$A$2:$AS423,O$2,{claves!$A$2;$E71}),1,0)</f>
        <v>#VALUE!</v>
      </c>
      <c r="AM71" s="436" t="str">
        <f t="array" ref="AM71">IF(P71=DGET(claves!$A$2:$AS423,P$2,{claves!$A$2;$E71}),1,0)</f>
        <v>#VALUE!</v>
      </c>
      <c r="AN71" s="436" t="str">
        <f t="array" ref="AN71">IF(Q71=DGET(claves!$A$2:$AS423,Q$2,{claves!$A$2;$E71}),1,0)</f>
        <v>#VALUE!</v>
      </c>
      <c r="AO71" s="436" t="str">
        <f t="array" ref="AO71">IF(R71=DGET(claves!$A$2:$AS423,R$2,{claves!$A$2;$E71}),1,0)</f>
        <v>#VALUE!</v>
      </c>
      <c r="AP71" s="436" t="str">
        <f t="array" ref="AP71">IF(S71=DGET(claves!$A$2:$AS423,S$2,{claves!$A$2;$E71}),1,0)</f>
        <v>#VALUE!</v>
      </c>
      <c r="AQ71" s="436" t="str">
        <f t="array" ref="AQ71">IF(T71=DGET(claves!$A$2:$AS423,T$2,{claves!$A$2;$E71}),1,0)</f>
        <v>#VALUE!</v>
      </c>
      <c r="AR71" s="436" t="str">
        <f t="array" ref="AR71">IF(U71=DGET(claves!$A$2:$AS423,U$2,{claves!$A$2;$E71}),1,0)</f>
        <v>#VALUE!</v>
      </c>
      <c r="AS71" s="436" t="str">
        <f t="array" ref="AS71">IF(V71=DGET(claves!$A$2:$AS423,V$2,{claves!$A$2;$E71}),1,0)</f>
        <v>#VALUE!</v>
      </c>
      <c r="AT71" s="436" t="str">
        <f t="array" ref="AT71">IF(W71=DGET(claves!$A$2:$AS423,W$2,{claves!$A$2;$E71}),1,0)</f>
        <v>#VALUE!</v>
      </c>
      <c r="AU71" s="436" t="str">
        <f t="array" ref="AU71">IF(X71=DGET(claves!$A$2:$AS423,X$2,{claves!$A$2;$E71}),1,0)</f>
        <v>#VALUE!</v>
      </c>
      <c r="AV71" s="436" t="str">
        <f t="array" ref="AV71">IF(Y71=DGET(claves!$A$2:$AS423,Y$2,{claves!$A$2;$E71}),1,0)</f>
        <v>#VALUE!</v>
      </c>
      <c r="AW71" s="436" t="str">
        <f t="array" ref="AW71">IF(Z71=DGET(claves!$A$2:$AS423,Z$2,{claves!$A$2;$E71}),1,0)</f>
        <v>#VALUE!</v>
      </c>
      <c r="AX71" s="436" t="str">
        <f t="array" ref="AX71">IF(AA71=DGET(claves!$A$2:$AS423,AA$2,{claves!$A$2;$E71}),1,0)</f>
        <v>#VALUE!</v>
      </c>
      <c r="AY71" s="436" t="str">
        <f t="array" ref="AY71">IF(AB71=DGET(claves!$A$2:$AS423,AB$2,{claves!$A$2;$E71}),1,0)</f>
        <v>#VALUE!</v>
      </c>
      <c r="AZ71" s="436" t="str">
        <f t="array" ref="AZ71">IF(AC71=DGET(claves!$A$2:$AS423,AC$2,{claves!$A$2;$E71}),1,0)</f>
        <v>#VALUE!</v>
      </c>
      <c r="BA71" s="436" t="str">
        <f t="array" ref="BA71">IF(AD71=DGET(claves!$A$2:$AS423,AD$2,{claves!$A$2;$E71}),1,0)</f>
        <v>#VALUE!</v>
      </c>
      <c r="BB71" s="436" t="str">
        <f t="array" ref="BB71">IF(AE71=DGET(claves!$A$2:$AS423,AE$2,{claves!$A$2;$E71}),1,0)</f>
        <v>#VALUE!</v>
      </c>
      <c r="BC71" s="436" t="str">
        <f t="array" ref="BC71">IF(AF71=DGET(claves!$A$2:$AS423,AF$2,{claves!$A$2;$E71}),1,0)</f>
        <v>#VALUE!</v>
      </c>
      <c r="BD71" s="437" t="str">
        <f t="shared" si="1"/>
        <v>#VALUE!</v>
      </c>
      <c r="BE71" s="435"/>
      <c r="BF71" s="415"/>
    </row>
    <row r="72" ht="14.25" customHeight="1">
      <c r="A72" s="408">
        <v>70.0</v>
      </c>
      <c r="B72" s="153" t="s">
        <v>1653</v>
      </c>
      <c r="C72" s="153">
        <v>2024.0</v>
      </c>
      <c r="D72" s="77" t="s">
        <v>1817</v>
      </c>
      <c r="E72" s="409" t="s">
        <v>1818</v>
      </c>
      <c r="F72" s="77" t="s">
        <v>1819</v>
      </c>
      <c r="G72" s="432" t="s">
        <v>15</v>
      </c>
      <c r="H72" s="433" t="s">
        <v>1672</v>
      </c>
      <c r="I72" s="433" t="s">
        <v>1673</v>
      </c>
      <c r="J72" s="433" t="s">
        <v>1674</v>
      </c>
      <c r="K72" s="432" t="s">
        <v>1665</v>
      </c>
      <c r="L72" s="415"/>
      <c r="M72" s="434" t="s">
        <v>1661</v>
      </c>
      <c r="N72" s="434" t="s">
        <v>1659</v>
      </c>
      <c r="O72" s="434" t="s">
        <v>1661</v>
      </c>
      <c r="P72" s="434" t="s">
        <v>1661</v>
      </c>
      <c r="Q72" s="434" t="s">
        <v>1659</v>
      </c>
      <c r="R72" s="434" t="s">
        <v>1661</v>
      </c>
      <c r="S72" s="434" t="s">
        <v>1659</v>
      </c>
      <c r="T72" s="434" t="s">
        <v>1661</v>
      </c>
      <c r="U72" s="434" t="s">
        <v>1660</v>
      </c>
      <c r="V72" s="434" t="s">
        <v>1661</v>
      </c>
      <c r="W72" s="434" t="s">
        <v>1661</v>
      </c>
      <c r="X72" s="434" t="s">
        <v>1660</v>
      </c>
      <c r="Y72" s="434" t="s">
        <v>1661</v>
      </c>
      <c r="Z72" s="434" t="s">
        <v>1659</v>
      </c>
      <c r="AA72" s="434" t="s">
        <v>1660</v>
      </c>
      <c r="AB72" s="434" t="s">
        <v>1659</v>
      </c>
      <c r="AC72" s="434" t="s">
        <v>1661</v>
      </c>
      <c r="AD72" s="434" t="s">
        <v>1660</v>
      </c>
      <c r="AE72" s="434" t="s">
        <v>1660</v>
      </c>
      <c r="AF72" s="434" t="s">
        <v>1659</v>
      </c>
      <c r="AG72" s="427">
        <v>14.0</v>
      </c>
      <c r="AH72" s="435" t="s">
        <v>24</v>
      </c>
      <c r="AI72" s="415"/>
      <c r="AJ72" s="436" t="str">
        <f t="array" ref="AJ72">IF(M72=DGET(claves!$A$2:$AS423,M$2,{claves!$A$2;$E72}),1,0)</f>
        <v>#VALUE!</v>
      </c>
      <c r="AK72" s="436" t="str">
        <f t="array" ref="AK72">IF(N72=DGET(claves!$A$2:$AS423,N$2,{claves!$A$2;$E72}),1,0)</f>
        <v>#VALUE!</v>
      </c>
      <c r="AL72" s="436" t="str">
        <f t="array" ref="AL72">IF(O72=DGET(claves!$A$2:$AS423,O$2,{claves!$A$2;$E72}),1,0)</f>
        <v>#VALUE!</v>
      </c>
      <c r="AM72" s="436" t="str">
        <f t="array" ref="AM72">IF(P72=DGET(claves!$A$2:$AS423,P$2,{claves!$A$2;$E72}),1,0)</f>
        <v>#VALUE!</v>
      </c>
      <c r="AN72" s="436" t="str">
        <f t="array" ref="AN72">IF(Q72=DGET(claves!$A$2:$AS423,Q$2,{claves!$A$2;$E72}),1,0)</f>
        <v>#VALUE!</v>
      </c>
      <c r="AO72" s="436" t="str">
        <f t="array" ref="AO72">IF(R72=DGET(claves!$A$2:$AS423,R$2,{claves!$A$2;$E72}),1,0)</f>
        <v>#VALUE!</v>
      </c>
      <c r="AP72" s="436" t="str">
        <f t="array" ref="AP72">IF(S72=DGET(claves!$A$2:$AS423,S$2,{claves!$A$2;$E72}),1,0)</f>
        <v>#VALUE!</v>
      </c>
      <c r="AQ72" s="436" t="str">
        <f t="array" ref="AQ72">IF(T72=DGET(claves!$A$2:$AS423,T$2,{claves!$A$2;$E72}),1,0)</f>
        <v>#VALUE!</v>
      </c>
      <c r="AR72" s="436" t="str">
        <f t="array" ref="AR72">IF(U72=DGET(claves!$A$2:$AS423,U$2,{claves!$A$2;$E72}),1,0)</f>
        <v>#VALUE!</v>
      </c>
      <c r="AS72" s="436" t="str">
        <f t="array" ref="AS72">IF(V72=DGET(claves!$A$2:$AS423,V$2,{claves!$A$2;$E72}),1,0)</f>
        <v>#VALUE!</v>
      </c>
      <c r="AT72" s="436" t="str">
        <f t="array" ref="AT72">IF(W72=DGET(claves!$A$2:$AS423,W$2,{claves!$A$2;$E72}),1,0)</f>
        <v>#VALUE!</v>
      </c>
      <c r="AU72" s="436" t="str">
        <f t="array" ref="AU72">IF(X72=DGET(claves!$A$2:$AS423,X$2,{claves!$A$2;$E72}),1,0)</f>
        <v>#VALUE!</v>
      </c>
      <c r="AV72" s="436" t="str">
        <f t="array" ref="AV72">IF(Y72=DGET(claves!$A$2:$AS423,Y$2,{claves!$A$2;$E72}),1,0)</f>
        <v>#VALUE!</v>
      </c>
      <c r="AW72" s="436" t="str">
        <f t="array" ref="AW72">IF(Z72=DGET(claves!$A$2:$AS423,Z$2,{claves!$A$2;$E72}),1,0)</f>
        <v>#VALUE!</v>
      </c>
      <c r="AX72" s="436" t="str">
        <f t="array" ref="AX72">IF(AA72=DGET(claves!$A$2:$AS423,AA$2,{claves!$A$2;$E72}),1,0)</f>
        <v>#VALUE!</v>
      </c>
      <c r="AY72" s="436" t="str">
        <f t="array" ref="AY72">IF(AB72=DGET(claves!$A$2:$AS423,AB$2,{claves!$A$2;$E72}),1,0)</f>
        <v>#VALUE!</v>
      </c>
      <c r="AZ72" s="436" t="str">
        <f t="array" ref="AZ72">IF(AC72=DGET(claves!$A$2:$AS423,AC$2,{claves!$A$2;$E72}),1,0)</f>
        <v>#VALUE!</v>
      </c>
      <c r="BA72" s="436" t="str">
        <f t="array" ref="BA72">IF(AD72=DGET(claves!$A$2:$AS423,AD$2,{claves!$A$2;$E72}),1,0)</f>
        <v>#VALUE!</v>
      </c>
      <c r="BB72" s="436" t="str">
        <f t="array" ref="BB72">IF(AE72=DGET(claves!$A$2:$AS423,AE$2,{claves!$A$2;$E72}),1,0)</f>
        <v>#VALUE!</v>
      </c>
      <c r="BC72" s="436" t="str">
        <f t="array" ref="BC72">IF(AF72=DGET(claves!$A$2:$AS423,AF$2,{claves!$A$2;$E72}),1,0)</f>
        <v>#VALUE!</v>
      </c>
      <c r="BD72" s="437" t="str">
        <f t="shared" si="1"/>
        <v>#VALUE!</v>
      </c>
      <c r="BE72" s="435"/>
      <c r="BF72" s="415"/>
    </row>
    <row r="73" ht="14.25" customHeight="1">
      <c r="A73" s="408">
        <v>71.0</v>
      </c>
      <c r="B73" s="153" t="s">
        <v>1653</v>
      </c>
      <c r="C73" s="153">
        <v>2024.0</v>
      </c>
      <c r="D73" s="77" t="s">
        <v>1817</v>
      </c>
      <c r="E73" s="409" t="s">
        <v>1818</v>
      </c>
      <c r="F73" s="77" t="s">
        <v>1819</v>
      </c>
      <c r="G73" s="432" t="s">
        <v>15</v>
      </c>
      <c r="H73" s="433" t="s">
        <v>1675</v>
      </c>
      <c r="I73" s="433" t="s">
        <v>1676</v>
      </c>
      <c r="J73" s="433" t="s">
        <v>1677</v>
      </c>
      <c r="K73" s="433" t="s">
        <v>1658</v>
      </c>
      <c r="L73" s="415"/>
      <c r="M73" s="434" t="s">
        <v>1661</v>
      </c>
      <c r="N73" s="434" t="s">
        <v>1659</v>
      </c>
      <c r="O73" s="434" t="s">
        <v>1659</v>
      </c>
      <c r="P73" s="434" t="s">
        <v>1661</v>
      </c>
      <c r="Q73" s="434" t="s">
        <v>1659</v>
      </c>
      <c r="R73" s="434" t="s">
        <v>1661</v>
      </c>
      <c r="S73" s="434" t="s">
        <v>1659</v>
      </c>
      <c r="T73" s="434" t="s">
        <v>1659</v>
      </c>
      <c r="U73" s="434" t="s">
        <v>1660</v>
      </c>
      <c r="V73" s="434" t="s">
        <v>1659</v>
      </c>
      <c r="W73" s="434" t="s">
        <v>1661</v>
      </c>
      <c r="X73" s="434" t="s">
        <v>1659</v>
      </c>
      <c r="Y73" s="434" t="s">
        <v>1661</v>
      </c>
      <c r="Z73" s="434" t="s">
        <v>1659</v>
      </c>
      <c r="AA73" s="434" t="s">
        <v>1661</v>
      </c>
      <c r="AB73" s="434" t="s">
        <v>1659</v>
      </c>
      <c r="AC73" s="434" t="s">
        <v>1661</v>
      </c>
      <c r="AD73" s="434" t="s">
        <v>1660</v>
      </c>
      <c r="AE73" s="434" t="s">
        <v>1661</v>
      </c>
      <c r="AF73" s="434" t="s">
        <v>1659</v>
      </c>
      <c r="AG73" s="427">
        <v>15.0</v>
      </c>
      <c r="AH73" s="435" t="s">
        <v>24</v>
      </c>
      <c r="AI73" s="415"/>
      <c r="AJ73" s="436" t="str">
        <f t="array" ref="AJ73">IF(M73=DGET(claves!$A$2:$AS423,M$2,{claves!$A$2;$E73}),1,0)</f>
        <v>#VALUE!</v>
      </c>
      <c r="AK73" s="436" t="str">
        <f t="array" ref="AK73">IF(N73=DGET(claves!$A$2:$AS423,N$2,{claves!$A$2;$E73}),1,0)</f>
        <v>#VALUE!</v>
      </c>
      <c r="AL73" s="436" t="str">
        <f t="array" ref="AL73">IF(O73=DGET(claves!$A$2:$AS423,O$2,{claves!$A$2;$E73}),1,0)</f>
        <v>#VALUE!</v>
      </c>
      <c r="AM73" s="436" t="str">
        <f t="array" ref="AM73">IF(P73=DGET(claves!$A$2:$AS423,P$2,{claves!$A$2;$E73}),1,0)</f>
        <v>#VALUE!</v>
      </c>
      <c r="AN73" s="436" t="str">
        <f t="array" ref="AN73">IF(Q73=DGET(claves!$A$2:$AS423,Q$2,{claves!$A$2;$E73}),1,0)</f>
        <v>#VALUE!</v>
      </c>
      <c r="AO73" s="436" t="str">
        <f t="array" ref="AO73">IF(R73=DGET(claves!$A$2:$AS423,R$2,{claves!$A$2;$E73}),1,0)</f>
        <v>#VALUE!</v>
      </c>
      <c r="AP73" s="436" t="str">
        <f t="array" ref="AP73">IF(S73=DGET(claves!$A$2:$AS423,S$2,{claves!$A$2;$E73}),1,0)</f>
        <v>#VALUE!</v>
      </c>
      <c r="AQ73" s="436" t="str">
        <f t="array" ref="AQ73">IF(T73=DGET(claves!$A$2:$AS423,T$2,{claves!$A$2;$E73}),1,0)</f>
        <v>#VALUE!</v>
      </c>
      <c r="AR73" s="436" t="str">
        <f t="array" ref="AR73">IF(U73=DGET(claves!$A$2:$AS423,U$2,{claves!$A$2;$E73}),1,0)</f>
        <v>#VALUE!</v>
      </c>
      <c r="AS73" s="436" t="str">
        <f t="array" ref="AS73">IF(V73=DGET(claves!$A$2:$AS423,V$2,{claves!$A$2;$E73}),1,0)</f>
        <v>#VALUE!</v>
      </c>
      <c r="AT73" s="436" t="str">
        <f t="array" ref="AT73">IF(W73=DGET(claves!$A$2:$AS423,W$2,{claves!$A$2;$E73}),1,0)</f>
        <v>#VALUE!</v>
      </c>
      <c r="AU73" s="436" t="str">
        <f t="array" ref="AU73">IF(X73=DGET(claves!$A$2:$AS423,X$2,{claves!$A$2;$E73}),1,0)</f>
        <v>#VALUE!</v>
      </c>
      <c r="AV73" s="436" t="str">
        <f t="array" ref="AV73">IF(Y73=DGET(claves!$A$2:$AS423,Y$2,{claves!$A$2;$E73}),1,0)</f>
        <v>#VALUE!</v>
      </c>
      <c r="AW73" s="436" t="str">
        <f t="array" ref="AW73">IF(Z73=DGET(claves!$A$2:$AS423,Z$2,{claves!$A$2;$E73}),1,0)</f>
        <v>#VALUE!</v>
      </c>
      <c r="AX73" s="436" t="str">
        <f t="array" ref="AX73">IF(AA73=DGET(claves!$A$2:$AS423,AA$2,{claves!$A$2;$E73}),1,0)</f>
        <v>#VALUE!</v>
      </c>
      <c r="AY73" s="436" t="str">
        <f t="array" ref="AY73">IF(AB73=DGET(claves!$A$2:$AS423,AB$2,{claves!$A$2;$E73}),1,0)</f>
        <v>#VALUE!</v>
      </c>
      <c r="AZ73" s="436" t="str">
        <f t="array" ref="AZ73">IF(AC73=DGET(claves!$A$2:$AS423,AC$2,{claves!$A$2;$E73}),1,0)</f>
        <v>#VALUE!</v>
      </c>
      <c r="BA73" s="436" t="str">
        <f t="array" ref="BA73">IF(AD73=DGET(claves!$A$2:$AS423,AD$2,{claves!$A$2;$E73}),1,0)</f>
        <v>#VALUE!</v>
      </c>
      <c r="BB73" s="436" t="str">
        <f t="array" ref="BB73">IF(AE73=DGET(claves!$A$2:$AS423,AE$2,{claves!$A$2;$E73}),1,0)</f>
        <v>#VALUE!</v>
      </c>
      <c r="BC73" s="436" t="str">
        <f t="array" ref="BC73">IF(AF73=DGET(claves!$A$2:$AS423,AF$2,{claves!$A$2;$E73}),1,0)</f>
        <v>#VALUE!</v>
      </c>
      <c r="BD73" s="437" t="str">
        <f t="shared" si="1"/>
        <v>#VALUE!</v>
      </c>
      <c r="BE73" s="435"/>
      <c r="BF73" s="415"/>
    </row>
    <row r="74" ht="14.25" customHeight="1">
      <c r="A74" s="408">
        <v>72.0</v>
      </c>
      <c r="B74" s="153" t="s">
        <v>1653</v>
      </c>
      <c r="C74" s="153">
        <v>2024.0</v>
      </c>
      <c r="D74" s="77" t="s">
        <v>1817</v>
      </c>
      <c r="E74" s="409" t="s">
        <v>1818</v>
      </c>
      <c r="F74" s="77" t="s">
        <v>1819</v>
      </c>
      <c r="G74" s="432" t="s">
        <v>15</v>
      </c>
      <c r="H74" s="433" t="s">
        <v>1670</v>
      </c>
      <c r="I74" s="433" t="s">
        <v>1678</v>
      </c>
      <c r="J74" s="433" t="s">
        <v>1679</v>
      </c>
      <c r="K74" s="432" t="s">
        <v>1665</v>
      </c>
      <c r="L74" s="415"/>
      <c r="M74" s="434" t="s">
        <v>1661</v>
      </c>
      <c r="N74" s="434" t="s">
        <v>1659</v>
      </c>
      <c r="O74" s="434" t="s">
        <v>1659</v>
      </c>
      <c r="P74" s="434" t="s">
        <v>1661</v>
      </c>
      <c r="Q74" s="434" t="s">
        <v>1660</v>
      </c>
      <c r="R74" s="434" t="s">
        <v>1661</v>
      </c>
      <c r="S74" s="434" t="s">
        <v>1659</v>
      </c>
      <c r="T74" s="434" t="s">
        <v>1661</v>
      </c>
      <c r="U74" s="434" t="s">
        <v>1660</v>
      </c>
      <c r="V74" s="434" t="s">
        <v>1659</v>
      </c>
      <c r="W74" s="434" t="s">
        <v>1661</v>
      </c>
      <c r="X74" s="434" t="s">
        <v>1659</v>
      </c>
      <c r="Y74" s="434" t="s">
        <v>1660</v>
      </c>
      <c r="Z74" s="434" t="s">
        <v>1659</v>
      </c>
      <c r="AA74" s="434" t="s">
        <v>1660</v>
      </c>
      <c r="AB74" s="434" t="s">
        <v>1659</v>
      </c>
      <c r="AC74" s="434" t="s">
        <v>1661</v>
      </c>
      <c r="AD74" s="434" t="s">
        <v>1660</v>
      </c>
      <c r="AE74" s="434" t="s">
        <v>1661</v>
      </c>
      <c r="AF74" s="434" t="s">
        <v>1659</v>
      </c>
      <c r="AG74" s="427">
        <v>17.0</v>
      </c>
      <c r="AH74" s="438" t="s">
        <v>32</v>
      </c>
      <c r="AI74" s="415"/>
      <c r="AJ74" s="436" t="str">
        <f t="array" ref="AJ74">IF(M74=DGET(claves!$A$2:$AS423,M$2,{claves!$A$2;$E74}),1,0)</f>
        <v>#VALUE!</v>
      </c>
      <c r="AK74" s="436" t="str">
        <f t="array" ref="AK74">IF(N74=DGET(claves!$A$2:$AS423,N$2,{claves!$A$2;$E74}),1,0)</f>
        <v>#VALUE!</v>
      </c>
      <c r="AL74" s="436" t="str">
        <f t="array" ref="AL74">IF(O74=DGET(claves!$A$2:$AS423,O$2,{claves!$A$2;$E74}),1,0)</f>
        <v>#VALUE!</v>
      </c>
      <c r="AM74" s="436" t="str">
        <f t="array" ref="AM74">IF(P74=DGET(claves!$A$2:$AS423,P$2,{claves!$A$2;$E74}),1,0)</f>
        <v>#VALUE!</v>
      </c>
      <c r="AN74" s="436" t="str">
        <f t="array" ref="AN74">IF(Q74=DGET(claves!$A$2:$AS423,Q$2,{claves!$A$2;$E74}),1,0)</f>
        <v>#VALUE!</v>
      </c>
      <c r="AO74" s="436" t="str">
        <f t="array" ref="AO74">IF(R74=DGET(claves!$A$2:$AS423,R$2,{claves!$A$2;$E74}),1,0)</f>
        <v>#VALUE!</v>
      </c>
      <c r="AP74" s="436" t="str">
        <f t="array" ref="AP74">IF(S74=DGET(claves!$A$2:$AS423,S$2,{claves!$A$2;$E74}),1,0)</f>
        <v>#VALUE!</v>
      </c>
      <c r="AQ74" s="436" t="str">
        <f t="array" ref="AQ74">IF(T74=DGET(claves!$A$2:$AS423,T$2,{claves!$A$2;$E74}),1,0)</f>
        <v>#VALUE!</v>
      </c>
      <c r="AR74" s="436" t="str">
        <f t="array" ref="AR74">IF(U74=DGET(claves!$A$2:$AS423,U$2,{claves!$A$2;$E74}),1,0)</f>
        <v>#VALUE!</v>
      </c>
      <c r="AS74" s="436" t="str">
        <f t="array" ref="AS74">IF(V74=DGET(claves!$A$2:$AS423,V$2,{claves!$A$2;$E74}),1,0)</f>
        <v>#VALUE!</v>
      </c>
      <c r="AT74" s="436" t="str">
        <f t="array" ref="AT74">IF(W74=DGET(claves!$A$2:$AS423,W$2,{claves!$A$2;$E74}),1,0)</f>
        <v>#VALUE!</v>
      </c>
      <c r="AU74" s="436" t="str">
        <f t="array" ref="AU74">IF(X74=DGET(claves!$A$2:$AS423,X$2,{claves!$A$2;$E74}),1,0)</f>
        <v>#VALUE!</v>
      </c>
      <c r="AV74" s="436" t="str">
        <f t="array" ref="AV74">IF(Y74=DGET(claves!$A$2:$AS423,Y$2,{claves!$A$2;$E74}),1,0)</f>
        <v>#VALUE!</v>
      </c>
      <c r="AW74" s="436" t="str">
        <f t="array" ref="AW74">IF(Z74=DGET(claves!$A$2:$AS423,Z$2,{claves!$A$2;$E74}),1,0)</f>
        <v>#VALUE!</v>
      </c>
      <c r="AX74" s="436" t="str">
        <f t="array" ref="AX74">IF(AA74=DGET(claves!$A$2:$AS423,AA$2,{claves!$A$2;$E74}),1,0)</f>
        <v>#VALUE!</v>
      </c>
      <c r="AY74" s="436" t="str">
        <f t="array" ref="AY74">IF(AB74=DGET(claves!$A$2:$AS423,AB$2,{claves!$A$2;$E74}),1,0)</f>
        <v>#VALUE!</v>
      </c>
      <c r="AZ74" s="436" t="str">
        <f t="array" ref="AZ74">IF(AC74=DGET(claves!$A$2:$AS423,AC$2,{claves!$A$2;$E74}),1,0)</f>
        <v>#VALUE!</v>
      </c>
      <c r="BA74" s="436" t="str">
        <f t="array" ref="BA74">IF(AD74=DGET(claves!$A$2:$AS423,AD$2,{claves!$A$2;$E74}),1,0)</f>
        <v>#VALUE!</v>
      </c>
      <c r="BB74" s="436" t="str">
        <f t="array" ref="BB74">IF(AE74=DGET(claves!$A$2:$AS423,AE$2,{claves!$A$2;$E74}),1,0)</f>
        <v>#VALUE!</v>
      </c>
      <c r="BC74" s="436" t="str">
        <f t="array" ref="BC74">IF(AF74=DGET(claves!$A$2:$AS423,AF$2,{claves!$A$2;$E74}),1,0)</f>
        <v>#VALUE!</v>
      </c>
      <c r="BD74" s="437" t="str">
        <f t="shared" si="1"/>
        <v>#VALUE!</v>
      </c>
      <c r="BE74" s="435"/>
      <c r="BF74" s="415"/>
    </row>
    <row r="75" ht="14.25" customHeight="1">
      <c r="A75" s="408">
        <v>73.0</v>
      </c>
      <c r="B75" s="153" t="s">
        <v>1653</v>
      </c>
      <c r="C75" s="153">
        <v>2024.0</v>
      </c>
      <c r="D75" s="77" t="s">
        <v>1817</v>
      </c>
      <c r="E75" s="409" t="s">
        <v>1818</v>
      </c>
      <c r="F75" s="77" t="s">
        <v>1819</v>
      </c>
      <c r="G75" s="432" t="s">
        <v>15</v>
      </c>
      <c r="H75" s="433" t="s">
        <v>1680</v>
      </c>
      <c r="I75" s="433" t="s">
        <v>1681</v>
      </c>
      <c r="J75" s="433" t="s">
        <v>1682</v>
      </c>
      <c r="K75" s="433" t="s">
        <v>1658</v>
      </c>
      <c r="L75" s="415"/>
      <c r="M75" s="434" t="s">
        <v>1660</v>
      </c>
      <c r="N75" s="434" t="s">
        <v>1660</v>
      </c>
      <c r="O75" s="434" t="s">
        <v>1659</v>
      </c>
      <c r="P75" s="434" t="s">
        <v>1661</v>
      </c>
      <c r="Q75" s="434" t="s">
        <v>1659</v>
      </c>
      <c r="R75" s="434" t="s">
        <v>1661</v>
      </c>
      <c r="S75" s="434" t="s">
        <v>1659</v>
      </c>
      <c r="T75" s="434" t="s">
        <v>1661</v>
      </c>
      <c r="U75" s="434" t="s">
        <v>1660</v>
      </c>
      <c r="V75" s="434" t="s">
        <v>1659</v>
      </c>
      <c r="W75" s="434" t="s">
        <v>1661</v>
      </c>
      <c r="X75" s="434" t="s">
        <v>1659</v>
      </c>
      <c r="Y75" s="434" t="s">
        <v>1661</v>
      </c>
      <c r="Z75" s="434" t="s">
        <v>1661</v>
      </c>
      <c r="AA75" s="434" t="s">
        <v>1660</v>
      </c>
      <c r="AB75" s="434" t="s">
        <v>1659</v>
      </c>
      <c r="AC75" s="434" t="s">
        <v>1661</v>
      </c>
      <c r="AD75" s="434" t="s">
        <v>1660</v>
      </c>
      <c r="AE75" s="434" t="s">
        <v>1661</v>
      </c>
      <c r="AF75" s="434" t="s">
        <v>1659</v>
      </c>
      <c r="AG75" s="427">
        <v>16.0</v>
      </c>
      <c r="AH75" s="435" t="s">
        <v>24</v>
      </c>
      <c r="AI75" s="415"/>
      <c r="AJ75" s="436" t="str">
        <f t="array" ref="AJ75">IF(M75=DGET(claves!$A$2:$AS423,M$2,{claves!$A$2;$E75}),1,0)</f>
        <v>#VALUE!</v>
      </c>
      <c r="AK75" s="436" t="str">
        <f t="array" ref="AK75">IF(N75=DGET(claves!$A$2:$AS423,N$2,{claves!$A$2;$E75}),1,0)</f>
        <v>#VALUE!</v>
      </c>
      <c r="AL75" s="436" t="str">
        <f t="array" ref="AL75">IF(O75=DGET(claves!$A$2:$AS423,O$2,{claves!$A$2;$E75}),1,0)</f>
        <v>#VALUE!</v>
      </c>
      <c r="AM75" s="436" t="str">
        <f t="array" ref="AM75">IF(P75=DGET(claves!$A$2:$AS423,P$2,{claves!$A$2;$E75}),1,0)</f>
        <v>#VALUE!</v>
      </c>
      <c r="AN75" s="436" t="str">
        <f t="array" ref="AN75">IF(Q75=DGET(claves!$A$2:$AS423,Q$2,{claves!$A$2;$E75}),1,0)</f>
        <v>#VALUE!</v>
      </c>
      <c r="AO75" s="436" t="str">
        <f t="array" ref="AO75">IF(R75=DGET(claves!$A$2:$AS423,R$2,{claves!$A$2;$E75}),1,0)</f>
        <v>#VALUE!</v>
      </c>
      <c r="AP75" s="436" t="str">
        <f t="array" ref="AP75">IF(S75=DGET(claves!$A$2:$AS423,S$2,{claves!$A$2;$E75}),1,0)</f>
        <v>#VALUE!</v>
      </c>
      <c r="AQ75" s="436" t="str">
        <f t="array" ref="AQ75">IF(T75=DGET(claves!$A$2:$AS423,T$2,{claves!$A$2;$E75}),1,0)</f>
        <v>#VALUE!</v>
      </c>
      <c r="AR75" s="436" t="str">
        <f t="array" ref="AR75">IF(U75=DGET(claves!$A$2:$AS423,U$2,{claves!$A$2;$E75}),1,0)</f>
        <v>#VALUE!</v>
      </c>
      <c r="AS75" s="436" t="str">
        <f t="array" ref="AS75">IF(V75=DGET(claves!$A$2:$AS423,V$2,{claves!$A$2;$E75}),1,0)</f>
        <v>#VALUE!</v>
      </c>
      <c r="AT75" s="436" t="str">
        <f t="array" ref="AT75">IF(W75=DGET(claves!$A$2:$AS423,W$2,{claves!$A$2;$E75}),1,0)</f>
        <v>#VALUE!</v>
      </c>
      <c r="AU75" s="436" t="str">
        <f t="array" ref="AU75">IF(X75=DGET(claves!$A$2:$AS423,X$2,{claves!$A$2;$E75}),1,0)</f>
        <v>#VALUE!</v>
      </c>
      <c r="AV75" s="436" t="str">
        <f t="array" ref="AV75">IF(Y75=DGET(claves!$A$2:$AS423,Y$2,{claves!$A$2;$E75}),1,0)</f>
        <v>#VALUE!</v>
      </c>
      <c r="AW75" s="436" t="str">
        <f t="array" ref="AW75">IF(Z75=DGET(claves!$A$2:$AS423,Z$2,{claves!$A$2;$E75}),1,0)</f>
        <v>#VALUE!</v>
      </c>
      <c r="AX75" s="436" t="str">
        <f t="array" ref="AX75">IF(AA75=DGET(claves!$A$2:$AS423,AA$2,{claves!$A$2;$E75}),1,0)</f>
        <v>#VALUE!</v>
      </c>
      <c r="AY75" s="436" t="str">
        <f t="array" ref="AY75">IF(AB75=DGET(claves!$A$2:$AS423,AB$2,{claves!$A$2;$E75}),1,0)</f>
        <v>#VALUE!</v>
      </c>
      <c r="AZ75" s="436" t="str">
        <f t="array" ref="AZ75">IF(AC75=DGET(claves!$A$2:$AS423,AC$2,{claves!$A$2;$E75}),1,0)</f>
        <v>#VALUE!</v>
      </c>
      <c r="BA75" s="436" t="str">
        <f t="array" ref="BA75">IF(AD75=DGET(claves!$A$2:$AS423,AD$2,{claves!$A$2;$E75}),1,0)</f>
        <v>#VALUE!</v>
      </c>
      <c r="BB75" s="436" t="str">
        <f t="array" ref="BB75">IF(AE75=DGET(claves!$A$2:$AS423,AE$2,{claves!$A$2;$E75}),1,0)</f>
        <v>#VALUE!</v>
      </c>
      <c r="BC75" s="436" t="str">
        <f t="array" ref="BC75">IF(AF75=DGET(claves!$A$2:$AS423,AF$2,{claves!$A$2;$E75}),1,0)</f>
        <v>#VALUE!</v>
      </c>
      <c r="BD75" s="437" t="str">
        <f t="shared" si="1"/>
        <v>#VALUE!</v>
      </c>
      <c r="BE75" s="435"/>
      <c r="BF75" s="415"/>
    </row>
    <row r="76" ht="14.25" customHeight="1">
      <c r="A76" s="408">
        <v>74.0</v>
      </c>
      <c r="B76" s="153" t="s">
        <v>1653</v>
      </c>
      <c r="C76" s="153">
        <v>2024.0</v>
      </c>
      <c r="D76" s="77" t="s">
        <v>1817</v>
      </c>
      <c r="E76" s="409" t="s">
        <v>1818</v>
      </c>
      <c r="F76" s="77" t="s">
        <v>1819</v>
      </c>
      <c r="G76" s="432" t="s">
        <v>15</v>
      </c>
      <c r="H76" s="433" t="s">
        <v>1683</v>
      </c>
      <c r="I76" s="433" t="s">
        <v>1684</v>
      </c>
      <c r="J76" s="433" t="s">
        <v>1685</v>
      </c>
      <c r="K76" s="432" t="s">
        <v>1665</v>
      </c>
      <c r="L76" s="415"/>
      <c r="M76" s="434" t="s">
        <v>1661</v>
      </c>
      <c r="N76" s="434" t="s">
        <v>1660</v>
      </c>
      <c r="O76" s="434" t="s">
        <v>1659</v>
      </c>
      <c r="P76" s="434" t="s">
        <v>1661</v>
      </c>
      <c r="Q76" s="434" t="s">
        <v>1659</v>
      </c>
      <c r="R76" s="434" t="s">
        <v>1661</v>
      </c>
      <c r="S76" s="434" t="s">
        <v>1659</v>
      </c>
      <c r="T76" s="434" t="s">
        <v>1661</v>
      </c>
      <c r="U76" s="434" t="s">
        <v>1660</v>
      </c>
      <c r="V76" s="434" t="s">
        <v>1659</v>
      </c>
      <c r="W76" s="434" t="s">
        <v>1659</v>
      </c>
      <c r="X76" s="434" t="s">
        <v>1660</v>
      </c>
      <c r="Y76" s="434" t="s">
        <v>1659</v>
      </c>
      <c r="Z76" s="434" t="s">
        <v>1661</v>
      </c>
      <c r="AA76" s="434" t="s">
        <v>1661</v>
      </c>
      <c r="AB76" s="434" t="s">
        <v>1661</v>
      </c>
      <c r="AC76" s="434" t="s">
        <v>1659</v>
      </c>
      <c r="AD76" s="434" t="s">
        <v>1660</v>
      </c>
      <c r="AE76" s="434" t="s">
        <v>1659</v>
      </c>
      <c r="AF76" s="434" t="s">
        <v>1660</v>
      </c>
      <c r="AG76" s="427">
        <v>12.0</v>
      </c>
      <c r="AH76" s="435" t="s">
        <v>24</v>
      </c>
      <c r="AI76" s="415"/>
      <c r="AJ76" s="436" t="str">
        <f t="array" ref="AJ76">IF(M76=DGET(claves!$A$2:$AS423,M$2,{claves!$A$2;$E76}),1,0)</f>
        <v>#VALUE!</v>
      </c>
      <c r="AK76" s="436" t="str">
        <f t="array" ref="AK76">IF(N76=DGET(claves!$A$2:$AS423,N$2,{claves!$A$2;$E76}),1,0)</f>
        <v>#VALUE!</v>
      </c>
      <c r="AL76" s="436" t="str">
        <f t="array" ref="AL76">IF(O76=DGET(claves!$A$2:$AS423,O$2,{claves!$A$2;$E76}),1,0)</f>
        <v>#VALUE!</v>
      </c>
      <c r="AM76" s="436" t="str">
        <f t="array" ref="AM76">IF(P76=DGET(claves!$A$2:$AS423,P$2,{claves!$A$2;$E76}),1,0)</f>
        <v>#VALUE!</v>
      </c>
      <c r="AN76" s="436" t="str">
        <f t="array" ref="AN76">IF(Q76=DGET(claves!$A$2:$AS423,Q$2,{claves!$A$2;$E76}),1,0)</f>
        <v>#VALUE!</v>
      </c>
      <c r="AO76" s="436" t="str">
        <f t="array" ref="AO76">IF(R76=DGET(claves!$A$2:$AS423,R$2,{claves!$A$2;$E76}),1,0)</f>
        <v>#VALUE!</v>
      </c>
      <c r="AP76" s="436" t="str">
        <f t="array" ref="AP76">IF(S76=DGET(claves!$A$2:$AS423,S$2,{claves!$A$2;$E76}),1,0)</f>
        <v>#VALUE!</v>
      </c>
      <c r="AQ76" s="436" t="str">
        <f t="array" ref="AQ76">IF(T76=DGET(claves!$A$2:$AS423,T$2,{claves!$A$2;$E76}),1,0)</f>
        <v>#VALUE!</v>
      </c>
      <c r="AR76" s="436" t="str">
        <f t="array" ref="AR76">IF(U76=DGET(claves!$A$2:$AS423,U$2,{claves!$A$2;$E76}),1,0)</f>
        <v>#VALUE!</v>
      </c>
      <c r="AS76" s="436" t="str">
        <f t="array" ref="AS76">IF(V76=DGET(claves!$A$2:$AS423,V$2,{claves!$A$2;$E76}),1,0)</f>
        <v>#VALUE!</v>
      </c>
      <c r="AT76" s="436" t="str">
        <f t="array" ref="AT76">IF(W76=DGET(claves!$A$2:$AS423,W$2,{claves!$A$2;$E76}),1,0)</f>
        <v>#VALUE!</v>
      </c>
      <c r="AU76" s="436" t="str">
        <f t="array" ref="AU76">IF(X76=DGET(claves!$A$2:$AS423,X$2,{claves!$A$2;$E76}),1,0)</f>
        <v>#VALUE!</v>
      </c>
      <c r="AV76" s="436" t="str">
        <f t="array" ref="AV76">IF(Y76=DGET(claves!$A$2:$AS423,Y$2,{claves!$A$2;$E76}),1,0)</f>
        <v>#VALUE!</v>
      </c>
      <c r="AW76" s="436" t="str">
        <f t="array" ref="AW76">IF(Z76=DGET(claves!$A$2:$AS423,Z$2,{claves!$A$2;$E76}),1,0)</f>
        <v>#VALUE!</v>
      </c>
      <c r="AX76" s="436" t="str">
        <f t="array" ref="AX76">IF(AA76=DGET(claves!$A$2:$AS423,AA$2,{claves!$A$2;$E76}),1,0)</f>
        <v>#VALUE!</v>
      </c>
      <c r="AY76" s="436" t="str">
        <f t="array" ref="AY76">IF(AB76=DGET(claves!$A$2:$AS423,AB$2,{claves!$A$2;$E76}),1,0)</f>
        <v>#VALUE!</v>
      </c>
      <c r="AZ76" s="436" t="str">
        <f t="array" ref="AZ76">IF(AC76=DGET(claves!$A$2:$AS423,AC$2,{claves!$A$2;$E76}),1,0)</f>
        <v>#VALUE!</v>
      </c>
      <c r="BA76" s="436" t="str">
        <f t="array" ref="BA76">IF(AD76=DGET(claves!$A$2:$AS423,AD$2,{claves!$A$2;$E76}),1,0)</f>
        <v>#VALUE!</v>
      </c>
      <c r="BB76" s="436" t="str">
        <f t="array" ref="BB76">IF(AE76=DGET(claves!$A$2:$AS423,AE$2,{claves!$A$2;$E76}),1,0)</f>
        <v>#VALUE!</v>
      </c>
      <c r="BC76" s="436" t="str">
        <f t="array" ref="BC76">IF(AF76=DGET(claves!$A$2:$AS423,AF$2,{claves!$A$2;$E76}),1,0)</f>
        <v>#VALUE!</v>
      </c>
      <c r="BD76" s="437" t="str">
        <f t="shared" si="1"/>
        <v>#VALUE!</v>
      </c>
      <c r="BE76" s="435"/>
      <c r="BF76" s="415"/>
    </row>
    <row r="77" ht="14.25" customHeight="1">
      <c r="A77" s="408">
        <v>75.0</v>
      </c>
      <c r="B77" s="153" t="s">
        <v>1653</v>
      </c>
      <c r="C77" s="153">
        <v>2024.0</v>
      </c>
      <c r="D77" s="77" t="s">
        <v>1817</v>
      </c>
      <c r="E77" s="409" t="s">
        <v>1818</v>
      </c>
      <c r="F77" s="77" t="s">
        <v>1819</v>
      </c>
      <c r="G77" s="432" t="s">
        <v>15</v>
      </c>
      <c r="H77" s="433" t="s">
        <v>1686</v>
      </c>
      <c r="I77" s="433" t="s">
        <v>1687</v>
      </c>
      <c r="J77" s="433" t="s">
        <v>1688</v>
      </c>
      <c r="K77" s="433" t="s">
        <v>1658</v>
      </c>
      <c r="L77" s="415"/>
      <c r="M77" s="434" t="s">
        <v>1661</v>
      </c>
      <c r="N77" s="434" t="s">
        <v>1660</v>
      </c>
      <c r="O77" s="434" t="s">
        <v>1659</v>
      </c>
      <c r="P77" s="434" t="s">
        <v>1661</v>
      </c>
      <c r="Q77" s="434" t="s">
        <v>1659</v>
      </c>
      <c r="R77" s="434" t="s">
        <v>1661</v>
      </c>
      <c r="S77" s="434" t="s">
        <v>1659</v>
      </c>
      <c r="T77" s="434" t="s">
        <v>1661</v>
      </c>
      <c r="U77" s="434" t="s">
        <v>1660</v>
      </c>
      <c r="V77" s="434" t="s">
        <v>1659</v>
      </c>
      <c r="W77" s="434" t="s">
        <v>1661</v>
      </c>
      <c r="X77" s="434" t="s">
        <v>1659</v>
      </c>
      <c r="Y77" s="434" t="s">
        <v>1660</v>
      </c>
      <c r="Z77" s="434" t="s">
        <v>1659</v>
      </c>
      <c r="AA77" s="434" t="s">
        <v>1659</v>
      </c>
      <c r="AB77" s="434" t="s">
        <v>1659</v>
      </c>
      <c r="AC77" s="434" t="s">
        <v>1661</v>
      </c>
      <c r="AD77" s="434" t="s">
        <v>1660</v>
      </c>
      <c r="AE77" s="434" t="s">
        <v>1660</v>
      </c>
      <c r="AF77" s="434" t="s">
        <v>1659</v>
      </c>
      <c r="AG77" s="427">
        <v>18.0</v>
      </c>
      <c r="AH77" s="438" t="s">
        <v>32</v>
      </c>
      <c r="AI77" s="415"/>
      <c r="AJ77" s="436" t="str">
        <f t="array" ref="AJ77">IF(M77=DGET(claves!$A$2:$AS423,M$2,{claves!$A$2;$E77}),1,0)</f>
        <v>#VALUE!</v>
      </c>
      <c r="AK77" s="436" t="str">
        <f t="array" ref="AK77">IF(N77=DGET(claves!$A$2:$AS423,N$2,{claves!$A$2;$E77}),1,0)</f>
        <v>#VALUE!</v>
      </c>
      <c r="AL77" s="436" t="str">
        <f t="array" ref="AL77">IF(O77=DGET(claves!$A$2:$AS423,O$2,{claves!$A$2;$E77}),1,0)</f>
        <v>#VALUE!</v>
      </c>
      <c r="AM77" s="436" t="str">
        <f t="array" ref="AM77">IF(P77=DGET(claves!$A$2:$AS423,P$2,{claves!$A$2;$E77}),1,0)</f>
        <v>#VALUE!</v>
      </c>
      <c r="AN77" s="436" t="str">
        <f t="array" ref="AN77">IF(Q77=DGET(claves!$A$2:$AS423,Q$2,{claves!$A$2;$E77}),1,0)</f>
        <v>#VALUE!</v>
      </c>
      <c r="AO77" s="436" t="str">
        <f t="array" ref="AO77">IF(R77=DGET(claves!$A$2:$AS423,R$2,{claves!$A$2;$E77}),1,0)</f>
        <v>#VALUE!</v>
      </c>
      <c r="AP77" s="436" t="str">
        <f t="array" ref="AP77">IF(S77=DGET(claves!$A$2:$AS423,S$2,{claves!$A$2;$E77}),1,0)</f>
        <v>#VALUE!</v>
      </c>
      <c r="AQ77" s="436" t="str">
        <f t="array" ref="AQ77">IF(T77=DGET(claves!$A$2:$AS423,T$2,{claves!$A$2;$E77}),1,0)</f>
        <v>#VALUE!</v>
      </c>
      <c r="AR77" s="436" t="str">
        <f t="array" ref="AR77">IF(U77=DGET(claves!$A$2:$AS423,U$2,{claves!$A$2;$E77}),1,0)</f>
        <v>#VALUE!</v>
      </c>
      <c r="AS77" s="436" t="str">
        <f t="array" ref="AS77">IF(V77=DGET(claves!$A$2:$AS423,V$2,{claves!$A$2;$E77}),1,0)</f>
        <v>#VALUE!</v>
      </c>
      <c r="AT77" s="436" t="str">
        <f t="array" ref="AT77">IF(W77=DGET(claves!$A$2:$AS423,W$2,{claves!$A$2;$E77}),1,0)</f>
        <v>#VALUE!</v>
      </c>
      <c r="AU77" s="436" t="str">
        <f t="array" ref="AU77">IF(X77=DGET(claves!$A$2:$AS423,X$2,{claves!$A$2;$E77}),1,0)</f>
        <v>#VALUE!</v>
      </c>
      <c r="AV77" s="436" t="str">
        <f t="array" ref="AV77">IF(Y77=DGET(claves!$A$2:$AS423,Y$2,{claves!$A$2;$E77}),1,0)</f>
        <v>#VALUE!</v>
      </c>
      <c r="AW77" s="436" t="str">
        <f t="array" ref="AW77">IF(Z77=DGET(claves!$A$2:$AS423,Z$2,{claves!$A$2;$E77}),1,0)</f>
        <v>#VALUE!</v>
      </c>
      <c r="AX77" s="436" t="str">
        <f t="array" ref="AX77">IF(AA77=DGET(claves!$A$2:$AS423,AA$2,{claves!$A$2;$E77}),1,0)</f>
        <v>#VALUE!</v>
      </c>
      <c r="AY77" s="436" t="str">
        <f t="array" ref="AY77">IF(AB77=DGET(claves!$A$2:$AS423,AB$2,{claves!$A$2;$E77}),1,0)</f>
        <v>#VALUE!</v>
      </c>
      <c r="AZ77" s="436" t="str">
        <f t="array" ref="AZ77">IF(AC77=DGET(claves!$A$2:$AS423,AC$2,{claves!$A$2;$E77}),1,0)</f>
        <v>#VALUE!</v>
      </c>
      <c r="BA77" s="436" t="str">
        <f t="array" ref="BA77">IF(AD77=DGET(claves!$A$2:$AS423,AD$2,{claves!$A$2;$E77}),1,0)</f>
        <v>#VALUE!</v>
      </c>
      <c r="BB77" s="436" t="str">
        <f t="array" ref="BB77">IF(AE77=DGET(claves!$A$2:$AS423,AE$2,{claves!$A$2;$E77}),1,0)</f>
        <v>#VALUE!</v>
      </c>
      <c r="BC77" s="436" t="str">
        <f t="array" ref="BC77">IF(AF77=DGET(claves!$A$2:$AS423,AF$2,{claves!$A$2;$E77}),1,0)</f>
        <v>#VALUE!</v>
      </c>
      <c r="BD77" s="437" t="str">
        <f t="shared" si="1"/>
        <v>#VALUE!</v>
      </c>
      <c r="BE77" s="435"/>
      <c r="BF77" s="415"/>
    </row>
    <row r="78" ht="14.25" customHeight="1">
      <c r="A78" s="408">
        <v>76.0</v>
      </c>
      <c r="B78" s="153" t="s">
        <v>1653</v>
      </c>
      <c r="C78" s="153">
        <v>2024.0</v>
      </c>
      <c r="D78" s="77" t="s">
        <v>1817</v>
      </c>
      <c r="E78" s="409" t="s">
        <v>1818</v>
      </c>
      <c r="F78" s="77" t="s">
        <v>1819</v>
      </c>
      <c r="G78" s="432" t="s">
        <v>15</v>
      </c>
      <c r="H78" s="433" t="s">
        <v>1690</v>
      </c>
      <c r="I78" s="433" t="s">
        <v>1691</v>
      </c>
      <c r="J78" s="433" t="s">
        <v>1692</v>
      </c>
      <c r="K78" s="432" t="s">
        <v>1665</v>
      </c>
      <c r="L78" s="415"/>
      <c r="M78" s="434" t="s">
        <v>1661</v>
      </c>
      <c r="N78" s="434" t="s">
        <v>1661</v>
      </c>
      <c r="O78" s="434" t="s">
        <v>1659</v>
      </c>
      <c r="P78" s="434" t="s">
        <v>1661</v>
      </c>
      <c r="Q78" s="434" t="s">
        <v>1659</v>
      </c>
      <c r="R78" s="434" t="s">
        <v>1661</v>
      </c>
      <c r="S78" s="434" t="s">
        <v>1659</v>
      </c>
      <c r="T78" s="434" t="s">
        <v>1661</v>
      </c>
      <c r="U78" s="434" t="s">
        <v>1660</v>
      </c>
      <c r="V78" s="434" t="s">
        <v>1660</v>
      </c>
      <c r="W78" s="434" t="s">
        <v>1659</v>
      </c>
      <c r="X78" s="434" t="s">
        <v>1661</v>
      </c>
      <c r="Y78" s="434"/>
      <c r="Z78" s="434" t="s">
        <v>1659</v>
      </c>
      <c r="AA78" s="434" t="s">
        <v>1660</v>
      </c>
      <c r="AB78" s="434" t="s">
        <v>1659</v>
      </c>
      <c r="AC78" s="434" t="s">
        <v>1661</v>
      </c>
      <c r="AD78" s="434" t="s">
        <v>1660</v>
      </c>
      <c r="AE78" s="434" t="s">
        <v>1660</v>
      </c>
      <c r="AF78" s="434" t="s">
        <v>1659</v>
      </c>
      <c r="AG78" s="427">
        <v>14.0</v>
      </c>
      <c r="AH78" s="435" t="s">
        <v>24</v>
      </c>
      <c r="AI78" s="415"/>
      <c r="AJ78" s="436" t="str">
        <f t="array" ref="AJ78">IF(M78=DGET(claves!$A$2:$AS423,M$2,{claves!$A$2;$E78}),1,0)</f>
        <v>#VALUE!</v>
      </c>
      <c r="AK78" s="436" t="str">
        <f t="array" ref="AK78">IF(N78=DGET(claves!$A$2:$AS423,N$2,{claves!$A$2;$E78}),1,0)</f>
        <v>#VALUE!</v>
      </c>
      <c r="AL78" s="436" t="str">
        <f t="array" ref="AL78">IF(O78=DGET(claves!$A$2:$AS423,O$2,{claves!$A$2;$E78}),1,0)</f>
        <v>#VALUE!</v>
      </c>
      <c r="AM78" s="436" t="str">
        <f t="array" ref="AM78">IF(P78=DGET(claves!$A$2:$AS423,P$2,{claves!$A$2;$E78}),1,0)</f>
        <v>#VALUE!</v>
      </c>
      <c r="AN78" s="436" t="str">
        <f t="array" ref="AN78">IF(Q78=DGET(claves!$A$2:$AS423,Q$2,{claves!$A$2;$E78}),1,0)</f>
        <v>#VALUE!</v>
      </c>
      <c r="AO78" s="436" t="str">
        <f t="array" ref="AO78">IF(R78=DGET(claves!$A$2:$AS423,R$2,{claves!$A$2;$E78}),1,0)</f>
        <v>#VALUE!</v>
      </c>
      <c r="AP78" s="436" t="str">
        <f t="array" ref="AP78">IF(S78=DGET(claves!$A$2:$AS423,S$2,{claves!$A$2;$E78}),1,0)</f>
        <v>#VALUE!</v>
      </c>
      <c r="AQ78" s="436" t="str">
        <f t="array" ref="AQ78">IF(T78=DGET(claves!$A$2:$AS423,T$2,{claves!$A$2;$E78}),1,0)</f>
        <v>#VALUE!</v>
      </c>
      <c r="AR78" s="436" t="str">
        <f t="array" ref="AR78">IF(U78=DGET(claves!$A$2:$AS423,U$2,{claves!$A$2;$E78}),1,0)</f>
        <v>#VALUE!</v>
      </c>
      <c r="AS78" s="436" t="str">
        <f t="array" ref="AS78">IF(V78=DGET(claves!$A$2:$AS423,V$2,{claves!$A$2;$E78}),1,0)</f>
        <v>#VALUE!</v>
      </c>
      <c r="AT78" s="436" t="str">
        <f t="array" ref="AT78">IF(W78=DGET(claves!$A$2:$AS423,W$2,{claves!$A$2;$E78}),1,0)</f>
        <v>#VALUE!</v>
      </c>
      <c r="AU78" s="436" t="str">
        <f t="array" ref="AU78">IF(X78=DGET(claves!$A$2:$AS423,X$2,{claves!$A$2;$E78}),1,0)</f>
        <v>#VALUE!</v>
      </c>
      <c r="AV78" s="436" t="str">
        <f t="array" ref="AV78">IF(Y78=DGET(claves!$A$2:$AS423,Y$2,{claves!$A$2;$E78}),1,0)</f>
        <v>#VALUE!</v>
      </c>
      <c r="AW78" s="436" t="str">
        <f t="array" ref="AW78">IF(Z78=DGET(claves!$A$2:$AS423,Z$2,{claves!$A$2;$E78}),1,0)</f>
        <v>#VALUE!</v>
      </c>
      <c r="AX78" s="436" t="str">
        <f t="array" ref="AX78">IF(AA78=DGET(claves!$A$2:$AS423,AA$2,{claves!$A$2;$E78}),1,0)</f>
        <v>#VALUE!</v>
      </c>
      <c r="AY78" s="436" t="str">
        <f t="array" ref="AY78">IF(AB78=DGET(claves!$A$2:$AS423,AB$2,{claves!$A$2;$E78}),1,0)</f>
        <v>#VALUE!</v>
      </c>
      <c r="AZ78" s="436" t="str">
        <f t="array" ref="AZ78">IF(AC78=DGET(claves!$A$2:$AS423,AC$2,{claves!$A$2;$E78}),1,0)</f>
        <v>#VALUE!</v>
      </c>
      <c r="BA78" s="436" t="str">
        <f t="array" ref="BA78">IF(AD78=DGET(claves!$A$2:$AS423,AD$2,{claves!$A$2;$E78}),1,0)</f>
        <v>#VALUE!</v>
      </c>
      <c r="BB78" s="436" t="str">
        <f t="array" ref="BB78">IF(AE78=DGET(claves!$A$2:$AS423,AE$2,{claves!$A$2;$E78}),1,0)</f>
        <v>#VALUE!</v>
      </c>
      <c r="BC78" s="436" t="str">
        <f t="array" ref="BC78">IF(AF78=DGET(claves!$A$2:$AS423,AF$2,{claves!$A$2;$E78}),1,0)</f>
        <v>#VALUE!</v>
      </c>
      <c r="BD78" s="437" t="str">
        <f t="shared" si="1"/>
        <v>#VALUE!</v>
      </c>
      <c r="BE78" s="435"/>
      <c r="BF78" s="415"/>
    </row>
    <row r="79" ht="14.25" customHeight="1">
      <c r="A79" s="408">
        <v>77.0</v>
      </c>
      <c r="B79" s="153" t="s">
        <v>1653</v>
      </c>
      <c r="C79" s="153">
        <v>2024.0</v>
      </c>
      <c r="D79" s="77" t="s">
        <v>1817</v>
      </c>
      <c r="E79" s="409" t="s">
        <v>1818</v>
      </c>
      <c r="F79" s="77" t="s">
        <v>1819</v>
      </c>
      <c r="G79" s="432" t="s">
        <v>15</v>
      </c>
      <c r="H79" s="433" t="s">
        <v>1693</v>
      </c>
      <c r="I79" s="433" t="s">
        <v>1694</v>
      </c>
      <c r="J79" s="433" t="s">
        <v>1695</v>
      </c>
      <c r="K79" s="433" t="s">
        <v>1658</v>
      </c>
      <c r="L79" s="415"/>
      <c r="M79" s="434"/>
      <c r="N79" s="434"/>
      <c r="O79" s="434"/>
      <c r="P79" s="434"/>
      <c r="Q79" s="434"/>
      <c r="R79" s="434"/>
      <c r="S79" s="434"/>
      <c r="T79" s="434"/>
      <c r="U79" s="434"/>
      <c r="V79" s="434"/>
      <c r="W79" s="434"/>
      <c r="X79" s="434"/>
      <c r="Y79" s="434"/>
      <c r="Z79" s="434"/>
      <c r="AA79" s="434"/>
      <c r="AB79" s="434"/>
      <c r="AC79" s="434"/>
      <c r="AD79" s="434"/>
      <c r="AE79" s="434"/>
      <c r="AF79" s="434"/>
      <c r="AG79" s="427">
        <v>0.0</v>
      </c>
      <c r="AH79" s="435" t="s">
        <v>1468</v>
      </c>
      <c r="AI79" s="415"/>
      <c r="AJ79" s="436" t="str">
        <f t="array" ref="AJ79">IF(M79=DGET(claves!$A$2:$AS423,M$2,{claves!$A$2;$E79}),1,0)</f>
        <v>#VALUE!</v>
      </c>
      <c r="AK79" s="436" t="str">
        <f t="array" ref="AK79">IF(N79=DGET(claves!$A$2:$AS423,N$2,{claves!$A$2;$E79}),1,0)</f>
        <v>#VALUE!</v>
      </c>
      <c r="AL79" s="436" t="str">
        <f t="array" ref="AL79">IF(O79=DGET(claves!$A$2:$AS423,O$2,{claves!$A$2;$E79}),1,0)</f>
        <v>#VALUE!</v>
      </c>
      <c r="AM79" s="436" t="str">
        <f t="array" ref="AM79">IF(P79=DGET(claves!$A$2:$AS423,P$2,{claves!$A$2;$E79}),1,0)</f>
        <v>#VALUE!</v>
      </c>
      <c r="AN79" s="436" t="str">
        <f t="array" ref="AN79">IF(Q79=DGET(claves!$A$2:$AS423,Q$2,{claves!$A$2;$E79}),1,0)</f>
        <v>#VALUE!</v>
      </c>
      <c r="AO79" s="436" t="str">
        <f t="array" ref="AO79">IF(R79=DGET(claves!$A$2:$AS423,R$2,{claves!$A$2;$E79}),1,0)</f>
        <v>#VALUE!</v>
      </c>
      <c r="AP79" s="436" t="str">
        <f t="array" ref="AP79">IF(S79=DGET(claves!$A$2:$AS423,S$2,{claves!$A$2;$E79}),1,0)</f>
        <v>#VALUE!</v>
      </c>
      <c r="AQ79" s="436" t="str">
        <f t="array" ref="AQ79">IF(T79=DGET(claves!$A$2:$AS423,T$2,{claves!$A$2;$E79}),1,0)</f>
        <v>#VALUE!</v>
      </c>
      <c r="AR79" s="436" t="str">
        <f t="array" ref="AR79">IF(U79=DGET(claves!$A$2:$AS423,U$2,{claves!$A$2;$E79}),1,0)</f>
        <v>#VALUE!</v>
      </c>
      <c r="AS79" s="436" t="str">
        <f t="array" ref="AS79">IF(V79=DGET(claves!$A$2:$AS423,V$2,{claves!$A$2;$E79}),1,0)</f>
        <v>#VALUE!</v>
      </c>
      <c r="AT79" s="436" t="str">
        <f t="array" ref="AT79">IF(W79=DGET(claves!$A$2:$AS423,W$2,{claves!$A$2;$E79}),1,0)</f>
        <v>#VALUE!</v>
      </c>
      <c r="AU79" s="436" t="str">
        <f t="array" ref="AU79">IF(X79=DGET(claves!$A$2:$AS423,X$2,{claves!$A$2;$E79}),1,0)</f>
        <v>#VALUE!</v>
      </c>
      <c r="AV79" s="436" t="str">
        <f t="array" ref="AV79">IF(Y79=DGET(claves!$A$2:$AS423,Y$2,{claves!$A$2;$E79}),1,0)</f>
        <v>#VALUE!</v>
      </c>
      <c r="AW79" s="436" t="str">
        <f t="array" ref="AW79">IF(Z79=DGET(claves!$A$2:$AS423,Z$2,{claves!$A$2;$E79}),1,0)</f>
        <v>#VALUE!</v>
      </c>
      <c r="AX79" s="436" t="str">
        <f t="array" ref="AX79">IF(AA79=DGET(claves!$A$2:$AS423,AA$2,{claves!$A$2;$E79}),1,0)</f>
        <v>#VALUE!</v>
      </c>
      <c r="AY79" s="436" t="str">
        <f t="array" ref="AY79">IF(AB79=DGET(claves!$A$2:$AS423,AB$2,{claves!$A$2;$E79}),1,0)</f>
        <v>#VALUE!</v>
      </c>
      <c r="AZ79" s="436" t="str">
        <f t="array" ref="AZ79">IF(AC79=DGET(claves!$A$2:$AS423,AC$2,{claves!$A$2;$E79}),1,0)</f>
        <v>#VALUE!</v>
      </c>
      <c r="BA79" s="436" t="str">
        <f t="array" ref="BA79">IF(AD79=DGET(claves!$A$2:$AS423,AD$2,{claves!$A$2;$E79}),1,0)</f>
        <v>#VALUE!</v>
      </c>
      <c r="BB79" s="436" t="str">
        <f t="array" ref="BB79">IF(AE79=DGET(claves!$A$2:$AS423,AE$2,{claves!$A$2;$E79}),1,0)</f>
        <v>#VALUE!</v>
      </c>
      <c r="BC79" s="436" t="str">
        <f t="array" ref="BC79">IF(AF79=DGET(claves!$A$2:$AS423,AF$2,{claves!$A$2;$E79}),1,0)</f>
        <v>#VALUE!</v>
      </c>
      <c r="BD79" s="437" t="str">
        <f t="shared" si="1"/>
        <v>#VALUE!</v>
      </c>
      <c r="BE79" s="435"/>
      <c r="BF79" s="415"/>
    </row>
    <row r="80" ht="14.25" customHeight="1">
      <c r="A80" s="408">
        <v>78.0</v>
      </c>
      <c r="B80" s="153" t="s">
        <v>1653</v>
      </c>
      <c r="C80" s="153">
        <v>2024.0</v>
      </c>
      <c r="D80" s="77" t="s">
        <v>1817</v>
      </c>
      <c r="E80" s="409" t="s">
        <v>1818</v>
      </c>
      <c r="F80" s="77" t="s">
        <v>1819</v>
      </c>
      <c r="G80" s="432" t="s">
        <v>15</v>
      </c>
      <c r="H80" s="433" t="s">
        <v>1696</v>
      </c>
      <c r="I80" s="433" t="s">
        <v>1697</v>
      </c>
      <c r="J80" s="433" t="s">
        <v>1698</v>
      </c>
      <c r="K80" s="432" t="s">
        <v>1665</v>
      </c>
      <c r="L80" s="415"/>
      <c r="M80" s="434" t="s">
        <v>1661</v>
      </c>
      <c r="N80" s="434" t="s">
        <v>1660</v>
      </c>
      <c r="O80" s="434" t="s">
        <v>1659</v>
      </c>
      <c r="P80" s="434" t="s">
        <v>1661</v>
      </c>
      <c r="Q80" s="434" t="s">
        <v>1659</v>
      </c>
      <c r="R80" s="434" t="s">
        <v>1661</v>
      </c>
      <c r="S80" s="434" t="s">
        <v>1659</v>
      </c>
      <c r="T80" s="434" t="s">
        <v>1661</v>
      </c>
      <c r="U80" s="434" t="s">
        <v>1660</v>
      </c>
      <c r="V80" s="434" t="s">
        <v>1660</v>
      </c>
      <c r="W80" s="434" t="s">
        <v>1661</v>
      </c>
      <c r="X80" s="434" t="s">
        <v>1659</v>
      </c>
      <c r="Y80" s="434" t="s">
        <v>1660</v>
      </c>
      <c r="Z80" s="434" t="s">
        <v>1659</v>
      </c>
      <c r="AA80" s="434" t="s">
        <v>1659</v>
      </c>
      <c r="AB80" s="434" t="s">
        <v>1661</v>
      </c>
      <c r="AC80" s="434" t="s">
        <v>1660</v>
      </c>
      <c r="AD80" s="434" t="s">
        <v>1661</v>
      </c>
      <c r="AE80" s="434" t="s">
        <v>1661</v>
      </c>
      <c r="AF80" s="434" t="s">
        <v>1659</v>
      </c>
      <c r="AG80" s="427">
        <v>14.0</v>
      </c>
      <c r="AH80" s="435" t="s">
        <v>24</v>
      </c>
      <c r="AI80" s="415"/>
      <c r="AJ80" s="436" t="str">
        <f t="array" ref="AJ80">IF(M80=DGET(claves!$A$2:$AS423,M$2,{claves!$A$2;$E80}),1,0)</f>
        <v>#VALUE!</v>
      </c>
      <c r="AK80" s="436" t="str">
        <f t="array" ref="AK80">IF(N80=DGET(claves!$A$2:$AS423,N$2,{claves!$A$2;$E80}),1,0)</f>
        <v>#VALUE!</v>
      </c>
      <c r="AL80" s="436" t="str">
        <f t="array" ref="AL80">IF(O80=DGET(claves!$A$2:$AS423,O$2,{claves!$A$2;$E80}),1,0)</f>
        <v>#VALUE!</v>
      </c>
      <c r="AM80" s="436" t="str">
        <f t="array" ref="AM80">IF(P80=DGET(claves!$A$2:$AS423,P$2,{claves!$A$2;$E80}),1,0)</f>
        <v>#VALUE!</v>
      </c>
      <c r="AN80" s="436" t="str">
        <f t="array" ref="AN80">IF(Q80=DGET(claves!$A$2:$AS423,Q$2,{claves!$A$2;$E80}),1,0)</f>
        <v>#VALUE!</v>
      </c>
      <c r="AO80" s="436" t="str">
        <f t="array" ref="AO80">IF(R80=DGET(claves!$A$2:$AS423,R$2,{claves!$A$2;$E80}),1,0)</f>
        <v>#VALUE!</v>
      </c>
      <c r="AP80" s="436" t="str">
        <f t="array" ref="AP80">IF(S80=DGET(claves!$A$2:$AS423,S$2,{claves!$A$2;$E80}),1,0)</f>
        <v>#VALUE!</v>
      </c>
      <c r="AQ80" s="436" t="str">
        <f t="array" ref="AQ80">IF(T80=DGET(claves!$A$2:$AS423,T$2,{claves!$A$2;$E80}),1,0)</f>
        <v>#VALUE!</v>
      </c>
      <c r="AR80" s="436" t="str">
        <f t="array" ref="AR80">IF(U80=DGET(claves!$A$2:$AS423,U$2,{claves!$A$2;$E80}),1,0)</f>
        <v>#VALUE!</v>
      </c>
      <c r="AS80" s="436" t="str">
        <f t="array" ref="AS80">IF(V80=DGET(claves!$A$2:$AS423,V$2,{claves!$A$2;$E80}),1,0)</f>
        <v>#VALUE!</v>
      </c>
      <c r="AT80" s="436" t="str">
        <f t="array" ref="AT80">IF(W80=DGET(claves!$A$2:$AS423,W$2,{claves!$A$2;$E80}),1,0)</f>
        <v>#VALUE!</v>
      </c>
      <c r="AU80" s="436" t="str">
        <f t="array" ref="AU80">IF(X80=DGET(claves!$A$2:$AS423,X$2,{claves!$A$2;$E80}),1,0)</f>
        <v>#VALUE!</v>
      </c>
      <c r="AV80" s="436" t="str">
        <f t="array" ref="AV80">IF(Y80=DGET(claves!$A$2:$AS423,Y$2,{claves!$A$2;$E80}),1,0)</f>
        <v>#VALUE!</v>
      </c>
      <c r="AW80" s="436" t="str">
        <f t="array" ref="AW80">IF(Z80=DGET(claves!$A$2:$AS423,Z$2,{claves!$A$2;$E80}),1,0)</f>
        <v>#VALUE!</v>
      </c>
      <c r="AX80" s="436" t="str">
        <f t="array" ref="AX80">IF(AA80=DGET(claves!$A$2:$AS423,AA$2,{claves!$A$2;$E80}),1,0)</f>
        <v>#VALUE!</v>
      </c>
      <c r="AY80" s="436" t="str">
        <f t="array" ref="AY80">IF(AB80=DGET(claves!$A$2:$AS423,AB$2,{claves!$A$2;$E80}),1,0)</f>
        <v>#VALUE!</v>
      </c>
      <c r="AZ80" s="436" t="str">
        <f t="array" ref="AZ80">IF(AC80=DGET(claves!$A$2:$AS423,AC$2,{claves!$A$2;$E80}),1,0)</f>
        <v>#VALUE!</v>
      </c>
      <c r="BA80" s="436" t="str">
        <f t="array" ref="BA80">IF(AD80=DGET(claves!$A$2:$AS423,AD$2,{claves!$A$2;$E80}),1,0)</f>
        <v>#VALUE!</v>
      </c>
      <c r="BB80" s="436" t="str">
        <f t="array" ref="BB80">IF(AE80=DGET(claves!$A$2:$AS423,AE$2,{claves!$A$2;$E80}),1,0)</f>
        <v>#VALUE!</v>
      </c>
      <c r="BC80" s="436" t="str">
        <f t="array" ref="BC80">IF(AF80=DGET(claves!$A$2:$AS423,AF$2,{claves!$A$2;$E80}),1,0)</f>
        <v>#VALUE!</v>
      </c>
      <c r="BD80" s="437" t="str">
        <f t="shared" si="1"/>
        <v>#VALUE!</v>
      </c>
      <c r="BE80" s="435"/>
      <c r="BF80" s="415"/>
    </row>
    <row r="81" ht="14.25" customHeight="1">
      <c r="A81" s="408">
        <v>79.0</v>
      </c>
      <c r="B81" s="153" t="s">
        <v>1653</v>
      </c>
      <c r="C81" s="153">
        <v>2024.0</v>
      </c>
      <c r="D81" s="77" t="s">
        <v>1817</v>
      </c>
      <c r="E81" s="409" t="s">
        <v>1818</v>
      </c>
      <c r="F81" s="77" t="s">
        <v>1819</v>
      </c>
      <c r="G81" s="432" t="s">
        <v>15</v>
      </c>
      <c r="H81" s="433" t="s">
        <v>1699</v>
      </c>
      <c r="I81" s="433" t="s">
        <v>1684</v>
      </c>
      <c r="J81" s="433" t="s">
        <v>1700</v>
      </c>
      <c r="K81" s="433" t="s">
        <v>1658</v>
      </c>
      <c r="L81" s="415"/>
      <c r="M81" s="434" t="s">
        <v>1660</v>
      </c>
      <c r="N81" s="434" t="s">
        <v>1659</v>
      </c>
      <c r="O81" s="434" t="s">
        <v>1659</v>
      </c>
      <c r="P81" s="434" t="s">
        <v>1660</v>
      </c>
      <c r="Q81" s="434" t="s">
        <v>1659</v>
      </c>
      <c r="R81" s="434" t="s">
        <v>1659</v>
      </c>
      <c r="S81" s="434" t="s">
        <v>1660</v>
      </c>
      <c r="T81" s="434" t="s">
        <v>1659</v>
      </c>
      <c r="U81" s="434" t="s">
        <v>1659</v>
      </c>
      <c r="V81" s="434" t="s">
        <v>1659</v>
      </c>
      <c r="W81" s="434" t="s">
        <v>1661</v>
      </c>
      <c r="X81" s="434" t="s">
        <v>1661</v>
      </c>
      <c r="Y81" s="434" t="s">
        <v>1661</v>
      </c>
      <c r="Z81" s="434" t="s">
        <v>1659</v>
      </c>
      <c r="AA81" s="434" t="s">
        <v>1660</v>
      </c>
      <c r="AB81" s="434" t="s">
        <v>1659</v>
      </c>
      <c r="AC81" s="434" t="s">
        <v>1659</v>
      </c>
      <c r="AD81" s="434" t="s">
        <v>1661</v>
      </c>
      <c r="AE81" s="434" t="s">
        <v>1659</v>
      </c>
      <c r="AF81" s="434" t="s">
        <v>1659</v>
      </c>
      <c r="AG81" s="427">
        <v>9.0</v>
      </c>
      <c r="AH81" s="435" t="s">
        <v>18</v>
      </c>
      <c r="AI81" s="415"/>
      <c r="AJ81" s="436" t="str">
        <f t="array" ref="AJ81">IF(M81=DGET(claves!$A$2:$AS423,M$2,{claves!$A$2;$E81}),1,0)</f>
        <v>#VALUE!</v>
      </c>
      <c r="AK81" s="436" t="str">
        <f t="array" ref="AK81">IF(N81=DGET(claves!$A$2:$AS423,N$2,{claves!$A$2;$E81}),1,0)</f>
        <v>#VALUE!</v>
      </c>
      <c r="AL81" s="436" t="str">
        <f t="array" ref="AL81">IF(O81=DGET(claves!$A$2:$AS423,O$2,{claves!$A$2;$E81}),1,0)</f>
        <v>#VALUE!</v>
      </c>
      <c r="AM81" s="436" t="str">
        <f t="array" ref="AM81">IF(P81=DGET(claves!$A$2:$AS423,P$2,{claves!$A$2;$E81}),1,0)</f>
        <v>#VALUE!</v>
      </c>
      <c r="AN81" s="436" t="str">
        <f t="array" ref="AN81">IF(Q81=DGET(claves!$A$2:$AS423,Q$2,{claves!$A$2;$E81}),1,0)</f>
        <v>#VALUE!</v>
      </c>
      <c r="AO81" s="436" t="str">
        <f t="array" ref="AO81">IF(R81=DGET(claves!$A$2:$AS423,R$2,{claves!$A$2;$E81}),1,0)</f>
        <v>#VALUE!</v>
      </c>
      <c r="AP81" s="436" t="str">
        <f t="array" ref="AP81">IF(S81=DGET(claves!$A$2:$AS423,S$2,{claves!$A$2;$E81}),1,0)</f>
        <v>#VALUE!</v>
      </c>
      <c r="AQ81" s="436" t="str">
        <f t="array" ref="AQ81">IF(T81=DGET(claves!$A$2:$AS423,T$2,{claves!$A$2;$E81}),1,0)</f>
        <v>#VALUE!</v>
      </c>
      <c r="AR81" s="436" t="str">
        <f t="array" ref="AR81">IF(U81=DGET(claves!$A$2:$AS423,U$2,{claves!$A$2;$E81}),1,0)</f>
        <v>#VALUE!</v>
      </c>
      <c r="AS81" s="436" t="str">
        <f t="array" ref="AS81">IF(V81=DGET(claves!$A$2:$AS423,V$2,{claves!$A$2;$E81}),1,0)</f>
        <v>#VALUE!</v>
      </c>
      <c r="AT81" s="436" t="str">
        <f t="array" ref="AT81">IF(W81=DGET(claves!$A$2:$AS423,W$2,{claves!$A$2;$E81}),1,0)</f>
        <v>#VALUE!</v>
      </c>
      <c r="AU81" s="436" t="str">
        <f t="array" ref="AU81">IF(X81=DGET(claves!$A$2:$AS423,X$2,{claves!$A$2;$E81}),1,0)</f>
        <v>#VALUE!</v>
      </c>
      <c r="AV81" s="436" t="str">
        <f t="array" ref="AV81">IF(Y81=DGET(claves!$A$2:$AS423,Y$2,{claves!$A$2;$E81}),1,0)</f>
        <v>#VALUE!</v>
      </c>
      <c r="AW81" s="436" t="str">
        <f t="array" ref="AW81">IF(Z81=DGET(claves!$A$2:$AS423,Z$2,{claves!$A$2;$E81}),1,0)</f>
        <v>#VALUE!</v>
      </c>
      <c r="AX81" s="436" t="str">
        <f t="array" ref="AX81">IF(AA81=DGET(claves!$A$2:$AS423,AA$2,{claves!$A$2;$E81}),1,0)</f>
        <v>#VALUE!</v>
      </c>
      <c r="AY81" s="436" t="str">
        <f t="array" ref="AY81">IF(AB81=DGET(claves!$A$2:$AS423,AB$2,{claves!$A$2;$E81}),1,0)</f>
        <v>#VALUE!</v>
      </c>
      <c r="AZ81" s="436" t="str">
        <f t="array" ref="AZ81">IF(AC81=DGET(claves!$A$2:$AS423,AC$2,{claves!$A$2;$E81}),1,0)</f>
        <v>#VALUE!</v>
      </c>
      <c r="BA81" s="436" t="str">
        <f t="array" ref="BA81">IF(AD81=DGET(claves!$A$2:$AS423,AD$2,{claves!$A$2;$E81}),1,0)</f>
        <v>#VALUE!</v>
      </c>
      <c r="BB81" s="436" t="str">
        <f t="array" ref="BB81">IF(AE81=DGET(claves!$A$2:$AS423,AE$2,{claves!$A$2;$E81}),1,0)</f>
        <v>#VALUE!</v>
      </c>
      <c r="BC81" s="436" t="str">
        <f t="array" ref="BC81">IF(AF81=DGET(claves!$A$2:$AS423,AF$2,{claves!$A$2;$E81}),1,0)</f>
        <v>#VALUE!</v>
      </c>
      <c r="BD81" s="437" t="str">
        <f t="shared" si="1"/>
        <v>#VALUE!</v>
      </c>
      <c r="BE81" s="435"/>
      <c r="BF81" s="415"/>
    </row>
    <row r="82" ht="14.25" customHeight="1">
      <c r="A82" s="408">
        <v>80.0</v>
      </c>
      <c r="B82" s="153" t="s">
        <v>1653</v>
      </c>
      <c r="C82" s="153">
        <v>2024.0</v>
      </c>
      <c r="D82" s="77" t="s">
        <v>1817</v>
      </c>
      <c r="E82" s="409" t="s">
        <v>1818</v>
      </c>
      <c r="F82" s="77" t="s">
        <v>1819</v>
      </c>
      <c r="G82" s="432" t="s">
        <v>15</v>
      </c>
      <c r="H82" s="433" t="s">
        <v>1701</v>
      </c>
      <c r="I82" s="433" t="s">
        <v>1684</v>
      </c>
      <c r="J82" s="433" t="s">
        <v>1702</v>
      </c>
      <c r="K82" s="432" t="s">
        <v>1665</v>
      </c>
      <c r="L82" s="415"/>
      <c r="M82" s="434" t="s">
        <v>1661</v>
      </c>
      <c r="N82" s="434" t="s">
        <v>1660</v>
      </c>
      <c r="O82" s="434" t="s">
        <v>1659</v>
      </c>
      <c r="P82" s="434" t="s">
        <v>1661</v>
      </c>
      <c r="Q82" s="434" t="s">
        <v>1659</v>
      </c>
      <c r="R82" s="434" t="s">
        <v>1661</v>
      </c>
      <c r="S82" s="434" t="s">
        <v>1659</v>
      </c>
      <c r="T82" s="434" t="s">
        <v>1659</v>
      </c>
      <c r="U82" s="434" t="s">
        <v>1660</v>
      </c>
      <c r="V82" s="434" t="s">
        <v>1659</v>
      </c>
      <c r="W82" s="434" t="s">
        <v>1660</v>
      </c>
      <c r="X82" s="434" t="s">
        <v>1659</v>
      </c>
      <c r="Y82" s="434" t="s">
        <v>1659</v>
      </c>
      <c r="Z82" s="434" t="s">
        <v>1659</v>
      </c>
      <c r="AA82" s="434" t="s">
        <v>1661</v>
      </c>
      <c r="AB82" s="434" t="s">
        <v>1659</v>
      </c>
      <c r="AC82" s="434" t="s">
        <v>1661</v>
      </c>
      <c r="AD82" s="434" t="s">
        <v>1659</v>
      </c>
      <c r="AE82" s="434" t="s">
        <v>1659</v>
      </c>
      <c r="AF82" s="434" t="s">
        <v>1659</v>
      </c>
      <c r="AG82" s="427">
        <v>15.0</v>
      </c>
      <c r="AH82" s="435" t="s">
        <v>24</v>
      </c>
      <c r="AI82" s="415"/>
      <c r="AJ82" s="436" t="str">
        <f t="array" ref="AJ82">IF(M82=DGET(claves!$A$2:$AS423,M$2,{claves!$A$2;$E82}),1,0)</f>
        <v>#VALUE!</v>
      </c>
      <c r="AK82" s="436" t="str">
        <f t="array" ref="AK82">IF(N82=DGET(claves!$A$2:$AS423,N$2,{claves!$A$2;$E82}),1,0)</f>
        <v>#VALUE!</v>
      </c>
      <c r="AL82" s="436" t="str">
        <f t="array" ref="AL82">IF(O82=DGET(claves!$A$2:$AS423,O$2,{claves!$A$2;$E82}),1,0)</f>
        <v>#VALUE!</v>
      </c>
      <c r="AM82" s="436" t="str">
        <f t="array" ref="AM82">IF(P82=DGET(claves!$A$2:$AS423,P$2,{claves!$A$2;$E82}),1,0)</f>
        <v>#VALUE!</v>
      </c>
      <c r="AN82" s="436" t="str">
        <f t="array" ref="AN82">IF(Q82=DGET(claves!$A$2:$AS423,Q$2,{claves!$A$2;$E82}),1,0)</f>
        <v>#VALUE!</v>
      </c>
      <c r="AO82" s="436" t="str">
        <f t="array" ref="AO82">IF(R82=DGET(claves!$A$2:$AS423,R$2,{claves!$A$2;$E82}),1,0)</f>
        <v>#VALUE!</v>
      </c>
      <c r="AP82" s="436" t="str">
        <f t="array" ref="AP82">IF(S82=DGET(claves!$A$2:$AS423,S$2,{claves!$A$2;$E82}),1,0)</f>
        <v>#VALUE!</v>
      </c>
      <c r="AQ82" s="436" t="str">
        <f t="array" ref="AQ82">IF(T82=DGET(claves!$A$2:$AS423,T$2,{claves!$A$2;$E82}),1,0)</f>
        <v>#VALUE!</v>
      </c>
      <c r="AR82" s="436" t="str">
        <f t="array" ref="AR82">IF(U82=DGET(claves!$A$2:$AS423,U$2,{claves!$A$2;$E82}),1,0)</f>
        <v>#VALUE!</v>
      </c>
      <c r="AS82" s="436" t="str">
        <f t="array" ref="AS82">IF(V82=DGET(claves!$A$2:$AS423,V$2,{claves!$A$2;$E82}),1,0)</f>
        <v>#VALUE!</v>
      </c>
      <c r="AT82" s="436" t="str">
        <f t="array" ref="AT82">IF(W82=DGET(claves!$A$2:$AS423,W$2,{claves!$A$2;$E82}),1,0)</f>
        <v>#VALUE!</v>
      </c>
      <c r="AU82" s="436" t="str">
        <f t="array" ref="AU82">IF(X82=DGET(claves!$A$2:$AS423,X$2,{claves!$A$2;$E82}),1,0)</f>
        <v>#VALUE!</v>
      </c>
      <c r="AV82" s="436" t="str">
        <f t="array" ref="AV82">IF(Y82=DGET(claves!$A$2:$AS423,Y$2,{claves!$A$2;$E82}),1,0)</f>
        <v>#VALUE!</v>
      </c>
      <c r="AW82" s="436" t="str">
        <f t="array" ref="AW82">IF(Z82=DGET(claves!$A$2:$AS423,Z$2,{claves!$A$2;$E82}),1,0)</f>
        <v>#VALUE!</v>
      </c>
      <c r="AX82" s="436" t="str">
        <f t="array" ref="AX82">IF(AA82=DGET(claves!$A$2:$AS423,AA$2,{claves!$A$2;$E82}),1,0)</f>
        <v>#VALUE!</v>
      </c>
      <c r="AY82" s="436" t="str">
        <f t="array" ref="AY82">IF(AB82=DGET(claves!$A$2:$AS423,AB$2,{claves!$A$2;$E82}),1,0)</f>
        <v>#VALUE!</v>
      </c>
      <c r="AZ82" s="436" t="str">
        <f t="array" ref="AZ82">IF(AC82=DGET(claves!$A$2:$AS423,AC$2,{claves!$A$2;$E82}),1,0)</f>
        <v>#VALUE!</v>
      </c>
      <c r="BA82" s="436" t="str">
        <f t="array" ref="BA82">IF(AD82=DGET(claves!$A$2:$AS423,AD$2,{claves!$A$2;$E82}),1,0)</f>
        <v>#VALUE!</v>
      </c>
      <c r="BB82" s="436" t="str">
        <f t="array" ref="BB82">IF(AE82=DGET(claves!$A$2:$AS423,AE$2,{claves!$A$2;$E82}),1,0)</f>
        <v>#VALUE!</v>
      </c>
      <c r="BC82" s="436" t="str">
        <f t="array" ref="BC82">IF(AF82=DGET(claves!$A$2:$AS423,AF$2,{claves!$A$2;$E82}),1,0)</f>
        <v>#VALUE!</v>
      </c>
      <c r="BD82" s="437" t="str">
        <f t="shared" si="1"/>
        <v>#VALUE!</v>
      </c>
      <c r="BE82" s="435"/>
      <c r="BF82" s="415"/>
    </row>
    <row r="83" ht="14.25" customHeight="1">
      <c r="A83" s="408">
        <v>81.0</v>
      </c>
      <c r="B83" s="153" t="s">
        <v>1653</v>
      </c>
      <c r="C83" s="153">
        <v>2024.0</v>
      </c>
      <c r="D83" s="77" t="s">
        <v>1817</v>
      </c>
      <c r="E83" s="409" t="s">
        <v>1818</v>
      </c>
      <c r="F83" s="77" t="s">
        <v>1819</v>
      </c>
      <c r="G83" s="432" t="s">
        <v>15</v>
      </c>
      <c r="H83" s="433" t="s">
        <v>1703</v>
      </c>
      <c r="I83" s="433" t="s">
        <v>1676</v>
      </c>
      <c r="J83" s="433" t="s">
        <v>1704</v>
      </c>
      <c r="K83" s="432" t="s">
        <v>1665</v>
      </c>
      <c r="L83" s="415"/>
      <c r="M83" s="434" t="s">
        <v>1661</v>
      </c>
      <c r="N83" s="434" t="s">
        <v>1661</v>
      </c>
      <c r="O83" s="434" t="s">
        <v>1659</v>
      </c>
      <c r="P83" s="434" t="s">
        <v>1661</v>
      </c>
      <c r="Q83" s="434" t="s">
        <v>1659</v>
      </c>
      <c r="R83" s="434" t="s">
        <v>1659</v>
      </c>
      <c r="S83" s="434" t="s">
        <v>1659</v>
      </c>
      <c r="T83" s="434" t="s">
        <v>1661</v>
      </c>
      <c r="U83" s="434" t="s">
        <v>1659</v>
      </c>
      <c r="V83" s="434" t="s">
        <v>1659</v>
      </c>
      <c r="W83" s="434" t="s">
        <v>1661</v>
      </c>
      <c r="X83" s="434" t="s">
        <v>1660</v>
      </c>
      <c r="Y83" s="434" t="s">
        <v>1661</v>
      </c>
      <c r="Z83" s="434" t="s">
        <v>1659</v>
      </c>
      <c r="AA83" s="434" t="s">
        <v>1660</v>
      </c>
      <c r="AB83" s="434" t="s">
        <v>1659</v>
      </c>
      <c r="AC83" s="434" t="s">
        <v>1661</v>
      </c>
      <c r="AD83" s="434" t="s">
        <v>1660</v>
      </c>
      <c r="AE83" s="434" t="s">
        <v>1659</v>
      </c>
      <c r="AF83" s="434" t="s">
        <v>1659</v>
      </c>
      <c r="AG83" s="427">
        <v>15.0</v>
      </c>
      <c r="AH83" s="435" t="s">
        <v>24</v>
      </c>
      <c r="AI83" s="415"/>
      <c r="AJ83" s="436" t="str">
        <f t="array" ref="AJ83">IF(M83=DGET(claves!$A$2:$AS423,M$2,{claves!$A$2;$E83}),1,0)</f>
        <v>#VALUE!</v>
      </c>
      <c r="AK83" s="436" t="str">
        <f t="array" ref="AK83">IF(N83=DGET(claves!$A$2:$AS423,N$2,{claves!$A$2;$E83}),1,0)</f>
        <v>#VALUE!</v>
      </c>
      <c r="AL83" s="436" t="str">
        <f t="array" ref="AL83">IF(O83=DGET(claves!$A$2:$AS423,O$2,{claves!$A$2;$E83}),1,0)</f>
        <v>#VALUE!</v>
      </c>
      <c r="AM83" s="436" t="str">
        <f t="array" ref="AM83">IF(P83=DGET(claves!$A$2:$AS423,P$2,{claves!$A$2;$E83}),1,0)</f>
        <v>#VALUE!</v>
      </c>
      <c r="AN83" s="436" t="str">
        <f t="array" ref="AN83">IF(Q83=DGET(claves!$A$2:$AS423,Q$2,{claves!$A$2;$E83}),1,0)</f>
        <v>#VALUE!</v>
      </c>
      <c r="AO83" s="436" t="str">
        <f t="array" ref="AO83">IF(R83=DGET(claves!$A$2:$AS423,R$2,{claves!$A$2;$E83}),1,0)</f>
        <v>#VALUE!</v>
      </c>
      <c r="AP83" s="436" t="str">
        <f t="array" ref="AP83">IF(S83=DGET(claves!$A$2:$AS423,S$2,{claves!$A$2;$E83}),1,0)</f>
        <v>#VALUE!</v>
      </c>
      <c r="AQ83" s="436" t="str">
        <f t="array" ref="AQ83">IF(T83=DGET(claves!$A$2:$AS423,T$2,{claves!$A$2;$E83}),1,0)</f>
        <v>#VALUE!</v>
      </c>
      <c r="AR83" s="436" t="str">
        <f t="array" ref="AR83">IF(U83=DGET(claves!$A$2:$AS423,U$2,{claves!$A$2;$E83}),1,0)</f>
        <v>#VALUE!</v>
      </c>
      <c r="AS83" s="436" t="str">
        <f t="array" ref="AS83">IF(V83=DGET(claves!$A$2:$AS423,V$2,{claves!$A$2;$E83}),1,0)</f>
        <v>#VALUE!</v>
      </c>
      <c r="AT83" s="436" t="str">
        <f t="array" ref="AT83">IF(W83=DGET(claves!$A$2:$AS423,W$2,{claves!$A$2;$E83}),1,0)</f>
        <v>#VALUE!</v>
      </c>
      <c r="AU83" s="436" t="str">
        <f t="array" ref="AU83">IF(X83=DGET(claves!$A$2:$AS423,X$2,{claves!$A$2;$E83}),1,0)</f>
        <v>#VALUE!</v>
      </c>
      <c r="AV83" s="436" t="str">
        <f t="array" ref="AV83">IF(Y83=DGET(claves!$A$2:$AS423,Y$2,{claves!$A$2;$E83}),1,0)</f>
        <v>#VALUE!</v>
      </c>
      <c r="AW83" s="436" t="str">
        <f t="array" ref="AW83">IF(Z83=DGET(claves!$A$2:$AS423,Z$2,{claves!$A$2;$E83}),1,0)</f>
        <v>#VALUE!</v>
      </c>
      <c r="AX83" s="436" t="str">
        <f t="array" ref="AX83">IF(AA83=DGET(claves!$A$2:$AS423,AA$2,{claves!$A$2;$E83}),1,0)</f>
        <v>#VALUE!</v>
      </c>
      <c r="AY83" s="436" t="str">
        <f t="array" ref="AY83">IF(AB83=DGET(claves!$A$2:$AS423,AB$2,{claves!$A$2;$E83}),1,0)</f>
        <v>#VALUE!</v>
      </c>
      <c r="AZ83" s="436" t="str">
        <f t="array" ref="AZ83">IF(AC83=DGET(claves!$A$2:$AS423,AC$2,{claves!$A$2;$E83}),1,0)</f>
        <v>#VALUE!</v>
      </c>
      <c r="BA83" s="436" t="str">
        <f t="array" ref="BA83">IF(AD83=DGET(claves!$A$2:$AS423,AD$2,{claves!$A$2;$E83}),1,0)</f>
        <v>#VALUE!</v>
      </c>
      <c r="BB83" s="436" t="str">
        <f t="array" ref="BB83">IF(AE83=DGET(claves!$A$2:$AS423,AE$2,{claves!$A$2;$E83}),1,0)</f>
        <v>#VALUE!</v>
      </c>
      <c r="BC83" s="436" t="str">
        <f t="array" ref="BC83">IF(AF83=DGET(claves!$A$2:$AS423,AF$2,{claves!$A$2;$E83}),1,0)</f>
        <v>#VALUE!</v>
      </c>
      <c r="BD83" s="437" t="str">
        <f t="shared" si="1"/>
        <v>#VALUE!</v>
      </c>
      <c r="BE83" s="435"/>
      <c r="BF83" s="415"/>
    </row>
    <row r="84" ht="14.25" customHeight="1">
      <c r="A84" s="408">
        <v>82.0</v>
      </c>
      <c r="B84" s="153" t="s">
        <v>1653</v>
      </c>
      <c r="C84" s="153">
        <v>2024.0</v>
      </c>
      <c r="D84" s="77" t="s">
        <v>1817</v>
      </c>
      <c r="E84" s="409" t="s">
        <v>1818</v>
      </c>
      <c r="F84" s="77" t="s">
        <v>1819</v>
      </c>
      <c r="G84" s="432" t="s">
        <v>15</v>
      </c>
      <c r="H84" s="433" t="s">
        <v>1705</v>
      </c>
      <c r="I84" s="433" t="s">
        <v>1706</v>
      </c>
      <c r="J84" s="433" t="s">
        <v>1707</v>
      </c>
      <c r="K84" s="433" t="s">
        <v>1658</v>
      </c>
      <c r="L84" s="415"/>
      <c r="M84" s="434" t="s">
        <v>1659</v>
      </c>
      <c r="N84" s="434" t="s">
        <v>1660</v>
      </c>
      <c r="O84" s="434" t="s">
        <v>1661</v>
      </c>
      <c r="P84" s="434" t="s">
        <v>1660</v>
      </c>
      <c r="Q84" s="434" t="s">
        <v>1660</v>
      </c>
      <c r="R84" s="434"/>
      <c r="S84" s="434" t="s">
        <v>1660</v>
      </c>
      <c r="T84" s="434" t="s">
        <v>1659</v>
      </c>
      <c r="U84" s="434" t="s">
        <v>1661</v>
      </c>
      <c r="V84" s="434" t="s">
        <v>1660</v>
      </c>
      <c r="W84" s="434" t="s">
        <v>1659</v>
      </c>
      <c r="X84" s="434" t="s">
        <v>1661</v>
      </c>
      <c r="Y84" s="434" t="s">
        <v>1660</v>
      </c>
      <c r="Z84" s="434" t="s">
        <v>1659</v>
      </c>
      <c r="AA84" s="434" t="s">
        <v>1660</v>
      </c>
      <c r="AB84" s="434" t="s">
        <v>1659</v>
      </c>
      <c r="AC84" s="434" t="s">
        <v>1660</v>
      </c>
      <c r="AD84" s="434" t="s">
        <v>1659</v>
      </c>
      <c r="AE84" s="434" t="s">
        <v>1660</v>
      </c>
      <c r="AF84" s="434" t="s">
        <v>1659</v>
      </c>
      <c r="AG84" s="427">
        <v>6.0</v>
      </c>
      <c r="AH84" s="435" t="s">
        <v>18</v>
      </c>
      <c r="AI84" s="415"/>
      <c r="AJ84" s="436" t="str">
        <f t="array" ref="AJ84">IF(M84=DGET(claves!$A$2:$AS423,M$2,{claves!$A$2;$E84}),1,0)</f>
        <v>#VALUE!</v>
      </c>
      <c r="AK84" s="436" t="str">
        <f t="array" ref="AK84">IF(N84=DGET(claves!$A$2:$AS423,N$2,{claves!$A$2;$E84}),1,0)</f>
        <v>#VALUE!</v>
      </c>
      <c r="AL84" s="436" t="str">
        <f t="array" ref="AL84">IF(O84=DGET(claves!$A$2:$AS423,O$2,{claves!$A$2;$E84}),1,0)</f>
        <v>#VALUE!</v>
      </c>
      <c r="AM84" s="436" t="str">
        <f t="array" ref="AM84">IF(P84=DGET(claves!$A$2:$AS423,P$2,{claves!$A$2;$E84}),1,0)</f>
        <v>#VALUE!</v>
      </c>
      <c r="AN84" s="436" t="str">
        <f t="array" ref="AN84">IF(Q84=DGET(claves!$A$2:$AS423,Q$2,{claves!$A$2;$E84}),1,0)</f>
        <v>#VALUE!</v>
      </c>
      <c r="AO84" s="436" t="str">
        <f t="array" ref="AO84">IF(R84=DGET(claves!$A$2:$AS423,R$2,{claves!$A$2;$E84}),1,0)</f>
        <v>#VALUE!</v>
      </c>
      <c r="AP84" s="436" t="str">
        <f t="array" ref="AP84">IF(S84=DGET(claves!$A$2:$AS423,S$2,{claves!$A$2;$E84}),1,0)</f>
        <v>#VALUE!</v>
      </c>
      <c r="AQ84" s="436" t="str">
        <f t="array" ref="AQ84">IF(T84=DGET(claves!$A$2:$AS423,T$2,{claves!$A$2;$E84}),1,0)</f>
        <v>#VALUE!</v>
      </c>
      <c r="AR84" s="436" t="str">
        <f t="array" ref="AR84">IF(U84=DGET(claves!$A$2:$AS423,U$2,{claves!$A$2;$E84}),1,0)</f>
        <v>#VALUE!</v>
      </c>
      <c r="AS84" s="436" t="str">
        <f t="array" ref="AS84">IF(V84=DGET(claves!$A$2:$AS423,V$2,{claves!$A$2;$E84}),1,0)</f>
        <v>#VALUE!</v>
      </c>
      <c r="AT84" s="436" t="str">
        <f t="array" ref="AT84">IF(W84=DGET(claves!$A$2:$AS423,W$2,{claves!$A$2;$E84}),1,0)</f>
        <v>#VALUE!</v>
      </c>
      <c r="AU84" s="436" t="str">
        <f t="array" ref="AU84">IF(X84=DGET(claves!$A$2:$AS423,X$2,{claves!$A$2;$E84}),1,0)</f>
        <v>#VALUE!</v>
      </c>
      <c r="AV84" s="436" t="str">
        <f t="array" ref="AV84">IF(Y84=DGET(claves!$A$2:$AS423,Y$2,{claves!$A$2;$E84}),1,0)</f>
        <v>#VALUE!</v>
      </c>
      <c r="AW84" s="436" t="str">
        <f t="array" ref="AW84">IF(Z84=DGET(claves!$A$2:$AS423,Z$2,{claves!$A$2;$E84}),1,0)</f>
        <v>#VALUE!</v>
      </c>
      <c r="AX84" s="436" t="str">
        <f t="array" ref="AX84">IF(AA84=DGET(claves!$A$2:$AS423,AA$2,{claves!$A$2;$E84}),1,0)</f>
        <v>#VALUE!</v>
      </c>
      <c r="AY84" s="436" t="str">
        <f t="array" ref="AY84">IF(AB84=DGET(claves!$A$2:$AS423,AB$2,{claves!$A$2;$E84}),1,0)</f>
        <v>#VALUE!</v>
      </c>
      <c r="AZ84" s="436" t="str">
        <f t="array" ref="AZ84">IF(AC84=DGET(claves!$A$2:$AS423,AC$2,{claves!$A$2;$E84}),1,0)</f>
        <v>#VALUE!</v>
      </c>
      <c r="BA84" s="436" t="str">
        <f t="array" ref="BA84">IF(AD84=DGET(claves!$A$2:$AS423,AD$2,{claves!$A$2;$E84}),1,0)</f>
        <v>#VALUE!</v>
      </c>
      <c r="BB84" s="436" t="str">
        <f t="array" ref="BB84">IF(AE84=DGET(claves!$A$2:$AS423,AE$2,{claves!$A$2;$E84}),1,0)</f>
        <v>#VALUE!</v>
      </c>
      <c r="BC84" s="436" t="str">
        <f t="array" ref="BC84">IF(AF84=DGET(claves!$A$2:$AS423,AF$2,{claves!$A$2;$E84}),1,0)</f>
        <v>#VALUE!</v>
      </c>
      <c r="BD84" s="437" t="str">
        <f t="shared" si="1"/>
        <v>#VALUE!</v>
      </c>
      <c r="BE84" s="435"/>
      <c r="BF84" s="415"/>
    </row>
    <row r="85" ht="14.25" customHeight="1">
      <c r="A85" s="408">
        <v>83.0</v>
      </c>
      <c r="B85" s="153" t="s">
        <v>1653</v>
      </c>
      <c r="C85" s="153">
        <v>2024.0</v>
      </c>
      <c r="D85" s="77" t="s">
        <v>1817</v>
      </c>
      <c r="E85" s="409" t="s">
        <v>1818</v>
      </c>
      <c r="F85" s="77" t="s">
        <v>1819</v>
      </c>
      <c r="G85" s="432" t="s">
        <v>15</v>
      </c>
      <c r="H85" s="433" t="s">
        <v>1708</v>
      </c>
      <c r="I85" s="433" t="s">
        <v>1709</v>
      </c>
      <c r="J85" s="433" t="s">
        <v>1710</v>
      </c>
      <c r="K85" s="432" t="s">
        <v>1665</v>
      </c>
      <c r="L85" s="415"/>
      <c r="M85" s="434" t="s">
        <v>1661</v>
      </c>
      <c r="N85" s="434" t="s">
        <v>1659</v>
      </c>
      <c r="O85" s="434" t="s">
        <v>1659</v>
      </c>
      <c r="P85" s="434" t="s">
        <v>1661</v>
      </c>
      <c r="Q85" s="434" t="s">
        <v>1659</v>
      </c>
      <c r="R85" s="434" t="s">
        <v>1661</v>
      </c>
      <c r="S85" s="434" t="s">
        <v>1659</v>
      </c>
      <c r="T85" s="434" t="s">
        <v>1661</v>
      </c>
      <c r="U85" s="434" t="s">
        <v>1660</v>
      </c>
      <c r="V85" s="434" t="s">
        <v>1659</v>
      </c>
      <c r="W85" s="434" t="s">
        <v>1661</v>
      </c>
      <c r="X85" s="434" t="s">
        <v>1659</v>
      </c>
      <c r="Y85" s="434" t="s">
        <v>1661</v>
      </c>
      <c r="Z85" s="434" t="s">
        <v>1659</v>
      </c>
      <c r="AA85" s="434" t="s">
        <v>1659</v>
      </c>
      <c r="AB85" s="434" t="s">
        <v>1659</v>
      </c>
      <c r="AC85" s="434" t="s">
        <v>1661</v>
      </c>
      <c r="AD85" s="434" t="s">
        <v>1660</v>
      </c>
      <c r="AE85" s="434" t="s">
        <v>1660</v>
      </c>
      <c r="AF85" s="434" t="s">
        <v>1661</v>
      </c>
      <c r="AG85" s="427">
        <v>15.0</v>
      </c>
      <c r="AH85" s="435" t="s">
        <v>24</v>
      </c>
      <c r="AI85" s="415"/>
      <c r="AJ85" s="436" t="str">
        <f t="array" ref="AJ85">IF(M85=DGET(claves!$A$2:$AS423,M$2,{claves!$A$2;$E85}),1,0)</f>
        <v>#VALUE!</v>
      </c>
      <c r="AK85" s="436" t="str">
        <f t="array" ref="AK85">IF(N85=DGET(claves!$A$2:$AS423,N$2,{claves!$A$2;$E85}),1,0)</f>
        <v>#VALUE!</v>
      </c>
      <c r="AL85" s="436" t="str">
        <f t="array" ref="AL85">IF(O85=DGET(claves!$A$2:$AS423,O$2,{claves!$A$2;$E85}),1,0)</f>
        <v>#VALUE!</v>
      </c>
      <c r="AM85" s="436" t="str">
        <f t="array" ref="AM85">IF(P85=DGET(claves!$A$2:$AS423,P$2,{claves!$A$2;$E85}),1,0)</f>
        <v>#VALUE!</v>
      </c>
      <c r="AN85" s="436" t="str">
        <f t="array" ref="AN85">IF(Q85=DGET(claves!$A$2:$AS423,Q$2,{claves!$A$2;$E85}),1,0)</f>
        <v>#VALUE!</v>
      </c>
      <c r="AO85" s="436" t="str">
        <f t="array" ref="AO85">IF(R85=DGET(claves!$A$2:$AS423,R$2,{claves!$A$2;$E85}),1,0)</f>
        <v>#VALUE!</v>
      </c>
      <c r="AP85" s="436" t="str">
        <f t="array" ref="AP85">IF(S85=DGET(claves!$A$2:$AS423,S$2,{claves!$A$2;$E85}),1,0)</f>
        <v>#VALUE!</v>
      </c>
      <c r="AQ85" s="436" t="str">
        <f t="array" ref="AQ85">IF(T85=DGET(claves!$A$2:$AS423,T$2,{claves!$A$2;$E85}),1,0)</f>
        <v>#VALUE!</v>
      </c>
      <c r="AR85" s="436" t="str">
        <f t="array" ref="AR85">IF(U85=DGET(claves!$A$2:$AS423,U$2,{claves!$A$2;$E85}),1,0)</f>
        <v>#VALUE!</v>
      </c>
      <c r="AS85" s="436" t="str">
        <f t="array" ref="AS85">IF(V85=DGET(claves!$A$2:$AS423,V$2,{claves!$A$2;$E85}),1,0)</f>
        <v>#VALUE!</v>
      </c>
      <c r="AT85" s="436" t="str">
        <f t="array" ref="AT85">IF(W85=DGET(claves!$A$2:$AS423,W$2,{claves!$A$2;$E85}),1,0)</f>
        <v>#VALUE!</v>
      </c>
      <c r="AU85" s="436" t="str">
        <f t="array" ref="AU85">IF(X85=DGET(claves!$A$2:$AS423,X$2,{claves!$A$2;$E85}),1,0)</f>
        <v>#VALUE!</v>
      </c>
      <c r="AV85" s="436" t="str">
        <f t="array" ref="AV85">IF(Y85=DGET(claves!$A$2:$AS423,Y$2,{claves!$A$2;$E85}),1,0)</f>
        <v>#VALUE!</v>
      </c>
      <c r="AW85" s="436" t="str">
        <f t="array" ref="AW85">IF(Z85=DGET(claves!$A$2:$AS423,Z$2,{claves!$A$2;$E85}),1,0)</f>
        <v>#VALUE!</v>
      </c>
      <c r="AX85" s="436" t="str">
        <f t="array" ref="AX85">IF(AA85=DGET(claves!$A$2:$AS423,AA$2,{claves!$A$2;$E85}),1,0)</f>
        <v>#VALUE!</v>
      </c>
      <c r="AY85" s="436" t="str">
        <f t="array" ref="AY85">IF(AB85=DGET(claves!$A$2:$AS423,AB$2,{claves!$A$2;$E85}),1,0)</f>
        <v>#VALUE!</v>
      </c>
      <c r="AZ85" s="436" t="str">
        <f t="array" ref="AZ85">IF(AC85=DGET(claves!$A$2:$AS423,AC$2,{claves!$A$2;$E85}),1,0)</f>
        <v>#VALUE!</v>
      </c>
      <c r="BA85" s="436" t="str">
        <f t="array" ref="BA85">IF(AD85=DGET(claves!$A$2:$AS423,AD$2,{claves!$A$2;$E85}),1,0)</f>
        <v>#VALUE!</v>
      </c>
      <c r="BB85" s="436" t="str">
        <f t="array" ref="BB85">IF(AE85=DGET(claves!$A$2:$AS423,AE$2,{claves!$A$2;$E85}),1,0)</f>
        <v>#VALUE!</v>
      </c>
      <c r="BC85" s="436" t="str">
        <f t="array" ref="BC85">IF(AF85=DGET(claves!$A$2:$AS423,AF$2,{claves!$A$2;$E85}),1,0)</f>
        <v>#VALUE!</v>
      </c>
      <c r="BD85" s="437" t="str">
        <f t="shared" si="1"/>
        <v>#VALUE!</v>
      </c>
      <c r="BE85" s="435"/>
      <c r="BF85" s="415"/>
    </row>
    <row r="86" ht="14.25" customHeight="1">
      <c r="A86" s="408">
        <v>84.0</v>
      </c>
      <c r="B86" s="153" t="s">
        <v>1653</v>
      </c>
      <c r="C86" s="153">
        <v>2024.0</v>
      </c>
      <c r="D86" s="77" t="s">
        <v>1817</v>
      </c>
      <c r="E86" s="409" t="s">
        <v>1818</v>
      </c>
      <c r="F86" s="77" t="s">
        <v>1819</v>
      </c>
      <c r="G86" s="432" t="s">
        <v>15</v>
      </c>
      <c r="H86" s="433" t="s">
        <v>1711</v>
      </c>
      <c r="I86" s="433" t="s">
        <v>1712</v>
      </c>
      <c r="J86" s="433" t="s">
        <v>1713</v>
      </c>
      <c r="K86" s="433" t="s">
        <v>1658</v>
      </c>
      <c r="L86" s="415"/>
      <c r="M86" s="434" t="s">
        <v>1661</v>
      </c>
      <c r="N86" s="434" t="s">
        <v>1660</v>
      </c>
      <c r="O86" s="434" t="s">
        <v>1659</v>
      </c>
      <c r="P86" s="434" t="s">
        <v>1661</v>
      </c>
      <c r="Q86" s="434" t="s">
        <v>1659</v>
      </c>
      <c r="R86" s="434" t="s">
        <v>1661</v>
      </c>
      <c r="S86" s="434" t="s">
        <v>1659</v>
      </c>
      <c r="T86" s="434" t="s">
        <v>1661</v>
      </c>
      <c r="U86" s="434" t="s">
        <v>1660</v>
      </c>
      <c r="V86" s="434" t="s">
        <v>1659</v>
      </c>
      <c r="W86" s="434" t="s">
        <v>1661</v>
      </c>
      <c r="X86" s="434" t="s">
        <v>1659</v>
      </c>
      <c r="Y86" s="434" t="s">
        <v>1660</v>
      </c>
      <c r="Z86" s="434" t="s">
        <v>1659</v>
      </c>
      <c r="AA86" s="434" t="s">
        <v>1661</v>
      </c>
      <c r="AB86" s="434" t="s">
        <v>1659</v>
      </c>
      <c r="AC86" s="434" t="s">
        <v>1661</v>
      </c>
      <c r="AD86" s="434" t="s">
        <v>1660</v>
      </c>
      <c r="AE86" s="434" t="s">
        <v>1659</v>
      </c>
      <c r="AF86" s="434" t="s">
        <v>1661</v>
      </c>
      <c r="AG86" s="427">
        <v>18.0</v>
      </c>
      <c r="AH86" s="438" t="s">
        <v>32</v>
      </c>
      <c r="AI86" s="415"/>
      <c r="AJ86" s="436" t="str">
        <f t="array" ref="AJ86">IF(M86=DGET(claves!$A$2:$AS423,M$2,{claves!$A$2;$E86}),1,0)</f>
        <v>#VALUE!</v>
      </c>
      <c r="AK86" s="436" t="str">
        <f t="array" ref="AK86">IF(N86=DGET(claves!$A$2:$AS423,N$2,{claves!$A$2;$E86}),1,0)</f>
        <v>#VALUE!</v>
      </c>
      <c r="AL86" s="436" t="str">
        <f t="array" ref="AL86">IF(O86=DGET(claves!$A$2:$AS423,O$2,{claves!$A$2;$E86}),1,0)</f>
        <v>#VALUE!</v>
      </c>
      <c r="AM86" s="436" t="str">
        <f t="array" ref="AM86">IF(P86=DGET(claves!$A$2:$AS423,P$2,{claves!$A$2;$E86}),1,0)</f>
        <v>#VALUE!</v>
      </c>
      <c r="AN86" s="436" t="str">
        <f t="array" ref="AN86">IF(Q86=DGET(claves!$A$2:$AS423,Q$2,{claves!$A$2;$E86}),1,0)</f>
        <v>#VALUE!</v>
      </c>
      <c r="AO86" s="436" t="str">
        <f t="array" ref="AO86">IF(R86=DGET(claves!$A$2:$AS423,R$2,{claves!$A$2;$E86}),1,0)</f>
        <v>#VALUE!</v>
      </c>
      <c r="AP86" s="436" t="str">
        <f t="array" ref="AP86">IF(S86=DGET(claves!$A$2:$AS423,S$2,{claves!$A$2;$E86}),1,0)</f>
        <v>#VALUE!</v>
      </c>
      <c r="AQ86" s="436" t="str">
        <f t="array" ref="AQ86">IF(T86=DGET(claves!$A$2:$AS423,T$2,{claves!$A$2;$E86}),1,0)</f>
        <v>#VALUE!</v>
      </c>
      <c r="AR86" s="436" t="str">
        <f t="array" ref="AR86">IF(U86=DGET(claves!$A$2:$AS423,U$2,{claves!$A$2;$E86}),1,0)</f>
        <v>#VALUE!</v>
      </c>
      <c r="AS86" s="436" t="str">
        <f t="array" ref="AS86">IF(V86=DGET(claves!$A$2:$AS423,V$2,{claves!$A$2;$E86}),1,0)</f>
        <v>#VALUE!</v>
      </c>
      <c r="AT86" s="436" t="str">
        <f t="array" ref="AT86">IF(W86=DGET(claves!$A$2:$AS423,W$2,{claves!$A$2;$E86}),1,0)</f>
        <v>#VALUE!</v>
      </c>
      <c r="AU86" s="436" t="str">
        <f t="array" ref="AU86">IF(X86=DGET(claves!$A$2:$AS423,X$2,{claves!$A$2;$E86}),1,0)</f>
        <v>#VALUE!</v>
      </c>
      <c r="AV86" s="436" t="str">
        <f t="array" ref="AV86">IF(Y86=DGET(claves!$A$2:$AS423,Y$2,{claves!$A$2;$E86}),1,0)</f>
        <v>#VALUE!</v>
      </c>
      <c r="AW86" s="436" t="str">
        <f t="array" ref="AW86">IF(Z86=DGET(claves!$A$2:$AS423,Z$2,{claves!$A$2;$E86}),1,0)</f>
        <v>#VALUE!</v>
      </c>
      <c r="AX86" s="436" t="str">
        <f t="array" ref="AX86">IF(AA86=DGET(claves!$A$2:$AS423,AA$2,{claves!$A$2;$E86}),1,0)</f>
        <v>#VALUE!</v>
      </c>
      <c r="AY86" s="436" t="str">
        <f t="array" ref="AY86">IF(AB86=DGET(claves!$A$2:$AS423,AB$2,{claves!$A$2;$E86}),1,0)</f>
        <v>#VALUE!</v>
      </c>
      <c r="AZ86" s="436" t="str">
        <f t="array" ref="AZ86">IF(AC86=DGET(claves!$A$2:$AS423,AC$2,{claves!$A$2;$E86}),1,0)</f>
        <v>#VALUE!</v>
      </c>
      <c r="BA86" s="436" t="str">
        <f t="array" ref="BA86">IF(AD86=DGET(claves!$A$2:$AS423,AD$2,{claves!$A$2;$E86}),1,0)</f>
        <v>#VALUE!</v>
      </c>
      <c r="BB86" s="436" t="str">
        <f t="array" ref="BB86">IF(AE86=DGET(claves!$A$2:$AS423,AE$2,{claves!$A$2;$E86}),1,0)</f>
        <v>#VALUE!</v>
      </c>
      <c r="BC86" s="436" t="str">
        <f t="array" ref="BC86">IF(AF86=DGET(claves!$A$2:$AS423,AF$2,{claves!$A$2;$E86}),1,0)</f>
        <v>#VALUE!</v>
      </c>
      <c r="BD86" s="437" t="str">
        <f t="shared" si="1"/>
        <v>#VALUE!</v>
      </c>
      <c r="BE86" s="435"/>
      <c r="BF86" s="415"/>
    </row>
    <row r="87" ht="14.25" customHeight="1">
      <c r="A87" s="408">
        <v>85.0</v>
      </c>
      <c r="B87" s="153" t="s">
        <v>1653</v>
      </c>
      <c r="C87" s="153">
        <v>2024.0</v>
      </c>
      <c r="D87" s="77" t="s">
        <v>1817</v>
      </c>
      <c r="E87" s="409" t="s">
        <v>1818</v>
      </c>
      <c r="F87" s="77" t="s">
        <v>1819</v>
      </c>
      <c r="G87" s="432" t="s">
        <v>15</v>
      </c>
      <c r="H87" s="433" t="s">
        <v>1714</v>
      </c>
      <c r="I87" s="433" t="s">
        <v>1662</v>
      </c>
      <c r="J87" s="433" t="s">
        <v>1715</v>
      </c>
      <c r="K87" s="432" t="s">
        <v>1665</v>
      </c>
      <c r="L87" s="415"/>
      <c r="M87" s="434" t="s">
        <v>1661</v>
      </c>
      <c r="N87" s="434" t="s">
        <v>1660</v>
      </c>
      <c r="O87" s="434" t="s">
        <v>1659</v>
      </c>
      <c r="P87" s="434" t="s">
        <v>1661</v>
      </c>
      <c r="Q87" s="434" t="s">
        <v>1659</v>
      </c>
      <c r="R87" s="434" t="s">
        <v>1661</v>
      </c>
      <c r="S87" s="434" t="s">
        <v>1659</v>
      </c>
      <c r="T87" s="434" t="s">
        <v>1661</v>
      </c>
      <c r="U87" s="434" t="s">
        <v>1660</v>
      </c>
      <c r="V87" s="434" t="s">
        <v>1659</v>
      </c>
      <c r="W87" s="434" t="s">
        <v>1659</v>
      </c>
      <c r="X87" s="434" t="s">
        <v>1659</v>
      </c>
      <c r="Y87" s="434" t="s">
        <v>1659</v>
      </c>
      <c r="Z87" s="434" t="s">
        <v>1660</v>
      </c>
      <c r="AA87" s="434" t="s">
        <v>1659</v>
      </c>
      <c r="AB87" s="434" t="s">
        <v>1661</v>
      </c>
      <c r="AC87" s="434" t="s">
        <v>1659</v>
      </c>
      <c r="AD87" s="434" t="s">
        <v>1659</v>
      </c>
      <c r="AE87" s="434" t="s">
        <v>1659</v>
      </c>
      <c r="AF87" s="434" t="s">
        <v>1661</v>
      </c>
      <c r="AG87" s="427">
        <v>12.0</v>
      </c>
      <c r="AH87" s="435" t="s">
        <v>24</v>
      </c>
      <c r="AI87" s="415"/>
      <c r="AJ87" s="436" t="str">
        <f t="array" ref="AJ87">IF(M87=DGET(claves!$A$2:$AS423,M$2,{claves!$A$2;$E87}),1,0)</f>
        <v>#VALUE!</v>
      </c>
      <c r="AK87" s="436" t="str">
        <f t="array" ref="AK87">IF(N87=DGET(claves!$A$2:$AS423,N$2,{claves!$A$2;$E87}),1,0)</f>
        <v>#VALUE!</v>
      </c>
      <c r="AL87" s="436" t="str">
        <f t="array" ref="AL87">IF(O87=DGET(claves!$A$2:$AS423,O$2,{claves!$A$2;$E87}),1,0)</f>
        <v>#VALUE!</v>
      </c>
      <c r="AM87" s="436" t="str">
        <f t="array" ref="AM87">IF(P87=DGET(claves!$A$2:$AS423,P$2,{claves!$A$2;$E87}),1,0)</f>
        <v>#VALUE!</v>
      </c>
      <c r="AN87" s="436" t="str">
        <f t="array" ref="AN87">IF(Q87=DGET(claves!$A$2:$AS423,Q$2,{claves!$A$2;$E87}),1,0)</f>
        <v>#VALUE!</v>
      </c>
      <c r="AO87" s="436" t="str">
        <f t="array" ref="AO87">IF(R87=DGET(claves!$A$2:$AS423,R$2,{claves!$A$2;$E87}),1,0)</f>
        <v>#VALUE!</v>
      </c>
      <c r="AP87" s="436" t="str">
        <f t="array" ref="AP87">IF(S87=DGET(claves!$A$2:$AS423,S$2,{claves!$A$2;$E87}),1,0)</f>
        <v>#VALUE!</v>
      </c>
      <c r="AQ87" s="436" t="str">
        <f t="array" ref="AQ87">IF(T87=DGET(claves!$A$2:$AS423,T$2,{claves!$A$2;$E87}),1,0)</f>
        <v>#VALUE!</v>
      </c>
      <c r="AR87" s="436" t="str">
        <f t="array" ref="AR87">IF(U87=DGET(claves!$A$2:$AS423,U$2,{claves!$A$2;$E87}),1,0)</f>
        <v>#VALUE!</v>
      </c>
      <c r="AS87" s="436" t="str">
        <f t="array" ref="AS87">IF(V87=DGET(claves!$A$2:$AS423,V$2,{claves!$A$2;$E87}),1,0)</f>
        <v>#VALUE!</v>
      </c>
      <c r="AT87" s="436" t="str">
        <f t="array" ref="AT87">IF(W87=DGET(claves!$A$2:$AS423,W$2,{claves!$A$2;$E87}),1,0)</f>
        <v>#VALUE!</v>
      </c>
      <c r="AU87" s="436" t="str">
        <f t="array" ref="AU87">IF(X87=DGET(claves!$A$2:$AS423,X$2,{claves!$A$2;$E87}),1,0)</f>
        <v>#VALUE!</v>
      </c>
      <c r="AV87" s="436" t="str">
        <f t="array" ref="AV87">IF(Y87=DGET(claves!$A$2:$AS423,Y$2,{claves!$A$2;$E87}),1,0)</f>
        <v>#VALUE!</v>
      </c>
      <c r="AW87" s="436" t="str">
        <f t="array" ref="AW87">IF(Z87=DGET(claves!$A$2:$AS423,Z$2,{claves!$A$2;$E87}),1,0)</f>
        <v>#VALUE!</v>
      </c>
      <c r="AX87" s="436" t="str">
        <f t="array" ref="AX87">IF(AA87=DGET(claves!$A$2:$AS423,AA$2,{claves!$A$2;$E87}),1,0)</f>
        <v>#VALUE!</v>
      </c>
      <c r="AY87" s="436" t="str">
        <f t="array" ref="AY87">IF(AB87=DGET(claves!$A$2:$AS423,AB$2,{claves!$A$2;$E87}),1,0)</f>
        <v>#VALUE!</v>
      </c>
      <c r="AZ87" s="436" t="str">
        <f t="array" ref="AZ87">IF(AC87=DGET(claves!$A$2:$AS423,AC$2,{claves!$A$2;$E87}),1,0)</f>
        <v>#VALUE!</v>
      </c>
      <c r="BA87" s="436" t="str">
        <f t="array" ref="BA87">IF(AD87=DGET(claves!$A$2:$AS423,AD$2,{claves!$A$2;$E87}),1,0)</f>
        <v>#VALUE!</v>
      </c>
      <c r="BB87" s="436" t="str">
        <f t="array" ref="BB87">IF(AE87=DGET(claves!$A$2:$AS423,AE$2,{claves!$A$2;$E87}),1,0)</f>
        <v>#VALUE!</v>
      </c>
      <c r="BC87" s="436" t="str">
        <f t="array" ref="BC87">IF(AF87=DGET(claves!$A$2:$AS423,AF$2,{claves!$A$2;$E87}),1,0)</f>
        <v>#VALUE!</v>
      </c>
      <c r="BD87" s="437" t="str">
        <f t="shared" si="1"/>
        <v>#VALUE!</v>
      </c>
      <c r="BE87" s="435"/>
      <c r="BF87" s="415"/>
    </row>
    <row r="88" ht="14.25" customHeight="1">
      <c r="A88" s="408">
        <v>86.0</v>
      </c>
      <c r="B88" s="153" t="s">
        <v>1653</v>
      </c>
      <c r="C88" s="153">
        <v>2024.0</v>
      </c>
      <c r="D88" s="77" t="s">
        <v>1817</v>
      </c>
      <c r="E88" s="409" t="s">
        <v>1818</v>
      </c>
      <c r="F88" s="77" t="s">
        <v>1819</v>
      </c>
      <c r="G88" s="432" t="s">
        <v>15</v>
      </c>
      <c r="H88" s="433" t="s">
        <v>1716</v>
      </c>
      <c r="I88" s="433" t="s">
        <v>1717</v>
      </c>
      <c r="J88" s="433" t="s">
        <v>1718</v>
      </c>
      <c r="K88" s="433" t="s">
        <v>1658</v>
      </c>
      <c r="L88" s="415"/>
      <c r="M88" s="434" t="s">
        <v>1661</v>
      </c>
      <c r="N88" s="434" t="s">
        <v>1661</v>
      </c>
      <c r="O88" s="434" t="s">
        <v>1659</v>
      </c>
      <c r="P88" s="434" t="s">
        <v>1661</v>
      </c>
      <c r="Q88" s="434" t="s">
        <v>1659</v>
      </c>
      <c r="R88" s="434" t="s">
        <v>1661</v>
      </c>
      <c r="S88" s="434" t="s">
        <v>1659</v>
      </c>
      <c r="T88" s="434" t="s">
        <v>1661</v>
      </c>
      <c r="U88" s="434" t="s">
        <v>1660</v>
      </c>
      <c r="V88" s="434" t="s">
        <v>1659</v>
      </c>
      <c r="W88" s="434" t="s">
        <v>1661</v>
      </c>
      <c r="X88" s="434" t="s">
        <v>1661</v>
      </c>
      <c r="Y88" s="434" t="s">
        <v>1661</v>
      </c>
      <c r="Z88" s="434" t="s">
        <v>1659</v>
      </c>
      <c r="AA88" s="434" t="s">
        <v>1660</v>
      </c>
      <c r="AB88" s="434" t="s">
        <v>1661</v>
      </c>
      <c r="AC88" s="434" t="s">
        <v>1660</v>
      </c>
      <c r="AD88" s="434" t="s">
        <v>1661</v>
      </c>
      <c r="AE88" s="434" t="s">
        <v>1659</v>
      </c>
      <c r="AF88" s="434" t="s">
        <v>1661</v>
      </c>
      <c r="AG88" s="427">
        <v>13.0</v>
      </c>
      <c r="AH88" s="435" t="s">
        <v>24</v>
      </c>
      <c r="AI88" s="415"/>
      <c r="AJ88" s="436" t="str">
        <f t="array" ref="AJ88">IF(M88=DGET(claves!$A$2:$AS423,M$2,{claves!$A$2;$E88}),1,0)</f>
        <v>#VALUE!</v>
      </c>
      <c r="AK88" s="436" t="str">
        <f t="array" ref="AK88">IF(N88=DGET(claves!$A$2:$AS423,N$2,{claves!$A$2;$E88}),1,0)</f>
        <v>#VALUE!</v>
      </c>
      <c r="AL88" s="436" t="str">
        <f t="array" ref="AL88">IF(O88=DGET(claves!$A$2:$AS423,O$2,{claves!$A$2;$E88}),1,0)</f>
        <v>#VALUE!</v>
      </c>
      <c r="AM88" s="436" t="str">
        <f t="array" ref="AM88">IF(P88=DGET(claves!$A$2:$AS423,P$2,{claves!$A$2;$E88}),1,0)</f>
        <v>#VALUE!</v>
      </c>
      <c r="AN88" s="436" t="str">
        <f t="array" ref="AN88">IF(Q88=DGET(claves!$A$2:$AS423,Q$2,{claves!$A$2;$E88}),1,0)</f>
        <v>#VALUE!</v>
      </c>
      <c r="AO88" s="436" t="str">
        <f t="array" ref="AO88">IF(R88=DGET(claves!$A$2:$AS423,R$2,{claves!$A$2;$E88}),1,0)</f>
        <v>#VALUE!</v>
      </c>
      <c r="AP88" s="436" t="str">
        <f t="array" ref="AP88">IF(S88=DGET(claves!$A$2:$AS423,S$2,{claves!$A$2;$E88}),1,0)</f>
        <v>#VALUE!</v>
      </c>
      <c r="AQ88" s="436" t="str">
        <f t="array" ref="AQ88">IF(T88=DGET(claves!$A$2:$AS423,T$2,{claves!$A$2;$E88}),1,0)</f>
        <v>#VALUE!</v>
      </c>
      <c r="AR88" s="436" t="str">
        <f t="array" ref="AR88">IF(U88=DGET(claves!$A$2:$AS423,U$2,{claves!$A$2;$E88}),1,0)</f>
        <v>#VALUE!</v>
      </c>
      <c r="AS88" s="436" t="str">
        <f t="array" ref="AS88">IF(V88=DGET(claves!$A$2:$AS423,V$2,{claves!$A$2;$E88}),1,0)</f>
        <v>#VALUE!</v>
      </c>
      <c r="AT88" s="436" t="str">
        <f t="array" ref="AT88">IF(W88=DGET(claves!$A$2:$AS423,W$2,{claves!$A$2;$E88}),1,0)</f>
        <v>#VALUE!</v>
      </c>
      <c r="AU88" s="436" t="str">
        <f t="array" ref="AU88">IF(X88=DGET(claves!$A$2:$AS423,X$2,{claves!$A$2;$E88}),1,0)</f>
        <v>#VALUE!</v>
      </c>
      <c r="AV88" s="436" t="str">
        <f t="array" ref="AV88">IF(Y88=DGET(claves!$A$2:$AS423,Y$2,{claves!$A$2;$E88}),1,0)</f>
        <v>#VALUE!</v>
      </c>
      <c r="AW88" s="436" t="str">
        <f t="array" ref="AW88">IF(Z88=DGET(claves!$A$2:$AS423,Z$2,{claves!$A$2;$E88}),1,0)</f>
        <v>#VALUE!</v>
      </c>
      <c r="AX88" s="436" t="str">
        <f t="array" ref="AX88">IF(AA88=DGET(claves!$A$2:$AS423,AA$2,{claves!$A$2;$E88}),1,0)</f>
        <v>#VALUE!</v>
      </c>
      <c r="AY88" s="436" t="str">
        <f t="array" ref="AY88">IF(AB88=DGET(claves!$A$2:$AS423,AB$2,{claves!$A$2;$E88}),1,0)</f>
        <v>#VALUE!</v>
      </c>
      <c r="AZ88" s="436" t="str">
        <f t="array" ref="AZ88">IF(AC88=DGET(claves!$A$2:$AS423,AC$2,{claves!$A$2;$E88}),1,0)</f>
        <v>#VALUE!</v>
      </c>
      <c r="BA88" s="436" t="str">
        <f t="array" ref="BA88">IF(AD88=DGET(claves!$A$2:$AS423,AD$2,{claves!$A$2;$E88}),1,0)</f>
        <v>#VALUE!</v>
      </c>
      <c r="BB88" s="436" t="str">
        <f t="array" ref="BB88">IF(AE88=DGET(claves!$A$2:$AS423,AE$2,{claves!$A$2;$E88}),1,0)</f>
        <v>#VALUE!</v>
      </c>
      <c r="BC88" s="436" t="str">
        <f t="array" ref="BC88">IF(AF88=DGET(claves!$A$2:$AS423,AF$2,{claves!$A$2;$E88}),1,0)</f>
        <v>#VALUE!</v>
      </c>
      <c r="BD88" s="437" t="str">
        <f t="shared" si="1"/>
        <v>#VALUE!</v>
      </c>
      <c r="BE88" s="435"/>
      <c r="BF88" s="415"/>
    </row>
    <row r="89" ht="14.25" customHeight="1">
      <c r="A89" s="408">
        <v>87.0</v>
      </c>
      <c r="B89" s="153" t="s">
        <v>1653</v>
      </c>
      <c r="C89" s="153">
        <v>2024.0</v>
      </c>
      <c r="D89" s="77" t="s">
        <v>1817</v>
      </c>
      <c r="E89" s="409" t="s">
        <v>1818</v>
      </c>
      <c r="F89" s="77" t="s">
        <v>1819</v>
      </c>
      <c r="G89" s="432" t="s">
        <v>15</v>
      </c>
      <c r="H89" s="433" t="s">
        <v>1719</v>
      </c>
      <c r="I89" s="433" t="s">
        <v>1720</v>
      </c>
      <c r="J89" s="433" t="s">
        <v>1721</v>
      </c>
      <c r="K89" s="432" t="s">
        <v>1665</v>
      </c>
      <c r="L89" s="415"/>
      <c r="M89" s="434"/>
      <c r="N89" s="434"/>
      <c r="O89" s="434"/>
      <c r="P89" s="434"/>
      <c r="Q89" s="434"/>
      <c r="R89" s="434"/>
      <c r="S89" s="434"/>
      <c r="T89" s="434"/>
      <c r="U89" s="434"/>
      <c r="V89" s="434"/>
      <c r="W89" s="434"/>
      <c r="X89" s="434"/>
      <c r="Y89" s="434"/>
      <c r="Z89" s="434"/>
      <c r="AA89" s="434"/>
      <c r="AB89" s="434"/>
      <c r="AC89" s="434"/>
      <c r="AD89" s="434"/>
      <c r="AE89" s="434"/>
      <c r="AF89" s="434"/>
      <c r="AG89" s="427">
        <v>0.0</v>
      </c>
      <c r="AH89" s="435" t="s">
        <v>1468</v>
      </c>
      <c r="AI89" s="415"/>
      <c r="AJ89" s="436" t="str">
        <f t="array" ref="AJ89">IF(M89=DGET(claves!$A$2:$AS423,M$2,{claves!$A$2;$E89}),1,0)</f>
        <v>#VALUE!</v>
      </c>
      <c r="AK89" s="436" t="str">
        <f t="array" ref="AK89">IF(N89=DGET(claves!$A$2:$AS423,N$2,{claves!$A$2;$E89}),1,0)</f>
        <v>#VALUE!</v>
      </c>
      <c r="AL89" s="436" t="str">
        <f t="array" ref="AL89">IF(O89=DGET(claves!$A$2:$AS423,O$2,{claves!$A$2;$E89}),1,0)</f>
        <v>#VALUE!</v>
      </c>
      <c r="AM89" s="436" t="str">
        <f t="array" ref="AM89">IF(P89=DGET(claves!$A$2:$AS423,P$2,{claves!$A$2;$E89}),1,0)</f>
        <v>#VALUE!</v>
      </c>
      <c r="AN89" s="436" t="str">
        <f t="array" ref="AN89">IF(Q89=DGET(claves!$A$2:$AS423,Q$2,{claves!$A$2;$E89}),1,0)</f>
        <v>#VALUE!</v>
      </c>
      <c r="AO89" s="436" t="str">
        <f t="array" ref="AO89">IF(R89=DGET(claves!$A$2:$AS423,R$2,{claves!$A$2;$E89}),1,0)</f>
        <v>#VALUE!</v>
      </c>
      <c r="AP89" s="436" t="str">
        <f t="array" ref="AP89">IF(S89=DGET(claves!$A$2:$AS423,S$2,{claves!$A$2;$E89}),1,0)</f>
        <v>#VALUE!</v>
      </c>
      <c r="AQ89" s="436" t="str">
        <f t="array" ref="AQ89">IF(T89=DGET(claves!$A$2:$AS423,T$2,{claves!$A$2;$E89}),1,0)</f>
        <v>#VALUE!</v>
      </c>
      <c r="AR89" s="436" t="str">
        <f t="array" ref="AR89">IF(U89=DGET(claves!$A$2:$AS423,U$2,{claves!$A$2;$E89}),1,0)</f>
        <v>#VALUE!</v>
      </c>
      <c r="AS89" s="436" t="str">
        <f t="array" ref="AS89">IF(V89=DGET(claves!$A$2:$AS423,V$2,{claves!$A$2;$E89}),1,0)</f>
        <v>#VALUE!</v>
      </c>
      <c r="AT89" s="436" t="str">
        <f t="array" ref="AT89">IF(W89=DGET(claves!$A$2:$AS423,W$2,{claves!$A$2;$E89}),1,0)</f>
        <v>#VALUE!</v>
      </c>
      <c r="AU89" s="436" t="str">
        <f t="array" ref="AU89">IF(X89=DGET(claves!$A$2:$AS423,X$2,{claves!$A$2;$E89}),1,0)</f>
        <v>#VALUE!</v>
      </c>
      <c r="AV89" s="436" t="str">
        <f t="array" ref="AV89">IF(Y89=DGET(claves!$A$2:$AS423,Y$2,{claves!$A$2;$E89}),1,0)</f>
        <v>#VALUE!</v>
      </c>
      <c r="AW89" s="436" t="str">
        <f t="array" ref="AW89">IF(Z89=DGET(claves!$A$2:$AS423,Z$2,{claves!$A$2;$E89}),1,0)</f>
        <v>#VALUE!</v>
      </c>
      <c r="AX89" s="436" t="str">
        <f t="array" ref="AX89">IF(AA89=DGET(claves!$A$2:$AS423,AA$2,{claves!$A$2;$E89}),1,0)</f>
        <v>#VALUE!</v>
      </c>
      <c r="AY89" s="436" t="str">
        <f t="array" ref="AY89">IF(AB89=DGET(claves!$A$2:$AS423,AB$2,{claves!$A$2;$E89}),1,0)</f>
        <v>#VALUE!</v>
      </c>
      <c r="AZ89" s="436" t="str">
        <f t="array" ref="AZ89">IF(AC89=DGET(claves!$A$2:$AS423,AC$2,{claves!$A$2;$E89}),1,0)</f>
        <v>#VALUE!</v>
      </c>
      <c r="BA89" s="436" t="str">
        <f t="array" ref="BA89">IF(AD89=DGET(claves!$A$2:$AS423,AD$2,{claves!$A$2;$E89}),1,0)</f>
        <v>#VALUE!</v>
      </c>
      <c r="BB89" s="436" t="str">
        <f t="array" ref="BB89">IF(AE89=DGET(claves!$A$2:$AS423,AE$2,{claves!$A$2;$E89}),1,0)</f>
        <v>#VALUE!</v>
      </c>
      <c r="BC89" s="436" t="str">
        <f t="array" ref="BC89">IF(AF89=DGET(claves!$A$2:$AS423,AF$2,{claves!$A$2;$E89}),1,0)</f>
        <v>#VALUE!</v>
      </c>
      <c r="BD89" s="437" t="str">
        <f t="shared" si="1"/>
        <v>#VALUE!</v>
      </c>
      <c r="BE89" s="435"/>
      <c r="BF89" s="415"/>
    </row>
    <row r="90" ht="14.25" customHeight="1">
      <c r="A90" s="408">
        <v>88.0</v>
      </c>
      <c r="B90" s="153" t="s">
        <v>1653</v>
      </c>
      <c r="C90" s="153">
        <v>2024.0</v>
      </c>
      <c r="D90" s="77" t="s">
        <v>1817</v>
      </c>
      <c r="E90" s="409" t="s">
        <v>1820</v>
      </c>
      <c r="F90" s="77" t="s">
        <v>1819</v>
      </c>
      <c r="G90" s="432" t="s">
        <v>20</v>
      </c>
      <c r="H90" s="433" t="s">
        <v>1722</v>
      </c>
      <c r="I90" s="433" t="s">
        <v>1723</v>
      </c>
      <c r="J90" s="433" t="s">
        <v>1724</v>
      </c>
      <c r="K90" s="433" t="s">
        <v>1658</v>
      </c>
      <c r="L90" s="415"/>
      <c r="M90" s="434" t="s">
        <v>1659</v>
      </c>
      <c r="N90" s="434" t="s">
        <v>1660</v>
      </c>
      <c r="O90" s="434" t="s">
        <v>1660</v>
      </c>
      <c r="P90" s="434" t="s">
        <v>1660</v>
      </c>
      <c r="Q90" s="434" t="s">
        <v>1659</v>
      </c>
      <c r="R90" s="434" t="s">
        <v>1660</v>
      </c>
      <c r="S90" s="434" t="s">
        <v>1659</v>
      </c>
      <c r="T90" s="434" t="s">
        <v>1661</v>
      </c>
      <c r="U90" s="434" t="s">
        <v>1659</v>
      </c>
      <c r="V90" s="434" t="s">
        <v>1659</v>
      </c>
      <c r="W90" s="434" t="s">
        <v>1689</v>
      </c>
      <c r="X90" s="434" t="s">
        <v>1689</v>
      </c>
      <c r="Y90" s="434" t="s">
        <v>1660</v>
      </c>
      <c r="Z90" s="434" t="s">
        <v>1660</v>
      </c>
      <c r="AA90" s="434" t="s">
        <v>1661</v>
      </c>
      <c r="AB90" s="434" t="s">
        <v>1660</v>
      </c>
      <c r="AC90" s="434" t="s">
        <v>1660</v>
      </c>
      <c r="AD90" s="434" t="s">
        <v>1659</v>
      </c>
      <c r="AE90" s="434" t="s">
        <v>1661</v>
      </c>
      <c r="AF90" s="434" t="s">
        <v>1661</v>
      </c>
      <c r="AG90" s="427">
        <v>10.0</v>
      </c>
      <c r="AH90" s="435" t="s">
        <v>18</v>
      </c>
      <c r="AI90" s="415"/>
      <c r="AJ90" s="436" t="str">
        <f t="array" ref="AJ90">IF(M90=DGET(claves!$A$2:$AS423,M$2,{claves!$A$2;$E90}),1,0)</f>
        <v>#VALUE!</v>
      </c>
      <c r="AK90" s="436" t="str">
        <f t="array" ref="AK90">IF(N90=DGET(claves!$A$2:$AS423,N$2,{claves!$A$2;$E90}),1,0)</f>
        <v>#VALUE!</v>
      </c>
      <c r="AL90" s="436" t="str">
        <f t="array" ref="AL90">IF(O90=DGET(claves!$A$2:$AS423,O$2,{claves!$A$2;$E90}),1,0)</f>
        <v>#VALUE!</v>
      </c>
      <c r="AM90" s="436" t="str">
        <f t="array" ref="AM90">IF(P90=DGET(claves!$A$2:$AS423,P$2,{claves!$A$2;$E90}),1,0)</f>
        <v>#VALUE!</v>
      </c>
      <c r="AN90" s="436" t="str">
        <f t="array" ref="AN90">IF(Q90=DGET(claves!$A$2:$AS423,Q$2,{claves!$A$2;$E90}),1,0)</f>
        <v>#VALUE!</v>
      </c>
      <c r="AO90" s="436" t="str">
        <f t="array" ref="AO90">IF(R90=DGET(claves!$A$2:$AS423,R$2,{claves!$A$2;$E90}),1,0)</f>
        <v>#VALUE!</v>
      </c>
      <c r="AP90" s="436" t="str">
        <f t="array" ref="AP90">IF(S90=DGET(claves!$A$2:$AS423,S$2,{claves!$A$2;$E90}),1,0)</f>
        <v>#VALUE!</v>
      </c>
      <c r="AQ90" s="436" t="str">
        <f t="array" ref="AQ90">IF(T90=DGET(claves!$A$2:$AS423,T$2,{claves!$A$2;$E90}),1,0)</f>
        <v>#VALUE!</v>
      </c>
      <c r="AR90" s="436" t="str">
        <f t="array" ref="AR90">IF(U90=DGET(claves!$A$2:$AS423,U$2,{claves!$A$2;$E90}),1,0)</f>
        <v>#VALUE!</v>
      </c>
      <c r="AS90" s="436" t="str">
        <f t="array" ref="AS90">IF(V90=DGET(claves!$A$2:$AS423,V$2,{claves!$A$2;$E90}),1,0)</f>
        <v>#VALUE!</v>
      </c>
      <c r="AT90" s="436" t="str">
        <f t="array" ref="AT90">IF(W90=DGET(claves!$A$2:$AS423,W$2,{claves!$A$2;$E90}),1,0)</f>
        <v>#VALUE!</v>
      </c>
      <c r="AU90" s="436" t="str">
        <f t="array" ref="AU90">IF(X90=DGET(claves!$A$2:$AS423,X$2,{claves!$A$2;$E90}),1,0)</f>
        <v>#VALUE!</v>
      </c>
      <c r="AV90" s="436" t="str">
        <f t="array" ref="AV90">IF(Y90=DGET(claves!$A$2:$AS423,Y$2,{claves!$A$2;$E90}),1,0)</f>
        <v>#VALUE!</v>
      </c>
      <c r="AW90" s="436" t="str">
        <f t="array" ref="AW90">IF(Z90=DGET(claves!$A$2:$AS423,Z$2,{claves!$A$2;$E90}),1,0)</f>
        <v>#VALUE!</v>
      </c>
      <c r="AX90" s="436" t="str">
        <f t="array" ref="AX90">IF(AA90=DGET(claves!$A$2:$AS423,AA$2,{claves!$A$2;$E90}),1,0)</f>
        <v>#VALUE!</v>
      </c>
      <c r="AY90" s="436" t="str">
        <f t="array" ref="AY90">IF(AB90=DGET(claves!$A$2:$AS423,AB$2,{claves!$A$2;$E90}),1,0)</f>
        <v>#VALUE!</v>
      </c>
      <c r="AZ90" s="436" t="str">
        <f t="array" ref="AZ90">IF(AC90=DGET(claves!$A$2:$AS423,AC$2,{claves!$A$2;$E90}),1,0)</f>
        <v>#VALUE!</v>
      </c>
      <c r="BA90" s="436" t="str">
        <f t="array" ref="BA90">IF(AD90=DGET(claves!$A$2:$AS423,AD$2,{claves!$A$2;$E90}),1,0)</f>
        <v>#VALUE!</v>
      </c>
      <c r="BB90" s="436" t="str">
        <f t="array" ref="BB90">IF(AE90=DGET(claves!$A$2:$AS423,AE$2,{claves!$A$2;$E90}),1,0)</f>
        <v>#VALUE!</v>
      </c>
      <c r="BC90" s="436" t="str">
        <f t="array" ref="BC90">IF(AF90=DGET(claves!$A$2:$AS423,AF$2,{claves!$A$2;$E90}),1,0)</f>
        <v>#VALUE!</v>
      </c>
      <c r="BD90" s="437" t="str">
        <f t="shared" si="1"/>
        <v>#VALUE!</v>
      </c>
      <c r="BE90" s="435"/>
      <c r="BF90" s="415"/>
    </row>
    <row r="91" ht="14.25" customHeight="1">
      <c r="A91" s="408">
        <v>89.0</v>
      </c>
      <c r="B91" s="153" t="s">
        <v>1653</v>
      </c>
      <c r="C91" s="153">
        <v>2024.0</v>
      </c>
      <c r="D91" s="77" t="s">
        <v>1817</v>
      </c>
      <c r="E91" s="409" t="s">
        <v>1820</v>
      </c>
      <c r="F91" s="77" t="s">
        <v>1819</v>
      </c>
      <c r="G91" s="432" t="s">
        <v>20</v>
      </c>
      <c r="H91" s="433" t="s">
        <v>1725</v>
      </c>
      <c r="I91" s="433" t="s">
        <v>1726</v>
      </c>
      <c r="J91" s="433" t="s">
        <v>1727</v>
      </c>
      <c r="K91" s="432" t="s">
        <v>1665</v>
      </c>
      <c r="L91" s="415"/>
      <c r="M91" s="434" t="s">
        <v>1659</v>
      </c>
      <c r="N91" s="434" t="s">
        <v>1660</v>
      </c>
      <c r="O91" s="434" t="s">
        <v>1660</v>
      </c>
      <c r="P91" s="434" t="s">
        <v>1660</v>
      </c>
      <c r="Q91" s="434" t="s">
        <v>1661</v>
      </c>
      <c r="R91" s="434" t="s">
        <v>1660</v>
      </c>
      <c r="S91" s="434" t="s">
        <v>1659</v>
      </c>
      <c r="T91" s="434" t="s">
        <v>1661</v>
      </c>
      <c r="U91" s="434" t="s">
        <v>1660</v>
      </c>
      <c r="V91" s="434" t="s">
        <v>1659</v>
      </c>
      <c r="W91" s="434" t="s">
        <v>1689</v>
      </c>
      <c r="X91" s="434" t="s">
        <v>1661</v>
      </c>
      <c r="Y91" s="434" t="s">
        <v>1660</v>
      </c>
      <c r="Z91" s="434" t="s">
        <v>1689</v>
      </c>
      <c r="AA91" s="434" t="s">
        <v>1659</v>
      </c>
      <c r="AB91" s="434" t="s">
        <v>1661</v>
      </c>
      <c r="AC91" s="434" t="s">
        <v>1689</v>
      </c>
      <c r="AD91" s="434" t="s">
        <v>1659</v>
      </c>
      <c r="AE91" s="434" t="s">
        <v>1661</v>
      </c>
      <c r="AF91" s="434" t="s">
        <v>1689</v>
      </c>
      <c r="AG91" s="427">
        <v>14.0</v>
      </c>
      <c r="AH91" s="435" t="s">
        <v>24</v>
      </c>
      <c r="AI91" s="415"/>
      <c r="AJ91" s="436" t="str">
        <f t="array" ref="AJ91">IF(M91=DGET(claves!$A$2:$AS423,M$2,{claves!$A$2;$E91}),1,0)</f>
        <v>#VALUE!</v>
      </c>
      <c r="AK91" s="436" t="str">
        <f t="array" ref="AK91">IF(N91=DGET(claves!$A$2:$AS423,N$2,{claves!$A$2;$E91}),1,0)</f>
        <v>#VALUE!</v>
      </c>
      <c r="AL91" s="436" t="str">
        <f t="array" ref="AL91">IF(O91=DGET(claves!$A$2:$AS423,O$2,{claves!$A$2;$E91}),1,0)</f>
        <v>#VALUE!</v>
      </c>
      <c r="AM91" s="436" t="str">
        <f t="array" ref="AM91">IF(P91=DGET(claves!$A$2:$AS423,P$2,{claves!$A$2;$E91}),1,0)</f>
        <v>#VALUE!</v>
      </c>
      <c r="AN91" s="436" t="str">
        <f t="array" ref="AN91">IF(Q91=DGET(claves!$A$2:$AS423,Q$2,{claves!$A$2;$E91}),1,0)</f>
        <v>#VALUE!</v>
      </c>
      <c r="AO91" s="436" t="str">
        <f t="array" ref="AO91">IF(R91=DGET(claves!$A$2:$AS423,R$2,{claves!$A$2;$E91}),1,0)</f>
        <v>#VALUE!</v>
      </c>
      <c r="AP91" s="436" t="str">
        <f t="array" ref="AP91">IF(S91=DGET(claves!$A$2:$AS423,S$2,{claves!$A$2;$E91}),1,0)</f>
        <v>#VALUE!</v>
      </c>
      <c r="AQ91" s="436" t="str">
        <f t="array" ref="AQ91">IF(T91=DGET(claves!$A$2:$AS423,T$2,{claves!$A$2;$E91}),1,0)</f>
        <v>#VALUE!</v>
      </c>
      <c r="AR91" s="436" t="str">
        <f t="array" ref="AR91">IF(U91=DGET(claves!$A$2:$AS423,U$2,{claves!$A$2;$E91}),1,0)</f>
        <v>#VALUE!</v>
      </c>
      <c r="AS91" s="436" t="str">
        <f t="array" ref="AS91">IF(V91=DGET(claves!$A$2:$AS423,V$2,{claves!$A$2;$E91}),1,0)</f>
        <v>#VALUE!</v>
      </c>
      <c r="AT91" s="436" t="str">
        <f t="array" ref="AT91">IF(W91=DGET(claves!$A$2:$AS423,W$2,{claves!$A$2;$E91}),1,0)</f>
        <v>#VALUE!</v>
      </c>
      <c r="AU91" s="436" t="str">
        <f t="array" ref="AU91">IF(X91=DGET(claves!$A$2:$AS423,X$2,{claves!$A$2;$E91}),1,0)</f>
        <v>#VALUE!</v>
      </c>
      <c r="AV91" s="436" t="str">
        <f t="array" ref="AV91">IF(Y91=DGET(claves!$A$2:$AS423,Y$2,{claves!$A$2;$E91}),1,0)</f>
        <v>#VALUE!</v>
      </c>
      <c r="AW91" s="436" t="str">
        <f t="array" ref="AW91">IF(Z91=DGET(claves!$A$2:$AS423,Z$2,{claves!$A$2;$E91}),1,0)</f>
        <v>#VALUE!</v>
      </c>
      <c r="AX91" s="436" t="str">
        <f t="array" ref="AX91">IF(AA91=DGET(claves!$A$2:$AS423,AA$2,{claves!$A$2;$E91}),1,0)</f>
        <v>#VALUE!</v>
      </c>
      <c r="AY91" s="436" t="str">
        <f t="array" ref="AY91">IF(AB91=DGET(claves!$A$2:$AS423,AB$2,{claves!$A$2;$E91}),1,0)</f>
        <v>#VALUE!</v>
      </c>
      <c r="AZ91" s="436" t="str">
        <f t="array" ref="AZ91">IF(AC91=DGET(claves!$A$2:$AS423,AC$2,{claves!$A$2;$E91}),1,0)</f>
        <v>#VALUE!</v>
      </c>
      <c r="BA91" s="436" t="str">
        <f t="array" ref="BA91">IF(AD91=DGET(claves!$A$2:$AS423,AD$2,{claves!$A$2;$E91}),1,0)</f>
        <v>#VALUE!</v>
      </c>
      <c r="BB91" s="436" t="str">
        <f t="array" ref="BB91">IF(AE91=DGET(claves!$A$2:$AS423,AE$2,{claves!$A$2;$E91}),1,0)</f>
        <v>#VALUE!</v>
      </c>
      <c r="BC91" s="436" t="str">
        <f t="array" ref="BC91">IF(AF91=DGET(claves!$A$2:$AS423,AF$2,{claves!$A$2;$E91}),1,0)</f>
        <v>#VALUE!</v>
      </c>
      <c r="BD91" s="437" t="str">
        <f t="shared" si="1"/>
        <v>#VALUE!</v>
      </c>
      <c r="BE91" s="435"/>
      <c r="BF91" s="415"/>
    </row>
    <row r="92" ht="14.25" customHeight="1">
      <c r="A92" s="408">
        <v>90.0</v>
      </c>
      <c r="B92" s="153" t="s">
        <v>1653</v>
      </c>
      <c r="C92" s="153">
        <v>2024.0</v>
      </c>
      <c r="D92" s="77" t="s">
        <v>1817</v>
      </c>
      <c r="E92" s="409" t="s">
        <v>1820</v>
      </c>
      <c r="F92" s="77" t="s">
        <v>1819</v>
      </c>
      <c r="G92" s="432" t="s">
        <v>20</v>
      </c>
      <c r="H92" s="433" t="s">
        <v>1728</v>
      </c>
      <c r="I92" s="433" t="s">
        <v>1729</v>
      </c>
      <c r="J92" s="433" t="s">
        <v>1730</v>
      </c>
      <c r="K92" s="432" t="s">
        <v>1665</v>
      </c>
      <c r="L92" s="415"/>
      <c r="M92" s="434" t="s">
        <v>1659</v>
      </c>
      <c r="N92" s="434" t="s">
        <v>1660</v>
      </c>
      <c r="O92" s="434" t="s">
        <v>1659</v>
      </c>
      <c r="P92" s="434" t="s">
        <v>1660</v>
      </c>
      <c r="Q92" s="434" t="s">
        <v>1660</v>
      </c>
      <c r="R92" s="434" t="s">
        <v>1661</v>
      </c>
      <c r="S92" s="434" t="s">
        <v>1659</v>
      </c>
      <c r="T92" s="434" t="s">
        <v>1659</v>
      </c>
      <c r="U92" s="434" t="s">
        <v>1661</v>
      </c>
      <c r="V92" s="434" t="s">
        <v>1689</v>
      </c>
      <c r="W92" s="434" t="s">
        <v>1659</v>
      </c>
      <c r="X92" s="434" t="s">
        <v>1660</v>
      </c>
      <c r="Y92" s="434" t="s">
        <v>1659</v>
      </c>
      <c r="Z92" s="434" t="s">
        <v>1659</v>
      </c>
      <c r="AA92" s="434" t="s">
        <v>1661</v>
      </c>
      <c r="AB92" s="434" t="s">
        <v>1689</v>
      </c>
      <c r="AC92" s="434" t="s">
        <v>1659</v>
      </c>
      <c r="AD92" s="434" t="s">
        <v>1661</v>
      </c>
      <c r="AE92" s="434" t="s">
        <v>1689</v>
      </c>
      <c r="AF92" s="434" t="s">
        <v>1659</v>
      </c>
      <c r="AG92" s="427">
        <v>5.0</v>
      </c>
      <c r="AH92" s="435" t="s">
        <v>18</v>
      </c>
      <c r="AI92" s="415"/>
      <c r="AJ92" s="436" t="str">
        <f t="array" ref="AJ92">IF(M92=DGET(claves!$A$2:$AS423,M$2,{claves!$A$2;$E92}),1,0)</f>
        <v>#VALUE!</v>
      </c>
      <c r="AK92" s="436" t="str">
        <f t="array" ref="AK92">IF(N92=DGET(claves!$A$2:$AS423,N$2,{claves!$A$2;$E92}),1,0)</f>
        <v>#VALUE!</v>
      </c>
      <c r="AL92" s="436" t="str">
        <f t="array" ref="AL92">IF(O92=DGET(claves!$A$2:$AS423,O$2,{claves!$A$2;$E92}),1,0)</f>
        <v>#VALUE!</v>
      </c>
      <c r="AM92" s="436" t="str">
        <f t="array" ref="AM92">IF(P92=DGET(claves!$A$2:$AS423,P$2,{claves!$A$2;$E92}),1,0)</f>
        <v>#VALUE!</v>
      </c>
      <c r="AN92" s="436" t="str">
        <f t="array" ref="AN92">IF(Q92=DGET(claves!$A$2:$AS423,Q$2,{claves!$A$2;$E92}),1,0)</f>
        <v>#VALUE!</v>
      </c>
      <c r="AO92" s="436" t="str">
        <f t="array" ref="AO92">IF(R92=DGET(claves!$A$2:$AS423,R$2,{claves!$A$2;$E92}),1,0)</f>
        <v>#VALUE!</v>
      </c>
      <c r="AP92" s="436" t="str">
        <f t="array" ref="AP92">IF(S92=DGET(claves!$A$2:$AS423,S$2,{claves!$A$2;$E92}),1,0)</f>
        <v>#VALUE!</v>
      </c>
      <c r="AQ92" s="436" t="str">
        <f t="array" ref="AQ92">IF(T92=DGET(claves!$A$2:$AS423,T$2,{claves!$A$2;$E92}),1,0)</f>
        <v>#VALUE!</v>
      </c>
      <c r="AR92" s="436" t="str">
        <f t="array" ref="AR92">IF(U92=DGET(claves!$A$2:$AS423,U$2,{claves!$A$2;$E92}),1,0)</f>
        <v>#VALUE!</v>
      </c>
      <c r="AS92" s="436" t="str">
        <f t="array" ref="AS92">IF(V92=DGET(claves!$A$2:$AS423,V$2,{claves!$A$2;$E92}),1,0)</f>
        <v>#VALUE!</v>
      </c>
      <c r="AT92" s="436" t="str">
        <f t="array" ref="AT92">IF(W92=DGET(claves!$A$2:$AS423,W$2,{claves!$A$2;$E92}),1,0)</f>
        <v>#VALUE!</v>
      </c>
      <c r="AU92" s="436" t="str">
        <f t="array" ref="AU92">IF(X92=DGET(claves!$A$2:$AS423,X$2,{claves!$A$2;$E92}),1,0)</f>
        <v>#VALUE!</v>
      </c>
      <c r="AV92" s="436" t="str">
        <f t="array" ref="AV92">IF(Y92=DGET(claves!$A$2:$AS423,Y$2,{claves!$A$2;$E92}),1,0)</f>
        <v>#VALUE!</v>
      </c>
      <c r="AW92" s="436" t="str">
        <f t="array" ref="AW92">IF(Z92=DGET(claves!$A$2:$AS423,Z$2,{claves!$A$2;$E92}),1,0)</f>
        <v>#VALUE!</v>
      </c>
      <c r="AX92" s="436" t="str">
        <f t="array" ref="AX92">IF(AA92=DGET(claves!$A$2:$AS423,AA$2,{claves!$A$2;$E92}),1,0)</f>
        <v>#VALUE!</v>
      </c>
      <c r="AY92" s="436" t="str">
        <f t="array" ref="AY92">IF(AB92=DGET(claves!$A$2:$AS423,AB$2,{claves!$A$2;$E92}),1,0)</f>
        <v>#VALUE!</v>
      </c>
      <c r="AZ92" s="436" t="str">
        <f t="array" ref="AZ92">IF(AC92=DGET(claves!$A$2:$AS423,AC$2,{claves!$A$2;$E92}),1,0)</f>
        <v>#VALUE!</v>
      </c>
      <c r="BA92" s="436" t="str">
        <f t="array" ref="BA92">IF(AD92=DGET(claves!$A$2:$AS423,AD$2,{claves!$A$2;$E92}),1,0)</f>
        <v>#VALUE!</v>
      </c>
      <c r="BB92" s="436" t="str">
        <f t="array" ref="BB92">IF(AE92=DGET(claves!$A$2:$AS423,AE$2,{claves!$A$2;$E92}),1,0)</f>
        <v>#VALUE!</v>
      </c>
      <c r="BC92" s="436" t="str">
        <f t="array" ref="BC92">IF(AF92=DGET(claves!$A$2:$AS423,AF$2,{claves!$A$2;$E92}),1,0)</f>
        <v>#VALUE!</v>
      </c>
      <c r="BD92" s="437" t="str">
        <f t="shared" si="1"/>
        <v>#VALUE!</v>
      </c>
      <c r="BE92" s="435"/>
      <c r="BF92" s="415"/>
    </row>
    <row r="93" ht="14.25" customHeight="1">
      <c r="A93" s="408">
        <v>91.0</v>
      </c>
      <c r="B93" s="153" t="s">
        <v>1653</v>
      </c>
      <c r="C93" s="153">
        <v>2024.0</v>
      </c>
      <c r="D93" s="77" t="s">
        <v>1817</v>
      </c>
      <c r="E93" s="409" t="s">
        <v>1820</v>
      </c>
      <c r="F93" s="77" t="s">
        <v>1819</v>
      </c>
      <c r="G93" s="432" t="s">
        <v>20</v>
      </c>
      <c r="H93" s="433" t="s">
        <v>1667</v>
      </c>
      <c r="I93" s="433" t="s">
        <v>1731</v>
      </c>
      <c r="J93" s="433" t="s">
        <v>1732</v>
      </c>
      <c r="K93" s="433" t="s">
        <v>1658</v>
      </c>
      <c r="L93" s="415"/>
      <c r="M93" s="434" t="s">
        <v>1659</v>
      </c>
      <c r="N93" s="434" t="s">
        <v>1660</v>
      </c>
      <c r="O93" s="434" t="s">
        <v>1660</v>
      </c>
      <c r="P93" s="434" t="s">
        <v>1660</v>
      </c>
      <c r="Q93" s="434" t="s">
        <v>1659</v>
      </c>
      <c r="R93" s="434" t="s">
        <v>1660</v>
      </c>
      <c r="S93" s="434" t="s">
        <v>1659</v>
      </c>
      <c r="T93" s="434" t="s">
        <v>1661</v>
      </c>
      <c r="U93" s="434" t="s">
        <v>1660</v>
      </c>
      <c r="V93" s="434" t="s">
        <v>1659</v>
      </c>
      <c r="W93" s="434" t="s">
        <v>1661</v>
      </c>
      <c r="X93" s="434" t="s">
        <v>1689</v>
      </c>
      <c r="Y93" s="434" t="s">
        <v>1660</v>
      </c>
      <c r="Z93" s="434" t="s">
        <v>1661</v>
      </c>
      <c r="AA93" s="434" t="s">
        <v>1659</v>
      </c>
      <c r="AB93" s="434" t="s">
        <v>1661</v>
      </c>
      <c r="AC93" s="434" t="s">
        <v>1689</v>
      </c>
      <c r="AD93" s="434" t="s">
        <v>1659</v>
      </c>
      <c r="AE93" s="434" t="s">
        <v>1660</v>
      </c>
      <c r="AF93" s="434" t="s">
        <v>1689</v>
      </c>
      <c r="AG93" s="427">
        <v>15.0</v>
      </c>
      <c r="AH93" s="435" t="s">
        <v>24</v>
      </c>
      <c r="AI93" s="415"/>
      <c r="AJ93" s="436" t="str">
        <f t="array" ref="AJ93">IF(M93=DGET(claves!$A$2:$AS423,M$2,{claves!$A$2;$E93}),1,0)</f>
        <v>#VALUE!</v>
      </c>
      <c r="AK93" s="436" t="str">
        <f t="array" ref="AK93">IF(N93=DGET(claves!$A$2:$AS423,N$2,{claves!$A$2;$E93}),1,0)</f>
        <v>#VALUE!</v>
      </c>
      <c r="AL93" s="436" t="str">
        <f t="array" ref="AL93">IF(O93=DGET(claves!$A$2:$AS423,O$2,{claves!$A$2;$E93}),1,0)</f>
        <v>#VALUE!</v>
      </c>
      <c r="AM93" s="436" t="str">
        <f t="array" ref="AM93">IF(P93=DGET(claves!$A$2:$AS423,P$2,{claves!$A$2;$E93}),1,0)</f>
        <v>#VALUE!</v>
      </c>
      <c r="AN93" s="436" t="str">
        <f t="array" ref="AN93">IF(Q93=DGET(claves!$A$2:$AS423,Q$2,{claves!$A$2;$E93}),1,0)</f>
        <v>#VALUE!</v>
      </c>
      <c r="AO93" s="436" t="str">
        <f t="array" ref="AO93">IF(R93=DGET(claves!$A$2:$AS423,R$2,{claves!$A$2;$E93}),1,0)</f>
        <v>#VALUE!</v>
      </c>
      <c r="AP93" s="436" t="str">
        <f t="array" ref="AP93">IF(S93=DGET(claves!$A$2:$AS423,S$2,{claves!$A$2;$E93}),1,0)</f>
        <v>#VALUE!</v>
      </c>
      <c r="AQ93" s="436" t="str">
        <f t="array" ref="AQ93">IF(T93=DGET(claves!$A$2:$AS423,T$2,{claves!$A$2;$E93}),1,0)</f>
        <v>#VALUE!</v>
      </c>
      <c r="AR93" s="436" t="str">
        <f t="array" ref="AR93">IF(U93=DGET(claves!$A$2:$AS423,U$2,{claves!$A$2;$E93}),1,0)</f>
        <v>#VALUE!</v>
      </c>
      <c r="AS93" s="436" t="str">
        <f t="array" ref="AS93">IF(V93=DGET(claves!$A$2:$AS423,V$2,{claves!$A$2;$E93}),1,0)</f>
        <v>#VALUE!</v>
      </c>
      <c r="AT93" s="436" t="str">
        <f t="array" ref="AT93">IF(W93=DGET(claves!$A$2:$AS423,W$2,{claves!$A$2;$E93}),1,0)</f>
        <v>#VALUE!</v>
      </c>
      <c r="AU93" s="436" t="str">
        <f t="array" ref="AU93">IF(X93=DGET(claves!$A$2:$AS423,X$2,{claves!$A$2;$E93}),1,0)</f>
        <v>#VALUE!</v>
      </c>
      <c r="AV93" s="436" t="str">
        <f t="array" ref="AV93">IF(Y93=DGET(claves!$A$2:$AS423,Y$2,{claves!$A$2;$E93}),1,0)</f>
        <v>#VALUE!</v>
      </c>
      <c r="AW93" s="436" t="str">
        <f t="array" ref="AW93">IF(Z93=DGET(claves!$A$2:$AS423,Z$2,{claves!$A$2;$E93}),1,0)</f>
        <v>#VALUE!</v>
      </c>
      <c r="AX93" s="436" t="str">
        <f t="array" ref="AX93">IF(AA93=DGET(claves!$A$2:$AS423,AA$2,{claves!$A$2;$E93}),1,0)</f>
        <v>#VALUE!</v>
      </c>
      <c r="AY93" s="436" t="str">
        <f t="array" ref="AY93">IF(AB93=DGET(claves!$A$2:$AS423,AB$2,{claves!$A$2;$E93}),1,0)</f>
        <v>#VALUE!</v>
      </c>
      <c r="AZ93" s="436" t="str">
        <f t="array" ref="AZ93">IF(AC93=DGET(claves!$A$2:$AS423,AC$2,{claves!$A$2;$E93}),1,0)</f>
        <v>#VALUE!</v>
      </c>
      <c r="BA93" s="436" t="str">
        <f t="array" ref="BA93">IF(AD93=DGET(claves!$A$2:$AS423,AD$2,{claves!$A$2;$E93}),1,0)</f>
        <v>#VALUE!</v>
      </c>
      <c r="BB93" s="436" t="str">
        <f t="array" ref="BB93">IF(AE93=DGET(claves!$A$2:$AS423,AE$2,{claves!$A$2;$E93}),1,0)</f>
        <v>#VALUE!</v>
      </c>
      <c r="BC93" s="436" t="str">
        <f t="array" ref="BC93">IF(AF93=DGET(claves!$A$2:$AS423,AF$2,{claves!$A$2;$E93}),1,0)</f>
        <v>#VALUE!</v>
      </c>
      <c r="BD93" s="437" t="str">
        <f t="shared" si="1"/>
        <v>#VALUE!</v>
      </c>
      <c r="BE93" s="435"/>
      <c r="BF93" s="415"/>
    </row>
    <row r="94" ht="14.25" customHeight="1">
      <c r="A94" s="408">
        <v>92.0</v>
      </c>
      <c r="B94" s="153" t="s">
        <v>1653</v>
      </c>
      <c r="C94" s="153">
        <v>2024.0</v>
      </c>
      <c r="D94" s="77" t="s">
        <v>1817</v>
      </c>
      <c r="E94" s="409" t="s">
        <v>1820</v>
      </c>
      <c r="F94" s="77" t="s">
        <v>1819</v>
      </c>
      <c r="G94" s="432" t="s">
        <v>20</v>
      </c>
      <c r="H94" s="433" t="s">
        <v>1733</v>
      </c>
      <c r="I94" s="433" t="s">
        <v>1734</v>
      </c>
      <c r="J94" s="433" t="s">
        <v>1735</v>
      </c>
      <c r="K94" s="432" t="s">
        <v>1665</v>
      </c>
      <c r="L94" s="415"/>
      <c r="M94" s="434" t="s">
        <v>1659</v>
      </c>
      <c r="N94" s="434" t="s">
        <v>1660</v>
      </c>
      <c r="O94" s="434" t="s">
        <v>1659</v>
      </c>
      <c r="P94" s="434" t="s">
        <v>1660</v>
      </c>
      <c r="Q94" s="434" t="s">
        <v>1661</v>
      </c>
      <c r="R94" s="434" t="s">
        <v>1660</v>
      </c>
      <c r="S94" s="434" t="s">
        <v>1659</v>
      </c>
      <c r="T94" s="434" t="s">
        <v>1661</v>
      </c>
      <c r="U94" s="434" t="s">
        <v>1660</v>
      </c>
      <c r="V94" s="434" t="s">
        <v>1659</v>
      </c>
      <c r="W94" s="434" t="s">
        <v>1661</v>
      </c>
      <c r="X94" s="434" t="s">
        <v>1661</v>
      </c>
      <c r="Y94" s="434" t="s">
        <v>1661</v>
      </c>
      <c r="Z94" s="434" t="s">
        <v>1659</v>
      </c>
      <c r="AA94" s="434" t="s">
        <v>1659</v>
      </c>
      <c r="AB94" s="434" t="s">
        <v>1660</v>
      </c>
      <c r="AC94" s="434" t="s">
        <v>1659</v>
      </c>
      <c r="AD94" s="434" t="s">
        <v>1661</v>
      </c>
      <c r="AE94" s="434" t="s">
        <v>1659</v>
      </c>
      <c r="AF94" s="434" t="s">
        <v>1659</v>
      </c>
      <c r="AG94" s="427">
        <v>10.0</v>
      </c>
      <c r="AH94" s="435" t="s">
        <v>18</v>
      </c>
      <c r="AI94" s="415"/>
      <c r="AJ94" s="436" t="str">
        <f t="array" ref="AJ94">IF(M94=DGET(claves!$A$2:$AS423,M$2,{claves!$A$2;$E94}),1,0)</f>
        <v>#VALUE!</v>
      </c>
      <c r="AK94" s="436" t="str">
        <f t="array" ref="AK94">IF(N94=DGET(claves!$A$2:$AS423,N$2,{claves!$A$2;$E94}),1,0)</f>
        <v>#VALUE!</v>
      </c>
      <c r="AL94" s="436" t="str">
        <f t="array" ref="AL94">IF(O94=DGET(claves!$A$2:$AS423,O$2,{claves!$A$2;$E94}),1,0)</f>
        <v>#VALUE!</v>
      </c>
      <c r="AM94" s="436" t="str">
        <f t="array" ref="AM94">IF(P94=DGET(claves!$A$2:$AS423,P$2,{claves!$A$2;$E94}),1,0)</f>
        <v>#VALUE!</v>
      </c>
      <c r="AN94" s="436" t="str">
        <f t="array" ref="AN94">IF(Q94=DGET(claves!$A$2:$AS423,Q$2,{claves!$A$2;$E94}),1,0)</f>
        <v>#VALUE!</v>
      </c>
      <c r="AO94" s="436" t="str">
        <f t="array" ref="AO94">IF(R94=DGET(claves!$A$2:$AS423,R$2,{claves!$A$2;$E94}),1,0)</f>
        <v>#VALUE!</v>
      </c>
      <c r="AP94" s="436" t="str">
        <f t="array" ref="AP94">IF(S94=DGET(claves!$A$2:$AS423,S$2,{claves!$A$2;$E94}),1,0)</f>
        <v>#VALUE!</v>
      </c>
      <c r="AQ94" s="436" t="str">
        <f t="array" ref="AQ94">IF(T94=DGET(claves!$A$2:$AS423,T$2,{claves!$A$2;$E94}),1,0)</f>
        <v>#VALUE!</v>
      </c>
      <c r="AR94" s="436" t="str">
        <f t="array" ref="AR94">IF(U94=DGET(claves!$A$2:$AS423,U$2,{claves!$A$2;$E94}),1,0)</f>
        <v>#VALUE!</v>
      </c>
      <c r="AS94" s="436" t="str">
        <f t="array" ref="AS94">IF(V94=DGET(claves!$A$2:$AS423,V$2,{claves!$A$2;$E94}),1,0)</f>
        <v>#VALUE!</v>
      </c>
      <c r="AT94" s="436" t="str">
        <f t="array" ref="AT94">IF(W94=DGET(claves!$A$2:$AS423,W$2,{claves!$A$2;$E94}),1,0)</f>
        <v>#VALUE!</v>
      </c>
      <c r="AU94" s="436" t="str">
        <f t="array" ref="AU94">IF(X94=DGET(claves!$A$2:$AS423,X$2,{claves!$A$2;$E94}),1,0)</f>
        <v>#VALUE!</v>
      </c>
      <c r="AV94" s="436" t="str">
        <f t="array" ref="AV94">IF(Y94=DGET(claves!$A$2:$AS423,Y$2,{claves!$A$2;$E94}),1,0)</f>
        <v>#VALUE!</v>
      </c>
      <c r="AW94" s="436" t="str">
        <f t="array" ref="AW94">IF(Z94=DGET(claves!$A$2:$AS423,Z$2,{claves!$A$2;$E94}),1,0)</f>
        <v>#VALUE!</v>
      </c>
      <c r="AX94" s="436" t="str">
        <f t="array" ref="AX94">IF(AA94=DGET(claves!$A$2:$AS423,AA$2,{claves!$A$2;$E94}),1,0)</f>
        <v>#VALUE!</v>
      </c>
      <c r="AY94" s="436" t="str">
        <f t="array" ref="AY94">IF(AB94=DGET(claves!$A$2:$AS423,AB$2,{claves!$A$2;$E94}),1,0)</f>
        <v>#VALUE!</v>
      </c>
      <c r="AZ94" s="436" t="str">
        <f t="array" ref="AZ94">IF(AC94=DGET(claves!$A$2:$AS423,AC$2,{claves!$A$2;$E94}),1,0)</f>
        <v>#VALUE!</v>
      </c>
      <c r="BA94" s="436" t="str">
        <f t="array" ref="BA94">IF(AD94=DGET(claves!$A$2:$AS423,AD$2,{claves!$A$2;$E94}),1,0)</f>
        <v>#VALUE!</v>
      </c>
      <c r="BB94" s="436" t="str">
        <f t="array" ref="BB94">IF(AE94=DGET(claves!$A$2:$AS423,AE$2,{claves!$A$2;$E94}),1,0)</f>
        <v>#VALUE!</v>
      </c>
      <c r="BC94" s="436" t="str">
        <f t="array" ref="BC94">IF(AF94=DGET(claves!$A$2:$AS423,AF$2,{claves!$A$2;$E94}),1,0)</f>
        <v>#VALUE!</v>
      </c>
      <c r="BD94" s="437" t="str">
        <f t="shared" si="1"/>
        <v>#VALUE!</v>
      </c>
      <c r="BE94" s="435"/>
      <c r="BF94" s="415"/>
    </row>
    <row r="95" ht="14.25" customHeight="1">
      <c r="A95" s="408">
        <v>93.0</v>
      </c>
      <c r="B95" s="153" t="s">
        <v>1653</v>
      </c>
      <c r="C95" s="153">
        <v>2024.0</v>
      </c>
      <c r="D95" s="77" t="s">
        <v>1817</v>
      </c>
      <c r="E95" s="409" t="s">
        <v>1820</v>
      </c>
      <c r="F95" s="77" t="s">
        <v>1819</v>
      </c>
      <c r="G95" s="432" t="s">
        <v>20</v>
      </c>
      <c r="H95" s="433" t="s">
        <v>1716</v>
      </c>
      <c r="I95" s="433" t="s">
        <v>1719</v>
      </c>
      <c r="J95" s="433" t="s">
        <v>1736</v>
      </c>
      <c r="K95" s="433" t="s">
        <v>1658</v>
      </c>
      <c r="L95" s="415"/>
      <c r="M95" s="434" t="s">
        <v>1659</v>
      </c>
      <c r="N95" s="434" t="s">
        <v>1659</v>
      </c>
      <c r="O95" s="434" t="s">
        <v>1659</v>
      </c>
      <c r="P95" s="434" t="s">
        <v>1659</v>
      </c>
      <c r="Q95" s="434" t="s">
        <v>1660</v>
      </c>
      <c r="R95" s="434" t="s">
        <v>1689</v>
      </c>
      <c r="S95" s="434" t="s">
        <v>1659</v>
      </c>
      <c r="T95" s="434" t="s">
        <v>1661</v>
      </c>
      <c r="U95" s="434" t="s">
        <v>1660</v>
      </c>
      <c r="V95" s="434" t="s">
        <v>1659</v>
      </c>
      <c r="W95" s="434" t="s">
        <v>1661</v>
      </c>
      <c r="X95" s="434" t="s">
        <v>1661</v>
      </c>
      <c r="Y95" s="434" t="s">
        <v>1661</v>
      </c>
      <c r="Z95" s="434" t="s">
        <v>1661</v>
      </c>
      <c r="AA95" s="434" t="s">
        <v>1659</v>
      </c>
      <c r="AB95" s="434" t="s">
        <v>1661</v>
      </c>
      <c r="AC95" s="434" t="s">
        <v>1689</v>
      </c>
      <c r="AD95" s="434" t="s">
        <v>1689</v>
      </c>
      <c r="AE95" s="434" t="s">
        <v>1661</v>
      </c>
      <c r="AF95" s="434" t="s">
        <v>1689</v>
      </c>
      <c r="AG95" s="427">
        <v>12.0</v>
      </c>
      <c r="AH95" s="435" t="s">
        <v>24</v>
      </c>
      <c r="AI95" s="415"/>
      <c r="AJ95" s="436" t="str">
        <f t="array" ref="AJ95">IF(M95=DGET(claves!$A$2:$AS423,M$2,{claves!$A$2;$E95}),1,0)</f>
        <v>#VALUE!</v>
      </c>
      <c r="AK95" s="436" t="str">
        <f t="array" ref="AK95">IF(N95=DGET(claves!$A$2:$AS423,N$2,{claves!$A$2;$E95}),1,0)</f>
        <v>#VALUE!</v>
      </c>
      <c r="AL95" s="436" t="str">
        <f t="array" ref="AL95">IF(O95=DGET(claves!$A$2:$AS423,O$2,{claves!$A$2;$E95}),1,0)</f>
        <v>#VALUE!</v>
      </c>
      <c r="AM95" s="436" t="str">
        <f t="array" ref="AM95">IF(P95=DGET(claves!$A$2:$AS423,P$2,{claves!$A$2;$E95}),1,0)</f>
        <v>#VALUE!</v>
      </c>
      <c r="AN95" s="436" t="str">
        <f t="array" ref="AN95">IF(Q95=DGET(claves!$A$2:$AS423,Q$2,{claves!$A$2;$E95}),1,0)</f>
        <v>#VALUE!</v>
      </c>
      <c r="AO95" s="436" t="str">
        <f t="array" ref="AO95">IF(R95=DGET(claves!$A$2:$AS423,R$2,{claves!$A$2;$E95}),1,0)</f>
        <v>#VALUE!</v>
      </c>
      <c r="AP95" s="436" t="str">
        <f t="array" ref="AP95">IF(S95=DGET(claves!$A$2:$AS423,S$2,{claves!$A$2;$E95}),1,0)</f>
        <v>#VALUE!</v>
      </c>
      <c r="AQ95" s="436" t="str">
        <f t="array" ref="AQ95">IF(T95=DGET(claves!$A$2:$AS423,T$2,{claves!$A$2;$E95}),1,0)</f>
        <v>#VALUE!</v>
      </c>
      <c r="AR95" s="436" t="str">
        <f t="array" ref="AR95">IF(U95=DGET(claves!$A$2:$AS423,U$2,{claves!$A$2;$E95}),1,0)</f>
        <v>#VALUE!</v>
      </c>
      <c r="AS95" s="436" t="str">
        <f t="array" ref="AS95">IF(V95=DGET(claves!$A$2:$AS423,V$2,{claves!$A$2;$E95}),1,0)</f>
        <v>#VALUE!</v>
      </c>
      <c r="AT95" s="436" t="str">
        <f t="array" ref="AT95">IF(W95=DGET(claves!$A$2:$AS423,W$2,{claves!$A$2;$E95}),1,0)</f>
        <v>#VALUE!</v>
      </c>
      <c r="AU95" s="436" t="str">
        <f t="array" ref="AU95">IF(X95=DGET(claves!$A$2:$AS423,X$2,{claves!$A$2;$E95}),1,0)</f>
        <v>#VALUE!</v>
      </c>
      <c r="AV95" s="436" t="str">
        <f t="array" ref="AV95">IF(Y95=DGET(claves!$A$2:$AS423,Y$2,{claves!$A$2;$E95}),1,0)</f>
        <v>#VALUE!</v>
      </c>
      <c r="AW95" s="436" t="str">
        <f t="array" ref="AW95">IF(Z95=DGET(claves!$A$2:$AS423,Z$2,{claves!$A$2;$E95}),1,0)</f>
        <v>#VALUE!</v>
      </c>
      <c r="AX95" s="436" t="str">
        <f t="array" ref="AX95">IF(AA95=DGET(claves!$A$2:$AS423,AA$2,{claves!$A$2;$E95}),1,0)</f>
        <v>#VALUE!</v>
      </c>
      <c r="AY95" s="436" t="str">
        <f t="array" ref="AY95">IF(AB95=DGET(claves!$A$2:$AS423,AB$2,{claves!$A$2;$E95}),1,0)</f>
        <v>#VALUE!</v>
      </c>
      <c r="AZ95" s="436" t="str">
        <f t="array" ref="AZ95">IF(AC95=DGET(claves!$A$2:$AS423,AC$2,{claves!$A$2;$E95}),1,0)</f>
        <v>#VALUE!</v>
      </c>
      <c r="BA95" s="436" t="str">
        <f t="array" ref="BA95">IF(AD95=DGET(claves!$A$2:$AS423,AD$2,{claves!$A$2;$E95}),1,0)</f>
        <v>#VALUE!</v>
      </c>
      <c r="BB95" s="436" t="str">
        <f t="array" ref="BB95">IF(AE95=DGET(claves!$A$2:$AS423,AE$2,{claves!$A$2;$E95}),1,0)</f>
        <v>#VALUE!</v>
      </c>
      <c r="BC95" s="436" t="str">
        <f t="array" ref="BC95">IF(AF95=DGET(claves!$A$2:$AS423,AF$2,{claves!$A$2;$E95}),1,0)</f>
        <v>#VALUE!</v>
      </c>
      <c r="BD95" s="437" t="str">
        <f t="shared" si="1"/>
        <v>#VALUE!</v>
      </c>
      <c r="BE95" s="435"/>
      <c r="BF95" s="415"/>
    </row>
    <row r="96" ht="14.25" customHeight="1">
      <c r="A96" s="408">
        <v>94.0</v>
      </c>
      <c r="B96" s="153" t="s">
        <v>1653</v>
      </c>
      <c r="C96" s="153">
        <v>2024.0</v>
      </c>
      <c r="D96" s="77" t="s">
        <v>1817</v>
      </c>
      <c r="E96" s="409" t="s">
        <v>1820</v>
      </c>
      <c r="F96" s="77" t="s">
        <v>1819</v>
      </c>
      <c r="G96" s="432" t="s">
        <v>20</v>
      </c>
      <c r="H96" s="433" t="s">
        <v>1676</v>
      </c>
      <c r="I96" s="433" t="s">
        <v>1737</v>
      </c>
      <c r="J96" s="433" t="s">
        <v>1738</v>
      </c>
      <c r="K96" s="432" t="s">
        <v>1665</v>
      </c>
      <c r="L96" s="415"/>
      <c r="M96" s="434" t="s">
        <v>1659</v>
      </c>
      <c r="N96" s="434" t="s">
        <v>1660</v>
      </c>
      <c r="O96" s="434" t="s">
        <v>1660</v>
      </c>
      <c r="P96" s="434" t="s">
        <v>1660</v>
      </c>
      <c r="Q96" s="434" t="s">
        <v>1661</v>
      </c>
      <c r="R96" s="434" t="s">
        <v>1660</v>
      </c>
      <c r="S96" s="434" t="s">
        <v>1659</v>
      </c>
      <c r="T96" s="434" t="s">
        <v>1661</v>
      </c>
      <c r="U96" s="434" t="s">
        <v>1660</v>
      </c>
      <c r="V96" s="434" t="s">
        <v>1659</v>
      </c>
      <c r="W96" s="434" t="s">
        <v>1661</v>
      </c>
      <c r="X96" s="434" t="s">
        <v>1689</v>
      </c>
      <c r="Y96" s="434" t="s">
        <v>1660</v>
      </c>
      <c r="Z96" s="434" t="s">
        <v>1661</v>
      </c>
      <c r="AA96" s="434" t="s">
        <v>1659</v>
      </c>
      <c r="AB96" s="434" t="s">
        <v>1661</v>
      </c>
      <c r="AC96" s="434" t="s">
        <v>1660</v>
      </c>
      <c r="AD96" s="434" t="s">
        <v>1659</v>
      </c>
      <c r="AE96" s="434" t="s">
        <v>1659</v>
      </c>
      <c r="AF96" s="434" t="s">
        <v>1689</v>
      </c>
      <c r="AG96" s="427">
        <v>16.0</v>
      </c>
      <c r="AH96" s="435" t="s">
        <v>24</v>
      </c>
      <c r="AI96" s="415"/>
      <c r="AJ96" s="436" t="str">
        <f t="array" ref="AJ96">IF(M96=DGET(claves!$A$2:$AS423,M$2,{claves!$A$2;$E96}),1,0)</f>
        <v>#VALUE!</v>
      </c>
      <c r="AK96" s="436" t="str">
        <f t="array" ref="AK96">IF(N96=DGET(claves!$A$2:$AS423,N$2,{claves!$A$2;$E96}),1,0)</f>
        <v>#VALUE!</v>
      </c>
      <c r="AL96" s="436" t="str">
        <f t="array" ref="AL96">IF(O96=DGET(claves!$A$2:$AS423,O$2,{claves!$A$2;$E96}),1,0)</f>
        <v>#VALUE!</v>
      </c>
      <c r="AM96" s="436" t="str">
        <f t="array" ref="AM96">IF(P96=DGET(claves!$A$2:$AS423,P$2,{claves!$A$2;$E96}),1,0)</f>
        <v>#VALUE!</v>
      </c>
      <c r="AN96" s="436" t="str">
        <f t="array" ref="AN96">IF(Q96=DGET(claves!$A$2:$AS423,Q$2,{claves!$A$2;$E96}),1,0)</f>
        <v>#VALUE!</v>
      </c>
      <c r="AO96" s="436" t="str">
        <f t="array" ref="AO96">IF(R96=DGET(claves!$A$2:$AS423,R$2,{claves!$A$2;$E96}),1,0)</f>
        <v>#VALUE!</v>
      </c>
      <c r="AP96" s="436" t="str">
        <f t="array" ref="AP96">IF(S96=DGET(claves!$A$2:$AS423,S$2,{claves!$A$2;$E96}),1,0)</f>
        <v>#VALUE!</v>
      </c>
      <c r="AQ96" s="436" t="str">
        <f t="array" ref="AQ96">IF(T96=DGET(claves!$A$2:$AS423,T$2,{claves!$A$2;$E96}),1,0)</f>
        <v>#VALUE!</v>
      </c>
      <c r="AR96" s="436" t="str">
        <f t="array" ref="AR96">IF(U96=DGET(claves!$A$2:$AS423,U$2,{claves!$A$2;$E96}),1,0)</f>
        <v>#VALUE!</v>
      </c>
      <c r="AS96" s="436" t="str">
        <f t="array" ref="AS96">IF(V96=DGET(claves!$A$2:$AS423,V$2,{claves!$A$2;$E96}),1,0)</f>
        <v>#VALUE!</v>
      </c>
      <c r="AT96" s="436" t="str">
        <f t="array" ref="AT96">IF(W96=DGET(claves!$A$2:$AS423,W$2,{claves!$A$2;$E96}),1,0)</f>
        <v>#VALUE!</v>
      </c>
      <c r="AU96" s="436" t="str">
        <f t="array" ref="AU96">IF(X96=DGET(claves!$A$2:$AS423,X$2,{claves!$A$2;$E96}),1,0)</f>
        <v>#VALUE!</v>
      </c>
      <c r="AV96" s="436" t="str">
        <f t="array" ref="AV96">IF(Y96=DGET(claves!$A$2:$AS423,Y$2,{claves!$A$2;$E96}),1,0)</f>
        <v>#VALUE!</v>
      </c>
      <c r="AW96" s="436" t="str">
        <f t="array" ref="AW96">IF(Z96=DGET(claves!$A$2:$AS423,Z$2,{claves!$A$2;$E96}),1,0)</f>
        <v>#VALUE!</v>
      </c>
      <c r="AX96" s="436" t="str">
        <f t="array" ref="AX96">IF(AA96=DGET(claves!$A$2:$AS423,AA$2,{claves!$A$2;$E96}),1,0)</f>
        <v>#VALUE!</v>
      </c>
      <c r="AY96" s="436" t="str">
        <f t="array" ref="AY96">IF(AB96=DGET(claves!$A$2:$AS423,AB$2,{claves!$A$2;$E96}),1,0)</f>
        <v>#VALUE!</v>
      </c>
      <c r="AZ96" s="436" t="str">
        <f t="array" ref="AZ96">IF(AC96=DGET(claves!$A$2:$AS423,AC$2,{claves!$A$2;$E96}),1,0)</f>
        <v>#VALUE!</v>
      </c>
      <c r="BA96" s="436" t="str">
        <f t="array" ref="BA96">IF(AD96=DGET(claves!$A$2:$AS423,AD$2,{claves!$A$2;$E96}),1,0)</f>
        <v>#VALUE!</v>
      </c>
      <c r="BB96" s="436" t="str">
        <f t="array" ref="BB96">IF(AE96=DGET(claves!$A$2:$AS423,AE$2,{claves!$A$2;$E96}),1,0)</f>
        <v>#VALUE!</v>
      </c>
      <c r="BC96" s="436" t="str">
        <f t="array" ref="BC96">IF(AF96=DGET(claves!$A$2:$AS423,AF$2,{claves!$A$2;$E96}),1,0)</f>
        <v>#VALUE!</v>
      </c>
      <c r="BD96" s="437" t="str">
        <f t="shared" si="1"/>
        <v>#VALUE!</v>
      </c>
      <c r="BE96" s="435"/>
      <c r="BF96" s="415"/>
    </row>
    <row r="97" ht="14.25" customHeight="1">
      <c r="A97" s="408">
        <v>95.0</v>
      </c>
      <c r="B97" s="153" t="s">
        <v>1653</v>
      </c>
      <c r="C97" s="153">
        <v>2024.0</v>
      </c>
      <c r="D97" s="77" t="s">
        <v>1817</v>
      </c>
      <c r="E97" s="409" t="s">
        <v>1820</v>
      </c>
      <c r="F97" s="77" t="s">
        <v>1819</v>
      </c>
      <c r="G97" s="432" t="s">
        <v>20</v>
      </c>
      <c r="H97" s="433" t="s">
        <v>1703</v>
      </c>
      <c r="I97" s="433" t="s">
        <v>1739</v>
      </c>
      <c r="J97" s="433" t="s">
        <v>1740</v>
      </c>
      <c r="K97" s="432" t="s">
        <v>1665</v>
      </c>
      <c r="L97" s="415"/>
      <c r="M97" s="434" t="s">
        <v>1661</v>
      </c>
      <c r="N97" s="434" t="s">
        <v>1660</v>
      </c>
      <c r="O97" s="434" t="s">
        <v>1689</v>
      </c>
      <c r="P97" s="434" t="s">
        <v>1689</v>
      </c>
      <c r="Q97" s="434" t="s">
        <v>1659</v>
      </c>
      <c r="R97" s="434" t="s">
        <v>1661</v>
      </c>
      <c r="S97" s="434" t="s">
        <v>1659</v>
      </c>
      <c r="T97" s="434" t="s">
        <v>1661</v>
      </c>
      <c r="U97" s="434" t="s">
        <v>1689</v>
      </c>
      <c r="V97" s="434" t="s">
        <v>1660</v>
      </c>
      <c r="W97" s="434" t="s">
        <v>1661</v>
      </c>
      <c r="X97" s="434" t="s">
        <v>1659</v>
      </c>
      <c r="Y97" s="434" t="s">
        <v>1659</v>
      </c>
      <c r="Z97" s="434" t="s">
        <v>1661</v>
      </c>
      <c r="AA97" s="434" t="s">
        <v>1661</v>
      </c>
      <c r="AB97" s="434" t="s">
        <v>1660</v>
      </c>
      <c r="AC97" s="434"/>
      <c r="AD97" s="434"/>
      <c r="AE97" s="434"/>
      <c r="AF97" s="434" t="s">
        <v>1660</v>
      </c>
      <c r="AG97" s="427">
        <v>5.0</v>
      </c>
      <c r="AH97" s="435" t="s">
        <v>18</v>
      </c>
      <c r="AI97" s="415"/>
      <c r="AJ97" s="436" t="str">
        <f t="array" ref="AJ97">IF(M97=DGET(claves!$A$2:$AS423,M$2,{claves!$A$2;$E97}),1,0)</f>
        <v>#VALUE!</v>
      </c>
      <c r="AK97" s="436" t="str">
        <f t="array" ref="AK97">IF(N97=DGET(claves!$A$2:$AS423,N$2,{claves!$A$2;$E97}),1,0)</f>
        <v>#VALUE!</v>
      </c>
      <c r="AL97" s="436" t="str">
        <f t="array" ref="AL97">IF(O97=DGET(claves!$A$2:$AS423,O$2,{claves!$A$2;$E97}),1,0)</f>
        <v>#VALUE!</v>
      </c>
      <c r="AM97" s="436" t="str">
        <f t="array" ref="AM97">IF(P97=DGET(claves!$A$2:$AS423,P$2,{claves!$A$2;$E97}),1,0)</f>
        <v>#VALUE!</v>
      </c>
      <c r="AN97" s="436" t="str">
        <f t="array" ref="AN97">IF(Q97=DGET(claves!$A$2:$AS423,Q$2,{claves!$A$2;$E97}),1,0)</f>
        <v>#VALUE!</v>
      </c>
      <c r="AO97" s="436" t="str">
        <f t="array" ref="AO97">IF(R97=DGET(claves!$A$2:$AS423,R$2,{claves!$A$2;$E97}),1,0)</f>
        <v>#VALUE!</v>
      </c>
      <c r="AP97" s="436" t="str">
        <f t="array" ref="AP97">IF(S97=DGET(claves!$A$2:$AS423,S$2,{claves!$A$2;$E97}),1,0)</f>
        <v>#VALUE!</v>
      </c>
      <c r="AQ97" s="436" t="str">
        <f t="array" ref="AQ97">IF(T97=DGET(claves!$A$2:$AS423,T$2,{claves!$A$2;$E97}),1,0)</f>
        <v>#VALUE!</v>
      </c>
      <c r="AR97" s="436" t="str">
        <f t="array" ref="AR97">IF(U97=DGET(claves!$A$2:$AS423,U$2,{claves!$A$2;$E97}),1,0)</f>
        <v>#VALUE!</v>
      </c>
      <c r="AS97" s="436" t="str">
        <f t="array" ref="AS97">IF(V97=DGET(claves!$A$2:$AS423,V$2,{claves!$A$2;$E97}),1,0)</f>
        <v>#VALUE!</v>
      </c>
      <c r="AT97" s="436" t="str">
        <f t="array" ref="AT97">IF(W97=DGET(claves!$A$2:$AS423,W$2,{claves!$A$2;$E97}),1,0)</f>
        <v>#VALUE!</v>
      </c>
      <c r="AU97" s="436" t="str">
        <f t="array" ref="AU97">IF(X97=DGET(claves!$A$2:$AS423,X$2,{claves!$A$2;$E97}),1,0)</f>
        <v>#VALUE!</v>
      </c>
      <c r="AV97" s="436" t="str">
        <f t="array" ref="AV97">IF(Y97=DGET(claves!$A$2:$AS423,Y$2,{claves!$A$2;$E97}),1,0)</f>
        <v>#VALUE!</v>
      </c>
      <c r="AW97" s="436" t="str">
        <f t="array" ref="AW97">IF(Z97=DGET(claves!$A$2:$AS423,Z$2,{claves!$A$2;$E97}),1,0)</f>
        <v>#VALUE!</v>
      </c>
      <c r="AX97" s="436" t="str">
        <f t="array" ref="AX97">IF(AA97=DGET(claves!$A$2:$AS423,AA$2,{claves!$A$2;$E97}),1,0)</f>
        <v>#VALUE!</v>
      </c>
      <c r="AY97" s="436" t="str">
        <f t="array" ref="AY97">IF(AB97=DGET(claves!$A$2:$AS423,AB$2,{claves!$A$2;$E97}),1,0)</f>
        <v>#VALUE!</v>
      </c>
      <c r="AZ97" s="436" t="str">
        <f t="array" ref="AZ97">IF(AC97=DGET(claves!$A$2:$AS423,AC$2,{claves!$A$2;$E97}),1,0)</f>
        <v>#VALUE!</v>
      </c>
      <c r="BA97" s="436" t="str">
        <f t="array" ref="BA97">IF(AD97=DGET(claves!$A$2:$AS423,AD$2,{claves!$A$2;$E97}),1,0)</f>
        <v>#VALUE!</v>
      </c>
      <c r="BB97" s="436" t="str">
        <f t="array" ref="BB97">IF(AE97=DGET(claves!$A$2:$AS423,AE$2,{claves!$A$2;$E97}),1,0)</f>
        <v>#VALUE!</v>
      </c>
      <c r="BC97" s="436" t="str">
        <f t="array" ref="BC97">IF(AF97=DGET(claves!$A$2:$AS423,AF$2,{claves!$A$2;$E97}),1,0)</f>
        <v>#VALUE!</v>
      </c>
      <c r="BD97" s="437" t="str">
        <f t="shared" si="1"/>
        <v>#VALUE!</v>
      </c>
      <c r="BE97" s="435"/>
      <c r="BF97" s="415"/>
    </row>
    <row r="98" ht="14.25" customHeight="1">
      <c r="A98" s="408">
        <v>96.0</v>
      </c>
      <c r="B98" s="153" t="s">
        <v>1653</v>
      </c>
      <c r="C98" s="153">
        <v>2024.0</v>
      </c>
      <c r="D98" s="77" t="s">
        <v>1817</v>
      </c>
      <c r="E98" s="409" t="s">
        <v>1820</v>
      </c>
      <c r="F98" s="77" t="s">
        <v>1819</v>
      </c>
      <c r="G98" s="432" t="s">
        <v>20</v>
      </c>
      <c r="H98" s="433" t="s">
        <v>1741</v>
      </c>
      <c r="I98" s="433" t="s">
        <v>1742</v>
      </c>
      <c r="J98" s="433" t="s">
        <v>1743</v>
      </c>
      <c r="K98" s="433" t="s">
        <v>1658</v>
      </c>
      <c r="L98" s="415"/>
      <c r="M98" s="434" t="s">
        <v>1659</v>
      </c>
      <c r="N98" s="434" t="s">
        <v>1689</v>
      </c>
      <c r="O98" s="434" t="s">
        <v>1660</v>
      </c>
      <c r="P98" s="434" t="s">
        <v>1659</v>
      </c>
      <c r="Q98" s="434" t="s">
        <v>1661</v>
      </c>
      <c r="R98" s="434" t="s">
        <v>1660</v>
      </c>
      <c r="S98" s="434" t="s">
        <v>1659</v>
      </c>
      <c r="T98" s="434" t="s">
        <v>1661</v>
      </c>
      <c r="U98" s="434" t="s">
        <v>1689</v>
      </c>
      <c r="V98" s="434" t="s">
        <v>1659</v>
      </c>
      <c r="W98" s="434" t="s">
        <v>1689</v>
      </c>
      <c r="X98" s="434" t="s">
        <v>1659</v>
      </c>
      <c r="Y98" s="434" t="s">
        <v>1661</v>
      </c>
      <c r="Z98" s="434" t="s">
        <v>1689</v>
      </c>
      <c r="AA98" s="434" t="s">
        <v>1660</v>
      </c>
      <c r="AB98" s="434" t="s">
        <v>1660</v>
      </c>
      <c r="AC98" s="434" t="s">
        <v>1660</v>
      </c>
      <c r="AD98" s="434" t="s">
        <v>1661</v>
      </c>
      <c r="AE98" s="434" t="s">
        <v>1659</v>
      </c>
      <c r="AF98" s="434" t="s">
        <v>1689</v>
      </c>
      <c r="AG98" s="427">
        <v>7.0</v>
      </c>
      <c r="AH98" s="435" t="s">
        <v>18</v>
      </c>
      <c r="AI98" s="415"/>
      <c r="AJ98" s="436" t="str">
        <f t="array" ref="AJ98">IF(M98=DGET(claves!$A$2:$AS423,M$2,{claves!$A$2;$E98}),1,0)</f>
        <v>#VALUE!</v>
      </c>
      <c r="AK98" s="436" t="str">
        <f t="array" ref="AK98">IF(N98=DGET(claves!$A$2:$AS423,N$2,{claves!$A$2;$E98}),1,0)</f>
        <v>#VALUE!</v>
      </c>
      <c r="AL98" s="436" t="str">
        <f t="array" ref="AL98">IF(O98=DGET(claves!$A$2:$AS423,O$2,{claves!$A$2;$E98}),1,0)</f>
        <v>#VALUE!</v>
      </c>
      <c r="AM98" s="436" t="str">
        <f t="array" ref="AM98">IF(P98=DGET(claves!$A$2:$AS423,P$2,{claves!$A$2;$E98}),1,0)</f>
        <v>#VALUE!</v>
      </c>
      <c r="AN98" s="436" t="str">
        <f t="array" ref="AN98">IF(Q98=DGET(claves!$A$2:$AS423,Q$2,{claves!$A$2;$E98}),1,0)</f>
        <v>#VALUE!</v>
      </c>
      <c r="AO98" s="436" t="str">
        <f t="array" ref="AO98">IF(R98=DGET(claves!$A$2:$AS423,R$2,{claves!$A$2;$E98}),1,0)</f>
        <v>#VALUE!</v>
      </c>
      <c r="AP98" s="436" t="str">
        <f t="array" ref="AP98">IF(S98=DGET(claves!$A$2:$AS423,S$2,{claves!$A$2;$E98}),1,0)</f>
        <v>#VALUE!</v>
      </c>
      <c r="AQ98" s="436" t="str">
        <f t="array" ref="AQ98">IF(T98=DGET(claves!$A$2:$AS423,T$2,{claves!$A$2;$E98}),1,0)</f>
        <v>#VALUE!</v>
      </c>
      <c r="AR98" s="436" t="str">
        <f t="array" ref="AR98">IF(U98=DGET(claves!$A$2:$AS423,U$2,{claves!$A$2;$E98}),1,0)</f>
        <v>#VALUE!</v>
      </c>
      <c r="AS98" s="436" t="str">
        <f t="array" ref="AS98">IF(V98=DGET(claves!$A$2:$AS423,V$2,{claves!$A$2;$E98}),1,0)</f>
        <v>#VALUE!</v>
      </c>
      <c r="AT98" s="436" t="str">
        <f t="array" ref="AT98">IF(W98=DGET(claves!$A$2:$AS423,W$2,{claves!$A$2;$E98}),1,0)</f>
        <v>#VALUE!</v>
      </c>
      <c r="AU98" s="436" t="str">
        <f t="array" ref="AU98">IF(X98=DGET(claves!$A$2:$AS423,X$2,{claves!$A$2;$E98}),1,0)</f>
        <v>#VALUE!</v>
      </c>
      <c r="AV98" s="436" t="str">
        <f t="array" ref="AV98">IF(Y98=DGET(claves!$A$2:$AS423,Y$2,{claves!$A$2;$E98}),1,0)</f>
        <v>#VALUE!</v>
      </c>
      <c r="AW98" s="436" t="str">
        <f t="array" ref="AW98">IF(Z98=DGET(claves!$A$2:$AS423,Z$2,{claves!$A$2;$E98}),1,0)</f>
        <v>#VALUE!</v>
      </c>
      <c r="AX98" s="436" t="str">
        <f t="array" ref="AX98">IF(AA98=DGET(claves!$A$2:$AS423,AA$2,{claves!$A$2;$E98}),1,0)</f>
        <v>#VALUE!</v>
      </c>
      <c r="AY98" s="436" t="str">
        <f t="array" ref="AY98">IF(AB98=DGET(claves!$A$2:$AS423,AB$2,{claves!$A$2;$E98}),1,0)</f>
        <v>#VALUE!</v>
      </c>
      <c r="AZ98" s="436" t="str">
        <f t="array" ref="AZ98">IF(AC98=DGET(claves!$A$2:$AS423,AC$2,{claves!$A$2;$E98}),1,0)</f>
        <v>#VALUE!</v>
      </c>
      <c r="BA98" s="436" t="str">
        <f t="array" ref="BA98">IF(AD98=DGET(claves!$A$2:$AS423,AD$2,{claves!$A$2;$E98}),1,0)</f>
        <v>#VALUE!</v>
      </c>
      <c r="BB98" s="436" t="str">
        <f t="array" ref="BB98">IF(AE98=DGET(claves!$A$2:$AS423,AE$2,{claves!$A$2;$E98}),1,0)</f>
        <v>#VALUE!</v>
      </c>
      <c r="BC98" s="436" t="str">
        <f t="array" ref="BC98">IF(AF98=DGET(claves!$A$2:$AS423,AF$2,{claves!$A$2;$E98}),1,0)</f>
        <v>#VALUE!</v>
      </c>
      <c r="BD98" s="437" t="str">
        <f t="shared" si="1"/>
        <v>#VALUE!</v>
      </c>
      <c r="BE98" s="435"/>
      <c r="BF98" s="415"/>
    </row>
    <row r="99" ht="14.25" customHeight="1">
      <c r="A99" s="408">
        <v>97.0</v>
      </c>
      <c r="B99" s="153" t="s">
        <v>1653</v>
      </c>
      <c r="C99" s="153">
        <v>2024.0</v>
      </c>
      <c r="D99" s="77" t="s">
        <v>1817</v>
      </c>
      <c r="E99" s="409" t="s">
        <v>1820</v>
      </c>
      <c r="F99" s="77" t="s">
        <v>1819</v>
      </c>
      <c r="G99" s="432" t="s">
        <v>20</v>
      </c>
      <c r="H99" s="433" t="s">
        <v>1744</v>
      </c>
      <c r="I99" s="433" t="s">
        <v>1728</v>
      </c>
      <c r="J99" s="433" t="s">
        <v>1745</v>
      </c>
      <c r="K99" s="433" t="s">
        <v>1658</v>
      </c>
      <c r="L99" s="415"/>
      <c r="M99" s="434" t="s">
        <v>1659</v>
      </c>
      <c r="N99" s="434" t="s">
        <v>1660</v>
      </c>
      <c r="O99" s="434" t="s">
        <v>1660</v>
      </c>
      <c r="P99" s="434" t="s">
        <v>1660</v>
      </c>
      <c r="Q99" s="434" t="s">
        <v>1659</v>
      </c>
      <c r="R99" s="434" t="s">
        <v>1660</v>
      </c>
      <c r="S99" s="434" t="s">
        <v>1660</v>
      </c>
      <c r="T99" s="434" t="s">
        <v>1661</v>
      </c>
      <c r="U99" s="434" t="s">
        <v>1660</v>
      </c>
      <c r="V99" s="434" t="s">
        <v>1659</v>
      </c>
      <c r="W99" s="434" t="s">
        <v>1660</v>
      </c>
      <c r="X99" s="434" t="s">
        <v>1660</v>
      </c>
      <c r="Y99" s="434" t="s">
        <v>1660</v>
      </c>
      <c r="Z99" s="434" t="s">
        <v>1660</v>
      </c>
      <c r="AA99" s="434" t="s">
        <v>1660</v>
      </c>
      <c r="AB99" s="434" t="s">
        <v>1659</v>
      </c>
      <c r="AC99" s="434" t="s">
        <v>1660</v>
      </c>
      <c r="AD99" s="434" t="s">
        <v>1689</v>
      </c>
      <c r="AE99" s="434" t="s">
        <v>1661</v>
      </c>
      <c r="AF99" s="434" t="s">
        <v>1660</v>
      </c>
      <c r="AG99" s="427">
        <v>9.0</v>
      </c>
      <c r="AH99" s="435" t="s">
        <v>18</v>
      </c>
      <c r="AI99" s="415"/>
      <c r="AJ99" s="436" t="str">
        <f t="array" ref="AJ99">IF(M99=DGET(claves!$A$2:$AS423,M$2,{claves!$A$2;$E99}),1,0)</f>
        <v>#VALUE!</v>
      </c>
      <c r="AK99" s="436" t="str">
        <f t="array" ref="AK99">IF(N99=DGET(claves!$A$2:$AS423,N$2,{claves!$A$2;$E99}),1,0)</f>
        <v>#VALUE!</v>
      </c>
      <c r="AL99" s="436" t="str">
        <f t="array" ref="AL99">IF(O99=DGET(claves!$A$2:$AS423,O$2,{claves!$A$2;$E99}),1,0)</f>
        <v>#VALUE!</v>
      </c>
      <c r="AM99" s="436" t="str">
        <f t="array" ref="AM99">IF(P99=DGET(claves!$A$2:$AS423,P$2,{claves!$A$2;$E99}),1,0)</f>
        <v>#VALUE!</v>
      </c>
      <c r="AN99" s="436" t="str">
        <f t="array" ref="AN99">IF(Q99=DGET(claves!$A$2:$AS423,Q$2,{claves!$A$2;$E99}),1,0)</f>
        <v>#VALUE!</v>
      </c>
      <c r="AO99" s="436" t="str">
        <f t="array" ref="AO99">IF(R99=DGET(claves!$A$2:$AS423,R$2,{claves!$A$2;$E99}),1,0)</f>
        <v>#VALUE!</v>
      </c>
      <c r="AP99" s="436" t="str">
        <f t="array" ref="AP99">IF(S99=DGET(claves!$A$2:$AS423,S$2,{claves!$A$2;$E99}),1,0)</f>
        <v>#VALUE!</v>
      </c>
      <c r="AQ99" s="436" t="str">
        <f t="array" ref="AQ99">IF(T99=DGET(claves!$A$2:$AS423,T$2,{claves!$A$2;$E99}),1,0)</f>
        <v>#VALUE!</v>
      </c>
      <c r="AR99" s="436" t="str">
        <f t="array" ref="AR99">IF(U99=DGET(claves!$A$2:$AS423,U$2,{claves!$A$2;$E99}),1,0)</f>
        <v>#VALUE!</v>
      </c>
      <c r="AS99" s="436" t="str">
        <f t="array" ref="AS99">IF(V99=DGET(claves!$A$2:$AS423,V$2,{claves!$A$2;$E99}),1,0)</f>
        <v>#VALUE!</v>
      </c>
      <c r="AT99" s="436" t="str">
        <f t="array" ref="AT99">IF(W99=DGET(claves!$A$2:$AS423,W$2,{claves!$A$2;$E99}),1,0)</f>
        <v>#VALUE!</v>
      </c>
      <c r="AU99" s="436" t="str">
        <f t="array" ref="AU99">IF(X99=DGET(claves!$A$2:$AS423,X$2,{claves!$A$2;$E99}),1,0)</f>
        <v>#VALUE!</v>
      </c>
      <c r="AV99" s="436" t="str">
        <f t="array" ref="AV99">IF(Y99=DGET(claves!$A$2:$AS423,Y$2,{claves!$A$2;$E99}),1,0)</f>
        <v>#VALUE!</v>
      </c>
      <c r="AW99" s="436" t="str">
        <f t="array" ref="AW99">IF(Z99=DGET(claves!$A$2:$AS423,Z$2,{claves!$A$2;$E99}),1,0)</f>
        <v>#VALUE!</v>
      </c>
      <c r="AX99" s="436" t="str">
        <f t="array" ref="AX99">IF(AA99=DGET(claves!$A$2:$AS423,AA$2,{claves!$A$2;$E99}),1,0)</f>
        <v>#VALUE!</v>
      </c>
      <c r="AY99" s="436" t="str">
        <f t="array" ref="AY99">IF(AB99=DGET(claves!$A$2:$AS423,AB$2,{claves!$A$2;$E99}),1,0)</f>
        <v>#VALUE!</v>
      </c>
      <c r="AZ99" s="436" t="str">
        <f t="array" ref="AZ99">IF(AC99=DGET(claves!$A$2:$AS423,AC$2,{claves!$A$2;$E99}),1,0)</f>
        <v>#VALUE!</v>
      </c>
      <c r="BA99" s="436" t="str">
        <f t="array" ref="BA99">IF(AD99=DGET(claves!$A$2:$AS423,AD$2,{claves!$A$2;$E99}),1,0)</f>
        <v>#VALUE!</v>
      </c>
      <c r="BB99" s="436" t="str">
        <f t="array" ref="BB99">IF(AE99=DGET(claves!$A$2:$AS423,AE$2,{claves!$A$2;$E99}),1,0)</f>
        <v>#VALUE!</v>
      </c>
      <c r="BC99" s="436" t="str">
        <f t="array" ref="BC99">IF(AF99=DGET(claves!$A$2:$AS423,AF$2,{claves!$A$2;$E99}),1,0)</f>
        <v>#VALUE!</v>
      </c>
      <c r="BD99" s="437" t="str">
        <f t="shared" si="1"/>
        <v>#VALUE!</v>
      </c>
      <c r="BE99" s="435"/>
      <c r="BF99" s="415"/>
    </row>
    <row r="100" ht="14.25" customHeight="1">
      <c r="A100" s="408">
        <v>98.0</v>
      </c>
      <c r="B100" s="153" t="s">
        <v>1653</v>
      </c>
      <c r="C100" s="153">
        <v>2024.0</v>
      </c>
      <c r="D100" s="77" t="s">
        <v>1817</v>
      </c>
      <c r="E100" s="409" t="s">
        <v>1820</v>
      </c>
      <c r="F100" s="77" t="s">
        <v>1819</v>
      </c>
      <c r="G100" s="432" t="s">
        <v>20</v>
      </c>
      <c r="H100" s="433" t="s">
        <v>1746</v>
      </c>
      <c r="I100" s="433" t="s">
        <v>1728</v>
      </c>
      <c r="J100" s="433" t="s">
        <v>1747</v>
      </c>
      <c r="K100" s="432" t="s">
        <v>1665</v>
      </c>
      <c r="L100" s="415"/>
      <c r="M100" s="434" t="s">
        <v>1659</v>
      </c>
      <c r="N100" s="434" t="s">
        <v>1661</v>
      </c>
      <c r="O100" s="434" t="s">
        <v>1659</v>
      </c>
      <c r="P100" s="434" t="s">
        <v>1660</v>
      </c>
      <c r="Q100" s="434" t="s">
        <v>1661</v>
      </c>
      <c r="R100" s="434" t="s">
        <v>1660</v>
      </c>
      <c r="S100" s="434" t="s">
        <v>1659</v>
      </c>
      <c r="T100" s="434" t="s">
        <v>1661</v>
      </c>
      <c r="U100" s="434" t="s">
        <v>1660</v>
      </c>
      <c r="V100" s="434" t="s">
        <v>1659</v>
      </c>
      <c r="W100" s="434" t="s">
        <v>1689</v>
      </c>
      <c r="X100" s="434" t="s">
        <v>1661</v>
      </c>
      <c r="Y100" s="434" t="s">
        <v>1661</v>
      </c>
      <c r="Z100" s="434" t="s">
        <v>1661</v>
      </c>
      <c r="AA100" s="434" t="s">
        <v>1659</v>
      </c>
      <c r="AB100" s="434" t="s">
        <v>1689</v>
      </c>
      <c r="AC100" s="434" t="s">
        <v>1689</v>
      </c>
      <c r="AD100" s="434" t="s">
        <v>1689</v>
      </c>
      <c r="AE100" s="434"/>
      <c r="AF100" s="434" t="s">
        <v>1661</v>
      </c>
      <c r="AG100" s="427">
        <v>9.0</v>
      </c>
      <c r="AH100" s="435" t="s">
        <v>18</v>
      </c>
      <c r="AI100" s="415"/>
      <c r="AJ100" s="436" t="str">
        <f t="array" ref="AJ100">IF(M100=DGET(claves!$A$2:$AS423,M$2,{claves!$A$2;$E100}),1,0)</f>
        <v>#VALUE!</v>
      </c>
      <c r="AK100" s="436" t="str">
        <f t="array" ref="AK100">IF(N100=DGET(claves!$A$2:$AS423,N$2,{claves!$A$2;$E100}),1,0)</f>
        <v>#VALUE!</v>
      </c>
      <c r="AL100" s="436" t="str">
        <f t="array" ref="AL100">IF(O100=DGET(claves!$A$2:$AS423,O$2,{claves!$A$2;$E100}),1,0)</f>
        <v>#VALUE!</v>
      </c>
      <c r="AM100" s="436" t="str">
        <f t="array" ref="AM100">IF(P100=DGET(claves!$A$2:$AS423,P$2,{claves!$A$2;$E100}),1,0)</f>
        <v>#VALUE!</v>
      </c>
      <c r="AN100" s="436" t="str">
        <f t="array" ref="AN100">IF(Q100=DGET(claves!$A$2:$AS423,Q$2,{claves!$A$2;$E100}),1,0)</f>
        <v>#VALUE!</v>
      </c>
      <c r="AO100" s="436" t="str">
        <f t="array" ref="AO100">IF(R100=DGET(claves!$A$2:$AS423,R$2,{claves!$A$2;$E100}),1,0)</f>
        <v>#VALUE!</v>
      </c>
      <c r="AP100" s="436" t="str">
        <f t="array" ref="AP100">IF(S100=DGET(claves!$A$2:$AS423,S$2,{claves!$A$2;$E100}),1,0)</f>
        <v>#VALUE!</v>
      </c>
      <c r="AQ100" s="436" t="str">
        <f t="array" ref="AQ100">IF(T100=DGET(claves!$A$2:$AS423,T$2,{claves!$A$2;$E100}),1,0)</f>
        <v>#VALUE!</v>
      </c>
      <c r="AR100" s="436" t="str">
        <f t="array" ref="AR100">IF(U100=DGET(claves!$A$2:$AS423,U$2,{claves!$A$2;$E100}),1,0)</f>
        <v>#VALUE!</v>
      </c>
      <c r="AS100" s="436" t="str">
        <f t="array" ref="AS100">IF(V100=DGET(claves!$A$2:$AS423,V$2,{claves!$A$2;$E100}),1,0)</f>
        <v>#VALUE!</v>
      </c>
      <c r="AT100" s="436" t="str">
        <f t="array" ref="AT100">IF(W100=DGET(claves!$A$2:$AS423,W$2,{claves!$A$2;$E100}),1,0)</f>
        <v>#VALUE!</v>
      </c>
      <c r="AU100" s="436" t="str">
        <f t="array" ref="AU100">IF(X100=DGET(claves!$A$2:$AS423,X$2,{claves!$A$2;$E100}),1,0)</f>
        <v>#VALUE!</v>
      </c>
      <c r="AV100" s="436" t="str">
        <f t="array" ref="AV100">IF(Y100=DGET(claves!$A$2:$AS423,Y$2,{claves!$A$2;$E100}),1,0)</f>
        <v>#VALUE!</v>
      </c>
      <c r="AW100" s="436" t="str">
        <f t="array" ref="AW100">IF(Z100=DGET(claves!$A$2:$AS423,Z$2,{claves!$A$2;$E100}),1,0)</f>
        <v>#VALUE!</v>
      </c>
      <c r="AX100" s="436" t="str">
        <f t="array" ref="AX100">IF(AA100=DGET(claves!$A$2:$AS423,AA$2,{claves!$A$2;$E100}),1,0)</f>
        <v>#VALUE!</v>
      </c>
      <c r="AY100" s="436" t="str">
        <f t="array" ref="AY100">IF(AB100=DGET(claves!$A$2:$AS423,AB$2,{claves!$A$2;$E100}),1,0)</f>
        <v>#VALUE!</v>
      </c>
      <c r="AZ100" s="436" t="str">
        <f t="array" ref="AZ100">IF(AC100=DGET(claves!$A$2:$AS423,AC$2,{claves!$A$2;$E100}),1,0)</f>
        <v>#VALUE!</v>
      </c>
      <c r="BA100" s="436" t="str">
        <f t="array" ref="BA100">IF(AD100=DGET(claves!$A$2:$AS423,AD$2,{claves!$A$2;$E100}),1,0)</f>
        <v>#VALUE!</v>
      </c>
      <c r="BB100" s="436" t="str">
        <f t="array" ref="BB100">IF(AE100=DGET(claves!$A$2:$AS423,AE$2,{claves!$A$2;$E100}),1,0)</f>
        <v>#VALUE!</v>
      </c>
      <c r="BC100" s="436" t="str">
        <f t="array" ref="BC100">IF(AF100=DGET(claves!$A$2:$AS423,AF$2,{claves!$A$2;$E100}),1,0)</f>
        <v>#VALUE!</v>
      </c>
      <c r="BD100" s="437" t="str">
        <f t="shared" si="1"/>
        <v>#VALUE!</v>
      </c>
      <c r="BE100" s="435"/>
      <c r="BF100" s="415"/>
    </row>
    <row r="101" ht="14.25" customHeight="1">
      <c r="A101" s="408">
        <v>99.0</v>
      </c>
      <c r="B101" s="153" t="s">
        <v>1653</v>
      </c>
      <c r="C101" s="153">
        <v>2024.0</v>
      </c>
      <c r="D101" s="77" t="s">
        <v>1817</v>
      </c>
      <c r="E101" s="409" t="s">
        <v>1820</v>
      </c>
      <c r="F101" s="77" t="s">
        <v>1819</v>
      </c>
      <c r="G101" s="432" t="s">
        <v>20</v>
      </c>
      <c r="H101" s="433" t="s">
        <v>1748</v>
      </c>
      <c r="I101" s="433" t="s">
        <v>1749</v>
      </c>
      <c r="J101" s="433" t="s">
        <v>1750</v>
      </c>
      <c r="K101" s="432" t="s">
        <v>1665</v>
      </c>
      <c r="L101" s="415"/>
      <c r="M101" s="434"/>
      <c r="N101" s="434"/>
      <c r="O101" s="434"/>
      <c r="P101" s="434"/>
      <c r="Q101" s="434"/>
      <c r="R101" s="434"/>
      <c r="S101" s="434"/>
      <c r="T101" s="434"/>
      <c r="U101" s="434"/>
      <c r="V101" s="434"/>
      <c r="W101" s="434"/>
      <c r="X101" s="434"/>
      <c r="Y101" s="434"/>
      <c r="Z101" s="434"/>
      <c r="AA101" s="434"/>
      <c r="AB101" s="434"/>
      <c r="AC101" s="434"/>
      <c r="AD101" s="434"/>
      <c r="AE101" s="434"/>
      <c r="AF101" s="434"/>
      <c r="AG101" s="427">
        <v>0.0</v>
      </c>
      <c r="AH101" s="435" t="s">
        <v>1468</v>
      </c>
      <c r="AI101" s="415"/>
      <c r="AJ101" s="436" t="str">
        <f t="array" ref="AJ101">IF(M101=DGET(claves!$A$2:$AS423,M$2,{claves!$A$2;$E101}),1,0)</f>
        <v>#VALUE!</v>
      </c>
      <c r="AK101" s="436" t="str">
        <f t="array" ref="AK101">IF(N101=DGET(claves!$A$2:$AS423,N$2,{claves!$A$2;$E101}),1,0)</f>
        <v>#VALUE!</v>
      </c>
      <c r="AL101" s="436" t="str">
        <f t="array" ref="AL101">IF(O101=DGET(claves!$A$2:$AS423,O$2,{claves!$A$2;$E101}),1,0)</f>
        <v>#VALUE!</v>
      </c>
      <c r="AM101" s="436" t="str">
        <f t="array" ref="AM101">IF(P101=DGET(claves!$A$2:$AS423,P$2,{claves!$A$2;$E101}),1,0)</f>
        <v>#VALUE!</v>
      </c>
      <c r="AN101" s="436" t="str">
        <f t="array" ref="AN101">IF(Q101=DGET(claves!$A$2:$AS423,Q$2,{claves!$A$2;$E101}),1,0)</f>
        <v>#VALUE!</v>
      </c>
      <c r="AO101" s="436" t="str">
        <f t="array" ref="AO101">IF(R101=DGET(claves!$A$2:$AS423,R$2,{claves!$A$2;$E101}),1,0)</f>
        <v>#VALUE!</v>
      </c>
      <c r="AP101" s="436" t="str">
        <f t="array" ref="AP101">IF(S101=DGET(claves!$A$2:$AS423,S$2,{claves!$A$2;$E101}),1,0)</f>
        <v>#VALUE!</v>
      </c>
      <c r="AQ101" s="436" t="str">
        <f t="array" ref="AQ101">IF(T101=DGET(claves!$A$2:$AS423,T$2,{claves!$A$2;$E101}),1,0)</f>
        <v>#VALUE!</v>
      </c>
      <c r="AR101" s="436" t="str">
        <f t="array" ref="AR101">IF(U101=DGET(claves!$A$2:$AS423,U$2,{claves!$A$2;$E101}),1,0)</f>
        <v>#VALUE!</v>
      </c>
      <c r="AS101" s="436" t="str">
        <f t="array" ref="AS101">IF(V101=DGET(claves!$A$2:$AS423,V$2,{claves!$A$2;$E101}),1,0)</f>
        <v>#VALUE!</v>
      </c>
      <c r="AT101" s="436" t="str">
        <f t="array" ref="AT101">IF(W101=DGET(claves!$A$2:$AS423,W$2,{claves!$A$2;$E101}),1,0)</f>
        <v>#VALUE!</v>
      </c>
      <c r="AU101" s="436" t="str">
        <f t="array" ref="AU101">IF(X101=DGET(claves!$A$2:$AS423,X$2,{claves!$A$2;$E101}),1,0)</f>
        <v>#VALUE!</v>
      </c>
      <c r="AV101" s="436" t="str">
        <f t="array" ref="AV101">IF(Y101=DGET(claves!$A$2:$AS423,Y$2,{claves!$A$2;$E101}),1,0)</f>
        <v>#VALUE!</v>
      </c>
      <c r="AW101" s="436" t="str">
        <f t="array" ref="AW101">IF(Z101=DGET(claves!$A$2:$AS423,Z$2,{claves!$A$2;$E101}),1,0)</f>
        <v>#VALUE!</v>
      </c>
      <c r="AX101" s="436" t="str">
        <f t="array" ref="AX101">IF(AA101=DGET(claves!$A$2:$AS423,AA$2,{claves!$A$2;$E101}),1,0)</f>
        <v>#VALUE!</v>
      </c>
      <c r="AY101" s="436" t="str">
        <f t="array" ref="AY101">IF(AB101=DGET(claves!$A$2:$AS423,AB$2,{claves!$A$2;$E101}),1,0)</f>
        <v>#VALUE!</v>
      </c>
      <c r="AZ101" s="436" t="str">
        <f t="array" ref="AZ101">IF(AC101=DGET(claves!$A$2:$AS423,AC$2,{claves!$A$2;$E101}),1,0)</f>
        <v>#VALUE!</v>
      </c>
      <c r="BA101" s="436" t="str">
        <f t="array" ref="BA101">IF(AD101=DGET(claves!$A$2:$AS423,AD$2,{claves!$A$2;$E101}),1,0)</f>
        <v>#VALUE!</v>
      </c>
      <c r="BB101" s="436" t="str">
        <f t="array" ref="BB101">IF(AE101=DGET(claves!$A$2:$AS423,AE$2,{claves!$A$2;$E101}),1,0)</f>
        <v>#VALUE!</v>
      </c>
      <c r="BC101" s="436" t="str">
        <f t="array" ref="BC101">IF(AF101=DGET(claves!$A$2:$AS423,AF$2,{claves!$A$2;$E101}),1,0)</f>
        <v>#VALUE!</v>
      </c>
      <c r="BD101" s="437" t="str">
        <f t="shared" si="1"/>
        <v>#VALUE!</v>
      </c>
      <c r="BE101" s="435"/>
      <c r="BF101" s="415"/>
    </row>
    <row r="102" ht="14.25" customHeight="1">
      <c r="A102" s="408">
        <v>100.0</v>
      </c>
      <c r="B102" s="153" t="s">
        <v>1653</v>
      </c>
      <c r="C102" s="153">
        <v>2024.0</v>
      </c>
      <c r="D102" s="77" t="s">
        <v>1817</v>
      </c>
      <c r="E102" s="409" t="s">
        <v>1820</v>
      </c>
      <c r="F102" s="77" t="s">
        <v>1819</v>
      </c>
      <c r="G102" s="432" t="s">
        <v>20</v>
      </c>
      <c r="H102" s="433" t="s">
        <v>1751</v>
      </c>
      <c r="I102" s="433" t="s">
        <v>1752</v>
      </c>
      <c r="J102" s="433" t="s">
        <v>1753</v>
      </c>
      <c r="K102" s="433" t="s">
        <v>1658</v>
      </c>
      <c r="L102" s="415"/>
      <c r="M102" s="434"/>
      <c r="N102" s="434"/>
      <c r="O102" s="434"/>
      <c r="P102" s="434"/>
      <c r="Q102" s="434"/>
      <c r="R102" s="434"/>
      <c r="S102" s="434"/>
      <c r="T102" s="434"/>
      <c r="U102" s="434"/>
      <c r="V102" s="434"/>
      <c r="W102" s="434"/>
      <c r="X102" s="434"/>
      <c r="Y102" s="434"/>
      <c r="Z102" s="434"/>
      <c r="AA102" s="434"/>
      <c r="AB102" s="434"/>
      <c r="AC102" s="434"/>
      <c r="AD102" s="434"/>
      <c r="AE102" s="434"/>
      <c r="AF102" s="434"/>
      <c r="AG102" s="427">
        <v>0.0</v>
      </c>
      <c r="AH102" s="435" t="s">
        <v>1468</v>
      </c>
      <c r="AI102" s="415"/>
      <c r="AJ102" s="436" t="str">
        <f t="array" ref="AJ102">IF(M102=DGET(claves!$A$2:$AS423,M$2,{claves!$A$2;$E102}),1,0)</f>
        <v>#VALUE!</v>
      </c>
      <c r="AK102" s="436" t="str">
        <f t="array" ref="AK102">IF(N102=DGET(claves!$A$2:$AS423,N$2,{claves!$A$2;$E102}),1,0)</f>
        <v>#VALUE!</v>
      </c>
      <c r="AL102" s="436" t="str">
        <f t="array" ref="AL102">IF(O102=DGET(claves!$A$2:$AS423,O$2,{claves!$A$2;$E102}),1,0)</f>
        <v>#VALUE!</v>
      </c>
      <c r="AM102" s="436" t="str">
        <f t="array" ref="AM102">IF(P102=DGET(claves!$A$2:$AS423,P$2,{claves!$A$2;$E102}),1,0)</f>
        <v>#VALUE!</v>
      </c>
      <c r="AN102" s="436" t="str">
        <f t="array" ref="AN102">IF(Q102=DGET(claves!$A$2:$AS423,Q$2,{claves!$A$2;$E102}),1,0)</f>
        <v>#VALUE!</v>
      </c>
      <c r="AO102" s="436" t="str">
        <f t="array" ref="AO102">IF(R102=DGET(claves!$A$2:$AS423,R$2,{claves!$A$2;$E102}),1,0)</f>
        <v>#VALUE!</v>
      </c>
      <c r="AP102" s="436" t="str">
        <f t="array" ref="AP102">IF(S102=DGET(claves!$A$2:$AS423,S$2,{claves!$A$2;$E102}),1,0)</f>
        <v>#VALUE!</v>
      </c>
      <c r="AQ102" s="436" t="str">
        <f t="array" ref="AQ102">IF(T102=DGET(claves!$A$2:$AS423,T$2,{claves!$A$2;$E102}),1,0)</f>
        <v>#VALUE!</v>
      </c>
      <c r="AR102" s="436" t="str">
        <f t="array" ref="AR102">IF(U102=DGET(claves!$A$2:$AS423,U$2,{claves!$A$2;$E102}),1,0)</f>
        <v>#VALUE!</v>
      </c>
      <c r="AS102" s="436" t="str">
        <f t="array" ref="AS102">IF(V102=DGET(claves!$A$2:$AS423,V$2,{claves!$A$2;$E102}),1,0)</f>
        <v>#VALUE!</v>
      </c>
      <c r="AT102" s="436" t="str">
        <f t="array" ref="AT102">IF(W102=DGET(claves!$A$2:$AS423,W$2,{claves!$A$2;$E102}),1,0)</f>
        <v>#VALUE!</v>
      </c>
      <c r="AU102" s="436" t="str">
        <f t="array" ref="AU102">IF(X102=DGET(claves!$A$2:$AS423,X$2,{claves!$A$2;$E102}),1,0)</f>
        <v>#VALUE!</v>
      </c>
      <c r="AV102" s="436" t="str">
        <f t="array" ref="AV102">IF(Y102=DGET(claves!$A$2:$AS423,Y$2,{claves!$A$2;$E102}),1,0)</f>
        <v>#VALUE!</v>
      </c>
      <c r="AW102" s="436" t="str">
        <f t="array" ref="AW102">IF(Z102=DGET(claves!$A$2:$AS423,Z$2,{claves!$A$2;$E102}),1,0)</f>
        <v>#VALUE!</v>
      </c>
      <c r="AX102" s="436" t="str">
        <f t="array" ref="AX102">IF(AA102=DGET(claves!$A$2:$AS423,AA$2,{claves!$A$2;$E102}),1,0)</f>
        <v>#VALUE!</v>
      </c>
      <c r="AY102" s="436" t="str">
        <f t="array" ref="AY102">IF(AB102=DGET(claves!$A$2:$AS423,AB$2,{claves!$A$2;$E102}),1,0)</f>
        <v>#VALUE!</v>
      </c>
      <c r="AZ102" s="436" t="str">
        <f t="array" ref="AZ102">IF(AC102=DGET(claves!$A$2:$AS423,AC$2,{claves!$A$2;$E102}),1,0)</f>
        <v>#VALUE!</v>
      </c>
      <c r="BA102" s="436" t="str">
        <f t="array" ref="BA102">IF(AD102=DGET(claves!$A$2:$AS423,AD$2,{claves!$A$2;$E102}),1,0)</f>
        <v>#VALUE!</v>
      </c>
      <c r="BB102" s="436" t="str">
        <f t="array" ref="BB102">IF(AE102=DGET(claves!$A$2:$AS423,AE$2,{claves!$A$2;$E102}),1,0)</f>
        <v>#VALUE!</v>
      </c>
      <c r="BC102" s="436" t="str">
        <f t="array" ref="BC102">IF(AF102=DGET(claves!$A$2:$AS423,AF$2,{claves!$A$2;$E102}),1,0)</f>
        <v>#VALUE!</v>
      </c>
      <c r="BD102" s="437" t="str">
        <f t="shared" si="1"/>
        <v>#VALUE!</v>
      </c>
      <c r="BE102" s="435"/>
      <c r="BF102" s="415"/>
    </row>
    <row r="103" ht="14.25" customHeight="1">
      <c r="A103" s="408">
        <v>101.0</v>
      </c>
      <c r="B103" s="153" t="s">
        <v>1653</v>
      </c>
      <c r="C103" s="153">
        <v>2024.0</v>
      </c>
      <c r="D103" s="77" t="s">
        <v>1817</v>
      </c>
      <c r="E103" s="409" t="s">
        <v>1820</v>
      </c>
      <c r="F103" s="77" t="s">
        <v>1819</v>
      </c>
      <c r="G103" s="432" t="s">
        <v>20</v>
      </c>
      <c r="H103" s="433" t="s">
        <v>1754</v>
      </c>
      <c r="I103" s="433" t="s">
        <v>1755</v>
      </c>
      <c r="J103" s="433" t="s">
        <v>1756</v>
      </c>
      <c r="K103" s="432" t="s">
        <v>1665</v>
      </c>
      <c r="L103" s="415"/>
      <c r="M103" s="434" t="s">
        <v>1660</v>
      </c>
      <c r="N103" s="434" t="s">
        <v>1689</v>
      </c>
      <c r="O103" s="434" t="s">
        <v>1660</v>
      </c>
      <c r="P103" s="434" t="s">
        <v>1659</v>
      </c>
      <c r="Q103" s="434" t="s">
        <v>1661</v>
      </c>
      <c r="R103" s="434" t="s">
        <v>1660</v>
      </c>
      <c r="S103" s="434" t="s">
        <v>1659</v>
      </c>
      <c r="T103" s="434" t="s">
        <v>1661</v>
      </c>
      <c r="U103" s="434" t="s">
        <v>1660</v>
      </c>
      <c r="V103" s="434" t="s">
        <v>1661</v>
      </c>
      <c r="W103" s="434" t="s">
        <v>1660</v>
      </c>
      <c r="X103" s="434" t="s">
        <v>1661</v>
      </c>
      <c r="Y103" s="434" t="s">
        <v>1660</v>
      </c>
      <c r="Z103" s="434" t="s">
        <v>1660</v>
      </c>
      <c r="AA103" s="434" t="s">
        <v>1659</v>
      </c>
      <c r="AB103" s="434" t="s">
        <v>1689</v>
      </c>
      <c r="AC103" s="434" t="s">
        <v>1660</v>
      </c>
      <c r="AD103" s="434" t="s">
        <v>1660</v>
      </c>
      <c r="AE103" s="434" t="s">
        <v>1659</v>
      </c>
      <c r="AF103" s="434" t="s">
        <v>1661</v>
      </c>
      <c r="AG103" s="427">
        <v>8.0</v>
      </c>
      <c r="AH103" s="435" t="s">
        <v>18</v>
      </c>
      <c r="AI103" s="415"/>
      <c r="AJ103" s="436" t="str">
        <f t="array" ref="AJ103">IF(M103=DGET(claves!$A$2:$AS423,M$2,{claves!$A$2;$E103}),1,0)</f>
        <v>#VALUE!</v>
      </c>
      <c r="AK103" s="436" t="str">
        <f t="array" ref="AK103">IF(N103=DGET(claves!$A$2:$AS423,N$2,{claves!$A$2;$E103}),1,0)</f>
        <v>#VALUE!</v>
      </c>
      <c r="AL103" s="436" t="str">
        <f t="array" ref="AL103">IF(O103=DGET(claves!$A$2:$AS423,O$2,{claves!$A$2;$E103}),1,0)</f>
        <v>#VALUE!</v>
      </c>
      <c r="AM103" s="436" t="str">
        <f t="array" ref="AM103">IF(P103=DGET(claves!$A$2:$AS423,P$2,{claves!$A$2;$E103}),1,0)</f>
        <v>#VALUE!</v>
      </c>
      <c r="AN103" s="436" t="str">
        <f t="array" ref="AN103">IF(Q103=DGET(claves!$A$2:$AS423,Q$2,{claves!$A$2;$E103}),1,0)</f>
        <v>#VALUE!</v>
      </c>
      <c r="AO103" s="436" t="str">
        <f t="array" ref="AO103">IF(R103=DGET(claves!$A$2:$AS423,R$2,{claves!$A$2;$E103}),1,0)</f>
        <v>#VALUE!</v>
      </c>
      <c r="AP103" s="436" t="str">
        <f t="array" ref="AP103">IF(S103=DGET(claves!$A$2:$AS423,S$2,{claves!$A$2;$E103}),1,0)</f>
        <v>#VALUE!</v>
      </c>
      <c r="AQ103" s="436" t="str">
        <f t="array" ref="AQ103">IF(T103=DGET(claves!$A$2:$AS423,T$2,{claves!$A$2;$E103}),1,0)</f>
        <v>#VALUE!</v>
      </c>
      <c r="AR103" s="436" t="str">
        <f t="array" ref="AR103">IF(U103=DGET(claves!$A$2:$AS423,U$2,{claves!$A$2;$E103}),1,0)</f>
        <v>#VALUE!</v>
      </c>
      <c r="AS103" s="436" t="str">
        <f t="array" ref="AS103">IF(V103=DGET(claves!$A$2:$AS423,V$2,{claves!$A$2;$E103}),1,0)</f>
        <v>#VALUE!</v>
      </c>
      <c r="AT103" s="436" t="str">
        <f t="array" ref="AT103">IF(W103=DGET(claves!$A$2:$AS423,W$2,{claves!$A$2;$E103}),1,0)</f>
        <v>#VALUE!</v>
      </c>
      <c r="AU103" s="436" t="str">
        <f t="array" ref="AU103">IF(X103=DGET(claves!$A$2:$AS423,X$2,{claves!$A$2;$E103}),1,0)</f>
        <v>#VALUE!</v>
      </c>
      <c r="AV103" s="436" t="str">
        <f t="array" ref="AV103">IF(Y103=DGET(claves!$A$2:$AS423,Y$2,{claves!$A$2;$E103}),1,0)</f>
        <v>#VALUE!</v>
      </c>
      <c r="AW103" s="436" t="str">
        <f t="array" ref="AW103">IF(Z103=DGET(claves!$A$2:$AS423,Z$2,{claves!$A$2;$E103}),1,0)</f>
        <v>#VALUE!</v>
      </c>
      <c r="AX103" s="436" t="str">
        <f t="array" ref="AX103">IF(AA103=DGET(claves!$A$2:$AS423,AA$2,{claves!$A$2;$E103}),1,0)</f>
        <v>#VALUE!</v>
      </c>
      <c r="AY103" s="436" t="str">
        <f t="array" ref="AY103">IF(AB103=DGET(claves!$A$2:$AS423,AB$2,{claves!$A$2;$E103}),1,0)</f>
        <v>#VALUE!</v>
      </c>
      <c r="AZ103" s="436" t="str">
        <f t="array" ref="AZ103">IF(AC103=DGET(claves!$A$2:$AS423,AC$2,{claves!$A$2;$E103}),1,0)</f>
        <v>#VALUE!</v>
      </c>
      <c r="BA103" s="436" t="str">
        <f t="array" ref="BA103">IF(AD103=DGET(claves!$A$2:$AS423,AD$2,{claves!$A$2;$E103}),1,0)</f>
        <v>#VALUE!</v>
      </c>
      <c r="BB103" s="436" t="str">
        <f t="array" ref="BB103">IF(AE103=DGET(claves!$A$2:$AS423,AE$2,{claves!$A$2;$E103}),1,0)</f>
        <v>#VALUE!</v>
      </c>
      <c r="BC103" s="436" t="str">
        <f t="array" ref="BC103">IF(AF103=DGET(claves!$A$2:$AS423,AF$2,{claves!$A$2;$E103}),1,0)</f>
        <v>#VALUE!</v>
      </c>
      <c r="BD103" s="437" t="str">
        <f t="shared" si="1"/>
        <v>#VALUE!</v>
      </c>
      <c r="BE103" s="435"/>
      <c r="BF103" s="415"/>
    </row>
    <row r="104" ht="14.25" customHeight="1">
      <c r="A104" s="408">
        <v>102.0</v>
      </c>
      <c r="B104" s="153" t="s">
        <v>1653</v>
      </c>
      <c r="C104" s="153">
        <v>2024.0</v>
      </c>
      <c r="D104" s="77" t="s">
        <v>1817</v>
      </c>
      <c r="E104" s="409" t="s">
        <v>1820</v>
      </c>
      <c r="F104" s="77" t="s">
        <v>1819</v>
      </c>
      <c r="G104" s="432" t="s">
        <v>20</v>
      </c>
      <c r="H104" s="433" t="s">
        <v>1737</v>
      </c>
      <c r="I104" s="433" t="s">
        <v>1684</v>
      </c>
      <c r="J104" s="433" t="s">
        <v>1757</v>
      </c>
      <c r="K104" s="433" t="s">
        <v>1658</v>
      </c>
      <c r="L104" s="415"/>
      <c r="M104" s="434" t="s">
        <v>1659</v>
      </c>
      <c r="N104" s="434" t="s">
        <v>1689</v>
      </c>
      <c r="O104" s="434" t="s">
        <v>1689</v>
      </c>
      <c r="P104" s="434" t="s">
        <v>1660</v>
      </c>
      <c r="Q104" s="434" t="s">
        <v>1689</v>
      </c>
      <c r="R104" s="434" t="s">
        <v>1660</v>
      </c>
      <c r="S104" s="434" t="s">
        <v>1659</v>
      </c>
      <c r="T104" s="434" t="s">
        <v>1661</v>
      </c>
      <c r="U104" s="434" t="s">
        <v>1660</v>
      </c>
      <c r="V104" s="434" t="s">
        <v>1659</v>
      </c>
      <c r="W104" s="434" t="s">
        <v>1689</v>
      </c>
      <c r="X104" s="434" t="s">
        <v>1661</v>
      </c>
      <c r="Y104" s="434" t="s">
        <v>1660</v>
      </c>
      <c r="Z104" s="434" t="s">
        <v>1660</v>
      </c>
      <c r="AA104" s="434" t="s">
        <v>1659</v>
      </c>
      <c r="AB104" s="434" t="s">
        <v>1661</v>
      </c>
      <c r="AC104" s="434" t="s">
        <v>1660</v>
      </c>
      <c r="AD104" s="434" t="s">
        <v>1659</v>
      </c>
      <c r="AE104" s="434" t="s">
        <v>1659</v>
      </c>
      <c r="AF104" s="434" t="s">
        <v>1661</v>
      </c>
      <c r="AG104" s="427">
        <v>13.0</v>
      </c>
      <c r="AH104" s="435" t="s">
        <v>24</v>
      </c>
      <c r="AI104" s="415"/>
      <c r="AJ104" s="436" t="str">
        <f t="array" ref="AJ104">IF(M104=DGET(claves!$A$2:$AS423,M$2,{claves!$A$2;$E104}),1,0)</f>
        <v>#VALUE!</v>
      </c>
      <c r="AK104" s="436" t="str">
        <f t="array" ref="AK104">IF(N104=DGET(claves!$A$2:$AS423,N$2,{claves!$A$2;$E104}),1,0)</f>
        <v>#VALUE!</v>
      </c>
      <c r="AL104" s="436" t="str">
        <f t="array" ref="AL104">IF(O104=DGET(claves!$A$2:$AS423,O$2,{claves!$A$2;$E104}),1,0)</f>
        <v>#VALUE!</v>
      </c>
      <c r="AM104" s="436" t="str">
        <f t="array" ref="AM104">IF(P104=DGET(claves!$A$2:$AS423,P$2,{claves!$A$2;$E104}),1,0)</f>
        <v>#VALUE!</v>
      </c>
      <c r="AN104" s="436" t="str">
        <f t="array" ref="AN104">IF(Q104=DGET(claves!$A$2:$AS423,Q$2,{claves!$A$2;$E104}),1,0)</f>
        <v>#VALUE!</v>
      </c>
      <c r="AO104" s="436" t="str">
        <f t="array" ref="AO104">IF(R104=DGET(claves!$A$2:$AS423,R$2,{claves!$A$2;$E104}),1,0)</f>
        <v>#VALUE!</v>
      </c>
      <c r="AP104" s="436" t="str">
        <f t="array" ref="AP104">IF(S104=DGET(claves!$A$2:$AS423,S$2,{claves!$A$2;$E104}),1,0)</f>
        <v>#VALUE!</v>
      </c>
      <c r="AQ104" s="436" t="str">
        <f t="array" ref="AQ104">IF(T104=DGET(claves!$A$2:$AS423,T$2,{claves!$A$2;$E104}),1,0)</f>
        <v>#VALUE!</v>
      </c>
      <c r="AR104" s="436" t="str">
        <f t="array" ref="AR104">IF(U104=DGET(claves!$A$2:$AS423,U$2,{claves!$A$2;$E104}),1,0)</f>
        <v>#VALUE!</v>
      </c>
      <c r="AS104" s="436" t="str">
        <f t="array" ref="AS104">IF(V104=DGET(claves!$A$2:$AS423,V$2,{claves!$A$2;$E104}),1,0)</f>
        <v>#VALUE!</v>
      </c>
      <c r="AT104" s="436" t="str">
        <f t="array" ref="AT104">IF(W104=DGET(claves!$A$2:$AS423,W$2,{claves!$A$2;$E104}),1,0)</f>
        <v>#VALUE!</v>
      </c>
      <c r="AU104" s="436" t="str">
        <f t="array" ref="AU104">IF(X104=DGET(claves!$A$2:$AS423,X$2,{claves!$A$2;$E104}),1,0)</f>
        <v>#VALUE!</v>
      </c>
      <c r="AV104" s="436" t="str">
        <f t="array" ref="AV104">IF(Y104=DGET(claves!$A$2:$AS423,Y$2,{claves!$A$2;$E104}),1,0)</f>
        <v>#VALUE!</v>
      </c>
      <c r="AW104" s="436" t="str">
        <f t="array" ref="AW104">IF(Z104=DGET(claves!$A$2:$AS423,Z$2,{claves!$A$2;$E104}),1,0)</f>
        <v>#VALUE!</v>
      </c>
      <c r="AX104" s="436" t="str">
        <f t="array" ref="AX104">IF(AA104=DGET(claves!$A$2:$AS423,AA$2,{claves!$A$2;$E104}),1,0)</f>
        <v>#VALUE!</v>
      </c>
      <c r="AY104" s="436" t="str">
        <f t="array" ref="AY104">IF(AB104=DGET(claves!$A$2:$AS423,AB$2,{claves!$A$2;$E104}),1,0)</f>
        <v>#VALUE!</v>
      </c>
      <c r="AZ104" s="436" t="str">
        <f t="array" ref="AZ104">IF(AC104=DGET(claves!$A$2:$AS423,AC$2,{claves!$A$2;$E104}),1,0)</f>
        <v>#VALUE!</v>
      </c>
      <c r="BA104" s="436" t="str">
        <f t="array" ref="BA104">IF(AD104=DGET(claves!$A$2:$AS423,AD$2,{claves!$A$2;$E104}),1,0)</f>
        <v>#VALUE!</v>
      </c>
      <c r="BB104" s="436" t="str">
        <f t="array" ref="BB104">IF(AE104=DGET(claves!$A$2:$AS423,AE$2,{claves!$A$2;$E104}),1,0)</f>
        <v>#VALUE!</v>
      </c>
      <c r="BC104" s="436" t="str">
        <f t="array" ref="BC104">IF(AF104=DGET(claves!$A$2:$AS423,AF$2,{claves!$A$2;$E104}),1,0)</f>
        <v>#VALUE!</v>
      </c>
      <c r="BD104" s="437" t="str">
        <f t="shared" si="1"/>
        <v>#VALUE!</v>
      </c>
      <c r="BE104" s="435"/>
      <c r="BF104" s="415"/>
    </row>
    <row r="105" ht="14.25" customHeight="1">
      <c r="A105" s="408">
        <v>103.0</v>
      </c>
      <c r="B105" s="153" t="s">
        <v>1653</v>
      </c>
      <c r="C105" s="153">
        <v>2024.0</v>
      </c>
      <c r="D105" s="77" t="s">
        <v>1817</v>
      </c>
      <c r="E105" s="409" t="s">
        <v>1820</v>
      </c>
      <c r="F105" s="77" t="s">
        <v>1819</v>
      </c>
      <c r="G105" s="432" t="s">
        <v>20</v>
      </c>
      <c r="H105" s="433" t="s">
        <v>1758</v>
      </c>
      <c r="I105" s="433" t="s">
        <v>1759</v>
      </c>
      <c r="J105" s="433" t="s">
        <v>1760</v>
      </c>
      <c r="K105" s="432" t="s">
        <v>1665</v>
      </c>
      <c r="L105" s="415"/>
      <c r="M105" s="434" t="s">
        <v>1659</v>
      </c>
      <c r="N105" s="434" t="s">
        <v>1660</v>
      </c>
      <c r="O105" s="434" t="s">
        <v>1660</v>
      </c>
      <c r="P105" s="434" t="s">
        <v>1659</v>
      </c>
      <c r="Q105" s="434" t="s">
        <v>1661</v>
      </c>
      <c r="R105" s="434" t="s">
        <v>1689</v>
      </c>
      <c r="S105" s="434" t="s">
        <v>1659</v>
      </c>
      <c r="T105" s="434" t="s">
        <v>1689</v>
      </c>
      <c r="U105" s="434" t="s">
        <v>1660</v>
      </c>
      <c r="V105" s="434" t="s">
        <v>1659</v>
      </c>
      <c r="W105" s="434" t="s">
        <v>1661</v>
      </c>
      <c r="X105" s="434" t="s">
        <v>1661</v>
      </c>
      <c r="Y105" s="434" t="s">
        <v>1659</v>
      </c>
      <c r="Z105" s="434" t="s">
        <v>1660</v>
      </c>
      <c r="AA105" s="434" t="s">
        <v>1660</v>
      </c>
      <c r="AB105" s="434" t="s">
        <v>1659</v>
      </c>
      <c r="AC105" s="434" t="s">
        <v>1659</v>
      </c>
      <c r="AD105" s="434" t="s">
        <v>1659</v>
      </c>
      <c r="AE105" s="434" t="s">
        <v>1661</v>
      </c>
      <c r="AF105" s="434" t="s">
        <v>1659</v>
      </c>
      <c r="AG105" s="427">
        <v>10.0</v>
      </c>
      <c r="AH105" s="435" t="s">
        <v>18</v>
      </c>
      <c r="AI105" s="415"/>
      <c r="AJ105" s="436" t="str">
        <f t="array" ref="AJ105">IF(M105=DGET(claves!$A$2:$AS423,M$2,{claves!$A$2;$E105}),1,0)</f>
        <v>#VALUE!</v>
      </c>
      <c r="AK105" s="436" t="str">
        <f t="array" ref="AK105">IF(N105=DGET(claves!$A$2:$AS423,N$2,{claves!$A$2;$E105}),1,0)</f>
        <v>#VALUE!</v>
      </c>
      <c r="AL105" s="436" t="str">
        <f t="array" ref="AL105">IF(O105=DGET(claves!$A$2:$AS423,O$2,{claves!$A$2;$E105}),1,0)</f>
        <v>#VALUE!</v>
      </c>
      <c r="AM105" s="436" t="str">
        <f t="array" ref="AM105">IF(P105=DGET(claves!$A$2:$AS423,P$2,{claves!$A$2;$E105}),1,0)</f>
        <v>#VALUE!</v>
      </c>
      <c r="AN105" s="436" t="str">
        <f t="array" ref="AN105">IF(Q105=DGET(claves!$A$2:$AS423,Q$2,{claves!$A$2;$E105}),1,0)</f>
        <v>#VALUE!</v>
      </c>
      <c r="AO105" s="436" t="str">
        <f t="array" ref="AO105">IF(R105=DGET(claves!$A$2:$AS423,R$2,{claves!$A$2;$E105}),1,0)</f>
        <v>#VALUE!</v>
      </c>
      <c r="AP105" s="436" t="str">
        <f t="array" ref="AP105">IF(S105=DGET(claves!$A$2:$AS423,S$2,{claves!$A$2;$E105}),1,0)</f>
        <v>#VALUE!</v>
      </c>
      <c r="AQ105" s="436" t="str">
        <f t="array" ref="AQ105">IF(T105=DGET(claves!$A$2:$AS423,T$2,{claves!$A$2;$E105}),1,0)</f>
        <v>#VALUE!</v>
      </c>
      <c r="AR105" s="436" t="str">
        <f t="array" ref="AR105">IF(U105=DGET(claves!$A$2:$AS423,U$2,{claves!$A$2;$E105}),1,0)</f>
        <v>#VALUE!</v>
      </c>
      <c r="AS105" s="436" t="str">
        <f t="array" ref="AS105">IF(V105=DGET(claves!$A$2:$AS423,V$2,{claves!$A$2;$E105}),1,0)</f>
        <v>#VALUE!</v>
      </c>
      <c r="AT105" s="436" t="str">
        <f t="array" ref="AT105">IF(W105=DGET(claves!$A$2:$AS423,W$2,{claves!$A$2;$E105}),1,0)</f>
        <v>#VALUE!</v>
      </c>
      <c r="AU105" s="436" t="str">
        <f t="array" ref="AU105">IF(X105=DGET(claves!$A$2:$AS423,X$2,{claves!$A$2;$E105}),1,0)</f>
        <v>#VALUE!</v>
      </c>
      <c r="AV105" s="436" t="str">
        <f t="array" ref="AV105">IF(Y105=DGET(claves!$A$2:$AS423,Y$2,{claves!$A$2;$E105}),1,0)</f>
        <v>#VALUE!</v>
      </c>
      <c r="AW105" s="436" t="str">
        <f t="array" ref="AW105">IF(Z105=DGET(claves!$A$2:$AS423,Z$2,{claves!$A$2;$E105}),1,0)</f>
        <v>#VALUE!</v>
      </c>
      <c r="AX105" s="436" t="str">
        <f t="array" ref="AX105">IF(AA105=DGET(claves!$A$2:$AS423,AA$2,{claves!$A$2;$E105}),1,0)</f>
        <v>#VALUE!</v>
      </c>
      <c r="AY105" s="436" t="str">
        <f t="array" ref="AY105">IF(AB105=DGET(claves!$A$2:$AS423,AB$2,{claves!$A$2;$E105}),1,0)</f>
        <v>#VALUE!</v>
      </c>
      <c r="AZ105" s="436" t="str">
        <f t="array" ref="AZ105">IF(AC105=DGET(claves!$A$2:$AS423,AC$2,{claves!$A$2;$E105}),1,0)</f>
        <v>#VALUE!</v>
      </c>
      <c r="BA105" s="436" t="str">
        <f t="array" ref="BA105">IF(AD105=DGET(claves!$A$2:$AS423,AD$2,{claves!$A$2;$E105}),1,0)</f>
        <v>#VALUE!</v>
      </c>
      <c r="BB105" s="436" t="str">
        <f t="array" ref="BB105">IF(AE105=DGET(claves!$A$2:$AS423,AE$2,{claves!$A$2;$E105}),1,0)</f>
        <v>#VALUE!</v>
      </c>
      <c r="BC105" s="436" t="str">
        <f t="array" ref="BC105">IF(AF105=DGET(claves!$A$2:$AS423,AF$2,{claves!$A$2;$E105}),1,0)</f>
        <v>#VALUE!</v>
      </c>
      <c r="BD105" s="437" t="str">
        <f t="shared" si="1"/>
        <v>#VALUE!</v>
      </c>
      <c r="BE105" s="435"/>
      <c r="BF105" s="415"/>
    </row>
    <row r="106" ht="14.25" customHeight="1">
      <c r="A106" s="408">
        <v>104.0</v>
      </c>
      <c r="B106" s="153" t="s">
        <v>1653</v>
      </c>
      <c r="C106" s="153">
        <v>2024.0</v>
      </c>
      <c r="D106" s="77" t="s">
        <v>1817</v>
      </c>
      <c r="E106" s="409" t="s">
        <v>1820</v>
      </c>
      <c r="F106" s="77" t="s">
        <v>1819</v>
      </c>
      <c r="G106" s="432" t="s">
        <v>20</v>
      </c>
      <c r="H106" s="433" t="s">
        <v>1761</v>
      </c>
      <c r="I106" s="433" t="s">
        <v>1762</v>
      </c>
      <c r="J106" s="433" t="s">
        <v>1763</v>
      </c>
      <c r="K106" s="433" t="s">
        <v>1658</v>
      </c>
      <c r="L106" s="415"/>
      <c r="M106" s="434" t="s">
        <v>1659</v>
      </c>
      <c r="N106" s="434" t="s">
        <v>1660</v>
      </c>
      <c r="O106" s="434" t="s">
        <v>1660</v>
      </c>
      <c r="P106" s="434" t="s">
        <v>1660</v>
      </c>
      <c r="Q106" s="434" t="s">
        <v>1660</v>
      </c>
      <c r="R106" s="434" t="s">
        <v>1660</v>
      </c>
      <c r="S106" s="434" t="s">
        <v>1659</v>
      </c>
      <c r="T106" s="434" t="s">
        <v>1661</v>
      </c>
      <c r="U106" s="434" t="s">
        <v>1660</v>
      </c>
      <c r="V106" s="434" t="s">
        <v>1659</v>
      </c>
      <c r="W106" s="434" t="s">
        <v>1661</v>
      </c>
      <c r="X106" s="434" t="s">
        <v>1659</v>
      </c>
      <c r="Y106" s="434" t="s">
        <v>1660</v>
      </c>
      <c r="Z106" s="434" t="s">
        <v>1661</v>
      </c>
      <c r="AA106" s="434" t="s">
        <v>1659</v>
      </c>
      <c r="AB106" s="434" t="s">
        <v>1660</v>
      </c>
      <c r="AC106" s="434" t="s">
        <v>1660</v>
      </c>
      <c r="AD106" s="434" t="s">
        <v>1659</v>
      </c>
      <c r="AE106" s="434" t="s">
        <v>1659</v>
      </c>
      <c r="AF106" s="434" t="s">
        <v>1661</v>
      </c>
      <c r="AG106" s="427">
        <v>14.0</v>
      </c>
      <c r="AH106" s="435" t="s">
        <v>24</v>
      </c>
      <c r="AI106" s="415"/>
      <c r="AJ106" s="436" t="str">
        <f t="array" ref="AJ106">IF(M106=DGET(claves!$A$2:$AS423,M$2,{claves!$A$2;$E106}),1,0)</f>
        <v>#VALUE!</v>
      </c>
      <c r="AK106" s="436" t="str">
        <f t="array" ref="AK106">IF(N106=DGET(claves!$A$2:$AS423,N$2,{claves!$A$2;$E106}),1,0)</f>
        <v>#VALUE!</v>
      </c>
      <c r="AL106" s="436" t="str">
        <f t="array" ref="AL106">IF(O106=DGET(claves!$A$2:$AS423,O$2,{claves!$A$2;$E106}),1,0)</f>
        <v>#VALUE!</v>
      </c>
      <c r="AM106" s="436" t="str">
        <f t="array" ref="AM106">IF(P106=DGET(claves!$A$2:$AS423,P$2,{claves!$A$2;$E106}),1,0)</f>
        <v>#VALUE!</v>
      </c>
      <c r="AN106" s="436" t="str">
        <f t="array" ref="AN106">IF(Q106=DGET(claves!$A$2:$AS423,Q$2,{claves!$A$2;$E106}),1,0)</f>
        <v>#VALUE!</v>
      </c>
      <c r="AO106" s="436" t="str">
        <f t="array" ref="AO106">IF(R106=DGET(claves!$A$2:$AS423,R$2,{claves!$A$2;$E106}),1,0)</f>
        <v>#VALUE!</v>
      </c>
      <c r="AP106" s="436" t="str">
        <f t="array" ref="AP106">IF(S106=DGET(claves!$A$2:$AS423,S$2,{claves!$A$2;$E106}),1,0)</f>
        <v>#VALUE!</v>
      </c>
      <c r="AQ106" s="436" t="str">
        <f t="array" ref="AQ106">IF(T106=DGET(claves!$A$2:$AS423,T$2,{claves!$A$2;$E106}),1,0)</f>
        <v>#VALUE!</v>
      </c>
      <c r="AR106" s="436" t="str">
        <f t="array" ref="AR106">IF(U106=DGET(claves!$A$2:$AS423,U$2,{claves!$A$2;$E106}),1,0)</f>
        <v>#VALUE!</v>
      </c>
      <c r="AS106" s="436" t="str">
        <f t="array" ref="AS106">IF(V106=DGET(claves!$A$2:$AS423,V$2,{claves!$A$2;$E106}),1,0)</f>
        <v>#VALUE!</v>
      </c>
      <c r="AT106" s="436" t="str">
        <f t="array" ref="AT106">IF(W106=DGET(claves!$A$2:$AS423,W$2,{claves!$A$2;$E106}),1,0)</f>
        <v>#VALUE!</v>
      </c>
      <c r="AU106" s="436" t="str">
        <f t="array" ref="AU106">IF(X106=DGET(claves!$A$2:$AS423,X$2,{claves!$A$2;$E106}),1,0)</f>
        <v>#VALUE!</v>
      </c>
      <c r="AV106" s="436" t="str">
        <f t="array" ref="AV106">IF(Y106=DGET(claves!$A$2:$AS423,Y$2,{claves!$A$2;$E106}),1,0)</f>
        <v>#VALUE!</v>
      </c>
      <c r="AW106" s="436" t="str">
        <f t="array" ref="AW106">IF(Z106=DGET(claves!$A$2:$AS423,Z$2,{claves!$A$2;$E106}),1,0)</f>
        <v>#VALUE!</v>
      </c>
      <c r="AX106" s="436" t="str">
        <f t="array" ref="AX106">IF(AA106=DGET(claves!$A$2:$AS423,AA$2,{claves!$A$2;$E106}),1,0)</f>
        <v>#VALUE!</v>
      </c>
      <c r="AY106" s="436" t="str">
        <f t="array" ref="AY106">IF(AB106=DGET(claves!$A$2:$AS423,AB$2,{claves!$A$2;$E106}),1,0)</f>
        <v>#VALUE!</v>
      </c>
      <c r="AZ106" s="436" t="str">
        <f t="array" ref="AZ106">IF(AC106=DGET(claves!$A$2:$AS423,AC$2,{claves!$A$2;$E106}),1,0)</f>
        <v>#VALUE!</v>
      </c>
      <c r="BA106" s="436" t="str">
        <f t="array" ref="BA106">IF(AD106=DGET(claves!$A$2:$AS423,AD$2,{claves!$A$2;$E106}),1,0)</f>
        <v>#VALUE!</v>
      </c>
      <c r="BB106" s="436" t="str">
        <f t="array" ref="BB106">IF(AE106=DGET(claves!$A$2:$AS423,AE$2,{claves!$A$2;$E106}),1,0)</f>
        <v>#VALUE!</v>
      </c>
      <c r="BC106" s="436" t="str">
        <f t="array" ref="BC106">IF(AF106=DGET(claves!$A$2:$AS423,AF$2,{claves!$A$2;$E106}),1,0)</f>
        <v>#VALUE!</v>
      </c>
      <c r="BD106" s="437" t="str">
        <f t="shared" si="1"/>
        <v>#VALUE!</v>
      </c>
      <c r="BE106" s="435"/>
      <c r="BF106" s="415"/>
    </row>
    <row r="107" ht="14.25" customHeight="1">
      <c r="A107" s="408">
        <v>105.0</v>
      </c>
      <c r="B107" s="153" t="s">
        <v>1653</v>
      </c>
      <c r="C107" s="153">
        <v>2024.0</v>
      </c>
      <c r="D107" s="77" t="s">
        <v>1817</v>
      </c>
      <c r="E107" s="409" t="s">
        <v>1820</v>
      </c>
      <c r="F107" s="77" t="s">
        <v>1819</v>
      </c>
      <c r="G107" s="432" t="s">
        <v>20</v>
      </c>
      <c r="H107" s="433" t="s">
        <v>1667</v>
      </c>
      <c r="I107" s="433" t="s">
        <v>1744</v>
      </c>
      <c r="J107" s="433" t="s">
        <v>1764</v>
      </c>
      <c r="K107" s="433" t="s">
        <v>1658</v>
      </c>
      <c r="L107" s="415"/>
      <c r="M107" s="434" t="s">
        <v>1659</v>
      </c>
      <c r="N107" s="434" t="s">
        <v>1689</v>
      </c>
      <c r="O107" s="434" t="s">
        <v>1660</v>
      </c>
      <c r="P107" s="434" t="s">
        <v>1660</v>
      </c>
      <c r="Q107" s="434" t="s">
        <v>1659</v>
      </c>
      <c r="R107" s="434" t="s">
        <v>1660</v>
      </c>
      <c r="S107" s="434" t="s">
        <v>1659</v>
      </c>
      <c r="T107" s="434" t="s">
        <v>1661</v>
      </c>
      <c r="U107" s="434" t="s">
        <v>1660</v>
      </c>
      <c r="V107" s="434" t="s">
        <v>1659</v>
      </c>
      <c r="W107" s="434" t="s">
        <v>1661</v>
      </c>
      <c r="X107" s="434" t="s">
        <v>1661</v>
      </c>
      <c r="Y107" s="434" t="s">
        <v>1660</v>
      </c>
      <c r="Z107" s="434" t="s">
        <v>1661</v>
      </c>
      <c r="AA107" s="434" t="s">
        <v>1659</v>
      </c>
      <c r="AB107" s="434" t="s">
        <v>1661</v>
      </c>
      <c r="AC107" s="434" t="s">
        <v>1689</v>
      </c>
      <c r="AD107" s="434" t="s">
        <v>1689</v>
      </c>
      <c r="AE107" s="434" t="s">
        <v>1660</v>
      </c>
      <c r="AF107" s="434" t="s">
        <v>1689</v>
      </c>
      <c r="AG107" s="427">
        <v>14.0</v>
      </c>
      <c r="AH107" s="435" t="s">
        <v>24</v>
      </c>
      <c r="AI107" s="415"/>
      <c r="AJ107" s="436" t="str">
        <f t="array" ref="AJ107">IF(M107=DGET(claves!$A$2:$AS423,M$2,{claves!$A$2;$E107}),1,0)</f>
        <v>#VALUE!</v>
      </c>
      <c r="AK107" s="436" t="str">
        <f t="array" ref="AK107">IF(N107=DGET(claves!$A$2:$AS423,N$2,{claves!$A$2;$E107}),1,0)</f>
        <v>#VALUE!</v>
      </c>
      <c r="AL107" s="436" t="str">
        <f t="array" ref="AL107">IF(O107=DGET(claves!$A$2:$AS423,O$2,{claves!$A$2;$E107}),1,0)</f>
        <v>#VALUE!</v>
      </c>
      <c r="AM107" s="436" t="str">
        <f t="array" ref="AM107">IF(P107=DGET(claves!$A$2:$AS423,P$2,{claves!$A$2;$E107}),1,0)</f>
        <v>#VALUE!</v>
      </c>
      <c r="AN107" s="436" t="str">
        <f t="array" ref="AN107">IF(Q107=DGET(claves!$A$2:$AS423,Q$2,{claves!$A$2;$E107}),1,0)</f>
        <v>#VALUE!</v>
      </c>
      <c r="AO107" s="436" t="str">
        <f t="array" ref="AO107">IF(R107=DGET(claves!$A$2:$AS423,R$2,{claves!$A$2;$E107}),1,0)</f>
        <v>#VALUE!</v>
      </c>
      <c r="AP107" s="436" t="str">
        <f t="array" ref="AP107">IF(S107=DGET(claves!$A$2:$AS423,S$2,{claves!$A$2;$E107}),1,0)</f>
        <v>#VALUE!</v>
      </c>
      <c r="AQ107" s="436" t="str">
        <f t="array" ref="AQ107">IF(T107=DGET(claves!$A$2:$AS423,T$2,{claves!$A$2;$E107}),1,0)</f>
        <v>#VALUE!</v>
      </c>
      <c r="AR107" s="436" t="str">
        <f t="array" ref="AR107">IF(U107=DGET(claves!$A$2:$AS423,U$2,{claves!$A$2;$E107}),1,0)</f>
        <v>#VALUE!</v>
      </c>
      <c r="AS107" s="436" t="str">
        <f t="array" ref="AS107">IF(V107=DGET(claves!$A$2:$AS423,V$2,{claves!$A$2;$E107}),1,0)</f>
        <v>#VALUE!</v>
      </c>
      <c r="AT107" s="436" t="str">
        <f t="array" ref="AT107">IF(W107=DGET(claves!$A$2:$AS423,W$2,{claves!$A$2;$E107}),1,0)</f>
        <v>#VALUE!</v>
      </c>
      <c r="AU107" s="436" t="str">
        <f t="array" ref="AU107">IF(X107=DGET(claves!$A$2:$AS423,X$2,{claves!$A$2;$E107}),1,0)</f>
        <v>#VALUE!</v>
      </c>
      <c r="AV107" s="436" t="str">
        <f t="array" ref="AV107">IF(Y107=DGET(claves!$A$2:$AS423,Y$2,{claves!$A$2;$E107}),1,0)</f>
        <v>#VALUE!</v>
      </c>
      <c r="AW107" s="436" t="str">
        <f t="array" ref="AW107">IF(Z107=DGET(claves!$A$2:$AS423,Z$2,{claves!$A$2;$E107}),1,0)</f>
        <v>#VALUE!</v>
      </c>
      <c r="AX107" s="436" t="str">
        <f t="array" ref="AX107">IF(AA107=DGET(claves!$A$2:$AS423,AA$2,{claves!$A$2;$E107}),1,0)</f>
        <v>#VALUE!</v>
      </c>
      <c r="AY107" s="436" t="str">
        <f t="array" ref="AY107">IF(AB107=DGET(claves!$A$2:$AS423,AB$2,{claves!$A$2;$E107}),1,0)</f>
        <v>#VALUE!</v>
      </c>
      <c r="AZ107" s="436" t="str">
        <f t="array" ref="AZ107">IF(AC107=DGET(claves!$A$2:$AS423,AC$2,{claves!$A$2;$E107}),1,0)</f>
        <v>#VALUE!</v>
      </c>
      <c r="BA107" s="436" t="str">
        <f t="array" ref="BA107">IF(AD107=DGET(claves!$A$2:$AS423,AD$2,{claves!$A$2;$E107}),1,0)</f>
        <v>#VALUE!</v>
      </c>
      <c r="BB107" s="436" t="str">
        <f t="array" ref="BB107">IF(AE107=DGET(claves!$A$2:$AS423,AE$2,{claves!$A$2;$E107}),1,0)</f>
        <v>#VALUE!</v>
      </c>
      <c r="BC107" s="436" t="str">
        <f t="array" ref="BC107">IF(AF107=DGET(claves!$A$2:$AS423,AF$2,{claves!$A$2;$E107}),1,0)</f>
        <v>#VALUE!</v>
      </c>
      <c r="BD107" s="437" t="str">
        <f t="shared" si="1"/>
        <v>#VALUE!</v>
      </c>
      <c r="BE107" s="435"/>
      <c r="BF107" s="415"/>
    </row>
    <row r="108" ht="14.25" customHeight="1">
      <c r="A108" s="408">
        <v>106.0</v>
      </c>
      <c r="B108" s="153" t="s">
        <v>1653</v>
      </c>
      <c r="C108" s="153">
        <v>2024.0</v>
      </c>
      <c r="D108" s="77" t="s">
        <v>1817</v>
      </c>
      <c r="E108" s="409" t="s">
        <v>1820</v>
      </c>
      <c r="F108" s="77" t="s">
        <v>1819</v>
      </c>
      <c r="G108" s="432" t="s">
        <v>20</v>
      </c>
      <c r="H108" s="433" t="s">
        <v>1684</v>
      </c>
      <c r="I108" s="433" t="s">
        <v>1684</v>
      </c>
      <c r="J108" s="433" t="s">
        <v>1765</v>
      </c>
      <c r="K108" s="433" t="s">
        <v>1658</v>
      </c>
      <c r="L108" s="415"/>
      <c r="M108" s="434" t="s">
        <v>1659</v>
      </c>
      <c r="N108" s="434" t="s">
        <v>1660</v>
      </c>
      <c r="O108" s="434" t="s">
        <v>1660</v>
      </c>
      <c r="P108" s="434" t="s">
        <v>1660</v>
      </c>
      <c r="Q108" s="434" t="s">
        <v>1661</v>
      </c>
      <c r="R108" s="434" t="s">
        <v>1660</v>
      </c>
      <c r="S108" s="434" t="s">
        <v>1659</v>
      </c>
      <c r="T108" s="434" t="s">
        <v>1661</v>
      </c>
      <c r="U108" s="434" t="s">
        <v>1660</v>
      </c>
      <c r="V108" s="434" t="s">
        <v>1659</v>
      </c>
      <c r="W108" s="434" t="s">
        <v>1661</v>
      </c>
      <c r="X108" s="434" t="s">
        <v>1661</v>
      </c>
      <c r="Y108" s="434" t="s">
        <v>1661</v>
      </c>
      <c r="Z108" s="434" t="s">
        <v>1660</v>
      </c>
      <c r="AA108" s="434" t="s">
        <v>1659</v>
      </c>
      <c r="AB108" s="434" t="s">
        <v>1661</v>
      </c>
      <c r="AC108" s="434" t="s">
        <v>1661</v>
      </c>
      <c r="AD108" s="434" t="s">
        <v>1689</v>
      </c>
      <c r="AE108" s="434" t="s">
        <v>1659</v>
      </c>
      <c r="AF108" s="434" t="s">
        <v>1689</v>
      </c>
      <c r="AG108" s="427">
        <v>13.0</v>
      </c>
      <c r="AH108" s="435" t="s">
        <v>24</v>
      </c>
      <c r="AI108" s="415"/>
      <c r="AJ108" s="436" t="str">
        <f t="array" ref="AJ108">IF(M108=DGET(claves!$A$2:$AS423,M$2,{claves!$A$2;$E108}),1,0)</f>
        <v>#VALUE!</v>
      </c>
      <c r="AK108" s="436" t="str">
        <f t="array" ref="AK108">IF(N108=DGET(claves!$A$2:$AS423,N$2,{claves!$A$2;$E108}),1,0)</f>
        <v>#VALUE!</v>
      </c>
      <c r="AL108" s="436" t="str">
        <f t="array" ref="AL108">IF(O108=DGET(claves!$A$2:$AS423,O$2,{claves!$A$2;$E108}),1,0)</f>
        <v>#VALUE!</v>
      </c>
      <c r="AM108" s="436" t="str">
        <f t="array" ref="AM108">IF(P108=DGET(claves!$A$2:$AS423,P$2,{claves!$A$2;$E108}),1,0)</f>
        <v>#VALUE!</v>
      </c>
      <c r="AN108" s="436" t="str">
        <f t="array" ref="AN108">IF(Q108=DGET(claves!$A$2:$AS423,Q$2,{claves!$A$2;$E108}),1,0)</f>
        <v>#VALUE!</v>
      </c>
      <c r="AO108" s="436" t="str">
        <f t="array" ref="AO108">IF(R108=DGET(claves!$A$2:$AS423,R$2,{claves!$A$2;$E108}),1,0)</f>
        <v>#VALUE!</v>
      </c>
      <c r="AP108" s="436" t="str">
        <f t="array" ref="AP108">IF(S108=DGET(claves!$A$2:$AS423,S$2,{claves!$A$2;$E108}),1,0)</f>
        <v>#VALUE!</v>
      </c>
      <c r="AQ108" s="436" t="str">
        <f t="array" ref="AQ108">IF(T108=DGET(claves!$A$2:$AS423,T$2,{claves!$A$2;$E108}),1,0)</f>
        <v>#VALUE!</v>
      </c>
      <c r="AR108" s="436" t="str">
        <f t="array" ref="AR108">IF(U108=DGET(claves!$A$2:$AS423,U$2,{claves!$A$2;$E108}),1,0)</f>
        <v>#VALUE!</v>
      </c>
      <c r="AS108" s="436" t="str">
        <f t="array" ref="AS108">IF(V108=DGET(claves!$A$2:$AS423,V$2,{claves!$A$2;$E108}),1,0)</f>
        <v>#VALUE!</v>
      </c>
      <c r="AT108" s="436" t="str">
        <f t="array" ref="AT108">IF(W108=DGET(claves!$A$2:$AS423,W$2,{claves!$A$2;$E108}),1,0)</f>
        <v>#VALUE!</v>
      </c>
      <c r="AU108" s="436" t="str">
        <f t="array" ref="AU108">IF(X108=DGET(claves!$A$2:$AS423,X$2,{claves!$A$2;$E108}),1,0)</f>
        <v>#VALUE!</v>
      </c>
      <c r="AV108" s="436" t="str">
        <f t="array" ref="AV108">IF(Y108=DGET(claves!$A$2:$AS423,Y$2,{claves!$A$2;$E108}),1,0)</f>
        <v>#VALUE!</v>
      </c>
      <c r="AW108" s="436" t="str">
        <f t="array" ref="AW108">IF(Z108=DGET(claves!$A$2:$AS423,Z$2,{claves!$A$2;$E108}),1,0)</f>
        <v>#VALUE!</v>
      </c>
      <c r="AX108" s="436" t="str">
        <f t="array" ref="AX108">IF(AA108=DGET(claves!$A$2:$AS423,AA$2,{claves!$A$2;$E108}),1,0)</f>
        <v>#VALUE!</v>
      </c>
      <c r="AY108" s="436" t="str">
        <f t="array" ref="AY108">IF(AB108=DGET(claves!$A$2:$AS423,AB$2,{claves!$A$2;$E108}),1,0)</f>
        <v>#VALUE!</v>
      </c>
      <c r="AZ108" s="436" t="str">
        <f t="array" ref="AZ108">IF(AC108=DGET(claves!$A$2:$AS423,AC$2,{claves!$A$2;$E108}),1,0)</f>
        <v>#VALUE!</v>
      </c>
      <c r="BA108" s="436" t="str">
        <f t="array" ref="BA108">IF(AD108=DGET(claves!$A$2:$AS423,AD$2,{claves!$A$2;$E108}),1,0)</f>
        <v>#VALUE!</v>
      </c>
      <c r="BB108" s="436" t="str">
        <f t="array" ref="BB108">IF(AE108=DGET(claves!$A$2:$AS423,AE$2,{claves!$A$2;$E108}),1,0)</f>
        <v>#VALUE!</v>
      </c>
      <c r="BC108" s="436" t="str">
        <f t="array" ref="BC108">IF(AF108=DGET(claves!$A$2:$AS423,AF$2,{claves!$A$2;$E108}),1,0)</f>
        <v>#VALUE!</v>
      </c>
      <c r="BD108" s="437" t="str">
        <f t="shared" si="1"/>
        <v>#VALUE!</v>
      </c>
      <c r="BE108" s="435"/>
      <c r="BF108" s="415"/>
    </row>
    <row r="109" ht="14.25" customHeight="1">
      <c r="A109" s="408">
        <v>107.0</v>
      </c>
      <c r="B109" s="153" t="s">
        <v>1653</v>
      </c>
      <c r="C109" s="153">
        <v>2024.0</v>
      </c>
      <c r="D109" s="77" t="s">
        <v>1817</v>
      </c>
      <c r="E109" s="409" t="s">
        <v>1820</v>
      </c>
      <c r="F109" s="77" t="s">
        <v>1819</v>
      </c>
      <c r="G109" s="432" t="s">
        <v>20</v>
      </c>
      <c r="H109" s="433" t="s">
        <v>1766</v>
      </c>
      <c r="I109" s="433" t="s">
        <v>1767</v>
      </c>
      <c r="J109" s="433" t="s">
        <v>1768</v>
      </c>
      <c r="K109" s="432" t="s">
        <v>1665</v>
      </c>
      <c r="L109" s="415"/>
      <c r="M109" s="434" t="s">
        <v>1659</v>
      </c>
      <c r="N109" s="434" t="s">
        <v>1661</v>
      </c>
      <c r="O109" s="434" t="s">
        <v>1660</v>
      </c>
      <c r="P109" s="434" t="s">
        <v>1660</v>
      </c>
      <c r="Q109" s="434" t="s">
        <v>1660</v>
      </c>
      <c r="R109" s="434" t="s">
        <v>1660</v>
      </c>
      <c r="S109" s="434" t="s">
        <v>1659</v>
      </c>
      <c r="T109" s="434" t="s">
        <v>1661</v>
      </c>
      <c r="U109" s="434" t="s">
        <v>1660</v>
      </c>
      <c r="V109" s="434" t="s">
        <v>1659</v>
      </c>
      <c r="W109" s="434" t="s">
        <v>1661</v>
      </c>
      <c r="X109" s="434" t="s">
        <v>1661</v>
      </c>
      <c r="Y109" s="434" t="s">
        <v>1660</v>
      </c>
      <c r="Z109" s="434" t="s">
        <v>1661</v>
      </c>
      <c r="AA109" s="434" t="s">
        <v>1661</v>
      </c>
      <c r="AB109" s="434"/>
      <c r="AC109" s="434" t="s">
        <v>1660</v>
      </c>
      <c r="AD109" s="434" t="s">
        <v>1689</v>
      </c>
      <c r="AE109" s="434" t="s">
        <v>1660</v>
      </c>
      <c r="AF109" s="434" t="s">
        <v>1689</v>
      </c>
      <c r="AG109" s="427">
        <v>13.0</v>
      </c>
      <c r="AH109" s="435" t="s">
        <v>24</v>
      </c>
      <c r="AI109" s="415"/>
      <c r="AJ109" s="436" t="str">
        <f t="array" ref="AJ109">IF(M109=DGET(claves!$A$2:$AS423,M$2,{claves!$A$2;$E109}),1,0)</f>
        <v>#VALUE!</v>
      </c>
      <c r="AK109" s="436" t="str">
        <f t="array" ref="AK109">IF(N109=DGET(claves!$A$2:$AS423,N$2,{claves!$A$2;$E109}),1,0)</f>
        <v>#VALUE!</v>
      </c>
      <c r="AL109" s="436" t="str">
        <f t="array" ref="AL109">IF(O109=DGET(claves!$A$2:$AS423,O$2,{claves!$A$2;$E109}),1,0)</f>
        <v>#VALUE!</v>
      </c>
      <c r="AM109" s="436" t="str">
        <f t="array" ref="AM109">IF(P109=DGET(claves!$A$2:$AS423,P$2,{claves!$A$2;$E109}),1,0)</f>
        <v>#VALUE!</v>
      </c>
      <c r="AN109" s="436" t="str">
        <f t="array" ref="AN109">IF(Q109=DGET(claves!$A$2:$AS423,Q$2,{claves!$A$2;$E109}),1,0)</f>
        <v>#VALUE!</v>
      </c>
      <c r="AO109" s="436" t="str">
        <f t="array" ref="AO109">IF(R109=DGET(claves!$A$2:$AS423,R$2,{claves!$A$2;$E109}),1,0)</f>
        <v>#VALUE!</v>
      </c>
      <c r="AP109" s="436" t="str">
        <f t="array" ref="AP109">IF(S109=DGET(claves!$A$2:$AS423,S$2,{claves!$A$2;$E109}),1,0)</f>
        <v>#VALUE!</v>
      </c>
      <c r="AQ109" s="436" t="str">
        <f t="array" ref="AQ109">IF(T109=DGET(claves!$A$2:$AS423,T$2,{claves!$A$2;$E109}),1,0)</f>
        <v>#VALUE!</v>
      </c>
      <c r="AR109" s="436" t="str">
        <f t="array" ref="AR109">IF(U109=DGET(claves!$A$2:$AS423,U$2,{claves!$A$2;$E109}),1,0)</f>
        <v>#VALUE!</v>
      </c>
      <c r="AS109" s="436" t="str">
        <f t="array" ref="AS109">IF(V109=DGET(claves!$A$2:$AS423,V$2,{claves!$A$2;$E109}),1,0)</f>
        <v>#VALUE!</v>
      </c>
      <c r="AT109" s="436" t="str">
        <f t="array" ref="AT109">IF(W109=DGET(claves!$A$2:$AS423,W$2,{claves!$A$2;$E109}),1,0)</f>
        <v>#VALUE!</v>
      </c>
      <c r="AU109" s="436" t="str">
        <f t="array" ref="AU109">IF(X109=DGET(claves!$A$2:$AS423,X$2,{claves!$A$2;$E109}),1,0)</f>
        <v>#VALUE!</v>
      </c>
      <c r="AV109" s="436" t="str">
        <f t="array" ref="AV109">IF(Y109=DGET(claves!$A$2:$AS423,Y$2,{claves!$A$2;$E109}),1,0)</f>
        <v>#VALUE!</v>
      </c>
      <c r="AW109" s="436" t="str">
        <f t="array" ref="AW109">IF(Z109=DGET(claves!$A$2:$AS423,Z$2,{claves!$A$2;$E109}),1,0)</f>
        <v>#VALUE!</v>
      </c>
      <c r="AX109" s="436" t="str">
        <f t="array" ref="AX109">IF(AA109=DGET(claves!$A$2:$AS423,AA$2,{claves!$A$2;$E109}),1,0)</f>
        <v>#VALUE!</v>
      </c>
      <c r="AY109" s="436" t="str">
        <f t="array" ref="AY109">IF(AB109=DGET(claves!$A$2:$AS423,AB$2,{claves!$A$2;$E109}),1,0)</f>
        <v>#VALUE!</v>
      </c>
      <c r="AZ109" s="436" t="str">
        <f t="array" ref="AZ109">IF(AC109=DGET(claves!$A$2:$AS423,AC$2,{claves!$A$2;$E109}),1,0)</f>
        <v>#VALUE!</v>
      </c>
      <c r="BA109" s="436" t="str">
        <f t="array" ref="BA109">IF(AD109=DGET(claves!$A$2:$AS423,AD$2,{claves!$A$2;$E109}),1,0)</f>
        <v>#VALUE!</v>
      </c>
      <c r="BB109" s="436" t="str">
        <f t="array" ref="BB109">IF(AE109=DGET(claves!$A$2:$AS423,AE$2,{claves!$A$2;$E109}),1,0)</f>
        <v>#VALUE!</v>
      </c>
      <c r="BC109" s="436" t="str">
        <f t="array" ref="BC109">IF(AF109=DGET(claves!$A$2:$AS423,AF$2,{claves!$A$2;$E109}),1,0)</f>
        <v>#VALUE!</v>
      </c>
      <c r="BD109" s="437" t="str">
        <f t="shared" si="1"/>
        <v>#VALUE!</v>
      </c>
      <c r="BE109" s="435"/>
      <c r="BF109" s="415"/>
    </row>
    <row r="110" ht="14.25" customHeight="1">
      <c r="A110" s="408">
        <v>108.0</v>
      </c>
      <c r="B110" s="153" t="s">
        <v>1653</v>
      </c>
      <c r="C110" s="153">
        <v>2024.0</v>
      </c>
      <c r="D110" s="77" t="s">
        <v>1817</v>
      </c>
      <c r="E110" s="409" t="s">
        <v>1820</v>
      </c>
      <c r="F110" s="77" t="s">
        <v>1819</v>
      </c>
      <c r="G110" s="432" t="s">
        <v>20</v>
      </c>
      <c r="H110" s="433" t="s">
        <v>1769</v>
      </c>
      <c r="I110" s="433" t="s">
        <v>1684</v>
      </c>
      <c r="J110" s="433" t="s">
        <v>1770</v>
      </c>
      <c r="K110" s="432" t="s">
        <v>1665</v>
      </c>
      <c r="L110" s="415"/>
      <c r="M110" s="434" t="s">
        <v>1660</v>
      </c>
      <c r="N110" s="434" t="s">
        <v>1660</v>
      </c>
      <c r="O110" s="434" t="s">
        <v>1660</v>
      </c>
      <c r="P110" s="434" t="s">
        <v>1660</v>
      </c>
      <c r="Q110" s="434" t="s">
        <v>1659</v>
      </c>
      <c r="R110" s="434" t="s">
        <v>1689</v>
      </c>
      <c r="S110" s="434" t="s">
        <v>1659</v>
      </c>
      <c r="T110" s="434" t="s">
        <v>1660</v>
      </c>
      <c r="U110" s="434" t="s">
        <v>1689</v>
      </c>
      <c r="V110" s="434" t="s">
        <v>1659</v>
      </c>
      <c r="W110" s="434" t="s">
        <v>1660</v>
      </c>
      <c r="X110" s="434" t="s">
        <v>1660</v>
      </c>
      <c r="Y110" s="434" t="s">
        <v>1661</v>
      </c>
      <c r="Z110" s="434" t="s">
        <v>1659</v>
      </c>
      <c r="AA110" s="434" t="s">
        <v>1661</v>
      </c>
      <c r="AB110" s="434" t="s">
        <v>1659</v>
      </c>
      <c r="AC110" s="434" t="s">
        <v>1661</v>
      </c>
      <c r="AD110" s="434" t="s">
        <v>1659</v>
      </c>
      <c r="AE110" s="434" t="s">
        <v>1660</v>
      </c>
      <c r="AF110" s="434" t="s">
        <v>1689</v>
      </c>
      <c r="AG110" s="427">
        <v>8.0</v>
      </c>
      <c r="AH110" s="435" t="s">
        <v>18</v>
      </c>
      <c r="AI110" s="415"/>
      <c r="AJ110" s="436" t="str">
        <f t="array" ref="AJ110">IF(M110=DGET(claves!$A$2:$AS423,M$2,{claves!$A$2;$E110}),1,0)</f>
        <v>#VALUE!</v>
      </c>
      <c r="AK110" s="436" t="str">
        <f t="array" ref="AK110">IF(N110=DGET(claves!$A$2:$AS423,N$2,{claves!$A$2;$E110}),1,0)</f>
        <v>#VALUE!</v>
      </c>
      <c r="AL110" s="436" t="str">
        <f t="array" ref="AL110">IF(O110=DGET(claves!$A$2:$AS423,O$2,{claves!$A$2;$E110}),1,0)</f>
        <v>#VALUE!</v>
      </c>
      <c r="AM110" s="436" t="str">
        <f t="array" ref="AM110">IF(P110=DGET(claves!$A$2:$AS423,P$2,{claves!$A$2;$E110}),1,0)</f>
        <v>#VALUE!</v>
      </c>
      <c r="AN110" s="436" t="str">
        <f t="array" ref="AN110">IF(Q110=DGET(claves!$A$2:$AS423,Q$2,{claves!$A$2;$E110}),1,0)</f>
        <v>#VALUE!</v>
      </c>
      <c r="AO110" s="436" t="str">
        <f t="array" ref="AO110">IF(R110=DGET(claves!$A$2:$AS423,R$2,{claves!$A$2;$E110}),1,0)</f>
        <v>#VALUE!</v>
      </c>
      <c r="AP110" s="436" t="str">
        <f t="array" ref="AP110">IF(S110=DGET(claves!$A$2:$AS423,S$2,{claves!$A$2;$E110}),1,0)</f>
        <v>#VALUE!</v>
      </c>
      <c r="AQ110" s="436" t="str">
        <f t="array" ref="AQ110">IF(T110=DGET(claves!$A$2:$AS423,T$2,{claves!$A$2;$E110}),1,0)</f>
        <v>#VALUE!</v>
      </c>
      <c r="AR110" s="436" t="str">
        <f t="array" ref="AR110">IF(U110=DGET(claves!$A$2:$AS423,U$2,{claves!$A$2;$E110}),1,0)</f>
        <v>#VALUE!</v>
      </c>
      <c r="AS110" s="436" t="str">
        <f t="array" ref="AS110">IF(V110=DGET(claves!$A$2:$AS423,V$2,{claves!$A$2;$E110}),1,0)</f>
        <v>#VALUE!</v>
      </c>
      <c r="AT110" s="436" t="str">
        <f t="array" ref="AT110">IF(W110=DGET(claves!$A$2:$AS423,W$2,{claves!$A$2;$E110}),1,0)</f>
        <v>#VALUE!</v>
      </c>
      <c r="AU110" s="436" t="str">
        <f t="array" ref="AU110">IF(X110=DGET(claves!$A$2:$AS423,X$2,{claves!$A$2;$E110}),1,0)</f>
        <v>#VALUE!</v>
      </c>
      <c r="AV110" s="436" t="str">
        <f t="array" ref="AV110">IF(Y110=DGET(claves!$A$2:$AS423,Y$2,{claves!$A$2;$E110}),1,0)</f>
        <v>#VALUE!</v>
      </c>
      <c r="AW110" s="436" t="str">
        <f t="array" ref="AW110">IF(Z110=DGET(claves!$A$2:$AS423,Z$2,{claves!$A$2;$E110}),1,0)</f>
        <v>#VALUE!</v>
      </c>
      <c r="AX110" s="436" t="str">
        <f t="array" ref="AX110">IF(AA110=DGET(claves!$A$2:$AS423,AA$2,{claves!$A$2;$E110}),1,0)</f>
        <v>#VALUE!</v>
      </c>
      <c r="AY110" s="436" t="str">
        <f t="array" ref="AY110">IF(AB110=DGET(claves!$A$2:$AS423,AB$2,{claves!$A$2;$E110}),1,0)</f>
        <v>#VALUE!</v>
      </c>
      <c r="AZ110" s="436" t="str">
        <f t="array" ref="AZ110">IF(AC110=DGET(claves!$A$2:$AS423,AC$2,{claves!$A$2;$E110}),1,0)</f>
        <v>#VALUE!</v>
      </c>
      <c r="BA110" s="436" t="str">
        <f t="array" ref="BA110">IF(AD110=DGET(claves!$A$2:$AS423,AD$2,{claves!$A$2;$E110}),1,0)</f>
        <v>#VALUE!</v>
      </c>
      <c r="BB110" s="436" t="str">
        <f t="array" ref="BB110">IF(AE110=DGET(claves!$A$2:$AS423,AE$2,{claves!$A$2;$E110}),1,0)</f>
        <v>#VALUE!</v>
      </c>
      <c r="BC110" s="436" t="str">
        <f t="array" ref="BC110">IF(AF110=DGET(claves!$A$2:$AS423,AF$2,{claves!$A$2;$E110}),1,0)</f>
        <v>#VALUE!</v>
      </c>
      <c r="BD110" s="437" t="str">
        <f t="shared" si="1"/>
        <v>#VALUE!</v>
      </c>
      <c r="BE110" s="435"/>
      <c r="BF110" s="415"/>
    </row>
    <row r="111" ht="14.25" customHeight="1">
      <c r="A111" s="408">
        <v>109.0</v>
      </c>
      <c r="B111" s="153" t="s">
        <v>1653</v>
      </c>
      <c r="C111" s="153">
        <v>2024.0</v>
      </c>
      <c r="D111" s="77" t="s">
        <v>1817</v>
      </c>
      <c r="E111" s="409" t="s">
        <v>1821</v>
      </c>
      <c r="F111" s="77" t="s">
        <v>1819</v>
      </c>
      <c r="G111" s="432" t="s">
        <v>22</v>
      </c>
      <c r="H111" s="433" t="s">
        <v>1771</v>
      </c>
      <c r="I111" s="433" t="s">
        <v>1772</v>
      </c>
      <c r="J111" s="433" t="s">
        <v>1773</v>
      </c>
      <c r="K111" s="432" t="s">
        <v>1665</v>
      </c>
      <c r="L111" s="415"/>
      <c r="M111" s="434" t="s">
        <v>1661</v>
      </c>
      <c r="N111" s="434" t="s">
        <v>1661</v>
      </c>
      <c r="O111" s="434" t="s">
        <v>1689</v>
      </c>
      <c r="P111" s="434" t="s">
        <v>1689</v>
      </c>
      <c r="Q111" s="434" t="s">
        <v>1689</v>
      </c>
      <c r="R111" s="434" t="s">
        <v>1689</v>
      </c>
      <c r="S111" s="434" t="s">
        <v>1689</v>
      </c>
      <c r="T111" s="434" t="s">
        <v>1661</v>
      </c>
      <c r="U111" s="434" t="s">
        <v>1689</v>
      </c>
      <c r="V111" s="434" t="s">
        <v>1659</v>
      </c>
      <c r="W111" s="434" t="s">
        <v>1689</v>
      </c>
      <c r="X111" s="434" t="s">
        <v>1689</v>
      </c>
      <c r="Y111" s="434" t="s">
        <v>1689</v>
      </c>
      <c r="Z111" s="434" t="s">
        <v>1661</v>
      </c>
      <c r="AA111" s="434" t="s">
        <v>1660</v>
      </c>
      <c r="AB111" s="434" t="s">
        <v>1689</v>
      </c>
      <c r="AC111" s="434" t="s">
        <v>1659</v>
      </c>
      <c r="AD111" s="434" t="s">
        <v>1660</v>
      </c>
      <c r="AE111" s="434" t="s">
        <v>1661</v>
      </c>
      <c r="AF111" s="434" t="s">
        <v>1689</v>
      </c>
      <c r="AG111" s="427">
        <v>18.0</v>
      </c>
      <c r="AH111" s="438" t="s">
        <v>32</v>
      </c>
      <c r="AI111" s="415"/>
      <c r="AJ111" s="436" t="str">
        <f t="array" ref="AJ111">IF(M111=DGET(claves!$A$2:$AS423,M$2,{claves!$A$2;$E111}),1,0)</f>
        <v>#VALUE!</v>
      </c>
      <c r="AK111" s="436" t="str">
        <f t="array" ref="AK111">IF(N111=DGET(claves!$A$2:$AS423,N$2,{claves!$A$2;$E111}),1,0)</f>
        <v>#VALUE!</v>
      </c>
      <c r="AL111" s="436" t="str">
        <f t="array" ref="AL111">IF(O111=DGET(claves!$A$2:$AS423,O$2,{claves!$A$2;$E111}),1,0)</f>
        <v>#VALUE!</v>
      </c>
      <c r="AM111" s="436" t="str">
        <f t="array" ref="AM111">IF(P111=DGET(claves!$A$2:$AS423,P$2,{claves!$A$2;$E111}),1,0)</f>
        <v>#VALUE!</v>
      </c>
      <c r="AN111" s="436" t="str">
        <f t="array" ref="AN111">IF(Q111=DGET(claves!$A$2:$AS423,Q$2,{claves!$A$2;$E111}),1,0)</f>
        <v>#VALUE!</v>
      </c>
      <c r="AO111" s="436" t="str">
        <f t="array" ref="AO111">IF(R111=DGET(claves!$A$2:$AS423,R$2,{claves!$A$2;$E111}),1,0)</f>
        <v>#VALUE!</v>
      </c>
      <c r="AP111" s="436" t="str">
        <f t="array" ref="AP111">IF(S111=DGET(claves!$A$2:$AS423,S$2,{claves!$A$2;$E111}),1,0)</f>
        <v>#VALUE!</v>
      </c>
      <c r="AQ111" s="436" t="str">
        <f t="array" ref="AQ111">IF(T111=DGET(claves!$A$2:$AS423,T$2,{claves!$A$2;$E111}),1,0)</f>
        <v>#VALUE!</v>
      </c>
      <c r="AR111" s="436" t="str">
        <f t="array" ref="AR111">IF(U111=DGET(claves!$A$2:$AS423,U$2,{claves!$A$2;$E111}),1,0)</f>
        <v>#VALUE!</v>
      </c>
      <c r="AS111" s="436" t="str">
        <f t="array" ref="AS111">IF(V111=DGET(claves!$A$2:$AS423,V$2,{claves!$A$2;$E111}),1,0)</f>
        <v>#VALUE!</v>
      </c>
      <c r="AT111" s="436" t="str">
        <f t="array" ref="AT111">IF(W111=DGET(claves!$A$2:$AS423,W$2,{claves!$A$2;$E111}),1,0)</f>
        <v>#VALUE!</v>
      </c>
      <c r="AU111" s="436" t="str">
        <f t="array" ref="AU111">IF(X111=DGET(claves!$A$2:$AS423,X$2,{claves!$A$2;$E111}),1,0)</f>
        <v>#VALUE!</v>
      </c>
      <c r="AV111" s="436" t="str">
        <f t="array" ref="AV111">IF(Y111=DGET(claves!$A$2:$AS423,Y$2,{claves!$A$2;$E111}),1,0)</f>
        <v>#VALUE!</v>
      </c>
      <c r="AW111" s="436" t="str">
        <f t="array" ref="AW111">IF(Z111=DGET(claves!$A$2:$AS423,Z$2,{claves!$A$2;$E111}),1,0)</f>
        <v>#VALUE!</v>
      </c>
      <c r="AX111" s="436" t="str">
        <f t="array" ref="AX111">IF(AA111=DGET(claves!$A$2:$AS423,AA$2,{claves!$A$2;$E111}),1,0)</f>
        <v>#VALUE!</v>
      </c>
      <c r="AY111" s="436" t="str">
        <f t="array" ref="AY111">IF(AB111=DGET(claves!$A$2:$AS423,AB$2,{claves!$A$2;$E111}),1,0)</f>
        <v>#VALUE!</v>
      </c>
      <c r="AZ111" s="436" t="str">
        <f t="array" ref="AZ111">IF(AC111=DGET(claves!$A$2:$AS423,AC$2,{claves!$A$2;$E111}),1,0)</f>
        <v>#VALUE!</v>
      </c>
      <c r="BA111" s="436" t="str">
        <f t="array" ref="BA111">IF(AD111=DGET(claves!$A$2:$AS423,AD$2,{claves!$A$2;$E111}),1,0)</f>
        <v>#VALUE!</v>
      </c>
      <c r="BB111" s="436" t="str">
        <f t="array" ref="BB111">IF(AE111=DGET(claves!$A$2:$AS423,AE$2,{claves!$A$2;$E111}),1,0)</f>
        <v>#VALUE!</v>
      </c>
      <c r="BC111" s="436" t="str">
        <f t="array" ref="BC111">IF(AF111=DGET(claves!$A$2:$AS423,AF$2,{claves!$A$2;$E111}),1,0)</f>
        <v>#VALUE!</v>
      </c>
      <c r="BD111" s="437" t="str">
        <f t="shared" si="1"/>
        <v>#VALUE!</v>
      </c>
      <c r="BE111" s="435"/>
      <c r="BF111" s="415"/>
    </row>
    <row r="112" ht="14.25" customHeight="1">
      <c r="A112" s="408">
        <v>110.0</v>
      </c>
      <c r="B112" s="153" t="s">
        <v>1653</v>
      </c>
      <c r="C112" s="153">
        <v>2024.0</v>
      </c>
      <c r="D112" s="77" t="s">
        <v>1817</v>
      </c>
      <c r="E112" s="409" t="s">
        <v>1821</v>
      </c>
      <c r="F112" s="77" t="s">
        <v>1819</v>
      </c>
      <c r="G112" s="432" t="s">
        <v>22</v>
      </c>
      <c r="H112" s="433" t="s">
        <v>1774</v>
      </c>
      <c r="I112" s="433" t="s">
        <v>1684</v>
      </c>
      <c r="J112" s="433" t="s">
        <v>1775</v>
      </c>
      <c r="K112" s="432" t="s">
        <v>1665</v>
      </c>
      <c r="L112" s="415"/>
      <c r="M112" s="434" t="s">
        <v>1661</v>
      </c>
      <c r="N112" s="434" t="s">
        <v>1661</v>
      </c>
      <c r="O112" s="434" t="s">
        <v>1689</v>
      </c>
      <c r="P112" s="434" t="s">
        <v>1659</v>
      </c>
      <c r="Q112" s="434" t="s">
        <v>1660</v>
      </c>
      <c r="R112" s="434" t="s">
        <v>1689</v>
      </c>
      <c r="S112" s="434" t="s">
        <v>1661</v>
      </c>
      <c r="T112" s="434"/>
      <c r="U112" s="434" t="s">
        <v>1689</v>
      </c>
      <c r="V112" s="434" t="s">
        <v>1660</v>
      </c>
      <c r="W112" s="434" t="s">
        <v>1689</v>
      </c>
      <c r="X112" s="434" t="s">
        <v>1689</v>
      </c>
      <c r="Y112" s="434" t="s">
        <v>1689</v>
      </c>
      <c r="Z112" s="434" t="s">
        <v>1661</v>
      </c>
      <c r="AA112" s="434" t="s">
        <v>1660</v>
      </c>
      <c r="AB112" s="434" t="s">
        <v>1689</v>
      </c>
      <c r="AC112" s="434" t="s">
        <v>1659</v>
      </c>
      <c r="AD112" s="434" t="s">
        <v>1660</v>
      </c>
      <c r="AE112" s="434" t="s">
        <v>1661</v>
      </c>
      <c r="AF112" s="434" t="s">
        <v>1689</v>
      </c>
      <c r="AG112" s="427">
        <v>17.0</v>
      </c>
      <c r="AH112" s="438" t="s">
        <v>32</v>
      </c>
      <c r="AI112" s="415"/>
      <c r="AJ112" s="436" t="str">
        <f t="array" ref="AJ112">IF(M112=DGET(claves!$A$2:$AS423,M$2,{claves!$A$2;$E112}),1,0)</f>
        <v>#VALUE!</v>
      </c>
      <c r="AK112" s="436" t="str">
        <f t="array" ref="AK112">IF(N112=DGET(claves!$A$2:$AS423,N$2,{claves!$A$2;$E112}),1,0)</f>
        <v>#VALUE!</v>
      </c>
      <c r="AL112" s="436" t="str">
        <f t="array" ref="AL112">IF(O112=DGET(claves!$A$2:$AS423,O$2,{claves!$A$2;$E112}),1,0)</f>
        <v>#VALUE!</v>
      </c>
      <c r="AM112" s="436" t="str">
        <f t="array" ref="AM112">IF(P112=DGET(claves!$A$2:$AS423,P$2,{claves!$A$2;$E112}),1,0)</f>
        <v>#VALUE!</v>
      </c>
      <c r="AN112" s="436" t="str">
        <f t="array" ref="AN112">IF(Q112=DGET(claves!$A$2:$AS423,Q$2,{claves!$A$2;$E112}),1,0)</f>
        <v>#VALUE!</v>
      </c>
      <c r="AO112" s="436" t="str">
        <f t="array" ref="AO112">IF(R112=DGET(claves!$A$2:$AS423,R$2,{claves!$A$2;$E112}),1,0)</f>
        <v>#VALUE!</v>
      </c>
      <c r="AP112" s="436" t="str">
        <f t="array" ref="AP112">IF(S112=DGET(claves!$A$2:$AS423,S$2,{claves!$A$2;$E112}),1,0)</f>
        <v>#VALUE!</v>
      </c>
      <c r="AQ112" s="436" t="str">
        <f t="array" ref="AQ112">IF(T112=DGET(claves!$A$2:$AS423,T$2,{claves!$A$2;$E112}),1,0)</f>
        <v>#VALUE!</v>
      </c>
      <c r="AR112" s="436" t="str">
        <f t="array" ref="AR112">IF(U112=DGET(claves!$A$2:$AS423,U$2,{claves!$A$2;$E112}),1,0)</f>
        <v>#VALUE!</v>
      </c>
      <c r="AS112" s="436" t="str">
        <f t="array" ref="AS112">IF(V112=DGET(claves!$A$2:$AS423,V$2,{claves!$A$2;$E112}),1,0)</f>
        <v>#VALUE!</v>
      </c>
      <c r="AT112" s="436" t="str">
        <f t="array" ref="AT112">IF(W112=DGET(claves!$A$2:$AS423,W$2,{claves!$A$2;$E112}),1,0)</f>
        <v>#VALUE!</v>
      </c>
      <c r="AU112" s="436" t="str">
        <f t="array" ref="AU112">IF(X112=DGET(claves!$A$2:$AS423,X$2,{claves!$A$2;$E112}),1,0)</f>
        <v>#VALUE!</v>
      </c>
      <c r="AV112" s="436" t="str">
        <f t="array" ref="AV112">IF(Y112=DGET(claves!$A$2:$AS423,Y$2,{claves!$A$2;$E112}),1,0)</f>
        <v>#VALUE!</v>
      </c>
      <c r="AW112" s="436" t="str">
        <f t="array" ref="AW112">IF(Z112=DGET(claves!$A$2:$AS423,Z$2,{claves!$A$2;$E112}),1,0)</f>
        <v>#VALUE!</v>
      </c>
      <c r="AX112" s="436" t="str">
        <f t="array" ref="AX112">IF(AA112=DGET(claves!$A$2:$AS423,AA$2,{claves!$A$2;$E112}),1,0)</f>
        <v>#VALUE!</v>
      </c>
      <c r="AY112" s="436" t="str">
        <f t="array" ref="AY112">IF(AB112=DGET(claves!$A$2:$AS423,AB$2,{claves!$A$2;$E112}),1,0)</f>
        <v>#VALUE!</v>
      </c>
      <c r="AZ112" s="436" t="str">
        <f t="array" ref="AZ112">IF(AC112=DGET(claves!$A$2:$AS423,AC$2,{claves!$A$2;$E112}),1,0)</f>
        <v>#VALUE!</v>
      </c>
      <c r="BA112" s="436" t="str">
        <f t="array" ref="BA112">IF(AD112=DGET(claves!$A$2:$AS423,AD$2,{claves!$A$2;$E112}),1,0)</f>
        <v>#VALUE!</v>
      </c>
      <c r="BB112" s="436" t="str">
        <f t="array" ref="BB112">IF(AE112=DGET(claves!$A$2:$AS423,AE$2,{claves!$A$2;$E112}),1,0)</f>
        <v>#VALUE!</v>
      </c>
      <c r="BC112" s="436" t="str">
        <f t="array" ref="BC112">IF(AF112=DGET(claves!$A$2:$AS423,AF$2,{claves!$A$2;$E112}),1,0)</f>
        <v>#VALUE!</v>
      </c>
      <c r="BD112" s="437" t="str">
        <f t="shared" si="1"/>
        <v>#VALUE!</v>
      </c>
      <c r="BE112" s="435"/>
      <c r="BF112" s="415"/>
    </row>
    <row r="113" ht="14.25" customHeight="1">
      <c r="A113" s="408">
        <v>111.0</v>
      </c>
      <c r="B113" s="153" t="s">
        <v>1653</v>
      </c>
      <c r="C113" s="153">
        <v>2024.0</v>
      </c>
      <c r="D113" s="77" t="s">
        <v>1817</v>
      </c>
      <c r="E113" s="409" t="s">
        <v>1821</v>
      </c>
      <c r="F113" s="77" t="s">
        <v>1819</v>
      </c>
      <c r="G113" s="432" t="s">
        <v>22</v>
      </c>
      <c r="H113" s="433" t="s">
        <v>1712</v>
      </c>
      <c r="I113" s="433" t="s">
        <v>1776</v>
      </c>
      <c r="J113" s="433" t="s">
        <v>1777</v>
      </c>
      <c r="K113" s="433" t="s">
        <v>1658</v>
      </c>
      <c r="L113" s="415"/>
      <c r="M113" s="434" t="s">
        <v>1661</v>
      </c>
      <c r="N113" s="434" t="s">
        <v>1661</v>
      </c>
      <c r="O113" s="434" t="s">
        <v>1689</v>
      </c>
      <c r="P113" s="434" t="s">
        <v>1689</v>
      </c>
      <c r="Q113" s="434" t="s">
        <v>1689</v>
      </c>
      <c r="R113" s="434" t="s">
        <v>1689</v>
      </c>
      <c r="S113" s="434" t="s">
        <v>1660</v>
      </c>
      <c r="T113" s="434" t="s">
        <v>1661</v>
      </c>
      <c r="U113" s="434" t="s">
        <v>1689</v>
      </c>
      <c r="V113" s="434" t="s">
        <v>1661</v>
      </c>
      <c r="W113" s="434" t="s">
        <v>1660</v>
      </c>
      <c r="X113" s="434" t="s">
        <v>1689</v>
      </c>
      <c r="Y113" s="434" t="s">
        <v>1689</v>
      </c>
      <c r="Z113" s="434" t="s">
        <v>1661</v>
      </c>
      <c r="AA113" s="434" t="s">
        <v>1659</v>
      </c>
      <c r="AB113" s="434" t="s">
        <v>1689</v>
      </c>
      <c r="AC113" s="434" t="s">
        <v>1659</v>
      </c>
      <c r="AD113" s="434" t="s">
        <v>1661</v>
      </c>
      <c r="AE113" s="434" t="s">
        <v>1660</v>
      </c>
      <c r="AF113" s="434" t="s">
        <v>1689</v>
      </c>
      <c r="AG113" s="427">
        <v>13.0</v>
      </c>
      <c r="AH113" s="435" t="s">
        <v>24</v>
      </c>
      <c r="AI113" s="415"/>
      <c r="AJ113" s="436" t="str">
        <f t="array" ref="AJ113">IF(M113=DGET(claves!$A$2:$AS423,M$2,{claves!$A$2;$E113}),1,0)</f>
        <v>#VALUE!</v>
      </c>
      <c r="AK113" s="436" t="str">
        <f t="array" ref="AK113">IF(N113=DGET(claves!$A$2:$AS423,N$2,{claves!$A$2;$E113}),1,0)</f>
        <v>#VALUE!</v>
      </c>
      <c r="AL113" s="436" t="str">
        <f t="array" ref="AL113">IF(O113=DGET(claves!$A$2:$AS423,O$2,{claves!$A$2;$E113}),1,0)</f>
        <v>#VALUE!</v>
      </c>
      <c r="AM113" s="436" t="str">
        <f t="array" ref="AM113">IF(P113=DGET(claves!$A$2:$AS423,P$2,{claves!$A$2;$E113}),1,0)</f>
        <v>#VALUE!</v>
      </c>
      <c r="AN113" s="436" t="str">
        <f t="array" ref="AN113">IF(Q113=DGET(claves!$A$2:$AS423,Q$2,{claves!$A$2;$E113}),1,0)</f>
        <v>#VALUE!</v>
      </c>
      <c r="AO113" s="436" t="str">
        <f t="array" ref="AO113">IF(R113=DGET(claves!$A$2:$AS423,R$2,{claves!$A$2;$E113}),1,0)</f>
        <v>#VALUE!</v>
      </c>
      <c r="AP113" s="436" t="str">
        <f t="array" ref="AP113">IF(S113=DGET(claves!$A$2:$AS423,S$2,{claves!$A$2;$E113}),1,0)</f>
        <v>#VALUE!</v>
      </c>
      <c r="AQ113" s="436" t="str">
        <f t="array" ref="AQ113">IF(T113=DGET(claves!$A$2:$AS423,T$2,{claves!$A$2;$E113}),1,0)</f>
        <v>#VALUE!</v>
      </c>
      <c r="AR113" s="436" t="str">
        <f t="array" ref="AR113">IF(U113=DGET(claves!$A$2:$AS423,U$2,{claves!$A$2;$E113}),1,0)</f>
        <v>#VALUE!</v>
      </c>
      <c r="AS113" s="436" t="str">
        <f t="array" ref="AS113">IF(V113=DGET(claves!$A$2:$AS423,V$2,{claves!$A$2;$E113}),1,0)</f>
        <v>#VALUE!</v>
      </c>
      <c r="AT113" s="436" t="str">
        <f t="array" ref="AT113">IF(W113=DGET(claves!$A$2:$AS423,W$2,{claves!$A$2;$E113}),1,0)</f>
        <v>#VALUE!</v>
      </c>
      <c r="AU113" s="436" t="str">
        <f t="array" ref="AU113">IF(X113=DGET(claves!$A$2:$AS423,X$2,{claves!$A$2;$E113}),1,0)</f>
        <v>#VALUE!</v>
      </c>
      <c r="AV113" s="436" t="str">
        <f t="array" ref="AV113">IF(Y113=DGET(claves!$A$2:$AS423,Y$2,{claves!$A$2;$E113}),1,0)</f>
        <v>#VALUE!</v>
      </c>
      <c r="AW113" s="436" t="str">
        <f t="array" ref="AW113">IF(Z113=DGET(claves!$A$2:$AS423,Z$2,{claves!$A$2;$E113}),1,0)</f>
        <v>#VALUE!</v>
      </c>
      <c r="AX113" s="436" t="str">
        <f t="array" ref="AX113">IF(AA113=DGET(claves!$A$2:$AS423,AA$2,{claves!$A$2;$E113}),1,0)</f>
        <v>#VALUE!</v>
      </c>
      <c r="AY113" s="436" t="str">
        <f t="array" ref="AY113">IF(AB113=DGET(claves!$A$2:$AS423,AB$2,{claves!$A$2;$E113}),1,0)</f>
        <v>#VALUE!</v>
      </c>
      <c r="AZ113" s="436" t="str">
        <f t="array" ref="AZ113">IF(AC113=DGET(claves!$A$2:$AS423,AC$2,{claves!$A$2;$E113}),1,0)</f>
        <v>#VALUE!</v>
      </c>
      <c r="BA113" s="436" t="str">
        <f t="array" ref="BA113">IF(AD113=DGET(claves!$A$2:$AS423,AD$2,{claves!$A$2;$E113}),1,0)</f>
        <v>#VALUE!</v>
      </c>
      <c r="BB113" s="436" t="str">
        <f t="array" ref="BB113">IF(AE113=DGET(claves!$A$2:$AS423,AE$2,{claves!$A$2;$E113}),1,0)</f>
        <v>#VALUE!</v>
      </c>
      <c r="BC113" s="436" t="str">
        <f t="array" ref="BC113">IF(AF113=DGET(claves!$A$2:$AS423,AF$2,{claves!$A$2;$E113}),1,0)</f>
        <v>#VALUE!</v>
      </c>
      <c r="BD113" s="437" t="str">
        <f t="shared" si="1"/>
        <v>#VALUE!</v>
      </c>
      <c r="BE113" s="435"/>
      <c r="BF113" s="415"/>
    </row>
    <row r="114" ht="14.25" customHeight="1">
      <c r="A114" s="408">
        <v>112.0</v>
      </c>
      <c r="B114" s="153" t="s">
        <v>1653</v>
      </c>
      <c r="C114" s="153">
        <v>2024.0</v>
      </c>
      <c r="D114" s="77" t="s">
        <v>1817</v>
      </c>
      <c r="E114" s="409" t="s">
        <v>1821</v>
      </c>
      <c r="F114" s="77" t="s">
        <v>1819</v>
      </c>
      <c r="G114" s="432" t="s">
        <v>22</v>
      </c>
      <c r="H114" s="433" t="s">
        <v>1667</v>
      </c>
      <c r="I114" s="433" t="s">
        <v>1778</v>
      </c>
      <c r="J114" s="433" t="s">
        <v>1779</v>
      </c>
      <c r="K114" s="432" t="s">
        <v>1665</v>
      </c>
      <c r="L114" s="415"/>
      <c r="M114" s="434" t="s">
        <v>1660</v>
      </c>
      <c r="N114" s="434" t="s">
        <v>1661</v>
      </c>
      <c r="O114" s="434" t="s">
        <v>1661</v>
      </c>
      <c r="P114" s="434" t="s">
        <v>1659</v>
      </c>
      <c r="Q114" s="434" t="s">
        <v>1660</v>
      </c>
      <c r="R114" s="434" t="s">
        <v>1689</v>
      </c>
      <c r="S114" s="434" t="s">
        <v>1661</v>
      </c>
      <c r="T114" s="434" t="s">
        <v>1689</v>
      </c>
      <c r="U114" s="434" t="s">
        <v>1661</v>
      </c>
      <c r="V114" s="434" t="s">
        <v>1661</v>
      </c>
      <c r="W114" s="434" t="s">
        <v>1660</v>
      </c>
      <c r="X114" s="434" t="s">
        <v>1689</v>
      </c>
      <c r="Y114" s="434" t="s">
        <v>1659</v>
      </c>
      <c r="Z114" s="434" t="s">
        <v>1661</v>
      </c>
      <c r="AA114" s="434" t="s">
        <v>1660</v>
      </c>
      <c r="AB114" s="434" t="s">
        <v>1689</v>
      </c>
      <c r="AC114" s="434" t="s">
        <v>1659</v>
      </c>
      <c r="AD114" s="434" t="s">
        <v>1660</v>
      </c>
      <c r="AE114" s="434" t="s">
        <v>1661</v>
      </c>
      <c r="AF114" s="434" t="s">
        <v>1689</v>
      </c>
      <c r="AG114" s="427">
        <v>12.0</v>
      </c>
      <c r="AH114" s="435" t="s">
        <v>24</v>
      </c>
      <c r="AI114" s="415"/>
      <c r="AJ114" s="436" t="str">
        <f t="array" ref="AJ114">IF(M114=DGET(claves!$A$2:$AS423,M$2,{claves!$A$2;$E114}),1,0)</f>
        <v>#VALUE!</v>
      </c>
      <c r="AK114" s="436" t="str">
        <f t="array" ref="AK114">IF(N114=DGET(claves!$A$2:$AS423,N$2,{claves!$A$2;$E114}),1,0)</f>
        <v>#VALUE!</v>
      </c>
      <c r="AL114" s="436" t="str">
        <f t="array" ref="AL114">IF(O114=DGET(claves!$A$2:$AS423,O$2,{claves!$A$2;$E114}),1,0)</f>
        <v>#VALUE!</v>
      </c>
      <c r="AM114" s="436" t="str">
        <f t="array" ref="AM114">IF(P114=DGET(claves!$A$2:$AS423,P$2,{claves!$A$2;$E114}),1,0)</f>
        <v>#VALUE!</v>
      </c>
      <c r="AN114" s="436" t="str">
        <f t="array" ref="AN114">IF(Q114=DGET(claves!$A$2:$AS423,Q$2,{claves!$A$2;$E114}),1,0)</f>
        <v>#VALUE!</v>
      </c>
      <c r="AO114" s="436" t="str">
        <f t="array" ref="AO114">IF(R114=DGET(claves!$A$2:$AS423,R$2,{claves!$A$2;$E114}),1,0)</f>
        <v>#VALUE!</v>
      </c>
      <c r="AP114" s="436" t="str">
        <f t="array" ref="AP114">IF(S114=DGET(claves!$A$2:$AS423,S$2,{claves!$A$2;$E114}),1,0)</f>
        <v>#VALUE!</v>
      </c>
      <c r="AQ114" s="436" t="str">
        <f t="array" ref="AQ114">IF(T114=DGET(claves!$A$2:$AS423,T$2,{claves!$A$2;$E114}),1,0)</f>
        <v>#VALUE!</v>
      </c>
      <c r="AR114" s="436" t="str">
        <f t="array" ref="AR114">IF(U114=DGET(claves!$A$2:$AS423,U$2,{claves!$A$2;$E114}),1,0)</f>
        <v>#VALUE!</v>
      </c>
      <c r="AS114" s="436" t="str">
        <f t="array" ref="AS114">IF(V114=DGET(claves!$A$2:$AS423,V$2,{claves!$A$2;$E114}),1,0)</f>
        <v>#VALUE!</v>
      </c>
      <c r="AT114" s="436" t="str">
        <f t="array" ref="AT114">IF(W114=DGET(claves!$A$2:$AS423,W$2,{claves!$A$2;$E114}),1,0)</f>
        <v>#VALUE!</v>
      </c>
      <c r="AU114" s="436" t="str">
        <f t="array" ref="AU114">IF(X114=DGET(claves!$A$2:$AS423,X$2,{claves!$A$2;$E114}),1,0)</f>
        <v>#VALUE!</v>
      </c>
      <c r="AV114" s="436" t="str">
        <f t="array" ref="AV114">IF(Y114=DGET(claves!$A$2:$AS423,Y$2,{claves!$A$2;$E114}),1,0)</f>
        <v>#VALUE!</v>
      </c>
      <c r="AW114" s="436" t="str">
        <f t="array" ref="AW114">IF(Z114=DGET(claves!$A$2:$AS423,Z$2,{claves!$A$2;$E114}),1,0)</f>
        <v>#VALUE!</v>
      </c>
      <c r="AX114" s="436" t="str">
        <f t="array" ref="AX114">IF(AA114=DGET(claves!$A$2:$AS423,AA$2,{claves!$A$2;$E114}),1,0)</f>
        <v>#VALUE!</v>
      </c>
      <c r="AY114" s="436" t="str">
        <f t="array" ref="AY114">IF(AB114=DGET(claves!$A$2:$AS423,AB$2,{claves!$A$2;$E114}),1,0)</f>
        <v>#VALUE!</v>
      </c>
      <c r="AZ114" s="436" t="str">
        <f t="array" ref="AZ114">IF(AC114=DGET(claves!$A$2:$AS423,AC$2,{claves!$A$2;$E114}),1,0)</f>
        <v>#VALUE!</v>
      </c>
      <c r="BA114" s="436" t="str">
        <f t="array" ref="BA114">IF(AD114=DGET(claves!$A$2:$AS423,AD$2,{claves!$A$2;$E114}),1,0)</f>
        <v>#VALUE!</v>
      </c>
      <c r="BB114" s="436" t="str">
        <f t="array" ref="BB114">IF(AE114=DGET(claves!$A$2:$AS423,AE$2,{claves!$A$2;$E114}),1,0)</f>
        <v>#VALUE!</v>
      </c>
      <c r="BC114" s="436" t="str">
        <f t="array" ref="BC114">IF(AF114=DGET(claves!$A$2:$AS423,AF$2,{claves!$A$2;$E114}),1,0)</f>
        <v>#VALUE!</v>
      </c>
      <c r="BD114" s="437" t="str">
        <f t="shared" si="1"/>
        <v>#VALUE!</v>
      </c>
      <c r="BE114" s="435"/>
      <c r="BF114" s="415"/>
    </row>
    <row r="115" ht="14.25" customHeight="1">
      <c r="A115" s="408">
        <v>113.0</v>
      </c>
      <c r="B115" s="153" t="s">
        <v>1653</v>
      </c>
      <c r="C115" s="153">
        <v>2024.0</v>
      </c>
      <c r="D115" s="77" t="s">
        <v>1817</v>
      </c>
      <c r="E115" s="409" t="s">
        <v>1821</v>
      </c>
      <c r="F115" s="77" t="s">
        <v>1819</v>
      </c>
      <c r="G115" s="432" t="s">
        <v>22</v>
      </c>
      <c r="H115" s="433" t="s">
        <v>1676</v>
      </c>
      <c r="I115" s="433" t="s">
        <v>1780</v>
      </c>
      <c r="J115" s="433" t="s">
        <v>1781</v>
      </c>
      <c r="K115" s="433" t="s">
        <v>1658</v>
      </c>
      <c r="L115" s="415"/>
      <c r="M115" s="434" t="s">
        <v>1661</v>
      </c>
      <c r="N115" s="434" t="s">
        <v>1661</v>
      </c>
      <c r="O115" s="434" t="s">
        <v>1689</v>
      </c>
      <c r="P115" s="434" t="s">
        <v>1659</v>
      </c>
      <c r="Q115" s="434" t="s">
        <v>1689</v>
      </c>
      <c r="R115" s="434" t="s">
        <v>1689</v>
      </c>
      <c r="S115" s="434" t="s">
        <v>1661</v>
      </c>
      <c r="T115" s="434" t="s">
        <v>1661</v>
      </c>
      <c r="U115" s="434" t="s">
        <v>1661</v>
      </c>
      <c r="V115" s="434" t="s">
        <v>1661</v>
      </c>
      <c r="W115" s="434" t="s">
        <v>1689</v>
      </c>
      <c r="X115" s="434" t="s">
        <v>1689</v>
      </c>
      <c r="Y115" s="434" t="s">
        <v>1689</v>
      </c>
      <c r="Z115" s="434" t="s">
        <v>1689</v>
      </c>
      <c r="AA115" s="434" t="s">
        <v>1660</v>
      </c>
      <c r="AB115" s="434" t="s">
        <v>1689</v>
      </c>
      <c r="AC115" s="434" t="s">
        <v>1659</v>
      </c>
      <c r="AD115" s="434" t="s">
        <v>1661</v>
      </c>
      <c r="AE115" s="434" t="s">
        <v>1660</v>
      </c>
      <c r="AF115" s="434" t="s">
        <v>1689</v>
      </c>
      <c r="AG115" s="427">
        <v>15.0</v>
      </c>
      <c r="AH115" s="435" t="s">
        <v>24</v>
      </c>
      <c r="AI115" s="415"/>
      <c r="AJ115" s="436" t="str">
        <f t="array" ref="AJ115">IF(M115=DGET(claves!$A$2:$AS423,M$2,{claves!$A$2;$E115}),1,0)</f>
        <v>#VALUE!</v>
      </c>
      <c r="AK115" s="436" t="str">
        <f t="array" ref="AK115">IF(N115=DGET(claves!$A$2:$AS423,N$2,{claves!$A$2;$E115}),1,0)</f>
        <v>#VALUE!</v>
      </c>
      <c r="AL115" s="436" t="str">
        <f t="array" ref="AL115">IF(O115=DGET(claves!$A$2:$AS423,O$2,{claves!$A$2;$E115}),1,0)</f>
        <v>#VALUE!</v>
      </c>
      <c r="AM115" s="436" t="str">
        <f t="array" ref="AM115">IF(P115=DGET(claves!$A$2:$AS423,P$2,{claves!$A$2;$E115}),1,0)</f>
        <v>#VALUE!</v>
      </c>
      <c r="AN115" s="436" t="str">
        <f t="array" ref="AN115">IF(Q115=DGET(claves!$A$2:$AS423,Q$2,{claves!$A$2;$E115}),1,0)</f>
        <v>#VALUE!</v>
      </c>
      <c r="AO115" s="436" t="str">
        <f t="array" ref="AO115">IF(R115=DGET(claves!$A$2:$AS423,R$2,{claves!$A$2;$E115}),1,0)</f>
        <v>#VALUE!</v>
      </c>
      <c r="AP115" s="436" t="str">
        <f t="array" ref="AP115">IF(S115=DGET(claves!$A$2:$AS423,S$2,{claves!$A$2;$E115}),1,0)</f>
        <v>#VALUE!</v>
      </c>
      <c r="AQ115" s="436" t="str">
        <f t="array" ref="AQ115">IF(T115=DGET(claves!$A$2:$AS423,T$2,{claves!$A$2;$E115}),1,0)</f>
        <v>#VALUE!</v>
      </c>
      <c r="AR115" s="436" t="str">
        <f t="array" ref="AR115">IF(U115=DGET(claves!$A$2:$AS423,U$2,{claves!$A$2;$E115}),1,0)</f>
        <v>#VALUE!</v>
      </c>
      <c r="AS115" s="436" t="str">
        <f t="array" ref="AS115">IF(V115=DGET(claves!$A$2:$AS423,V$2,{claves!$A$2;$E115}),1,0)</f>
        <v>#VALUE!</v>
      </c>
      <c r="AT115" s="436" t="str">
        <f t="array" ref="AT115">IF(W115=DGET(claves!$A$2:$AS423,W$2,{claves!$A$2;$E115}),1,0)</f>
        <v>#VALUE!</v>
      </c>
      <c r="AU115" s="436" t="str">
        <f t="array" ref="AU115">IF(X115=DGET(claves!$A$2:$AS423,X$2,{claves!$A$2;$E115}),1,0)</f>
        <v>#VALUE!</v>
      </c>
      <c r="AV115" s="436" t="str">
        <f t="array" ref="AV115">IF(Y115=DGET(claves!$A$2:$AS423,Y$2,{claves!$A$2;$E115}),1,0)</f>
        <v>#VALUE!</v>
      </c>
      <c r="AW115" s="436" t="str">
        <f t="array" ref="AW115">IF(Z115=DGET(claves!$A$2:$AS423,Z$2,{claves!$A$2;$E115}),1,0)</f>
        <v>#VALUE!</v>
      </c>
      <c r="AX115" s="436" t="str">
        <f t="array" ref="AX115">IF(AA115=DGET(claves!$A$2:$AS423,AA$2,{claves!$A$2;$E115}),1,0)</f>
        <v>#VALUE!</v>
      </c>
      <c r="AY115" s="436" t="str">
        <f t="array" ref="AY115">IF(AB115=DGET(claves!$A$2:$AS423,AB$2,{claves!$A$2;$E115}),1,0)</f>
        <v>#VALUE!</v>
      </c>
      <c r="AZ115" s="436" t="str">
        <f t="array" ref="AZ115">IF(AC115=DGET(claves!$A$2:$AS423,AC$2,{claves!$A$2;$E115}),1,0)</f>
        <v>#VALUE!</v>
      </c>
      <c r="BA115" s="436" t="str">
        <f t="array" ref="BA115">IF(AD115=DGET(claves!$A$2:$AS423,AD$2,{claves!$A$2;$E115}),1,0)</f>
        <v>#VALUE!</v>
      </c>
      <c r="BB115" s="436" t="str">
        <f t="array" ref="BB115">IF(AE115=DGET(claves!$A$2:$AS423,AE$2,{claves!$A$2;$E115}),1,0)</f>
        <v>#VALUE!</v>
      </c>
      <c r="BC115" s="436" t="str">
        <f t="array" ref="BC115">IF(AF115=DGET(claves!$A$2:$AS423,AF$2,{claves!$A$2;$E115}),1,0)</f>
        <v>#VALUE!</v>
      </c>
      <c r="BD115" s="437" t="str">
        <f t="shared" si="1"/>
        <v>#VALUE!</v>
      </c>
      <c r="BE115" s="435"/>
      <c r="BF115" s="415"/>
    </row>
    <row r="116" ht="14.25" customHeight="1">
      <c r="A116" s="408">
        <v>114.0</v>
      </c>
      <c r="B116" s="153" t="s">
        <v>1653</v>
      </c>
      <c r="C116" s="153">
        <v>2024.0</v>
      </c>
      <c r="D116" s="77" t="s">
        <v>1817</v>
      </c>
      <c r="E116" s="409" t="s">
        <v>1821</v>
      </c>
      <c r="F116" s="77" t="s">
        <v>1819</v>
      </c>
      <c r="G116" s="432" t="s">
        <v>22</v>
      </c>
      <c r="H116" s="433" t="s">
        <v>1782</v>
      </c>
      <c r="I116" s="433" t="s">
        <v>1783</v>
      </c>
      <c r="J116" s="433" t="s">
        <v>1784</v>
      </c>
      <c r="K116" s="432" t="s">
        <v>1665</v>
      </c>
      <c r="L116" s="415"/>
      <c r="M116" s="434" t="s">
        <v>1661</v>
      </c>
      <c r="N116" s="434" t="s">
        <v>1660</v>
      </c>
      <c r="O116" s="434" t="s">
        <v>1689</v>
      </c>
      <c r="P116" s="434" t="s">
        <v>1659</v>
      </c>
      <c r="Q116" s="434" t="s">
        <v>1689</v>
      </c>
      <c r="R116" s="434" t="s">
        <v>1689</v>
      </c>
      <c r="S116" s="434" t="s">
        <v>1659</v>
      </c>
      <c r="T116" s="434" t="s">
        <v>1689</v>
      </c>
      <c r="U116" s="434" t="s">
        <v>1661</v>
      </c>
      <c r="V116" s="434" t="s">
        <v>1689</v>
      </c>
      <c r="W116" s="434" t="s">
        <v>1689</v>
      </c>
      <c r="X116" s="434" t="s">
        <v>1661</v>
      </c>
      <c r="Y116" s="434" t="s">
        <v>1660</v>
      </c>
      <c r="Z116" s="434" t="s">
        <v>1659</v>
      </c>
      <c r="AA116" s="434" t="s">
        <v>1660</v>
      </c>
      <c r="AB116" s="434" t="s">
        <v>1689</v>
      </c>
      <c r="AC116" s="434" t="s">
        <v>1659</v>
      </c>
      <c r="AD116" s="434" t="s">
        <v>1660</v>
      </c>
      <c r="AE116" s="434" t="s">
        <v>1689</v>
      </c>
      <c r="AF116" s="434" t="s">
        <v>1660</v>
      </c>
      <c r="AG116" s="427">
        <v>10.0</v>
      </c>
      <c r="AH116" s="435" t="s">
        <v>18</v>
      </c>
      <c r="AI116" s="415"/>
      <c r="AJ116" s="436" t="str">
        <f t="array" ref="AJ116">IF(M116=DGET(claves!$A$2:$AS423,M$2,{claves!$A$2;$E116}),1,0)</f>
        <v>#VALUE!</v>
      </c>
      <c r="AK116" s="436" t="str">
        <f t="array" ref="AK116">IF(N116=DGET(claves!$A$2:$AS423,N$2,{claves!$A$2;$E116}),1,0)</f>
        <v>#VALUE!</v>
      </c>
      <c r="AL116" s="436" t="str">
        <f t="array" ref="AL116">IF(O116=DGET(claves!$A$2:$AS423,O$2,{claves!$A$2;$E116}),1,0)</f>
        <v>#VALUE!</v>
      </c>
      <c r="AM116" s="436" t="str">
        <f t="array" ref="AM116">IF(P116=DGET(claves!$A$2:$AS423,P$2,{claves!$A$2;$E116}),1,0)</f>
        <v>#VALUE!</v>
      </c>
      <c r="AN116" s="436" t="str">
        <f t="array" ref="AN116">IF(Q116=DGET(claves!$A$2:$AS423,Q$2,{claves!$A$2;$E116}),1,0)</f>
        <v>#VALUE!</v>
      </c>
      <c r="AO116" s="436" t="str">
        <f t="array" ref="AO116">IF(R116=DGET(claves!$A$2:$AS423,R$2,{claves!$A$2;$E116}),1,0)</f>
        <v>#VALUE!</v>
      </c>
      <c r="AP116" s="436" t="str">
        <f t="array" ref="AP116">IF(S116=DGET(claves!$A$2:$AS423,S$2,{claves!$A$2;$E116}),1,0)</f>
        <v>#VALUE!</v>
      </c>
      <c r="AQ116" s="436" t="str">
        <f t="array" ref="AQ116">IF(T116=DGET(claves!$A$2:$AS423,T$2,{claves!$A$2;$E116}),1,0)</f>
        <v>#VALUE!</v>
      </c>
      <c r="AR116" s="436" t="str">
        <f t="array" ref="AR116">IF(U116=DGET(claves!$A$2:$AS423,U$2,{claves!$A$2;$E116}),1,0)</f>
        <v>#VALUE!</v>
      </c>
      <c r="AS116" s="436" t="str">
        <f t="array" ref="AS116">IF(V116=DGET(claves!$A$2:$AS423,V$2,{claves!$A$2;$E116}),1,0)</f>
        <v>#VALUE!</v>
      </c>
      <c r="AT116" s="436" t="str">
        <f t="array" ref="AT116">IF(W116=DGET(claves!$A$2:$AS423,W$2,{claves!$A$2;$E116}),1,0)</f>
        <v>#VALUE!</v>
      </c>
      <c r="AU116" s="436" t="str">
        <f t="array" ref="AU116">IF(X116=DGET(claves!$A$2:$AS423,X$2,{claves!$A$2;$E116}),1,0)</f>
        <v>#VALUE!</v>
      </c>
      <c r="AV116" s="436" t="str">
        <f t="array" ref="AV116">IF(Y116=DGET(claves!$A$2:$AS423,Y$2,{claves!$A$2;$E116}),1,0)</f>
        <v>#VALUE!</v>
      </c>
      <c r="AW116" s="436" t="str">
        <f t="array" ref="AW116">IF(Z116=DGET(claves!$A$2:$AS423,Z$2,{claves!$A$2;$E116}),1,0)</f>
        <v>#VALUE!</v>
      </c>
      <c r="AX116" s="436" t="str">
        <f t="array" ref="AX116">IF(AA116=DGET(claves!$A$2:$AS423,AA$2,{claves!$A$2;$E116}),1,0)</f>
        <v>#VALUE!</v>
      </c>
      <c r="AY116" s="436" t="str">
        <f t="array" ref="AY116">IF(AB116=DGET(claves!$A$2:$AS423,AB$2,{claves!$A$2;$E116}),1,0)</f>
        <v>#VALUE!</v>
      </c>
      <c r="AZ116" s="436" t="str">
        <f t="array" ref="AZ116">IF(AC116=DGET(claves!$A$2:$AS423,AC$2,{claves!$A$2;$E116}),1,0)</f>
        <v>#VALUE!</v>
      </c>
      <c r="BA116" s="436" t="str">
        <f t="array" ref="BA116">IF(AD116=DGET(claves!$A$2:$AS423,AD$2,{claves!$A$2;$E116}),1,0)</f>
        <v>#VALUE!</v>
      </c>
      <c r="BB116" s="436" t="str">
        <f t="array" ref="BB116">IF(AE116=DGET(claves!$A$2:$AS423,AE$2,{claves!$A$2;$E116}),1,0)</f>
        <v>#VALUE!</v>
      </c>
      <c r="BC116" s="436" t="str">
        <f t="array" ref="BC116">IF(AF116=DGET(claves!$A$2:$AS423,AF$2,{claves!$A$2;$E116}),1,0)</f>
        <v>#VALUE!</v>
      </c>
      <c r="BD116" s="437" t="str">
        <f t="shared" si="1"/>
        <v>#VALUE!</v>
      </c>
      <c r="BE116" s="435"/>
      <c r="BF116" s="415"/>
    </row>
    <row r="117" ht="14.25" customHeight="1">
      <c r="A117" s="408">
        <v>115.0</v>
      </c>
      <c r="B117" s="153" t="s">
        <v>1653</v>
      </c>
      <c r="C117" s="153">
        <v>2024.0</v>
      </c>
      <c r="D117" s="77" t="s">
        <v>1817</v>
      </c>
      <c r="E117" s="409" t="s">
        <v>1821</v>
      </c>
      <c r="F117" s="77" t="s">
        <v>1819</v>
      </c>
      <c r="G117" s="432" t="s">
        <v>22</v>
      </c>
      <c r="H117" s="433" t="s">
        <v>1723</v>
      </c>
      <c r="I117" s="433" t="s">
        <v>1772</v>
      </c>
      <c r="J117" s="433" t="s">
        <v>1785</v>
      </c>
      <c r="K117" s="433" t="s">
        <v>1658</v>
      </c>
      <c r="L117" s="415"/>
      <c r="M117" s="434" t="s">
        <v>1661</v>
      </c>
      <c r="N117" s="434" t="s">
        <v>1661</v>
      </c>
      <c r="O117" s="434" t="s">
        <v>1661</v>
      </c>
      <c r="P117" s="434" t="s">
        <v>1659</v>
      </c>
      <c r="Q117" s="434" t="s">
        <v>1689</v>
      </c>
      <c r="R117" s="434" t="s">
        <v>1689</v>
      </c>
      <c r="S117" s="434" t="s">
        <v>1659</v>
      </c>
      <c r="T117" s="434" t="s">
        <v>1661</v>
      </c>
      <c r="U117" s="434" t="s">
        <v>1689</v>
      </c>
      <c r="V117" s="434" t="s">
        <v>1659</v>
      </c>
      <c r="W117" s="434" t="s">
        <v>1689</v>
      </c>
      <c r="X117" s="434" t="s">
        <v>1659</v>
      </c>
      <c r="Y117" s="434" t="s">
        <v>1689</v>
      </c>
      <c r="Z117" s="434" t="s">
        <v>1661</v>
      </c>
      <c r="AA117" s="434" t="s">
        <v>1660</v>
      </c>
      <c r="AB117" s="434" t="s">
        <v>1689</v>
      </c>
      <c r="AC117" s="434" t="s">
        <v>1659</v>
      </c>
      <c r="AD117" s="434" t="s">
        <v>1660</v>
      </c>
      <c r="AE117" s="434" t="s">
        <v>1661</v>
      </c>
      <c r="AF117" s="434" t="s">
        <v>1689</v>
      </c>
      <c r="AG117" s="427">
        <v>17.0</v>
      </c>
      <c r="AH117" s="438" t="s">
        <v>32</v>
      </c>
      <c r="AI117" s="415"/>
      <c r="AJ117" s="436" t="str">
        <f t="array" ref="AJ117">IF(M117=DGET(claves!$A$2:$AS423,M$2,{claves!$A$2;$E117}),1,0)</f>
        <v>#VALUE!</v>
      </c>
      <c r="AK117" s="436" t="str">
        <f t="array" ref="AK117">IF(N117=DGET(claves!$A$2:$AS423,N$2,{claves!$A$2;$E117}),1,0)</f>
        <v>#VALUE!</v>
      </c>
      <c r="AL117" s="436" t="str">
        <f t="array" ref="AL117">IF(O117=DGET(claves!$A$2:$AS423,O$2,{claves!$A$2;$E117}),1,0)</f>
        <v>#VALUE!</v>
      </c>
      <c r="AM117" s="436" t="str">
        <f t="array" ref="AM117">IF(P117=DGET(claves!$A$2:$AS423,P$2,{claves!$A$2;$E117}),1,0)</f>
        <v>#VALUE!</v>
      </c>
      <c r="AN117" s="436" t="str">
        <f t="array" ref="AN117">IF(Q117=DGET(claves!$A$2:$AS423,Q$2,{claves!$A$2;$E117}),1,0)</f>
        <v>#VALUE!</v>
      </c>
      <c r="AO117" s="436" t="str">
        <f t="array" ref="AO117">IF(R117=DGET(claves!$A$2:$AS423,R$2,{claves!$A$2;$E117}),1,0)</f>
        <v>#VALUE!</v>
      </c>
      <c r="AP117" s="436" t="str">
        <f t="array" ref="AP117">IF(S117=DGET(claves!$A$2:$AS423,S$2,{claves!$A$2;$E117}),1,0)</f>
        <v>#VALUE!</v>
      </c>
      <c r="AQ117" s="436" t="str">
        <f t="array" ref="AQ117">IF(T117=DGET(claves!$A$2:$AS423,T$2,{claves!$A$2;$E117}),1,0)</f>
        <v>#VALUE!</v>
      </c>
      <c r="AR117" s="436" t="str">
        <f t="array" ref="AR117">IF(U117=DGET(claves!$A$2:$AS423,U$2,{claves!$A$2;$E117}),1,0)</f>
        <v>#VALUE!</v>
      </c>
      <c r="AS117" s="436" t="str">
        <f t="array" ref="AS117">IF(V117=DGET(claves!$A$2:$AS423,V$2,{claves!$A$2;$E117}),1,0)</f>
        <v>#VALUE!</v>
      </c>
      <c r="AT117" s="436" t="str">
        <f t="array" ref="AT117">IF(W117=DGET(claves!$A$2:$AS423,W$2,{claves!$A$2;$E117}),1,0)</f>
        <v>#VALUE!</v>
      </c>
      <c r="AU117" s="436" t="str">
        <f t="array" ref="AU117">IF(X117=DGET(claves!$A$2:$AS423,X$2,{claves!$A$2;$E117}),1,0)</f>
        <v>#VALUE!</v>
      </c>
      <c r="AV117" s="436" t="str">
        <f t="array" ref="AV117">IF(Y117=DGET(claves!$A$2:$AS423,Y$2,{claves!$A$2;$E117}),1,0)</f>
        <v>#VALUE!</v>
      </c>
      <c r="AW117" s="436" t="str">
        <f t="array" ref="AW117">IF(Z117=DGET(claves!$A$2:$AS423,Z$2,{claves!$A$2;$E117}),1,0)</f>
        <v>#VALUE!</v>
      </c>
      <c r="AX117" s="436" t="str">
        <f t="array" ref="AX117">IF(AA117=DGET(claves!$A$2:$AS423,AA$2,{claves!$A$2;$E117}),1,0)</f>
        <v>#VALUE!</v>
      </c>
      <c r="AY117" s="436" t="str">
        <f t="array" ref="AY117">IF(AB117=DGET(claves!$A$2:$AS423,AB$2,{claves!$A$2;$E117}),1,0)</f>
        <v>#VALUE!</v>
      </c>
      <c r="AZ117" s="436" t="str">
        <f t="array" ref="AZ117">IF(AC117=DGET(claves!$A$2:$AS423,AC$2,{claves!$A$2;$E117}),1,0)</f>
        <v>#VALUE!</v>
      </c>
      <c r="BA117" s="436" t="str">
        <f t="array" ref="BA117">IF(AD117=DGET(claves!$A$2:$AS423,AD$2,{claves!$A$2;$E117}),1,0)</f>
        <v>#VALUE!</v>
      </c>
      <c r="BB117" s="436" t="str">
        <f t="array" ref="BB117">IF(AE117=DGET(claves!$A$2:$AS423,AE$2,{claves!$A$2;$E117}),1,0)</f>
        <v>#VALUE!</v>
      </c>
      <c r="BC117" s="436" t="str">
        <f t="array" ref="BC117">IF(AF117=DGET(claves!$A$2:$AS423,AF$2,{claves!$A$2;$E117}),1,0)</f>
        <v>#VALUE!</v>
      </c>
      <c r="BD117" s="437" t="str">
        <f t="shared" si="1"/>
        <v>#VALUE!</v>
      </c>
      <c r="BE117" s="435"/>
      <c r="BF117" s="415"/>
    </row>
    <row r="118" ht="14.25" customHeight="1">
      <c r="A118" s="408">
        <v>116.0</v>
      </c>
      <c r="B118" s="153" t="s">
        <v>1653</v>
      </c>
      <c r="C118" s="153">
        <v>2024.0</v>
      </c>
      <c r="D118" s="77" t="s">
        <v>1817</v>
      </c>
      <c r="E118" s="409" t="s">
        <v>1821</v>
      </c>
      <c r="F118" s="77" t="s">
        <v>1819</v>
      </c>
      <c r="G118" s="432" t="s">
        <v>22</v>
      </c>
      <c r="H118" s="433" t="s">
        <v>1786</v>
      </c>
      <c r="I118" s="433" t="s">
        <v>1787</v>
      </c>
      <c r="J118" s="433" t="s">
        <v>1788</v>
      </c>
      <c r="K118" s="433" t="s">
        <v>1658</v>
      </c>
      <c r="L118" s="415"/>
      <c r="M118" s="434" t="s">
        <v>1661</v>
      </c>
      <c r="N118" s="434" t="s">
        <v>1661</v>
      </c>
      <c r="O118" s="434" t="s">
        <v>1689</v>
      </c>
      <c r="P118" s="434" t="s">
        <v>1659</v>
      </c>
      <c r="Q118" s="434" t="s">
        <v>1689</v>
      </c>
      <c r="R118" s="434" t="s">
        <v>1689</v>
      </c>
      <c r="S118" s="434" t="s">
        <v>1689</v>
      </c>
      <c r="T118" s="434" t="s">
        <v>1661</v>
      </c>
      <c r="U118" s="434" t="s">
        <v>1689</v>
      </c>
      <c r="V118" s="434" t="s">
        <v>1660</v>
      </c>
      <c r="W118" s="434" t="s">
        <v>1689</v>
      </c>
      <c r="X118" s="434" t="s">
        <v>1689</v>
      </c>
      <c r="Y118" s="434" t="s">
        <v>1689</v>
      </c>
      <c r="Z118" s="434" t="s">
        <v>1689</v>
      </c>
      <c r="AA118" s="434" t="s">
        <v>1660</v>
      </c>
      <c r="AB118" s="434" t="s">
        <v>1689</v>
      </c>
      <c r="AC118" s="434" t="s">
        <v>1659</v>
      </c>
      <c r="AD118" s="434" t="s">
        <v>1660</v>
      </c>
      <c r="AE118" s="434" t="s">
        <v>1660</v>
      </c>
      <c r="AF118" s="434" t="s">
        <v>1689</v>
      </c>
      <c r="AG118" s="427">
        <v>16.0</v>
      </c>
      <c r="AH118" s="435" t="s">
        <v>24</v>
      </c>
      <c r="AI118" s="415"/>
      <c r="AJ118" s="436" t="str">
        <f t="array" ref="AJ118">IF(M118=DGET(claves!$A$2:$AS423,M$2,{claves!$A$2;$E118}),1,0)</f>
        <v>#VALUE!</v>
      </c>
      <c r="AK118" s="436" t="str">
        <f t="array" ref="AK118">IF(N118=DGET(claves!$A$2:$AS423,N$2,{claves!$A$2;$E118}),1,0)</f>
        <v>#VALUE!</v>
      </c>
      <c r="AL118" s="436" t="str">
        <f t="array" ref="AL118">IF(O118=DGET(claves!$A$2:$AS423,O$2,{claves!$A$2;$E118}),1,0)</f>
        <v>#VALUE!</v>
      </c>
      <c r="AM118" s="436" t="str">
        <f t="array" ref="AM118">IF(P118=DGET(claves!$A$2:$AS423,P$2,{claves!$A$2;$E118}),1,0)</f>
        <v>#VALUE!</v>
      </c>
      <c r="AN118" s="436" t="str">
        <f t="array" ref="AN118">IF(Q118=DGET(claves!$A$2:$AS423,Q$2,{claves!$A$2;$E118}),1,0)</f>
        <v>#VALUE!</v>
      </c>
      <c r="AO118" s="436" t="str">
        <f t="array" ref="AO118">IF(R118=DGET(claves!$A$2:$AS423,R$2,{claves!$A$2;$E118}),1,0)</f>
        <v>#VALUE!</v>
      </c>
      <c r="AP118" s="436" t="str">
        <f t="array" ref="AP118">IF(S118=DGET(claves!$A$2:$AS423,S$2,{claves!$A$2;$E118}),1,0)</f>
        <v>#VALUE!</v>
      </c>
      <c r="AQ118" s="436" t="str">
        <f t="array" ref="AQ118">IF(T118=DGET(claves!$A$2:$AS423,T$2,{claves!$A$2;$E118}),1,0)</f>
        <v>#VALUE!</v>
      </c>
      <c r="AR118" s="436" t="str">
        <f t="array" ref="AR118">IF(U118=DGET(claves!$A$2:$AS423,U$2,{claves!$A$2;$E118}),1,0)</f>
        <v>#VALUE!</v>
      </c>
      <c r="AS118" s="436" t="str">
        <f t="array" ref="AS118">IF(V118=DGET(claves!$A$2:$AS423,V$2,{claves!$A$2;$E118}),1,0)</f>
        <v>#VALUE!</v>
      </c>
      <c r="AT118" s="436" t="str">
        <f t="array" ref="AT118">IF(W118=DGET(claves!$A$2:$AS423,W$2,{claves!$A$2;$E118}),1,0)</f>
        <v>#VALUE!</v>
      </c>
      <c r="AU118" s="436" t="str">
        <f t="array" ref="AU118">IF(X118=DGET(claves!$A$2:$AS423,X$2,{claves!$A$2;$E118}),1,0)</f>
        <v>#VALUE!</v>
      </c>
      <c r="AV118" s="436" t="str">
        <f t="array" ref="AV118">IF(Y118=DGET(claves!$A$2:$AS423,Y$2,{claves!$A$2;$E118}),1,0)</f>
        <v>#VALUE!</v>
      </c>
      <c r="AW118" s="436" t="str">
        <f t="array" ref="AW118">IF(Z118=DGET(claves!$A$2:$AS423,Z$2,{claves!$A$2;$E118}),1,0)</f>
        <v>#VALUE!</v>
      </c>
      <c r="AX118" s="436" t="str">
        <f t="array" ref="AX118">IF(AA118=DGET(claves!$A$2:$AS423,AA$2,{claves!$A$2;$E118}),1,0)</f>
        <v>#VALUE!</v>
      </c>
      <c r="AY118" s="436" t="str">
        <f t="array" ref="AY118">IF(AB118=DGET(claves!$A$2:$AS423,AB$2,{claves!$A$2;$E118}),1,0)</f>
        <v>#VALUE!</v>
      </c>
      <c r="AZ118" s="436" t="str">
        <f t="array" ref="AZ118">IF(AC118=DGET(claves!$A$2:$AS423,AC$2,{claves!$A$2;$E118}),1,0)</f>
        <v>#VALUE!</v>
      </c>
      <c r="BA118" s="436" t="str">
        <f t="array" ref="BA118">IF(AD118=DGET(claves!$A$2:$AS423,AD$2,{claves!$A$2;$E118}),1,0)</f>
        <v>#VALUE!</v>
      </c>
      <c r="BB118" s="436" t="str">
        <f t="array" ref="BB118">IF(AE118=DGET(claves!$A$2:$AS423,AE$2,{claves!$A$2;$E118}),1,0)</f>
        <v>#VALUE!</v>
      </c>
      <c r="BC118" s="436" t="str">
        <f t="array" ref="BC118">IF(AF118=DGET(claves!$A$2:$AS423,AF$2,{claves!$A$2;$E118}),1,0)</f>
        <v>#VALUE!</v>
      </c>
      <c r="BD118" s="437" t="str">
        <f t="shared" si="1"/>
        <v>#VALUE!</v>
      </c>
      <c r="BE118" s="435"/>
      <c r="BF118" s="415"/>
    </row>
    <row r="119" ht="14.25" customHeight="1">
      <c r="A119" s="408">
        <v>117.0</v>
      </c>
      <c r="B119" s="153" t="s">
        <v>1653</v>
      </c>
      <c r="C119" s="153">
        <v>2024.0</v>
      </c>
      <c r="D119" s="77" t="s">
        <v>1817</v>
      </c>
      <c r="E119" s="409" t="s">
        <v>1821</v>
      </c>
      <c r="F119" s="77" t="s">
        <v>1819</v>
      </c>
      <c r="G119" s="432" t="s">
        <v>22</v>
      </c>
      <c r="H119" s="433" t="s">
        <v>1789</v>
      </c>
      <c r="I119" s="433" t="s">
        <v>1790</v>
      </c>
      <c r="J119" s="433" t="s">
        <v>1791</v>
      </c>
      <c r="K119" s="432" t="s">
        <v>1665</v>
      </c>
      <c r="L119" s="415"/>
      <c r="M119" s="434" t="s">
        <v>1661</v>
      </c>
      <c r="N119" s="434" t="s">
        <v>1661</v>
      </c>
      <c r="O119" s="434" t="s">
        <v>1689</v>
      </c>
      <c r="P119" s="434" t="s">
        <v>1689</v>
      </c>
      <c r="Q119" s="434" t="s">
        <v>1689</v>
      </c>
      <c r="R119" s="434" t="s">
        <v>1689</v>
      </c>
      <c r="S119" s="434" t="s">
        <v>1660</v>
      </c>
      <c r="T119" s="434" t="s">
        <v>1661</v>
      </c>
      <c r="U119" s="434" t="s">
        <v>1659</v>
      </c>
      <c r="V119" s="434" t="s">
        <v>1660</v>
      </c>
      <c r="W119" s="434" t="s">
        <v>1689</v>
      </c>
      <c r="X119" s="434" t="s">
        <v>1660</v>
      </c>
      <c r="Y119" s="434" t="s">
        <v>1660</v>
      </c>
      <c r="Z119" s="434" t="s">
        <v>1689</v>
      </c>
      <c r="AA119" s="434" t="s">
        <v>1660</v>
      </c>
      <c r="AB119" s="434" t="s">
        <v>1689</v>
      </c>
      <c r="AC119" s="434" t="s">
        <v>1659</v>
      </c>
      <c r="AD119" s="434" t="s">
        <v>1660</v>
      </c>
      <c r="AE119" s="434" t="s">
        <v>1661</v>
      </c>
      <c r="AF119" s="434" t="s">
        <v>1689</v>
      </c>
      <c r="AG119" s="427">
        <v>13.0</v>
      </c>
      <c r="AH119" s="435" t="s">
        <v>24</v>
      </c>
      <c r="AI119" s="415"/>
      <c r="AJ119" s="436" t="str">
        <f t="array" ref="AJ119">IF(M119=DGET(claves!$A$2:$AS423,M$2,{claves!$A$2;$E119}),1,0)</f>
        <v>#VALUE!</v>
      </c>
      <c r="AK119" s="436" t="str">
        <f t="array" ref="AK119">IF(N119=DGET(claves!$A$2:$AS423,N$2,{claves!$A$2;$E119}),1,0)</f>
        <v>#VALUE!</v>
      </c>
      <c r="AL119" s="436" t="str">
        <f t="array" ref="AL119">IF(O119=DGET(claves!$A$2:$AS423,O$2,{claves!$A$2;$E119}),1,0)</f>
        <v>#VALUE!</v>
      </c>
      <c r="AM119" s="436" t="str">
        <f t="array" ref="AM119">IF(P119=DGET(claves!$A$2:$AS423,P$2,{claves!$A$2;$E119}),1,0)</f>
        <v>#VALUE!</v>
      </c>
      <c r="AN119" s="436" t="str">
        <f t="array" ref="AN119">IF(Q119=DGET(claves!$A$2:$AS423,Q$2,{claves!$A$2;$E119}),1,0)</f>
        <v>#VALUE!</v>
      </c>
      <c r="AO119" s="436" t="str">
        <f t="array" ref="AO119">IF(R119=DGET(claves!$A$2:$AS423,R$2,{claves!$A$2;$E119}),1,0)</f>
        <v>#VALUE!</v>
      </c>
      <c r="AP119" s="436" t="str">
        <f t="array" ref="AP119">IF(S119=DGET(claves!$A$2:$AS423,S$2,{claves!$A$2;$E119}),1,0)</f>
        <v>#VALUE!</v>
      </c>
      <c r="AQ119" s="436" t="str">
        <f t="array" ref="AQ119">IF(T119=DGET(claves!$A$2:$AS423,T$2,{claves!$A$2;$E119}),1,0)</f>
        <v>#VALUE!</v>
      </c>
      <c r="AR119" s="436" t="str">
        <f t="array" ref="AR119">IF(U119=DGET(claves!$A$2:$AS423,U$2,{claves!$A$2;$E119}),1,0)</f>
        <v>#VALUE!</v>
      </c>
      <c r="AS119" s="436" t="str">
        <f t="array" ref="AS119">IF(V119=DGET(claves!$A$2:$AS423,V$2,{claves!$A$2;$E119}),1,0)</f>
        <v>#VALUE!</v>
      </c>
      <c r="AT119" s="436" t="str">
        <f t="array" ref="AT119">IF(W119=DGET(claves!$A$2:$AS423,W$2,{claves!$A$2;$E119}),1,0)</f>
        <v>#VALUE!</v>
      </c>
      <c r="AU119" s="436" t="str">
        <f t="array" ref="AU119">IF(X119=DGET(claves!$A$2:$AS423,X$2,{claves!$A$2;$E119}),1,0)</f>
        <v>#VALUE!</v>
      </c>
      <c r="AV119" s="436" t="str">
        <f t="array" ref="AV119">IF(Y119=DGET(claves!$A$2:$AS423,Y$2,{claves!$A$2;$E119}),1,0)</f>
        <v>#VALUE!</v>
      </c>
      <c r="AW119" s="436" t="str">
        <f t="array" ref="AW119">IF(Z119=DGET(claves!$A$2:$AS423,Z$2,{claves!$A$2;$E119}),1,0)</f>
        <v>#VALUE!</v>
      </c>
      <c r="AX119" s="436" t="str">
        <f t="array" ref="AX119">IF(AA119=DGET(claves!$A$2:$AS423,AA$2,{claves!$A$2;$E119}),1,0)</f>
        <v>#VALUE!</v>
      </c>
      <c r="AY119" s="436" t="str">
        <f t="array" ref="AY119">IF(AB119=DGET(claves!$A$2:$AS423,AB$2,{claves!$A$2;$E119}),1,0)</f>
        <v>#VALUE!</v>
      </c>
      <c r="AZ119" s="436" t="str">
        <f t="array" ref="AZ119">IF(AC119=DGET(claves!$A$2:$AS423,AC$2,{claves!$A$2;$E119}),1,0)</f>
        <v>#VALUE!</v>
      </c>
      <c r="BA119" s="436" t="str">
        <f t="array" ref="BA119">IF(AD119=DGET(claves!$A$2:$AS423,AD$2,{claves!$A$2;$E119}),1,0)</f>
        <v>#VALUE!</v>
      </c>
      <c r="BB119" s="436" t="str">
        <f t="array" ref="BB119">IF(AE119=DGET(claves!$A$2:$AS423,AE$2,{claves!$A$2;$E119}),1,0)</f>
        <v>#VALUE!</v>
      </c>
      <c r="BC119" s="436" t="str">
        <f t="array" ref="BC119">IF(AF119=DGET(claves!$A$2:$AS423,AF$2,{claves!$A$2;$E119}),1,0)</f>
        <v>#VALUE!</v>
      </c>
      <c r="BD119" s="437" t="str">
        <f t="shared" si="1"/>
        <v>#VALUE!</v>
      </c>
      <c r="BE119" s="435"/>
      <c r="BF119" s="415"/>
    </row>
    <row r="120" ht="14.25" customHeight="1">
      <c r="A120" s="408">
        <v>118.0</v>
      </c>
      <c r="B120" s="153" t="s">
        <v>1653</v>
      </c>
      <c r="C120" s="153">
        <v>2024.0</v>
      </c>
      <c r="D120" s="77" t="s">
        <v>1817</v>
      </c>
      <c r="E120" s="409" t="s">
        <v>1821</v>
      </c>
      <c r="F120" s="77" t="s">
        <v>1819</v>
      </c>
      <c r="G120" s="432" t="s">
        <v>22</v>
      </c>
      <c r="H120" s="433" t="s">
        <v>1792</v>
      </c>
      <c r="I120" s="433" t="s">
        <v>1684</v>
      </c>
      <c r="J120" s="433" t="s">
        <v>1793</v>
      </c>
      <c r="K120" s="433" t="s">
        <v>1658</v>
      </c>
      <c r="L120" s="415"/>
      <c r="M120" s="434" t="s">
        <v>1661</v>
      </c>
      <c r="N120" s="434" t="s">
        <v>1659</v>
      </c>
      <c r="O120" s="434" t="s">
        <v>1689</v>
      </c>
      <c r="P120" s="434" t="s">
        <v>1659</v>
      </c>
      <c r="Q120" s="434" t="s">
        <v>1689</v>
      </c>
      <c r="R120" s="434" t="s">
        <v>1660</v>
      </c>
      <c r="S120" s="434" t="s">
        <v>1659</v>
      </c>
      <c r="T120" s="434" t="s">
        <v>1660</v>
      </c>
      <c r="U120" s="434" t="s">
        <v>1660</v>
      </c>
      <c r="V120" s="434" t="s">
        <v>1661</v>
      </c>
      <c r="W120" s="434" t="s">
        <v>1689</v>
      </c>
      <c r="X120" s="434" t="s">
        <v>1660</v>
      </c>
      <c r="Y120" s="434" t="s">
        <v>1661</v>
      </c>
      <c r="Z120" s="434" t="s">
        <v>1659</v>
      </c>
      <c r="AA120" s="434" t="s">
        <v>1659</v>
      </c>
      <c r="AB120" s="434" t="s">
        <v>1661</v>
      </c>
      <c r="AC120" s="434" t="s">
        <v>1660</v>
      </c>
      <c r="AD120" s="434" t="s">
        <v>1660</v>
      </c>
      <c r="AE120" s="434" t="s">
        <v>1661</v>
      </c>
      <c r="AF120" s="434" t="s">
        <v>1661</v>
      </c>
      <c r="AG120" s="427">
        <v>7.0</v>
      </c>
      <c r="AH120" s="435" t="s">
        <v>18</v>
      </c>
      <c r="AI120" s="415"/>
      <c r="AJ120" s="436" t="str">
        <f t="array" ref="AJ120">IF(M120=DGET(claves!$A$2:$AS423,M$2,{claves!$A$2;$E120}),1,0)</f>
        <v>#VALUE!</v>
      </c>
      <c r="AK120" s="436" t="str">
        <f t="array" ref="AK120">IF(N120=DGET(claves!$A$2:$AS423,N$2,{claves!$A$2;$E120}),1,0)</f>
        <v>#VALUE!</v>
      </c>
      <c r="AL120" s="436" t="str">
        <f t="array" ref="AL120">IF(O120=DGET(claves!$A$2:$AS423,O$2,{claves!$A$2;$E120}),1,0)</f>
        <v>#VALUE!</v>
      </c>
      <c r="AM120" s="436" t="str">
        <f t="array" ref="AM120">IF(P120=DGET(claves!$A$2:$AS423,P$2,{claves!$A$2;$E120}),1,0)</f>
        <v>#VALUE!</v>
      </c>
      <c r="AN120" s="436" t="str">
        <f t="array" ref="AN120">IF(Q120=DGET(claves!$A$2:$AS423,Q$2,{claves!$A$2;$E120}),1,0)</f>
        <v>#VALUE!</v>
      </c>
      <c r="AO120" s="436" t="str">
        <f t="array" ref="AO120">IF(R120=DGET(claves!$A$2:$AS423,R$2,{claves!$A$2;$E120}),1,0)</f>
        <v>#VALUE!</v>
      </c>
      <c r="AP120" s="436" t="str">
        <f t="array" ref="AP120">IF(S120=DGET(claves!$A$2:$AS423,S$2,{claves!$A$2;$E120}),1,0)</f>
        <v>#VALUE!</v>
      </c>
      <c r="AQ120" s="436" t="str">
        <f t="array" ref="AQ120">IF(T120=DGET(claves!$A$2:$AS423,T$2,{claves!$A$2;$E120}),1,0)</f>
        <v>#VALUE!</v>
      </c>
      <c r="AR120" s="436" t="str">
        <f t="array" ref="AR120">IF(U120=DGET(claves!$A$2:$AS423,U$2,{claves!$A$2;$E120}),1,0)</f>
        <v>#VALUE!</v>
      </c>
      <c r="AS120" s="436" t="str">
        <f t="array" ref="AS120">IF(V120=DGET(claves!$A$2:$AS423,V$2,{claves!$A$2;$E120}),1,0)</f>
        <v>#VALUE!</v>
      </c>
      <c r="AT120" s="436" t="str">
        <f t="array" ref="AT120">IF(W120=DGET(claves!$A$2:$AS423,W$2,{claves!$A$2;$E120}),1,0)</f>
        <v>#VALUE!</v>
      </c>
      <c r="AU120" s="436" t="str">
        <f t="array" ref="AU120">IF(X120=DGET(claves!$A$2:$AS423,X$2,{claves!$A$2;$E120}),1,0)</f>
        <v>#VALUE!</v>
      </c>
      <c r="AV120" s="436" t="str">
        <f t="array" ref="AV120">IF(Y120=DGET(claves!$A$2:$AS423,Y$2,{claves!$A$2;$E120}),1,0)</f>
        <v>#VALUE!</v>
      </c>
      <c r="AW120" s="436" t="str">
        <f t="array" ref="AW120">IF(Z120=DGET(claves!$A$2:$AS423,Z$2,{claves!$A$2;$E120}),1,0)</f>
        <v>#VALUE!</v>
      </c>
      <c r="AX120" s="436" t="str">
        <f t="array" ref="AX120">IF(AA120=DGET(claves!$A$2:$AS423,AA$2,{claves!$A$2;$E120}),1,0)</f>
        <v>#VALUE!</v>
      </c>
      <c r="AY120" s="436" t="str">
        <f t="array" ref="AY120">IF(AB120=DGET(claves!$A$2:$AS423,AB$2,{claves!$A$2;$E120}),1,0)</f>
        <v>#VALUE!</v>
      </c>
      <c r="AZ120" s="436" t="str">
        <f t="array" ref="AZ120">IF(AC120=DGET(claves!$A$2:$AS423,AC$2,{claves!$A$2;$E120}),1,0)</f>
        <v>#VALUE!</v>
      </c>
      <c r="BA120" s="436" t="str">
        <f t="array" ref="BA120">IF(AD120=DGET(claves!$A$2:$AS423,AD$2,{claves!$A$2;$E120}),1,0)</f>
        <v>#VALUE!</v>
      </c>
      <c r="BB120" s="436" t="str">
        <f t="array" ref="BB120">IF(AE120=DGET(claves!$A$2:$AS423,AE$2,{claves!$A$2;$E120}),1,0)</f>
        <v>#VALUE!</v>
      </c>
      <c r="BC120" s="436" t="str">
        <f t="array" ref="BC120">IF(AF120=DGET(claves!$A$2:$AS423,AF$2,{claves!$A$2;$E120}),1,0)</f>
        <v>#VALUE!</v>
      </c>
      <c r="BD120" s="437" t="str">
        <f t="shared" si="1"/>
        <v>#VALUE!</v>
      </c>
      <c r="BE120" s="435"/>
      <c r="BF120" s="415"/>
    </row>
    <row r="121" ht="14.25" customHeight="1">
      <c r="A121" s="408">
        <v>119.0</v>
      </c>
      <c r="B121" s="153" t="s">
        <v>1653</v>
      </c>
      <c r="C121" s="153">
        <v>2024.0</v>
      </c>
      <c r="D121" s="77" t="s">
        <v>1817</v>
      </c>
      <c r="E121" s="409" t="s">
        <v>1821</v>
      </c>
      <c r="F121" s="77" t="s">
        <v>1819</v>
      </c>
      <c r="G121" s="432" t="s">
        <v>22</v>
      </c>
      <c r="H121" s="433" t="s">
        <v>1794</v>
      </c>
      <c r="I121" s="433" t="s">
        <v>1737</v>
      </c>
      <c r="J121" s="433" t="s">
        <v>1795</v>
      </c>
      <c r="K121" s="432" t="s">
        <v>1665</v>
      </c>
      <c r="L121" s="415"/>
      <c r="M121" s="434" t="s">
        <v>1661</v>
      </c>
      <c r="N121" s="434" t="s">
        <v>1661</v>
      </c>
      <c r="O121" s="434" t="s">
        <v>1689</v>
      </c>
      <c r="P121" s="434" t="s">
        <v>1659</v>
      </c>
      <c r="Q121" s="434" t="s">
        <v>1689</v>
      </c>
      <c r="R121" s="434" t="s">
        <v>1689</v>
      </c>
      <c r="S121" s="434" t="s">
        <v>1660</v>
      </c>
      <c r="T121" s="434" t="s">
        <v>1689</v>
      </c>
      <c r="U121" s="434" t="s">
        <v>1689</v>
      </c>
      <c r="V121" s="434" t="s">
        <v>1660</v>
      </c>
      <c r="W121" s="434" t="s">
        <v>1689</v>
      </c>
      <c r="X121" s="434" t="s">
        <v>1659</v>
      </c>
      <c r="Y121" s="434" t="s">
        <v>1661</v>
      </c>
      <c r="Z121" s="434" t="s">
        <v>1689</v>
      </c>
      <c r="AA121" s="434" t="s">
        <v>1661</v>
      </c>
      <c r="AB121" s="434" t="s">
        <v>1689</v>
      </c>
      <c r="AC121" s="434" t="s">
        <v>1689</v>
      </c>
      <c r="AD121" s="434" t="s">
        <v>1660</v>
      </c>
      <c r="AE121" s="434" t="s">
        <v>1661</v>
      </c>
      <c r="AF121" s="434" t="s">
        <v>1689</v>
      </c>
      <c r="AG121" s="427">
        <v>12.0</v>
      </c>
      <c r="AH121" s="435" t="s">
        <v>24</v>
      </c>
      <c r="AI121" s="415"/>
      <c r="AJ121" s="436" t="str">
        <f t="array" ref="AJ121">IF(M121=DGET(claves!$A$2:$AS423,M$2,{claves!$A$2;$E121}),1,0)</f>
        <v>#VALUE!</v>
      </c>
      <c r="AK121" s="436" t="str">
        <f t="array" ref="AK121">IF(N121=DGET(claves!$A$2:$AS423,N$2,{claves!$A$2;$E121}),1,0)</f>
        <v>#VALUE!</v>
      </c>
      <c r="AL121" s="436" t="str">
        <f t="array" ref="AL121">IF(O121=DGET(claves!$A$2:$AS423,O$2,{claves!$A$2;$E121}),1,0)</f>
        <v>#VALUE!</v>
      </c>
      <c r="AM121" s="436" t="str">
        <f t="array" ref="AM121">IF(P121=DGET(claves!$A$2:$AS423,P$2,{claves!$A$2;$E121}),1,0)</f>
        <v>#VALUE!</v>
      </c>
      <c r="AN121" s="436" t="str">
        <f t="array" ref="AN121">IF(Q121=DGET(claves!$A$2:$AS423,Q$2,{claves!$A$2;$E121}),1,0)</f>
        <v>#VALUE!</v>
      </c>
      <c r="AO121" s="436" t="str">
        <f t="array" ref="AO121">IF(R121=DGET(claves!$A$2:$AS423,R$2,{claves!$A$2;$E121}),1,0)</f>
        <v>#VALUE!</v>
      </c>
      <c r="AP121" s="436" t="str">
        <f t="array" ref="AP121">IF(S121=DGET(claves!$A$2:$AS423,S$2,{claves!$A$2;$E121}),1,0)</f>
        <v>#VALUE!</v>
      </c>
      <c r="AQ121" s="436" t="str">
        <f t="array" ref="AQ121">IF(T121=DGET(claves!$A$2:$AS423,T$2,{claves!$A$2;$E121}),1,0)</f>
        <v>#VALUE!</v>
      </c>
      <c r="AR121" s="436" t="str">
        <f t="array" ref="AR121">IF(U121=DGET(claves!$A$2:$AS423,U$2,{claves!$A$2;$E121}),1,0)</f>
        <v>#VALUE!</v>
      </c>
      <c r="AS121" s="436" t="str">
        <f t="array" ref="AS121">IF(V121=DGET(claves!$A$2:$AS423,V$2,{claves!$A$2;$E121}),1,0)</f>
        <v>#VALUE!</v>
      </c>
      <c r="AT121" s="436" t="str">
        <f t="array" ref="AT121">IF(W121=DGET(claves!$A$2:$AS423,W$2,{claves!$A$2;$E121}),1,0)</f>
        <v>#VALUE!</v>
      </c>
      <c r="AU121" s="436" t="str">
        <f t="array" ref="AU121">IF(X121=DGET(claves!$A$2:$AS423,X$2,{claves!$A$2;$E121}),1,0)</f>
        <v>#VALUE!</v>
      </c>
      <c r="AV121" s="436" t="str">
        <f t="array" ref="AV121">IF(Y121=DGET(claves!$A$2:$AS423,Y$2,{claves!$A$2;$E121}),1,0)</f>
        <v>#VALUE!</v>
      </c>
      <c r="AW121" s="436" t="str">
        <f t="array" ref="AW121">IF(Z121=DGET(claves!$A$2:$AS423,Z$2,{claves!$A$2;$E121}),1,0)</f>
        <v>#VALUE!</v>
      </c>
      <c r="AX121" s="436" t="str">
        <f t="array" ref="AX121">IF(AA121=DGET(claves!$A$2:$AS423,AA$2,{claves!$A$2;$E121}),1,0)</f>
        <v>#VALUE!</v>
      </c>
      <c r="AY121" s="436" t="str">
        <f t="array" ref="AY121">IF(AB121=DGET(claves!$A$2:$AS423,AB$2,{claves!$A$2;$E121}),1,0)</f>
        <v>#VALUE!</v>
      </c>
      <c r="AZ121" s="436" t="str">
        <f t="array" ref="AZ121">IF(AC121=DGET(claves!$A$2:$AS423,AC$2,{claves!$A$2;$E121}),1,0)</f>
        <v>#VALUE!</v>
      </c>
      <c r="BA121" s="436" t="str">
        <f t="array" ref="BA121">IF(AD121=DGET(claves!$A$2:$AS423,AD$2,{claves!$A$2;$E121}),1,0)</f>
        <v>#VALUE!</v>
      </c>
      <c r="BB121" s="436" t="str">
        <f t="array" ref="BB121">IF(AE121=DGET(claves!$A$2:$AS423,AE$2,{claves!$A$2;$E121}),1,0)</f>
        <v>#VALUE!</v>
      </c>
      <c r="BC121" s="436" t="str">
        <f t="array" ref="BC121">IF(AF121=DGET(claves!$A$2:$AS423,AF$2,{claves!$A$2;$E121}),1,0)</f>
        <v>#VALUE!</v>
      </c>
      <c r="BD121" s="437" t="str">
        <f t="shared" si="1"/>
        <v>#VALUE!</v>
      </c>
      <c r="BE121" s="435"/>
      <c r="BF121" s="415"/>
    </row>
    <row r="122" ht="14.25" customHeight="1">
      <c r="A122" s="408">
        <v>120.0</v>
      </c>
      <c r="B122" s="153" t="s">
        <v>1653</v>
      </c>
      <c r="C122" s="153">
        <v>2024.0</v>
      </c>
      <c r="D122" s="77" t="s">
        <v>1817</v>
      </c>
      <c r="E122" s="409" t="s">
        <v>1821</v>
      </c>
      <c r="F122" s="77" t="s">
        <v>1819</v>
      </c>
      <c r="G122" s="432" t="s">
        <v>22</v>
      </c>
      <c r="H122" s="433" t="s">
        <v>1796</v>
      </c>
      <c r="I122" s="433" t="s">
        <v>1667</v>
      </c>
      <c r="J122" s="433" t="s">
        <v>1797</v>
      </c>
      <c r="K122" s="433" t="s">
        <v>1658</v>
      </c>
      <c r="L122" s="415"/>
      <c r="M122" s="434" t="s">
        <v>1661</v>
      </c>
      <c r="N122" s="434" t="s">
        <v>1661</v>
      </c>
      <c r="O122" s="434" t="s">
        <v>1689</v>
      </c>
      <c r="P122" s="434" t="s">
        <v>1659</v>
      </c>
      <c r="Q122" s="434" t="s">
        <v>1689</v>
      </c>
      <c r="R122" s="434" t="s">
        <v>1689</v>
      </c>
      <c r="S122" s="434" t="s">
        <v>1661</v>
      </c>
      <c r="T122" s="434" t="s">
        <v>1661</v>
      </c>
      <c r="U122" s="434" t="s">
        <v>1660</v>
      </c>
      <c r="V122" s="434" t="s">
        <v>1659</v>
      </c>
      <c r="W122" s="434" t="s">
        <v>1689</v>
      </c>
      <c r="X122" s="434" t="s">
        <v>1689</v>
      </c>
      <c r="Y122" s="434" t="s">
        <v>1689</v>
      </c>
      <c r="Z122" s="434" t="s">
        <v>1661</v>
      </c>
      <c r="AA122" s="434" t="s">
        <v>1689</v>
      </c>
      <c r="AB122" s="434" t="s">
        <v>1689</v>
      </c>
      <c r="AC122" s="434" t="s">
        <v>1659</v>
      </c>
      <c r="AD122" s="434" t="s">
        <v>1660</v>
      </c>
      <c r="AE122" s="434" t="s">
        <v>1661</v>
      </c>
      <c r="AF122" s="434" t="s">
        <v>1660</v>
      </c>
      <c r="AG122" s="427">
        <v>17.0</v>
      </c>
      <c r="AH122" s="438" t="s">
        <v>32</v>
      </c>
      <c r="AI122" s="415"/>
      <c r="AJ122" s="436" t="str">
        <f t="array" ref="AJ122">IF(M122=DGET(claves!$A$2:$AS423,M$2,{claves!$A$2;$E122}),1,0)</f>
        <v>#VALUE!</v>
      </c>
      <c r="AK122" s="436" t="str">
        <f t="array" ref="AK122">IF(N122=DGET(claves!$A$2:$AS423,N$2,{claves!$A$2;$E122}),1,0)</f>
        <v>#VALUE!</v>
      </c>
      <c r="AL122" s="436" t="str">
        <f t="array" ref="AL122">IF(O122=DGET(claves!$A$2:$AS423,O$2,{claves!$A$2;$E122}),1,0)</f>
        <v>#VALUE!</v>
      </c>
      <c r="AM122" s="436" t="str">
        <f t="array" ref="AM122">IF(P122=DGET(claves!$A$2:$AS423,P$2,{claves!$A$2;$E122}),1,0)</f>
        <v>#VALUE!</v>
      </c>
      <c r="AN122" s="436" t="str">
        <f t="array" ref="AN122">IF(Q122=DGET(claves!$A$2:$AS423,Q$2,{claves!$A$2;$E122}),1,0)</f>
        <v>#VALUE!</v>
      </c>
      <c r="AO122" s="436" t="str">
        <f t="array" ref="AO122">IF(R122=DGET(claves!$A$2:$AS423,R$2,{claves!$A$2;$E122}),1,0)</f>
        <v>#VALUE!</v>
      </c>
      <c r="AP122" s="436" t="str">
        <f t="array" ref="AP122">IF(S122=DGET(claves!$A$2:$AS423,S$2,{claves!$A$2;$E122}),1,0)</f>
        <v>#VALUE!</v>
      </c>
      <c r="AQ122" s="436" t="str">
        <f t="array" ref="AQ122">IF(T122=DGET(claves!$A$2:$AS423,T$2,{claves!$A$2;$E122}),1,0)</f>
        <v>#VALUE!</v>
      </c>
      <c r="AR122" s="436" t="str">
        <f t="array" ref="AR122">IF(U122=DGET(claves!$A$2:$AS423,U$2,{claves!$A$2;$E122}),1,0)</f>
        <v>#VALUE!</v>
      </c>
      <c r="AS122" s="436" t="str">
        <f t="array" ref="AS122">IF(V122=DGET(claves!$A$2:$AS423,V$2,{claves!$A$2;$E122}),1,0)</f>
        <v>#VALUE!</v>
      </c>
      <c r="AT122" s="436" t="str">
        <f t="array" ref="AT122">IF(W122=DGET(claves!$A$2:$AS423,W$2,{claves!$A$2;$E122}),1,0)</f>
        <v>#VALUE!</v>
      </c>
      <c r="AU122" s="436" t="str">
        <f t="array" ref="AU122">IF(X122=DGET(claves!$A$2:$AS423,X$2,{claves!$A$2;$E122}),1,0)</f>
        <v>#VALUE!</v>
      </c>
      <c r="AV122" s="436" t="str">
        <f t="array" ref="AV122">IF(Y122=DGET(claves!$A$2:$AS423,Y$2,{claves!$A$2;$E122}),1,0)</f>
        <v>#VALUE!</v>
      </c>
      <c r="AW122" s="436" t="str">
        <f t="array" ref="AW122">IF(Z122=DGET(claves!$A$2:$AS423,Z$2,{claves!$A$2;$E122}),1,0)</f>
        <v>#VALUE!</v>
      </c>
      <c r="AX122" s="436" t="str">
        <f t="array" ref="AX122">IF(AA122=DGET(claves!$A$2:$AS423,AA$2,{claves!$A$2;$E122}),1,0)</f>
        <v>#VALUE!</v>
      </c>
      <c r="AY122" s="436" t="str">
        <f t="array" ref="AY122">IF(AB122=DGET(claves!$A$2:$AS423,AB$2,{claves!$A$2;$E122}),1,0)</f>
        <v>#VALUE!</v>
      </c>
      <c r="AZ122" s="436" t="str">
        <f t="array" ref="AZ122">IF(AC122=DGET(claves!$A$2:$AS423,AC$2,{claves!$A$2;$E122}),1,0)</f>
        <v>#VALUE!</v>
      </c>
      <c r="BA122" s="436" t="str">
        <f t="array" ref="BA122">IF(AD122=DGET(claves!$A$2:$AS423,AD$2,{claves!$A$2;$E122}),1,0)</f>
        <v>#VALUE!</v>
      </c>
      <c r="BB122" s="436" t="str">
        <f t="array" ref="BB122">IF(AE122=DGET(claves!$A$2:$AS423,AE$2,{claves!$A$2;$E122}),1,0)</f>
        <v>#VALUE!</v>
      </c>
      <c r="BC122" s="436" t="str">
        <f t="array" ref="BC122">IF(AF122=DGET(claves!$A$2:$AS423,AF$2,{claves!$A$2;$E122}),1,0)</f>
        <v>#VALUE!</v>
      </c>
      <c r="BD122" s="437" t="str">
        <f t="shared" si="1"/>
        <v>#VALUE!</v>
      </c>
      <c r="BE122" s="435"/>
      <c r="BF122" s="415"/>
    </row>
    <row r="123" ht="14.25" customHeight="1">
      <c r="A123" s="408">
        <v>121.0</v>
      </c>
      <c r="B123" s="153" t="s">
        <v>1653</v>
      </c>
      <c r="C123" s="153">
        <v>2024.0</v>
      </c>
      <c r="D123" s="77" t="s">
        <v>1817</v>
      </c>
      <c r="E123" s="409" t="s">
        <v>1821</v>
      </c>
      <c r="F123" s="77" t="s">
        <v>1819</v>
      </c>
      <c r="G123" s="432" t="s">
        <v>22</v>
      </c>
      <c r="H123" s="433" t="s">
        <v>1798</v>
      </c>
      <c r="I123" s="433" t="s">
        <v>1744</v>
      </c>
      <c r="J123" s="433" t="s">
        <v>1799</v>
      </c>
      <c r="K123" s="432" t="s">
        <v>1665</v>
      </c>
      <c r="L123" s="415"/>
      <c r="M123" s="434" t="s">
        <v>1660</v>
      </c>
      <c r="N123" s="434" t="s">
        <v>1661</v>
      </c>
      <c r="O123" s="434" t="s">
        <v>1661</v>
      </c>
      <c r="P123" s="434" t="s">
        <v>1659</v>
      </c>
      <c r="Q123" s="434" t="s">
        <v>1689</v>
      </c>
      <c r="R123" s="434" t="s">
        <v>1689</v>
      </c>
      <c r="S123" s="434" t="s">
        <v>1661</v>
      </c>
      <c r="T123" s="434" t="s">
        <v>1661</v>
      </c>
      <c r="U123" s="434" t="s">
        <v>1689</v>
      </c>
      <c r="V123" s="434" t="s">
        <v>1659</v>
      </c>
      <c r="W123" s="434" t="s">
        <v>1689</v>
      </c>
      <c r="X123" s="434" t="s">
        <v>1689</v>
      </c>
      <c r="Y123" s="434" t="s">
        <v>1660</v>
      </c>
      <c r="Z123" s="434" t="s">
        <v>1661</v>
      </c>
      <c r="AA123" s="434" t="s">
        <v>1661</v>
      </c>
      <c r="AB123" s="434" t="s">
        <v>1661</v>
      </c>
      <c r="AC123" s="434" t="s">
        <v>1659</v>
      </c>
      <c r="AD123" s="434" t="s">
        <v>1660</v>
      </c>
      <c r="AE123" s="434" t="s">
        <v>1661</v>
      </c>
      <c r="AF123" s="434" t="s">
        <v>1689</v>
      </c>
      <c r="AG123" s="427">
        <v>15.0</v>
      </c>
      <c r="AH123" s="435" t="s">
        <v>24</v>
      </c>
      <c r="AI123" s="415"/>
      <c r="AJ123" s="436" t="str">
        <f t="array" ref="AJ123">IF(M123=DGET(claves!$A$2:$AS423,M$2,{claves!$A$2;$E123}),1,0)</f>
        <v>#VALUE!</v>
      </c>
      <c r="AK123" s="436" t="str">
        <f t="array" ref="AK123">IF(N123=DGET(claves!$A$2:$AS423,N$2,{claves!$A$2;$E123}),1,0)</f>
        <v>#VALUE!</v>
      </c>
      <c r="AL123" s="436" t="str">
        <f t="array" ref="AL123">IF(O123=DGET(claves!$A$2:$AS423,O$2,{claves!$A$2;$E123}),1,0)</f>
        <v>#VALUE!</v>
      </c>
      <c r="AM123" s="436" t="str">
        <f t="array" ref="AM123">IF(P123=DGET(claves!$A$2:$AS423,P$2,{claves!$A$2;$E123}),1,0)</f>
        <v>#VALUE!</v>
      </c>
      <c r="AN123" s="436" t="str">
        <f t="array" ref="AN123">IF(Q123=DGET(claves!$A$2:$AS423,Q$2,{claves!$A$2;$E123}),1,0)</f>
        <v>#VALUE!</v>
      </c>
      <c r="AO123" s="436" t="str">
        <f t="array" ref="AO123">IF(R123=DGET(claves!$A$2:$AS423,R$2,{claves!$A$2;$E123}),1,0)</f>
        <v>#VALUE!</v>
      </c>
      <c r="AP123" s="436" t="str">
        <f t="array" ref="AP123">IF(S123=DGET(claves!$A$2:$AS423,S$2,{claves!$A$2;$E123}),1,0)</f>
        <v>#VALUE!</v>
      </c>
      <c r="AQ123" s="436" t="str">
        <f t="array" ref="AQ123">IF(T123=DGET(claves!$A$2:$AS423,T$2,{claves!$A$2;$E123}),1,0)</f>
        <v>#VALUE!</v>
      </c>
      <c r="AR123" s="436" t="str">
        <f t="array" ref="AR123">IF(U123=DGET(claves!$A$2:$AS423,U$2,{claves!$A$2;$E123}),1,0)</f>
        <v>#VALUE!</v>
      </c>
      <c r="AS123" s="436" t="str">
        <f t="array" ref="AS123">IF(V123=DGET(claves!$A$2:$AS423,V$2,{claves!$A$2;$E123}),1,0)</f>
        <v>#VALUE!</v>
      </c>
      <c r="AT123" s="436" t="str">
        <f t="array" ref="AT123">IF(W123=DGET(claves!$A$2:$AS423,W$2,{claves!$A$2;$E123}),1,0)</f>
        <v>#VALUE!</v>
      </c>
      <c r="AU123" s="436" t="str">
        <f t="array" ref="AU123">IF(X123=DGET(claves!$A$2:$AS423,X$2,{claves!$A$2;$E123}),1,0)</f>
        <v>#VALUE!</v>
      </c>
      <c r="AV123" s="436" t="str">
        <f t="array" ref="AV123">IF(Y123=DGET(claves!$A$2:$AS423,Y$2,{claves!$A$2;$E123}),1,0)</f>
        <v>#VALUE!</v>
      </c>
      <c r="AW123" s="436" t="str">
        <f t="array" ref="AW123">IF(Z123=DGET(claves!$A$2:$AS423,Z$2,{claves!$A$2;$E123}),1,0)</f>
        <v>#VALUE!</v>
      </c>
      <c r="AX123" s="436" t="str">
        <f t="array" ref="AX123">IF(AA123=DGET(claves!$A$2:$AS423,AA$2,{claves!$A$2;$E123}),1,0)</f>
        <v>#VALUE!</v>
      </c>
      <c r="AY123" s="436" t="str">
        <f t="array" ref="AY123">IF(AB123=DGET(claves!$A$2:$AS423,AB$2,{claves!$A$2;$E123}),1,0)</f>
        <v>#VALUE!</v>
      </c>
      <c r="AZ123" s="436" t="str">
        <f t="array" ref="AZ123">IF(AC123=DGET(claves!$A$2:$AS423,AC$2,{claves!$A$2;$E123}),1,0)</f>
        <v>#VALUE!</v>
      </c>
      <c r="BA123" s="436" t="str">
        <f t="array" ref="BA123">IF(AD123=DGET(claves!$A$2:$AS423,AD$2,{claves!$A$2;$E123}),1,0)</f>
        <v>#VALUE!</v>
      </c>
      <c r="BB123" s="436" t="str">
        <f t="array" ref="BB123">IF(AE123=DGET(claves!$A$2:$AS423,AE$2,{claves!$A$2;$E123}),1,0)</f>
        <v>#VALUE!</v>
      </c>
      <c r="BC123" s="436" t="str">
        <f t="array" ref="BC123">IF(AF123=DGET(claves!$A$2:$AS423,AF$2,{claves!$A$2;$E123}),1,0)</f>
        <v>#VALUE!</v>
      </c>
      <c r="BD123" s="437" t="str">
        <f t="shared" si="1"/>
        <v>#VALUE!</v>
      </c>
      <c r="BE123" s="435"/>
      <c r="BF123" s="415"/>
    </row>
    <row r="124" ht="14.25" customHeight="1">
      <c r="A124" s="408">
        <v>122.0</v>
      </c>
      <c r="B124" s="153" t="s">
        <v>1653</v>
      </c>
      <c r="C124" s="153">
        <v>2024.0</v>
      </c>
      <c r="D124" s="77" t="s">
        <v>1817</v>
      </c>
      <c r="E124" s="409" t="s">
        <v>1821</v>
      </c>
      <c r="F124" s="77" t="s">
        <v>1819</v>
      </c>
      <c r="G124" s="432" t="s">
        <v>22</v>
      </c>
      <c r="H124" s="433" t="s">
        <v>1684</v>
      </c>
      <c r="I124" s="433" t="s">
        <v>1800</v>
      </c>
      <c r="J124" s="433" t="s">
        <v>1801</v>
      </c>
      <c r="K124" s="432" t="s">
        <v>1665</v>
      </c>
      <c r="L124" s="415"/>
      <c r="M124" s="434" t="s">
        <v>1661</v>
      </c>
      <c r="N124" s="434" t="s">
        <v>1660</v>
      </c>
      <c r="O124" s="434" t="s">
        <v>1689</v>
      </c>
      <c r="P124" s="434" t="s">
        <v>1659</v>
      </c>
      <c r="Q124" s="434" t="s">
        <v>1660</v>
      </c>
      <c r="R124" s="434" t="s">
        <v>1689</v>
      </c>
      <c r="S124" s="434" t="s">
        <v>1661</v>
      </c>
      <c r="T124" s="434" t="s">
        <v>1660</v>
      </c>
      <c r="U124" s="434" t="s">
        <v>1661</v>
      </c>
      <c r="V124" s="434" t="s">
        <v>1661</v>
      </c>
      <c r="W124" s="434" t="s">
        <v>1660</v>
      </c>
      <c r="X124" s="434" t="s">
        <v>1659</v>
      </c>
      <c r="Y124" s="434" t="s">
        <v>1660</v>
      </c>
      <c r="Z124" s="434" t="s">
        <v>1661</v>
      </c>
      <c r="AA124" s="434" t="s">
        <v>1660</v>
      </c>
      <c r="AB124" s="434" t="s">
        <v>1661</v>
      </c>
      <c r="AC124" s="434" t="s">
        <v>1659</v>
      </c>
      <c r="AD124" s="434" t="s">
        <v>1689</v>
      </c>
      <c r="AE124" s="434" t="s">
        <v>1660</v>
      </c>
      <c r="AF124" s="434" t="s">
        <v>1660</v>
      </c>
      <c r="AG124" s="427">
        <v>8.0</v>
      </c>
      <c r="AH124" s="435" t="s">
        <v>18</v>
      </c>
      <c r="AI124" s="415"/>
      <c r="AJ124" s="436" t="str">
        <f t="array" ref="AJ124">IF(M124=DGET(claves!$A$2:$AS423,M$2,{claves!$A$2;$E124}),1,0)</f>
        <v>#VALUE!</v>
      </c>
      <c r="AK124" s="436" t="str">
        <f t="array" ref="AK124">IF(N124=DGET(claves!$A$2:$AS423,N$2,{claves!$A$2;$E124}),1,0)</f>
        <v>#VALUE!</v>
      </c>
      <c r="AL124" s="436" t="str">
        <f t="array" ref="AL124">IF(O124=DGET(claves!$A$2:$AS423,O$2,{claves!$A$2;$E124}),1,0)</f>
        <v>#VALUE!</v>
      </c>
      <c r="AM124" s="436" t="str">
        <f t="array" ref="AM124">IF(P124=DGET(claves!$A$2:$AS423,P$2,{claves!$A$2;$E124}),1,0)</f>
        <v>#VALUE!</v>
      </c>
      <c r="AN124" s="436" t="str">
        <f t="array" ref="AN124">IF(Q124=DGET(claves!$A$2:$AS423,Q$2,{claves!$A$2;$E124}),1,0)</f>
        <v>#VALUE!</v>
      </c>
      <c r="AO124" s="436" t="str">
        <f t="array" ref="AO124">IF(R124=DGET(claves!$A$2:$AS423,R$2,{claves!$A$2;$E124}),1,0)</f>
        <v>#VALUE!</v>
      </c>
      <c r="AP124" s="436" t="str">
        <f t="array" ref="AP124">IF(S124=DGET(claves!$A$2:$AS423,S$2,{claves!$A$2;$E124}),1,0)</f>
        <v>#VALUE!</v>
      </c>
      <c r="AQ124" s="436" t="str">
        <f t="array" ref="AQ124">IF(T124=DGET(claves!$A$2:$AS423,T$2,{claves!$A$2;$E124}),1,0)</f>
        <v>#VALUE!</v>
      </c>
      <c r="AR124" s="436" t="str">
        <f t="array" ref="AR124">IF(U124=DGET(claves!$A$2:$AS423,U$2,{claves!$A$2;$E124}),1,0)</f>
        <v>#VALUE!</v>
      </c>
      <c r="AS124" s="436" t="str">
        <f t="array" ref="AS124">IF(V124=DGET(claves!$A$2:$AS423,V$2,{claves!$A$2;$E124}),1,0)</f>
        <v>#VALUE!</v>
      </c>
      <c r="AT124" s="436" t="str">
        <f t="array" ref="AT124">IF(W124=DGET(claves!$A$2:$AS423,W$2,{claves!$A$2;$E124}),1,0)</f>
        <v>#VALUE!</v>
      </c>
      <c r="AU124" s="436" t="str">
        <f t="array" ref="AU124">IF(X124=DGET(claves!$A$2:$AS423,X$2,{claves!$A$2;$E124}),1,0)</f>
        <v>#VALUE!</v>
      </c>
      <c r="AV124" s="436" t="str">
        <f t="array" ref="AV124">IF(Y124=DGET(claves!$A$2:$AS423,Y$2,{claves!$A$2;$E124}),1,0)</f>
        <v>#VALUE!</v>
      </c>
      <c r="AW124" s="436" t="str">
        <f t="array" ref="AW124">IF(Z124=DGET(claves!$A$2:$AS423,Z$2,{claves!$A$2;$E124}),1,0)</f>
        <v>#VALUE!</v>
      </c>
      <c r="AX124" s="436" t="str">
        <f t="array" ref="AX124">IF(AA124=DGET(claves!$A$2:$AS423,AA$2,{claves!$A$2;$E124}),1,0)</f>
        <v>#VALUE!</v>
      </c>
      <c r="AY124" s="436" t="str">
        <f t="array" ref="AY124">IF(AB124=DGET(claves!$A$2:$AS423,AB$2,{claves!$A$2;$E124}),1,0)</f>
        <v>#VALUE!</v>
      </c>
      <c r="AZ124" s="436" t="str">
        <f t="array" ref="AZ124">IF(AC124=DGET(claves!$A$2:$AS423,AC$2,{claves!$A$2;$E124}),1,0)</f>
        <v>#VALUE!</v>
      </c>
      <c r="BA124" s="436" t="str">
        <f t="array" ref="BA124">IF(AD124=DGET(claves!$A$2:$AS423,AD$2,{claves!$A$2;$E124}),1,0)</f>
        <v>#VALUE!</v>
      </c>
      <c r="BB124" s="436" t="str">
        <f t="array" ref="BB124">IF(AE124=DGET(claves!$A$2:$AS423,AE$2,{claves!$A$2;$E124}),1,0)</f>
        <v>#VALUE!</v>
      </c>
      <c r="BC124" s="436" t="str">
        <f t="array" ref="BC124">IF(AF124=DGET(claves!$A$2:$AS423,AF$2,{claves!$A$2;$E124}),1,0)</f>
        <v>#VALUE!</v>
      </c>
      <c r="BD124" s="437" t="str">
        <f t="shared" si="1"/>
        <v>#VALUE!</v>
      </c>
      <c r="BE124" s="435"/>
      <c r="BF124" s="415"/>
    </row>
    <row r="125" ht="14.25" customHeight="1">
      <c r="A125" s="408">
        <v>123.0</v>
      </c>
      <c r="B125" s="153" t="s">
        <v>1653</v>
      </c>
      <c r="C125" s="153">
        <v>2024.0</v>
      </c>
      <c r="D125" s="77" t="s">
        <v>1817</v>
      </c>
      <c r="E125" s="409" t="s">
        <v>1821</v>
      </c>
      <c r="F125" s="77" t="s">
        <v>1819</v>
      </c>
      <c r="G125" s="432" t="s">
        <v>22</v>
      </c>
      <c r="H125" s="433" t="s">
        <v>1719</v>
      </c>
      <c r="I125" s="433" t="s">
        <v>1684</v>
      </c>
      <c r="J125" s="433" t="s">
        <v>1802</v>
      </c>
      <c r="K125" s="433" t="s">
        <v>1658</v>
      </c>
      <c r="L125" s="415"/>
      <c r="M125" s="434" t="s">
        <v>1661</v>
      </c>
      <c r="N125" s="434" t="s">
        <v>1661</v>
      </c>
      <c r="O125" s="434" t="s">
        <v>1689</v>
      </c>
      <c r="P125" s="434" t="s">
        <v>1659</v>
      </c>
      <c r="Q125" s="434" t="s">
        <v>1660</v>
      </c>
      <c r="R125" s="434" t="s">
        <v>1689</v>
      </c>
      <c r="S125" s="434" t="s">
        <v>1659</v>
      </c>
      <c r="T125" s="434" t="s">
        <v>1660</v>
      </c>
      <c r="U125" s="434" t="s">
        <v>1689</v>
      </c>
      <c r="V125" s="434" t="s">
        <v>1659</v>
      </c>
      <c r="W125" s="434" t="s">
        <v>1689</v>
      </c>
      <c r="X125" s="434" t="s">
        <v>1689</v>
      </c>
      <c r="Y125" s="434" t="s">
        <v>1689</v>
      </c>
      <c r="Z125" s="434" t="s">
        <v>1661</v>
      </c>
      <c r="AA125" s="434" t="s">
        <v>1660</v>
      </c>
      <c r="AB125" s="434" t="s">
        <v>1689</v>
      </c>
      <c r="AC125" s="434" t="s">
        <v>1659</v>
      </c>
      <c r="AD125" s="434" t="s">
        <v>1660</v>
      </c>
      <c r="AE125" s="434" t="s">
        <v>1661</v>
      </c>
      <c r="AF125" s="434" t="s">
        <v>1689</v>
      </c>
      <c r="AG125" s="427">
        <v>17.0</v>
      </c>
      <c r="AH125" s="438" t="s">
        <v>32</v>
      </c>
      <c r="AI125" s="415"/>
      <c r="AJ125" s="436" t="str">
        <f t="array" ref="AJ125">IF(M125=DGET(claves!$A$2:$AS423,M$2,{claves!$A$2;$E125}),1,0)</f>
        <v>#VALUE!</v>
      </c>
      <c r="AK125" s="436" t="str">
        <f t="array" ref="AK125">IF(N125=DGET(claves!$A$2:$AS423,N$2,{claves!$A$2;$E125}),1,0)</f>
        <v>#VALUE!</v>
      </c>
      <c r="AL125" s="436" t="str">
        <f t="array" ref="AL125">IF(O125=DGET(claves!$A$2:$AS423,O$2,{claves!$A$2;$E125}),1,0)</f>
        <v>#VALUE!</v>
      </c>
      <c r="AM125" s="436" t="str">
        <f t="array" ref="AM125">IF(P125=DGET(claves!$A$2:$AS423,P$2,{claves!$A$2;$E125}),1,0)</f>
        <v>#VALUE!</v>
      </c>
      <c r="AN125" s="436" t="str">
        <f t="array" ref="AN125">IF(Q125=DGET(claves!$A$2:$AS423,Q$2,{claves!$A$2;$E125}),1,0)</f>
        <v>#VALUE!</v>
      </c>
      <c r="AO125" s="436" t="str">
        <f t="array" ref="AO125">IF(R125=DGET(claves!$A$2:$AS423,R$2,{claves!$A$2;$E125}),1,0)</f>
        <v>#VALUE!</v>
      </c>
      <c r="AP125" s="436" t="str">
        <f t="array" ref="AP125">IF(S125=DGET(claves!$A$2:$AS423,S$2,{claves!$A$2;$E125}),1,0)</f>
        <v>#VALUE!</v>
      </c>
      <c r="AQ125" s="436" t="str">
        <f t="array" ref="AQ125">IF(T125=DGET(claves!$A$2:$AS423,T$2,{claves!$A$2;$E125}),1,0)</f>
        <v>#VALUE!</v>
      </c>
      <c r="AR125" s="436" t="str">
        <f t="array" ref="AR125">IF(U125=DGET(claves!$A$2:$AS423,U$2,{claves!$A$2;$E125}),1,0)</f>
        <v>#VALUE!</v>
      </c>
      <c r="AS125" s="436" t="str">
        <f t="array" ref="AS125">IF(V125=DGET(claves!$A$2:$AS423,V$2,{claves!$A$2;$E125}),1,0)</f>
        <v>#VALUE!</v>
      </c>
      <c r="AT125" s="436" t="str">
        <f t="array" ref="AT125">IF(W125=DGET(claves!$A$2:$AS423,W$2,{claves!$A$2;$E125}),1,0)</f>
        <v>#VALUE!</v>
      </c>
      <c r="AU125" s="436" t="str">
        <f t="array" ref="AU125">IF(X125=DGET(claves!$A$2:$AS423,X$2,{claves!$A$2;$E125}),1,0)</f>
        <v>#VALUE!</v>
      </c>
      <c r="AV125" s="436" t="str">
        <f t="array" ref="AV125">IF(Y125=DGET(claves!$A$2:$AS423,Y$2,{claves!$A$2;$E125}),1,0)</f>
        <v>#VALUE!</v>
      </c>
      <c r="AW125" s="436" t="str">
        <f t="array" ref="AW125">IF(Z125=DGET(claves!$A$2:$AS423,Z$2,{claves!$A$2;$E125}),1,0)</f>
        <v>#VALUE!</v>
      </c>
      <c r="AX125" s="436" t="str">
        <f t="array" ref="AX125">IF(AA125=DGET(claves!$A$2:$AS423,AA$2,{claves!$A$2;$E125}),1,0)</f>
        <v>#VALUE!</v>
      </c>
      <c r="AY125" s="436" t="str">
        <f t="array" ref="AY125">IF(AB125=DGET(claves!$A$2:$AS423,AB$2,{claves!$A$2;$E125}),1,0)</f>
        <v>#VALUE!</v>
      </c>
      <c r="AZ125" s="436" t="str">
        <f t="array" ref="AZ125">IF(AC125=DGET(claves!$A$2:$AS423,AC$2,{claves!$A$2;$E125}),1,0)</f>
        <v>#VALUE!</v>
      </c>
      <c r="BA125" s="436" t="str">
        <f t="array" ref="BA125">IF(AD125=DGET(claves!$A$2:$AS423,AD$2,{claves!$A$2;$E125}),1,0)</f>
        <v>#VALUE!</v>
      </c>
      <c r="BB125" s="436" t="str">
        <f t="array" ref="BB125">IF(AE125=DGET(claves!$A$2:$AS423,AE$2,{claves!$A$2;$E125}),1,0)</f>
        <v>#VALUE!</v>
      </c>
      <c r="BC125" s="436" t="str">
        <f t="array" ref="BC125">IF(AF125=DGET(claves!$A$2:$AS423,AF$2,{claves!$A$2;$E125}),1,0)</f>
        <v>#VALUE!</v>
      </c>
      <c r="BD125" s="437" t="str">
        <f t="shared" si="1"/>
        <v>#VALUE!</v>
      </c>
      <c r="BE125" s="435"/>
      <c r="BF125" s="415"/>
    </row>
    <row r="126" ht="14.25" customHeight="1">
      <c r="A126" s="408">
        <v>124.0</v>
      </c>
      <c r="B126" s="153" t="s">
        <v>1653</v>
      </c>
      <c r="C126" s="153">
        <v>2024.0</v>
      </c>
      <c r="D126" s="77" t="s">
        <v>1817</v>
      </c>
      <c r="E126" s="409" t="s">
        <v>1821</v>
      </c>
      <c r="F126" s="77" t="s">
        <v>1819</v>
      </c>
      <c r="G126" s="432" t="s">
        <v>22</v>
      </c>
      <c r="H126" s="433" t="s">
        <v>1803</v>
      </c>
      <c r="I126" s="433" t="s">
        <v>1804</v>
      </c>
      <c r="J126" s="433" t="s">
        <v>1805</v>
      </c>
      <c r="K126" s="432" t="s">
        <v>1665</v>
      </c>
      <c r="L126" s="415"/>
      <c r="M126" s="434" t="s">
        <v>1660</v>
      </c>
      <c r="N126" s="434" t="s">
        <v>1661</v>
      </c>
      <c r="O126" s="434" t="s">
        <v>1689</v>
      </c>
      <c r="P126" s="434" t="s">
        <v>1659</v>
      </c>
      <c r="Q126" s="434" t="s">
        <v>1689</v>
      </c>
      <c r="R126" s="434" t="s">
        <v>1659</v>
      </c>
      <c r="S126" s="434" t="s">
        <v>1661</v>
      </c>
      <c r="T126" s="434" t="s">
        <v>1661</v>
      </c>
      <c r="U126" s="434" t="s">
        <v>1661</v>
      </c>
      <c r="V126" s="434" t="s">
        <v>1660</v>
      </c>
      <c r="W126" s="434" t="s">
        <v>1659</v>
      </c>
      <c r="X126" s="434" t="s">
        <v>1689</v>
      </c>
      <c r="Y126" s="434" t="s">
        <v>1689</v>
      </c>
      <c r="Z126" s="434" t="s">
        <v>1661</v>
      </c>
      <c r="AA126" s="434" t="s">
        <v>1660</v>
      </c>
      <c r="AB126" s="434" t="s">
        <v>1689</v>
      </c>
      <c r="AC126" s="434" t="s">
        <v>1659</v>
      </c>
      <c r="AD126" s="434" t="s">
        <v>1660</v>
      </c>
      <c r="AE126" s="434" t="s">
        <v>1661</v>
      </c>
      <c r="AF126" s="434" t="s">
        <v>1689</v>
      </c>
      <c r="AG126" s="427">
        <v>15.0</v>
      </c>
      <c r="AH126" s="435" t="s">
        <v>24</v>
      </c>
      <c r="AI126" s="415"/>
      <c r="AJ126" s="436" t="str">
        <f t="array" ref="AJ126">IF(M126=DGET(claves!$A$2:$AS423,M$2,{claves!$A$2;$E126}),1,0)</f>
        <v>#VALUE!</v>
      </c>
      <c r="AK126" s="436" t="str">
        <f t="array" ref="AK126">IF(N126=DGET(claves!$A$2:$AS423,N$2,{claves!$A$2;$E126}),1,0)</f>
        <v>#VALUE!</v>
      </c>
      <c r="AL126" s="436" t="str">
        <f t="array" ref="AL126">IF(O126=DGET(claves!$A$2:$AS423,O$2,{claves!$A$2;$E126}),1,0)</f>
        <v>#VALUE!</v>
      </c>
      <c r="AM126" s="436" t="str">
        <f t="array" ref="AM126">IF(P126=DGET(claves!$A$2:$AS423,P$2,{claves!$A$2;$E126}),1,0)</f>
        <v>#VALUE!</v>
      </c>
      <c r="AN126" s="436" t="str">
        <f t="array" ref="AN126">IF(Q126=DGET(claves!$A$2:$AS423,Q$2,{claves!$A$2;$E126}),1,0)</f>
        <v>#VALUE!</v>
      </c>
      <c r="AO126" s="436" t="str">
        <f t="array" ref="AO126">IF(R126=DGET(claves!$A$2:$AS423,R$2,{claves!$A$2;$E126}),1,0)</f>
        <v>#VALUE!</v>
      </c>
      <c r="AP126" s="436" t="str">
        <f t="array" ref="AP126">IF(S126=DGET(claves!$A$2:$AS423,S$2,{claves!$A$2;$E126}),1,0)</f>
        <v>#VALUE!</v>
      </c>
      <c r="AQ126" s="436" t="str">
        <f t="array" ref="AQ126">IF(T126=DGET(claves!$A$2:$AS423,T$2,{claves!$A$2;$E126}),1,0)</f>
        <v>#VALUE!</v>
      </c>
      <c r="AR126" s="436" t="str">
        <f t="array" ref="AR126">IF(U126=DGET(claves!$A$2:$AS423,U$2,{claves!$A$2;$E126}),1,0)</f>
        <v>#VALUE!</v>
      </c>
      <c r="AS126" s="436" t="str">
        <f t="array" ref="AS126">IF(V126=DGET(claves!$A$2:$AS423,V$2,{claves!$A$2;$E126}),1,0)</f>
        <v>#VALUE!</v>
      </c>
      <c r="AT126" s="436" t="str">
        <f t="array" ref="AT126">IF(W126=DGET(claves!$A$2:$AS423,W$2,{claves!$A$2;$E126}),1,0)</f>
        <v>#VALUE!</v>
      </c>
      <c r="AU126" s="436" t="str">
        <f t="array" ref="AU126">IF(X126=DGET(claves!$A$2:$AS423,X$2,{claves!$A$2;$E126}),1,0)</f>
        <v>#VALUE!</v>
      </c>
      <c r="AV126" s="436" t="str">
        <f t="array" ref="AV126">IF(Y126=DGET(claves!$A$2:$AS423,Y$2,{claves!$A$2;$E126}),1,0)</f>
        <v>#VALUE!</v>
      </c>
      <c r="AW126" s="436" t="str">
        <f t="array" ref="AW126">IF(Z126=DGET(claves!$A$2:$AS423,Z$2,{claves!$A$2;$E126}),1,0)</f>
        <v>#VALUE!</v>
      </c>
      <c r="AX126" s="436" t="str">
        <f t="array" ref="AX126">IF(AA126=DGET(claves!$A$2:$AS423,AA$2,{claves!$A$2;$E126}),1,0)</f>
        <v>#VALUE!</v>
      </c>
      <c r="AY126" s="436" t="str">
        <f t="array" ref="AY126">IF(AB126=DGET(claves!$A$2:$AS423,AB$2,{claves!$A$2;$E126}),1,0)</f>
        <v>#VALUE!</v>
      </c>
      <c r="AZ126" s="436" t="str">
        <f t="array" ref="AZ126">IF(AC126=DGET(claves!$A$2:$AS423,AC$2,{claves!$A$2;$E126}),1,0)</f>
        <v>#VALUE!</v>
      </c>
      <c r="BA126" s="436" t="str">
        <f t="array" ref="BA126">IF(AD126=DGET(claves!$A$2:$AS423,AD$2,{claves!$A$2;$E126}),1,0)</f>
        <v>#VALUE!</v>
      </c>
      <c r="BB126" s="436" t="str">
        <f t="array" ref="BB126">IF(AE126=DGET(claves!$A$2:$AS423,AE$2,{claves!$A$2;$E126}),1,0)</f>
        <v>#VALUE!</v>
      </c>
      <c r="BC126" s="436" t="str">
        <f t="array" ref="BC126">IF(AF126=DGET(claves!$A$2:$AS423,AF$2,{claves!$A$2;$E126}),1,0)</f>
        <v>#VALUE!</v>
      </c>
      <c r="BD126" s="437" t="str">
        <f t="shared" si="1"/>
        <v>#VALUE!</v>
      </c>
      <c r="BE126" s="435"/>
      <c r="BF126" s="415"/>
    </row>
    <row r="127" ht="14.25" customHeight="1">
      <c r="A127" s="408">
        <v>125.0</v>
      </c>
      <c r="B127" s="153" t="s">
        <v>1653</v>
      </c>
      <c r="C127" s="153">
        <v>2024.0</v>
      </c>
      <c r="D127" s="77" t="s">
        <v>1817</v>
      </c>
      <c r="E127" s="409" t="s">
        <v>1821</v>
      </c>
      <c r="F127" s="77" t="s">
        <v>1819</v>
      </c>
      <c r="G127" s="432" t="s">
        <v>22</v>
      </c>
      <c r="H127" s="433" t="s">
        <v>1806</v>
      </c>
      <c r="I127" s="433" t="s">
        <v>1684</v>
      </c>
      <c r="J127" s="433" t="s">
        <v>1807</v>
      </c>
      <c r="K127" s="432" t="s">
        <v>1665</v>
      </c>
      <c r="L127" s="415"/>
      <c r="M127" s="434" t="s">
        <v>1661</v>
      </c>
      <c r="N127" s="434" t="s">
        <v>1661</v>
      </c>
      <c r="O127" s="434" t="s">
        <v>1661</v>
      </c>
      <c r="P127" s="434" t="s">
        <v>1659</v>
      </c>
      <c r="Q127" s="434" t="s">
        <v>1660</v>
      </c>
      <c r="R127" s="434" t="s">
        <v>1689</v>
      </c>
      <c r="S127" s="434" t="s">
        <v>1661</v>
      </c>
      <c r="T127" s="434" t="s">
        <v>1661</v>
      </c>
      <c r="U127" s="434" t="s">
        <v>1689</v>
      </c>
      <c r="V127" s="434" t="s">
        <v>1661</v>
      </c>
      <c r="W127" s="434" t="s">
        <v>1689</v>
      </c>
      <c r="X127" s="434" t="s">
        <v>1689</v>
      </c>
      <c r="Y127" s="434" t="s">
        <v>1689</v>
      </c>
      <c r="Z127" s="434" t="s">
        <v>1661</v>
      </c>
      <c r="AA127" s="434" t="s">
        <v>1660</v>
      </c>
      <c r="AB127" s="434" t="s">
        <v>1661</v>
      </c>
      <c r="AC127" s="434" t="s">
        <v>1659</v>
      </c>
      <c r="AD127" s="434" t="s">
        <v>1660</v>
      </c>
      <c r="AE127" s="434" t="s">
        <v>1661</v>
      </c>
      <c r="AF127" s="434" t="s">
        <v>1689</v>
      </c>
      <c r="AG127" s="427">
        <v>16.0</v>
      </c>
      <c r="AH127" s="435" t="s">
        <v>24</v>
      </c>
      <c r="AI127" s="415"/>
      <c r="AJ127" s="436" t="str">
        <f t="array" ref="AJ127">IF(M127=DGET(claves!$A$2:$AS423,M$2,{claves!$A$2;$E127}),1,0)</f>
        <v>#VALUE!</v>
      </c>
      <c r="AK127" s="436" t="str">
        <f t="array" ref="AK127">IF(N127=DGET(claves!$A$2:$AS423,N$2,{claves!$A$2;$E127}),1,0)</f>
        <v>#VALUE!</v>
      </c>
      <c r="AL127" s="436" t="str">
        <f t="array" ref="AL127">IF(O127=DGET(claves!$A$2:$AS423,O$2,{claves!$A$2;$E127}),1,0)</f>
        <v>#VALUE!</v>
      </c>
      <c r="AM127" s="436" t="str">
        <f t="array" ref="AM127">IF(P127=DGET(claves!$A$2:$AS423,P$2,{claves!$A$2;$E127}),1,0)</f>
        <v>#VALUE!</v>
      </c>
      <c r="AN127" s="436" t="str">
        <f t="array" ref="AN127">IF(Q127=DGET(claves!$A$2:$AS423,Q$2,{claves!$A$2;$E127}),1,0)</f>
        <v>#VALUE!</v>
      </c>
      <c r="AO127" s="436" t="str">
        <f t="array" ref="AO127">IF(R127=DGET(claves!$A$2:$AS423,R$2,{claves!$A$2;$E127}),1,0)</f>
        <v>#VALUE!</v>
      </c>
      <c r="AP127" s="436" t="str">
        <f t="array" ref="AP127">IF(S127=DGET(claves!$A$2:$AS423,S$2,{claves!$A$2;$E127}),1,0)</f>
        <v>#VALUE!</v>
      </c>
      <c r="AQ127" s="436" t="str">
        <f t="array" ref="AQ127">IF(T127=DGET(claves!$A$2:$AS423,T$2,{claves!$A$2;$E127}),1,0)</f>
        <v>#VALUE!</v>
      </c>
      <c r="AR127" s="436" t="str">
        <f t="array" ref="AR127">IF(U127=DGET(claves!$A$2:$AS423,U$2,{claves!$A$2;$E127}),1,0)</f>
        <v>#VALUE!</v>
      </c>
      <c r="AS127" s="436" t="str">
        <f t="array" ref="AS127">IF(V127=DGET(claves!$A$2:$AS423,V$2,{claves!$A$2;$E127}),1,0)</f>
        <v>#VALUE!</v>
      </c>
      <c r="AT127" s="436" t="str">
        <f t="array" ref="AT127">IF(W127=DGET(claves!$A$2:$AS423,W$2,{claves!$A$2;$E127}),1,0)</f>
        <v>#VALUE!</v>
      </c>
      <c r="AU127" s="436" t="str">
        <f t="array" ref="AU127">IF(X127=DGET(claves!$A$2:$AS423,X$2,{claves!$A$2;$E127}),1,0)</f>
        <v>#VALUE!</v>
      </c>
      <c r="AV127" s="436" t="str">
        <f t="array" ref="AV127">IF(Y127=DGET(claves!$A$2:$AS423,Y$2,{claves!$A$2;$E127}),1,0)</f>
        <v>#VALUE!</v>
      </c>
      <c r="AW127" s="436" t="str">
        <f t="array" ref="AW127">IF(Z127=DGET(claves!$A$2:$AS423,Z$2,{claves!$A$2;$E127}),1,0)</f>
        <v>#VALUE!</v>
      </c>
      <c r="AX127" s="436" t="str">
        <f t="array" ref="AX127">IF(AA127=DGET(claves!$A$2:$AS423,AA$2,{claves!$A$2;$E127}),1,0)</f>
        <v>#VALUE!</v>
      </c>
      <c r="AY127" s="436" t="str">
        <f t="array" ref="AY127">IF(AB127=DGET(claves!$A$2:$AS423,AB$2,{claves!$A$2;$E127}),1,0)</f>
        <v>#VALUE!</v>
      </c>
      <c r="AZ127" s="436" t="str">
        <f t="array" ref="AZ127">IF(AC127=DGET(claves!$A$2:$AS423,AC$2,{claves!$A$2;$E127}),1,0)</f>
        <v>#VALUE!</v>
      </c>
      <c r="BA127" s="436" t="str">
        <f t="array" ref="BA127">IF(AD127=DGET(claves!$A$2:$AS423,AD$2,{claves!$A$2;$E127}),1,0)</f>
        <v>#VALUE!</v>
      </c>
      <c r="BB127" s="436" t="str">
        <f t="array" ref="BB127">IF(AE127=DGET(claves!$A$2:$AS423,AE$2,{claves!$A$2;$E127}),1,0)</f>
        <v>#VALUE!</v>
      </c>
      <c r="BC127" s="436" t="str">
        <f t="array" ref="BC127">IF(AF127=DGET(claves!$A$2:$AS423,AF$2,{claves!$A$2;$E127}),1,0)</f>
        <v>#VALUE!</v>
      </c>
      <c r="BD127" s="437" t="str">
        <f t="shared" si="1"/>
        <v>#VALUE!</v>
      </c>
      <c r="BE127" s="435"/>
      <c r="BF127" s="415"/>
    </row>
    <row r="128" ht="14.25" customHeight="1">
      <c r="A128" s="408">
        <v>126.0</v>
      </c>
      <c r="B128" s="153" t="s">
        <v>1653</v>
      </c>
      <c r="C128" s="153">
        <v>2024.0</v>
      </c>
      <c r="D128" s="77" t="s">
        <v>1817</v>
      </c>
      <c r="E128" s="409" t="s">
        <v>1821</v>
      </c>
      <c r="F128" s="77" t="s">
        <v>1819</v>
      </c>
      <c r="G128" s="432" t="s">
        <v>22</v>
      </c>
      <c r="H128" s="433" t="s">
        <v>1808</v>
      </c>
      <c r="I128" s="433" t="s">
        <v>1766</v>
      </c>
      <c r="J128" s="433" t="s">
        <v>1809</v>
      </c>
      <c r="K128" s="433" t="s">
        <v>1658</v>
      </c>
      <c r="L128" s="415"/>
      <c r="M128" s="434" t="s">
        <v>1661</v>
      </c>
      <c r="N128" s="434" t="s">
        <v>1661</v>
      </c>
      <c r="O128" s="434" t="s">
        <v>1661</v>
      </c>
      <c r="P128" s="434" t="s">
        <v>1659</v>
      </c>
      <c r="Q128" s="434" t="s">
        <v>1660</v>
      </c>
      <c r="R128" s="434" t="s">
        <v>1689</v>
      </c>
      <c r="S128" s="434" t="s">
        <v>1689</v>
      </c>
      <c r="T128" s="434" t="s">
        <v>1661</v>
      </c>
      <c r="U128" s="434" t="s">
        <v>1689</v>
      </c>
      <c r="V128" s="434" t="s">
        <v>1661</v>
      </c>
      <c r="W128" s="434" t="s">
        <v>1689</v>
      </c>
      <c r="X128" s="434" t="s">
        <v>1689</v>
      </c>
      <c r="Y128" s="434" t="s">
        <v>1689</v>
      </c>
      <c r="Z128" s="434" t="s">
        <v>1661</v>
      </c>
      <c r="AA128" s="434" t="s">
        <v>1660</v>
      </c>
      <c r="AB128" s="434" t="s">
        <v>1689</v>
      </c>
      <c r="AC128" s="434" t="s">
        <v>1659</v>
      </c>
      <c r="AD128" s="434" t="s">
        <v>1660</v>
      </c>
      <c r="AE128" s="434" t="s">
        <v>1661</v>
      </c>
      <c r="AF128" s="434" t="s">
        <v>1689</v>
      </c>
      <c r="AG128" s="427">
        <v>16.0</v>
      </c>
      <c r="AH128" s="435" t="s">
        <v>24</v>
      </c>
      <c r="AI128" s="415"/>
      <c r="AJ128" s="436" t="str">
        <f t="array" ref="AJ128">IF(M128=DGET(claves!$A$2:$AS423,M$2,{claves!$A$2;$E128}),1,0)</f>
        <v>#VALUE!</v>
      </c>
      <c r="AK128" s="436" t="str">
        <f t="array" ref="AK128">IF(N128=DGET(claves!$A$2:$AS423,N$2,{claves!$A$2;$E128}),1,0)</f>
        <v>#VALUE!</v>
      </c>
      <c r="AL128" s="436" t="str">
        <f t="array" ref="AL128">IF(O128=DGET(claves!$A$2:$AS423,O$2,{claves!$A$2;$E128}),1,0)</f>
        <v>#VALUE!</v>
      </c>
      <c r="AM128" s="436" t="str">
        <f t="array" ref="AM128">IF(P128=DGET(claves!$A$2:$AS423,P$2,{claves!$A$2;$E128}),1,0)</f>
        <v>#VALUE!</v>
      </c>
      <c r="AN128" s="436" t="str">
        <f t="array" ref="AN128">IF(Q128=DGET(claves!$A$2:$AS423,Q$2,{claves!$A$2;$E128}),1,0)</f>
        <v>#VALUE!</v>
      </c>
      <c r="AO128" s="436" t="str">
        <f t="array" ref="AO128">IF(R128=DGET(claves!$A$2:$AS423,R$2,{claves!$A$2;$E128}),1,0)</f>
        <v>#VALUE!</v>
      </c>
      <c r="AP128" s="436" t="str">
        <f t="array" ref="AP128">IF(S128=DGET(claves!$A$2:$AS423,S$2,{claves!$A$2;$E128}),1,0)</f>
        <v>#VALUE!</v>
      </c>
      <c r="AQ128" s="436" t="str">
        <f t="array" ref="AQ128">IF(T128=DGET(claves!$A$2:$AS423,T$2,{claves!$A$2;$E128}),1,0)</f>
        <v>#VALUE!</v>
      </c>
      <c r="AR128" s="436" t="str">
        <f t="array" ref="AR128">IF(U128=DGET(claves!$A$2:$AS423,U$2,{claves!$A$2;$E128}),1,0)</f>
        <v>#VALUE!</v>
      </c>
      <c r="AS128" s="436" t="str">
        <f t="array" ref="AS128">IF(V128=DGET(claves!$A$2:$AS423,V$2,{claves!$A$2;$E128}),1,0)</f>
        <v>#VALUE!</v>
      </c>
      <c r="AT128" s="436" t="str">
        <f t="array" ref="AT128">IF(W128=DGET(claves!$A$2:$AS423,W$2,{claves!$A$2;$E128}),1,0)</f>
        <v>#VALUE!</v>
      </c>
      <c r="AU128" s="436" t="str">
        <f t="array" ref="AU128">IF(X128=DGET(claves!$A$2:$AS423,X$2,{claves!$A$2;$E128}),1,0)</f>
        <v>#VALUE!</v>
      </c>
      <c r="AV128" s="436" t="str">
        <f t="array" ref="AV128">IF(Y128=DGET(claves!$A$2:$AS423,Y$2,{claves!$A$2;$E128}),1,0)</f>
        <v>#VALUE!</v>
      </c>
      <c r="AW128" s="436" t="str">
        <f t="array" ref="AW128">IF(Z128=DGET(claves!$A$2:$AS423,Z$2,{claves!$A$2;$E128}),1,0)</f>
        <v>#VALUE!</v>
      </c>
      <c r="AX128" s="436" t="str">
        <f t="array" ref="AX128">IF(AA128=DGET(claves!$A$2:$AS423,AA$2,{claves!$A$2;$E128}),1,0)</f>
        <v>#VALUE!</v>
      </c>
      <c r="AY128" s="436" t="str">
        <f t="array" ref="AY128">IF(AB128=DGET(claves!$A$2:$AS423,AB$2,{claves!$A$2;$E128}),1,0)</f>
        <v>#VALUE!</v>
      </c>
      <c r="AZ128" s="436" t="str">
        <f t="array" ref="AZ128">IF(AC128=DGET(claves!$A$2:$AS423,AC$2,{claves!$A$2;$E128}),1,0)</f>
        <v>#VALUE!</v>
      </c>
      <c r="BA128" s="436" t="str">
        <f t="array" ref="BA128">IF(AD128=DGET(claves!$A$2:$AS423,AD$2,{claves!$A$2;$E128}),1,0)</f>
        <v>#VALUE!</v>
      </c>
      <c r="BB128" s="436" t="str">
        <f t="array" ref="BB128">IF(AE128=DGET(claves!$A$2:$AS423,AE$2,{claves!$A$2;$E128}),1,0)</f>
        <v>#VALUE!</v>
      </c>
      <c r="BC128" s="436" t="str">
        <f t="array" ref="BC128">IF(AF128=DGET(claves!$A$2:$AS423,AF$2,{claves!$A$2;$E128}),1,0)</f>
        <v>#VALUE!</v>
      </c>
      <c r="BD128" s="437" t="str">
        <f t="shared" si="1"/>
        <v>#VALUE!</v>
      </c>
      <c r="BE128" s="435"/>
      <c r="BF128" s="415"/>
    </row>
    <row r="129" ht="14.25" customHeight="1">
      <c r="A129" s="408">
        <v>127.0</v>
      </c>
      <c r="B129" s="153" t="s">
        <v>1653</v>
      </c>
      <c r="C129" s="153">
        <v>2024.0</v>
      </c>
      <c r="D129" s="77" t="s">
        <v>1817</v>
      </c>
      <c r="E129" s="409" t="s">
        <v>1821</v>
      </c>
      <c r="F129" s="77" t="s">
        <v>1819</v>
      </c>
      <c r="G129" s="432" t="s">
        <v>22</v>
      </c>
      <c r="H129" s="433" t="s">
        <v>1810</v>
      </c>
      <c r="I129" s="433" t="s">
        <v>1811</v>
      </c>
      <c r="J129" s="433" t="s">
        <v>1812</v>
      </c>
      <c r="K129" s="432" t="s">
        <v>1665</v>
      </c>
      <c r="L129" s="415"/>
      <c r="M129" s="434" t="s">
        <v>1661</v>
      </c>
      <c r="N129" s="434" t="s">
        <v>1661</v>
      </c>
      <c r="O129" s="434" t="s">
        <v>1661</v>
      </c>
      <c r="P129" s="434" t="s">
        <v>1659</v>
      </c>
      <c r="Q129" s="434" t="s">
        <v>1689</v>
      </c>
      <c r="R129" s="434" t="s">
        <v>1689</v>
      </c>
      <c r="S129" s="434" t="s">
        <v>1661</v>
      </c>
      <c r="T129" s="434" t="s">
        <v>1661</v>
      </c>
      <c r="U129" s="434" t="s">
        <v>1689</v>
      </c>
      <c r="V129" s="434" t="s">
        <v>1659</v>
      </c>
      <c r="W129" s="434" t="s">
        <v>1689</v>
      </c>
      <c r="X129" s="434" t="s">
        <v>1659</v>
      </c>
      <c r="Y129" s="434" t="s">
        <v>1689</v>
      </c>
      <c r="Z129" s="434" t="s">
        <v>1661</v>
      </c>
      <c r="AA129" s="434" t="s">
        <v>1660</v>
      </c>
      <c r="AB129" s="434" t="s">
        <v>1689</v>
      </c>
      <c r="AC129" s="434" t="s">
        <v>1659</v>
      </c>
      <c r="AD129" s="434" t="s">
        <v>1660</v>
      </c>
      <c r="AE129" s="434" t="s">
        <v>1661</v>
      </c>
      <c r="AF129" s="434" t="s">
        <v>1689</v>
      </c>
      <c r="AG129" s="427">
        <v>18.0</v>
      </c>
      <c r="AH129" s="438" t="s">
        <v>32</v>
      </c>
      <c r="AI129" s="415"/>
      <c r="AJ129" s="436" t="str">
        <f t="array" ref="AJ129">IF(M129=DGET(claves!$A$2:$AS423,M$2,{claves!$A$2;$E129}),1,0)</f>
        <v>#VALUE!</v>
      </c>
      <c r="AK129" s="436" t="str">
        <f t="array" ref="AK129">IF(N129=DGET(claves!$A$2:$AS423,N$2,{claves!$A$2;$E129}),1,0)</f>
        <v>#VALUE!</v>
      </c>
      <c r="AL129" s="436" t="str">
        <f t="array" ref="AL129">IF(O129=DGET(claves!$A$2:$AS423,O$2,{claves!$A$2;$E129}),1,0)</f>
        <v>#VALUE!</v>
      </c>
      <c r="AM129" s="436" t="str">
        <f t="array" ref="AM129">IF(P129=DGET(claves!$A$2:$AS423,P$2,{claves!$A$2;$E129}),1,0)</f>
        <v>#VALUE!</v>
      </c>
      <c r="AN129" s="436" t="str">
        <f t="array" ref="AN129">IF(Q129=DGET(claves!$A$2:$AS423,Q$2,{claves!$A$2;$E129}),1,0)</f>
        <v>#VALUE!</v>
      </c>
      <c r="AO129" s="436" t="str">
        <f t="array" ref="AO129">IF(R129=DGET(claves!$A$2:$AS423,R$2,{claves!$A$2;$E129}),1,0)</f>
        <v>#VALUE!</v>
      </c>
      <c r="AP129" s="436" t="str">
        <f t="array" ref="AP129">IF(S129=DGET(claves!$A$2:$AS423,S$2,{claves!$A$2;$E129}),1,0)</f>
        <v>#VALUE!</v>
      </c>
      <c r="AQ129" s="436" t="str">
        <f t="array" ref="AQ129">IF(T129=DGET(claves!$A$2:$AS423,T$2,{claves!$A$2;$E129}),1,0)</f>
        <v>#VALUE!</v>
      </c>
      <c r="AR129" s="436" t="str">
        <f t="array" ref="AR129">IF(U129=DGET(claves!$A$2:$AS423,U$2,{claves!$A$2;$E129}),1,0)</f>
        <v>#VALUE!</v>
      </c>
      <c r="AS129" s="436" t="str">
        <f t="array" ref="AS129">IF(V129=DGET(claves!$A$2:$AS423,V$2,{claves!$A$2;$E129}),1,0)</f>
        <v>#VALUE!</v>
      </c>
      <c r="AT129" s="436" t="str">
        <f t="array" ref="AT129">IF(W129=DGET(claves!$A$2:$AS423,W$2,{claves!$A$2;$E129}),1,0)</f>
        <v>#VALUE!</v>
      </c>
      <c r="AU129" s="436" t="str">
        <f t="array" ref="AU129">IF(X129=DGET(claves!$A$2:$AS423,X$2,{claves!$A$2;$E129}),1,0)</f>
        <v>#VALUE!</v>
      </c>
      <c r="AV129" s="436" t="str">
        <f t="array" ref="AV129">IF(Y129=DGET(claves!$A$2:$AS423,Y$2,{claves!$A$2;$E129}),1,0)</f>
        <v>#VALUE!</v>
      </c>
      <c r="AW129" s="436" t="str">
        <f t="array" ref="AW129">IF(Z129=DGET(claves!$A$2:$AS423,Z$2,{claves!$A$2;$E129}),1,0)</f>
        <v>#VALUE!</v>
      </c>
      <c r="AX129" s="436" t="str">
        <f t="array" ref="AX129">IF(AA129=DGET(claves!$A$2:$AS423,AA$2,{claves!$A$2;$E129}),1,0)</f>
        <v>#VALUE!</v>
      </c>
      <c r="AY129" s="436" t="str">
        <f t="array" ref="AY129">IF(AB129=DGET(claves!$A$2:$AS423,AB$2,{claves!$A$2;$E129}),1,0)</f>
        <v>#VALUE!</v>
      </c>
      <c r="AZ129" s="436" t="str">
        <f t="array" ref="AZ129">IF(AC129=DGET(claves!$A$2:$AS423,AC$2,{claves!$A$2;$E129}),1,0)</f>
        <v>#VALUE!</v>
      </c>
      <c r="BA129" s="436" t="str">
        <f t="array" ref="BA129">IF(AD129=DGET(claves!$A$2:$AS423,AD$2,{claves!$A$2;$E129}),1,0)</f>
        <v>#VALUE!</v>
      </c>
      <c r="BB129" s="436" t="str">
        <f t="array" ref="BB129">IF(AE129=DGET(claves!$A$2:$AS423,AE$2,{claves!$A$2;$E129}),1,0)</f>
        <v>#VALUE!</v>
      </c>
      <c r="BC129" s="436" t="str">
        <f t="array" ref="BC129">IF(AF129=DGET(claves!$A$2:$AS423,AF$2,{claves!$A$2;$E129}),1,0)</f>
        <v>#VALUE!</v>
      </c>
      <c r="BD129" s="437" t="str">
        <f t="shared" si="1"/>
        <v>#VALUE!</v>
      </c>
      <c r="BE129" s="435"/>
      <c r="BF129" s="415"/>
    </row>
    <row r="130" ht="14.25" customHeight="1">
      <c r="A130" s="408">
        <v>128.0</v>
      </c>
      <c r="B130" s="153" t="s">
        <v>1653</v>
      </c>
      <c r="C130" s="153">
        <v>2024.0</v>
      </c>
      <c r="D130" s="77" t="s">
        <v>1817</v>
      </c>
      <c r="E130" s="409" t="s">
        <v>1821</v>
      </c>
      <c r="F130" s="77" t="s">
        <v>1819</v>
      </c>
      <c r="G130" s="432" t="s">
        <v>22</v>
      </c>
      <c r="H130" s="433" t="s">
        <v>1684</v>
      </c>
      <c r="I130" s="433" t="s">
        <v>1744</v>
      </c>
      <c r="J130" s="433" t="s">
        <v>1813</v>
      </c>
      <c r="K130" s="432" t="s">
        <v>1665</v>
      </c>
      <c r="L130" s="415"/>
      <c r="M130" s="434" t="s">
        <v>1661</v>
      </c>
      <c r="N130" s="434" t="s">
        <v>1661</v>
      </c>
      <c r="O130" s="434" t="s">
        <v>1689</v>
      </c>
      <c r="P130" s="434" t="s">
        <v>1659</v>
      </c>
      <c r="Q130" s="434" t="s">
        <v>1689</v>
      </c>
      <c r="R130" s="434" t="s">
        <v>1689</v>
      </c>
      <c r="S130" s="434" t="s">
        <v>1661</v>
      </c>
      <c r="T130" s="434" t="s">
        <v>1661</v>
      </c>
      <c r="U130" s="434" t="s">
        <v>1689</v>
      </c>
      <c r="V130" s="434" t="s">
        <v>1659</v>
      </c>
      <c r="W130" s="434" t="s">
        <v>1689</v>
      </c>
      <c r="X130" s="434" t="s">
        <v>1689</v>
      </c>
      <c r="Y130" s="434" t="s">
        <v>1689</v>
      </c>
      <c r="Z130" s="434" t="s">
        <v>1661</v>
      </c>
      <c r="AA130" s="434" t="s">
        <v>1660</v>
      </c>
      <c r="AB130" s="434" t="s">
        <v>1689</v>
      </c>
      <c r="AC130" s="434" t="s">
        <v>1659</v>
      </c>
      <c r="AD130" s="434" t="s">
        <v>1660</v>
      </c>
      <c r="AE130" s="434" t="s">
        <v>1661</v>
      </c>
      <c r="AF130" s="434" t="s">
        <v>1689</v>
      </c>
      <c r="AG130" s="427">
        <v>20.0</v>
      </c>
      <c r="AH130" s="438" t="s">
        <v>32</v>
      </c>
      <c r="AI130" s="415"/>
      <c r="AJ130" s="436" t="str">
        <f t="array" ref="AJ130">IF(M130=DGET(claves!$A$2:$AS423,M$2,{claves!$A$2;$E130}),1,0)</f>
        <v>#VALUE!</v>
      </c>
      <c r="AK130" s="436" t="str">
        <f t="array" ref="AK130">IF(N130=DGET(claves!$A$2:$AS423,N$2,{claves!$A$2;$E130}),1,0)</f>
        <v>#VALUE!</v>
      </c>
      <c r="AL130" s="436" t="str">
        <f t="array" ref="AL130">IF(O130=DGET(claves!$A$2:$AS423,O$2,{claves!$A$2;$E130}),1,0)</f>
        <v>#VALUE!</v>
      </c>
      <c r="AM130" s="436" t="str">
        <f t="array" ref="AM130">IF(P130=DGET(claves!$A$2:$AS423,P$2,{claves!$A$2;$E130}),1,0)</f>
        <v>#VALUE!</v>
      </c>
      <c r="AN130" s="436" t="str">
        <f t="array" ref="AN130">IF(Q130=DGET(claves!$A$2:$AS423,Q$2,{claves!$A$2;$E130}),1,0)</f>
        <v>#VALUE!</v>
      </c>
      <c r="AO130" s="436" t="str">
        <f t="array" ref="AO130">IF(R130=DGET(claves!$A$2:$AS423,R$2,{claves!$A$2;$E130}),1,0)</f>
        <v>#VALUE!</v>
      </c>
      <c r="AP130" s="436" t="str">
        <f t="array" ref="AP130">IF(S130=DGET(claves!$A$2:$AS423,S$2,{claves!$A$2;$E130}),1,0)</f>
        <v>#VALUE!</v>
      </c>
      <c r="AQ130" s="436" t="str">
        <f t="array" ref="AQ130">IF(T130=DGET(claves!$A$2:$AS423,T$2,{claves!$A$2;$E130}),1,0)</f>
        <v>#VALUE!</v>
      </c>
      <c r="AR130" s="436" t="str">
        <f t="array" ref="AR130">IF(U130=DGET(claves!$A$2:$AS423,U$2,{claves!$A$2;$E130}),1,0)</f>
        <v>#VALUE!</v>
      </c>
      <c r="AS130" s="436" t="str">
        <f t="array" ref="AS130">IF(V130=DGET(claves!$A$2:$AS423,V$2,{claves!$A$2;$E130}),1,0)</f>
        <v>#VALUE!</v>
      </c>
      <c r="AT130" s="436" t="str">
        <f t="array" ref="AT130">IF(W130=DGET(claves!$A$2:$AS423,W$2,{claves!$A$2;$E130}),1,0)</f>
        <v>#VALUE!</v>
      </c>
      <c r="AU130" s="436" t="str">
        <f t="array" ref="AU130">IF(X130=DGET(claves!$A$2:$AS423,X$2,{claves!$A$2;$E130}),1,0)</f>
        <v>#VALUE!</v>
      </c>
      <c r="AV130" s="436" t="str">
        <f t="array" ref="AV130">IF(Y130=DGET(claves!$A$2:$AS423,Y$2,{claves!$A$2;$E130}),1,0)</f>
        <v>#VALUE!</v>
      </c>
      <c r="AW130" s="436" t="str">
        <f t="array" ref="AW130">IF(Z130=DGET(claves!$A$2:$AS423,Z$2,{claves!$A$2;$E130}),1,0)</f>
        <v>#VALUE!</v>
      </c>
      <c r="AX130" s="436" t="str">
        <f t="array" ref="AX130">IF(AA130=DGET(claves!$A$2:$AS423,AA$2,{claves!$A$2;$E130}),1,0)</f>
        <v>#VALUE!</v>
      </c>
      <c r="AY130" s="436" t="str">
        <f t="array" ref="AY130">IF(AB130=DGET(claves!$A$2:$AS423,AB$2,{claves!$A$2;$E130}),1,0)</f>
        <v>#VALUE!</v>
      </c>
      <c r="AZ130" s="436" t="str">
        <f t="array" ref="AZ130">IF(AC130=DGET(claves!$A$2:$AS423,AC$2,{claves!$A$2;$E130}),1,0)</f>
        <v>#VALUE!</v>
      </c>
      <c r="BA130" s="436" t="str">
        <f t="array" ref="BA130">IF(AD130=DGET(claves!$A$2:$AS423,AD$2,{claves!$A$2;$E130}),1,0)</f>
        <v>#VALUE!</v>
      </c>
      <c r="BB130" s="436" t="str">
        <f t="array" ref="BB130">IF(AE130=DGET(claves!$A$2:$AS423,AE$2,{claves!$A$2;$E130}),1,0)</f>
        <v>#VALUE!</v>
      </c>
      <c r="BC130" s="436" t="str">
        <f t="array" ref="BC130">IF(AF130=DGET(claves!$A$2:$AS423,AF$2,{claves!$A$2;$E130}),1,0)</f>
        <v>#VALUE!</v>
      </c>
      <c r="BD130" s="437" t="str">
        <f t="shared" si="1"/>
        <v>#VALUE!</v>
      </c>
      <c r="BE130" s="435"/>
      <c r="BF130" s="415"/>
    </row>
    <row r="131" ht="14.25" customHeight="1">
      <c r="A131" s="408">
        <v>129.0</v>
      </c>
      <c r="B131" s="153" t="s">
        <v>1653</v>
      </c>
      <c r="C131" s="153">
        <v>2024.0</v>
      </c>
      <c r="D131" s="77" t="s">
        <v>1817</v>
      </c>
      <c r="E131" s="409" t="s">
        <v>1821</v>
      </c>
      <c r="F131" s="77" t="s">
        <v>1819</v>
      </c>
      <c r="G131" s="432" t="s">
        <v>22</v>
      </c>
      <c r="H131" s="433" t="s">
        <v>1684</v>
      </c>
      <c r="I131" s="433" t="s">
        <v>1769</v>
      </c>
      <c r="J131" s="433" t="s">
        <v>1814</v>
      </c>
      <c r="K131" s="433" t="s">
        <v>1658</v>
      </c>
      <c r="L131" s="415"/>
      <c r="M131" s="434" t="s">
        <v>1661</v>
      </c>
      <c r="N131" s="434" t="s">
        <v>1689</v>
      </c>
      <c r="O131" s="434" t="s">
        <v>1661</v>
      </c>
      <c r="P131" s="434" t="s">
        <v>1659</v>
      </c>
      <c r="Q131" s="434" t="s">
        <v>1660</v>
      </c>
      <c r="R131" s="434" t="s">
        <v>1689</v>
      </c>
      <c r="S131" s="434" t="s">
        <v>1659</v>
      </c>
      <c r="T131" s="434" t="s">
        <v>1661</v>
      </c>
      <c r="U131" s="434" t="s">
        <v>1661</v>
      </c>
      <c r="V131" s="434" t="s">
        <v>1661</v>
      </c>
      <c r="W131" s="434" t="s">
        <v>1689</v>
      </c>
      <c r="X131" s="434" t="s">
        <v>1689</v>
      </c>
      <c r="Y131" s="434" t="s">
        <v>1689</v>
      </c>
      <c r="Z131" s="434" t="s">
        <v>1689</v>
      </c>
      <c r="AA131" s="434" t="s">
        <v>1660</v>
      </c>
      <c r="AB131" s="434" t="s">
        <v>1689</v>
      </c>
      <c r="AC131" s="434" t="s">
        <v>1659</v>
      </c>
      <c r="AD131" s="434" t="s">
        <v>1660</v>
      </c>
      <c r="AE131" s="434" t="s">
        <v>1659</v>
      </c>
      <c r="AF131" s="434" t="s">
        <v>1660</v>
      </c>
      <c r="AG131" s="427">
        <v>11.0</v>
      </c>
      <c r="AH131" s="435" t="s">
        <v>24</v>
      </c>
      <c r="AI131" s="415"/>
      <c r="AJ131" s="436" t="str">
        <f t="array" ref="AJ131">IF(M131=DGET(claves!$A$2:$AS423,M$2,{claves!$A$2;$E131}),1,0)</f>
        <v>#VALUE!</v>
      </c>
      <c r="AK131" s="436" t="str">
        <f t="array" ref="AK131">IF(N131=DGET(claves!$A$2:$AS423,N$2,{claves!$A$2;$E131}),1,0)</f>
        <v>#VALUE!</v>
      </c>
      <c r="AL131" s="436" t="str">
        <f t="array" ref="AL131">IF(O131=DGET(claves!$A$2:$AS423,O$2,{claves!$A$2;$E131}),1,0)</f>
        <v>#VALUE!</v>
      </c>
      <c r="AM131" s="436" t="str">
        <f t="array" ref="AM131">IF(P131=DGET(claves!$A$2:$AS423,P$2,{claves!$A$2;$E131}),1,0)</f>
        <v>#VALUE!</v>
      </c>
      <c r="AN131" s="436" t="str">
        <f t="array" ref="AN131">IF(Q131=DGET(claves!$A$2:$AS423,Q$2,{claves!$A$2;$E131}),1,0)</f>
        <v>#VALUE!</v>
      </c>
      <c r="AO131" s="436" t="str">
        <f t="array" ref="AO131">IF(R131=DGET(claves!$A$2:$AS423,R$2,{claves!$A$2;$E131}),1,0)</f>
        <v>#VALUE!</v>
      </c>
      <c r="AP131" s="436" t="str">
        <f t="array" ref="AP131">IF(S131=DGET(claves!$A$2:$AS423,S$2,{claves!$A$2;$E131}),1,0)</f>
        <v>#VALUE!</v>
      </c>
      <c r="AQ131" s="436" t="str">
        <f t="array" ref="AQ131">IF(T131=DGET(claves!$A$2:$AS423,T$2,{claves!$A$2;$E131}),1,0)</f>
        <v>#VALUE!</v>
      </c>
      <c r="AR131" s="436" t="str">
        <f t="array" ref="AR131">IF(U131=DGET(claves!$A$2:$AS423,U$2,{claves!$A$2;$E131}),1,0)</f>
        <v>#VALUE!</v>
      </c>
      <c r="AS131" s="436" t="str">
        <f t="array" ref="AS131">IF(V131=DGET(claves!$A$2:$AS423,V$2,{claves!$A$2;$E131}),1,0)</f>
        <v>#VALUE!</v>
      </c>
      <c r="AT131" s="436" t="str">
        <f t="array" ref="AT131">IF(W131=DGET(claves!$A$2:$AS423,W$2,{claves!$A$2;$E131}),1,0)</f>
        <v>#VALUE!</v>
      </c>
      <c r="AU131" s="436" t="str">
        <f t="array" ref="AU131">IF(X131=DGET(claves!$A$2:$AS423,X$2,{claves!$A$2;$E131}),1,0)</f>
        <v>#VALUE!</v>
      </c>
      <c r="AV131" s="436" t="str">
        <f t="array" ref="AV131">IF(Y131=DGET(claves!$A$2:$AS423,Y$2,{claves!$A$2;$E131}),1,0)</f>
        <v>#VALUE!</v>
      </c>
      <c r="AW131" s="436" t="str">
        <f t="array" ref="AW131">IF(Z131=DGET(claves!$A$2:$AS423,Z$2,{claves!$A$2;$E131}),1,0)</f>
        <v>#VALUE!</v>
      </c>
      <c r="AX131" s="436" t="str">
        <f t="array" ref="AX131">IF(AA131=DGET(claves!$A$2:$AS423,AA$2,{claves!$A$2;$E131}),1,0)</f>
        <v>#VALUE!</v>
      </c>
      <c r="AY131" s="436" t="str">
        <f t="array" ref="AY131">IF(AB131=DGET(claves!$A$2:$AS423,AB$2,{claves!$A$2;$E131}),1,0)</f>
        <v>#VALUE!</v>
      </c>
      <c r="AZ131" s="436" t="str">
        <f t="array" ref="AZ131">IF(AC131=DGET(claves!$A$2:$AS423,AC$2,{claves!$A$2;$E131}),1,0)</f>
        <v>#VALUE!</v>
      </c>
      <c r="BA131" s="436" t="str">
        <f t="array" ref="BA131">IF(AD131=DGET(claves!$A$2:$AS423,AD$2,{claves!$A$2;$E131}),1,0)</f>
        <v>#VALUE!</v>
      </c>
      <c r="BB131" s="436" t="str">
        <f t="array" ref="BB131">IF(AE131=DGET(claves!$A$2:$AS423,AE$2,{claves!$A$2;$E131}),1,0)</f>
        <v>#VALUE!</v>
      </c>
      <c r="BC131" s="436" t="str">
        <f t="array" ref="BC131">IF(AF131=DGET(claves!$A$2:$AS423,AF$2,{claves!$A$2;$E131}),1,0)</f>
        <v>#VALUE!</v>
      </c>
      <c r="BD131" s="437" t="str">
        <f t="shared" si="1"/>
        <v>#VALUE!</v>
      </c>
      <c r="BE131" s="435"/>
      <c r="BF131" s="415"/>
    </row>
    <row r="132" ht="14.25" customHeight="1">
      <c r="A132" s="408">
        <v>130.0</v>
      </c>
      <c r="B132" s="153" t="s">
        <v>1653</v>
      </c>
      <c r="C132" s="153">
        <v>2024.0</v>
      </c>
      <c r="D132" s="77" t="s">
        <v>1817</v>
      </c>
      <c r="E132" s="409" t="s">
        <v>1821</v>
      </c>
      <c r="F132" s="77" t="s">
        <v>1819</v>
      </c>
      <c r="G132" s="432" t="s">
        <v>22</v>
      </c>
      <c r="H132" s="433" t="s">
        <v>1815</v>
      </c>
      <c r="I132" s="433" t="s">
        <v>1684</v>
      </c>
      <c r="J132" s="433" t="s">
        <v>1816</v>
      </c>
      <c r="K132" s="432" t="s">
        <v>1665</v>
      </c>
      <c r="L132" s="415"/>
      <c r="M132" s="434" t="s">
        <v>1661</v>
      </c>
      <c r="N132" s="434" t="s">
        <v>1661</v>
      </c>
      <c r="O132" s="434" t="s">
        <v>1689</v>
      </c>
      <c r="P132" s="434" t="s">
        <v>1659</v>
      </c>
      <c r="Q132" s="434" t="s">
        <v>1689</v>
      </c>
      <c r="R132" s="434" t="s">
        <v>1689</v>
      </c>
      <c r="S132" s="434" t="s">
        <v>1661</v>
      </c>
      <c r="T132" s="434" t="s">
        <v>1661</v>
      </c>
      <c r="U132" s="434" t="s">
        <v>1689</v>
      </c>
      <c r="V132" s="434" t="s">
        <v>1659</v>
      </c>
      <c r="W132" s="434" t="s">
        <v>1689</v>
      </c>
      <c r="X132" s="434" t="s">
        <v>1689</v>
      </c>
      <c r="Y132" s="434" t="s">
        <v>1689</v>
      </c>
      <c r="Z132" s="434" t="s">
        <v>1661</v>
      </c>
      <c r="AA132" s="434" t="s">
        <v>1660</v>
      </c>
      <c r="AB132" s="434" t="s">
        <v>1689</v>
      </c>
      <c r="AC132" s="434" t="s">
        <v>1659</v>
      </c>
      <c r="AD132" s="434" t="s">
        <v>1660</v>
      </c>
      <c r="AE132" s="434" t="s">
        <v>1661</v>
      </c>
      <c r="AF132" s="434" t="s">
        <v>1689</v>
      </c>
      <c r="AG132" s="427">
        <v>20.0</v>
      </c>
      <c r="AH132" s="438" t="s">
        <v>32</v>
      </c>
      <c r="AI132" s="415"/>
      <c r="AJ132" s="436" t="str">
        <f t="array" ref="AJ132">IF(M132=DGET(claves!$A$2:$AS423,M$2,{claves!$A$2;$E132}),1,0)</f>
        <v>#VALUE!</v>
      </c>
      <c r="AK132" s="436" t="str">
        <f t="array" ref="AK132">IF(N132=DGET(claves!$A$2:$AS423,N$2,{claves!$A$2;$E132}),1,0)</f>
        <v>#VALUE!</v>
      </c>
      <c r="AL132" s="436" t="str">
        <f t="array" ref="AL132">IF(O132=DGET(claves!$A$2:$AS423,O$2,{claves!$A$2;$E132}),1,0)</f>
        <v>#VALUE!</v>
      </c>
      <c r="AM132" s="436" t="str">
        <f t="array" ref="AM132">IF(P132=DGET(claves!$A$2:$AS423,P$2,{claves!$A$2;$E132}),1,0)</f>
        <v>#VALUE!</v>
      </c>
      <c r="AN132" s="436" t="str">
        <f t="array" ref="AN132">IF(Q132=DGET(claves!$A$2:$AS423,Q$2,{claves!$A$2;$E132}),1,0)</f>
        <v>#VALUE!</v>
      </c>
      <c r="AO132" s="436" t="str">
        <f t="array" ref="AO132">IF(R132=DGET(claves!$A$2:$AS423,R$2,{claves!$A$2;$E132}),1,0)</f>
        <v>#VALUE!</v>
      </c>
      <c r="AP132" s="436" t="str">
        <f t="array" ref="AP132">IF(S132=DGET(claves!$A$2:$AS423,S$2,{claves!$A$2;$E132}),1,0)</f>
        <v>#VALUE!</v>
      </c>
      <c r="AQ132" s="436" t="str">
        <f t="array" ref="AQ132">IF(T132=DGET(claves!$A$2:$AS423,T$2,{claves!$A$2;$E132}),1,0)</f>
        <v>#VALUE!</v>
      </c>
      <c r="AR132" s="436" t="str">
        <f t="array" ref="AR132">IF(U132=DGET(claves!$A$2:$AS423,U$2,{claves!$A$2;$E132}),1,0)</f>
        <v>#VALUE!</v>
      </c>
      <c r="AS132" s="436" t="str">
        <f t="array" ref="AS132">IF(V132=DGET(claves!$A$2:$AS423,V$2,{claves!$A$2;$E132}),1,0)</f>
        <v>#VALUE!</v>
      </c>
      <c r="AT132" s="436" t="str">
        <f t="array" ref="AT132">IF(W132=DGET(claves!$A$2:$AS423,W$2,{claves!$A$2;$E132}),1,0)</f>
        <v>#VALUE!</v>
      </c>
      <c r="AU132" s="436" t="str">
        <f t="array" ref="AU132">IF(X132=DGET(claves!$A$2:$AS423,X$2,{claves!$A$2;$E132}),1,0)</f>
        <v>#VALUE!</v>
      </c>
      <c r="AV132" s="436" t="str">
        <f t="array" ref="AV132">IF(Y132=DGET(claves!$A$2:$AS423,Y$2,{claves!$A$2;$E132}),1,0)</f>
        <v>#VALUE!</v>
      </c>
      <c r="AW132" s="436" t="str">
        <f t="array" ref="AW132">IF(Z132=DGET(claves!$A$2:$AS423,Z$2,{claves!$A$2;$E132}),1,0)</f>
        <v>#VALUE!</v>
      </c>
      <c r="AX132" s="436" t="str">
        <f t="array" ref="AX132">IF(AA132=DGET(claves!$A$2:$AS423,AA$2,{claves!$A$2;$E132}),1,0)</f>
        <v>#VALUE!</v>
      </c>
      <c r="AY132" s="436" t="str">
        <f t="array" ref="AY132">IF(AB132=DGET(claves!$A$2:$AS423,AB$2,{claves!$A$2;$E132}),1,0)</f>
        <v>#VALUE!</v>
      </c>
      <c r="AZ132" s="436" t="str">
        <f t="array" ref="AZ132">IF(AC132=DGET(claves!$A$2:$AS423,AC$2,{claves!$A$2;$E132}),1,0)</f>
        <v>#VALUE!</v>
      </c>
      <c r="BA132" s="436" t="str">
        <f t="array" ref="BA132">IF(AD132=DGET(claves!$A$2:$AS423,AD$2,{claves!$A$2;$E132}),1,0)</f>
        <v>#VALUE!</v>
      </c>
      <c r="BB132" s="436" t="str">
        <f t="array" ref="BB132">IF(AE132=DGET(claves!$A$2:$AS423,AE$2,{claves!$A$2;$E132}),1,0)</f>
        <v>#VALUE!</v>
      </c>
      <c r="BC132" s="436" t="str">
        <f t="array" ref="BC132">IF(AF132=DGET(claves!$A$2:$AS423,AF$2,{claves!$A$2;$E132}),1,0)</f>
        <v>#VALUE!</v>
      </c>
      <c r="BD132" s="437" t="str">
        <f t="shared" si="1"/>
        <v>#VALUE!</v>
      </c>
      <c r="BE132" s="435"/>
      <c r="BF132" s="415"/>
    </row>
    <row r="133" ht="14.25" customHeight="1">
      <c r="A133" s="408">
        <v>131.0</v>
      </c>
      <c r="B133" s="153" t="s">
        <v>1822</v>
      </c>
      <c r="C133" s="153">
        <v>2024.0</v>
      </c>
      <c r="D133" s="77" t="s">
        <v>362</v>
      </c>
      <c r="E133" s="409" t="str">
        <f>IFERROR(__xludf.DUMMYFUNCTION("ARRAYFORMULA(JOIN("""", ARRAYFORMULA(MID(SPLIT(F133, "" ""), 1, 1))))
&amp;""/""&amp;G133"),"MQ/2 Primaria")</f>
        <v>MQ/2 Primaria</v>
      </c>
      <c r="F133" s="77" t="s">
        <v>1823</v>
      </c>
      <c r="G133" s="432" t="s">
        <v>15</v>
      </c>
      <c r="H133" s="433" t="s">
        <v>1684</v>
      </c>
      <c r="I133" s="433" t="s">
        <v>1767</v>
      </c>
      <c r="J133" s="433" t="s">
        <v>1824</v>
      </c>
      <c r="K133" s="433" t="s">
        <v>1658</v>
      </c>
      <c r="L133" s="415"/>
      <c r="M133" s="434" t="s">
        <v>1825</v>
      </c>
      <c r="N133" s="434" t="s">
        <v>1825</v>
      </c>
      <c r="O133" s="434" t="s">
        <v>1826</v>
      </c>
      <c r="P133" s="434" t="s">
        <v>1660</v>
      </c>
      <c r="Q133" s="434" t="s">
        <v>1826</v>
      </c>
      <c r="R133" s="434" t="s">
        <v>1826</v>
      </c>
      <c r="S133" s="434" t="s">
        <v>1825</v>
      </c>
      <c r="T133" s="434" t="s">
        <v>1660</v>
      </c>
      <c r="U133" s="434" t="s">
        <v>1826</v>
      </c>
      <c r="V133" s="434" t="s">
        <v>1825</v>
      </c>
      <c r="W133" s="434" t="s">
        <v>1826</v>
      </c>
      <c r="X133" s="434" t="s">
        <v>1826</v>
      </c>
      <c r="Y133" s="434" t="s">
        <v>1826</v>
      </c>
      <c r="Z133" s="434" t="s">
        <v>1825</v>
      </c>
      <c r="AA133" s="434" t="s">
        <v>1660</v>
      </c>
      <c r="AB133" s="434" t="s">
        <v>1825</v>
      </c>
      <c r="AC133" s="434" t="s">
        <v>1660</v>
      </c>
      <c r="AD133" s="434" t="s">
        <v>1825</v>
      </c>
      <c r="AE133" s="434" t="s">
        <v>1660</v>
      </c>
      <c r="AF133" s="434" t="s">
        <v>1825</v>
      </c>
      <c r="AG133" s="427">
        <v>10.0</v>
      </c>
      <c r="AH133" s="435" t="s">
        <v>18</v>
      </c>
      <c r="AI133" s="415"/>
      <c r="AJ133" s="436" t="str">
        <f t="array" ref="AJ133">IF(M133=DGET(claves!$A$2:$AS423,M$2,{claves!$A$2;$E133}),1,0)</f>
        <v>#VALUE!</v>
      </c>
      <c r="AK133" s="436" t="str">
        <f t="array" ref="AK133">IF(N133=DGET(claves!$A$2:$AS423,N$2,{claves!$A$2;$E133}),1,0)</f>
        <v>#VALUE!</v>
      </c>
      <c r="AL133" s="436" t="str">
        <f t="array" ref="AL133">IF(O133=DGET(claves!$A$2:$AS423,O$2,{claves!$A$2;$E133}),1,0)</f>
        <v>#VALUE!</v>
      </c>
      <c r="AM133" s="436" t="str">
        <f t="array" ref="AM133">IF(P133=DGET(claves!$A$2:$AS423,P$2,{claves!$A$2;$E133}),1,0)</f>
        <v>#VALUE!</v>
      </c>
      <c r="AN133" s="436" t="str">
        <f t="array" ref="AN133">IF(Q133=DGET(claves!$A$2:$AS423,Q$2,{claves!$A$2;$E133}),1,0)</f>
        <v>#VALUE!</v>
      </c>
      <c r="AO133" s="436" t="str">
        <f t="array" ref="AO133">IF(R133=DGET(claves!$A$2:$AS423,R$2,{claves!$A$2;$E133}),1,0)</f>
        <v>#VALUE!</v>
      </c>
      <c r="AP133" s="436" t="str">
        <f t="array" ref="AP133">IF(S133=DGET(claves!$A$2:$AS423,S$2,{claves!$A$2;$E133}),1,0)</f>
        <v>#VALUE!</v>
      </c>
      <c r="AQ133" s="436" t="str">
        <f t="array" ref="AQ133">IF(T133=DGET(claves!$A$2:$AS423,T$2,{claves!$A$2;$E133}),1,0)</f>
        <v>#VALUE!</v>
      </c>
      <c r="AR133" s="436" t="str">
        <f t="array" ref="AR133">IF(U133=DGET(claves!$A$2:$AS423,U$2,{claves!$A$2;$E133}),1,0)</f>
        <v>#VALUE!</v>
      </c>
      <c r="AS133" s="436" t="str">
        <f t="array" ref="AS133">IF(V133=DGET(claves!$A$2:$AS423,V$2,{claves!$A$2;$E133}),1,0)</f>
        <v>#VALUE!</v>
      </c>
      <c r="AT133" s="436" t="str">
        <f t="array" ref="AT133">IF(W133=DGET(claves!$A$2:$AS423,W$2,{claves!$A$2;$E133}),1,0)</f>
        <v>#VALUE!</v>
      </c>
      <c r="AU133" s="436" t="str">
        <f t="array" ref="AU133">IF(X133=DGET(claves!$A$2:$AS423,X$2,{claves!$A$2;$E133}),1,0)</f>
        <v>#VALUE!</v>
      </c>
      <c r="AV133" s="436" t="str">
        <f t="array" ref="AV133">IF(Y133=DGET(claves!$A$2:$AS423,Y$2,{claves!$A$2;$E133}),1,0)</f>
        <v>#VALUE!</v>
      </c>
      <c r="AW133" s="436" t="str">
        <f t="array" ref="AW133">IF(Z133=DGET(claves!$A$2:$AS423,Z$2,{claves!$A$2;$E133}),1,0)</f>
        <v>#VALUE!</v>
      </c>
      <c r="AX133" s="436" t="str">
        <f t="array" ref="AX133">IF(AA133=DGET(claves!$A$2:$AS423,AA$2,{claves!$A$2;$E133}),1,0)</f>
        <v>#VALUE!</v>
      </c>
      <c r="AY133" s="436" t="str">
        <f t="array" ref="AY133">IF(AB133=DGET(claves!$A$2:$AS423,AB$2,{claves!$A$2;$E133}),1,0)</f>
        <v>#VALUE!</v>
      </c>
      <c r="AZ133" s="436" t="str">
        <f t="array" ref="AZ133">IF(AC133=DGET(claves!$A$2:$AS423,AC$2,{claves!$A$2;$E133}),1,0)</f>
        <v>#VALUE!</v>
      </c>
      <c r="BA133" s="436" t="str">
        <f t="array" ref="BA133">IF(AD133=DGET(claves!$A$2:$AS423,AD$2,{claves!$A$2;$E133}),1,0)</f>
        <v>#VALUE!</v>
      </c>
      <c r="BB133" s="436" t="str">
        <f t="array" ref="BB133">IF(AE133=DGET(claves!$A$2:$AS423,AE$2,{claves!$A$2;$E133}),1,0)</f>
        <v>#VALUE!</v>
      </c>
      <c r="BC133" s="436" t="str">
        <f t="array" ref="BC133">IF(AF133=DGET(claves!$A$2:$AS423,AF$2,{claves!$A$2;$E133}),1,0)</f>
        <v>#VALUE!</v>
      </c>
      <c r="BD133" s="437" t="str">
        <f t="shared" si="1"/>
        <v>#VALUE!</v>
      </c>
      <c r="BE133" s="435"/>
      <c r="BF133" s="415"/>
    </row>
    <row r="134" ht="14.25" customHeight="1">
      <c r="A134" s="408">
        <v>132.0</v>
      </c>
      <c r="B134" s="153" t="s">
        <v>1822</v>
      </c>
      <c r="C134" s="153">
        <v>2024.0</v>
      </c>
      <c r="D134" s="77" t="s">
        <v>362</v>
      </c>
      <c r="E134" s="409" t="str">
        <f>IFERROR(__xludf.DUMMYFUNCTION("ARRAYFORMULA(JOIN("""", ARRAYFORMULA(MID(SPLIT(F134, "" ""), 1, 1))))
&amp;""/""&amp;G134"),"CLQ/2 Primaria")</f>
        <v>CLQ/2 Primaria</v>
      </c>
      <c r="F134" s="77" t="s">
        <v>1827</v>
      </c>
      <c r="G134" s="432" t="s">
        <v>15</v>
      </c>
      <c r="H134" s="433" t="s">
        <v>1684</v>
      </c>
      <c r="I134" s="433" t="s">
        <v>1767</v>
      </c>
      <c r="J134" s="433" t="s">
        <v>1824</v>
      </c>
      <c r="K134" s="433" t="s">
        <v>1658</v>
      </c>
      <c r="L134" s="415"/>
      <c r="M134" s="434" t="s">
        <v>1825</v>
      </c>
      <c r="N134" s="434" t="s">
        <v>1825</v>
      </c>
      <c r="O134" s="434" t="s">
        <v>1826</v>
      </c>
      <c r="P134" s="434" t="s">
        <v>1825</v>
      </c>
      <c r="Q134" s="434" t="s">
        <v>1660</v>
      </c>
      <c r="R134" s="434" t="s">
        <v>1825</v>
      </c>
      <c r="S134" s="434" t="s">
        <v>1826</v>
      </c>
      <c r="T134" s="434" t="s">
        <v>1826</v>
      </c>
      <c r="U134" s="434" t="s">
        <v>1660</v>
      </c>
      <c r="V134" s="434" t="s">
        <v>1825</v>
      </c>
      <c r="W134" s="434" t="s">
        <v>1825</v>
      </c>
      <c r="X134" s="434" t="s">
        <v>1825</v>
      </c>
      <c r="Y134" s="434" t="s">
        <v>1826</v>
      </c>
      <c r="Z134" s="434" t="s">
        <v>1825</v>
      </c>
      <c r="AA134" s="434" t="s">
        <v>1825</v>
      </c>
      <c r="AB134" s="434" t="s">
        <v>1826</v>
      </c>
      <c r="AC134" s="434" t="s">
        <v>1825</v>
      </c>
      <c r="AD134" s="434" t="s">
        <v>1825</v>
      </c>
      <c r="AE134" s="434" t="s">
        <v>1825</v>
      </c>
      <c r="AF134" s="434" t="s">
        <v>1826</v>
      </c>
      <c r="AG134" s="427">
        <v>7.0</v>
      </c>
      <c r="AH134" s="435" t="s">
        <v>18</v>
      </c>
      <c r="AI134" s="415"/>
      <c r="AJ134" s="436" t="str">
        <f t="array" ref="AJ134">IF(M134=DGET(claves!$A$2:$AS423,M$2,{claves!$A$2;$E134}),1,0)</f>
        <v>#VALUE!</v>
      </c>
      <c r="AK134" s="436" t="str">
        <f t="array" ref="AK134">IF(N134=DGET(claves!$A$2:$AS423,N$2,{claves!$A$2;$E134}),1,0)</f>
        <v>#VALUE!</v>
      </c>
      <c r="AL134" s="436" t="str">
        <f t="array" ref="AL134">IF(O134=DGET(claves!$A$2:$AS423,O$2,{claves!$A$2;$E134}),1,0)</f>
        <v>#VALUE!</v>
      </c>
      <c r="AM134" s="436" t="str">
        <f t="array" ref="AM134">IF(P134=DGET(claves!$A$2:$AS423,P$2,{claves!$A$2;$E134}),1,0)</f>
        <v>#VALUE!</v>
      </c>
      <c r="AN134" s="436" t="str">
        <f t="array" ref="AN134">IF(Q134=DGET(claves!$A$2:$AS423,Q$2,{claves!$A$2;$E134}),1,0)</f>
        <v>#VALUE!</v>
      </c>
      <c r="AO134" s="436" t="str">
        <f t="array" ref="AO134">IF(R134=DGET(claves!$A$2:$AS423,R$2,{claves!$A$2;$E134}),1,0)</f>
        <v>#VALUE!</v>
      </c>
      <c r="AP134" s="436" t="str">
        <f t="array" ref="AP134">IF(S134=DGET(claves!$A$2:$AS423,S$2,{claves!$A$2;$E134}),1,0)</f>
        <v>#VALUE!</v>
      </c>
      <c r="AQ134" s="436" t="str">
        <f t="array" ref="AQ134">IF(T134=DGET(claves!$A$2:$AS423,T$2,{claves!$A$2;$E134}),1,0)</f>
        <v>#VALUE!</v>
      </c>
      <c r="AR134" s="436" t="str">
        <f t="array" ref="AR134">IF(U134=DGET(claves!$A$2:$AS423,U$2,{claves!$A$2;$E134}),1,0)</f>
        <v>#VALUE!</v>
      </c>
      <c r="AS134" s="436" t="str">
        <f t="array" ref="AS134">IF(V134=DGET(claves!$A$2:$AS423,V$2,{claves!$A$2;$E134}),1,0)</f>
        <v>#VALUE!</v>
      </c>
      <c r="AT134" s="436" t="str">
        <f t="array" ref="AT134">IF(W134=DGET(claves!$A$2:$AS423,W$2,{claves!$A$2;$E134}),1,0)</f>
        <v>#VALUE!</v>
      </c>
      <c r="AU134" s="436" t="str">
        <f t="array" ref="AU134">IF(X134=DGET(claves!$A$2:$AS423,X$2,{claves!$A$2;$E134}),1,0)</f>
        <v>#VALUE!</v>
      </c>
      <c r="AV134" s="436" t="str">
        <f t="array" ref="AV134">IF(Y134=DGET(claves!$A$2:$AS423,Y$2,{claves!$A$2;$E134}),1,0)</f>
        <v>#VALUE!</v>
      </c>
      <c r="AW134" s="436" t="str">
        <f t="array" ref="AW134">IF(Z134=DGET(claves!$A$2:$AS423,Z$2,{claves!$A$2;$E134}),1,0)</f>
        <v>#VALUE!</v>
      </c>
      <c r="AX134" s="436" t="str">
        <f t="array" ref="AX134">IF(AA134=DGET(claves!$A$2:$AS423,AA$2,{claves!$A$2;$E134}),1,0)</f>
        <v>#VALUE!</v>
      </c>
      <c r="AY134" s="436" t="str">
        <f t="array" ref="AY134">IF(AB134=DGET(claves!$A$2:$AS423,AB$2,{claves!$A$2;$E134}),1,0)</f>
        <v>#VALUE!</v>
      </c>
      <c r="AZ134" s="436" t="str">
        <f t="array" ref="AZ134">IF(AC134=DGET(claves!$A$2:$AS423,AC$2,{claves!$A$2;$E134}),1,0)</f>
        <v>#VALUE!</v>
      </c>
      <c r="BA134" s="436" t="str">
        <f t="array" ref="BA134">IF(AD134=DGET(claves!$A$2:$AS423,AD$2,{claves!$A$2;$E134}),1,0)</f>
        <v>#VALUE!</v>
      </c>
      <c r="BB134" s="436" t="str">
        <f t="array" ref="BB134">IF(AE134=DGET(claves!$A$2:$AS423,AE$2,{claves!$A$2;$E134}),1,0)</f>
        <v>#VALUE!</v>
      </c>
      <c r="BC134" s="436" t="str">
        <f t="array" ref="BC134">IF(AF134=DGET(claves!$A$2:$AS423,AF$2,{claves!$A$2;$E134}),1,0)</f>
        <v>#VALUE!</v>
      </c>
      <c r="BD134" s="437" t="str">
        <f t="shared" si="1"/>
        <v>#VALUE!</v>
      </c>
      <c r="BE134" s="435"/>
      <c r="BF134" s="415"/>
    </row>
    <row r="135" ht="14.25" customHeight="1">
      <c r="A135" s="408">
        <v>133.0</v>
      </c>
      <c r="B135" s="153" t="s">
        <v>1822</v>
      </c>
      <c r="C135" s="153">
        <v>2024.0</v>
      </c>
      <c r="D135" s="77" t="s">
        <v>362</v>
      </c>
      <c r="E135" s="409" t="str">
        <f>IFERROR(__xludf.DUMMYFUNCTION("ARRAYFORMULA(JOIN("""", ARRAYFORMULA(MID(SPLIT(F135, "" ""), 1, 1))))
&amp;""/""&amp;G135"),"MC/4 Primaria")</f>
        <v>MC/4 Primaria</v>
      </c>
      <c r="F135" s="77" t="s">
        <v>1654</v>
      </c>
      <c r="G135" s="432" t="s">
        <v>20</v>
      </c>
      <c r="H135" s="433" t="s">
        <v>1703</v>
      </c>
      <c r="I135" s="433" t="s">
        <v>1744</v>
      </c>
      <c r="J135" s="433" t="s">
        <v>1828</v>
      </c>
      <c r="K135" s="433" t="s">
        <v>1658</v>
      </c>
      <c r="L135" s="415"/>
      <c r="M135" s="434" t="s">
        <v>1689</v>
      </c>
      <c r="N135" s="434" t="s">
        <v>1661</v>
      </c>
      <c r="O135" s="434" t="s">
        <v>1660</v>
      </c>
      <c r="P135" s="434" t="s">
        <v>1659</v>
      </c>
      <c r="Q135" s="434" t="s">
        <v>1661</v>
      </c>
      <c r="R135" s="434" t="s">
        <v>1660</v>
      </c>
      <c r="S135" s="434" t="s">
        <v>1660</v>
      </c>
      <c r="T135" s="434" t="s">
        <v>1689</v>
      </c>
      <c r="U135" s="434" t="s">
        <v>1660</v>
      </c>
      <c r="V135" s="434" t="s">
        <v>1660</v>
      </c>
      <c r="W135" s="434" t="s">
        <v>1659</v>
      </c>
      <c r="X135" s="434" t="s">
        <v>1660</v>
      </c>
      <c r="Y135" s="434" t="s">
        <v>1661</v>
      </c>
      <c r="Z135" s="434" t="s">
        <v>1659</v>
      </c>
      <c r="AA135" s="434" t="s">
        <v>1689</v>
      </c>
      <c r="AB135" s="434" t="s">
        <v>1659</v>
      </c>
      <c r="AC135" s="434" t="s">
        <v>1660</v>
      </c>
      <c r="AD135" s="434" t="s">
        <v>1689</v>
      </c>
      <c r="AE135" s="434" t="s">
        <v>1660</v>
      </c>
      <c r="AF135" s="434" t="s">
        <v>1660</v>
      </c>
      <c r="AG135" s="427">
        <v>8.0</v>
      </c>
      <c r="AH135" s="435" t="s">
        <v>18</v>
      </c>
      <c r="AI135" s="415"/>
      <c r="AJ135" s="436" t="str">
        <f t="array" ref="AJ135">IF(M135=DGET(claves!$A$2:$AS423,M$2,{claves!$A$2;$E135}),1,0)</f>
        <v>#VALUE!</v>
      </c>
      <c r="AK135" s="436" t="str">
        <f t="array" ref="AK135">IF(N135=DGET(claves!$A$2:$AS423,N$2,{claves!$A$2;$E135}),1,0)</f>
        <v>#VALUE!</v>
      </c>
      <c r="AL135" s="436" t="str">
        <f t="array" ref="AL135">IF(O135=DGET(claves!$A$2:$AS423,O$2,{claves!$A$2;$E135}),1,0)</f>
        <v>#VALUE!</v>
      </c>
      <c r="AM135" s="436" t="str">
        <f t="array" ref="AM135">IF(P135=DGET(claves!$A$2:$AS423,P$2,{claves!$A$2;$E135}),1,0)</f>
        <v>#VALUE!</v>
      </c>
      <c r="AN135" s="436" t="str">
        <f t="array" ref="AN135">IF(Q135=DGET(claves!$A$2:$AS423,Q$2,{claves!$A$2;$E135}),1,0)</f>
        <v>#VALUE!</v>
      </c>
      <c r="AO135" s="436" t="str">
        <f t="array" ref="AO135">IF(R135=DGET(claves!$A$2:$AS423,R$2,{claves!$A$2;$E135}),1,0)</f>
        <v>#VALUE!</v>
      </c>
      <c r="AP135" s="436" t="str">
        <f t="array" ref="AP135">IF(S135=DGET(claves!$A$2:$AS423,S$2,{claves!$A$2;$E135}),1,0)</f>
        <v>#VALUE!</v>
      </c>
      <c r="AQ135" s="436" t="str">
        <f t="array" ref="AQ135">IF(T135=DGET(claves!$A$2:$AS423,T$2,{claves!$A$2;$E135}),1,0)</f>
        <v>#VALUE!</v>
      </c>
      <c r="AR135" s="436" t="str">
        <f t="array" ref="AR135">IF(U135=DGET(claves!$A$2:$AS423,U$2,{claves!$A$2;$E135}),1,0)</f>
        <v>#VALUE!</v>
      </c>
      <c r="AS135" s="436" t="str">
        <f t="array" ref="AS135">IF(V135=DGET(claves!$A$2:$AS423,V$2,{claves!$A$2;$E135}),1,0)</f>
        <v>#VALUE!</v>
      </c>
      <c r="AT135" s="436" t="str">
        <f t="array" ref="AT135">IF(W135=DGET(claves!$A$2:$AS423,W$2,{claves!$A$2;$E135}),1,0)</f>
        <v>#VALUE!</v>
      </c>
      <c r="AU135" s="436" t="str">
        <f t="array" ref="AU135">IF(X135=DGET(claves!$A$2:$AS423,X$2,{claves!$A$2;$E135}),1,0)</f>
        <v>#VALUE!</v>
      </c>
      <c r="AV135" s="436" t="str">
        <f t="array" ref="AV135">IF(Y135=DGET(claves!$A$2:$AS423,Y$2,{claves!$A$2;$E135}),1,0)</f>
        <v>#VALUE!</v>
      </c>
      <c r="AW135" s="436" t="str">
        <f t="array" ref="AW135">IF(Z135=DGET(claves!$A$2:$AS423,Z$2,{claves!$A$2;$E135}),1,0)</f>
        <v>#VALUE!</v>
      </c>
      <c r="AX135" s="436" t="str">
        <f t="array" ref="AX135">IF(AA135=DGET(claves!$A$2:$AS423,AA$2,{claves!$A$2;$E135}),1,0)</f>
        <v>#VALUE!</v>
      </c>
      <c r="AY135" s="436" t="str">
        <f t="array" ref="AY135">IF(AB135=DGET(claves!$A$2:$AS423,AB$2,{claves!$A$2;$E135}),1,0)</f>
        <v>#VALUE!</v>
      </c>
      <c r="AZ135" s="436" t="str">
        <f t="array" ref="AZ135">IF(AC135=DGET(claves!$A$2:$AS423,AC$2,{claves!$A$2;$E135}),1,0)</f>
        <v>#VALUE!</v>
      </c>
      <c r="BA135" s="436" t="str">
        <f t="array" ref="BA135">IF(AD135=DGET(claves!$A$2:$AS423,AD$2,{claves!$A$2;$E135}),1,0)</f>
        <v>#VALUE!</v>
      </c>
      <c r="BB135" s="436" t="str">
        <f t="array" ref="BB135">IF(AE135=DGET(claves!$A$2:$AS423,AE$2,{claves!$A$2;$E135}),1,0)</f>
        <v>#VALUE!</v>
      </c>
      <c r="BC135" s="436" t="str">
        <f t="array" ref="BC135">IF(AF135=DGET(claves!$A$2:$AS423,AF$2,{claves!$A$2;$E135}),1,0)</f>
        <v>#VALUE!</v>
      </c>
      <c r="BD135" s="437" t="str">
        <f t="shared" si="1"/>
        <v>#VALUE!</v>
      </c>
      <c r="BE135" s="435" t="s">
        <v>1468</v>
      </c>
      <c r="BF135" s="415"/>
    </row>
    <row r="136" ht="14.25" customHeight="1">
      <c r="A136" s="408">
        <v>134.0</v>
      </c>
      <c r="B136" s="153" t="s">
        <v>1822</v>
      </c>
      <c r="C136" s="153">
        <v>2024.0</v>
      </c>
      <c r="D136" s="77" t="s">
        <v>1817</v>
      </c>
      <c r="E136" s="409" t="str">
        <f>IFERROR(__xludf.DUMMYFUNCTION("ARRAYFORMULA(JOIN("""", ARRAYFORMULA(MID(SPLIT(F136, "" ""), 1, 1))))
&amp;""/""&amp;G136"),"CLC/4 Primaria")</f>
        <v>CLC/4 Primaria</v>
      </c>
      <c r="F136" s="77" t="s">
        <v>1819</v>
      </c>
      <c r="G136" s="432" t="s">
        <v>20</v>
      </c>
      <c r="H136" s="433" t="s">
        <v>1703</v>
      </c>
      <c r="I136" s="433" t="s">
        <v>1744</v>
      </c>
      <c r="J136" s="433" t="s">
        <v>1828</v>
      </c>
      <c r="K136" s="433" t="s">
        <v>1658</v>
      </c>
      <c r="L136" s="415"/>
      <c r="M136" s="434" t="s">
        <v>1659</v>
      </c>
      <c r="N136" s="434" t="s">
        <v>1659</v>
      </c>
      <c r="O136" s="434" t="s">
        <v>1660</v>
      </c>
      <c r="P136" s="434" t="s">
        <v>1660</v>
      </c>
      <c r="Q136" s="434" t="s">
        <v>1661</v>
      </c>
      <c r="R136" s="434" t="s">
        <v>1660</v>
      </c>
      <c r="S136" s="434" t="s">
        <v>1659</v>
      </c>
      <c r="T136" s="434" t="s">
        <v>1689</v>
      </c>
      <c r="U136" s="434" t="s">
        <v>1659</v>
      </c>
      <c r="V136" s="434" t="s">
        <v>1659</v>
      </c>
      <c r="W136" s="434" t="s">
        <v>1661</v>
      </c>
      <c r="X136" s="434" t="s">
        <v>1661</v>
      </c>
      <c r="Y136" s="434" t="s">
        <v>1661</v>
      </c>
      <c r="Z136" s="434" t="s">
        <v>1660</v>
      </c>
      <c r="AA136" s="434" t="s">
        <v>1659</v>
      </c>
      <c r="AB136" s="434" t="s">
        <v>1661</v>
      </c>
      <c r="AC136" s="434" t="s">
        <v>1660</v>
      </c>
      <c r="AD136" s="434" t="s">
        <v>1659</v>
      </c>
      <c r="AE136" s="434" t="s">
        <v>1661</v>
      </c>
      <c r="AF136" s="434" t="s">
        <v>1661</v>
      </c>
      <c r="AG136" s="427">
        <v>11.0</v>
      </c>
      <c r="AH136" s="435" t="s">
        <v>24</v>
      </c>
      <c r="AI136" s="415"/>
      <c r="AJ136" s="436" t="str">
        <f t="array" ref="AJ136">IF(M136=DGET(claves!$A$2:$AS423,M$2,{claves!$A$2;$E136}),1,0)</f>
        <v>#VALUE!</v>
      </c>
      <c r="AK136" s="436" t="str">
        <f t="array" ref="AK136">IF(N136=DGET(claves!$A$2:$AS423,N$2,{claves!$A$2;$E136}),1,0)</f>
        <v>#VALUE!</v>
      </c>
      <c r="AL136" s="436" t="str">
        <f t="array" ref="AL136">IF(O136=DGET(claves!$A$2:$AS423,O$2,{claves!$A$2;$E136}),1,0)</f>
        <v>#VALUE!</v>
      </c>
      <c r="AM136" s="436" t="str">
        <f t="array" ref="AM136">IF(P136=DGET(claves!$A$2:$AS423,P$2,{claves!$A$2;$E136}),1,0)</f>
        <v>#VALUE!</v>
      </c>
      <c r="AN136" s="436" t="str">
        <f t="array" ref="AN136">IF(Q136=DGET(claves!$A$2:$AS423,Q$2,{claves!$A$2;$E136}),1,0)</f>
        <v>#VALUE!</v>
      </c>
      <c r="AO136" s="436" t="str">
        <f t="array" ref="AO136">IF(R136=DGET(claves!$A$2:$AS423,R$2,{claves!$A$2;$E136}),1,0)</f>
        <v>#VALUE!</v>
      </c>
      <c r="AP136" s="436" t="str">
        <f t="array" ref="AP136">IF(S136=DGET(claves!$A$2:$AS423,S$2,{claves!$A$2;$E136}),1,0)</f>
        <v>#VALUE!</v>
      </c>
      <c r="AQ136" s="436" t="str">
        <f t="array" ref="AQ136">IF(T136=DGET(claves!$A$2:$AS423,T$2,{claves!$A$2;$E136}),1,0)</f>
        <v>#VALUE!</v>
      </c>
      <c r="AR136" s="436" t="str">
        <f t="array" ref="AR136">IF(U136=DGET(claves!$A$2:$AS423,U$2,{claves!$A$2;$E136}),1,0)</f>
        <v>#VALUE!</v>
      </c>
      <c r="AS136" s="436" t="str">
        <f t="array" ref="AS136">IF(V136=DGET(claves!$A$2:$AS423,V$2,{claves!$A$2;$E136}),1,0)</f>
        <v>#VALUE!</v>
      </c>
      <c r="AT136" s="436" t="str">
        <f t="array" ref="AT136">IF(W136=DGET(claves!$A$2:$AS423,W$2,{claves!$A$2;$E136}),1,0)</f>
        <v>#VALUE!</v>
      </c>
      <c r="AU136" s="436" t="str">
        <f t="array" ref="AU136">IF(X136=DGET(claves!$A$2:$AS423,X$2,{claves!$A$2;$E136}),1,0)</f>
        <v>#VALUE!</v>
      </c>
      <c r="AV136" s="436" t="str">
        <f t="array" ref="AV136">IF(Y136=DGET(claves!$A$2:$AS423,Y$2,{claves!$A$2;$E136}),1,0)</f>
        <v>#VALUE!</v>
      </c>
      <c r="AW136" s="436" t="str">
        <f t="array" ref="AW136">IF(Z136=DGET(claves!$A$2:$AS423,Z$2,{claves!$A$2;$E136}),1,0)</f>
        <v>#VALUE!</v>
      </c>
      <c r="AX136" s="436" t="str">
        <f t="array" ref="AX136">IF(AA136=DGET(claves!$A$2:$AS423,AA$2,{claves!$A$2;$E136}),1,0)</f>
        <v>#VALUE!</v>
      </c>
      <c r="AY136" s="436" t="str">
        <f t="array" ref="AY136">IF(AB136=DGET(claves!$A$2:$AS423,AB$2,{claves!$A$2;$E136}),1,0)</f>
        <v>#VALUE!</v>
      </c>
      <c r="AZ136" s="436" t="str">
        <f t="array" ref="AZ136">IF(AC136=DGET(claves!$A$2:$AS423,AC$2,{claves!$A$2;$E136}),1,0)</f>
        <v>#VALUE!</v>
      </c>
      <c r="BA136" s="436" t="str">
        <f t="array" ref="BA136">IF(AD136=DGET(claves!$A$2:$AS423,AD$2,{claves!$A$2;$E136}),1,0)</f>
        <v>#VALUE!</v>
      </c>
      <c r="BB136" s="436" t="str">
        <f t="array" ref="BB136">IF(AE136=DGET(claves!$A$2:$AS423,AE$2,{claves!$A$2;$E136}),1,0)</f>
        <v>#VALUE!</v>
      </c>
      <c r="BC136" s="436" t="str">
        <f t="array" ref="BC136">IF(AF136=DGET(claves!$A$2:$AS423,AF$2,{claves!$A$2;$E136}),1,0)</f>
        <v>#VALUE!</v>
      </c>
      <c r="BD136" s="437" t="str">
        <f t="shared" si="1"/>
        <v>#VALUE!</v>
      </c>
      <c r="BE136" s="435"/>
      <c r="BF136" s="415"/>
    </row>
    <row r="137" ht="14.25" customHeight="1">
      <c r="A137" s="408">
        <v>135.0</v>
      </c>
      <c r="B137" s="153" t="s">
        <v>1822</v>
      </c>
      <c r="C137" s="153">
        <v>2024.0</v>
      </c>
      <c r="D137" s="77" t="s">
        <v>362</v>
      </c>
      <c r="E137" s="409" t="str">
        <f>IFERROR(__xludf.DUMMYFUNCTION("ARRAYFORMULA(JOIN("""", ARRAYFORMULA(MID(SPLIT(F137, "" ""), 1, 1))))
&amp;""/""&amp;G137"),"MQ/4 Primaria")</f>
        <v>MQ/4 Primaria</v>
      </c>
      <c r="F137" s="77" t="s">
        <v>1823</v>
      </c>
      <c r="G137" s="432" t="s">
        <v>20</v>
      </c>
      <c r="H137" s="433" t="s">
        <v>1782</v>
      </c>
      <c r="I137" s="433" t="s">
        <v>1829</v>
      </c>
      <c r="J137" s="433" t="s">
        <v>1830</v>
      </c>
      <c r="K137" s="433" t="s">
        <v>1658</v>
      </c>
      <c r="L137" s="415"/>
      <c r="M137" s="434" t="s">
        <v>1689</v>
      </c>
      <c r="N137" s="434" t="s">
        <v>1659</v>
      </c>
      <c r="O137" s="434" t="s">
        <v>1689</v>
      </c>
      <c r="P137" s="434" t="s">
        <v>1659</v>
      </c>
      <c r="Q137" s="434" t="s">
        <v>1661</v>
      </c>
      <c r="R137" s="434" t="s">
        <v>1660</v>
      </c>
      <c r="S137" s="434" t="s">
        <v>1659</v>
      </c>
      <c r="T137" s="434" t="s">
        <v>1661</v>
      </c>
      <c r="U137" s="434" t="s">
        <v>1659</v>
      </c>
      <c r="V137" s="434" t="s">
        <v>1689</v>
      </c>
      <c r="W137" s="434"/>
      <c r="X137" s="434"/>
      <c r="Y137" s="434" t="s">
        <v>1660</v>
      </c>
      <c r="Z137" s="434" t="s">
        <v>1659</v>
      </c>
      <c r="AA137" s="434" t="s">
        <v>1689</v>
      </c>
      <c r="AB137" s="434" t="s">
        <v>1659</v>
      </c>
      <c r="AC137" s="434" t="s">
        <v>1661</v>
      </c>
      <c r="AD137" s="434" t="s">
        <v>1659</v>
      </c>
      <c r="AE137" s="434" t="s">
        <v>1659</v>
      </c>
      <c r="AF137" s="434" t="s">
        <v>1689</v>
      </c>
      <c r="AG137" s="427">
        <v>10.0</v>
      </c>
      <c r="AH137" s="435" t="s">
        <v>18</v>
      </c>
      <c r="AI137" s="415"/>
      <c r="AJ137" s="436" t="str">
        <f t="array" ref="AJ137">IF(M137=DGET(claves!$A$2:$AS423,M$2,{claves!$A$2;$E137}),1,0)</f>
        <v>#VALUE!</v>
      </c>
      <c r="AK137" s="436" t="str">
        <f t="array" ref="AK137">IF(N137=DGET(claves!$A$2:$AS423,N$2,{claves!$A$2;$E137}),1,0)</f>
        <v>#VALUE!</v>
      </c>
      <c r="AL137" s="436" t="str">
        <f t="array" ref="AL137">IF(O137=DGET(claves!$A$2:$AS423,O$2,{claves!$A$2;$E137}),1,0)</f>
        <v>#VALUE!</v>
      </c>
      <c r="AM137" s="436" t="str">
        <f t="array" ref="AM137">IF(P137=DGET(claves!$A$2:$AS423,P$2,{claves!$A$2;$E137}),1,0)</f>
        <v>#VALUE!</v>
      </c>
      <c r="AN137" s="436" t="str">
        <f t="array" ref="AN137">IF(Q137=DGET(claves!$A$2:$AS423,Q$2,{claves!$A$2;$E137}),1,0)</f>
        <v>#VALUE!</v>
      </c>
      <c r="AO137" s="436" t="str">
        <f t="array" ref="AO137">IF(R137=DGET(claves!$A$2:$AS423,R$2,{claves!$A$2;$E137}),1,0)</f>
        <v>#VALUE!</v>
      </c>
      <c r="AP137" s="436" t="str">
        <f t="array" ref="AP137">IF(S137=DGET(claves!$A$2:$AS423,S$2,{claves!$A$2;$E137}),1,0)</f>
        <v>#VALUE!</v>
      </c>
      <c r="AQ137" s="436" t="str">
        <f t="array" ref="AQ137">IF(T137=DGET(claves!$A$2:$AS423,T$2,{claves!$A$2;$E137}),1,0)</f>
        <v>#VALUE!</v>
      </c>
      <c r="AR137" s="436" t="str">
        <f t="array" ref="AR137">IF(U137=DGET(claves!$A$2:$AS423,U$2,{claves!$A$2;$E137}),1,0)</f>
        <v>#VALUE!</v>
      </c>
      <c r="AS137" s="436" t="str">
        <f t="array" ref="AS137">IF(V137=DGET(claves!$A$2:$AS423,V$2,{claves!$A$2;$E137}),1,0)</f>
        <v>#VALUE!</v>
      </c>
      <c r="AT137" s="436" t="str">
        <f t="array" ref="AT137">IF(W137=DGET(claves!$A$2:$AS423,W$2,{claves!$A$2;$E137}),1,0)</f>
        <v>#VALUE!</v>
      </c>
      <c r="AU137" s="436" t="str">
        <f t="array" ref="AU137">IF(X137=DGET(claves!$A$2:$AS423,X$2,{claves!$A$2;$E137}),1,0)</f>
        <v>#VALUE!</v>
      </c>
      <c r="AV137" s="436" t="str">
        <f t="array" ref="AV137">IF(Y137=DGET(claves!$A$2:$AS423,Y$2,{claves!$A$2;$E137}),1,0)</f>
        <v>#VALUE!</v>
      </c>
      <c r="AW137" s="436" t="str">
        <f t="array" ref="AW137">IF(Z137=DGET(claves!$A$2:$AS423,Z$2,{claves!$A$2;$E137}),1,0)</f>
        <v>#VALUE!</v>
      </c>
      <c r="AX137" s="436" t="str">
        <f t="array" ref="AX137">IF(AA137=DGET(claves!$A$2:$AS423,AA$2,{claves!$A$2;$E137}),1,0)</f>
        <v>#VALUE!</v>
      </c>
      <c r="AY137" s="436" t="str">
        <f t="array" ref="AY137">IF(AB137=DGET(claves!$A$2:$AS423,AB$2,{claves!$A$2;$E137}),1,0)</f>
        <v>#VALUE!</v>
      </c>
      <c r="AZ137" s="436" t="str">
        <f t="array" ref="AZ137">IF(AC137=DGET(claves!$A$2:$AS423,AC$2,{claves!$A$2;$E137}),1,0)</f>
        <v>#VALUE!</v>
      </c>
      <c r="BA137" s="436" t="str">
        <f t="array" ref="BA137">IF(AD137=DGET(claves!$A$2:$AS423,AD$2,{claves!$A$2;$E137}),1,0)</f>
        <v>#VALUE!</v>
      </c>
      <c r="BB137" s="436" t="str">
        <f t="array" ref="BB137">IF(AE137=DGET(claves!$A$2:$AS423,AE$2,{claves!$A$2;$E137}),1,0)</f>
        <v>#VALUE!</v>
      </c>
      <c r="BC137" s="436" t="str">
        <f t="array" ref="BC137">IF(AF137=DGET(claves!$A$2:$AS423,AF$2,{claves!$A$2;$E137}),1,0)</f>
        <v>#VALUE!</v>
      </c>
      <c r="BD137" s="437" t="str">
        <f t="shared" si="1"/>
        <v>#VALUE!</v>
      </c>
      <c r="BE137" s="435"/>
      <c r="BF137" s="415"/>
    </row>
    <row r="138" ht="14.25" customHeight="1">
      <c r="A138" s="408">
        <v>136.0</v>
      </c>
      <c r="B138" s="153" t="s">
        <v>1822</v>
      </c>
      <c r="C138" s="153">
        <v>2024.0</v>
      </c>
      <c r="D138" s="77" t="s">
        <v>362</v>
      </c>
      <c r="E138" s="409" t="str">
        <f>IFERROR(__xludf.DUMMYFUNCTION("ARRAYFORMULA(JOIN("""", ARRAYFORMULA(MID(SPLIT(F138, "" ""), 1, 1))))
&amp;""/""&amp;G138"),"MQ/4 Primaria")</f>
        <v>MQ/4 Primaria</v>
      </c>
      <c r="F138" s="77" t="s">
        <v>1823</v>
      </c>
      <c r="G138" s="432" t="s">
        <v>20</v>
      </c>
      <c r="H138" s="433" t="s">
        <v>1719</v>
      </c>
      <c r="I138" s="433" t="s">
        <v>1831</v>
      </c>
      <c r="J138" s="433" t="s">
        <v>1832</v>
      </c>
      <c r="K138" s="432" t="s">
        <v>1665</v>
      </c>
      <c r="L138" s="415"/>
      <c r="M138" s="434" t="s">
        <v>1660</v>
      </c>
      <c r="N138" s="434" t="s">
        <v>1689</v>
      </c>
      <c r="O138" s="434" t="s">
        <v>1659</v>
      </c>
      <c r="P138" s="434"/>
      <c r="Q138" s="434" t="s">
        <v>1661</v>
      </c>
      <c r="R138" s="434" t="s">
        <v>1660</v>
      </c>
      <c r="S138" s="434"/>
      <c r="T138" s="434" t="s">
        <v>1689</v>
      </c>
      <c r="U138" s="434" t="s">
        <v>1660</v>
      </c>
      <c r="V138" s="434" t="s">
        <v>1660</v>
      </c>
      <c r="W138" s="434" t="s">
        <v>1661</v>
      </c>
      <c r="X138" s="434" t="s">
        <v>1661</v>
      </c>
      <c r="Y138" s="434" t="s">
        <v>1659</v>
      </c>
      <c r="Z138" s="434" t="s">
        <v>1659</v>
      </c>
      <c r="AA138" s="434" t="s">
        <v>1660</v>
      </c>
      <c r="AB138" s="434" t="s">
        <v>1659</v>
      </c>
      <c r="AC138" s="434" t="s">
        <v>1659</v>
      </c>
      <c r="AD138" s="434" t="s">
        <v>1659</v>
      </c>
      <c r="AE138" s="434" t="s">
        <v>1659</v>
      </c>
      <c r="AF138" s="434" t="s">
        <v>1659</v>
      </c>
      <c r="AG138" s="427">
        <v>8.0</v>
      </c>
      <c r="AH138" s="435" t="s">
        <v>18</v>
      </c>
      <c r="AI138" s="415"/>
      <c r="AJ138" s="436" t="str">
        <f t="array" ref="AJ138">IF(M138=DGET(claves!$A$2:$AS423,M$2,{claves!$A$2;$E138}),1,0)</f>
        <v>#VALUE!</v>
      </c>
      <c r="AK138" s="436" t="str">
        <f t="array" ref="AK138">IF(N138=DGET(claves!$A$2:$AS423,N$2,{claves!$A$2;$E138}),1,0)</f>
        <v>#VALUE!</v>
      </c>
      <c r="AL138" s="436" t="str">
        <f t="array" ref="AL138">IF(O138=DGET(claves!$A$2:$AS423,O$2,{claves!$A$2;$E138}),1,0)</f>
        <v>#VALUE!</v>
      </c>
      <c r="AM138" s="436" t="str">
        <f t="array" ref="AM138">IF(P138=DGET(claves!$A$2:$AS423,P$2,{claves!$A$2;$E138}),1,0)</f>
        <v>#VALUE!</v>
      </c>
      <c r="AN138" s="436" t="str">
        <f t="array" ref="AN138">IF(Q138=DGET(claves!$A$2:$AS423,Q$2,{claves!$A$2;$E138}),1,0)</f>
        <v>#VALUE!</v>
      </c>
      <c r="AO138" s="436" t="str">
        <f t="array" ref="AO138">IF(R138=DGET(claves!$A$2:$AS423,R$2,{claves!$A$2;$E138}),1,0)</f>
        <v>#VALUE!</v>
      </c>
      <c r="AP138" s="436" t="str">
        <f t="array" ref="AP138">IF(S138=DGET(claves!$A$2:$AS423,S$2,{claves!$A$2;$E138}),1,0)</f>
        <v>#VALUE!</v>
      </c>
      <c r="AQ138" s="436" t="str">
        <f t="array" ref="AQ138">IF(T138=DGET(claves!$A$2:$AS423,T$2,{claves!$A$2;$E138}),1,0)</f>
        <v>#VALUE!</v>
      </c>
      <c r="AR138" s="436" t="str">
        <f t="array" ref="AR138">IF(U138=DGET(claves!$A$2:$AS423,U$2,{claves!$A$2;$E138}),1,0)</f>
        <v>#VALUE!</v>
      </c>
      <c r="AS138" s="436" t="str">
        <f t="array" ref="AS138">IF(V138=DGET(claves!$A$2:$AS423,V$2,{claves!$A$2;$E138}),1,0)</f>
        <v>#VALUE!</v>
      </c>
      <c r="AT138" s="436" t="str">
        <f t="array" ref="AT138">IF(W138=DGET(claves!$A$2:$AS423,W$2,{claves!$A$2;$E138}),1,0)</f>
        <v>#VALUE!</v>
      </c>
      <c r="AU138" s="436" t="str">
        <f t="array" ref="AU138">IF(X138=DGET(claves!$A$2:$AS423,X$2,{claves!$A$2;$E138}),1,0)</f>
        <v>#VALUE!</v>
      </c>
      <c r="AV138" s="436" t="str">
        <f t="array" ref="AV138">IF(Y138=DGET(claves!$A$2:$AS423,Y$2,{claves!$A$2;$E138}),1,0)</f>
        <v>#VALUE!</v>
      </c>
      <c r="AW138" s="436" t="str">
        <f t="array" ref="AW138">IF(Z138=DGET(claves!$A$2:$AS423,Z$2,{claves!$A$2;$E138}),1,0)</f>
        <v>#VALUE!</v>
      </c>
      <c r="AX138" s="436" t="str">
        <f t="array" ref="AX138">IF(AA138=DGET(claves!$A$2:$AS423,AA$2,{claves!$A$2;$E138}),1,0)</f>
        <v>#VALUE!</v>
      </c>
      <c r="AY138" s="436" t="str">
        <f t="array" ref="AY138">IF(AB138=DGET(claves!$A$2:$AS423,AB$2,{claves!$A$2;$E138}),1,0)</f>
        <v>#VALUE!</v>
      </c>
      <c r="AZ138" s="436" t="str">
        <f t="array" ref="AZ138">IF(AC138=DGET(claves!$A$2:$AS423,AC$2,{claves!$A$2;$E138}),1,0)</f>
        <v>#VALUE!</v>
      </c>
      <c r="BA138" s="436" t="str">
        <f t="array" ref="BA138">IF(AD138=DGET(claves!$A$2:$AS423,AD$2,{claves!$A$2;$E138}),1,0)</f>
        <v>#VALUE!</v>
      </c>
      <c r="BB138" s="436" t="str">
        <f t="array" ref="BB138">IF(AE138=DGET(claves!$A$2:$AS423,AE$2,{claves!$A$2;$E138}),1,0)</f>
        <v>#VALUE!</v>
      </c>
      <c r="BC138" s="436" t="str">
        <f t="array" ref="BC138">IF(AF138=DGET(claves!$A$2:$AS423,AF$2,{claves!$A$2;$E138}),1,0)</f>
        <v>#VALUE!</v>
      </c>
      <c r="BD138" s="437" t="str">
        <f t="shared" si="1"/>
        <v>#VALUE!</v>
      </c>
      <c r="BE138" s="435"/>
      <c r="BF138" s="415"/>
    </row>
    <row r="139" ht="14.25" customHeight="1">
      <c r="A139" s="408">
        <v>137.0</v>
      </c>
      <c r="B139" s="153" t="s">
        <v>1822</v>
      </c>
      <c r="C139" s="153">
        <v>2024.0</v>
      </c>
      <c r="D139" s="77" t="s">
        <v>362</v>
      </c>
      <c r="E139" s="409" t="str">
        <f>IFERROR(__xludf.DUMMYFUNCTION("ARRAYFORMULA(JOIN("""", ARRAYFORMULA(MID(SPLIT(F139, "" ""), 1, 1))))
&amp;""/""&amp;G139"),"MQ/6 Primaria")</f>
        <v>MQ/6 Primaria</v>
      </c>
      <c r="F139" s="77" t="s">
        <v>1823</v>
      </c>
      <c r="G139" s="432" t="s">
        <v>22</v>
      </c>
      <c r="H139" s="433" t="s">
        <v>1833</v>
      </c>
      <c r="I139" s="433" t="s">
        <v>1667</v>
      </c>
      <c r="J139" s="433" t="s">
        <v>1834</v>
      </c>
      <c r="K139" s="433" t="s">
        <v>1658</v>
      </c>
      <c r="L139" s="415"/>
      <c r="M139" s="434" t="s">
        <v>1660</v>
      </c>
      <c r="N139" s="434" t="s">
        <v>1689</v>
      </c>
      <c r="O139" s="434" t="s">
        <v>1661</v>
      </c>
      <c r="P139" s="434" t="s">
        <v>1659</v>
      </c>
      <c r="Q139" s="434" t="s">
        <v>1659</v>
      </c>
      <c r="R139" s="434" t="s">
        <v>1659</v>
      </c>
      <c r="S139" s="434" t="s">
        <v>1659</v>
      </c>
      <c r="T139" s="434" t="s">
        <v>1659</v>
      </c>
      <c r="U139" s="434" t="s">
        <v>1659</v>
      </c>
      <c r="V139" s="434" t="s">
        <v>1689</v>
      </c>
      <c r="W139" s="434" t="s">
        <v>1661</v>
      </c>
      <c r="X139" s="434" t="s">
        <v>1689</v>
      </c>
      <c r="Y139" s="434" t="s">
        <v>1660</v>
      </c>
      <c r="Z139" s="434" t="s">
        <v>1661</v>
      </c>
      <c r="AA139" s="434" t="s">
        <v>1659</v>
      </c>
      <c r="AB139" s="434" t="s">
        <v>1689</v>
      </c>
      <c r="AC139" s="434" t="s">
        <v>1661</v>
      </c>
      <c r="AD139" s="434" t="s">
        <v>1659</v>
      </c>
      <c r="AE139" s="434" t="s">
        <v>1660</v>
      </c>
      <c r="AF139" s="434" t="s">
        <v>1661</v>
      </c>
      <c r="AG139" s="427">
        <v>17.0</v>
      </c>
      <c r="AH139" s="438" t="s">
        <v>32</v>
      </c>
      <c r="AI139" s="415"/>
      <c r="AJ139" s="436" t="str">
        <f t="array" ref="AJ139">IF(M139=DGET(claves!$A$2:$AS423,M$2,{claves!$A$2;$E139}),1,0)</f>
        <v>#VALUE!</v>
      </c>
      <c r="AK139" s="436" t="str">
        <f t="array" ref="AK139">IF(N139=DGET(claves!$A$2:$AS423,N$2,{claves!$A$2;$E139}),1,0)</f>
        <v>#VALUE!</v>
      </c>
      <c r="AL139" s="436" t="str">
        <f t="array" ref="AL139">IF(O139=DGET(claves!$A$2:$AS423,O$2,{claves!$A$2;$E139}),1,0)</f>
        <v>#VALUE!</v>
      </c>
      <c r="AM139" s="436" t="str">
        <f t="array" ref="AM139">IF(P139=DGET(claves!$A$2:$AS423,P$2,{claves!$A$2;$E139}),1,0)</f>
        <v>#VALUE!</v>
      </c>
      <c r="AN139" s="436" t="str">
        <f t="array" ref="AN139">IF(Q139=DGET(claves!$A$2:$AS423,Q$2,{claves!$A$2;$E139}),1,0)</f>
        <v>#VALUE!</v>
      </c>
      <c r="AO139" s="436" t="str">
        <f t="array" ref="AO139">IF(R139=DGET(claves!$A$2:$AS423,R$2,{claves!$A$2;$E139}),1,0)</f>
        <v>#VALUE!</v>
      </c>
      <c r="AP139" s="436" t="str">
        <f t="array" ref="AP139">IF(S139=DGET(claves!$A$2:$AS423,S$2,{claves!$A$2;$E139}),1,0)</f>
        <v>#VALUE!</v>
      </c>
      <c r="AQ139" s="436" t="str">
        <f t="array" ref="AQ139">IF(T139=DGET(claves!$A$2:$AS423,T$2,{claves!$A$2;$E139}),1,0)</f>
        <v>#VALUE!</v>
      </c>
      <c r="AR139" s="436" t="str">
        <f t="array" ref="AR139">IF(U139=DGET(claves!$A$2:$AS423,U$2,{claves!$A$2;$E139}),1,0)</f>
        <v>#VALUE!</v>
      </c>
      <c r="AS139" s="436" t="str">
        <f t="array" ref="AS139">IF(V139=DGET(claves!$A$2:$AS423,V$2,{claves!$A$2;$E139}),1,0)</f>
        <v>#VALUE!</v>
      </c>
      <c r="AT139" s="436" t="str">
        <f t="array" ref="AT139">IF(W139=DGET(claves!$A$2:$AS423,W$2,{claves!$A$2;$E139}),1,0)</f>
        <v>#VALUE!</v>
      </c>
      <c r="AU139" s="436" t="str">
        <f t="array" ref="AU139">IF(X139=DGET(claves!$A$2:$AS423,X$2,{claves!$A$2;$E139}),1,0)</f>
        <v>#VALUE!</v>
      </c>
      <c r="AV139" s="436" t="str">
        <f t="array" ref="AV139">IF(Y139=DGET(claves!$A$2:$AS423,Y$2,{claves!$A$2;$E139}),1,0)</f>
        <v>#VALUE!</v>
      </c>
      <c r="AW139" s="436" t="str">
        <f t="array" ref="AW139">IF(Z139=DGET(claves!$A$2:$AS423,Z$2,{claves!$A$2;$E139}),1,0)</f>
        <v>#VALUE!</v>
      </c>
      <c r="AX139" s="436" t="str">
        <f t="array" ref="AX139">IF(AA139=DGET(claves!$A$2:$AS423,AA$2,{claves!$A$2;$E139}),1,0)</f>
        <v>#VALUE!</v>
      </c>
      <c r="AY139" s="436" t="str">
        <f t="array" ref="AY139">IF(AB139=DGET(claves!$A$2:$AS423,AB$2,{claves!$A$2;$E139}),1,0)</f>
        <v>#VALUE!</v>
      </c>
      <c r="AZ139" s="436" t="str">
        <f t="array" ref="AZ139">IF(AC139=DGET(claves!$A$2:$AS423,AC$2,{claves!$A$2;$E139}),1,0)</f>
        <v>#VALUE!</v>
      </c>
      <c r="BA139" s="436" t="str">
        <f t="array" ref="BA139">IF(AD139=DGET(claves!$A$2:$AS423,AD$2,{claves!$A$2;$E139}),1,0)</f>
        <v>#VALUE!</v>
      </c>
      <c r="BB139" s="436" t="str">
        <f t="array" ref="BB139">IF(AE139=DGET(claves!$A$2:$AS423,AE$2,{claves!$A$2;$E139}),1,0)</f>
        <v>#VALUE!</v>
      </c>
      <c r="BC139" s="436" t="str">
        <f t="array" ref="BC139">IF(AF139=DGET(claves!$A$2:$AS423,AF$2,{claves!$A$2;$E139}),1,0)</f>
        <v>#VALUE!</v>
      </c>
      <c r="BD139" s="437" t="str">
        <f t="shared" si="1"/>
        <v>#VALUE!</v>
      </c>
      <c r="BE139" s="435"/>
      <c r="BF139" s="415"/>
    </row>
    <row r="140" ht="14.25" customHeight="1">
      <c r="A140" s="408">
        <v>138.0</v>
      </c>
      <c r="B140" s="153" t="s">
        <v>1822</v>
      </c>
      <c r="C140" s="153">
        <v>2024.0</v>
      </c>
      <c r="D140" s="77" t="s">
        <v>362</v>
      </c>
      <c r="E140" s="409" t="str">
        <f>IFERROR(__xludf.DUMMYFUNCTION("ARRAYFORMULA(JOIN("""", ARRAYFORMULA(MID(SPLIT(F140, "" ""), 1, 1))))
&amp;""/""&amp;G140"),"MQ/6 Primaria")</f>
        <v>MQ/6 Primaria</v>
      </c>
      <c r="F140" s="77" t="s">
        <v>1823</v>
      </c>
      <c r="G140" s="432" t="s">
        <v>22</v>
      </c>
      <c r="H140" s="433" t="s">
        <v>1782</v>
      </c>
      <c r="I140" s="433" t="s">
        <v>1829</v>
      </c>
      <c r="J140" s="433" t="s">
        <v>1835</v>
      </c>
      <c r="K140" s="432" t="s">
        <v>1665</v>
      </c>
      <c r="L140" s="415"/>
      <c r="M140" s="434" t="s">
        <v>1660</v>
      </c>
      <c r="N140" s="434" t="s">
        <v>1661</v>
      </c>
      <c r="O140" s="434" t="s">
        <v>1660</v>
      </c>
      <c r="P140" s="434" t="s">
        <v>1659</v>
      </c>
      <c r="Q140" s="434" t="s">
        <v>1659</v>
      </c>
      <c r="R140" s="434" t="s">
        <v>1689</v>
      </c>
      <c r="S140" s="434" t="s">
        <v>1659</v>
      </c>
      <c r="T140" s="434" t="s">
        <v>1659</v>
      </c>
      <c r="U140" s="434" t="s">
        <v>1659</v>
      </c>
      <c r="V140" s="434" t="s">
        <v>1661</v>
      </c>
      <c r="W140" s="434" t="s">
        <v>1661</v>
      </c>
      <c r="X140" s="434" t="s">
        <v>1689</v>
      </c>
      <c r="Y140" s="434" t="s">
        <v>1661</v>
      </c>
      <c r="Z140" s="434" t="s">
        <v>1689</v>
      </c>
      <c r="AA140" s="434" t="s">
        <v>1659</v>
      </c>
      <c r="AB140" s="434" t="s">
        <v>1689</v>
      </c>
      <c r="AC140" s="434" t="s">
        <v>1660</v>
      </c>
      <c r="AD140" s="434" t="s">
        <v>1659</v>
      </c>
      <c r="AE140" s="434" t="s">
        <v>1661</v>
      </c>
      <c r="AF140" s="434" t="s">
        <v>1660</v>
      </c>
      <c r="AG140" s="427">
        <v>11.0</v>
      </c>
      <c r="AH140" s="435" t="s">
        <v>24</v>
      </c>
      <c r="AI140" s="415"/>
      <c r="AJ140" s="436" t="str">
        <f t="array" ref="AJ140">IF(M140=DGET(claves!$A$2:$AS423,M$2,{claves!$A$2;$E140}),1,0)</f>
        <v>#VALUE!</v>
      </c>
      <c r="AK140" s="436" t="str">
        <f t="array" ref="AK140">IF(N140=DGET(claves!$A$2:$AS423,N$2,{claves!$A$2;$E140}),1,0)</f>
        <v>#VALUE!</v>
      </c>
      <c r="AL140" s="436" t="str">
        <f t="array" ref="AL140">IF(O140=DGET(claves!$A$2:$AS423,O$2,{claves!$A$2;$E140}),1,0)</f>
        <v>#VALUE!</v>
      </c>
      <c r="AM140" s="436" t="str">
        <f t="array" ref="AM140">IF(P140=DGET(claves!$A$2:$AS423,P$2,{claves!$A$2;$E140}),1,0)</f>
        <v>#VALUE!</v>
      </c>
      <c r="AN140" s="436" t="str">
        <f t="array" ref="AN140">IF(Q140=DGET(claves!$A$2:$AS423,Q$2,{claves!$A$2;$E140}),1,0)</f>
        <v>#VALUE!</v>
      </c>
      <c r="AO140" s="436" t="str">
        <f t="array" ref="AO140">IF(R140=DGET(claves!$A$2:$AS423,R$2,{claves!$A$2;$E140}),1,0)</f>
        <v>#VALUE!</v>
      </c>
      <c r="AP140" s="436" t="str">
        <f t="array" ref="AP140">IF(S140=DGET(claves!$A$2:$AS423,S$2,{claves!$A$2;$E140}),1,0)</f>
        <v>#VALUE!</v>
      </c>
      <c r="AQ140" s="436" t="str">
        <f t="array" ref="AQ140">IF(T140=DGET(claves!$A$2:$AS423,T$2,{claves!$A$2;$E140}),1,0)</f>
        <v>#VALUE!</v>
      </c>
      <c r="AR140" s="436" t="str">
        <f t="array" ref="AR140">IF(U140=DGET(claves!$A$2:$AS423,U$2,{claves!$A$2;$E140}),1,0)</f>
        <v>#VALUE!</v>
      </c>
      <c r="AS140" s="436" t="str">
        <f t="array" ref="AS140">IF(V140=DGET(claves!$A$2:$AS423,V$2,{claves!$A$2;$E140}),1,0)</f>
        <v>#VALUE!</v>
      </c>
      <c r="AT140" s="436" t="str">
        <f t="array" ref="AT140">IF(W140=DGET(claves!$A$2:$AS423,W$2,{claves!$A$2;$E140}),1,0)</f>
        <v>#VALUE!</v>
      </c>
      <c r="AU140" s="436" t="str">
        <f t="array" ref="AU140">IF(X140=DGET(claves!$A$2:$AS423,X$2,{claves!$A$2;$E140}),1,0)</f>
        <v>#VALUE!</v>
      </c>
      <c r="AV140" s="436" t="str">
        <f t="array" ref="AV140">IF(Y140=DGET(claves!$A$2:$AS423,Y$2,{claves!$A$2;$E140}),1,0)</f>
        <v>#VALUE!</v>
      </c>
      <c r="AW140" s="436" t="str">
        <f t="array" ref="AW140">IF(Z140=DGET(claves!$A$2:$AS423,Z$2,{claves!$A$2;$E140}),1,0)</f>
        <v>#VALUE!</v>
      </c>
      <c r="AX140" s="436" t="str">
        <f t="array" ref="AX140">IF(AA140=DGET(claves!$A$2:$AS423,AA$2,{claves!$A$2;$E140}),1,0)</f>
        <v>#VALUE!</v>
      </c>
      <c r="AY140" s="436" t="str">
        <f t="array" ref="AY140">IF(AB140=DGET(claves!$A$2:$AS423,AB$2,{claves!$A$2;$E140}),1,0)</f>
        <v>#VALUE!</v>
      </c>
      <c r="AZ140" s="436" t="str">
        <f t="array" ref="AZ140">IF(AC140=DGET(claves!$A$2:$AS423,AC$2,{claves!$A$2;$E140}),1,0)</f>
        <v>#VALUE!</v>
      </c>
      <c r="BA140" s="436" t="str">
        <f t="array" ref="BA140">IF(AD140=DGET(claves!$A$2:$AS423,AD$2,{claves!$A$2;$E140}),1,0)</f>
        <v>#VALUE!</v>
      </c>
      <c r="BB140" s="436" t="str">
        <f t="array" ref="BB140">IF(AE140=DGET(claves!$A$2:$AS423,AE$2,{claves!$A$2;$E140}),1,0)</f>
        <v>#VALUE!</v>
      </c>
      <c r="BC140" s="436" t="str">
        <f t="array" ref="BC140">IF(AF140=DGET(claves!$A$2:$AS423,AF$2,{claves!$A$2;$E140}),1,0)</f>
        <v>#VALUE!</v>
      </c>
      <c r="BD140" s="437" t="str">
        <f t="shared" si="1"/>
        <v>#VALUE!</v>
      </c>
      <c r="BE140" s="435"/>
      <c r="BF140" s="415"/>
    </row>
    <row r="141" ht="14.25" customHeight="1">
      <c r="A141" s="408">
        <v>139.0</v>
      </c>
      <c r="B141" s="153" t="s">
        <v>1822</v>
      </c>
      <c r="C141" s="153">
        <v>2024.0</v>
      </c>
      <c r="D141" s="77" t="s">
        <v>362</v>
      </c>
      <c r="E141" s="409" t="str">
        <f>IFERROR(__xludf.DUMMYFUNCTION("ARRAYFORMULA(JOIN("""", ARRAYFORMULA(MID(SPLIT(F141, "" ""), 1, 1))))
&amp;""/""&amp;G141"),"MQ/6 Primaria")</f>
        <v>MQ/6 Primaria</v>
      </c>
      <c r="F141" s="77" t="s">
        <v>1823</v>
      </c>
      <c r="G141" s="432" t="s">
        <v>22</v>
      </c>
      <c r="H141" s="433" t="s">
        <v>1684</v>
      </c>
      <c r="I141" s="433" t="s">
        <v>1744</v>
      </c>
      <c r="J141" s="433" t="s">
        <v>1836</v>
      </c>
      <c r="K141" s="432" t="s">
        <v>1665</v>
      </c>
      <c r="L141" s="415"/>
      <c r="M141" s="434" t="s">
        <v>1661</v>
      </c>
      <c r="N141" s="434" t="s">
        <v>1689</v>
      </c>
      <c r="O141" s="434" t="s">
        <v>1661</v>
      </c>
      <c r="P141" s="434" t="s">
        <v>1659</v>
      </c>
      <c r="Q141" s="434" t="s">
        <v>1660</v>
      </c>
      <c r="R141" s="434" t="s">
        <v>1689</v>
      </c>
      <c r="S141" s="434" t="s">
        <v>1659</v>
      </c>
      <c r="T141" s="434" t="s">
        <v>1659</v>
      </c>
      <c r="U141" s="434" t="s">
        <v>1659</v>
      </c>
      <c r="V141" s="434" t="s">
        <v>1660</v>
      </c>
      <c r="W141" s="434" t="s">
        <v>1661</v>
      </c>
      <c r="X141" s="434" t="s">
        <v>1689</v>
      </c>
      <c r="Y141" s="434" t="s">
        <v>1659</v>
      </c>
      <c r="Z141" s="434" t="s">
        <v>1689</v>
      </c>
      <c r="AA141" s="434" t="s">
        <v>1659</v>
      </c>
      <c r="AB141" s="434" t="s">
        <v>1689</v>
      </c>
      <c r="AC141" s="434" t="s">
        <v>1660</v>
      </c>
      <c r="AD141" s="434" t="s">
        <v>1659</v>
      </c>
      <c r="AE141" s="434" t="s">
        <v>1689</v>
      </c>
      <c r="AF141" s="434" t="s">
        <v>1660</v>
      </c>
      <c r="AG141" s="427">
        <v>12.0</v>
      </c>
      <c r="AH141" s="435" t="s">
        <v>24</v>
      </c>
      <c r="AI141" s="415"/>
      <c r="AJ141" s="436" t="str">
        <f t="array" ref="AJ141">IF(M141=DGET(claves!$A$2:$AS423,M$2,{claves!$A$2;$E141}),1,0)</f>
        <v>#VALUE!</v>
      </c>
      <c r="AK141" s="436" t="str">
        <f t="array" ref="AK141">IF(N141=DGET(claves!$A$2:$AS423,N$2,{claves!$A$2;$E141}),1,0)</f>
        <v>#VALUE!</v>
      </c>
      <c r="AL141" s="436" t="str">
        <f t="array" ref="AL141">IF(O141=DGET(claves!$A$2:$AS423,O$2,{claves!$A$2;$E141}),1,0)</f>
        <v>#VALUE!</v>
      </c>
      <c r="AM141" s="436" t="str">
        <f t="array" ref="AM141">IF(P141=DGET(claves!$A$2:$AS423,P$2,{claves!$A$2;$E141}),1,0)</f>
        <v>#VALUE!</v>
      </c>
      <c r="AN141" s="436" t="str">
        <f t="array" ref="AN141">IF(Q141=DGET(claves!$A$2:$AS423,Q$2,{claves!$A$2;$E141}),1,0)</f>
        <v>#VALUE!</v>
      </c>
      <c r="AO141" s="436" t="str">
        <f t="array" ref="AO141">IF(R141=DGET(claves!$A$2:$AS423,R$2,{claves!$A$2;$E141}),1,0)</f>
        <v>#VALUE!</v>
      </c>
      <c r="AP141" s="436" t="str">
        <f t="array" ref="AP141">IF(S141=DGET(claves!$A$2:$AS423,S$2,{claves!$A$2;$E141}),1,0)</f>
        <v>#VALUE!</v>
      </c>
      <c r="AQ141" s="436" t="str">
        <f t="array" ref="AQ141">IF(T141=DGET(claves!$A$2:$AS423,T$2,{claves!$A$2;$E141}),1,0)</f>
        <v>#VALUE!</v>
      </c>
      <c r="AR141" s="436" t="str">
        <f t="array" ref="AR141">IF(U141=DGET(claves!$A$2:$AS423,U$2,{claves!$A$2;$E141}),1,0)</f>
        <v>#VALUE!</v>
      </c>
      <c r="AS141" s="436" t="str">
        <f t="array" ref="AS141">IF(V141=DGET(claves!$A$2:$AS423,V$2,{claves!$A$2;$E141}),1,0)</f>
        <v>#VALUE!</v>
      </c>
      <c r="AT141" s="436" t="str">
        <f t="array" ref="AT141">IF(W141=DGET(claves!$A$2:$AS423,W$2,{claves!$A$2;$E141}),1,0)</f>
        <v>#VALUE!</v>
      </c>
      <c r="AU141" s="436" t="str">
        <f t="array" ref="AU141">IF(X141=DGET(claves!$A$2:$AS423,X$2,{claves!$A$2;$E141}),1,0)</f>
        <v>#VALUE!</v>
      </c>
      <c r="AV141" s="436" t="str">
        <f t="array" ref="AV141">IF(Y141=DGET(claves!$A$2:$AS423,Y$2,{claves!$A$2;$E141}),1,0)</f>
        <v>#VALUE!</v>
      </c>
      <c r="AW141" s="436" t="str">
        <f t="array" ref="AW141">IF(Z141=DGET(claves!$A$2:$AS423,Z$2,{claves!$A$2;$E141}),1,0)</f>
        <v>#VALUE!</v>
      </c>
      <c r="AX141" s="436" t="str">
        <f t="array" ref="AX141">IF(AA141=DGET(claves!$A$2:$AS423,AA$2,{claves!$A$2;$E141}),1,0)</f>
        <v>#VALUE!</v>
      </c>
      <c r="AY141" s="436" t="str">
        <f t="array" ref="AY141">IF(AB141=DGET(claves!$A$2:$AS423,AB$2,{claves!$A$2;$E141}),1,0)</f>
        <v>#VALUE!</v>
      </c>
      <c r="AZ141" s="436" t="str">
        <f t="array" ref="AZ141">IF(AC141=DGET(claves!$A$2:$AS423,AC$2,{claves!$A$2;$E141}),1,0)</f>
        <v>#VALUE!</v>
      </c>
      <c r="BA141" s="436" t="str">
        <f t="array" ref="BA141">IF(AD141=DGET(claves!$A$2:$AS423,AD$2,{claves!$A$2;$E141}),1,0)</f>
        <v>#VALUE!</v>
      </c>
      <c r="BB141" s="436" t="str">
        <f t="array" ref="BB141">IF(AE141=DGET(claves!$A$2:$AS423,AE$2,{claves!$A$2;$E141}),1,0)</f>
        <v>#VALUE!</v>
      </c>
      <c r="BC141" s="436" t="str">
        <f t="array" ref="BC141">IF(AF141=DGET(claves!$A$2:$AS423,AF$2,{claves!$A$2;$E141}),1,0)</f>
        <v>#VALUE!</v>
      </c>
      <c r="BD141" s="437" t="str">
        <f t="shared" si="1"/>
        <v>#VALUE!</v>
      </c>
      <c r="BE141" s="435"/>
      <c r="BF141" s="415"/>
    </row>
    <row r="142" ht="14.25" customHeight="1">
      <c r="A142" s="408">
        <v>140.0</v>
      </c>
      <c r="B142" s="153" t="s">
        <v>224</v>
      </c>
      <c r="C142" s="153">
        <v>2024.0</v>
      </c>
      <c r="D142" s="77" t="s">
        <v>362</v>
      </c>
      <c r="E142" s="409" t="str">
        <f>IFERROR(__xludf.DUMMYFUNCTION("ARRAYFORMULA(JOIN("""", ARRAYFORMULA(MID(SPLIT(F142, "" ""), 1, 1))))
&amp;""/""&amp;G142"),"MQ/2 Primaria")</f>
        <v>MQ/2 Primaria</v>
      </c>
      <c r="F142" s="77" t="s">
        <v>1823</v>
      </c>
      <c r="G142" s="432" t="s">
        <v>15</v>
      </c>
      <c r="H142" s="433" t="s">
        <v>1703</v>
      </c>
      <c r="I142" s="433" t="s">
        <v>1837</v>
      </c>
      <c r="J142" s="433" t="s">
        <v>1838</v>
      </c>
      <c r="K142" s="432" t="s">
        <v>1665</v>
      </c>
      <c r="L142" s="415"/>
      <c r="M142" s="434" t="s">
        <v>1825</v>
      </c>
      <c r="N142" s="434" t="s">
        <v>1825</v>
      </c>
      <c r="O142" s="434" t="s">
        <v>1660</v>
      </c>
      <c r="P142" s="434"/>
      <c r="Q142" s="434" t="s">
        <v>1826</v>
      </c>
      <c r="R142" s="434"/>
      <c r="S142" s="434"/>
      <c r="T142" s="434"/>
      <c r="U142" s="434"/>
      <c r="V142" s="434"/>
      <c r="W142" s="434"/>
      <c r="X142" s="434" t="s">
        <v>1826</v>
      </c>
      <c r="Y142" s="434"/>
      <c r="Z142" s="434"/>
      <c r="AA142" s="434"/>
      <c r="AB142" s="434"/>
      <c r="AC142" s="434"/>
      <c r="AD142" s="434"/>
      <c r="AE142" s="434" t="s">
        <v>1826</v>
      </c>
      <c r="AF142" s="434" t="s">
        <v>1825</v>
      </c>
      <c r="AG142" s="427">
        <v>6.0</v>
      </c>
      <c r="AH142" s="435" t="s">
        <v>18</v>
      </c>
      <c r="AI142" s="415"/>
      <c r="AJ142" s="436" t="str">
        <f t="array" ref="AJ142">IF(M142=DGET(claves!$A$2:$AS423,M$2,{claves!$A$2;$E142}),1,0)</f>
        <v>#VALUE!</v>
      </c>
      <c r="AK142" s="436" t="str">
        <f t="array" ref="AK142">IF(N142=DGET(claves!$A$2:$AS423,N$2,{claves!$A$2;$E142}),1,0)</f>
        <v>#VALUE!</v>
      </c>
      <c r="AL142" s="436" t="str">
        <f t="array" ref="AL142">IF(O142=DGET(claves!$A$2:$AS423,O$2,{claves!$A$2;$E142}),1,0)</f>
        <v>#VALUE!</v>
      </c>
      <c r="AM142" s="436" t="str">
        <f t="array" ref="AM142">IF(P142=DGET(claves!$A$2:$AS423,P$2,{claves!$A$2;$E142}),1,0)</f>
        <v>#VALUE!</v>
      </c>
      <c r="AN142" s="436" t="str">
        <f t="array" ref="AN142">IF(Q142=DGET(claves!$A$2:$AS423,Q$2,{claves!$A$2;$E142}),1,0)</f>
        <v>#VALUE!</v>
      </c>
      <c r="AO142" s="436" t="str">
        <f t="array" ref="AO142">IF(R142=DGET(claves!$A$2:$AS423,R$2,{claves!$A$2;$E142}),1,0)</f>
        <v>#VALUE!</v>
      </c>
      <c r="AP142" s="436" t="str">
        <f t="array" ref="AP142">IF(S142=DGET(claves!$A$2:$AS423,S$2,{claves!$A$2;$E142}),1,0)</f>
        <v>#VALUE!</v>
      </c>
      <c r="AQ142" s="436" t="str">
        <f t="array" ref="AQ142">IF(T142=DGET(claves!$A$2:$AS423,T$2,{claves!$A$2;$E142}),1,0)</f>
        <v>#VALUE!</v>
      </c>
      <c r="AR142" s="436" t="str">
        <f t="array" ref="AR142">IF(U142=DGET(claves!$A$2:$AS423,U$2,{claves!$A$2;$E142}),1,0)</f>
        <v>#VALUE!</v>
      </c>
      <c r="AS142" s="436" t="str">
        <f t="array" ref="AS142">IF(V142=DGET(claves!$A$2:$AS423,V$2,{claves!$A$2;$E142}),1,0)</f>
        <v>#VALUE!</v>
      </c>
      <c r="AT142" s="436" t="str">
        <f t="array" ref="AT142">IF(W142=DGET(claves!$A$2:$AS423,W$2,{claves!$A$2;$E142}),1,0)</f>
        <v>#VALUE!</v>
      </c>
      <c r="AU142" s="436" t="str">
        <f t="array" ref="AU142">IF(X142=DGET(claves!$A$2:$AS423,X$2,{claves!$A$2;$E142}),1,0)</f>
        <v>#VALUE!</v>
      </c>
      <c r="AV142" s="436" t="str">
        <f t="array" ref="AV142">IF(Y142=DGET(claves!$A$2:$AS423,Y$2,{claves!$A$2;$E142}),1,0)</f>
        <v>#VALUE!</v>
      </c>
      <c r="AW142" s="436" t="str">
        <f t="array" ref="AW142">IF(Z142=DGET(claves!$A$2:$AS423,Z$2,{claves!$A$2;$E142}),1,0)</f>
        <v>#VALUE!</v>
      </c>
      <c r="AX142" s="436" t="str">
        <f t="array" ref="AX142">IF(AA142=DGET(claves!$A$2:$AS423,AA$2,{claves!$A$2;$E142}),1,0)</f>
        <v>#VALUE!</v>
      </c>
      <c r="AY142" s="436" t="str">
        <f t="array" ref="AY142">IF(AB142=DGET(claves!$A$2:$AS423,AB$2,{claves!$A$2;$E142}),1,0)</f>
        <v>#VALUE!</v>
      </c>
      <c r="AZ142" s="436" t="str">
        <f t="array" ref="AZ142">IF(AC142=DGET(claves!$A$2:$AS423,AC$2,{claves!$A$2;$E142}),1,0)</f>
        <v>#VALUE!</v>
      </c>
      <c r="BA142" s="436" t="str">
        <f t="array" ref="BA142">IF(AD142=DGET(claves!$A$2:$AS423,AD$2,{claves!$A$2;$E142}),1,0)</f>
        <v>#VALUE!</v>
      </c>
      <c r="BB142" s="436" t="str">
        <f t="array" ref="BB142">IF(AE142=DGET(claves!$A$2:$AS423,AE$2,{claves!$A$2;$E142}),1,0)</f>
        <v>#VALUE!</v>
      </c>
      <c r="BC142" s="436" t="str">
        <f t="array" ref="BC142">IF(AF142=DGET(claves!$A$2:$AS423,AF$2,{claves!$A$2;$E142}),1,0)</f>
        <v>#VALUE!</v>
      </c>
      <c r="BD142" s="437" t="str">
        <f t="shared" si="1"/>
        <v>#VALUE!</v>
      </c>
      <c r="BE142" s="435"/>
      <c r="BF142" s="415"/>
    </row>
    <row r="143" ht="14.25" customHeight="1">
      <c r="A143" s="408">
        <v>141.0</v>
      </c>
      <c r="B143" s="153" t="s">
        <v>224</v>
      </c>
      <c r="C143" s="153">
        <v>2024.0</v>
      </c>
      <c r="D143" s="77" t="s">
        <v>362</v>
      </c>
      <c r="E143" s="409" t="str">
        <f>IFERROR(__xludf.DUMMYFUNCTION("ARRAYFORMULA(JOIN("""", ARRAYFORMULA(MID(SPLIT(F143, "" ""), 1, 1))))
&amp;""/""&amp;G143"),"MQ/2 Primaria")</f>
        <v>MQ/2 Primaria</v>
      </c>
      <c r="F143" s="77" t="s">
        <v>1823</v>
      </c>
      <c r="G143" s="432" t="s">
        <v>15</v>
      </c>
      <c r="H143" s="433" t="s">
        <v>1744</v>
      </c>
      <c r="I143" s="433" t="s">
        <v>1790</v>
      </c>
      <c r="J143" s="433" t="s">
        <v>1839</v>
      </c>
      <c r="K143" s="432" t="s">
        <v>1665</v>
      </c>
      <c r="L143" s="415"/>
      <c r="M143" s="434" t="s">
        <v>1825</v>
      </c>
      <c r="N143" s="434" t="s">
        <v>1825</v>
      </c>
      <c r="O143" s="434" t="s">
        <v>1660</v>
      </c>
      <c r="P143" s="434" t="s">
        <v>1660</v>
      </c>
      <c r="Q143" s="434" t="s">
        <v>1825</v>
      </c>
      <c r="R143" s="434" t="s">
        <v>1826</v>
      </c>
      <c r="S143" s="434" t="s">
        <v>1826</v>
      </c>
      <c r="T143" s="434" t="s">
        <v>1660</v>
      </c>
      <c r="U143" s="434" t="s">
        <v>1825</v>
      </c>
      <c r="V143" s="434" t="s">
        <v>1825</v>
      </c>
      <c r="W143" s="434" t="s">
        <v>1660</v>
      </c>
      <c r="X143" s="434" t="s">
        <v>1826</v>
      </c>
      <c r="Y143" s="434" t="s">
        <v>1826</v>
      </c>
      <c r="Z143" s="434" t="s">
        <v>1660</v>
      </c>
      <c r="AA143" s="434" t="s">
        <v>1660</v>
      </c>
      <c r="AB143" s="434" t="s">
        <v>1825</v>
      </c>
      <c r="AC143" s="434" t="s">
        <v>1660</v>
      </c>
      <c r="AD143" s="434" t="s">
        <v>1825</v>
      </c>
      <c r="AE143" s="434" t="s">
        <v>1826</v>
      </c>
      <c r="AF143" s="434" t="s">
        <v>1825</v>
      </c>
      <c r="AG143" s="427">
        <v>11.0</v>
      </c>
      <c r="AH143" s="435" t="s">
        <v>24</v>
      </c>
      <c r="AI143" s="415"/>
      <c r="AJ143" s="436" t="str">
        <f t="array" ref="AJ143">IF(M143=DGET(claves!$A$2:$AS423,M$2,{claves!$A$2;$E143}),1,0)</f>
        <v>#VALUE!</v>
      </c>
      <c r="AK143" s="436" t="str">
        <f t="array" ref="AK143">IF(N143=DGET(claves!$A$2:$AS423,N$2,{claves!$A$2;$E143}),1,0)</f>
        <v>#VALUE!</v>
      </c>
      <c r="AL143" s="436" t="str">
        <f t="array" ref="AL143">IF(O143=DGET(claves!$A$2:$AS423,O$2,{claves!$A$2;$E143}),1,0)</f>
        <v>#VALUE!</v>
      </c>
      <c r="AM143" s="436" t="str">
        <f t="array" ref="AM143">IF(P143=DGET(claves!$A$2:$AS423,P$2,{claves!$A$2;$E143}),1,0)</f>
        <v>#VALUE!</v>
      </c>
      <c r="AN143" s="436" t="str">
        <f t="array" ref="AN143">IF(Q143=DGET(claves!$A$2:$AS423,Q$2,{claves!$A$2;$E143}),1,0)</f>
        <v>#VALUE!</v>
      </c>
      <c r="AO143" s="436" t="str">
        <f t="array" ref="AO143">IF(R143=DGET(claves!$A$2:$AS423,R$2,{claves!$A$2;$E143}),1,0)</f>
        <v>#VALUE!</v>
      </c>
      <c r="AP143" s="436" t="str">
        <f t="array" ref="AP143">IF(S143=DGET(claves!$A$2:$AS423,S$2,{claves!$A$2;$E143}),1,0)</f>
        <v>#VALUE!</v>
      </c>
      <c r="AQ143" s="436" t="str">
        <f t="array" ref="AQ143">IF(T143=DGET(claves!$A$2:$AS423,T$2,{claves!$A$2;$E143}),1,0)</f>
        <v>#VALUE!</v>
      </c>
      <c r="AR143" s="436" t="str">
        <f t="array" ref="AR143">IF(U143=DGET(claves!$A$2:$AS423,U$2,{claves!$A$2;$E143}),1,0)</f>
        <v>#VALUE!</v>
      </c>
      <c r="AS143" s="436" t="str">
        <f t="array" ref="AS143">IF(V143=DGET(claves!$A$2:$AS423,V$2,{claves!$A$2;$E143}),1,0)</f>
        <v>#VALUE!</v>
      </c>
      <c r="AT143" s="436" t="str">
        <f t="array" ref="AT143">IF(W143=DGET(claves!$A$2:$AS423,W$2,{claves!$A$2;$E143}),1,0)</f>
        <v>#VALUE!</v>
      </c>
      <c r="AU143" s="436" t="str">
        <f t="array" ref="AU143">IF(X143=DGET(claves!$A$2:$AS423,X$2,{claves!$A$2;$E143}),1,0)</f>
        <v>#VALUE!</v>
      </c>
      <c r="AV143" s="436" t="str">
        <f t="array" ref="AV143">IF(Y143=DGET(claves!$A$2:$AS423,Y$2,{claves!$A$2;$E143}),1,0)</f>
        <v>#VALUE!</v>
      </c>
      <c r="AW143" s="436" t="str">
        <f t="array" ref="AW143">IF(Z143=DGET(claves!$A$2:$AS423,Z$2,{claves!$A$2;$E143}),1,0)</f>
        <v>#VALUE!</v>
      </c>
      <c r="AX143" s="436" t="str">
        <f t="array" ref="AX143">IF(AA143=DGET(claves!$A$2:$AS423,AA$2,{claves!$A$2;$E143}),1,0)</f>
        <v>#VALUE!</v>
      </c>
      <c r="AY143" s="436" t="str">
        <f t="array" ref="AY143">IF(AB143=DGET(claves!$A$2:$AS423,AB$2,{claves!$A$2;$E143}),1,0)</f>
        <v>#VALUE!</v>
      </c>
      <c r="AZ143" s="436" t="str">
        <f t="array" ref="AZ143">IF(AC143=DGET(claves!$A$2:$AS423,AC$2,{claves!$A$2;$E143}),1,0)</f>
        <v>#VALUE!</v>
      </c>
      <c r="BA143" s="436" t="str">
        <f t="array" ref="BA143">IF(AD143=DGET(claves!$A$2:$AS423,AD$2,{claves!$A$2;$E143}),1,0)</f>
        <v>#VALUE!</v>
      </c>
      <c r="BB143" s="436" t="str">
        <f t="array" ref="BB143">IF(AE143=DGET(claves!$A$2:$AS423,AE$2,{claves!$A$2;$E143}),1,0)</f>
        <v>#VALUE!</v>
      </c>
      <c r="BC143" s="436" t="str">
        <f t="array" ref="BC143">IF(AF143=DGET(claves!$A$2:$AS423,AF$2,{claves!$A$2;$E143}),1,0)</f>
        <v>#VALUE!</v>
      </c>
      <c r="BD143" s="437" t="str">
        <f t="shared" si="1"/>
        <v>#VALUE!</v>
      </c>
      <c r="BE143" s="435"/>
      <c r="BF143" s="415"/>
    </row>
    <row r="144" ht="14.25" customHeight="1">
      <c r="A144" s="408">
        <v>142.0</v>
      </c>
      <c r="B144" s="153" t="s">
        <v>224</v>
      </c>
      <c r="C144" s="153">
        <v>2024.0</v>
      </c>
      <c r="D144" s="77" t="s">
        <v>362</v>
      </c>
      <c r="E144" s="409" t="str">
        <f>IFERROR(__xludf.DUMMYFUNCTION("ARRAYFORMULA(JOIN("""", ARRAYFORMULA(MID(SPLIT(F144, "" ""), 1, 1))))
&amp;""/""&amp;G144"),"MQ/2 Primaria")</f>
        <v>MQ/2 Primaria</v>
      </c>
      <c r="F144" s="77" t="s">
        <v>1823</v>
      </c>
      <c r="G144" s="432" t="s">
        <v>15</v>
      </c>
      <c r="H144" s="433" t="s">
        <v>1840</v>
      </c>
      <c r="I144" s="433" t="s">
        <v>1684</v>
      </c>
      <c r="J144" s="433" t="s">
        <v>1841</v>
      </c>
      <c r="K144" s="433" t="s">
        <v>1658</v>
      </c>
      <c r="L144" s="415"/>
      <c r="M144" s="434" t="s">
        <v>1825</v>
      </c>
      <c r="N144" s="434" t="s">
        <v>1660</v>
      </c>
      <c r="O144" s="434" t="s">
        <v>1825</v>
      </c>
      <c r="P144" s="434" t="s">
        <v>1826</v>
      </c>
      <c r="Q144" s="434" t="s">
        <v>1826</v>
      </c>
      <c r="R144" s="434" t="s">
        <v>1825</v>
      </c>
      <c r="S144" s="434" t="s">
        <v>1826</v>
      </c>
      <c r="T144" s="434" t="s">
        <v>1660</v>
      </c>
      <c r="U144" s="434" t="s">
        <v>1825</v>
      </c>
      <c r="V144" s="434"/>
      <c r="W144" s="434" t="s">
        <v>1826</v>
      </c>
      <c r="X144" s="434"/>
      <c r="Y144" s="434" t="s">
        <v>1660</v>
      </c>
      <c r="Z144" s="434" t="s">
        <v>1826</v>
      </c>
      <c r="AA144" s="434" t="s">
        <v>1660</v>
      </c>
      <c r="AB144" s="434" t="s">
        <v>1660</v>
      </c>
      <c r="AC144" s="434" t="s">
        <v>1660</v>
      </c>
      <c r="AD144" s="434" t="s">
        <v>1825</v>
      </c>
      <c r="AE144" s="434" t="s">
        <v>1826</v>
      </c>
      <c r="AF144" s="434" t="s">
        <v>1825</v>
      </c>
      <c r="AG144" s="427">
        <v>9.0</v>
      </c>
      <c r="AH144" s="435" t="s">
        <v>18</v>
      </c>
      <c r="AI144" s="415"/>
      <c r="AJ144" s="436" t="str">
        <f t="array" ref="AJ144">IF(M144=DGET(claves!$A$2:$AS423,M$2,{claves!$A$2;$E144}),1,0)</f>
        <v>#VALUE!</v>
      </c>
      <c r="AK144" s="436" t="str">
        <f t="array" ref="AK144">IF(N144=DGET(claves!$A$2:$AS423,N$2,{claves!$A$2;$E144}),1,0)</f>
        <v>#VALUE!</v>
      </c>
      <c r="AL144" s="436" t="str">
        <f t="array" ref="AL144">IF(O144=DGET(claves!$A$2:$AS423,O$2,{claves!$A$2;$E144}),1,0)</f>
        <v>#VALUE!</v>
      </c>
      <c r="AM144" s="436" t="str">
        <f t="array" ref="AM144">IF(P144=DGET(claves!$A$2:$AS423,P$2,{claves!$A$2;$E144}),1,0)</f>
        <v>#VALUE!</v>
      </c>
      <c r="AN144" s="436" t="str">
        <f t="array" ref="AN144">IF(Q144=DGET(claves!$A$2:$AS423,Q$2,{claves!$A$2;$E144}),1,0)</f>
        <v>#VALUE!</v>
      </c>
      <c r="AO144" s="436" t="str">
        <f t="array" ref="AO144">IF(R144=DGET(claves!$A$2:$AS423,R$2,{claves!$A$2;$E144}),1,0)</f>
        <v>#VALUE!</v>
      </c>
      <c r="AP144" s="436" t="str">
        <f t="array" ref="AP144">IF(S144=DGET(claves!$A$2:$AS423,S$2,{claves!$A$2;$E144}),1,0)</f>
        <v>#VALUE!</v>
      </c>
      <c r="AQ144" s="436" t="str">
        <f t="array" ref="AQ144">IF(T144=DGET(claves!$A$2:$AS423,T$2,{claves!$A$2;$E144}),1,0)</f>
        <v>#VALUE!</v>
      </c>
      <c r="AR144" s="436" t="str">
        <f t="array" ref="AR144">IF(U144=DGET(claves!$A$2:$AS423,U$2,{claves!$A$2;$E144}),1,0)</f>
        <v>#VALUE!</v>
      </c>
      <c r="AS144" s="436" t="str">
        <f t="array" ref="AS144">IF(V144=DGET(claves!$A$2:$AS423,V$2,{claves!$A$2;$E144}),1,0)</f>
        <v>#VALUE!</v>
      </c>
      <c r="AT144" s="436" t="str">
        <f t="array" ref="AT144">IF(W144=DGET(claves!$A$2:$AS423,W$2,{claves!$A$2;$E144}),1,0)</f>
        <v>#VALUE!</v>
      </c>
      <c r="AU144" s="436" t="str">
        <f t="array" ref="AU144">IF(X144=DGET(claves!$A$2:$AS423,X$2,{claves!$A$2;$E144}),1,0)</f>
        <v>#VALUE!</v>
      </c>
      <c r="AV144" s="436" t="str">
        <f t="array" ref="AV144">IF(Y144=DGET(claves!$A$2:$AS423,Y$2,{claves!$A$2;$E144}),1,0)</f>
        <v>#VALUE!</v>
      </c>
      <c r="AW144" s="436" t="str">
        <f t="array" ref="AW144">IF(Z144=DGET(claves!$A$2:$AS423,Z$2,{claves!$A$2;$E144}),1,0)</f>
        <v>#VALUE!</v>
      </c>
      <c r="AX144" s="436" t="str">
        <f t="array" ref="AX144">IF(AA144=DGET(claves!$A$2:$AS423,AA$2,{claves!$A$2;$E144}),1,0)</f>
        <v>#VALUE!</v>
      </c>
      <c r="AY144" s="436" t="str">
        <f t="array" ref="AY144">IF(AB144=DGET(claves!$A$2:$AS423,AB$2,{claves!$A$2;$E144}),1,0)</f>
        <v>#VALUE!</v>
      </c>
      <c r="AZ144" s="436" t="str">
        <f t="array" ref="AZ144">IF(AC144=DGET(claves!$A$2:$AS423,AC$2,{claves!$A$2;$E144}),1,0)</f>
        <v>#VALUE!</v>
      </c>
      <c r="BA144" s="436" t="str">
        <f t="array" ref="BA144">IF(AD144=DGET(claves!$A$2:$AS423,AD$2,{claves!$A$2;$E144}),1,0)</f>
        <v>#VALUE!</v>
      </c>
      <c r="BB144" s="436" t="str">
        <f t="array" ref="BB144">IF(AE144=DGET(claves!$A$2:$AS423,AE$2,{claves!$A$2;$E144}),1,0)</f>
        <v>#VALUE!</v>
      </c>
      <c r="BC144" s="436" t="str">
        <f t="array" ref="BC144">IF(AF144=DGET(claves!$A$2:$AS423,AF$2,{claves!$A$2;$E144}),1,0)</f>
        <v>#VALUE!</v>
      </c>
      <c r="BD144" s="437" t="str">
        <f t="shared" si="1"/>
        <v>#VALUE!</v>
      </c>
      <c r="BE144" s="435"/>
      <c r="BF144" s="415"/>
    </row>
    <row r="145" ht="14.25" customHeight="1">
      <c r="A145" s="408">
        <v>143.0</v>
      </c>
      <c r="B145" s="153" t="s">
        <v>224</v>
      </c>
      <c r="C145" s="153">
        <v>2024.0</v>
      </c>
      <c r="D145" s="77" t="s">
        <v>362</v>
      </c>
      <c r="E145" s="409" t="str">
        <f>IFERROR(__xludf.DUMMYFUNCTION("ARRAYFORMULA(JOIN("""", ARRAYFORMULA(MID(SPLIT(F145, "" ""), 1, 1))))
&amp;""/""&amp;G145"),"MQ/4 Primaria")</f>
        <v>MQ/4 Primaria</v>
      </c>
      <c r="F145" s="77" t="s">
        <v>1823</v>
      </c>
      <c r="G145" s="432" t="s">
        <v>20</v>
      </c>
      <c r="H145" s="433" t="s">
        <v>1842</v>
      </c>
      <c r="I145" s="433" t="s">
        <v>1746</v>
      </c>
      <c r="J145" s="433" t="s">
        <v>1843</v>
      </c>
      <c r="K145" s="432" t="s">
        <v>1665</v>
      </c>
      <c r="L145" s="415"/>
      <c r="M145" s="434" t="s">
        <v>1659</v>
      </c>
      <c r="N145" s="434" t="s">
        <v>1661</v>
      </c>
      <c r="O145" s="434" t="s">
        <v>1689</v>
      </c>
      <c r="P145" s="434" t="s">
        <v>1689</v>
      </c>
      <c r="Q145" s="434" t="s">
        <v>1661</v>
      </c>
      <c r="R145" s="434" t="s">
        <v>1660</v>
      </c>
      <c r="S145" s="434" t="s">
        <v>1661</v>
      </c>
      <c r="T145" s="434" t="s">
        <v>1689</v>
      </c>
      <c r="U145" s="434" t="s">
        <v>1660</v>
      </c>
      <c r="V145" s="434" t="s">
        <v>1660</v>
      </c>
      <c r="W145" s="434" t="s">
        <v>1660</v>
      </c>
      <c r="X145" s="434" t="s">
        <v>1661</v>
      </c>
      <c r="Y145" s="434" t="s">
        <v>1660</v>
      </c>
      <c r="Z145" s="434" t="s">
        <v>1689</v>
      </c>
      <c r="AA145" s="434" t="s">
        <v>1659</v>
      </c>
      <c r="AB145" s="434" t="s">
        <v>1661</v>
      </c>
      <c r="AC145" s="434" t="s">
        <v>1661</v>
      </c>
      <c r="AD145" s="434" t="s">
        <v>1689</v>
      </c>
      <c r="AE145" s="434" t="s">
        <v>1660</v>
      </c>
      <c r="AF145" s="434" t="s">
        <v>1659</v>
      </c>
      <c r="AG145" s="427">
        <v>11.0</v>
      </c>
      <c r="AH145" s="435" t="s">
        <v>24</v>
      </c>
      <c r="AI145" s="415"/>
      <c r="AJ145" s="436" t="str">
        <f t="array" ref="AJ145">IF(M145=DGET(claves!$A$2:$AS423,M$2,{claves!$A$2;$E145}),1,0)</f>
        <v>#VALUE!</v>
      </c>
      <c r="AK145" s="436" t="str">
        <f t="array" ref="AK145">IF(N145=DGET(claves!$A$2:$AS423,N$2,{claves!$A$2;$E145}),1,0)</f>
        <v>#VALUE!</v>
      </c>
      <c r="AL145" s="436" t="str">
        <f t="array" ref="AL145">IF(O145=DGET(claves!$A$2:$AS423,O$2,{claves!$A$2;$E145}),1,0)</f>
        <v>#VALUE!</v>
      </c>
      <c r="AM145" s="436" t="str">
        <f t="array" ref="AM145">IF(P145=DGET(claves!$A$2:$AS423,P$2,{claves!$A$2;$E145}),1,0)</f>
        <v>#VALUE!</v>
      </c>
      <c r="AN145" s="436" t="str">
        <f t="array" ref="AN145">IF(Q145=DGET(claves!$A$2:$AS423,Q$2,{claves!$A$2;$E145}),1,0)</f>
        <v>#VALUE!</v>
      </c>
      <c r="AO145" s="436" t="str">
        <f t="array" ref="AO145">IF(R145=DGET(claves!$A$2:$AS423,R$2,{claves!$A$2;$E145}),1,0)</f>
        <v>#VALUE!</v>
      </c>
      <c r="AP145" s="436" t="str">
        <f t="array" ref="AP145">IF(S145=DGET(claves!$A$2:$AS423,S$2,{claves!$A$2;$E145}),1,0)</f>
        <v>#VALUE!</v>
      </c>
      <c r="AQ145" s="436" t="str">
        <f t="array" ref="AQ145">IF(T145=DGET(claves!$A$2:$AS423,T$2,{claves!$A$2;$E145}),1,0)</f>
        <v>#VALUE!</v>
      </c>
      <c r="AR145" s="436" t="str">
        <f t="array" ref="AR145">IF(U145=DGET(claves!$A$2:$AS423,U$2,{claves!$A$2;$E145}),1,0)</f>
        <v>#VALUE!</v>
      </c>
      <c r="AS145" s="436" t="str">
        <f t="array" ref="AS145">IF(V145=DGET(claves!$A$2:$AS423,V$2,{claves!$A$2;$E145}),1,0)</f>
        <v>#VALUE!</v>
      </c>
      <c r="AT145" s="436" t="str">
        <f t="array" ref="AT145">IF(W145=DGET(claves!$A$2:$AS423,W$2,{claves!$A$2;$E145}),1,0)</f>
        <v>#VALUE!</v>
      </c>
      <c r="AU145" s="436" t="str">
        <f t="array" ref="AU145">IF(X145=DGET(claves!$A$2:$AS423,X$2,{claves!$A$2;$E145}),1,0)</f>
        <v>#VALUE!</v>
      </c>
      <c r="AV145" s="436" t="str">
        <f t="array" ref="AV145">IF(Y145=DGET(claves!$A$2:$AS423,Y$2,{claves!$A$2;$E145}),1,0)</f>
        <v>#VALUE!</v>
      </c>
      <c r="AW145" s="436" t="str">
        <f t="array" ref="AW145">IF(Z145=DGET(claves!$A$2:$AS423,Z$2,{claves!$A$2;$E145}),1,0)</f>
        <v>#VALUE!</v>
      </c>
      <c r="AX145" s="436" t="str">
        <f t="array" ref="AX145">IF(AA145=DGET(claves!$A$2:$AS423,AA$2,{claves!$A$2;$E145}),1,0)</f>
        <v>#VALUE!</v>
      </c>
      <c r="AY145" s="436" t="str">
        <f t="array" ref="AY145">IF(AB145=DGET(claves!$A$2:$AS423,AB$2,{claves!$A$2;$E145}),1,0)</f>
        <v>#VALUE!</v>
      </c>
      <c r="AZ145" s="436" t="str">
        <f t="array" ref="AZ145">IF(AC145=DGET(claves!$A$2:$AS423,AC$2,{claves!$A$2;$E145}),1,0)</f>
        <v>#VALUE!</v>
      </c>
      <c r="BA145" s="436" t="str">
        <f t="array" ref="BA145">IF(AD145=DGET(claves!$A$2:$AS423,AD$2,{claves!$A$2;$E145}),1,0)</f>
        <v>#VALUE!</v>
      </c>
      <c r="BB145" s="436" t="str">
        <f t="array" ref="BB145">IF(AE145=DGET(claves!$A$2:$AS423,AE$2,{claves!$A$2;$E145}),1,0)</f>
        <v>#VALUE!</v>
      </c>
      <c r="BC145" s="436" t="str">
        <f t="array" ref="BC145">IF(AF145=DGET(claves!$A$2:$AS423,AF$2,{claves!$A$2;$E145}),1,0)</f>
        <v>#VALUE!</v>
      </c>
      <c r="BD145" s="437" t="str">
        <f t="shared" si="1"/>
        <v>#VALUE!</v>
      </c>
      <c r="BE145" s="435"/>
      <c r="BF145" s="415"/>
    </row>
    <row r="146" ht="14.25" customHeight="1">
      <c r="A146" s="408">
        <v>144.0</v>
      </c>
      <c r="B146" s="153" t="s">
        <v>224</v>
      </c>
      <c r="C146" s="153">
        <v>2024.0</v>
      </c>
      <c r="D146" s="77" t="s">
        <v>362</v>
      </c>
      <c r="E146" s="409" t="str">
        <f>IFERROR(__xludf.DUMMYFUNCTION("ARRAYFORMULA(JOIN("""", ARRAYFORMULA(MID(SPLIT(F146, "" ""), 1, 1))))
&amp;""/""&amp;G146"),"MQ/4 Primaria")</f>
        <v>MQ/4 Primaria</v>
      </c>
      <c r="F146" s="77" t="s">
        <v>1823</v>
      </c>
      <c r="G146" s="432" t="s">
        <v>20</v>
      </c>
      <c r="H146" s="433" t="s">
        <v>1833</v>
      </c>
      <c r="I146" s="433" t="s">
        <v>1684</v>
      </c>
      <c r="J146" s="433" t="s">
        <v>1844</v>
      </c>
      <c r="K146" s="432" t="s">
        <v>1665</v>
      </c>
      <c r="L146" s="415"/>
      <c r="M146" s="434" t="s">
        <v>1689</v>
      </c>
      <c r="N146" s="434" t="s">
        <v>1661</v>
      </c>
      <c r="O146" s="434" t="s">
        <v>1689</v>
      </c>
      <c r="P146" s="434" t="s">
        <v>1659</v>
      </c>
      <c r="Q146" s="434" t="s">
        <v>1661</v>
      </c>
      <c r="R146" s="434" t="s">
        <v>1660</v>
      </c>
      <c r="S146" s="434" t="s">
        <v>1661</v>
      </c>
      <c r="T146" s="434" t="s">
        <v>1689</v>
      </c>
      <c r="U146" s="434" t="s">
        <v>1659</v>
      </c>
      <c r="V146" s="434"/>
      <c r="W146" s="434" t="s">
        <v>1660</v>
      </c>
      <c r="X146" s="434" t="s">
        <v>1661</v>
      </c>
      <c r="Y146" s="434" t="s">
        <v>1659</v>
      </c>
      <c r="Z146" s="434" t="s">
        <v>1689</v>
      </c>
      <c r="AA146" s="434" t="s">
        <v>1660</v>
      </c>
      <c r="AB146" s="434" t="s">
        <v>1660</v>
      </c>
      <c r="AC146" s="434" t="s">
        <v>1661</v>
      </c>
      <c r="AD146" s="434" t="s">
        <v>1661</v>
      </c>
      <c r="AE146" s="434" t="s">
        <v>1661</v>
      </c>
      <c r="AF146" s="434" t="s">
        <v>1660</v>
      </c>
      <c r="AG146" s="427">
        <v>11.0</v>
      </c>
      <c r="AH146" s="435" t="s">
        <v>24</v>
      </c>
      <c r="AI146" s="415"/>
      <c r="AJ146" s="436" t="str">
        <f t="array" ref="AJ146">IF(M146=DGET(claves!$A$2:$AS423,M$2,{claves!$A$2;$E146}),1,0)</f>
        <v>#VALUE!</v>
      </c>
      <c r="AK146" s="436" t="str">
        <f t="array" ref="AK146">IF(N146=DGET(claves!$A$2:$AS423,N$2,{claves!$A$2;$E146}),1,0)</f>
        <v>#VALUE!</v>
      </c>
      <c r="AL146" s="436" t="str">
        <f t="array" ref="AL146">IF(O146=DGET(claves!$A$2:$AS423,O$2,{claves!$A$2;$E146}),1,0)</f>
        <v>#VALUE!</v>
      </c>
      <c r="AM146" s="436" t="str">
        <f t="array" ref="AM146">IF(P146=DGET(claves!$A$2:$AS423,P$2,{claves!$A$2;$E146}),1,0)</f>
        <v>#VALUE!</v>
      </c>
      <c r="AN146" s="436" t="str">
        <f t="array" ref="AN146">IF(Q146=DGET(claves!$A$2:$AS423,Q$2,{claves!$A$2;$E146}),1,0)</f>
        <v>#VALUE!</v>
      </c>
      <c r="AO146" s="436" t="str">
        <f t="array" ref="AO146">IF(R146=DGET(claves!$A$2:$AS423,R$2,{claves!$A$2;$E146}),1,0)</f>
        <v>#VALUE!</v>
      </c>
      <c r="AP146" s="436" t="str">
        <f t="array" ref="AP146">IF(S146=DGET(claves!$A$2:$AS423,S$2,{claves!$A$2;$E146}),1,0)</f>
        <v>#VALUE!</v>
      </c>
      <c r="AQ146" s="436" t="str">
        <f t="array" ref="AQ146">IF(T146=DGET(claves!$A$2:$AS423,T$2,{claves!$A$2;$E146}),1,0)</f>
        <v>#VALUE!</v>
      </c>
      <c r="AR146" s="436" t="str">
        <f t="array" ref="AR146">IF(U146=DGET(claves!$A$2:$AS423,U$2,{claves!$A$2;$E146}),1,0)</f>
        <v>#VALUE!</v>
      </c>
      <c r="AS146" s="436" t="str">
        <f t="array" ref="AS146">IF(V146=DGET(claves!$A$2:$AS423,V$2,{claves!$A$2;$E146}),1,0)</f>
        <v>#VALUE!</v>
      </c>
      <c r="AT146" s="436" t="str">
        <f t="array" ref="AT146">IF(W146=DGET(claves!$A$2:$AS423,W$2,{claves!$A$2;$E146}),1,0)</f>
        <v>#VALUE!</v>
      </c>
      <c r="AU146" s="436" t="str">
        <f t="array" ref="AU146">IF(X146=DGET(claves!$A$2:$AS423,X$2,{claves!$A$2;$E146}),1,0)</f>
        <v>#VALUE!</v>
      </c>
      <c r="AV146" s="436" t="str">
        <f t="array" ref="AV146">IF(Y146=DGET(claves!$A$2:$AS423,Y$2,{claves!$A$2;$E146}),1,0)</f>
        <v>#VALUE!</v>
      </c>
      <c r="AW146" s="436" t="str">
        <f t="array" ref="AW146">IF(Z146=DGET(claves!$A$2:$AS423,Z$2,{claves!$A$2;$E146}),1,0)</f>
        <v>#VALUE!</v>
      </c>
      <c r="AX146" s="436" t="str">
        <f t="array" ref="AX146">IF(AA146=DGET(claves!$A$2:$AS423,AA$2,{claves!$A$2;$E146}),1,0)</f>
        <v>#VALUE!</v>
      </c>
      <c r="AY146" s="436" t="str">
        <f t="array" ref="AY146">IF(AB146=DGET(claves!$A$2:$AS423,AB$2,{claves!$A$2;$E146}),1,0)</f>
        <v>#VALUE!</v>
      </c>
      <c r="AZ146" s="436" t="str">
        <f t="array" ref="AZ146">IF(AC146=DGET(claves!$A$2:$AS423,AC$2,{claves!$A$2;$E146}),1,0)</f>
        <v>#VALUE!</v>
      </c>
      <c r="BA146" s="436" t="str">
        <f t="array" ref="BA146">IF(AD146=DGET(claves!$A$2:$AS423,AD$2,{claves!$A$2;$E146}),1,0)</f>
        <v>#VALUE!</v>
      </c>
      <c r="BB146" s="436" t="str">
        <f t="array" ref="BB146">IF(AE146=DGET(claves!$A$2:$AS423,AE$2,{claves!$A$2;$E146}),1,0)</f>
        <v>#VALUE!</v>
      </c>
      <c r="BC146" s="436" t="str">
        <f t="array" ref="BC146">IF(AF146=DGET(claves!$A$2:$AS423,AF$2,{claves!$A$2;$E146}),1,0)</f>
        <v>#VALUE!</v>
      </c>
      <c r="BD146" s="437" t="str">
        <f t="shared" si="1"/>
        <v>#VALUE!</v>
      </c>
      <c r="BE146" s="435"/>
      <c r="BF146" s="415"/>
    </row>
    <row r="147" ht="14.25" customHeight="1">
      <c r="A147" s="408">
        <v>145.0</v>
      </c>
      <c r="B147" s="153" t="s">
        <v>224</v>
      </c>
      <c r="C147" s="153">
        <v>2024.0</v>
      </c>
      <c r="D147" s="77" t="s">
        <v>362</v>
      </c>
      <c r="E147" s="409" t="str">
        <f>IFERROR(__xludf.DUMMYFUNCTION("ARRAYFORMULA(JOIN("""", ARRAYFORMULA(MID(SPLIT(F147, "" ""), 1, 1))))
&amp;""/""&amp;G147"),"MQ/4 Primaria")</f>
        <v>MQ/4 Primaria</v>
      </c>
      <c r="F147" s="77" t="s">
        <v>1823</v>
      </c>
      <c r="G147" s="432" t="s">
        <v>20</v>
      </c>
      <c r="H147" s="433" t="s">
        <v>1684</v>
      </c>
      <c r="I147" s="433" t="s">
        <v>1712</v>
      </c>
      <c r="J147" s="433" t="s">
        <v>1845</v>
      </c>
      <c r="K147" s="433" t="s">
        <v>1658</v>
      </c>
      <c r="L147" s="415"/>
      <c r="M147" s="434" t="s">
        <v>1661</v>
      </c>
      <c r="N147" s="434" t="s">
        <v>1659</v>
      </c>
      <c r="O147" s="434" t="s">
        <v>1660</v>
      </c>
      <c r="P147" s="434" t="s">
        <v>1659</v>
      </c>
      <c r="Q147" s="434" t="s">
        <v>1689</v>
      </c>
      <c r="R147" s="434" t="s">
        <v>1661</v>
      </c>
      <c r="S147" s="434" t="s">
        <v>1659</v>
      </c>
      <c r="T147" s="434" t="s">
        <v>1661</v>
      </c>
      <c r="U147" s="434" t="s">
        <v>1659</v>
      </c>
      <c r="V147" s="434" t="s">
        <v>1689</v>
      </c>
      <c r="W147" s="434" t="s">
        <v>1689</v>
      </c>
      <c r="X147" s="434" t="s">
        <v>1661</v>
      </c>
      <c r="Y147" s="434" t="s">
        <v>1661</v>
      </c>
      <c r="Z147" s="434" t="s">
        <v>1660</v>
      </c>
      <c r="AA147" s="434" t="s">
        <v>1661</v>
      </c>
      <c r="AB147" s="434" t="s">
        <v>1659</v>
      </c>
      <c r="AC147" s="434" t="s">
        <v>1659</v>
      </c>
      <c r="AD147" s="434" t="s">
        <v>1661</v>
      </c>
      <c r="AE147" s="434" t="s">
        <v>1660</v>
      </c>
      <c r="AF147" s="434" t="s">
        <v>1661</v>
      </c>
      <c r="AG147" s="427">
        <v>6.0</v>
      </c>
      <c r="AH147" s="435" t="s">
        <v>18</v>
      </c>
      <c r="AI147" s="415"/>
      <c r="AJ147" s="436" t="str">
        <f t="array" ref="AJ147">IF(M147=DGET(claves!$A$2:$AS423,M$2,{claves!$A$2;$E147}),1,0)</f>
        <v>#VALUE!</v>
      </c>
      <c r="AK147" s="436" t="str">
        <f t="array" ref="AK147">IF(N147=DGET(claves!$A$2:$AS423,N$2,{claves!$A$2;$E147}),1,0)</f>
        <v>#VALUE!</v>
      </c>
      <c r="AL147" s="436" t="str">
        <f t="array" ref="AL147">IF(O147=DGET(claves!$A$2:$AS423,O$2,{claves!$A$2;$E147}),1,0)</f>
        <v>#VALUE!</v>
      </c>
      <c r="AM147" s="436" t="str">
        <f t="array" ref="AM147">IF(P147=DGET(claves!$A$2:$AS423,P$2,{claves!$A$2;$E147}),1,0)</f>
        <v>#VALUE!</v>
      </c>
      <c r="AN147" s="436" t="str">
        <f t="array" ref="AN147">IF(Q147=DGET(claves!$A$2:$AS423,Q$2,{claves!$A$2;$E147}),1,0)</f>
        <v>#VALUE!</v>
      </c>
      <c r="AO147" s="436" t="str">
        <f t="array" ref="AO147">IF(R147=DGET(claves!$A$2:$AS423,R$2,{claves!$A$2;$E147}),1,0)</f>
        <v>#VALUE!</v>
      </c>
      <c r="AP147" s="436" t="str">
        <f t="array" ref="AP147">IF(S147=DGET(claves!$A$2:$AS423,S$2,{claves!$A$2;$E147}),1,0)</f>
        <v>#VALUE!</v>
      </c>
      <c r="AQ147" s="436" t="str">
        <f t="array" ref="AQ147">IF(T147=DGET(claves!$A$2:$AS423,T$2,{claves!$A$2;$E147}),1,0)</f>
        <v>#VALUE!</v>
      </c>
      <c r="AR147" s="436" t="str">
        <f t="array" ref="AR147">IF(U147=DGET(claves!$A$2:$AS423,U$2,{claves!$A$2;$E147}),1,0)</f>
        <v>#VALUE!</v>
      </c>
      <c r="AS147" s="436" t="str">
        <f t="array" ref="AS147">IF(V147=DGET(claves!$A$2:$AS423,V$2,{claves!$A$2;$E147}),1,0)</f>
        <v>#VALUE!</v>
      </c>
      <c r="AT147" s="436" t="str">
        <f t="array" ref="AT147">IF(W147=DGET(claves!$A$2:$AS423,W$2,{claves!$A$2;$E147}),1,0)</f>
        <v>#VALUE!</v>
      </c>
      <c r="AU147" s="436" t="str">
        <f t="array" ref="AU147">IF(X147=DGET(claves!$A$2:$AS423,X$2,{claves!$A$2;$E147}),1,0)</f>
        <v>#VALUE!</v>
      </c>
      <c r="AV147" s="436" t="str">
        <f t="array" ref="AV147">IF(Y147=DGET(claves!$A$2:$AS423,Y$2,{claves!$A$2;$E147}),1,0)</f>
        <v>#VALUE!</v>
      </c>
      <c r="AW147" s="436" t="str">
        <f t="array" ref="AW147">IF(Z147=DGET(claves!$A$2:$AS423,Z$2,{claves!$A$2;$E147}),1,0)</f>
        <v>#VALUE!</v>
      </c>
      <c r="AX147" s="436" t="str">
        <f t="array" ref="AX147">IF(AA147=DGET(claves!$A$2:$AS423,AA$2,{claves!$A$2;$E147}),1,0)</f>
        <v>#VALUE!</v>
      </c>
      <c r="AY147" s="436" t="str">
        <f t="array" ref="AY147">IF(AB147=DGET(claves!$A$2:$AS423,AB$2,{claves!$A$2;$E147}),1,0)</f>
        <v>#VALUE!</v>
      </c>
      <c r="AZ147" s="436" t="str">
        <f t="array" ref="AZ147">IF(AC147=DGET(claves!$A$2:$AS423,AC$2,{claves!$A$2;$E147}),1,0)</f>
        <v>#VALUE!</v>
      </c>
      <c r="BA147" s="436" t="str">
        <f t="array" ref="BA147">IF(AD147=DGET(claves!$A$2:$AS423,AD$2,{claves!$A$2;$E147}),1,0)</f>
        <v>#VALUE!</v>
      </c>
      <c r="BB147" s="436" t="str">
        <f t="array" ref="BB147">IF(AE147=DGET(claves!$A$2:$AS423,AE$2,{claves!$A$2;$E147}),1,0)</f>
        <v>#VALUE!</v>
      </c>
      <c r="BC147" s="436" t="str">
        <f t="array" ref="BC147">IF(AF147=DGET(claves!$A$2:$AS423,AF$2,{claves!$A$2;$E147}),1,0)</f>
        <v>#VALUE!</v>
      </c>
      <c r="BD147" s="437" t="str">
        <f t="shared" si="1"/>
        <v>#VALUE!</v>
      </c>
      <c r="BE147" s="435"/>
      <c r="BF147" s="415"/>
    </row>
    <row r="148" ht="14.25" customHeight="1">
      <c r="A148" s="408">
        <v>146.0</v>
      </c>
      <c r="B148" s="153" t="s">
        <v>224</v>
      </c>
      <c r="C148" s="153">
        <v>2024.0</v>
      </c>
      <c r="D148" s="77" t="s">
        <v>362</v>
      </c>
      <c r="E148" s="409" t="str">
        <f>IFERROR(__xludf.DUMMYFUNCTION("ARRAYFORMULA(JOIN("""", ARRAYFORMULA(MID(SPLIT(F148, "" ""), 1, 1))))
&amp;""/""&amp;G148"),"MQ/6 Primaria")</f>
        <v>MQ/6 Primaria</v>
      </c>
      <c r="F148" s="77" t="s">
        <v>1823</v>
      </c>
      <c r="G148" s="432" t="s">
        <v>22</v>
      </c>
      <c r="H148" s="433" t="s">
        <v>1744</v>
      </c>
      <c r="I148" s="433" t="s">
        <v>1846</v>
      </c>
      <c r="J148" s="433" t="s">
        <v>1847</v>
      </c>
      <c r="K148" s="432" t="s">
        <v>1665</v>
      </c>
      <c r="L148" s="415"/>
      <c r="M148" s="434" t="s">
        <v>1661</v>
      </c>
      <c r="N148" s="434" t="s">
        <v>1689</v>
      </c>
      <c r="O148" s="434" t="s">
        <v>1661</v>
      </c>
      <c r="P148" s="434" t="s">
        <v>1689</v>
      </c>
      <c r="Q148" s="434" t="s">
        <v>1659</v>
      </c>
      <c r="R148" s="434" t="s">
        <v>1659</v>
      </c>
      <c r="S148" s="434" t="s">
        <v>1659</v>
      </c>
      <c r="T148" s="434" t="s">
        <v>1659</v>
      </c>
      <c r="U148" s="434" t="s">
        <v>1689</v>
      </c>
      <c r="V148" s="434" t="s">
        <v>1689</v>
      </c>
      <c r="W148" s="434" t="s">
        <v>1659</v>
      </c>
      <c r="X148" s="434" t="s">
        <v>1689</v>
      </c>
      <c r="Y148" s="434" t="s">
        <v>1659</v>
      </c>
      <c r="Z148" s="434" t="s">
        <v>1660</v>
      </c>
      <c r="AA148" s="434" t="s">
        <v>1659</v>
      </c>
      <c r="AB148" s="434" t="s">
        <v>1659</v>
      </c>
      <c r="AC148" s="434" t="s">
        <v>1660</v>
      </c>
      <c r="AD148" s="434" t="s">
        <v>1661</v>
      </c>
      <c r="AE148" s="434" t="s">
        <v>1689</v>
      </c>
      <c r="AF148" s="434" t="s">
        <v>1660</v>
      </c>
      <c r="AG148" s="427">
        <v>12.0</v>
      </c>
      <c r="AH148" s="435" t="s">
        <v>24</v>
      </c>
      <c r="AI148" s="415"/>
      <c r="AJ148" s="436" t="str">
        <f t="array" ref="AJ148">IF(M148=DGET(claves!$A$2:$AS423,M$2,{claves!$A$2;$E148}),1,0)</f>
        <v>#VALUE!</v>
      </c>
      <c r="AK148" s="436" t="str">
        <f t="array" ref="AK148">IF(N148=DGET(claves!$A$2:$AS423,N$2,{claves!$A$2;$E148}),1,0)</f>
        <v>#VALUE!</v>
      </c>
      <c r="AL148" s="436" t="str">
        <f t="array" ref="AL148">IF(O148=DGET(claves!$A$2:$AS423,O$2,{claves!$A$2;$E148}),1,0)</f>
        <v>#VALUE!</v>
      </c>
      <c r="AM148" s="436" t="str">
        <f t="array" ref="AM148">IF(P148=DGET(claves!$A$2:$AS423,P$2,{claves!$A$2;$E148}),1,0)</f>
        <v>#VALUE!</v>
      </c>
      <c r="AN148" s="436" t="str">
        <f t="array" ref="AN148">IF(Q148=DGET(claves!$A$2:$AS423,Q$2,{claves!$A$2;$E148}),1,0)</f>
        <v>#VALUE!</v>
      </c>
      <c r="AO148" s="436" t="str">
        <f t="array" ref="AO148">IF(R148=DGET(claves!$A$2:$AS423,R$2,{claves!$A$2;$E148}),1,0)</f>
        <v>#VALUE!</v>
      </c>
      <c r="AP148" s="436" t="str">
        <f t="array" ref="AP148">IF(S148=DGET(claves!$A$2:$AS423,S$2,{claves!$A$2;$E148}),1,0)</f>
        <v>#VALUE!</v>
      </c>
      <c r="AQ148" s="436" t="str">
        <f t="array" ref="AQ148">IF(T148=DGET(claves!$A$2:$AS423,T$2,{claves!$A$2;$E148}),1,0)</f>
        <v>#VALUE!</v>
      </c>
      <c r="AR148" s="436" t="str">
        <f t="array" ref="AR148">IF(U148=DGET(claves!$A$2:$AS423,U$2,{claves!$A$2;$E148}),1,0)</f>
        <v>#VALUE!</v>
      </c>
      <c r="AS148" s="436" t="str">
        <f t="array" ref="AS148">IF(V148=DGET(claves!$A$2:$AS423,V$2,{claves!$A$2;$E148}),1,0)</f>
        <v>#VALUE!</v>
      </c>
      <c r="AT148" s="436" t="str">
        <f t="array" ref="AT148">IF(W148=DGET(claves!$A$2:$AS423,W$2,{claves!$A$2;$E148}),1,0)</f>
        <v>#VALUE!</v>
      </c>
      <c r="AU148" s="436" t="str">
        <f t="array" ref="AU148">IF(X148=DGET(claves!$A$2:$AS423,X$2,{claves!$A$2;$E148}),1,0)</f>
        <v>#VALUE!</v>
      </c>
      <c r="AV148" s="436" t="str">
        <f t="array" ref="AV148">IF(Y148=DGET(claves!$A$2:$AS423,Y$2,{claves!$A$2;$E148}),1,0)</f>
        <v>#VALUE!</v>
      </c>
      <c r="AW148" s="436" t="str">
        <f t="array" ref="AW148">IF(Z148=DGET(claves!$A$2:$AS423,Z$2,{claves!$A$2;$E148}),1,0)</f>
        <v>#VALUE!</v>
      </c>
      <c r="AX148" s="436" t="str">
        <f t="array" ref="AX148">IF(AA148=DGET(claves!$A$2:$AS423,AA$2,{claves!$A$2;$E148}),1,0)</f>
        <v>#VALUE!</v>
      </c>
      <c r="AY148" s="436" t="str">
        <f t="array" ref="AY148">IF(AB148=DGET(claves!$A$2:$AS423,AB$2,{claves!$A$2;$E148}),1,0)</f>
        <v>#VALUE!</v>
      </c>
      <c r="AZ148" s="436" t="str">
        <f t="array" ref="AZ148">IF(AC148=DGET(claves!$A$2:$AS423,AC$2,{claves!$A$2;$E148}),1,0)</f>
        <v>#VALUE!</v>
      </c>
      <c r="BA148" s="436" t="str">
        <f t="array" ref="BA148">IF(AD148=DGET(claves!$A$2:$AS423,AD$2,{claves!$A$2;$E148}),1,0)</f>
        <v>#VALUE!</v>
      </c>
      <c r="BB148" s="436" t="str">
        <f t="array" ref="BB148">IF(AE148=DGET(claves!$A$2:$AS423,AE$2,{claves!$A$2;$E148}),1,0)</f>
        <v>#VALUE!</v>
      </c>
      <c r="BC148" s="436" t="str">
        <f t="array" ref="BC148">IF(AF148=DGET(claves!$A$2:$AS423,AF$2,{claves!$A$2;$E148}),1,0)</f>
        <v>#VALUE!</v>
      </c>
      <c r="BD148" s="437" t="str">
        <f t="shared" si="1"/>
        <v>#VALUE!</v>
      </c>
      <c r="BE148" s="435"/>
      <c r="BF148" s="415"/>
    </row>
    <row r="149" ht="14.25" customHeight="1">
      <c r="A149" s="408">
        <v>147.0</v>
      </c>
      <c r="B149" s="153" t="s">
        <v>224</v>
      </c>
      <c r="C149" s="153">
        <v>2024.0</v>
      </c>
      <c r="D149" s="77" t="s">
        <v>362</v>
      </c>
      <c r="E149" s="409" t="str">
        <f>IFERROR(__xludf.DUMMYFUNCTION("ARRAYFORMULA(JOIN("""", ARRAYFORMULA(MID(SPLIT(F149, "" ""), 1, 1))))
&amp;""/""&amp;G149"),"MQ/6 Primaria")</f>
        <v>MQ/6 Primaria</v>
      </c>
      <c r="F149" s="77" t="s">
        <v>1823</v>
      </c>
      <c r="G149" s="432" t="s">
        <v>22</v>
      </c>
      <c r="H149" s="433" t="s">
        <v>1848</v>
      </c>
      <c r="I149" s="433" t="s">
        <v>1684</v>
      </c>
      <c r="J149" s="433" t="s">
        <v>1849</v>
      </c>
      <c r="K149" s="433" t="s">
        <v>1658</v>
      </c>
      <c r="L149" s="415"/>
      <c r="M149" s="434" t="s">
        <v>1689</v>
      </c>
      <c r="N149" s="434" t="s">
        <v>1689</v>
      </c>
      <c r="O149" s="434" t="s">
        <v>1689</v>
      </c>
      <c r="P149" s="434" t="s">
        <v>1689</v>
      </c>
      <c r="Q149" s="434" t="s">
        <v>1660</v>
      </c>
      <c r="R149" s="434" t="s">
        <v>1689</v>
      </c>
      <c r="S149" s="434" t="s">
        <v>1659</v>
      </c>
      <c r="T149" s="434" t="s">
        <v>1659</v>
      </c>
      <c r="U149" s="434" t="s">
        <v>1689</v>
      </c>
      <c r="V149" s="434" t="s">
        <v>1661</v>
      </c>
      <c r="W149" s="434" t="s">
        <v>1689</v>
      </c>
      <c r="X149" s="434" t="s">
        <v>1659</v>
      </c>
      <c r="Y149" s="434" t="s">
        <v>1660</v>
      </c>
      <c r="Z149" s="434" t="s">
        <v>1689</v>
      </c>
      <c r="AA149" s="434" t="s">
        <v>1659</v>
      </c>
      <c r="AB149" s="434" t="s">
        <v>1689</v>
      </c>
      <c r="AC149" s="434" t="s">
        <v>1689</v>
      </c>
      <c r="AD149" s="434" t="s">
        <v>1661</v>
      </c>
      <c r="AE149" s="434" t="s">
        <v>1689</v>
      </c>
      <c r="AF149" s="434" t="s">
        <v>1660</v>
      </c>
      <c r="AG149" s="427">
        <v>8.0</v>
      </c>
      <c r="AH149" s="435" t="s">
        <v>18</v>
      </c>
      <c r="AI149" s="415"/>
      <c r="AJ149" s="436" t="str">
        <f t="array" ref="AJ149">IF(M149=DGET(claves!$A$2:$AS423,M$2,{claves!$A$2;$E149}),1,0)</f>
        <v>#VALUE!</v>
      </c>
      <c r="AK149" s="436" t="str">
        <f t="array" ref="AK149">IF(N149=DGET(claves!$A$2:$AS423,N$2,{claves!$A$2;$E149}),1,0)</f>
        <v>#VALUE!</v>
      </c>
      <c r="AL149" s="436" t="str">
        <f t="array" ref="AL149">IF(O149=DGET(claves!$A$2:$AS423,O$2,{claves!$A$2;$E149}),1,0)</f>
        <v>#VALUE!</v>
      </c>
      <c r="AM149" s="436" t="str">
        <f t="array" ref="AM149">IF(P149=DGET(claves!$A$2:$AS423,P$2,{claves!$A$2;$E149}),1,0)</f>
        <v>#VALUE!</v>
      </c>
      <c r="AN149" s="436" t="str">
        <f t="array" ref="AN149">IF(Q149=DGET(claves!$A$2:$AS423,Q$2,{claves!$A$2;$E149}),1,0)</f>
        <v>#VALUE!</v>
      </c>
      <c r="AO149" s="436" t="str">
        <f t="array" ref="AO149">IF(R149=DGET(claves!$A$2:$AS423,R$2,{claves!$A$2;$E149}),1,0)</f>
        <v>#VALUE!</v>
      </c>
      <c r="AP149" s="436" t="str">
        <f t="array" ref="AP149">IF(S149=DGET(claves!$A$2:$AS423,S$2,{claves!$A$2;$E149}),1,0)</f>
        <v>#VALUE!</v>
      </c>
      <c r="AQ149" s="436" t="str">
        <f t="array" ref="AQ149">IF(T149=DGET(claves!$A$2:$AS423,T$2,{claves!$A$2;$E149}),1,0)</f>
        <v>#VALUE!</v>
      </c>
      <c r="AR149" s="436" t="str">
        <f t="array" ref="AR149">IF(U149=DGET(claves!$A$2:$AS423,U$2,{claves!$A$2;$E149}),1,0)</f>
        <v>#VALUE!</v>
      </c>
      <c r="AS149" s="436" t="str">
        <f t="array" ref="AS149">IF(V149=DGET(claves!$A$2:$AS423,V$2,{claves!$A$2;$E149}),1,0)</f>
        <v>#VALUE!</v>
      </c>
      <c r="AT149" s="436" t="str">
        <f t="array" ref="AT149">IF(W149=DGET(claves!$A$2:$AS423,W$2,{claves!$A$2;$E149}),1,0)</f>
        <v>#VALUE!</v>
      </c>
      <c r="AU149" s="436" t="str">
        <f t="array" ref="AU149">IF(X149=DGET(claves!$A$2:$AS423,X$2,{claves!$A$2;$E149}),1,0)</f>
        <v>#VALUE!</v>
      </c>
      <c r="AV149" s="436" t="str">
        <f t="array" ref="AV149">IF(Y149=DGET(claves!$A$2:$AS423,Y$2,{claves!$A$2;$E149}),1,0)</f>
        <v>#VALUE!</v>
      </c>
      <c r="AW149" s="436" t="str">
        <f t="array" ref="AW149">IF(Z149=DGET(claves!$A$2:$AS423,Z$2,{claves!$A$2;$E149}),1,0)</f>
        <v>#VALUE!</v>
      </c>
      <c r="AX149" s="436" t="str">
        <f t="array" ref="AX149">IF(AA149=DGET(claves!$A$2:$AS423,AA$2,{claves!$A$2;$E149}),1,0)</f>
        <v>#VALUE!</v>
      </c>
      <c r="AY149" s="436" t="str">
        <f t="array" ref="AY149">IF(AB149=DGET(claves!$A$2:$AS423,AB$2,{claves!$A$2;$E149}),1,0)</f>
        <v>#VALUE!</v>
      </c>
      <c r="AZ149" s="436" t="str">
        <f t="array" ref="AZ149">IF(AC149=DGET(claves!$A$2:$AS423,AC$2,{claves!$A$2;$E149}),1,0)</f>
        <v>#VALUE!</v>
      </c>
      <c r="BA149" s="436" t="str">
        <f t="array" ref="BA149">IF(AD149=DGET(claves!$A$2:$AS423,AD$2,{claves!$A$2;$E149}),1,0)</f>
        <v>#VALUE!</v>
      </c>
      <c r="BB149" s="436" t="str">
        <f t="array" ref="BB149">IF(AE149=DGET(claves!$A$2:$AS423,AE$2,{claves!$A$2;$E149}),1,0)</f>
        <v>#VALUE!</v>
      </c>
      <c r="BC149" s="436" t="str">
        <f t="array" ref="BC149">IF(AF149=DGET(claves!$A$2:$AS423,AF$2,{claves!$A$2;$E149}),1,0)</f>
        <v>#VALUE!</v>
      </c>
      <c r="BD149" s="437" t="str">
        <f t="shared" si="1"/>
        <v>#VALUE!</v>
      </c>
      <c r="BE149" s="435"/>
      <c r="BF149" s="415"/>
    </row>
    <row r="150" ht="14.25" customHeight="1">
      <c r="A150" s="408">
        <v>148.0</v>
      </c>
      <c r="B150" s="153" t="s">
        <v>224</v>
      </c>
      <c r="C150" s="153">
        <v>2024.0</v>
      </c>
      <c r="D150" s="77" t="s">
        <v>362</v>
      </c>
      <c r="E150" s="409" t="str">
        <f>IFERROR(__xludf.DUMMYFUNCTION("ARRAYFORMULA(JOIN("""", ARRAYFORMULA(MID(SPLIT(F150, "" ""), 1, 1))))
&amp;""/""&amp;G150"),"MQ/6 Primaria")</f>
        <v>MQ/6 Primaria</v>
      </c>
      <c r="F150" s="77" t="s">
        <v>1823</v>
      </c>
      <c r="G150" s="432" t="s">
        <v>22</v>
      </c>
      <c r="H150" s="433" t="s">
        <v>1684</v>
      </c>
      <c r="I150" s="433" t="s">
        <v>1728</v>
      </c>
      <c r="J150" s="433" t="s">
        <v>1850</v>
      </c>
      <c r="K150" s="433" t="s">
        <v>1658</v>
      </c>
      <c r="L150" s="415"/>
      <c r="M150" s="434" t="s">
        <v>1661</v>
      </c>
      <c r="N150" s="434" t="s">
        <v>1689</v>
      </c>
      <c r="O150" s="434" t="s">
        <v>1661</v>
      </c>
      <c r="P150" s="434" t="s">
        <v>1689</v>
      </c>
      <c r="Q150" s="434" t="s">
        <v>1659</v>
      </c>
      <c r="R150" s="434" t="s">
        <v>1659</v>
      </c>
      <c r="S150" s="434" t="s">
        <v>1660</v>
      </c>
      <c r="T150" s="434"/>
      <c r="U150" s="434" t="s">
        <v>1659</v>
      </c>
      <c r="V150" s="434" t="s">
        <v>1689</v>
      </c>
      <c r="W150" s="434" t="s">
        <v>1661</v>
      </c>
      <c r="X150" s="434" t="s">
        <v>1689</v>
      </c>
      <c r="Y150" s="434" t="s">
        <v>1661</v>
      </c>
      <c r="Z150" s="434" t="s">
        <v>1689</v>
      </c>
      <c r="AA150" s="434" t="s">
        <v>1661</v>
      </c>
      <c r="AB150" s="434" t="s">
        <v>1689</v>
      </c>
      <c r="AC150" s="434" t="s">
        <v>1660</v>
      </c>
      <c r="AD150" s="434" t="s">
        <v>1689</v>
      </c>
      <c r="AE150" s="434" t="s">
        <v>1660</v>
      </c>
      <c r="AF150" s="434" t="s">
        <v>1660</v>
      </c>
      <c r="AG150" s="427">
        <v>11.0</v>
      </c>
      <c r="AH150" s="435" t="s">
        <v>24</v>
      </c>
      <c r="AI150" s="415"/>
      <c r="AJ150" s="436" t="str">
        <f t="array" ref="AJ150">IF(M150=DGET(claves!$A$2:$AS423,M$2,{claves!$A$2;$E150}),1,0)</f>
        <v>#VALUE!</v>
      </c>
      <c r="AK150" s="436" t="str">
        <f t="array" ref="AK150">IF(N150=DGET(claves!$A$2:$AS423,N$2,{claves!$A$2;$E150}),1,0)</f>
        <v>#VALUE!</v>
      </c>
      <c r="AL150" s="436" t="str">
        <f t="array" ref="AL150">IF(O150=DGET(claves!$A$2:$AS423,O$2,{claves!$A$2;$E150}),1,0)</f>
        <v>#VALUE!</v>
      </c>
      <c r="AM150" s="436" t="str">
        <f t="array" ref="AM150">IF(P150=DGET(claves!$A$2:$AS423,P$2,{claves!$A$2;$E150}),1,0)</f>
        <v>#VALUE!</v>
      </c>
      <c r="AN150" s="436" t="str">
        <f t="array" ref="AN150">IF(Q150=DGET(claves!$A$2:$AS423,Q$2,{claves!$A$2;$E150}),1,0)</f>
        <v>#VALUE!</v>
      </c>
      <c r="AO150" s="436" t="str">
        <f t="array" ref="AO150">IF(R150=DGET(claves!$A$2:$AS423,R$2,{claves!$A$2;$E150}),1,0)</f>
        <v>#VALUE!</v>
      </c>
      <c r="AP150" s="436" t="str">
        <f t="array" ref="AP150">IF(S150=DGET(claves!$A$2:$AS423,S$2,{claves!$A$2;$E150}),1,0)</f>
        <v>#VALUE!</v>
      </c>
      <c r="AQ150" s="436" t="str">
        <f t="array" ref="AQ150">IF(T150=DGET(claves!$A$2:$AS423,T$2,{claves!$A$2;$E150}),1,0)</f>
        <v>#VALUE!</v>
      </c>
      <c r="AR150" s="436" t="str">
        <f t="array" ref="AR150">IF(U150=DGET(claves!$A$2:$AS423,U$2,{claves!$A$2;$E150}),1,0)</f>
        <v>#VALUE!</v>
      </c>
      <c r="AS150" s="436" t="str">
        <f t="array" ref="AS150">IF(V150=DGET(claves!$A$2:$AS423,V$2,{claves!$A$2;$E150}),1,0)</f>
        <v>#VALUE!</v>
      </c>
      <c r="AT150" s="436" t="str">
        <f t="array" ref="AT150">IF(W150=DGET(claves!$A$2:$AS423,W$2,{claves!$A$2;$E150}),1,0)</f>
        <v>#VALUE!</v>
      </c>
      <c r="AU150" s="436" t="str">
        <f t="array" ref="AU150">IF(X150=DGET(claves!$A$2:$AS423,X$2,{claves!$A$2;$E150}),1,0)</f>
        <v>#VALUE!</v>
      </c>
      <c r="AV150" s="436" t="str">
        <f t="array" ref="AV150">IF(Y150=DGET(claves!$A$2:$AS423,Y$2,{claves!$A$2;$E150}),1,0)</f>
        <v>#VALUE!</v>
      </c>
      <c r="AW150" s="436" t="str">
        <f t="array" ref="AW150">IF(Z150=DGET(claves!$A$2:$AS423,Z$2,{claves!$A$2;$E150}),1,0)</f>
        <v>#VALUE!</v>
      </c>
      <c r="AX150" s="436" t="str">
        <f t="array" ref="AX150">IF(AA150=DGET(claves!$A$2:$AS423,AA$2,{claves!$A$2;$E150}),1,0)</f>
        <v>#VALUE!</v>
      </c>
      <c r="AY150" s="436" t="str">
        <f t="array" ref="AY150">IF(AB150=DGET(claves!$A$2:$AS423,AB$2,{claves!$A$2;$E150}),1,0)</f>
        <v>#VALUE!</v>
      </c>
      <c r="AZ150" s="436" t="str">
        <f t="array" ref="AZ150">IF(AC150=DGET(claves!$A$2:$AS423,AC$2,{claves!$A$2;$E150}),1,0)</f>
        <v>#VALUE!</v>
      </c>
      <c r="BA150" s="436" t="str">
        <f t="array" ref="BA150">IF(AD150=DGET(claves!$A$2:$AS423,AD$2,{claves!$A$2;$E150}),1,0)</f>
        <v>#VALUE!</v>
      </c>
      <c r="BB150" s="436" t="str">
        <f t="array" ref="BB150">IF(AE150=DGET(claves!$A$2:$AS423,AE$2,{claves!$A$2;$E150}),1,0)</f>
        <v>#VALUE!</v>
      </c>
      <c r="BC150" s="436" t="str">
        <f t="array" ref="BC150">IF(AF150=DGET(claves!$A$2:$AS423,AF$2,{claves!$A$2;$E150}),1,0)</f>
        <v>#VALUE!</v>
      </c>
      <c r="BD150" s="437" t="str">
        <f t="shared" si="1"/>
        <v>#VALUE!</v>
      </c>
      <c r="BE150" s="435"/>
      <c r="BF150" s="415"/>
    </row>
    <row r="151" ht="14.25" customHeight="1">
      <c r="A151" s="408">
        <v>149.0</v>
      </c>
      <c r="B151" s="153" t="s">
        <v>1851</v>
      </c>
      <c r="C151" s="153">
        <v>2024.0</v>
      </c>
      <c r="D151" s="77" t="s">
        <v>362</v>
      </c>
      <c r="E151" s="409" t="str">
        <f>IFERROR(__xludf.DUMMYFUNCTION("ARRAYFORMULA(JOIN("""", ARRAYFORMULA(MID(SPLIT(F151, "" ""), 1, 1))))
&amp;""/""&amp;G151"),"MQ/2 Primaria")</f>
        <v>MQ/2 Primaria</v>
      </c>
      <c r="F151" s="77" t="s">
        <v>1823</v>
      </c>
      <c r="G151" s="432" t="s">
        <v>15</v>
      </c>
      <c r="H151" s="433" t="s">
        <v>1746</v>
      </c>
      <c r="I151" s="433" t="s">
        <v>1771</v>
      </c>
      <c r="J151" s="433" t="s">
        <v>1852</v>
      </c>
      <c r="K151" s="433" t="s">
        <v>1658</v>
      </c>
      <c r="L151" s="415"/>
      <c r="M151" s="434" t="s">
        <v>1825</v>
      </c>
      <c r="N151" s="434" t="s">
        <v>1825</v>
      </c>
      <c r="O151" s="434" t="s">
        <v>1660</v>
      </c>
      <c r="P151" s="434" t="s">
        <v>1826</v>
      </c>
      <c r="Q151" s="434" t="s">
        <v>1826</v>
      </c>
      <c r="R151" s="434" t="s">
        <v>1660</v>
      </c>
      <c r="S151" s="434" t="s">
        <v>1826</v>
      </c>
      <c r="T151" s="434" t="s">
        <v>1825</v>
      </c>
      <c r="U151" s="434" t="s">
        <v>1826</v>
      </c>
      <c r="V151" s="434" t="s">
        <v>1825</v>
      </c>
      <c r="W151" s="434" t="s">
        <v>1660</v>
      </c>
      <c r="X151" s="434" t="s">
        <v>1826</v>
      </c>
      <c r="Y151" s="434" t="s">
        <v>1826</v>
      </c>
      <c r="Z151" s="434" t="s">
        <v>1660</v>
      </c>
      <c r="AA151" s="434" t="s">
        <v>1826</v>
      </c>
      <c r="AB151" s="434" t="s">
        <v>1825</v>
      </c>
      <c r="AC151" s="434" t="s">
        <v>1660</v>
      </c>
      <c r="AD151" s="434" t="s">
        <v>1826</v>
      </c>
      <c r="AE151" s="434" t="s">
        <v>1825</v>
      </c>
      <c r="AF151" s="434" t="s">
        <v>1825</v>
      </c>
      <c r="AG151" s="427">
        <v>15.0</v>
      </c>
      <c r="AH151" s="435" t="s">
        <v>24</v>
      </c>
      <c r="AI151" s="415"/>
      <c r="AJ151" s="436" t="str">
        <f t="array" ref="AJ151">IF(M151=DGET(claves!$A$2:$AS423,M$2,{claves!$A$2;$E151}),1,0)</f>
        <v>#VALUE!</v>
      </c>
      <c r="AK151" s="436" t="str">
        <f t="array" ref="AK151">IF(N151=DGET(claves!$A$2:$AS423,N$2,{claves!$A$2;$E151}),1,0)</f>
        <v>#VALUE!</v>
      </c>
      <c r="AL151" s="436" t="str">
        <f t="array" ref="AL151">IF(O151=DGET(claves!$A$2:$AS423,O$2,{claves!$A$2;$E151}),1,0)</f>
        <v>#VALUE!</v>
      </c>
      <c r="AM151" s="436" t="str">
        <f t="array" ref="AM151">IF(P151=DGET(claves!$A$2:$AS423,P$2,{claves!$A$2;$E151}),1,0)</f>
        <v>#VALUE!</v>
      </c>
      <c r="AN151" s="436" t="str">
        <f t="array" ref="AN151">IF(Q151=DGET(claves!$A$2:$AS423,Q$2,{claves!$A$2;$E151}),1,0)</f>
        <v>#VALUE!</v>
      </c>
      <c r="AO151" s="436" t="str">
        <f t="array" ref="AO151">IF(R151=DGET(claves!$A$2:$AS423,R$2,{claves!$A$2;$E151}),1,0)</f>
        <v>#VALUE!</v>
      </c>
      <c r="AP151" s="436" t="str">
        <f t="array" ref="AP151">IF(S151=DGET(claves!$A$2:$AS423,S$2,{claves!$A$2;$E151}),1,0)</f>
        <v>#VALUE!</v>
      </c>
      <c r="AQ151" s="436" t="str">
        <f t="array" ref="AQ151">IF(T151=DGET(claves!$A$2:$AS423,T$2,{claves!$A$2;$E151}),1,0)</f>
        <v>#VALUE!</v>
      </c>
      <c r="AR151" s="436" t="str">
        <f t="array" ref="AR151">IF(U151=DGET(claves!$A$2:$AS423,U$2,{claves!$A$2;$E151}),1,0)</f>
        <v>#VALUE!</v>
      </c>
      <c r="AS151" s="436" t="str">
        <f t="array" ref="AS151">IF(V151=DGET(claves!$A$2:$AS423,V$2,{claves!$A$2;$E151}),1,0)</f>
        <v>#VALUE!</v>
      </c>
      <c r="AT151" s="436" t="str">
        <f t="array" ref="AT151">IF(W151=DGET(claves!$A$2:$AS423,W$2,{claves!$A$2;$E151}),1,0)</f>
        <v>#VALUE!</v>
      </c>
      <c r="AU151" s="436" t="str">
        <f t="array" ref="AU151">IF(X151=DGET(claves!$A$2:$AS423,X$2,{claves!$A$2;$E151}),1,0)</f>
        <v>#VALUE!</v>
      </c>
      <c r="AV151" s="436" t="str">
        <f t="array" ref="AV151">IF(Y151=DGET(claves!$A$2:$AS423,Y$2,{claves!$A$2;$E151}),1,0)</f>
        <v>#VALUE!</v>
      </c>
      <c r="AW151" s="436" t="str">
        <f t="array" ref="AW151">IF(Z151=DGET(claves!$A$2:$AS423,Z$2,{claves!$A$2;$E151}),1,0)</f>
        <v>#VALUE!</v>
      </c>
      <c r="AX151" s="436" t="str">
        <f t="array" ref="AX151">IF(AA151=DGET(claves!$A$2:$AS423,AA$2,{claves!$A$2;$E151}),1,0)</f>
        <v>#VALUE!</v>
      </c>
      <c r="AY151" s="436" t="str">
        <f t="array" ref="AY151">IF(AB151=DGET(claves!$A$2:$AS423,AB$2,{claves!$A$2;$E151}),1,0)</f>
        <v>#VALUE!</v>
      </c>
      <c r="AZ151" s="436" t="str">
        <f t="array" ref="AZ151">IF(AC151=DGET(claves!$A$2:$AS423,AC$2,{claves!$A$2;$E151}),1,0)</f>
        <v>#VALUE!</v>
      </c>
      <c r="BA151" s="436" t="str">
        <f t="array" ref="BA151">IF(AD151=DGET(claves!$A$2:$AS423,AD$2,{claves!$A$2;$E151}),1,0)</f>
        <v>#VALUE!</v>
      </c>
      <c r="BB151" s="436" t="str">
        <f t="array" ref="BB151">IF(AE151=DGET(claves!$A$2:$AS423,AE$2,{claves!$A$2;$E151}),1,0)</f>
        <v>#VALUE!</v>
      </c>
      <c r="BC151" s="436" t="str">
        <f t="array" ref="BC151">IF(AF151=DGET(claves!$A$2:$AS423,AF$2,{claves!$A$2;$E151}),1,0)</f>
        <v>#VALUE!</v>
      </c>
      <c r="BD151" s="437" t="str">
        <f t="shared" si="1"/>
        <v>#VALUE!</v>
      </c>
      <c r="BE151" s="435"/>
      <c r="BF151" s="415"/>
    </row>
    <row r="152" ht="14.25" customHeight="1">
      <c r="A152" s="408">
        <v>150.0</v>
      </c>
      <c r="B152" s="153" t="s">
        <v>1851</v>
      </c>
      <c r="C152" s="153">
        <v>2024.0</v>
      </c>
      <c r="D152" s="77" t="s">
        <v>362</v>
      </c>
      <c r="E152" s="409" t="str">
        <f>IFERROR(__xludf.DUMMYFUNCTION("ARRAYFORMULA(JOIN("""", ARRAYFORMULA(MID(SPLIT(F152, "" ""), 1, 1))))
&amp;""/""&amp;G152"),"MQ/2 Primaria")</f>
        <v>MQ/2 Primaria</v>
      </c>
      <c r="F152" s="77" t="s">
        <v>1823</v>
      </c>
      <c r="G152" s="432" t="s">
        <v>15</v>
      </c>
      <c r="H152" s="433" t="s">
        <v>1853</v>
      </c>
      <c r="I152" s="433" t="s">
        <v>1854</v>
      </c>
      <c r="J152" s="433" t="s">
        <v>1855</v>
      </c>
      <c r="K152" s="432" t="s">
        <v>1665</v>
      </c>
      <c r="L152" s="415"/>
      <c r="M152" s="434" t="s">
        <v>1825</v>
      </c>
      <c r="N152" s="434" t="s">
        <v>1825</v>
      </c>
      <c r="O152" s="434" t="s">
        <v>1660</v>
      </c>
      <c r="P152" s="434" t="s">
        <v>1826</v>
      </c>
      <c r="Q152" s="434" t="s">
        <v>1826</v>
      </c>
      <c r="R152" s="434" t="s">
        <v>1660</v>
      </c>
      <c r="S152" s="434" t="s">
        <v>1826</v>
      </c>
      <c r="T152" s="434" t="s">
        <v>1825</v>
      </c>
      <c r="U152" s="434" t="s">
        <v>1826</v>
      </c>
      <c r="V152" s="434" t="s">
        <v>1660</v>
      </c>
      <c r="W152" s="434" t="s">
        <v>1825</v>
      </c>
      <c r="X152" s="434" t="s">
        <v>1826</v>
      </c>
      <c r="Y152" s="434" t="s">
        <v>1660</v>
      </c>
      <c r="Z152" s="434" t="s">
        <v>1660</v>
      </c>
      <c r="AA152" s="434" t="s">
        <v>1826</v>
      </c>
      <c r="AB152" s="434" t="s">
        <v>1825</v>
      </c>
      <c r="AC152" s="434" t="s">
        <v>1660</v>
      </c>
      <c r="AD152" s="434" t="s">
        <v>1825</v>
      </c>
      <c r="AE152" s="434" t="s">
        <v>1825</v>
      </c>
      <c r="AF152" s="434" t="s">
        <v>1825</v>
      </c>
      <c r="AG152" s="427">
        <v>15.0</v>
      </c>
      <c r="AH152" s="435" t="s">
        <v>24</v>
      </c>
      <c r="AI152" s="415"/>
      <c r="AJ152" s="436" t="str">
        <f t="array" ref="AJ152">IF(M152=DGET(claves!$A$2:$AS423,M$2,{claves!$A$2;$E152}),1,0)</f>
        <v>#VALUE!</v>
      </c>
      <c r="AK152" s="436" t="str">
        <f t="array" ref="AK152">IF(N152=DGET(claves!$A$2:$AS423,N$2,{claves!$A$2;$E152}),1,0)</f>
        <v>#VALUE!</v>
      </c>
      <c r="AL152" s="436" t="str">
        <f t="array" ref="AL152">IF(O152=DGET(claves!$A$2:$AS423,O$2,{claves!$A$2;$E152}),1,0)</f>
        <v>#VALUE!</v>
      </c>
      <c r="AM152" s="436" t="str">
        <f t="array" ref="AM152">IF(P152=DGET(claves!$A$2:$AS423,P$2,{claves!$A$2;$E152}),1,0)</f>
        <v>#VALUE!</v>
      </c>
      <c r="AN152" s="436" t="str">
        <f t="array" ref="AN152">IF(Q152=DGET(claves!$A$2:$AS423,Q$2,{claves!$A$2;$E152}),1,0)</f>
        <v>#VALUE!</v>
      </c>
      <c r="AO152" s="436" t="str">
        <f t="array" ref="AO152">IF(R152=DGET(claves!$A$2:$AS423,R$2,{claves!$A$2;$E152}),1,0)</f>
        <v>#VALUE!</v>
      </c>
      <c r="AP152" s="436" t="str">
        <f t="array" ref="AP152">IF(S152=DGET(claves!$A$2:$AS423,S$2,{claves!$A$2;$E152}),1,0)</f>
        <v>#VALUE!</v>
      </c>
      <c r="AQ152" s="436" t="str">
        <f t="array" ref="AQ152">IF(T152=DGET(claves!$A$2:$AS423,T$2,{claves!$A$2;$E152}),1,0)</f>
        <v>#VALUE!</v>
      </c>
      <c r="AR152" s="436" t="str">
        <f t="array" ref="AR152">IF(U152=DGET(claves!$A$2:$AS423,U$2,{claves!$A$2;$E152}),1,0)</f>
        <v>#VALUE!</v>
      </c>
      <c r="AS152" s="436" t="str">
        <f t="array" ref="AS152">IF(V152=DGET(claves!$A$2:$AS423,V$2,{claves!$A$2;$E152}),1,0)</f>
        <v>#VALUE!</v>
      </c>
      <c r="AT152" s="436" t="str">
        <f t="array" ref="AT152">IF(W152=DGET(claves!$A$2:$AS423,W$2,{claves!$A$2;$E152}),1,0)</f>
        <v>#VALUE!</v>
      </c>
      <c r="AU152" s="436" t="str">
        <f t="array" ref="AU152">IF(X152=DGET(claves!$A$2:$AS423,X$2,{claves!$A$2;$E152}),1,0)</f>
        <v>#VALUE!</v>
      </c>
      <c r="AV152" s="436" t="str">
        <f t="array" ref="AV152">IF(Y152=DGET(claves!$A$2:$AS423,Y$2,{claves!$A$2;$E152}),1,0)</f>
        <v>#VALUE!</v>
      </c>
      <c r="AW152" s="436" t="str">
        <f t="array" ref="AW152">IF(Z152=DGET(claves!$A$2:$AS423,Z$2,{claves!$A$2;$E152}),1,0)</f>
        <v>#VALUE!</v>
      </c>
      <c r="AX152" s="436" t="str">
        <f t="array" ref="AX152">IF(AA152=DGET(claves!$A$2:$AS423,AA$2,{claves!$A$2;$E152}),1,0)</f>
        <v>#VALUE!</v>
      </c>
      <c r="AY152" s="436" t="str">
        <f t="array" ref="AY152">IF(AB152=DGET(claves!$A$2:$AS423,AB$2,{claves!$A$2;$E152}),1,0)</f>
        <v>#VALUE!</v>
      </c>
      <c r="AZ152" s="436" t="str">
        <f t="array" ref="AZ152">IF(AC152=DGET(claves!$A$2:$AS423,AC$2,{claves!$A$2;$E152}),1,0)</f>
        <v>#VALUE!</v>
      </c>
      <c r="BA152" s="436" t="str">
        <f t="array" ref="BA152">IF(AD152=DGET(claves!$A$2:$AS423,AD$2,{claves!$A$2;$E152}),1,0)</f>
        <v>#VALUE!</v>
      </c>
      <c r="BB152" s="436" t="str">
        <f t="array" ref="BB152">IF(AE152=DGET(claves!$A$2:$AS423,AE$2,{claves!$A$2;$E152}),1,0)</f>
        <v>#VALUE!</v>
      </c>
      <c r="BC152" s="436" t="str">
        <f t="array" ref="BC152">IF(AF152=DGET(claves!$A$2:$AS423,AF$2,{claves!$A$2;$E152}),1,0)</f>
        <v>#VALUE!</v>
      </c>
      <c r="BD152" s="437" t="str">
        <f t="shared" si="1"/>
        <v>#VALUE!</v>
      </c>
      <c r="BE152" s="435"/>
      <c r="BF152" s="415"/>
    </row>
    <row r="153" ht="14.25" customHeight="1">
      <c r="A153" s="408">
        <v>151.0</v>
      </c>
      <c r="B153" s="153" t="s">
        <v>1851</v>
      </c>
      <c r="C153" s="153">
        <v>2024.0</v>
      </c>
      <c r="D153" s="77" t="s">
        <v>362</v>
      </c>
      <c r="E153" s="409" t="str">
        <f>IFERROR(__xludf.DUMMYFUNCTION("ARRAYFORMULA(JOIN("""", ARRAYFORMULA(MID(SPLIT(F153, "" ""), 1, 1))))
&amp;""/""&amp;G153"),"MQ/2 Primaria")</f>
        <v>MQ/2 Primaria</v>
      </c>
      <c r="F153" s="77" t="s">
        <v>1823</v>
      </c>
      <c r="G153" s="432" t="s">
        <v>15</v>
      </c>
      <c r="H153" s="433" t="s">
        <v>1856</v>
      </c>
      <c r="I153" s="433" t="s">
        <v>1857</v>
      </c>
      <c r="J153" s="433" t="s">
        <v>1858</v>
      </c>
      <c r="K153" s="433" t="s">
        <v>1658</v>
      </c>
      <c r="L153" s="415"/>
      <c r="M153" s="434" t="s">
        <v>1825</v>
      </c>
      <c r="N153" s="434" t="s">
        <v>1825</v>
      </c>
      <c r="O153" s="434" t="s">
        <v>1660</v>
      </c>
      <c r="P153" s="434" t="s">
        <v>1826</v>
      </c>
      <c r="Q153" s="434" t="s">
        <v>1826</v>
      </c>
      <c r="R153" s="434" t="s">
        <v>1660</v>
      </c>
      <c r="S153" s="434" t="s">
        <v>1826</v>
      </c>
      <c r="T153" s="434" t="s">
        <v>1825</v>
      </c>
      <c r="U153" s="434" t="s">
        <v>1826</v>
      </c>
      <c r="V153" s="434" t="s">
        <v>1825</v>
      </c>
      <c r="W153" s="434"/>
      <c r="X153" s="434"/>
      <c r="Y153" s="434"/>
      <c r="Z153" s="434" t="s">
        <v>1660</v>
      </c>
      <c r="AA153" s="434" t="s">
        <v>1826</v>
      </c>
      <c r="AB153" s="434" t="s">
        <v>1825</v>
      </c>
      <c r="AC153" s="434" t="s">
        <v>1660</v>
      </c>
      <c r="AD153" s="434" t="s">
        <v>1825</v>
      </c>
      <c r="AE153" s="434" t="s">
        <v>1826</v>
      </c>
      <c r="AF153" s="434" t="s">
        <v>1825</v>
      </c>
      <c r="AG153" s="427">
        <v>16.0</v>
      </c>
      <c r="AH153" s="435" t="s">
        <v>24</v>
      </c>
      <c r="AI153" s="415"/>
      <c r="AJ153" s="436" t="str">
        <f t="array" ref="AJ153">IF(M153=DGET(claves!$A$2:$AS423,M$2,{claves!$A$2;$E153}),1,0)</f>
        <v>#VALUE!</v>
      </c>
      <c r="AK153" s="436" t="str">
        <f t="array" ref="AK153">IF(N153=DGET(claves!$A$2:$AS423,N$2,{claves!$A$2;$E153}),1,0)</f>
        <v>#VALUE!</v>
      </c>
      <c r="AL153" s="436" t="str">
        <f t="array" ref="AL153">IF(O153=DGET(claves!$A$2:$AS423,O$2,{claves!$A$2;$E153}),1,0)</f>
        <v>#VALUE!</v>
      </c>
      <c r="AM153" s="436" t="str">
        <f t="array" ref="AM153">IF(P153=DGET(claves!$A$2:$AS423,P$2,{claves!$A$2;$E153}),1,0)</f>
        <v>#VALUE!</v>
      </c>
      <c r="AN153" s="436" t="str">
        <f t="array" ref="AN153">IF(Q153=DGET(claves!$A$2:$AS423,Q$2,{claves!$A$2;$E153}),1,0)</f>
        <v>#VALUE!</v>
      </c>
      <c r="AO153" s="436" t="str">
        <f t="array" ref="AO153">IF(R153=DGET(claves!$A$2:$AS423,R$2,{claves!$A$2;$E153}),1,0)</f>
        <v>#VALUE!</v>
      </c>
      <c r="AP153" s="436" t="str">
        <f t="array" ref="AP153">IF(S153=DGET(claves!$A$2:$AS423,S$2,{claves!$A$2;$E153}),1,0)</f>
        <v>#VALUE!</v>
      </c>
      <c r="AQ153" s="436" t="str">
        <f t="array" ref="AQ153">IF(T153=DGET(claves!$A$2:$AS423,T$2,{claves!$A$2;$E153}),1,0)</f>
        <v>#VALUE!</v>
      </c>
      <c r="AR153" s="436" t="str">
        <f t="array" ref="AR153">IF(U153=DGET(claves!$A$2:$AS423,U$2,{claves!$A$2;$E153}),1,0)</f>
        <v>#VALUE!</v>
      </c>
      <c r="AS153" s="436" t="str">
        <f t="array" ref="AS153">IF(V153=DGET(claves!$A$2:$AS423,V$2,{claves!$A$2;$E153}),1,0)</f>
        <v>#VALUE!</v>
      </c>
      <c r="AT153" s="436" t="str">
        <f t="array" ref="AT153">IF(W153=DGET(claves!$A$2:$AS423,W$2,{claves!$A$2;$E153}),1,0)</f>
        <v>#VALUE!</v>
      </c>
      <c r="AU153" s="436" t="str">
        <f t="array" ref="AU153">IF(X153=DGET(claves!$A$2:$AS423,X$2,{claves!$A$2;$E153}),1,0)</f>
        <v>#VALUE!</v>
      </c>
      <c r="AV153" s="436" t="str">
        <f t="array" ref="AV153">IF(Y153=DGET(claves!$A$2:$AS423,Y$2,{claves!$A$2;$E153}),1,0)</f>
        <v>#VALUE!</v>
      </c>
      <c r="AW153" s="436" t="str">
        <f t="array" ref="AW153">IF(Z153=DGET(claves!$A$2:$AS423,Z$2,{claves!$A$2;$E153}),1,0)</f>
        <v>#VALUE!</v>
      </c>
      <c r="AX153" s="436" t="str">
        <f t="array" ref="AX153">IF(AA153=DGET(claves!$A$2:$AS423,AA$2,{claves!$A$2;$E153}),1,0)</f>
        <v>#VALUE!</v>
      </c>
      <c r="AY153" s="436" t="str">
        <f t="array" ref="AY153">IF(AB153=DGET(claves!$A$2:$AS423,AB$2,{claves!$A$2;$E153}),1,0)</f>
        <v>#VALUE!</v>
      </c>
      <c r="AZ153" s="436" t="str">
        <f t="array" ref="AZ153">IF(AC153=DGET(claves!$A$2:$AS423,AC$2,{claves!$A$2;$E153}),1,0)</f>
        <v>#VALUE!</v>
      </c>
      <c r="BA153" s="436" t="str">
        <f t="array" ref="BA153">IF(AD153=DGET(claves!$A$2:$AS423,AD$2,{claves!$A$2;$E153}),1,0)</f>
        <v>#VALUE!</v>
      </c>
      <c r="BB153" s="436" t="str">
        <f t="array" ref="BB153">IF(AE153=DGET(claves!$A$2:$AS423,AE$2,{claves!$A$2;$E153}),1,0)</f>
        <v>#VALUE!</v>
      </c>
      <c r="BC153" s="436" t="str">
        <f t="array" ref="BC153">IF(AF153=DGET(claves!$A$2:$AS423,AF$2,{claves!$A$2;$E153}),1,0)</f>
        <v>#VALUE!</v>
      </c>
      <c r="BD153" s="437" t="str">
        <f t="shared" si="1"/>
        <v>#VALUE!</v>
      </c>
      <c r="BE153" s="435"/>
      <c r="BF153" s="415"/>
    </row>
    <row r="154" ht="14.25" customHeight="1">
      <c r="A154" s="408">
        <v>152.0</v>
      </c>
      <c r="B154" s="153" t="s">
        <v>1851</v>
      </c>
      <c r="C154" s="153">
        <v>2024.0</v>
      </c>
      <c r="D154" s="77" t="s">
        <v>362</v>
      </c>
      <c r="E154" s="409" t="str">
        <f>IFERROR(__xludf.DUMMYFUNCTION("ARRAYFORMULA(JOIN("""", ARRAYFORMULA(MID(SPLIT(F154, "" ""), 1, 1))))
&amp;""/""&amp;G154"),"MQ/4 Primaria")</f>
        <v>MQ/4 Primaria</v>
      </c>
      <c r="F154" s="77" t="s">
        <v>1823</v>
      </c>
      <c r="G154" s="432" t="s">
        <v>20</v>
      </c>
      <c r="H154" s="433" t="s">
        <v>1761</v>
      </c>
      <c r="I154" s="433" t="s">
        <v>1708</v>
      </c>
      <c r="J154" s="433" t="s">
        <v>1859</v>
      </c>
      <c r="K154" s="433" t="s">
        <v>1658</v>
      </c>
      <c r="L154" s="415"/>
      <c r="M154" s="434" t="s">
        <v>1689</v>
      </c>
      <c r="N154" s="434" t="s">
        <v>1661</v>
      </c>
      <c r="O154" s="434" t="s">
        <v>1660</v>
      </c>
      <c r="P154" s="434" t="s">
        <v>1659</v>
      </c>
      <c r="Q154" s="434" t="s">
        <v>1661</v>
      </c>
      <c r="R154" s="434" t="s">
        <v>1660</v>
      </c>
      <c r="S154" s="434" t="s">
        <v>1689</v>
      </c>
      <c r="T154" s="434" t="s">
        <v>1661</v>
      </c>
      <c r="U154" s="434" t="s">
        <v>1659</v>
      </c>
      <c r="V154" s="434" t="s">
        <v>1661</v>
      </c>
      <c r="W154" s="434" t="s">
        <v>1659</v>
      </c>
      <c r="X154" s="434" t="s">
        <v>1660</v>
      </c>
      <c r="Y154" s="434" t="s">
        <v>1689</v>
      </c>
      <c r="Z154" s="434" t="s">
        <v>1660</v>
      </c>
      <c r="AA154" s="434" t="s">
        <v>1659</v>
      </c>
      <c r="AB154" s="434"/>
      <c r="AC154" s="434" t="s">
        <v>1661</v>
      </c>
      <c r="AD154" s="434" t="s">
        <v>1661</v>
      </c>
      <c r="AE154" s="434" t="s">
        <v>1660</v>
      </c>
      <c r="AF154" s="434" t="s">
        <v>1660</v>
      </c>
      <c r="AG154" s="427">
        <v>8.0</v>
      </c>
      <c r="AH154" s="435" t="s">
        <v>18</v>
      </c>
      <c r="AI154" s="415"/>
      <c r="AJ154" s="436" t="str">
        <f t="array" ref="AJ154">IF(M154=DGET(claves!$A$2:$AS423,M$2,{claves!$A$2;$E154}),1,0)</f>
        <v>#VALUE!</v>
      </c>
      <c r="AK154" s="436" t="str">
        <f t="array" ref="AK154">IF(N154=DGET(claves!$A$2:$AS423,N$2,{claves!$A$2;$E154}),1,0)</f>
        <v>#VALUE!</v>
      </c>
      <c r="AL154" s="436" t="str">
        <f t="array" ref="AL154">IF(O154=DGET(claves!$A$2:$AS423,O$2,{claves!$A$2;$E154}),1,0)</f>
        <v>#VALUE!</v>
      </c>
      <c r="AM154" s="436" t="str">
        <f t="array" ref="AM154">IF(P154=DGET(claves!$A$2:$AS423,P$2,{claves!$A$2;$E154}),1,0)</f>
        <v>#VALUE!</v>
      </c>
      <c r="AN154" s="436" t="str">
        <f t="array" ref="AN154">IF(Q154=DGET(claves!$A$2:$AS423,Q$2,{claves!$A$2;$E154}),1,0)</f>
        <v>#VALUE!</v>
      </c>
      <c r="AO154" s="436" t="str">
        <f t="array" ref="AO154">IF(R154=DGET(claves!$A$2:$AS423,R$2,{claves!$A$2;$E154}),1,0)</f>
        <v>#VALUE!</v>
      </c>
      <c r="AP154" s="436" t="str">
        <f t="array" ref="AP154">IF(S154=DGET(claves!$A$2:$AS423,S$2,{claves!$A$2;$E154}),1,0)</f>
        <v>#VALUE!</v>
      </c>
      <c r="AQ154" s="436" t="str">
        <f t="array" ref="AQ154">IF(T154=DGET(claves!$A$2:$AS423,T$2,{claves!$A$2;$E154}),1,0)</f>
        <v>#VALUE!</v>
      </c>
      <c r="AR154" s="436" t="str">
        <f t="array" ref="AR154">IF(U154=DGET(claves!$A$2:$AS423,U$2,{claves!$A$2;$E154}),1,0)</f>
        <v>#VALUE!</v>
      </c>
      <c r="AS154" s="436" t="str">
        <f t="array" ref="AS154">IF(V154=DGET(claves!$A$2:$AS423,V$2,{claves!$A$2;$E154}),1,0)</f>
        <v>#VALUE!</v>
      </c>
      <c r="AT154" s="436" t="str">
        <f t="array" ref="AT154">IF(W154=DGET(claves!$A$2:$AS423,W$2,{claves!$A$2;$E154}),1,0)</f>
        <v>#VALUE!</v>
      </c>
      <c r="AU154" s="436" t="str">
        <f t="array" ref="AU154">IF(X154=DGET(claves!$A$2:$AS423,X$2,{claves!$A$2;$E154}),1,0)</f>
        <v>#VALUE!</v>
      </c>
      <c r="AV154" s="436" t="str">
        <f t="array" ref="AV154">IF(Y154=DGET(claves!$A$2:$AS423,Y$2,{claves!$A$2;$E154}),1,0)</f>
        <v>#VALUE!</v>
      </c>
      <c r="AW154" s="436" t="str">
        <f t="array" ref="AW154">IF(Z154=DGET(claves!$A$2:$AS423,Z$2,{claves!$A$2;$E154}),1,0)</f>
        <v>#VALUE!</v>
      </c>
      <c r="AX154" s="436" t="str">
        <f t="array" ref="AX154">IF(AA154=DGET(claves!$A$2:$AS423,AA$2,{claves!$A$2;$E154}),1,0)</f>
        <v>#VALUE!</v>
      </c>
      <c r="AY154" s="436" t="str">
        <f t="array" ref="AY154">IF(AB154=DGET(claves!$A$2:$AS423,AB$2,{claves!$A$2;$E154}),1,0)</f>
        <v>#VALUE!</v>
      </c>
      <c r="AZ154" s="436" t="str">
        <f t="array" ref="AZ154">IF(AC154=DGET(claves!$A$2:$AS423,AC$2,{claves!$A$2;$E154}),1,0)</f>
        <v>#VALUE!</v>
      </c>
      <c r="BA154" s="436" t="str">
        <f t="array" ref="BA154">IF(AD154=DGET(claves!$A$2:$AS423,AD$2,{claves!$A$2;$E154}),1,0)</f>
        <v>#VALUE!</v>
      </c>
      <c r="BB154" s="436" t="str">
        <f t="array" ref="BB154">IF(AE154=DGET(claves!$A$2:$AS423,AE$2,{claves!$A$2;$E154}),1,0)</f>
        <v>#VALUE!</v>
      </c>
      <c r="BC154" s="436" t="str">
        <f t="array" ref="BC154">IF(AF154=DGET(claves!$A$2:$AS423,AF$2,{claves!$A$2;$E154}),1,0)</f>
        <v>#VALUE!</v>
      </c>
      <c r="BD154" s="437" t="str">
        <f t="shared" si="1"/>
        <v>#VALUE!</v>
      </c>
      <c r="BE154" s="435"/>
      <c r="BF154" s="415"/>
    </row>
    <row r="155" ht="14.25" customHeight="1">
      <c r="A155" s="408">
        <v>153.0</v>
      </c>
      <c r="B155" s="153" t="s">
        <v>1851</v>
      </c>
      <c r="C155" s="153">
        <v>2024.0</v>
      </c>
      <c r="D155" s="77" t="s">
        <v>362</v>
      </c>
      <c r="E155" s="409" t="str">
        <f>IFERROR(__xludf.DUMMYFUNCTION("ARRAYFORMULA(JOIN("""", ARRAYFORMULA(MID(SPLIT(F155, "" ""), 1, 1))))
&amp;""/""&amp;G155"),"MQ/4 Primaria")</f>
        <v>MQ/4 Primaria</v>
      </c>
      <c r="F155" s="77" t="s">
        <v>1823</v>
      </c>
      <c r="G155" s="432" t="s">
        <v>20</v>
      </c>
      <c r="H155" s="433" t="s">
        <v>1860</v>
      </c>
      <c r="I155" s="433" t="s">
        <v>1790</v>
      </c>
      <c r="J155" s="433" t="s">
        <v>1861</v>
      </c>
      <c r="K155" s="433" t="s">
        <v>1658</v>
      </c>
      <c r="L155" s="415"/>
      <c r="M155" s="434" t="s">
        <v>1689</v>
      </c>
      <c r="N155" s="434" t="s">
        <v>1661</v>
      </c>
      <c r="O155" s="434" t="s">
        <v>1660</v>
      </c>
      <c r="P155" s="434" t="s">
        <v>1659</v>
      </c>
      <c r="Q155" s="434" t="s">
        <v>1661</v>
      </c>
      <c r="R155" s="434" t="s">
        <v>1659</v>
      </c>
      <c r="S155" s="434" t="s">
        <v>1661</v>
      </c>
      <c r="T155" s="434" t="s">
        <v>1689</v>
      </c>
      <c r="U155" s="434" t="s">
        <v>1660</v>
      </c>
      <c r="V155" s="434" t="s">
        <v>1660</v>
      </c>
      <c r="W155" s="434" t="s">
        <v>1661</v>
      </c>
      <c r="X155" s="434" t="s">
        <v>1660</v>
      </c>
      <c r="Y155" s="434" t="s">
        <v>1689</v>
      </c>
      <c r="Z155" s="434" t="s">
        <v>1689</v>
      </c>
      <c r="AA155" s="434" t="s">
        <v>1660</v>
      </c>
      <c r="AB155" s="434" t="s">
        <v>1659</v>
      </c>
      <c r="AC155" s="434" t="s">
        <v>1689</v>
      </c>
      <c r="AD155" s="434" t="s">
        <v>1661</v>
      </c>
      <c r="AE155" s="434" t="s">
        <v>1660</v>
      </c>
      <c r="AF155" s="434" t="s">
        <v>1661</v>
      </c>
      <c r="AG155" s="427">
        <v>9.0</v>
      </c>
      <c r="AH155" s="435" t="s">
        <v>18</v>
      </c>
      <c r="AI155" s="415"/>
      <c r="AJ155" s="436" t="str">
        <f t="array" ref="AJ155">IF(M155=DGET(claves!$A$2:$AS423,M$2,{claves!$A$2;$E155}),1,0)</f>
        <v>#VALUE!</v>
      </c>
      <c r="AK155" s="436" t="str">
        <f t="array" ref="AK155">IF(N155=DGET(claves!$A$2:$AS423,N$2,{claves!$A$2;$E155}),1,0)</f>
        <v>#VALUE!</v>
      </c>
      <c r="AL155" s="436" t="str">
        <f t="array" ref="AL155">IF(O155=DGET(claves!$A$2:$AS423,O$2,{claves!$A$2;$E155}),1,0)</f>
        <v>#VALUE!</v>
      </c>
      <c r="AM155" s="436" t="str">
        <f t="array" ref="AM155">IF(P155=DGET(claves!$A$2:$AS423,P$2,{claves!$A$2;$E155}),1,0)</f>
        <v>#VALUE!</v>
      </c>
      <c r="AN155" s="436" t="str">
        <f t="array" ref="AN155">IF(Q155=DGET(claves!$A$2:$AS423,Q$2,{claves!$A$2;$E155}),1,0)</f>
        <v>#VALUE!</v>
      </c>
      <c r="AO155" s="436" t="str">
        <f t="array" ref="AO155">IF(R155=DGET(claves!$A$2:$AS423,R$2,{claves!$A$2;$E155}),1,0)</f>
        <v>#VALUE!</v>
      </c>
      <c r="AP155" s="436" t="str">
        <f t="array" ref="AP155">IF(S155=DGET(claves!$A$2:$AS423,S$2,{claves!$A$2;$E155}),1,0)</f>
        <v>#VALUE!</v>
      </c>
      <c r="AQ155" s="436" t="str">
        <f t="array" ref="AQ155">IF(T155=DGET(claves!$A$2:$AS423,T$2,{claves!$A$2;$E155}),1,0)</f>
        <v>#VALUE!</v>
      </c>
      <c r="AR155" s="436" t="str">
        <f t="array" ref="AR155">IF(U155=DGET(claves!$A$2:$AS423,U$2,{claves!$A$2;$E155}),1,0)</f>
        <v>#VALUE!</v>
      </c>
      <c r="AS155" s="436" t="str">
        <f t="array" ref="AS155">IF(V155=DGET(claves!$A$2:$AS423,V$2,{claves!$A$2;$E155}),1,0)</f>
        <v>#VALUE!</v>
      </c>
      <c r="AT155" s="436" t="str">
        <f t="array" ref="AT155">IF(W155=DGET(claves!$A$2:$AS423,W$2,{claves!$A$2;$E155}),1,0)</f>
        <v>#VALUE!</v>
      </c>
      <c r="AU155" s="436" t="str">
        <f t="array" ref="AU155">IF(X155=DGET(claves!$A$2:$AS423,X$2,{claves!$A$2;$E155}),1,0)</f>
        <v>#VALUE!</v>
      </c>
      <c r="AV155" s="436" t="str">
        <f t="array" ref="AV155">IF(Y155=DGET(claves!$A$2:$AS423,Y$2,{claves!$A$2;$E155}),1,0)</f>
        <v>#VALUE!</v>
      </c>
      <c r="AW155" s="436" t="str">
        <f t="array" ref="AW155">IF(Z155=DGET(claves!$A$2:$AS423,Z$2,{claves!$A$2;$E155}),1,0)</f>
        <v>#VALUE!</v>
      </c>
      <c r="AX155" s="436" t="str">
        <f t="array" ref="AX155">IF(AA155=DGET(claves!$A$2:$AS423,AA$2,{claves!$A$2;$E155}),1,0)</f>
        <v>#VALUE!</v>
      </c>
      <c r="AY155" s="436" t="str">
        <f t="array" ref="AY155">IF(AB155=DGET(claves!$A$2:$AS423,AB$2,{claves!$A$2;$E155}),1,0)</f>
        <v>#VALUE!</v>
      </c>
      <c r="AZ155" s="436" t="str">
        <f t="array" ref="AZ155">IF(AC155=DGET(claves!$A$2:$AS423,AC$2,{claves!$A$2;$E155}),1,0)</f>
        <v>#VALUE!</v>
      </c>
      <c r="BA155" s="436" t="str">
        <f t="array" ref="BA155">IF(AD155=DGET(claves!$A$2:$AS423,AD$2,{claves!$A$2;$E155}),1,0)</f>
        <v>#VALUE!</v>
      </c>
      <c r="BB155" s="436" t="str">
        <f t="array" ref="BB155">IF(AE155=DGET(claves!$A$2:$AS423,AE$2,{claves!$A$2;$E155}),1,0)</f>
        <v>#VALUE!</v>
      </c>
      <c r="BC155" s="436" t="str">
        <f t="array" ref="BC155">IF(AF155=DGET(claves!$A$2:$AS423,AF$2,{claves!$A$2;$E155}),1,0)</f>
        <v>#VALUE!</v>
      </c>
      <c r="BD155" s="437" t="str">
        <f t="shared" si="1"/>
        <v>#VALUE!</v>
      </c>
      <c r="BE155" s="435"/>
      <c r="BF155" s="415"/>
    </row>
    <row r="156" ht="14.25" customHeight="1">
      <c r="A156" s="408">
        <v>154.0</v>
      </c>
      <c r="B156" s="153" t="s">
        <v>1851</v>
      </c>
      <c r="C156" s="153">
        <v>2024.0</v>
      </c>
      <c r="D156" s="77" t="s">
        <v>362</v>
      </c>
      <c r="E156" s="409" t="str">
        <f>IFERROR(__xludf.DUMMYFUNCTION("ARRAYFORMULA(JOIN("""", ARRAYFORMULA(MID(SPLIT(F156, "" ""), 1, 1))))
&amp;""/""&amp;G156"),"MQ/6 Primaria")</f>
        <v>MQ/6 Primaria</v>
      </c>
      <c r="F156" s="77" t="s">
        <v>1823</v>
      </c>
      <c r="G156" s="432" t="s">
        <v>22</v>
      </c>
      <c r="H156" s="433" t="s">
        <v>1862</v>
      </c>
      <c r="I156" s="433" t="s">
        <v>1684</v>
      </c>
      <c r="J156" s="433" t="s">
        <v>1863</v>
      </c>
      <c r="K156" s="433" t="s">
        <v>1658</v>
      </c>
      <c r="L156" s="415"/>
      <c r="M156" s="434" t="s">
        <v>1660</v>
      </c>
      <c r="N156" s="434" t="s">
        <v>1659</v>
      </c>
      <c r="O156" s="434" t="s">
        <v>1659</v>
      </c>
      <c r="P156" s="434" t="s">
        <v>1689</v>
      </c>
      <c r="Q156" s="434" t="s">
        <v>1659</v>
      </c>
      <c r="R156" s="434" t="s">
        <v>1661</v>
      </c>
      <c r="S156" s="434" t="s">
        <v>1659</v>
      </c>
      <c r="T156" s="434" t="s">
        <v>1659</v>
      </c>
      <c r="U156" s="434" t="s">
        <v>1661</v>
      </c>
      <c r="V156" s="434" t="s">
        <v>1661</v>
      </c>
      <c r="W156" s="434" t="s">
        <v>1661</v>
      </c>
      <c r="X156" s="434" t="s">
        <v>1661</v>
      </c>
      <c r="Y156" s="434" t="s">
        <v>1659</v>
      </c>
      <c r="Z156" s="434" t="s">
        <v>1661</v>
      </c>
      <c r="AA156" s="434" t="s">
        <v>1661</v>
      </c>
      <c r="AB156" s="434" t="s">
        <v>1689</v>
      </c>
      <c r="AC156" s="434" t="s">
        <v>1660</v>
      </c>
      <c r="AD156" s="434" t="s">
        <v>1659</v>
      </c>
      <c r="AE156" s="434" t="s">
        <v>1689</v>
      </c>
      <c r="AF156" s="434" t="s">
        <v>1660</v>
      </c>
      <c r="AG156" s="427">
        <v>11.0</v>
      </c>
      <c r="AH156" s="435" t="s">
        <v>24</v>
      </c>
      <c r="AI156" s="415"/>
      <c r="AJ156" s="436" t="str">
        <f t="array" ref="AJ156">IF(M156=DGET(claves!$A$2:$AS423,M$2,{claves!$A$2;$E156}),1,0)</f>
        <v>#VALUE!</v>
      </c>
      <c r="AK156" s="436" t="str">
        <f t="array" ref="AK156">IF(N156=DGET(claves!$A$2:$AS423,N$2,{claves!$A$2;$E156}),1,0)</f>
        <v>#VALUE!</v>
      </c>
      <c r="AL156" s="436" t="str">
        <f t="array" ref="AL156">IF(O156=DGET(claves!$A$2:$AS423,O$2,{claves!$A$2;$E156}),1,0)</f>
        <v>#VALUE!</v>
      </c>
      <c r="AM156" s="436" t="str">
        <f t="array" ref="AM156">IF(P156=DGET(claves!$A$2:$AS423,P$2,{claves!$A$2;$E156}),1,0)</f>
        <v>#VALUE!</v>
      </c>
      <c r="AN156" s="436" t="str">
        <f t="array" ref="AN156">IF(Q156=DGET(claves!$A$2:$AS423,Q$2,{claves!$A$2;$E156}),1,0)</f>
        <v>#VALUE!</v>
      </c>
      <c r="AO156" s="436" t="str">
        <f t="array" ref="AO156">IF(R156=DGET(claves!$A$2:$AS423,R$2,{claves!$A$2;$E156}),1,0)</f>
        <v>#VALUE!</v>
      </c>
      <c r="AP156" s="436" t="str">
        <f t="array" ref="AP156">IF(S156=DGET(claves!$A$2:$AS423,S$2,{claves!$A$2;$E156}),1,0)</f>
        <v>#VALUE!</v>
      </c>
      <c r="AQ156" s="436" t="str">
        <f t="array" ref="AQ156">IF(T156=DGET(claves!$A$2:$AS423,T$2,{claves!$A$2;$E156}),1,0)</f>
        <v>#VALUE!</v>
      </c>
      <c r="AR156" s="436" t="str">
        <f t="array" ref="AR156">IF(U156=DGET(claves!$A$2:$AS423,U$2,{claves!$A$2;$E156}),1,0)</f>
        <v>#VALUE!</v>
      </c>
      <c r="AS156" s="436" t="str">
        <f t="array" ref="AS156">IF(V156=DGET(claves!$A$2:$AS423,V$2,{claves!$A$2;$E156}),1,0)</f>
        <v>#VALUE!</v>
      </c>
      <c r="AT156" s="436" t="str">
        <f t="array" ref="AT156">IF(W156=DGET(claves!$A$2:$AS423,W$2,{claves!$A$2;$E156}),1,0)</f>
        <v>#VALUE!</v>
      </c>
      <c r="AU156" s="436" t="str">
        <f t="array" ref="AU156">IF(X156=DGET(claves!$A$2:$AS423,X$2,{claves!$A$2;$E156}),1,0)</f>
        <v>#VALUE!</v>
      </c>
      <c r="AV156" s="436" t="str">
        <f t="array" ref="AV156">IF(Y156=DGET(claves!$A$2:$AS423,Y$2,{claves!$A$2;$E156}),1,0)</f>
        <v>#VALUE!</v>
      </c>
      <c r="AW156" s="436" t="str">
        <f t="array" ref="AW156">IF(Z156=DGET(claves!$A$2:$AS423,Z$2,{claves!$A$2;$E156}),1,0)</f>
        <v>#VALUE!</v>
      </c>
      <c r="AX156" s="436" t="str">
        <f t="array" ref="AX156">IF(AA156=DGET(claves!$A$2:$AS423,AA$2,{claves!$A$2;$E156}),1,0)</f>
        <v>#VALUE!</v>
      </c>
      <c r="AY156" s="436" t="str">
        <f t="array" ref="AY156">IF(AB156=DGET(claves!$A$2:$AS423,AB$2,{claves!$A$2;$E156}),1,0)</f>
        <v>#VALUE!</v>
      </c>
      <c r="AZ156" s="436" t="str">
        <f t="array" ref="AZ156">IF(AC156=DGET(claves!$A$2:$AS423,AC$2,{claves!$A$2;$E156}),1,0)</f>
        <v>#VALUE!</v>
      </c>
      <c r="BA156" s="436" t="str">
        <f t="array" ref="BA156">IF(AD156=DGET(claves!$A$2:$AS423,AD$2,{claves!$A$2;$E156}),1,0)</f>
        <v>#VALUE!</v>
      </c>
      <c r="BB156" s="436" t="str">
        <f t="array" ref="BB156">IF(AE156=DGET(claves!$A$2:$AS423,AE$2,{claves!$A$2;$E156}),1,0)</f>
        <v>#VALUE!</v>
      </c>
      <c r="BC156" s="436" t="str">
        <f t="array" ref="BC156">IF(AF156=DGET(claves!$A$2:$AS423,AF$2,{claves!$A$2;$E156}),1,0)</f>
        <v>#VALUE!</v>
      </c>
      <c r="BD156" s="437" t="str">
        <f t="shared" si="1"/>
        <v>#VALUE!</v>
      </c>
      <c r="BE156" s="435"/>
      <c r="BF156" s="415"/>
    </row>
    <row r="157" ht="14.25" customHeight="1">
      <c r="A157" s="408">
        <v>155.0</v>
      </c>
      <c r="B157" s="153" t="s">
        <v>1864</v>
      </c>
      <c r="C157" s="153">
        <v>2024.0</v>
      </c>
      <c r="D157" s="77" t="s">
        <v>362</v>
      </c>
      <c r="E157" s="409" t="str">
        <f>IFERROR(__xludf.DUMMYFUNCTION("ARRAYFORMULA(JOIN("""", ARRAYFORMULA(MID(SPLIT(F157, "" ""), 1, 1))))
&amp;""/""&amp;G157"),"MQ/2 Primaria")</f>
        <v>MQ/2 Primaria</v>
      </c>
      <c r="F157" s="77" t="s">
        <v>1823</v>
      </c>
      <c r="G157" s="432" t="s">
        <v>15</v>
      </c>
      <c r="H157" s="433" t="s">
        <v>1865</v>
      </c>
      <c r="I157" s="433" t="s">
        <v>1761</v>
      </c>
      <c r="J157" s="433" t="s">
        <v>1866</v>
      </c>
      <c r="K157" s="433" t="s">
        <v>1658</v>
      </c>
      <c r="L157" s="415"/>
      <c r="M157" s="434" t="s">
        <v>1825</v>
      </c>
      <c r="N157" s="434" t="s">
        <v>1825</v>
      </c>
      <c r="O157" s="434" t="s">
        <v>1660</v>
      </c>
      <c r="P157" s="434" t="s">
        <v>1826</v>
      </c>
      <c r="Q157" s="434" t="s">
        <v>1660</v>
      </c>
      <c r="R157" s="434" t="s">
        <v>1826</v>
      </c>
      <c r="S157" s="434" t="s">
        <v>1825</v>
      </c>
      <c r="T157" s="434" t="s">
        <v>1660</v>
      </c>
      <c r="U157" s="434" t="s">
        <v>1826</v>
      </c>
      <c r="V157" s="434" t="s">
        <v>1826</v>
      </c>
      <c r="W157" s="434" t="s">
        <v>1660</v>
      </c>
      <c r="X157" s="434" t="s">
        <v>1826</v>
      </c>
      <c r="Y157" s="434"/>
      <c r="Z157" s="434" t="s">
        <v>1825</v>
      </c>
      <c r="AA157" s="434" t="s">
        <v>1660</v>
      </c>
      <c r="AB157" s="434" t="s">
        <v>1660</v>
      </c>
      <c r="AC157" s="434" t="s">
        <v>1660</v>
      </c>
      <c r="AD157" s="434" t="s">
        <v>1825</v>
      </c>
      <c r="AE157" s="434" t="s">
        <v>1826</v>
      </c>
      <c r="AF157" s="434" t="s">
        <v>1660</v>
      </c>
      <c r="AG157" s="427">
        <v>10.0</v>
      </c>
      <c r="AH157" s="435" t="s">
        <v>18</v>
      </c>
      <c r="AI157" s="415"/>
      <c r="AJ157" s="436" t="str">
        <f t="array" ref="AJ157">IF(M157=DGET(claves!$A$2:$AS423,M$2,{claves!$A$2;$E157}),1,0)</f>
        <v>#VALUE!</v>
      </c>
      <c r="AK157" s="436" t="str">
        <f t="array" ref="AK157">IF(N157=DGET(claves!$A$2:$AS423,N$2,{claves!$A$2;$E157}),1,0)</f>
        <v>#VALUE!</v>
      </c>
      <c r="AL157" s="436" t="str">
        <f t="array" ref="AL157">IF(O157=DGET(claves!$A$2:$AS423,O$2,{claves!$A$2;$E157}),1,0)</f>
        <v>#VALUE!</v>
      </c>
      <c r="AM157" s="436" t="str">
        <f t="array" ref="AM157">IF(P157=DGET(claves!$A$2:$AS423,P$2,{claves!$A$2;$E157}),1,0)</f>
        <v>#VALUE!</v>
      </c>
      <c r="AN157" s="436" t="str">
        <f t="array" ref="AN157">IF(Q157=DGET(claves!$A$2:$AS423,Q$2,{claves!$A$2;$E157}),1,0)</f>
        <v>#VALUE!</v>
      </c>
      <c r="AO157" s="436" t="str">
        <f t="array" ref="AO157">IF(R157=DGET(claves!$A$2:$AS423,R$2,{claves!$A$2;$E157}),1,0)</f>
        <v>#VALUE!</v>
      </c>
      <c r="AP157" s="436" t="str">
        <f t="array" ref="AP157">IF(S157=DGET(claves!$A$2:$AS423,S$2,{claves!$A$2;$E157}),1,0)</f>
        <v>#VALUE!</v>
      </c>
      <c r="AQ157" s="436" t="str">
        <f t="array" ref="AQ157">IF(T157=DGET(claves!$A$2:$AS423,T$2,{claves!$A$2;$E157}),1,0)</f>
        <v>#VALUE!</v>
      </c>
      <c r="AR157" s="436" t="str">
        <f t="array" ref="AR157">IF(U157=DGET(claves!$A$2:$AS423,U$2,{claves!$A$2;$E157}),1,0)</f>
        <v>#VALUE!</v>
      </c>
      <c r="AS157" s="436" t="str">
        <f t="array" ref="AS157">IF(V157=DGET(claves!$A$2:$AS423,V$2,{claves!$A$2;$E157}),1,0)</f>
        <v>#VALUE!</v>
      </c>
      <c r="AT157" s="436" t="str">
        <f t="array" ref="AT157">IF(W157=DGET(claves!$A$2:$AS423,W$2,{claves!$A$2;$E157}),1,0)</f>
        <v>#VALUE!</v>
      </c>
      <c r="AU157" s="436" t="str">
        <f t="array" ref="AU157">IF(X157=DGET(claves!$A$2:$AS423,X$2,{claves!$A$2;$E157}),1,0)</f>
        <v>#VALUE!</v>
      </c>
      <c r="AV157" s="436" t="str">
        <f t="array" ref="AV157">IF(Y157=DGET(claves!$A$2:$AS423,Y$2,{claves!$A$2;$E157}),1,0)</f>
        <v>#VALUE!</v>
      </c>
      <c r="AW157" s="436" t="str">
        <f t="array" ref="AW157">IF(Z157=DGET(claves!$A$2:$AS423,Z$2,{claves!$A$2;$E157}),1,0)</f>
        <v>#VALUE!</v>
      </c>
      <c r="AX157" s="436" t="str">
        <f t="array" ref="AX157">IF(AA157=DGET(claves!$A$2:$AS423,AA$2,{claves!$A$2;$E157}),1,0)</f>
        <v>#VALUE!</v>
      </c>
      <c r="AY157" s="436" t="str">
        <f t="array" ref="AY157">IF(AB157=DGET(claves!$A$2:$AS423,AB$2,{claves!$A$2;$E157}),1,0)</f>
        <v>#VALUE!</v>
      </c>
      <c r="AZ157" s="436" t="str">
        <f t="array" ref="AZ157">IF(AC157=DGET(claves!$A$2:$AS423,AC$2,{claves!$A$2;$E157}),1,0)</f>
        <v>#VALUE!</v>
      </c>
      <c r="BA157" s="436" t="str">
        <f t="array" ref="BA157">IF(AD157=DGET(claves!$A$2:$AS423,AD$2,{claves!$A$2;$E157}),1,0)</f>
        <v>#VALUE!</v>
      </c>
      <c r="BB157" s="436" t="str">
        <f t="array" ref="BB157">IF(AE157=DGET(claves!$A$2:$AS423,AE$2,{claves!$A$2;$E157}),1,0)</f>
        <v>#VALUE!</v>
      </c>
      <c r="BC157" s="436" t="str">
        <f t="array" ref="BC157">IF(AF157=DGET(claves!$A$2:$AS423,AF$2,{claves!$A$2;$E157}),1,0)</f>
        <v>#VALUE!</v>
      </c>
      <c r="BD157" s="437" t="str">
        <f t="shared" si="1"/>
        <v>#VALUE!</v>
      </c>
      <c r="BE157" s="435"/>
      <c r="BF157" s="415"/>
    </row>
    <row r="158" ht="14.25" customHeight="1">
      <c r="A158" s="408">
        <v>156.0</v>
      </c>
      <c r="B158" s="153" t="s">
        <v>1864</v>
      </c>
      <c r="C158" s="153">
        <v>2024.0</v>
      </c>
      <c r="D158" s="77" t="s">
        <v>362</v>
      </c>
      <c r="E158" s="409" t="str">
        <f>IFERROR(__xludf.DUMMYFUNCTION("ARRAYFORMULA(JOIN("""", ARRAYFORMULA(MID(SPLIT(F158, "" ""), 1, 1))))
&amp;""/""&amp;G158"),"MQ/2 Primaria")</f>
        <v>MQ/2 Primaria</v>
      </c>
      <c r="F158" s="77" t="s">
        <v>1823</v>
      </c>
      <c r="G158" s="432" t="s">
        <v>15</v>
      </c>
      <c r="H158" s="433" t="s">
        <v>1867</v>
      </c>
      <c r="I158" s="433" t="s">
        <v>1868</v>
      </c>
      <c r="J158" s="433" t="s">
        <v>1869</v>
      </c>
      <c r="K158" s="432" t="s">
        <v>1665</v>
      </c>
      <c r="L158" s="415"/>
      <c r="M158" s="434" t="s">
        <v>1825</v>
      </c>
      <c r="N158" s="434" t="s">
        <v>1660</v>
      </c>
      <c r="O158" s="434" t="s">
        <v>1826</v>
      </c>
      <c r="P158" s="434" t="s">
        <v>1660</v>
      </c>
      <c r="Q158" s="434" t="s">
        <v>1826</v>
      </c>
      <c r="R158" s="434" t="s">
        <v>1660</v>
      </c>
      <c r="S158" s="434" t="s">
        <v>1826</v>
      </c>
      <c r="T158" s="434" t="s">
        <v>1825</v>
      </c>
      <c r="U158" s="434" t="s">
        <v>1825</v>
      </c>
      <c r="V158" s="434" t="s">
        <v>1660</v>
      </c>
      <c r="W158" s="434" t="s">
        <v>1660</v>
      </c>
      <c r="X158" s="434" t="s">
        <v>1825</v>
      </c>
      <c r="Y158" s="434" t="s">
        <v>1825</v>
      </c>
      <c r="Z158" s="434" t="s">
        <v>1825</v>
      </c>
      <c r="AA158" s="434" t="s">
        <v>1825</v>
      </c>
      <c r="AB158" s="434" t="s">
        <v>1825</v>
      </c>
      <c r="AC158" s="434" t="s">
        <v>1825</v>
      </c>
      <c r="AD158" s="434" t="s">
        <v>1825</v>
      </c>
      <c r="AE158" s="434" t="s">
        <v>1825</v>
      </c>
      <c r="AF158" s="434" t="s">
        <v>1826</v>
      </c>
      <c r="AG158" s="427">
        <v>10.0</v>
      </c>
      <c r="AH158" s="435" t="s">
        <v>18</v>
      </c>
      <c r="AI158" s="415"/>
      <c r="AJ158" s="436" t="str">
        <f t="array" ref="AJ158">IF(M158=DGET(claves!$A$2:$AS423,M$2,{claves!$A$2;$E158}),1,0)</f>
        <v>#VALUE!</v>
      </c>
      <c r="AK158" s="436" t="str">
        <f t="array" ref="AK158">IF(N158=DGET(claves!$A$2:$AS423,N$2,{claves!$A$2;$E158}),1,0)</f>
        <v>#VALUE!</v>
      </c>
      <c r="AL158" s="436" t="str">
        <f t="array" ref="AL158">IF(O158=DGET(claves!$A$2:$AS423,O$2,{claves!$A$2;$E158}),1,0)</f>
        <v>#VALUE!</v>
      </c>
      <c r="AM158" s="436" t="str">
        <f t="array" ref="AM158">IF(P158=DGET(claves!$A$2:$AS423,P$2,{claves!$A$2;$E158}),1,0)</f>
        <v>#VALUE!</v>
      </c>
      <c r="AN158" s="436" t="str">
        <f t="array" ref="AN158">IF(Q158=DGET(claves!$A$2:$AS423,Q$2,{claves!$A$2;$E158}),1,0)</f>
        <v>#VALUE!</v>
      </c>
      <c r="AO158" s="436" t="str">
        <f t="array" ref="AO158">IF(R158=DGET(claves!$A$2:$AS423,R$2,{claves!$A$2;$E158}),1,0)</f>
        <v>#VALUE!</v>
      </c>
      <c r="AP158" s="436" t="str">
        <f t="array" ref="AP158">IF(S158=DGET(claves!$A$2:$AS423,S$2,{claves!$A$2;$E158}),1,0)</f>
        <v>#VALUE!</v>
      </c>
      <c r="AQ158" s="436" t="str">
        <f t="array" ref="AQ158">IF(T158=DGET(claves!$A$2:$AS423,T$2,{claves!$A$2;$E158}),1,0)</f>
        <v>#VALUE!</v>
      </c>
      <c r="AR158" s="436" t="str">
        <f t="array" ref="AR158">IF(U158=DGET(claves!$A$2:$AS423,U$2,{claves!$A$2;$E158}),1,0)</f>
        <v>#VALUE!</v>
      </c>
      <c r="AS158" s="436" t="str">
        <f t="array" ref="AS158">IF(V158=DGET(claves!$A$2:$AS423,V$2,{claves!$A$2;$E158}),1,0)</f>
        <v>#VALUE!</v>
      </c>
      <c r="AT158" s="436" t="str">
        <f t="array" ref="AT158">IF(W158=DGET(claves!$A$2:$AS423,W$2,{claves!$A$2;$E158}),1,0)</f>
        <v>#VALUE!</v>
      </c>
      <c r="AU158" s="436" t="str">
        <f t="array" ref="AU158">IF(X158=DGET(claves!$A$2:$AS423,X$2,{claves!$A$2;$E158}),1,0)</f>
        <v>#VALUE!</v>
      </c>
      <c r="AV158" s="436" t="str">
        <f t="array" ref="AV158">IF(Y158=DGET(claves!$A$2:$AS423,Y$2,{claves!$A$2;$E158}),1,0)</f>
        <v>#VALUE!</v>
      </c>
      <c r="AW158" s="436" t="str">
        <f t="array" ref="AW158">IF(Z158=DGET(claves!$A$2:$AS423,Z$2,{claves!$A$2;$E158}),1,0)</f>
        <v>#VALUE!</v>
      </c>
      <c r="AX158" s="436" t="str">
        <f t="array" ref="AX158">IF(AA158=DGET(claves!$A$2:$AS423,AA$2,{claves!$A$2;$E158}),1,0)</f>
        <v>#VALUE!</v>
      </c>
      <c r="AY158" s="436" t="str">
        <f t="array" ref="AY158">IF(AB158=DGET(claves!$A$2:$AS423,AB$2,{claves!$A$2;$E158}),1,0)</f>
        <v>#VALUE!</v>
      </c>
      <c r="AZ158" s="436" t="str">
        <f t="array" ref="AZ158">IF(AC158=DGET(claves!$A$2:$AS423,AC$2,{claves!$A$2;$E158}),1,0)</f>
        <v>#VALUE!</v>
      </c>
      <c r="BA158" s="436" t="str">
        <f t="array" ref="BA158">IF(AD158=DGET(claves!$A$2:$AS423,AD$2,{claves!$A$2;$E158}),1,0)</f>
        <v>#VALUE!</v>
      </c>
      <c r="BB158" s="436" t="str">
        <f t="array" ref="BB158">IF(AE158=DGET(claves!$A$2:$AS423,AE$2,{claves!$A$2;$E158}),1,0)</f>
        <v>#VALUE!</v>
      </c>
      <c r="BC158" s="436" t="str">
        <f t="array" ref="BC158">IF(AF158=DGET(claves!$A$2:$AS423,AF$2,{claves!$A$2;$E158}),1,0)</f>
        <v>#VALUE!</v>
      </c>
      <c r="BD158" s="437" t="str">
        <f t="shared" si="1"/>
        <v>#VALUE!</v>
      </c>
      <c r="BE158" s="435"/>
      <c r="BF158" s="415"/>
    </row>
    <row r="159" ht="14.25" customHeight="1">
      <c r="A159" s="408">
        <v>157.0</v>
      </c>
      <c r="B159" s="153" t="s">
        <v>1864</v>
      </c>
      <c r="C159" s="153">
        <v>2024.0</v>
      </c>
      <c r="D159" s="77" t="s">
        <v>362</v>
      </c>
      <c r="E159" s="409" t="str">
        <f>IFERROR(__xludf.DUMMYFUNCTION("ARRAYFORMULA(JOIN("""", ARRAYFORMULA(MID(SPLIT(F159, "" ""), 1, 1))))
&amp;""/""&amp;G159"),"MQ/2 Primaria")</f>
        <v>MQ/2 Primaria</v>
      </c>
      <c r="F159" s="77" t="s">
        <v>1823</v>
      </c>
      <c r="G159" s="432" t="s">
        <v>15</v>
      </c>
      <c r="H159" s="433" t="s">
        <v>1867</v>
      </c>
      <c r="I159" s="433" t="s">
        <v>1870</v>
      </c>
      <c r="J159" s="433" t="s">
        <v>1871</v>
      </c>
      <c r="K159" s="432" t="s">
        <v>1665</v>
      </c>
      <c r="L159" s="415"/>
      <c r="M159" s="434" t="s">
        <v>1825</v>
      </c>
      <c r="N159" s="434" t="s">
        <v>1660</v>
      </c>
      <c r="O159" s="434" t="s">
        <v>1660</v>
      </c>
      <c r="P159" s="434" t="s">
        <v>1826</v>
      </c>
      <c r="Q159" s="434" t="s">
        <v>1826</v>
      </c>
      <c r="R159" s="434" t="s">
        <v>1825</v>
      </c>
      <c r="S159" s="434" t="s">
        <v>1826</v>
      </c>
      <c r="T159" s="434" t="s">
        <v>1660</v>
      </c>
      <c r="U159" s="434" t="s">
        <v>1826</v>
      </c>
      <c r="V159" s="434" t="s">
        <v>1826</v>
      </c>
      <c r="W159" s="434" t="s">
        <v>1825</v>
      </c>
      <c r="X159" s="434" t="s">
        <v>1826</v>
      </c>
      <c r="Y159" s="434" t="s">
        <v>1825</v>
      </c>
      <c r="Z159" s="434" t="s">
        <v>1826</v>
      </c>
      <c r="AA159" s="434" t="s">
        <v>1826</v>
      </c>
      <c r="AB159" s="434" t="s">
        <v>1660</v>
      </c>
      <c r="AC159" s="434" t="s">
        <v>1660</v>
      </c>
      <c r="AD159" s="434" t="s">
        <v>1825</v>
      </c>
      <c r="AE159" s="434" t="s">
        <v>1826</v>
      </c>
      <c r="AF159" s="434" t="s">
        <v>1825</v>
      </c>
      <c r="AG159" s="427">
        <v>11.0</v>
      </c>
      <c r="AH159" s="435" t="s">
        <v>24</v>
      </c>
      <c r="AI159" s="415"/>
      <c r="AJ159" s="436" t="str">
        <f t="array" ref="AJ159">IF(M159=DGET(claves!$A$2:$AS423,M$2,{claves!$A$2;$E159}),1,0)</f>
        <v>#VALUE!</v>
      </c>
      <c r="AK159" s="436" t="str">
        <f t="array" ref="AK159">IF(N159=DGET(claves!$A$2:$AS423,N$2,{claves!$A$2;$E159}),1,0)</f>
        <v>#VALUE!</v>
      </c>
      <c r="AL159" s="436" t="str">
        <f t="array" ref="AL159">IF(O159=DGET(claves!$A$2:$AS423,O$2,{claves!$A$2;$E159}),1,0)</f>
        <v>#VALUE!</v>
      </c>
      <c r="AM159" s="436" t="str">
        <f t="array" ref="AM159">IF(P159=DGET(claves!$A$2:$AS423,P$2,{claves!$A$2;$E159}),1,0)</f>
        <v>#VALUE!</v>
      </c>
      <c r="AN159" s="436" t="str">
        <f t="array" ref="AN159">IF(Q159=DGET(claves!$A$2:$AS423,Q$2,{claves!$A$2;$E159}),1,0)</f>
        <v>#VALUE!</v>
      </c>
      <c r="AO159" s="436" t="str">
        <f t="array" ref="AO159">IF(R159=DGET(claves!$A$2:$AS423,R$2,{claves!$A$2;$E159}),1,0)</f>
        <v>#VALUE!</v>
      </c>
      <c r="AP159" s="436" t="str">
        <f t="array" ref="AP159">IF(S159=DGET(claves!$A$2:$AS423,S$2,{claves!$A$2;$E159}),1,0)</f>
        <v>#VALUE!</v>
      </c>
      <c r="AQ159" s="436" t="str">
        <f t="array" ref="AQ159">IF(T159=DGET(claves!$A$2:$AS423,T$2,{claves!$A$2;$E159}),1,0)</f>
        <v>#VALUE!</v>
      </c>
      <c r="AR159" s="436" t="str">
        <f t="array" ref="AR159">IF(U159=DGET(claves!$A$2:$AS423,U$2,{claves!$A$2;$E159}),1,0)</f>
        <v>#VALUE!</v>
      </c>
      <c r="AS159" s="436" t="str">
        <f t="array" ref="AS159">IF(V159=DGET(claves!$A$2:$AS423,V$2,{claves!$A$2;$E159}),1,0)</f>
        <v>#VALUE!</v>
      </c>
      <c r="AT159" s="436" t="str">
        <f t="array" ref="AT159">IF(W159=DGET(claves!$A$2:$AS423,W$2,{claves!$A$2;$E159}),1,0)</f>
        <v>#VALUE!</v>
      </c>
      <c r="AU159" s="436" t="str">
        <f t="array" ref="AU159">IF(X159=DGET(claves!$A$2:$AS423,X$2,{claves!$A$2;$E159}),1,0)</f>
        <v>#VALUE!</v>
      </c>
      <c r="AV159" s="436" t="str">
        <f t="array" ref="AV159">IF(Y159=DGET(claves!$A$2:$AS423,Y$2,{claves!$A$2;$E159}),1,0)</f>
        <v>#VALUE!</v>
      </c>
      <c r="AW159" s="436" t="str">
        <f t="array" ref="AW159">IF(Z159=DGET(claves!$A$2:$AS423,Z$2,{claves!$A$2;$E159}),1,0)</f>
        <v>#VALUE!</v>
      </c>
      <c r="AX159" s="436" t="str">
        <f t="array" ref="AX159">IF(AA159=DGET(claves!$A$2:$AS423,AA$2,{claves!$A$2;$E159}),1,0)</f>
        <v>#VALUE!</v>
      </c>
      <c r="AY159" s="436" t="str">
        <f t="array" ref="AY159">IF(AB159=DGET(claves!$A$2:$AS423,AB$2,{claves!$A$2;$E159}),1,0)</f>
        <v>#VALUE!</v>
      </c>
      <c r="AZ159" s="436" t="str">
        <f t="array" ref="AZ159">IF(AC159=DGET(claves!$A$2:$AS423,AC$2,{claves!$A$2;$E159}),1,0)</f>
        <v>#VALUE!</v>
      </c>
      <c r="BA159" s="436" t="str">
        <f t="array" ref="BA159">IF(AD159=DGET(claves!$A$2:$AS423,AD$2,{claves!$A$2;$E159}),1,0)</f>
        <v>#VALUE!</v>
      </c>
      <c r="BB159" s="436" t="str">
        <f t="array" ref="BB159">IF(AE159=DGET(claves!$A$2:$AS423,AE$2,{claves!$A$2;$E159}),1,0)</f>
        <v>#VALUE!</v>
      </c>
      <c r="BC159" s="436" t="str">
        <f t="array" ref="BC159">IF(AF159=DGET(claves!$A$2:$AS423,AF$2,{claves!$A$2;$E159}),1,0)</f>
        <v>#VALUE!</v>
      </c>
      <c r="BD159" s="437" t="str">
        <f t="shared" si="1"/>
        <v>#VALUE!</v>
      </c>
      <c r="BE159" s="435"/>
      <c r="BF159" s="415"/>
    </row>
    <row r="160" ht="14.25" customHeight="1">
      <c r="A160" s="408">
        <v>158.0</v>
      </c>
      <c r="B160" s="153" t="s">
        <v>1864</v>
      </c>
      <c r="C160" s="153">
        <v>2024.0</v>
      </c>
      <c r="D160" s="77" t="s">
        <v>362</v>
      </c>
      <c r="E160" s="409" t="str">
        <f>IFERROR(__xludf.DUMMYFUNCTION("ARRAYFORMULA(JOIN("""", ARRAYFORMULA(MID(SPLIT(F160, "" ""), 1, 1))))
&amp;""/""&amp;G160"),"MQ/2 Primaria")</f>
        <v>MQ/2 Primaria</v>
      </c>
      <c r="F160" s="77" t="s">
        <v>1823</v>
      </c>
      <c r="G160" s="432" t="s">
        <v>15</v>
      </c>
      <c r="H160" s="433" t="s">
        <v>1872</v>
      </c>
      <c r="I160" s="433" t="s">
        <v>1719</v>
      </c>
      <c r="J160" s="433" t="s">
        <v>1873</v>
      </c>
      <c r="K160" s="433" t="s">
        <v>1658</v>
      </c>
      <c r="L160" s="415"/>
      <c r="M160" s="434" t="s">
        <v>1825</v>
      </c>
      <c r="N160" s="434" t="s">
        <v>1825</v>
      </c>
      <c r="O160" s="434" t="s">
        <v>1826</v>
      </c>
      <c r="P160" s="434" t="s">
        <v>1826</v>
      </c>
      <c r="Q160" s="434" t="s">
        <v>1826</v>
      </c>
      <c r="R160" s="434" t="s">
        <v>1825</v>
      </c>
      <c r="S160" s="434" t="s">
        <v>1825</v>
      </c>
      <c r="T160" s="434"/>
      <c r="U160" s="434" t="s">
        <v>1825</v>
      </c>
      <c r="V160" s="434" t="s">
        <v>1825</v>
      </c>
      <c r="W160" s="434" t="s">
        <v>1660</v>
      </c>
      <c r="X160" s="434" t="s">
        <v>1825</v>
      </c>
      <c r="Y160" s="434" t="s">
        <v>1825</v>
      </c>
      <c r="Z160" s="434" t="s">
        <v>1825</v>
      </c>
      <c r="AA160" s="434" t="s">
        <v>1826</v>
      </c>
      <c r="AB160" s="434" t="s">
        <v>1825</v>
      </c>
      <c r="AC160" s="434" t="s">
        <v>1660</v>
      </c>
      <c r="AD160" s="434"/>
      <c r="AE160" s="434"/>
      <c r="AF160" s="434" t="s">
        <v>1660</v>
      </c>
      <c r="AG160" s="427">
        <v>11.0</v>
      </c>
      <c r="AH160" s="435" t="s">
        <v>24</v>
      </c>
      <c r="AI160" s="415"/>
      <c r="AJ160" s="436" t="str">
        <f t="array" ref="AJ160">IF(M160=DGET(claves!$A$2:$AS423,M$2,{claves!$A$2;$E160}),1,0)</f>
        <v>#VALUE!</v>
      </c>
      <c r="AK160" s="436" t="str">
        <f t="array" ref="AK160">IF(N160=DGET(claves!$A$2:$AS423,N$2,{claves!$A$2;$E160}),1,0)</f>
        <v>#VALUE!</v>
      </c>
      <c r="AL160" s="436" t="str">
        <f t="array" ref="AL160">IF(O160=DGET(claves!$A$2:$AS423,O$2,{claves!$A$2;$E160}),1,0)</f>
        <v>#VALUE!</v>
      </c>
      <c r="AM160" s="436" t="str">
        <f t="array" ref="AM160">IF(P160=DGET(claves!$A$2:$AS423,P$2,{claves!$A$2;$E160}),1,0)</f>
        <v>#VALUE!</v>
      </c>
      <c r="AN160" s="436" t="str">
        <f t="array" ref="AN160">IF(Q160=DGET(claves!$A$2:$AS423,Q$2,{claves!$A$2;$E160}),1,0)</f>
        <v>#VALUE!</v>
      </c>
      <c r="AO160" s="436" t="str">
        <f t="array" ref="AO160">IF(R160=DGET(claves!$A$2:$AS423,R$2,{claves!$A$2;$E160}),1,0)</f>
        <v>#VALUE!</v>
      </c>
      <c r="AP160" s="436" t="str">
        <f t="array" ref="AP160">IF(S160=DGET(claves!$A$2:$AS423,S$2,{claves!$A$2;$E160}),1,0)</f>
        <v>#VALUE!</v>
      </c>
      <c r="AQ160" s="436" t="str">
        <f t="array" ref="AQ160">IF(T160=DGET(claves!$A$2:$AS423,T$2,{claves!$A$2;$E160}),1,0)</f>
        <v>#VALUE!</v>
      </c>
      <c r="AR160" s="436" t="str">
        <f t="array" ref="AR160">IF(U160=DGET(claves!$A$2:$AS423,U$2,{claves!$A$2;$E160}),1,0)</f>
        <v>#VALUE!</v>
      </c>
      <c r="AS160" s="436" t="str">
        <f t="array" ref="AS160">IF(V160=DGET(claves!$A$2:$AS423,V$2,{claves!$A$2;$E160}),1,0)</f>
        <v>#VALUE!</v>
      </c>
      <c r="AT160" s="436" t="str">
        <f t="array" ref="AT160">IF(W160=DGET(claves!$A$2:$AS423,W$2,{claves!$A$2;$E160}),1,0)</f>
        <v>#VALUE!</v>
      </c>
      <c r="AU160" s="436" t="str">
        <f t="array" ref="AU160">IF(X160=DGET(claves!$A$2:$AS423,X$2,{claves!$A$2;$E160}),1,0)</f>
        <v>#VALUE!</v>
      </c>
      <c r="AV160" s="436" t="str">
        <f t="array" ref="AV160">IF(Y160=DGET(claves!$A$2:$AS423,Y$2,{claves!$A$2;$E160}),1,0)</f>
        <v>#VALUE!</v>
      </c>
      <c r="AW160" s="436" t="str">
        <f t="array" ref="AW160">IF(Z160=DGET(claves!$A$2:$AS423,Z$2,{claves!$A$2;$E160}),1,0)</f>
        <v>#VALUE!</v>
      </c>
      <c r="AX160" s="436" t="str">
        <f t="array" ref="AX160">IF(AA160=DGET(claves!$A$2:$AS423,AA$2,{claves!$A$2;$E160}),1,0)</f>
        <v>#VALUE!</v>
      </c>
      <c r="AY160" s="436" t="str">
        <f t="array" ref="AY160">IF(AB160=DGET(claves!$A$2:$AS423,AB$2,{claves!$A$2;$E160}),1,0)</f>
        <v>#VALUE!</v>
      </c>
      <c r="AZ160" s="436" t="str">
        <f t="array" ref="AZ160">IF(AC160=DGET(claves!$A$2:$AS423,AC$2,{claves!$A$2;$E160}),1,0)</f>
        <v>#VALUE!</v>
      </c>
      <c r="BA160" s="436" t="str">
        <f t="array" ref="BA160">IF(AD160=DGET(claves!$A$2:$AS423,AD$2,{claves!$A$2;$E160}),1,0)</f>
        <v>#VALUE!</v>
      </c>
      <c r="BB160" s="436" t="str">
        <f t="array" ref="BB160">IF(AE160=DGET(claves!$A$2:$AS423,AE$2,{claves!$A$2;$E160}),1,0)</f>
        <v>#VALUE!</v>
      </c>
      <c r="BC160" s="436" t="str">
        <f t="array" ref="BC160">IF(AF160=DGET(claves!$A$2:$AS423,AF$2,{claves!$A$2;$E160}),1,0)</f>
        <v>#VALUE!</v>
      </c>
      <c r="BD160" s="437" t="str">
        <f t="shared" si="1"/>
        <v>#VALUE!</v>
      </c>
      <c r="BE160" s="435"/>
      <c r="BF160" s="415"/>
    </row>
    <row r="161" ht="14.25" customHeight="1">
      <c r="A161" s="408">
        <v>159.0</v>
      </c>
      <c r="B161" s="153" t="s">
        <v>1864</v>
      </c>
      <c r="C161" s="153">
        <v>2024.0</v>
      </c>
      <c r="D161" s="77" t="s">
        <v>362</v>
      </c>
      <c r="E161" s="409" t="str">
        <f>IFERROR(__xludf.DUMMYFUNCTION("ARRAYFORMULA(JOIN("""", ARRAYFORMULA(MID(SPLIT(F161, "" ""), 1, 1))))
&amp;""/""&amp;G161"),"MQ/4 Primaria")</f>
        <v>MQ/4 Primaria</v>
      </c>
      <c r="F161" s="77" t="s">
        <v>1823</v>
      </c>
      <c r="G161" s="432" t="s">
        <v>20</v>
      </c>
      <c r="H161" s="433" t="s">
        <v>1874</v>
      </c>
      <c r="I161" s="433" t="s">
        <v>1875</v>
      </c>
      <c r="J161" s="433" t="s">
        <v>1876</v>
      </c>
      <c r="K161" s="433" t="s">
        <v>1658</v>
      </c>
      <c r="L161" s="415"/>
      <c r="M161" s="434" t="s">
        <v>1689</v>
      </c>
      <c r="N161" s="434" t="s">
        <v>1661</v>
      </c>
      <c r="O161" s="434" t="s">
        <v>1689</v>
      </c>
      <c r="P161" s="434" t="s">
        <v>1689</v>
      </c>
      <c r="Q161" s="434" t="s">
        <v>1661</v>
      </c>
      <c r="R161" s="434" t="s">
        <v>1660</v>
      </c>
      <c r="S161" s="434" t="s">
        <v>1659</v>
      </c>
      <c r="T161" s="434" t="s">
        <v>1661</v>
      </c>
      <c r="U161" s="434" t="s">
        <v>1660</v>
      </c>
      <c r="V161" s="434" t="s">
        <v>1660</v>
      </c>
      <c r="W161" s="434" t="s">
        <v>1689</v>
      </c>
      <c r="X161" s="434" t="s">
        <v>1661</v>
      </c>
      <c r="Y161" s="434" t="s">
        <v>1660</v>
      </c>
      <c r="Z161" s="434" t="s">
        <v>1659</v>
      </c>
      <c r="AA161" s="434" t="s">
        <v>1659</v>
      </c>
      <c r="AB161" s="434" t="s">
        <v>1659</v>
      </c>
      <c r="AC161" s="434" t="s">
        <v>1661</v>
      </c>
      <c r="AD161" s="434" t="s">
        <v>1661</v>
      </c>
      <c r="AE161" s="434" t="s">
        <v>1660</v>
      </c>
      <c r="AF161" s="434" t="s">
        <v>1661</v>
      </c>
      <c r="AG161" s="427">
        <v>16.0</v>
      </c>
      <c r="AH161" s="435" t="s">
        <v>24</v>
      </c>
      <c r="AI161" s="415"/>
      <c r="AJ161" s="436" t="str">
        <f t="array" ref="AJ161">IF(M161=DGET(claves!$A$2:$AS423,M$2,{claves!$A$2;$E161}),1,0)</f>
        <v>#VALUE!</v>
      </c>
      <c r="AK161" s="436" t="str">
        <f t="array" ref="AK161">IF(N161=DGET(claves!$A$2:$AS423,N$2,{claves!$A$2;$E161}),1,0)</f>
        <v>#VALUE!</v>
      </c>
      <c r="AL161" s="436" t="str">
        <f t="array" ref="AL161">IF(O161=DGET(claves!$A$2:$AS423,O$2,{claves!$A$2;$E161}),1,0)</f>
        <v>#VALUE!</v>
      </c>
      <c r="AM161" s="436" t="str">
        <f t="array" ref="AM161">IF(P161=DGET(claves!$A$2:$AS423,P$2,{claves!$A$2;$E161}),1,0)</f>
        <v>#VALUE!</v>
      </c>
      <c r="AN161" s="436" t="str">
        <f t="array" ref="AN161">IF(Q161=DGET(claves!$A$2:$AS423,Q$2,{claves!$A$2;$E161}),1,0)</f>
        <v>#VALUE!</v>
      </c>
      <c r="AO161" s="436" t="str">
        <f t="array" ref="AO161">IF(R161=DGET(claves!$A$2:$AS423,R$2,{claves!$A$2;$E161}),1,0)</f>
        <v>#VALUE!</v>
      </c>
      <c r="AP161" s="436" t="str">
        <f t="array" ref="AP161">IF(S161=DGET(claves!$A$2:$AS423,S$2,{claves!$A$2;$E161}),1,0)</f>
        <v>#VALUE!</v>
      </c>
      <c r="AQ161" s="436" t="str">
        <f t="array" ref="AQ161">IF(T161=DGET(claves!$A$2:$AS423,T$2,{claves!$A$2;$E161}),1,0)</f>
        <v>#VALUE!</v>
      </c>
      <c r="AR161" s="436" t="str">
        <f t="array" ref="AR161">IF(U161=DGET(claves!$A$2:$AS423,U$2,{claves!$A$2;$E161}),1,0)</f>
        <v>#VALUE!</v>
      </c>
      <c r="AS161" s="436" t="str">
        <f t="array" ref="AS161">IF(V161=DGET(claves!$A$2:$AS423,V$2,{claves!$A$2;$E161}),1,0)</f>
        <v>#VALUE!</v>
      </c>
      <c r="AT161" s="436" t="str">
        <f t="array" ref="AT161">IF(W161=DGET(claves!$A$2:$AS423,W$2,{claves!$A$2;$E161}),1,0)</f>
        <v>#VALUE!</v>
      </c>
      <c r="AU161" s="436" t="str">
        <f t="array" ref="AU161">IF(X161=DGET(claves!$A$2:$AS423,X$2,{claves!$A$2;$E161}),1,0)</f>
        <v>#VALUE!</v>
      </c>
      <c r="AV161" s="436" t="str">
        <f t="array" ref="AV161">IF(Y161=DGET(claves!$A$2:$AS423,Y$2,{claves!$A$2;$E161}),1,0)</f>
        <v>#VALUE!</v>
      </c>
      <c r="AW161" s="436" t="str">
        <f t="array" ref="AW161">IF(Z161=DGET(claves!$A$2:$AS423,Z$2,{claves!$A$2;$E161}),1,0)</f>
        <v>#VALUE!</v>
      </c>
      <c r="AX161" s="436" t="str">
        <f t="array" ref="AX161">IF(AA161=DGET(claves!$A$2:$AS423,AA$2,{claves!$A$2;$E161}),1,0)</f>
        <v>#VALUE!</v>
      </c>
      <c r="AY161" s="436" t="str">
        <f t="array" ref="AY161">IF(AB161=DGET(claves!$A$2:$AS423,AB$2,{claves!$A$2;$E161}),1,0)</f>
        <v>#VALUE!</v>
      </c>
      <c r="AZ161" s="436" t="str">
        <f t="array" ref="AZ161">IF(AC161=DGET(claves!$A$2:$AS423,AC$2,{claves!$A$2;$E161}),1,0)</f>
        <v>#VALUE!</v>
      </c>
      <c r="BA161" s="436" t="str">
        <f t="array" ref="BA161">IF(AD161=DGET(claves!$A$2:$AS423,AD$2,{claves!$A$2;$E161}),1,0)</f>
        <v>#VALUE!</v>
      </c>
      <c r="BB161" s="436" t="str">
        <f t="array" ref="BB161">IF(AE161=DGET(claves!$A$2:$AS423,AE$2,{claves!$A$2;$E161}),1,0)</f>
        <v>#VALUE!</v>
      </c>
      <c r="BC161" s="436" t="str">
        <f t="array" ref="BC161">IF(AF161=DGET(claves!$A$2:$AS423,AF$2,{claves!$A$2;$E161}),1,0)</f>
        <v>#VALUE!</v>
      </c>
      <c r="BD161" s="437" t="str">
        <f t="shared" si="1"/>
        <v>#VALUE!</v>
      </c>
      <c r="BE161" s="435"/>
      <c r="BF161" s="415"/>
    </row>
    <row r="162" ht="14.25" customHeight="1">
      <c r="A162" s="408">
        <v>160.0</v>
      </c>
      <c r="B162" s="153" t="s">
        <v>1864</v>
      </c>
      <c r="C162" s="153">
        <v>2024.0</v>
      </c>
      <c r="D162" s="77" t="s">
        <v>362</v>
      </c>
      <c r="E162" s="409" t="str">
        <f>IFERROR(__xludf.DUMMYFUNCTION("ARRAYFORMULA(JOIN("""", ARRAYFORMULA(MID(SPLIT(F162, "" ""), 1, 1))))
&amp;""/""&amp;G162"),"MQ/4 Primaria")</f>
        <v>MQ/4 Primaria</v>
      </c>
      <c r="F162" s="77" t="s">
        <v>1823</v>
      </c>
      <c r="G162" s="432" t="s">
        <v>20</v>
      </c>
      <c r="H162" s="433" t="s">
        <v>1877</v>
      </c>
      <c r="I162" s="433" t="s">
        <v>1761</v>
      </c>
      <c r="J162" s="433" t="s">
        <v>1878</v>
      </c>
      <c r="K162" s="432" t="s">
        <v>1665</v>
      </c>
      <c r="L162" s="415"/>
      <c r="M162" s="434" t="s">
        <v>1689</v>
      </c>
      <c r="N162" s="434" t="s">
        <v>1661</v>
      </c>
      <c r="O162" s="434" t="s">
        <v>1689</v>
      </c>
      <c r="P162" s="434" t="s">
        <v>1689</v>
      </c>
      <c r="Q162" s="434" t="s">
        <v>1661</v>
      </c>
      <c r="R162" s="434" t="s">
        <v>1660</v>
      </c>
      <c r="S162" s="434" t="s">
        <v>1659</v>
      </c>
      <c r="T162" s="434" t="s">
        <v>1661</v>
      </c>
      <c r="U162" s="434" t="s">
        <v>1660</v>
      </c>
      <c r="V162" s="434" t="s">
        <v>1660</v>
      </c>
      <c r="W162" s="434" t="s">
        <v>1661</v>
      </c>
      <c r="X162" s="434" t="s">
        <v>1661</v>
      </c>
      <c r="Y162" s="434" t="s">
        <v>1660</v>
      </c>
      <c r="Z162" s="434" t="s">
        <v>1661</v>
      </c>
      <c r="AA162" s="434" t="s">
        <v>1660</v>
      </c>
      <c r="AB162" s="434" t="s">
        <v>1659</v>
      </c>
      <c r="AC162" s="434" t="s">
        <v>1661</v>
      </c>
      <c r="AD162" s="434" t="s">
        <v>1661</v>
      </c>
      <c r="AE162" s="434" t="s">
        <v>1660</v>
      </c>
      <c r="AF162" s="434" t="s">
        <v>1660</v>
      </c>
      <c r="AG162" s="427">
        <v>17.0</v>
      </c>
      <c r="AH162" s="438" t="s">
        <v>32</v>
      </c>
      <c r="AI162" s="415"/>
      <c r="AJ162" s="436" t="str">
        <f t="array" ref="AJ162">IF(M162=DGET(claves!$A$2:$AS423,M$2,{claves!$A$2;$E162}),1,0)</f>
        <v>#VALUE!</v>
      </c>
      <c r="AK162" s="436" t="str">
        <f t="array" ref="AK162">IF(N162=DGET(claves!$A$2:$AS423,N$2,{claves!$A$2;$E162}),1,0)</f>
        <v>#VALUE!</v>
      </c>
      <c r="AL162" s="436" t="str">
        <f t="array" ref="AL162">IF(O162=DGET(claves!$A$2:$AS423,O$2,{claves!$A$2;$E162}),1,0)</f>
        <v>#VALUE!</v>
      </c>
      <c r="AM162" s="436" t="str">
        <f t="array" ref="AM162">IF(P162=DGET(claves!$A$2:$AS423,P$2,{claves!$A$2;$E162}),1,0)</f>
        <v>#VALUE!</v>
      </c>
      <c r="AN162" s="436" t="str">
        <f t="array" ref="AN162">IF(Q162=DGET(claves!$A$2:$AS423,Q$2,{claves!$A$2;$E162}),1,0)</f>
        <v>#VALUE!</v>
      </c>
      <c r="AO162" s="436" t="str">
        <f t="array" ref="AO162">IF(R162=DGET(claves!$A$2:$AS423,R$2,{claves!$A$2;$E162}),1,0)</f>
        <v>#VALUE!</v>
      </c>
      <c r="AP162" s="436" t="str">
        <f t="array" ref="AP162">IF(S162=DGET(claves!$A$2:$AS423,S$2,{claves!$A$2;$E162}),1,0)</f>
        <v>#VALUE!</v>
      </c>
      <c r="AQ162" s="436" t="str">
        <f t="array" ref="AQ162">IF(T162=DGET(claves!$A$2:$AS423,T$2,{claves!$A$2;$E162}),1,0)</f>
        <v>#VALUE!</v>
      </c>
      <c r="AR162" s="436" t="str">
        <f t="array" ref="AR162">IF(U162=DGET(claves!$A$2:$AS423,U$2,{claves!$A$2;$E162}),1,0)</f>
        <v>#VALUE!</v>
      </c>
      <c r="AS162" s="436" t="str">
        <f t="array" ref="AS162">IF(V162=DGET(claves!$A$2:$AS423,V$2,{claves!$A$2;$E162}),1,0)</f>
        <v>#VALUE!</v>
      </c>
      <c r="AT162" s="436" t="str">
        <f t="array" ref="AT162">IF(W162=DGET(claves!$A$2:$AS423,W$2,{claves!$A$2;$E162}),1,0)</f>
        <v>#VALUE!</v>
      </c>
      <c r="AU162" s="436" t="str">
        <f t="array" ref="AU162">IF(X162=DGET(claves!$A$2:$AS423,X$2,{claves!$A$2;$E162}),1,0)</f>
        <v>#VALUE!</v>
      </c>
      <c r="AV162" s="436" t="str">
        <f t="array" ref="AV162">IF(Y162=DGET(claves!$A$2:$AS423,Y$2,{claves!$A$2;$E162}),1,0)</f>
        <v>#VALUE!</v>
      </c>
      <c r="AW162" s="436" t="str">
        <f t="array" ref="AW162">IF(Z162=DGET(claves!$A$2:$AS423,Z$2,{claves!$A$2;$E162}),1,0)</f>
        <v>#VALUE!</v>
      </c>
      <c r="AX162" s="436" t="str">
        <f t="array" ref="AX162">IF(AA162=DGET(claves!$A$2:$AS423,AA$2,{claves!$A$2;$E162}),1,0)</f>
        <v>#VALUE!</v>
      </c>
      <c r="AY162" s="436" t="str">
        <f t="array" ref="AY162">IF(AB162=DGET(claves!$A$2:$AS423,AB$2,{claves!$A$2;$E162}),1,0)</f>
        <v>#VALUE!</v>
      </c>
      <c r="AZ162" s="436" t="str">
        <f t="array" ref="AZ162">IF(AC162=DGET(claves!$A$2:$AS423,AC$2,{claves!$A$2;$E162}),1,0)</f>
        <v>#VALUE!</v>
      </c>
      <c r="BA162" s="436" t="str">
        <f t="array" ref="BA162">IF(AD162=DGET(claves!$A$2:$AS423,AD$2,{claves!$A$2;$E162}),1,0)</f>
        <v>#VALUE!</v>
      </c>
      <c r="BB162" s="436" t="str">
        <f t="array" ref="BB162">IF(AE162=DGET(claves!$A$2:$AS423,AE$2,{claves!$A$2;$E162}),1,0)</f>
        <v>#VALUE!</v>
      </c>
      <c r="BC162" s="436" t="str">
        <f t="array" ref="BC162">IF(AF162=DGET(claves!$A$2:$AS423,AF$2,{claves!$A$2;$E162}),1,0)</f>
        <v>#VALUE!</v>
      </c>
      <c r="BD162" s="437" t="str">
        <f t="shared" si="1"/>
        <v>#VALUE!</v>
      </c>
      <c r="BE162" s="435"/>
      <c r="BF162" s="415"/>
    </row>
    <row r="163" ht="14.25" customHeight="1">
      <c r="A163" s="408">
        <v>161.0</v>
      </c>
      <c r="B163" s="153" t="s">
        <v>1864</v>
      </c>
      <c r="C163" s="153">
        <v>2024.0</v>
      </c>
      <c r="D163" s="77" t="s">
        <v>362</v>
      </c>
      <c r="E163" s="409" t="str">
        <f>IFERROR(__xludf.DUMMYFUNCTION("ARRAYFORMULA(JOIN("""", ARRAYFORMULA(MID(SPLIT(F163, "" ""), 1, 1))))
&amp;""/""&amp;G163"),"MQ/4 Primaria")</f>
        <v>MQ/4 Primaria</v>
      </c>
      <c r="F163" s="77" t="s">
        <v>1823</v>
      </c>
      <c r="G163" s="432" t="s">
        <v>20</v>
      </c>
      <c r="H163" s="433" t="s">
        <v>1879</v>
      </c>
      <c r="I163" s="433" t="s">
        <v>1880</v>
      </c>
      <c r="J163" s="433" t="s">
        <v>1881</v>
      </c>
      <c r="K163" s="433" t="s">
        <v>1658</v>
      </c>
      <c r="L163" s="415"/>
      <c r="M163" s="434" t="s">
        <v>1689</v>
      </c>
      <c r="N163" s="434" t="s">
        <v>1659</v>
      </c>
      <c r="O163" s="434" t="s">
        <v>1689</v>
      </c>
      <c r="P163" s="434" t="s">
        <v>1689</v>
      </c>
      <c r="Q163" s="434" t="s">
        <v>1661</v>
      </c>
      <c r="R163" s="434" t="s">
        <v>1661</v>
      </c>
      <c r="S163" s="434" t="s">
        <v>1659</v>
      </c>
      <c r="T163" s="434" t="s">
        <v>1661</v>
      </c>
      <c r="U163" s="434" t="s">
        <v>1660</v>
      </c>
      <c r="V163" s="434" t="s">
        <v>1660</v>
      </c>
      <c r="W163" s="434" t="s">
        <v>1661</v>
      </c>
      <c r="X163" s="434" t="s">
        <v>1661</v>
      </c>
      <c r="Y163" s="434" t="s">
        <v>1660</v>
      </c>
      <c r="Z163" s="434" t="s">
        <v>1689</v>
      </c>
      <c r="AA163" s="434" t="s">
        <v>1660</v>
      </c>
      <c r="AB163" s="434" t="s">
        <v>1659</v>
      </c>
      <c r="AC163" s="434" t="s">
        <v>1661</v>
      </c>
      <c r="AD163" s="434" t="s">
        <v>1689</v>
      </c>
      <c r="AE163" s="434" t="s">
        <v>1660</v>
      </c>
      <c r="AF163" s="434" t="s">
        <v>1660</v>
      </c>
      <c r="AG163" s="427">
        <v>15.0</v>
      </c>
      <c r="AH163" s="435" t="s">
        <v>24</v>
      </c>
      <c r="AI163" s="415"/>
      <c r="AJ163" s="436" t="str">
        <f t="array" ref="AJ163">IF(M163=DGET(claves!$A$2:$AS423,M$2,{claves!$A$2;$E163}),1,0)</f>
        <v>#VALUE!</v>
      </c>
      <c r="AK163" s="436" t="str">
        <f t="array" ref="AK163">IF(N163=DGET(claves!$A$2:$AS423,N$2,{claves!$A$2;$E163}),1,0)</f>
        <v>#VALUE!</v>
      </c>
      <c r="AL163" s="436" t="str">
        <f t="array" ref="AL163">IF(O163=DGET(claves!$A$2:$AS423,O$2,{claves!$A$2;$E163}),1,0)</f>
        <v>#VALUE!</v>
      </c>
      <c r="AM163" s="436" t="str">
        <f t="array" ref="AM163">IF(P163=DGET(claves!$A$2:$AS423,P$2,{claves!$A$2;$E163}),1,0)</f>
        <v>#VALUE!</v>
      </c>
      <c r="AN163" s="436" t="str">
        <f t="array" ref="AN163">IF(Q163=DGET(claves!$A$2:$AS423,Q$2,{claves!$A$2;$E163}),1,0)</f>
        <v>#VALUE!</v>
      </c>
      <c r="AO163" s="436" t="str">
        <f t="array" ref="AO163">IF(R163=DGET(claves!$A$2:$AS423,R$2,{claves!$A$2;$E163}),1,0)</f>
        <v>#VALUE!</v>
      </c>
      <c r="AP163" s="436" t="str">
        <f t="array" ref="AP163">IF(S163=DGET(claves!$A$2:$AS423,S$2,{claves!$A$2;$E163}),1,0)</f>
        <v>#VALUE!</v>
      </c>
      <c r="AQ163" s="436" t="str">
        <f t="array" ref="AQ163">IF(T163=DGET(claves!$A$2:$AS423,T$2,{claves!$A$2;$E163}),1,0)</f>
        <v>#VALUE!</v>
      </c>
      <c r="AR163" s="436" t="str">
        <f t="array" ref="AR163">IF(U163=DGET(claves!$A$2:$AS423,U$2,{claves!$A$2;$E163}),1,0)</f>
        <v>#VALUE!</v>
      </c>
      <c r="AS163" s="436" t="str">
        <f t="array" ref="AS163">IF(V163=DGET(claves!$A$2:$AS423,V$2,{claves!$A$2;$E163}),1,0)</f>
        <v>#VALUE!</v>
      </c>
      <c r="AT163" s="436" t="str">
        <f t="array" ref="AT163">IF(W163=DGET(claves!$A$2:$AS423,W$2,{claves!$A$2;$E163}),1,0)</f>
        <v>#VALUE!</v>
      </c>
      <c r="AU163" s="436" t="str">
        <f t="array" ref="AU163">IF(X163=DGET(claves!$A$2:$AS423,X$2,{claves!$A$2;$E163}),1,0)</f>
        <v>#VALUE!</v>
      </c>
      <c r="AV163" s="436" t="str">
        <f t="array" ref="AV163">IF(Y163=DGET(claves!$A$2:$AS423,Y$2,{claves!$A$2;$E163}),1,0)</f>
        <v>#VALUE!</v>
      </c>
      <c r="AW163" s="436" t="str">
        <f t="array" ref="AW163">IF(Z163=DGET(claves!$A$2:$AS423,Z$2,{claves!$A$2;$E163}),1,0)</f>
        <v>#VALUE!</v>
      </c>
      <c r="AX163" s="436" t="str">
        <f t="array" ref="AX163">IF(AA163=DGET(claves!$A$2:$AS423,AA$2,{claves!$A$2;$E163}),1,0)</f>
        <v>#VALUE!</v>
      </c>
      <c r="AY163" s="436" t="str">
        <f t="array" ref="AY163">IF(AB163=DGET(claves!$A$2:$AS423,AB$2,{claves!$A$2;$E163}),1,0)</f>
        <v>#VALUE!</v>
      </c>
      <c r="AZ163" s="436" t="str">
        <f t="array" ref="AZ163">IF(AC163=DGET(claves!$A$2:$AS423,AC$2,{claves!$A$2;$E163}),1,0)</f>
        <v>#VALUE!</v>
      </c>
      <c r="BA163" s="436" t="str">
        <f t="array" ref="BA163">IF(AD163=DGET(claves!$A$2:$AS423,AD$2,{claves!$A$2;$E163}),1,0)</f>
        <v>#VALUE!</v>
      </c>
      <c r="BB163" s="436" t="str">
        <f t="array" ref="BB163">IF(AE163=DGET(claves!$A$2:$AS423,AE$2,{claves!$A$2;$E163}),1,0)</f>
        <v>#VALUE!</v>
      </c>
      <c r="BC163" s="436" t="str">
        <f t="array" ref="BC163">IF(AF163=DGET(claves!$A$2:$AS423,AF$2,{claves!$A$2;$E163}),1,0)</f>
        <v>#VALUE!</v>
      </c>
      <c r="BD163" s="437" t="str">
        <f t="shared" si="1"/>
        <v>#VALUE!</v>
      </c>
      <c r="BE163" s="435"/>
      <c r="BF163" s="415"/>
    </row>
    <row r="164" ht="14.25" customHeight="1">
      <c r="A164" s="408">
        <v>162.0</v>
      </c>
      <c r="B164" s="153" t="s">
        <v>1864</v>
      </c>
      <c r="C164" s="153">
        <v>2024.0</v>
      </c>
      <c r="D164" s="77" t="s">
        <v>362</v>
      </c>
      <c r="E164" s="409" t="str">
        <f>IFERROR(__xludf.DUMMYFUNCTION("ARRAYFORMULA(JOIN("""", ARRAYFORMULA(MID(SPLIT(F164, "" ""), 1, 1))))
&amp;""/""&amp;G164"),"MQ/4 Primaria")</f>
        <v>MQ/4 Primaria</v>
      </c>
      <c r="F164" s="77" t="s">
        <v>1823</v>
      </c>
      <c r="G164" s="432" t="s">
        <v>20</v>
      </c>
      <c r="H164" s="433" t="s">
        <v>1882</v>
      </c>
      <c r="I164" s="433" t="s">
        <v>1883</v>
      </c>
      <c r="J164" s="433" t="s">
        <v>1884</v>
      </c>
      <c r="K164" s="432" t="s">
        <v>1665</v>
      </c>
      <c r="L164" s="415"/>
      <c r="M164" s="434" t="s">
        <v>1689</v>
      </c>
      <c r="N164" s="434" t="s">
        <v>1661</v>
      </c>
      <c r="O164" s="434" t="s">
        <v>1689</v>
      </c>
      <c r="P164" s="434" t="s">
        <v>1689</v>
      </c>
      <c r="Q164" s="434" t="s">
        <v>1661</v>
      </c>
      <c r="R164" s="434" t="s">
        <v>1660</v>
      </c>
      <c r="S164" s="434" t="s">
        <v>1659</v>
      </c>
      <c r="T164" s="434" t="s">
        <v>1661</v>
      </c>
      <c r="U164" s="434" t="s">
        <v>1660</v>
      </c>
      <c r="V164" s="434" t="s">
        <v>1660</v>
      </c>
      <c r="W164" s="434" t="s">
        <v>1689</v>
      </c>
      <c r="X164" s="434" t="s">
        <v>1661</v>
      </c>
      <c r="Y164" s="434" t="s">
        <v>1660</v>
      </c>
      <c r="Z164" s="434" t="s">
        <v>1659</v>
      </c>
      <c r="AA164" s="434" t="s">
        <v>1660</v>
      </c>
      <c r="AB164" s="434" t="s">
        <v>1659</v>
      </c>
      <c r="AC164" s="434" t="s">
        <v>1661</v>
      </c>
      <c r="AD164" s="434" t="s">
        <v>1689</v>
      </c>
      <c r="AE164" s="434" t="s">
        <v>1660</v>
      </c>
      <c r="AF164" s="434" t="s">
        <v>1660</v>
      </c>
      <c r="AG164" s="427">
        <v>17.0</v>
      </c>
      <c r="AH164" s="438" t="s">
        <v>32</v>
      </c>
      <c r="AI164" s="415"/>
      <c r="AJ164" s="436" t="str">
        <f t="array" ref="AJ164">IF(M164=DGET(claves!$A$2:$AS423,M$2,{claves!$A$2;$E164}),1,0)</f>
        <v>#VALUE!</v>
      </c>
      <c r="AK164" s="436" t="str">
        <f t="array" ref="AK164">IF(N164=DGET(claves!$A$2:$AS423,N$2,{claves!$A$2;$E164}),1,0)</f>
        <v>#VALUE!</v>
      </c>
      <c r="AL164" s="436" t="str">
        <f t="array" ref="AL164">IF(O164=DGET(claves!$A$2:$AS423,O$2,{claves!$A$2;$E164}),1,0)</f>
        <v>#VALUE!</v>
      </c>
      <c r="AM164" s="436" t="str">
        <f t="array" ref="AM164">IF(P164=DGET(claves!$A$2:$AS423,P$2,{claves!$A$2;$E164}),1,0)</f>
        <v>#VALUE!</v>
      </c>
      <c r="AN164" s="436" t="str">
        <f t="array" ref="AN164">IF(Q164=DGET(claves!$A$2:$AS423,Q$2,{claves!$A$2;$E164}),1,0)</f>
        <v>#VALUE!</v>
      </c>
      <c r="AO164" s="436" t="str">
        <f t="array" ref="AO164">IF(R164=DGET(claves!$A$2:$AS423,R$2,{claves!$A$2;$E164}),1,0)</f>
        <v>#VALUE!</v>
      </c>
      <c r="AP164" s="436" t="str">
        <f t="array" ref="AP164">IF(S164=DGET(claves!$A$2:$AS423,S$2,{claves!$A$2;$E164}),1,0)</f>
        <v>#VALUE!</v>
      </c>
      <c r="AQ164" s="436" t="str">
        <f t="array" ref="AQ164">IF(T164=DGET(claves!$A$2:$AS423,T$2,{claves!$A$2;$E164}),1,0)</f>
        <v>#VALUE!</v>
      </c>
      <c r="AR164" s="436" t="str">
        <f t="array" ref="AR164">IF(U164=DGET(claves!$A$2:$AS423,U$2,{claves!$A$2;$E164}),1,0)</f>
        <v>#VALUE!</v>
      </c>
      <c r="AS164" s="436" t="str">
        <f t="array" ref="AS164">IF(V164=DGET(claves!$A$2:$AS423,V$2,{claves!$A$2;$E164}),1,0)</f>
        <v>#VALUE!</v>
      </c>
      <c r="AT164" s="436" t="str">
        <f t="array" ref="AT164">IF(W164=DGET(claves!$A$2:$AS423,W$2,{claves!$A$2;$E164}),1,0)</f>
        <v>#VALUE!</v>
      </c>
      <c r="AU164" s="436" t="str">
        <f t="array" ref="AU164">IF(X164=DGET(claves!$A$2:$AS423,X$2,{claves!$A$2;$E164}),1,0)</f>
        <v>#VALUE!</v>
      </c>
      <c r="AV164" s="436" t="str">
        <f t="array" ref="AV164">IF(Y164=DGET(claves!$A$2:$AS423,Y$2,{claves!$A$2;$E164}),1,0)</f>
        <v>#VALUE!</v>
      </c>
      <c r="AW164" s="436" t="str">
        <f t="array" ref="AW164">IF(Z164=DGET(claves!$A$2:$AS423,Z$2,{claves!$A$2;$E164}),1,0)</f>
        <v>#VALUE!</v>
      </c>
      <c r="AX164" s="436" t="str">
        <f t="array" ref="AX164">IF(AA164=DGET(claves!$A$2:$AS423,AA$2,{claves!$A$2;$E164}),1,0)</f>
        <v>#VALUE!</v>
      </c>
      <c r="AY164" s="436" t="str">
        <f t="array" ref="AY164">IF(AB164=DGET(claves!$A$2:$AS423,AB$2,{claves!$A$2;$E164}),1,0)</f>
        <v>#VALUE!</v>
      </c>
      <c r="AZ164" s="436" t="str">
        <f t="array" ref="AZ164">IF(AC164=DGET(claves!$A$2:$AS423,AC$2,{claves!$A$2;$E164}),1,0)</f>
        <v>#VALUE!</v>
      </c>
      <c r="BA164" s="436" t="str">
        <f t="array" ref="BA164">IF(AD164=DGET(claves!$A$2:$AS423,AD$2,{claves!$A$2;$E164}),1,0)</f>
        <v>#VALUE!</v>
      </c>
      <c r="BB164" s="436" t="str">
        <f t="array" ref="BB164">IF(AE164=DGET(claves!$A$2:$AS423,AE$2,{claves!$A$2;$E164}),1,0)</f>
        <v>#VALUE!</v>
      </c>
      <c r="BC164" s="436" t="str">
        <f t="array" ref="BC164">IF(AF164=DGET(claves!$A$2:$AS423,AF$2,{claves!$A$2;$E164}),1,0)</f>
        <v>#VALUE!</v>
      </c>
      <c r="BD164" s="437" t="str">
        <f t="shared" si="1"/>
        <v>#VALUE!</v>
      </c>
      <c r="BE164" s="435"/>
      <c r="BF164" s="415"/>
    </row>
    <row r="165" ht="14.25" customHeight="1">
      <c r="A165" s="408">
        <v>163.0</v>
      </c>
      <c r="B165" s="153" t="s">
        <v>1864</v>
      </c>
      <c r="C165" s="153">
        <v>2024.0</v>
      </c>
      <c r="D165" s="77" t="s">
        <v>362</v>
      </c>
      <c r="E165" s="409" t="str">
        <f>IFERROR(__xludf.DUMMYFUNCTION("ARRAYFORMULA(JOIN("""", ARRAYFORMULA(MID(SPLIT(F165, "" ""), 1, 1))))
&amp;""/""&amp;G165"),"MQ/4 Primaria")</f>
        <v>MQ/4 Primaria</v>
      </c>
      <c r="F165" s="77" t="s">
        <v>1823</v>
      </c>
      <c r="G165" s="432" t="s">
        <v>20</v>
      </c>
      <c r="H165" s="433" t="s">
        <v>1885</v>
      </c>
      <c r="I165" s="433" t="s">
        <v>1655</v>
      </c>
      <c r="J165" s="433" t="s">
        <v>1886</v>
      </c>
      <c r="K165" s="433" t="s">
        <v>1658</v>
      </c>
      <c r="L165" s="415"/>
      <c r="M165" s="434" t="s">
        <v>1689</v>
      </c>
      <c r="N165" s="434" t="s">
        <v>1661</v>
      </c>
      <c r="O165" s="434" t="s">
        <v>1689</v>
      </c>
      <c r="P165" s="434" t="s">
        <v>1689</v>
      </c>
      <c r="Q165" s="434" t="s">
        <v>1661</v>
      </c>
      <c r="R165" s="434" t="s">
        <v>1660</v>
      </c>
      <c r="S165" s="434" t="s">
        <v>1659</v>
      </c>
      <c r="T165" s="434" t="s">
        <v>1661</v>
      </c>
      <c r="U165" s="434" t="s">
        <v>1660</v>
      </c>
      <c r="V165" s="434" t="s">
        <v>1689</v>
      </c>
      <c r="W165" s="434" t="s">
        <v>1689</v>
      </c>
      <c r="X165" s="434" t="s">
        <v>1661</v>
      </c>
      <c r="Y165" s="434" t="s">
        <v>1661</v>
      </c>
      <c r="Z165" s="434" t="s">
        <v>1660</v>
      </c>
      <c r="AA165" s="434" t="s">
        <v>1660</v>
      </c>
      <c r="AB165" s="434" t="s">
        <v>1659</v>
      </c>
      <c r="AC165" s="434" t="s">
        <v>1689</v>
      </c>
      <c r="AD165" s="434" t="s">
        <v>1659</v>
      </c>
      <c r="AE165" s="434" t="s">
        <v>1660</v>
      </c>
      <c r="AF165" s="434" t="s">
        <v>1660</v>
      </c>
      <c r="AG165" s="427">
        <v>14.0</v>
      </c>
      <c r="AH165" s="435" t="s">
        <v>24</v>
      </c>
      <c r="AI165" s="415"/>
      <c r="AJ165" s="436" t="str">
        <f t="array" ref="AJ165">IF(M165=DGET(claves!$A$2:$AS423,M$2,{claves!$A$2;$E165}),1,0)</f>
        <v>#VALUE!</v>
      </c>
      <c r="AK165" s="436" t="str">
        <f t="array" ref="AK165">IF(N165=DGET(claves!$A$2:$AS423,N$2,{claves!$A$2;$E165}),1,0)</f>
        <v>#VALUE!</v>
      </c>
      <c r="AL165" s="436" t="str">
        <f t="array" ref="AL165">IF(O165=DGET(claves!$A$2:$AS423,O$2,{claves!$A$2;$E165}),1,0)</f>
        <v>#VALUE!</v>
      </c>
      <c r="AM165" s="436" t="str">
        <f t="array" ref="AM165">IF(P165=DGET(claves!$A$2:$AS423,P$2,{claves!$A$2;$E165}),1,0)</f>
        <v>#VALUE!</v>
      </c>
      <c r="AN165" s="436" t="str">
        <f t="array" ref="AN165">IF(Q165=DGET(claves!$A$2:$AS423,Q$2,{claves!$A$2;$E165}),1,0)</f>
        <v>#VALUE!</v>
      </c>
      <c r="AO165" s="436" t="str">
        <f t="array" ref="AO165">IF(R165=DGET(claves!$A$2:$AS423,R$2,{claves!$A$2;$E165}),1,0)</f>
        <v>#VALUE!</v>
      </c>
      <c r="AP165" s="436" t="str">
        <f t="array" ref="AP165">IF(S165=DGET(claves!$A$2:$AS423,S$2,{claves!$A$2;$E165}),1,0)</f>
        <v>#VALUE!</v>
      </c>
      <c r="AQ165" s="436" t="str">
        <f t="array" ref="AQ165">IF(T165=DGET(claves!$A$2:$AS423,T$2,{claves!$A$2;$E165}),1,0)</f>
        <v>#VALUE!</v>
      </c>
      <c r="AR165" s="436" t="str">
        <f t="array" ref="AR165">IF(U165=DGET(claves!$A$2:$AS423,U$2,{claves!$A$2;$E165}),1,0)</f>
        <v>#VALUE!</v>
      </c>
      <c r="AS165" s="436" t="str">
        <f t="array" ref="AS165">IF(V165=DGET(claves!$A$2:$AS423,V$2,{claves!$A$2;$E165}),1,0)</f>
        <v>#VALUE!</v>
      </c>
      <c r="AT165" s="436" t="str">
        <f t="array" ref="AT165">IF(W165=DGET(claves!$A$2:$AS423,W$2,{claves!$A$2;$E165}),1,0)</f>
        <v>#VALUE!</v>
      </c>
      <c r="AU165" s="436" t="str">
        <f t="array" ref="AU165">IF(X165=DGET(claves!$A$2:$AS423,X$2,{claves!$A$2;$E165}),1,0)</f>
        <v>#VALUE!</v>
      </c>
      <c r="AV165" s="436" t="str">
        <f t="array" ref="AV165">IF(Y165=DGET(claves!$A$2:$AS423,Y$2,{claves!$A$2;$E165}),1,0)</f>
        <v>#VALUE!</v>
      </c>
      <c r="AW165" s="436" t="str">
        <f t="array" ref="AW165">IF(Z165=DGET(claves!$A$2:$AS423,Z$2,{claves!$A$2;$E165}),1,0)</f>
        <v>#VALUE!</v>
      </c>
      <c r="AX165" s="436" t="str">
        <f t="array" ref="AX165">IF(AA165=DGET(claves!$A$2:$AS423,AA$2,{claves!$A$2;$E165}),1,0)</f>
        <v>#VALUE!</v>
      </c>
      <c r="AY165" s="436" t="str">
        <f t="array" ref="AY165">IF(AB165=DGET(claves!$A$2:$AS423,AB$2,{claves!$A$2;$E165}),1,0)</f>
        <v>#VALUE!</v>
      </c>
      <c r="AZ165" s="436" t="str">
        <f t="array" ref="AZ165">IF(AC165=DGET(claves!$A$2:$AS423,AC$2,{claves!$A$2;$E165}),1,0)</f>
        <v>#VALUE!</v>
      </c>
      <c r="BA165" s="436" t="str">
        <f t="array" ref="BA165">IF(AD165=DGET(claves!$A$2:$AS423,AD$2,{claves!$A$2;$E165}),1,0)</f>
        <v>#VALUE!</v>
      </c>
      <c r="BB165" s="436" t="str">
        <f t="array" ref="BB165">IF(AE165=DGET(claves!$A$2:$AS423,AE$2,{claves!$A$2;$E165}),1,0)</f>
        <v>#VALUE!</v>
      </c>
      <c r="BC165" s="436" t="str">
        <f t="array" ref="BC165">IF(AF165=DGET(claves!$A$2:$AS423,AF$2,{claves!$A$2;$E165}),1,0)</f>
        <v>#VALUE!</v>
      </c>
      <c r="BD165" s="437" t="str">
        <f t="shared" si="1"/>
        <v>#VALUE!</v>
      </c>
      <c r="BE165" s="435"/>
      <c r="BF165" s="415"/>
    </row>
    <row r="166" ht="14.25" customHeight="1">
      <c r="A166" s="408">
        <v>164.0</v>
      </c>
      <c r="B166" s="153" t="s">
        <v>1864</v>
      </c>
      <c r="C166" s="153">
        <v>2024.0</v>
      </c>
      <c r="D166" s="77" t="s">
        <v>362</v>
      </c>
      <c r="E166" s="409" t="str">
        <f>IFERROR(__xludf.DUMMYFUNCTION("ARRAYFORMULA(JOIN("""", ARRAYFORMULA(MID(SPLIT(F166, "" ""), 1, 1))))
&amp;""/""&amp;G166"),"MQ/4 Primaria")</f>
        <v>MQ/4 Primaria</v>
      </c>
      <c r="F166" s="77" t="s">
        <v>1823</v>
      </c>
      <c r="G166" s="432" t="s">
        <v>20</v>
      </c>
      <c r="H166" s="433" t="s">
        <v>1662</v>
      </c>
      <c r="I166" s="433" t="s">
        <v>1703</v>
      </c>
      <c r="J166" s="433" t="s">
        <v>1887</v>
      </c>
      <c r="K166" s="433" t="s">
        <v>1658</v>
      </c>
      <c r="L166" s="415"/>
      <c r="M166" s="434" t="s">
        <v>1659</v>
      </c>
      <c r="N166" s="434" t="s">
        <v>1659</v>
      </c>
      <c r="O166" s="434" t="s">
        <v>1689</v>
      </c>
      <c r="P166" s="434" t="s">
        <v>1659</v>
      </c>
      <c r="Q166" s="434" t="s">
        <v>1661</v>
      </c>
      <c r="R166" s="434" t="s">
        <v>1660</v>
      </c>
      <c r="S166" s="434" t="s">
        <v>1659</v>
      </c>
      <c r="T166" s="434" t="s">
        <v>1661</v>
      </c>
      <c r="U166" s="434" t="s">
        <v>1659</v>
      </c>
      <c r="V166" s="434" t="s">
        <v>1660</v>
      </c>
      <c r="W166" s="434" t="s">
        <v>1661</v>
      </c>
      <c r="X166" s="434" t="s">
        <v>1661</v>
      </c>
      <c r="Y166" s="434" t="s">
        <v>1689</v>
      </c>
      <c r="Z166" s="434" t="s">
        <v>1689</v>
      </c>
      <c r="AA166" s="434" t="s">
        <v>1689</v>
      </c>
      <c r="AB166" s="434" t="s">
        <v>1659</v>
      </c>
      <c r="AC166" s="434" t="s">
        <v>1661</v>
      </c>
      <c r="AD166" s="434" t="s">
        <v>1660</v>
      </c>
      <c r="AE166" s="434" t="s">
        <v>1689</v>
      </c>
      <c r="AF166" s="434"/>
      <c r="AG166" s="427">
        <v>10.0</v>
      </c>
      <c r="AH166" s="435" t="s">
        <v>18</v>
      </c>
      <c r="AI166" s="415"/>
      <c r="AJ166" s="436" t="str">
        <f t="array" ref="AJ166">IF(M166=DGET(claves!$A$2:$AS423,M$2,{claves!$A$2;$E166}),1,0)</f>
        <v>#VALUE!</v>
      </c>
      <c r="AK166" s="436" t="str">
        <f t="array" ref="AK166">IF(N166=DGET(claves!$A$2:$AS423,N$2,{claves!$A$2;$E166}),1,0)</f>
        <v>#VALUE!</v>
      </c>
      <c r="AL166" s="436" t="str">
        <f t="array" ref="AL166">IF(O166=DGET(claves!$A$2:$AS423,O$2,{claves!$A$2;$E166}),1,0)</f>
        <v>#VALUE!</v>
      </c>
      <c r="AM166" s="436" t="str">
        <f t="array" ref="AM166">IF(P166=DGET(claves!$A$2:$AS423,P$2,{claves!$A$2;$E166}),1,0)</f>
        <v>#VALUE!</v>
      </c>
      <c r="AN166" s="436" t="str">
        <f t="array" ref="AN166">IF(Q166=DGET(claves!$A$2:$AS423,Q$2,{claves!$A$2;$E166}),1,0)</f>
        <v>#VALUE!</v>
      </c>
      <c r="AO166" s="436" t="str">
        <f t="array" ref="AO166">IF(R166=DGET(claves!$A$2:$AS423,R$2,{claves!$A$2;$E166}),1,0)</f>
        <v>#VALUE!</v>
      </c>
      <c r="AP166" s="436" t="str">
        <f t="array" ref="AP166">IF(S166=DGET(claves!$A$2:$AS423,S$2,{claves!$A$2;$E166}),1,0)</f>
        <v>#VALUE!</v>
      </c>
      <c r="AQ166" s="436" t="str">
        <f t="array" ref="AQ166">IF(T166=DGET(claves!$A$2:$AS423,T$2,{claves!$A$2;$E166}),1,0)</f>
        <v>#VALUE!</v>
      </c>
      <c r="AR166" s="436" t="str">
        <f t="array" ref="AR166">IF(U166=DGET(claves!$A$2:$AS423,U$2,{claves!$A$2;$E166}),1,0)</f>
        <v>#VALUE!</v>
      </c>
      <c r="AS166" s="436" t="str">
        <f t="array" ref="AS166">IF(V166=DGET(claves!$A$2:$AS423,V$2,{claves!$A$2;$E166}),1,0)</f>
        <v>#VALUE!</v>
      </c>
      <c r="AT166" s="436" t="str">
        <f t="array" ref="AT166">IF(W166=DGET(claves!$A$2:$AS423,W$2,{claves!$A$2;$E166}),1,0)</f>
        <v>#VALUE!</v>
      </c>
      <c r="AU166" s="436" t="str">
        <f t="array" ref="AU166">IF(X166=DGET(claves!$A$2:$AS423,X$2,{claves!$A$2;$E166}),1,0)</f>
        <v>#VALUE!</v>
      </c>
      <c r="AV166" s="436" t="str">
        <f t="array" ref="AV166">IF(Y166=DGET(claves!$A$2:$AS423,Y$2,{claves!$A$2;$E166}),1,0)</f>
        <v>#VALUE!</v>
      </c>
      <c r="AW166" s="436" t="str">
        <f t="array" ref="AW166">IF(Z166=DGET(claves!$A$2:$AS423,Z$2,{claves!$A$2;$E166}),1,0)</f>
        <v>#VALUE!</v>
      </c>
      <c r="AX166" s="436" t="str">
        <f t="array" ref="AX166">IF(AA166=DGET(claves!$A$2:$AS423,AA$2,{claves!$A$2;$E166}),1,0)</f>
        <v>#VALUE!</v>
      </c>
      <c r="AY166" s="436" t="str">
        <f t="array" ref="AY166">IF(AB166=DGET(claves!$A$2:$AS423,AB$2,{claves!$A$2;$E166}),1,0)</f>
        <v>#VALUE!</v>
      </c>
      <c r="AZ166" s="436" t="str">
        <f t="array" ref="AZ166">IF(AC166=DGET(claves!$A$2:$AS423,AC$2,{claves!$A$2;$E166}),1,0)</f>
        <v>#VALUE!</v>
      </c>
      <c r="BA166" s="436" t="str">
        <f t="array" ref="BA166">IF(AD166=DGET(claves!$A$2:$AS423,AD$2,{claves!$A$2;$E166}),1,0)</f>
        <v>#VALUE!</v>
      </c>
      <c r="BB166" s="436" t="str">
        <f t="array" ref="BB166">IF(AE166=DGET(claves!$A$2:$AS423,AE$2,{claves!$A$2;$E166}),1,0)</f>
        <v>#VALUE!</v>
      </c>
      <c r="BC166" s="436" t="str">
        <f t="array" ref="BC166">IF(AF166=DGET(claves!$A$2:$AS423,AF$2,{claves!$A$2;$E166}),1,0)</f>
        <v>#VALUE!</v>
      </c>
      <c r="BD166" s="437" t="str">
        <f t="shared" si="1"/>
        <v>#VALUE!</v>
      </c>
      <c r="BE166" s="435"/>
      <c r="BF166" s="415"/>
    </row>
    <row r="167" ht="14.25" customHeight="1">
      <c r="A167" s="408">
        <v>165.0</v>
      </c>
      <c r="B167" s="153" t="s">
        <v>1864</v>
      </c>
      <c r="C167" s="153">
        <v>2024.0</v>
      </c>
      <c r="D167" s="77" t="s">
        <v>362</v>
      </c>
      <c r="E167" s="409" t="str">
        <f>IFERROR(__xludf.DUMMYFUNCTION("ARRAYFORMULA(JOIN("""", ARRAYFORMULA(MID(SPLIT(F167, "" ""), 1, 1))))
&amp;""/""&amp;G167"),"MQ/4 Primaria")</f>
        <v>MQ/4 Primaria</v>
      </c>
      <c r="F167" s="77" t="s">
        <v>1823</v>
      </c>
      <c r="G167" s="432" t="s">
        <v>20</v>
      </c>
      <c r="H167" s="433" t="s">
        <v>1888</v>
      </c>
      <c r="I167" s="433" t="s">
        <v>1744</v>
      </c>
      <c r="J167" s="433" t="s">
        <v>1889</v>
      </c>
      <c r="K167" s="433" t="s">
        <v>1658</v>
      </c>
      <c r="L167" s="415"/>
      <c r="M167" s="434" t="s">
        <v>1659</v>
      </c>
      <c r="N167" s="434" t="s">
        <v>1660</v>
      </c>
      <c r="O167" s="434" t="s">
        <v>1689</v>
      </c>
      <c r="P167" s="434" t="s">
        <v>1659</v>
      </c>
      <c r="Q167" s="434" t="s">
        <v>1689</v>
      </c>
      <c r="R167" s="434" t="s">
        <v>1689</v>
      </c>
      <c r="S167" s="434" t="s">
        <v>1660</v>
      </c>
      <c r="T167" s="434" t="s">
        <v>1689</v>
      </c>
      <c r="U167" s="434" t="s">
        <v>1660</v>
      </c>
      <c r="V167" s="434" t="s">
        <v>1661</v>
      </c>
      <c r="W167" s="434" t="s">
        <v>1659</v>
      </c>
      <c r="X167" s="434" t="s">
        <v>1660</v>
      </c>
      <c r="Y167" s="434" t="s">
        <v>1689</v>
      </c>
      <c r="Z167" s="434" t="s">
        <v>1660</v>
      </c>
      <c r="AA167" s="434" t="s">
        <v>1661</v>
      </c>
      <c r="AB167" s="434" t="s">
        <v>1660</v>
      </c>
      <c r="AC167" s="434" t="s">
        <v>1660</v>
      </c>
      <c r="AD167" s="434" t="s">
        <v>1659</v>
      </c>
      <c r="AE167" s="434" t="s">
        <v>1659</v>
      </c>
      <c r="AF167" s="434" t="s">
        <v>1659</v>
      </c>
      <c r="AG167" s="427">
        <v>3.0</v>
      </c>
      <c r="AH167" s="435" t="s">
        <v>18</v>
      </c>
      <c r="AI167" s="415"/>
      <c r="AJ167" s="436" t="str">
        <f t="array" ref="AJ167">IF(M167=DGET(claves!$A$2:$AS423,M$2,{claves!$A$2;$E167}),1,0)</f>
        <v>#VALUE!</v>
      </c>
      <c r="AK167" s="436" t="str">
        <f t="array" ref="AK167">IF(N167=DGET(claves!$A$2:$AS423,N$2,{claves!$A$2;$E167}),1,0)</f>
        <v>#VALUE!</v>
      </c>
      <c r="AL167" s="436" t="str">
        <f t="array" ref="AL167">IF(O167=DGET(claves!$A$2:$AS423,O$2,{claves!$A$2;$E167}),1,0)</f>
        <v>#VALUE!</v>
      </c>
      <c r="AM167" s="436" t="str">
        <f t="array" ref="AM167">IF(P167=DGET(claves!$A$2:$AS423,P$2,{claves!$A$2;$E167}),1,0)</f>
        <v>#VALUE!</v>
      </c>
      <c r="AN167" s="436" t="str">
        <f t="array" ref="AN167">IF(Q167=DGET(claves!$A$2:$AS423,Q$2,{claves!$A$2;$E167}),1,0)</f>
        <v>#VALUE!</v>
      </c>
      <c r="AO167" s="436" t="str">
        <f t="array" ref="AO167">IF(R167=DGET(claves!$A$2:$AS423,R$2,{claves!$A$2;$E167}),1,0)</f>
        <v>#VALUE!</v>
      </c>
      <c r="AP167" s="436" t="str">
        <f t="array" ref="AP167">IF(S167=DGET(claves!$A$2:$AS423,S$2,{claves!$A$2;$E167}),1,0)</f>
        <v>#VALUE!</v>
      </c>
      <c r="AQ167" s="436" t="str">
        <f t="array" ref="AQ167">IF(T167=DGET(claves!$A$2:$AS423,T$2,{claves!$A$2;$E167}),1,0)</f>
        <v>#VALUE!</v>
      </c>
      <c r="AR167" s="436" t="str">
        <f t="array" ref="AR167">IF(U167=DGET(claves!$A$2:$AS423,U$2,{claves!$A$2;$E167}),1,0)</f>
        <v>#VALUE!</v>
      </c>
      <c r="AS167" s="436" t="str">
        <f t="array" ref="AS167">IF(V167=DGET(claves!$A$2:$AS423,V$2,{claves!$A$2;$E167}),1,0)</f>
        <v>#VALUE!</v>
      </c>
      <c r="AT167" s="436" t="str">
        <f t="array" ref="AT167">IF(W167=DGET(claves!$A$2:$AS423,W$2,{claves!$A$2;$E167}),1,0)</f>
        <v>#VALUE!</v>
      </c>
      <c r="AU167" s="436" t="str">
        <f t="array" ref="AU167">IF(X167=DGET(claves!$A$2:$AS423,X$2,{claves!$A$2;$E167}),1,0)</f>
        <v>#VALUE!</v>
      </c>
      <c r="AV167" s="436" t="str">
        <f t="array" ref="AV167">IF(Y167=DGET(claves!$A$2:$AS423,Y$2,{claves!$A$2;$E167}),1,0)</f>
        <v>#VALUE!</v>
      </c>
      <c r="AW167" s="436" t="str">
        <f t="array" ref="AW167">IF(Z167=DGET(claves!$A$2:$AS423,Z$2,{claves!$A$2;$E167}),1,0)</f>
        <v>#VALUE!</v>
      </c>
      <c r="AX167" s="436" t="str">
        <f t="array" ref="AX167">IF(AA167=DGET(claves!$A$2:$AS423,AA$2,{claves!$A$2;$E167}),1,0)</f>
        <v>#VALUE!</v>
      </c>
      <c r="AY167" s="436" t="str">
        <f t="array" ref="AY167">IF(AB167=DGET(claves!$A$2:$AS423,AB$2,{claves!$A$2;$E167}),1,0)</f>
        <v>#VALUE!</v>
      </c>
      <c r="AZ167" s="436" t="str">
        <f t="array" ref="AZ167">IF(AC167=DGET(claves!$A$2:$AS423,AC$2,{claves!$A$2;$E167}),1,0)</f>
        <v>#VALUE!</v>
      </c>
      <c r="BA167" s="436" t="str">
        <f t="array" ref="BA167">IF(AD167=DGET(claves!$A$2:$AS423,AD$2,{claves!$A$2;$E167}),1,0)</f>
        <v>#VALUE!</v>
      </c>
      <c r="BB167" s="436" t="str">
        <f t="array" ref="BB167">IF(AE167=DGET(claves!$A$2:$AS423,AE$2,{claves!$A$2;$E167}),1,0)</f>
        <v>#VALUE!</v>
      </c>
      <c r="BC167" s="436" t="str">
        <f t="array" ref="BC167">IF(AF167=DGET(claves!$A$2:$AS423,AF$2,{claves!$A$2;$E167}),1,0)</f>
        <v>#VALUE!</v>
      </c>
      <c r="BD167" s="437" t="str">
        <f t="shared" si="1"/>
        <v>#VALUE!</v>
      </c>
      <c r="BE167" s="435"/>
      <c r="BF167" s="415"/>
    </row>
    <row r="168" ht="14.25" customHeight="1">
      <c r="A168" s="408">
        <v>166.0</v>
      </c>
      <c r="B168" s="153" t="s">
        <v>1864</v>
      </c>
      <c r="C168" s="153">
        <v>2024.0</v>
      </c>
      <c r="D168" s="77" t="s">
        <v>362</v>
      </c>
      <c r="E168" s="409" t="str">
        <f>IFERROR(__xludf.DUMMYFUNCTION("ARRAYFORMULA(JOIN("""", ARRAYFORMULA(MID(SPLIT(F168, "" ""), 1, 1))))
&amp;""/""&amp;G168"),"MQ/4 Primaria")</f>
        <v>MQ/4 Primaria</v>
      </c>
      <c r="F168" s="77" t="s">
        <v>1823</v>
      </c>
      <c r="G168" s="432" t="s">
        <v>20</v>
      </c>
      <c r="H168" s="433" t="s">
        <v>1890</v>
      </c>
      <c r="I168" s="433" t="s">
        <v>1891</v>
      </c>
      <c r="J168" s="433" t="s">
        <v>1892</v>
      </c>
      <c r="K168" s="432" t="s">
        <v>1665</v>
      </c>
      <c r="L168" s="415"/>
      <c r="M168" s="434" t="s">
        <v>1659</v>
      </c>
      <c r="N168" s="434" t="s">
        <v>1659</v>
      </c>
      <c r="O168" s="434" t="s">
        <v>1689</v>
      </c>
      <c r="P168" s="434" t="s">
        <v>1689</v>
      </c>
      <c r="Q168" s="434" t="s">
        <v>1661</v>
      </c>
      <c r="R168" s="434" t="s">
        <v>1661</v>
      </c>
      <c r="S168" s="434" t="s">
        <v>1659</v>
      </c>
      <c r="T168" s="434" t="s">
        <v>1689</v>
      </c>
      <c r="U168" s="434" t="s">
        <v>1659</v>
      </c>
      <c r="V168" s="434" t="s">
        <v>1660</v>
      </c>
      <c r="W168" s="434" t="s">
        <v>1659</v>
      </c>
      <c r="X168" s="434" t="s">
        <v>1661</v>
      </c>
      <c r="Y168" s="434" t="s">
        <v>1661</v>
      </c>
      <c r="Z168" s="434" t="s">
        <v>1660</v>
      </c>
      <c r="AA168" s="434" t="s">
        <v>1660</v>
      </c>
      <c r="AB168" s="434" t="s">
        <v>1659</v>
      </c>
      <c r="AC168" s="434" t="s">
        <v>1661</v>
      </c>
      <c r="AD168" s="434" t="s">
        <v>1689</v>
      </c>
      <c r="AE168" s="434" t="s">
        <v>1659</v>
      </c>
      <c r="AF168" s="434" t="s">
        <v>1689</v>
      </c>
      <c r="AG168" s="427">
        <v>10.0</v>
      </c>
      <c r="AH168" s="435" t="s">
        <v>18</v>
      </c>
      <c r="AI168" s="415"/>
      <c r="AJ168" s="436" t="str">
        <f t="array" ref="AJ168">IF(M168=DGET(claves!$A$2:$AS423,M$2,{claves!$A$2;$E168}),1,0)</f>
        <v>#VALUE!</v>
      </c>
      <c r="AK168" s="436" t="str">
        <f t="array" ref="AK168">IF(N168=DGET(claves!$A$2:$AS423,N$2,{claves!$A$2;$E168}),1,0)</f>
        <v>#VALUE!</v>
      </c>
      <c r="AL168" s="436" t="str">
        <f t="array" ref="AL168">IF(O168=DGET(claves!$A$2:$AS423,O$2,{claves!$A$2;$E168}),1,0)</f>
        <v>#VALUE!</v>
      </c>
      <c r="AM168" s="436" t="str">
        <f t="array" ref="AM168">IF(P168=DGET(claves!$A$2:$AS423,P$2,{claves!$A$2;$E168}),1,0)</f>
        <v>#VALUE!</v>
      </c>
      <c r="AN168" s="436" t="str">
        <f t="array" ref="AN168">IF(Q168=DGET(claves!$A$2:$AS423,Q$2,{claves!$A$2;$E168}),1,0)</f>
        <v>#VALUE!</v>
      </c>
      <c r="AO168" s="436" t="str">
        <f t="array" ref="AO168">IF(R168=DGET(claves!$A$2:$AS423,R$2,{claves!$A$2;$E168}),1,0)</f>
        <v>#VALUE!</v>
      </c>
      <c r="AP168" s="436" t="str">
        <f t="array" ref="AP168">IF(S168=DGET(claves!$A$2:$AS423,S$2,{claves!$A$2;$E168}),1,0)</f>
        <v>#VALUE!</v>
      </c>
      <c r="AQ168" s="436" t="str">
        <f t="array" ref="AQ168">IF(T168=DGET(claves!$A$2:$AS423,T$2,{claves!$A$2;$E168}),1,0)</f>
        <v>#VALUE!</v>
      </c>
      <c r="AR168" s="436" t="str">
        <f t="array" ref="AR168">IF(U168=DGET(claves!$A$2:$AS423,U$2,{claves!$A$2;$E168}),1,0)</f>
        <v>#VALUE!</v>
      </c>
      <c r="AS168" s="436" t="str">
        <f t="array" ref="AS168">IF(V168=DGET(claves!$A$2:$AS423,V$2,{claves!$A$2;$E168}),1,0)</f>
        <v>#VALUE!</v>
      </c>
      <c r="AT168" s="436" t="str">
        <f t="array" ref="AT168">IF(W168=DGET(claves!$A$2:$AS423,W$2,{claves!$A$2;$E168}),1,0)</f>
        <v>#VALUE!</v>
      </c>
      <c r="AU168" s="436" t="str">
        <f t="array" ref="AU168">IF(X168=DGET(claves!$A$2:$AS423,X$2,{claves!$A$2;$E168}),1,0)</f>
        <v>#VALUE!</v>
      </c>
      <c r="AV168" s="436" t="str">
        <f t="array" ref="AV168">IF(Y168=DGET(claves!$A$2:$AS423,Y$2,{claves!$A$2;$E168}),1,0)</f>
        <v>#VALUE!</v>
      </c>
      <c r="AW168" s="436" t="str">
        <f t="array" ref="AW168">IF(Z168=DGET(claves!$A$2:$AS423,Z$2,{claves!$A$2;$E168}),1,0)</f>
        <v>#VALUE!</v>
      </c>
      <c r="AX168" s="436" t="str">
        <f t="array" ref="AX168">IF(AA168=DGET(claves!$A$2:$AS423,AA$2,{claves!$A$2;$E168}),1,0)</f>
        <v>#VALUE!</v>
      </c>
      <c r="AY168" s="436" t="str">
        <f t="array" ref="AY168">IF(AB168=DGET(claves!$A$2:$AS423,AB$2,{claves!$A$2;$E168}),1,0)</f>
        <v>#VALUE!</v>
      </c>
      <c r="AZ168" s="436" t="str">
        <f t="array" ref="AZ168">IF(AC168=DGET(claves!$A$2:$AS423,AC$2,{claves!$A$2;$E168}),1,0)</f>
        <v>#VALUE!</v>
      </c>
      <c r="BA168" s="436" t="str">
        <f t="array" ref="BA168">IF(AD168=DGET(claves!$A$2:$AS423,AD$2,{claves!$A$2;$E168}),1,0)</f>
        <v>#VALUE!</v>
      </c>
      <c r="BB168" s="436" t="str">
        <f t="array" ref="BB168">IF(AE168=DGET(claves!$A$2:$AS423,AE$2,{claves!$A$2;$E168}),1,0)</f>
        <v>#VALUE!</v>
      </c>
      <c r="BC168" s="436" t="str">
        <f t="array" ref="BC168">IF(AF168=DGET(claves!$A$2:$AS423,AF$2,{claves!$A$2;$E168}),1,0)</f>
        <v>#VALUE!</v>
      </c>
      <c r="BD168" s="437" t="str">
        <f t="shared" si="1"/>
        <v>#VALUE!</v>
      </c>
      <c r="BE168" s="435"/>
      <c r="BF168" s="415"/>
    </row>
    <row r="169" ht="14.25" customHeight="1">
      <c r="A169" s="408">
        <v>167.0</v>
      </c>
      <c r="B169" s="153" t="s">
        <v>1864</v>
      </c>
      <c r="C169" s="153">
        <v>2024.0</v>
      </c>
      <c r="D169" s="77" t="s">
        <v>362</v>
      </c>
      <c r="E169" s="409" t="str">
        <f>IFERROR(__xludf.DUMMYFUNCTION("ARRAYFORMULA(JOIN("""", ARRAYFORMULA(MID(SPLIT(F169, "" ""), 1, 1))))
&amp;""/""&amp;G169"),"MQ/6 Primaria")</f>
        <v>MQ/6 Primaria</v>
      </c>
      <c r="F169" s="77" t="s">
        <v>1823</v>
      </c>
      <c r="G169" s="432" t="s">
        <v>22</v>
      </c>
      <c r="H169" s="433" t="s">
        <v>1680</v>
      </c>
      <c r="I169" s="433" t="s">
        <v>1893</v>
      </c>
      <c r="J169" s="433" t="s">
        <v>1894</v>
      </c>
      <c r="K169" s="433" t="s">
        <v>1658</v>
      </c>
      <c r="L169" s="415"/>
      <c r="M169" s="434" t="s">
        <v>1660</v>
      </c>
      <c r="N169" s="434" t="s">
        <v>1689</v>
      </c>
      <c r="O169" s="434" t="s">
        <v>1661</v>
      </c>
      <c r="P169" s="434" t="s">
        <v>1689</v>
      </c>
      <c r="Q169" s="434" t="s">
        <v>1659</v>
      </c>
      <c r="R169" s="434" t="s">
        <v>1659</v>
      </c>
      <c r="S169" s="434" t="s">
        <v>1659</v>
      </c>
      <c r="T169" s="434" t="s">
        <v>1659</v>
      </c>
      <c r="U169" s="434" t="s">
        <v>1659</v>
      </c>
      <c r="V169" s="434" t="s">
        <v>1689</v>
      </c>
      <c r="W169" s="434" t="s">
        <v>1661</v>
      </c>
      <c r="X169" s="434" t="s">
        <v>1689</v>
      </c>
      <c r="Y169" s="434" t="s">
        <v>1660</v>
      </c>
      <c r="Z169" s="434" t="s">
        <v>1661</v>
      </c>
      <c r="AA169" s="434" t="s">
        <v>1659</v>
      </c>
      <c r="AB169" s="434" t="s">
        <v>1689</v>
      </c>
      <c r="AC169" s="434" t="s">
        <v>1660</v>
      </c>
      <c r="AD169" s="434" t="s">
        <v>1659</v>
      </c>
      <c r="AE169" s="434" t="s">
        <v>1660</v>
      </c>
      <c r="AF169" s="434" t="s">
        <v>1661</v>
      </c>
      <c r="AG169" s="427">
        <v>19.0</v>
      </c>
      <c r="AH169" s="438" t="s">
        <v>32</v>
      </c>
      <c r="AI169" s="415"/>
      <c r="AJ169" s="436" t="str">
        <f t="array" ref="AJ169">IF(M169=DGET(claves!$A$2:$AS423,M$2,{claves!$A$2;$E169}),1,0)</f>
        <v>#VALUE!</v>
      </c>
      <c r="AK169" s="436" t="str">
        <f t="array" ref="AK169">IF(N169=DGET(claves!$A$2:$AS423,N$2,{claves!$A$2;$E169}),1,0)</f>
        <v>#VALUE!</v>
      </c>
      <c r="AL169" s="436" t="str">
        <f t="array" ref="AL169">IF(O169=DGET(claves!$A$2:$AS423,O$2,{claves!$A$2;$E169}),1,0)</f>
        <v>#VALUE!</v>
      </c>
      <c r="AM169" s="436" t="str">
        <f t="array" ref="AM169">IF(P169=DGET(claves!$A$2:$AS423,P$2,{claves!$A$2;$E169}),1,0)</f>
        <v>#VALUE!</v>
      </c>
      <c r="AN169" s="436" t="str">
        <f t="array" ref="AN169">IF(Q169=DGET(claves!$A$2:$AS423,Q$2,{claves!$A$2;$E169}),1,0)</f>
        <v>#VALUE!</v>
      </c>
      <c r="AO169" s="436" t="str">
        <f t="array" ref="AO169">IF(R169=DGET(claves!$A$2:$AS423,R$2,{claves!$A$2;$E169}),1,0)</f>
        <v>#VALUE!</v>
      </c>
      <c r="AP169" s="436" t="str">
        <f t="array" ref="AP169">IF(S169=DGET(claves!$A$2:$AS423,S$2,{claves!$A$2;$E169}),1,0)</f>
        <v>#VALUE!</v>
      </c>
      <c r="AQ169" s="436" t="str">
        <f t="array" ref="AQ169">IF(T169=DGET(claves!$A$2:$AS423,T$2,{claves!$A$2;$E169}),1,0)</f>
        <v>#VALUE!</v>
      </c>
      <c r="AR169" s="436" t="str">
        <f t="array" ref="AR169">IF(U169=DGET(claves!$A$2:$AS423,U$2,{claves!$A$2;$E169}),1,0)</f>
        <v>#VALUE!</v>
      </c>
      <c r="AS169" s="436" t="str">
        <f t="array" ref="AS169">IF(V169=DGET(claves!$A$2:$AS423,V$2,{claves!$A$2;$E169}),1,0)</f>
        <v>#VALUE!</v>
      </c>
      <c r="AT169" s="436" t="str">
        <f t="array" ref="AT169">IF(W169=DGET(claves!$A$2:$AS423,W$2,{claves!$A$2;$E169}),1,0)</f>
        <v>#VALUE!</v>
      </c>
      <c r="AU169" s="436" t="str">
        <f t="array" ref="AU169">IF(X169=DGET(claves!$A$2:$AS423,X$2,{claves!$A$2;$E169}),1,0)</f>
        <v>#VALUE!</v>
      </c>
      <c r="AV169" s="436" t="str">
        <f t="array" ref="AV169">IF(Y169=DGET(claves!$A$2:$AS423,Y$2,{claves!$A$2;$E169}),1,0)</f>
        <v>#VALUE!</v>
      </c>
      <c r="AW169" s="436" t="str">
        <f t="array" ref="AW169">IF(Z169=DGET(claves!$A$2:$AS423,Z$2,{claves!$A$2;$E169}),1,0)</f>
        <v>#VALUE!</v>
      </c>
      <c r="AX169" s="436" t="str">
        <f t="array" ref="AX169">IF(AA169=DGET(claves!$A$2:$AS423,AA$2,{claves!$A$2;$E169}),1,0)</f>
        <v>#VALUE!</v>
      </c>
      <c r="AY169" s="436" t="str">
        <f t="array" ref="AY169">IF(AB169=DGET(claves!$A$2:$AS423,AB$2,{claves!$A$2;$E169}),1,0)</f>
        <v>#VALUE!</v>
      </c>
      <c r="AZ169" s="436" t="str">
        <f t="array" ref="AZ169">IF(AC169=DGET(claves!$A$2:$AS423,AC$2,{claves!$A$2;$E169}),1,0)</f>
        <v>#VALUE!</v>
      </c>
      <c r="BA169" s="436" t="str">
        <f t="array" ref="BA169">IF(AD169=DGET(claves!$A$2:$AS423,AD$2,{claves!$A$2;$E169}),1,0)</f>
        <v>#VALUE!</v>
      </c>
      <c r="BB169" s="436" t="str">
        <f t="array" ref="BB169">IF(AE169=DGET(claves!$A$2:$AS423,AE$2,{claves!$A$2;$E169}),1,0)</f>
        <v>#VALUE!</v>
      </c>
      <c r="BC169" s="436" t="str">
        <f t="array" ref="BC169">IF(AF169=DGET(claves!$A$2:$AS423,AF$2,{claves!$A$2;$E169}),1,0)</f>
        <v>#VALUE!</v>
      </c>
      <c r="BD169" s="437" t="str">
        <f t="shared" si="1"/>
        <v>#VALUE!</v>
      </c>
      <c r="BE169" s="435"/>
      <c r="BF169" s="415"/>
    </row>
    <row r="170" ht="14.25" customHeight="1">
      <c r="A170" s="408">
        <v>168.0</v>
      </c>
      <c r="B170" s="153" t="s">
        <v>1864</v>
      </c>
      <c r="C170" s="153">
        <v>2024.0</v>
      </c>
      <c r="D170" s="77" t="s">
        <v>362</v>
      </c>
      <c r="E170" s="409" t="str">
        <f>IFERROR(__xludf.DUMMYFUNCTION("ARRAYFORMULA(JOIN("""", ARRAYFORMULA(MID(SPLIT(F170, "" ""), 1, 1))))
&amp;""/""&amp;G170"),"MQ/6 Primaria")</f>
        <v>MQ/6 Primaria</v>
      </c>
      <c r="F170" s="77" t="s">
        <v>1823</v>
      </c>
      <c r="G170" s="432" t="s">
        <v>22</v>
      </c>
      <c r="H170" s="433" t="s">
        <v>1655</v>
      </c>
      <c r="I170" s="433" t="s">
        <v>1895</v>
      </c>
      <c r="J170" s="433" t="s">
        <v>1896</v>
      </c>
      <c r="K170" s="432" t="s">
        <v>1665</v>
      </c>
      <c r="L170" s="415"/>
      <c r="M170" s="434" t="s">
        <v>1660</v>
      </c>
      <c r="N170" s="434" t="s">
        <v>1689</v>
      </c>
      <c r="O170" s="434" t="s">
        <v>1661</v>
      </c>
      <c r="P170" s="434" t="s">
        <v>1659</v>
      </c>
      <c r="Q170" s="434" t="s">
        <v>1660</v>
      </c>
      <c r="R170" s="434" t="s">
        <v>1659</v>
      </c>
      <c r="S170" s="434" t="s">
        <v>1659</v>
      </c>
      <c r="T170" s="434" t="s">
        <v>1659</v>
      </c>
      <c r="U170" s="434" t="s">
        <v>1659</v>
      </c>
      <c r="V170" s="434" t="s">
        <v>1689</v>
      </c>
      <c r="W170" s="434" t="s">
        <v>1661</v>
      </c>
      <c r="X170" s="434" t="s">
        <v>1689</v>
      </c>
      <c r="Y170" s="434" t="s">
        <v>1660</v>
      </c>
      <c r="Z170" s="434" t="s">
        <v>1689</v>
      </c>
      <c r="AA170" s="434" t="s">
        <v>1659</v>
      </c>
      <c r="AB170" s="434" t="s">
        <v>1689</v>
      </c>
      <c r="AC170" s="434" t="s">
        <v>1660</v>
      </c>
      <c r="AD170" s="434" t="s">
        <v>1659</v>
      </c>
      <c r="AE170" s="434" t="s">
        <v>1661</v>
      </c>
      <c r="AF170" s="434" t="s">
        <v>1660</v>
      </c>
      <c r="AG170" s="427">
        <v>15.0</v>
      </c>
      <c r="AH170" s="435" t="s">
        <v>24</v>
      </c>
      <c r="AI170" s="415"/>
      <c r="AJ170" s="436" t="str">
        <f t="array" ref="AJ170">IF(M170=DGET(claves!$A$2:$AS423,M$2,{claves!$A$2;$E170}),1,0)</f>
        <v>#VALUE!</v>
      </c>
      <c r="AK170" s="436" t="str">
        <f t="array" ref="AK170">IF(N170=DGET(claves!$A$2:$AS423,N$2,{claves!$A$2;$E170}),1,0)</f>
        <v>#VALUE!</v>
      </c>
      <c r="AL170" s="436" t="str">
        <f t="array" ref="AL170">IF(O170=DGET(claves!$A$2:$AS423,O$2,{claves!$A$2;$E170}),1,0)</f>
        <v>#VALUE!</v>
      </c>
      <c r="AM170" s="436" t="str">
        <f t="array" ref="AM170">IF(P170=DGET(claves!$A$2:$AS423,P$2,{claves!$A$2;$E170}),1,0)</f>
        <v>#VALUE!</v>
      </c>
      <c r="AN170" s="436" t="str">
        <f t="array" ref="AN170">IF(Q170=DGET(claves!$A$2:$AS423,Q$2,{claves!$A$2;$E170}),1,0)</f>
        <v>#VALUE!</v>
      </c>
      <c r="AO170" s="436" t="str">
        <f t="array" ref="AO170">IF(R170=DGET(claves!$A$2:$AS423,R$2,{claves!$A$2;$E170}),1,0)</f>
        <v>#VALUE!</v>
      </c>
      <c r="AP170" s="436" t="str">
        <f t="array" ref="AP170">IF(S170=DGET(claves!$A$2:$AS423,S$2,{claves!$A$2;$E170}),1,0)</f>
        <v>#VALUE!</v>
      </c>
      <c r="AQ170" s="436" t="str">
        <f t="array" ref="AQ170">IF(T170=DGET(claves!$A$2:$AS423,T$2,{claves!$A$2;$E170}),1,0)</f>
        <v>#VALUE!</v>
      </c>
      <c r="AR170" s="436" t="str">
        <f t="array" ref="AR170">IF(U170=DGET(claves!$A$2:$AS423,U$2,{claves!$A$2;$E170}),1,0)</f>
        <v>#VALUE!</v>
      </c>
      <c r="AS170" s="436" t="str">
        <f t="array" ref="AS170">IF(V170=DGET(claves!$A$2:$AS423,V$2,{claves!$A$2;$E170}),1,0)</f>
        <v>#VALUE!</v>
      </c>
      <c r="AT170" s="436" t="str">
        <f t="array" ref="AT170">IF(W170=DGET(claves!$A$2:$AS423,W$2,{claves!$A$2;$E170}),1,0)</f>
        <v>#VALUE!</v>
      </c>
      <c r="AU170" s="436" t="str">
        <f t="array" ref="AU170">IF(X170=DGET(claves!$A$2:$AS423,X$2,{claves!$A$2;$E170}),1,0)</f>
        <v>#VALUE!</v>
      </c>
      <c r="AV170" s="436" t="str">
        <f t="array" ref="AV170">IF(Y170=DGET(claves!$A$2:$AS423,Y$2,{claves!$A$2;$E170}),1,0)</f>
        <v>#VALUE!</v>
      </c>
      <c r="AW170" s="436" t="str">
        <f t="array" ref="AW170">IF(Z170=DGET(claves!$A$2:$AS423,Z$2,{claves!$A$2;$E170}),1,0)</f>
        <v>#VALUE!</v>
      </c>
      <c r="AX170" s="436" t="str">
        <f t="array" ref="AX170">IF(AA170=DGET(claves!$A$2:$AS423,AA$2,{claves!$A$2;$E170}),1,0)</f>
        <v>#VALUE!</v>
      </c>
      <c r="AY170" s="436" t="str">
        <f t="array" ref="AY170">IF(AB170=DGET(claves!$A$2:$AS423,AB$2,{claves!$A$2;$E170}),1,0)</f>
        <v>#VALUE!</v>
      </c>
      <c r="AZ170" s="436" t="str">
        <f t="array" ref="AZ170">IF(AC170=DGET(claves!$A$2:$AS423,AC$2,{claves!$A$2;$E170}),1,0)</f>
        <v>#VALUE!</v>
      </c>
      <c r="BA170" s="436" t="str">
        <f t="array" ref="BA170">IF(AD170=DGET(claves!$A$2:$AS423,AD$2,{claves!$A$2;$E170}),1,0)</f>
        <v>#VALUE!</v>
      </c>
      <c r="BB170" s="436" t="str">
        <f t="array" ref="BB170">IF(AE170=DGET(claves!$A$2:$AS423,AE$2,{claves!$A$2;$E170}),1,0)</f>
        <v>#VALUE!</v>
      </c>
      <c r="BC170" s="436" t="str">
        <f t="array" ref="BC170">IF(AF170=DGET(claves!$A$2:$AS423,AF$2,{claves!$A$2;$E170}),1,0)</f>
        <v>#VALUE!</v>
      </c>
      <c r="BD170" s="437" t="str">
        <f t="shared" si="1"/>
        <v>#VALUE!</v>
      </c>
      <c r="BE170" s="435"/>
      <c r="BF170" s="415"/>
    </row>
    <row r="171" ht="14.25" customHeight="1">
      <c r="A171" s="408">
        <v>169.0</v>
      </c>
      <c r="B171" s="153" t="s">
        <v>1864</v>
      </c>
      <c r="C171" s="153">
        <v>2024.0</v>
      </c>
      <c r="D171" s="77" t="s">
        <v>362</v>
      </c>
      <c r="E171" s="409" t="str">
        <f>IFERROR(__xludf.DUMMYFUNCTION("ARRAYFORMULA(JOIN("""", ARRAYFORMULA(MID(SPLIT(F171, "" ""), 1, 1))))
&amp;""/""&amp;G171"),"MQ/6 Primaria")</f>
        <v>MQ/6 Primaria</v>
      </c>
      <c r="F171" s="77" t="s">
        <v>1823</v>
      </c>
      <c r="G171" s="432" t="s">
        <v>22</v>
      </c>
      <c r="H171" s="433" t="s">
        <v>1867</v>
      </c>
      <c r="I171" s="433" t="s">
        <v>1880</v>
      </c>
      <c r="J171" s="433" t="s">
        <v>1897</v>
      </c>
      <c r="K171" s="432" t="s">
        <v>1665</v>
      </c>
      <c r="L171" s="415"/>
      <c r="M171" s="434" t="s">
        <v>1660</v>
      </c>
      <c r="N171" s="434"/>
      <c r="O171" s="434" t="s">
        <v>1661</v>
      </c>
      <c r="P171" s="434"/>
      <c r="Q171" s="434"/>
      <c r="R171" s="434" t="s">
        <v>1659</v>
      </c>
      <c r="S171" s="434" t="s">
        <v>1659</v>
      </c>
      <c r="T171" s="434" t="s">
        <v>1659</v>
      </c>
      <c r="U171" s="434" t="s">
        <v>1659</v>
      </c>
      <c r="V171" s="434" t="s">
        <v>1689</v>
      </c>
      <c r="W171" s="434" t="s">
        <v>1661</v>
      </c>
      <c r="X171" s="434" t="s">
        <v>1689</v>
      </c>
      <c r="Y171" s="434" t="s">
        <v>1689</v>
      </c>
      <c r="Z171" s="434" t="s">
        <v>1661</v>
      </c>
      <c r="AA171" s="434" t="s">
        <v>1659</v>
      </c>
      <c r="AB171" s="434" t="s">
        <v>1689</v>
      </c>
      <c r="AC171" s="434" t="s">
        <v>1660</v>
      </c>
      <c r="AD171" s="434" t="s">
        <v>1659</v>
      </c>
      <c r="AE171" s="434" t="s">
        <v>1660</v>
      </c>
      <c r="AF171" s="434" t="s">
        <v>1661</v>
      </c>
      <c r="AG171" s="427">
        <v>15.0</v>
      </c>
      <c r="AH171" s="435" t="s">
        <v>24</v>
      </c>
      <c r="AI171" s="415"/>
      <c r="AJ171" s="436" t="str">
        <f t="array" ref="AJ171">IF(M171=DGET(claves!$A$2:$AS423,M$2,{claves!$A$2;$E171}),1,0)</f>
        <v>#VALUE!</v>
      </c>
      <c r="AK171" s="436" t="str">
        <f t="array" ref="AK171">IF(N171=DGET(claves!$A$2:$AS423,N$2,{claves!$A$2;$E171}),1,0)</f>
        <v>#VALUE!</v>
      </c>
      <c r="AL171" s="436" t="str">
        <f t="array" ref="AL171">IF(O171=DGET(claves!$A$2:$AS423,O$2,{claves!$A$2;$E171}),1,0)</f>
        <v>#VALUE!</v>
      </c>
      <c r="AM171" s="436" t="str">
        <f t="array" ref="AM171">IF(P171=DGET(claves!$A$2:$AS423,P$2,{claves!$A$2;$E171}),1,0)</f>
        <v>#VALUE!</v>
      </c>
      <c r="AN171" s="436" t="str">
        <f t="array" ref="AN171">IF(Q171=DGET(claves!$A$2:$AS423,Q$2,{claves!$A$2;$E171}),1,0)</f>
        <v>#VALUE!</v>
      </c>
      <c r="AO171" s="436" t="str">
        <f t="array" ref="AO171">IF(R171=DGET(claves!$A$2:$AS423,R$2,{claves!$A$2;$E171}),1,0)</f>
        <v>#VALUE!</v>
      </c>
      <c r="AP171" s="436" t="str">
        <f t="array" ref="AP171">IF(S171=DGET(claves!$A$2:$AS423,S$2,{claves!$A$2;$E171}),1,0)</f>
        <v>#VALUE!</v>
      </c>
      <c r="AQ171" s="436" t="str">
        <f t="array" ref="AQ171">IF(T171=DGET(claves!$A$2:$AS423,T$2,{claves!$A$2;$E171}),1,0)</f>
        <v>#VALUE!</v>
      </c>
      <c r="AR171" s="436" t="str">
        <f t="array" ref="AR171">IF(U171=DGET(claves!$A$2:$AS423,U$2,{claves!$A$2;$E171}),1,0)</f>
        <v>#VALUE!</v>
      </c>
      <c r="AS171" s="436" t="str">
        <f t="array" ref="AS171">IF(V171=DGET(claves!$A$2:$AS423,V$2,{claves!$A$2;$E171}),1,0)</f>
        <v>#VALUE!</v>
      </c>
      <c r="AT171" s="436" t="str">
        <f t="array" ref="AT171">IF(W171=DGET(claves!$A$2:$AS423,W$2,{claves!$A$2;$E171}),1,0)</f>
        <v>#VALUE!</v>
      </c>
      <c r="AU171" s="436" t="str">
        <f t="array" ref="AU171">IF(X171=DGET(claves!$A$2:$AS423,X$2,{claves!$A$2;$E171}),1,0)</f>
        <v>#VALUE!</v>
      </c>
      <c r="AV171" s="436" t="str">
        <f t="array" ref="AV171">IF(Y171=DGET(claves!$A$2:$AS423,Y$2,{claves!$A$2;$E171}),1,0)</f>
        <v>#VALUE!</v>
      </c>
      <c r="AW171" s="436" t="str">
        <f t="array" ref="AW171">IF(Z171=DGET(claves!$A$2:$AS423,Z$2,{claves!$A$2;$E171}),1,0)</f>
        <v>#VALUE!</v>
      </c>
      <c r="AX171" s="436" t="str">
        <f t="array" ref="AX171">IF(AA171=DGET(claves!$A$2:$AS423,AA$2,{claves!$A$2;$E171}),1,0)</f>
        <v>#VALUE!</v>
      </c>
      <c r="AY171" s="436" t="str">
        <f t="array" ref="AY171">IF(AB171=DGET(claves!$A$2:$AS423,AB$2,{claves!$A$2;$E171}),1,0)</f>
        <v>#VALUE!</v>
      </c>
      <c r="AZ171" s="436" t="str">
        <f t="array" ref="AZ171">IF(AC171=DGET(claves!$A$2:$AS423,AC$2,{claves!$A$2;$E171}),1,0)</f>
        <v>#VALUE!</v>
      </c>
      <c r="BA171" s="436" t="str">
        <f t="array" ref="BA171">IF(AD171=DGET(claves!$A$2:$AS423,AD$2,{claves!$A$2;$E171}),1,0)</f>
        <v>#VALUE!</v>
      </c>
      <c r="BB171" s="436" t="str">
        <f t="array" ref="BB171">IF(AE171=DGET(claves!$A$2:$AS423,AE$2,{claves!$A$2;$E171}),1,0)</f>
        <v>#VALUE!</v>
      </c>
      <c r="BC171" s="436" t="str">
        <f t="array" ref="BC171">IF(AF171=DGET(claves!$A$2:$AS423,AF$2,{claves!$A$2;$E171}),1,0)</f>
        <v>#VALUE!</v>
      </c>
      <c r="BD171" s="437" t="str">
        <f t="shared" si="1"/>
        <v>#VALUE!</v>
      </c>
      <c r="BE171" s="435"/>
      <c r="BF171" s="415"/>
    </row>
    <row r="172" ht="14.25" customHeight="1">
      <c r="A172" s="408">
        <v>170.0</v>
      </c>
      <c r="B172" s="153" t="s">
        <v>1864</v>
      </c>
      <c r="C172" s="153">
        <v>2024.0</v>
      </c>
      <c r="D172" s="77" t="s">
        <v>362</v>
      </c>
      <c r="E172" s="409" t="str">
        <f>IFERROR(__xludf.DUMMYFUNCTION("ARRAYFORMULA(JOIN("""", ARRAYFORMULA(MID(SPLIT(F172, "" ""), 1, 1))))
&amp;""/""&amp;G172"),"MQ/6 Primaria")</f>
        <v>MQ/6 Primaria</v>
      </c>
      <c r="F172" s="77" t="s">
        <v>1823</v>
      </c>
      <c r="G172" s="432" t="s">
        <v>22</v>
      </c>
      <c r="H172" s="433" t="s">
        <v>1670</v>
      </c>
      <c r="I172" s="433" t="s">
        <v>1761</v>
      </c>
      <c r="J172" s="433" t="s">
        <v>1898</v>
      </c>
      <c r="K172" s="432" t="s">
        <v>1665</v>
      </c>
      <c r="L172" s="415"/>
      <c r="M172" s="434" t="s">
        <v>1659</v>
      </c>
      <c r="N172" s="434" t="s">
        <v>1689</v>
      </c>
      <c r="O172" s="434" t="s">
        <v>1661</v>
      </c>
      <c r="P172" s="434" t="s">
        <v>1660</v>
      </c>
      <c r="Q172" s="434" t="s">
        <v>1659</v>
      </c>
      <c r="R172" s="434" t="s">
        <v>1689</v>
      </c>
      <c r="S172" s="434" t="s">
        <v>1659</v>
      </c>
      <c r="T172" s="434" t="s">
        <v>1660</v>
      </c>
      <c r="U172" s="434" t="s">
        <v>1661</v>
      </c>
      <c r="V172" s="434" t="s">
        <v>1689</v>
      </c>
      <c r="W172" s="434" t="s">
        <v>1661</v>
      </c>
      <c r="X172" s="434" t="s">
        <v>1689</v>
      </c>
      <c r="Y172" s="434" t="s">
        <v>1660</v>
      </c>
      <c r="Z172" s="434" t="s">
        <v>1659</v>
      </c>
      <c r="AA172" s="434" t="s">
        <v>1659</v>
      </c>
      <c r="AB172" s="434" t="s">
        <v>1661</v>
      </c>
      <c r="AC172" s="434" t="s">
        <v>1689</v>
      </c>
      <c r="AD172" s="434" t="s">
        <v>1689</v>
      </c>
      <c r="AE172" s="434" t="s">
        <v>1660</v>
      </c>
      <c r="AF172" s="434" t="s">
        <v>1689</v>
      </c>
      <c r="AG172" s="427">
        <v>9.0</v>
      </c>
      <c r="AH172" s="435" t="s">
        <v>18</v>
      </c>
      <c r="AI172" s="415"/>
      <c r="AJ172" s="436" t="str">
        <f t="array" ref="AJ172">IF(M172=DGET(claves!$A$2:$AS423,M$2,{claves!$A$2;$E172}),1,0)</f>
        <v>#VALUE!</v>
      </c>
      <c r="AK172" s="436" t="str">
        <f t="array" ref="AK172">IF(N172=DGET(claves!$A$2:$AS423,N$2,{claves!$A$2;$E172}),1,0)</f>
        <v>#VALUE!</v>
      </c>
      <c r="AL172" s="436" t="str">
        <f t="array" ref="AL172">IF(O172=DGET(claves!$A$2:$AS423,O$2,{claves!$A$2;$E172}),1,0)</f>
        <v>#VALUE!</v>
      </c>
      <c r="AM172" s="436" t="str">
        <f t="array" ref="AM172">IF(P172=DGET(claves!$A$2:$AS423,P$2,{claves!$A$2;$E172}),1,0)</f>
        <v>#VALUE!</v>
      </c>
      <c r="AN172" s="436" t="str">
        <f t="array" ref="AN172">IF(Q172=DGET(claves!$A$2:$AS423,Q$2,{claves!$A$2;$E172}),1,0)</f>
        <v>#VALUE!</v>
      </c>
      <c r="AO172" s="436" t="str">
        <f t="array" ref="AO172">IF(R172=DGET(claves!$A$2:$AS423,R$2,{claves!$A$2;$E172}),1,0)</f>
        <v>#VALUE!</v>
      </c>
      <c r="AP172" s="436" t="str">
        <f t="array" ref="AP172">IF(S172=DGET(claves!$A$2:$AS423,S$2,{claves!$A$2;$E172}),1,0)</f>
        <v>#VALUE!</v>
      </c>
      <c r="AQ172" s="436" t="str">
        <f t="array" ref="AQ172">IF(T172=DGET(claves!$A$2:$AS423,T$2,{claves!$A$2;$E172}),1,0)</f>
        <v>#VALUE!</v>
      </c>
      <c r="AR172" s="436" t="str">
        <f t="array" ref="AR172">IF(U172=DGET(claves!$A$2:$AS423,U$2,{claves!$A$2;$E172}),1,0)</f>
        <v>#VALUE!</v>
      </c>
      <c r="AS172" s="436" t="str">
        <f t="array" ref="AS172">IF(V172=DGET(claves!$A$2:$AS423,V$2,{claves!$A$2;$E172}),1,0)</f>
        <v>#VALUE!</v>
      </c>
      <c r="AT172" s="436" t="str">
        <f t="array" ref="AT172">IF(W172=DGET(claves!$A$2:$AS423,W$2,{claves!$A$2;$E172}),1,0)</f>
        <v>#VALUE!</v>
      </c>
      <c r="AU172" s="436" t="str">
        <f t="array" ref="AU172">IF(X172=DGET(claves!$A$2:$AS423,X$2,{claves!$A$2;$E172}),1,0)</f>
        <v>#VALUE!</v>
      </c>
      <c r="AV172" s="436" t="str">
        <f t="array" ref="AV172">IF(Y172=DGET(claves!$A$2:$AS423,Y$2,{claves!$A$2;$E172}),1,0)</f>
        <v>#VALUE!</v>
      </c>
      <c r="AW172" s="436" t="str">
        <f t="array" ref="AW172">IF(Z172=DGET(claves!$A$2:$AS423,Z$2,{claves!$A$2;$E172}),1,0)</f>
        <v>#VALUE!</v>
      </c>
      <c r="AX172" s="436" t="str">
        <f t="array" ref="AX172">IF(AA172=DGET(claves!$A$2:$AS423,AA$2,{claves!$A$2;$E172}),1,0)</f>
        <v>#VALUE!</v>
      </c>
      <c r="AY172" s="436" t="str">
        <f t="array" ref="AY172">IF(AB172=DGET(claves!$A$2:$AS423,AB$2,{claves!$A$2;$E172}),1,0)</f>
        <v>#VALUE!</v>
      </c>
      <c r="AZ172" s="436" t="str">
        <f t="array" ref="AZ172">IF(AC172=DGET(claves!$A$2:$AS423,AC$2,{claves!$A$2;$E172}),1,0)</f>
        <v>#VALUE!</v>
      </c>
      <c r="BA172" s="436" t="str">
        <f t="array" ref="BA172">IF(AD172=DGET(claves!$A$2:$AS423,AD$2,{claves!$A$2;$E172}),1,0)</f>
        <v>#VALUE!</v>
      </c>
      <c r="BB172" s="436" t="str">
        <f t="array" ref="BB172">IF(AE172=DGET(claves!$A$2:$AS423,AE$2,{claves!$A$2;$E172}),1,0)</f>
        <v>#VALUE!</v>
      </c>
      <c r="BC172" s="436" t="str">
        <f t="array" ref="BC172">IF(AF172=DGET(claves!$A$2:$AS423,AF$2,{claves!$A$2;$E172}),1,0)</f>
        <v>#VALUE!</v>
      </c>
      <c r="BD172" s="437" t="str">
        <f t="shared" si="1"/>
        <v>#VALUE!</v>
      </c>
      <c r="BE172" s="435"/>
      <c r="BF172" s="415"/>
    </row>
    <row r="173" ht="14.25" customHeight="1">
      <c r="A173" s="408">
        <v>171.0</v>
      </c>
      <c r="B173" s="153" t="s">
        <v>1864</v>
      </c>
      <c r="C173" s="153">
        <v>2024.0</v>
      </c>
      <c r="D173" s="77" t="s">
        <v>362</v>
      </c>
      <c r="E173" s="409" t="str">
        <f>IFERROR(__xludf.DUMMYFUNCTION("ARRAYFORMULA(JOIN("""", ARRAYFORMULA(MID(SPLIT(F173, "" ""), 1, 1))))
&amp;""/""&amp;G173"),"MQ/6 Primaria")</f>
        <v>MQ/6 Primaria</v>
      </c>
      <c r="F173" s="77" t="s">
        <v>1823</v>
      </c>
      <c r="G173" s="432" t="s">
        <v>22</v>
      </c>
      <c r="H173" s="433" t="s">
        <v>1899</v>
      </c>
      <c r="I173" s="433" t="s">
        <v>1684</v>
      </c>
      <c r="J173" s="433" t="s">
        <v>1900</v>
      </c>
      <c r="K173" s="433" t="s">
        <v>1658</v>
      </c>
      <c r="L173" s="415"/>
      <c r="M173" s="434" t="s">
        <v>1660</v>
      </c>
      <c r="N173" s="434" t="s">
        <v>1689</v>
      </c>
      <c r="O173" s="434" t="s">
        <v>1659</v>
      </c>
      <c r="P173" s="434" t="s">
        <v>1689</v>
      </c>
      <c r="Q173" s="434"/>
      <c r="R173" s="434" t="s">
        <v>1689</v>
      </c>
      <c r="S173" s="434" t="s">
        <v>1689</v>
      </c>
      <c r="T173" s="434" t="s">
        <v>1659</v>
      </c>
      <c r="U173" s="434" t="s">
        <v>1689</v>
      </c>
      <c r="V173" s="434" t="s">
        <v>1660</v>
      </c>
      <c r="W173" s="434" t="s">
        <v>1661</v>
      </c>
      <c r="X173" s="434" t="s">
        <v>1689</v>
      </c>
      <c r="Y173" s="434" t="s">
        <v>1660</v>
      </c>
      <c r="Z173" s="434" t="s">
        <v>1661</v>
      </c>
      <c r="AA173" s="434" t="s">
        <v>1659</v>
      </c>
      <c r="AB173" s="434" t="s">
        <v>1689</v>
      </c>
      <c r="AC173" s="434" t="s">
        <v>1689</v>
      </c>
      <c r="AD173" s="434"/>
      <c r="AE173" s="434" t="s">
        <v>1660</v>
      </c>
      <c r="AF173" s="434" t="s">
        <v>1661</v>
      </c>
      <c r="AG173" s="427">
        <v>11.0</v>
      </c>
      <c r="AH173" s="435" t="s">
        <v>24</v>
      </c>
      <c r="AI173" s="415"/>
      <c r="AJ173" s="436" t="str">
        <f t="array" ref="AJ173">IF(M173=DGET(claves!$A$2:$AS423,M$2,{claves!$A$2;$E173}),1,0)</f>
        <v>#VALUE!</v>
      </c>
      <c r="AK173" s="436" t="str">
        <f t="array" ref="AK173">IF(N173=DGET(claves!$A$2:$AS423,N$2,{claves!$A$2;$E173}),1,0)</f>
        <v>#VALUE!</v>
      </c>
      <c r="AL173" s="436" t="str">
        <f t="array" ref="AL173">IF(O173=DGET(claves!$A$2:$AS423,O$2,{claves!$A$2;$E173}),1,0)</f>
        <v>#VALUE!</v>
      </c>
      <c r="AM173" s="436" t="str">
        <f t="array" ref="AM173">IF(P173=DGET(claves!$A$2:$AS423,P$2,{claves!$A$2;$E173}),1,0)</f>
        <v>#VALUE!</v>
      </c>
      <c r="AN173" s="436" t="str">
        <f t="array" ref="AN173">IF(Q173=DGET(claves!$A$2:$AS423,Q$2,{claves!$A$2;$E173}),1,0)</f>
        <v>#VALUE!</v>
      </c>
      <c r="AO173" s="436" t="str">
        <f t="array" ref="AO173">IF(R173=DGET(claves!$A$2:$AS423,R$2,{claves!$A$2;$E173}),1,0)</f>
        <v>#VALUE!</v>
      </c>
      <c r="AP173" s="436" t="str">
        <f t="array" ref="AP173">IF(S173=DGET(claves!$A$2:$AS423,S$2,{claves!$A$2;$E173}),1,0)</f>
        <v>#VALUE!</v>
      </c>
      <c r="AQ173" s="436" t="str">
        <f t="array" ref="AQ173">IF(T173=DGET(claves!$A$2:$AS423,T$2,{claves!$A$2;$E173}),1,0)</f>
        <v>#VALUE!</v>
      </c>
      <c r="AR173" s="436" t="str">
        <f t="array" ref="AR173">IF(U173=DGET(claves!$A$2:$AS423,U$2,{claves!$A$2;$E173}),1,0)</f>
        <v>#VALUE!</v>
      </c>
      <c r="AS173" s="436" t="str">
        <f t="array" ref="AS173">IF(V173=DGET(claves!$A$2:$AS423,V$2,{claves!$A$2;$E173}),1,0)</f>
        <v>#VALUE!</v>
      </c>
      <c r="AT173" s="436" t="str">
        <f t="array" ref="AT173">IF(W173=DGET(claves!$A$2:$AS423,W$2,{claves!$A$2;$E173}),1,0)</f>
        <v>#VALUE!</v>
      </c>
      <c r="AU173" s="436" t="str">
        <f t="array" ref="AU173">IF(X173=DGET(claves!$A$2:$AS423,X$2,{claves!$A$2;$E173}),1,0)</f>
        <v>#VALUE!</v>
      </c>
      <c r="AV173" s="436" t="str">
        <f t="array" ref="AV173">IF(Y173=DGET(claves!$A$2:$AS423,Y$2,{claves!$A$2;$E173}),1,0)</f>
        <v>#VALUE!</v>
      </c>
      <c r="AW173" s="436" t="str">
        <f t="array" ref="AW173">IF(Z173=DGET(claves!$A$2:$AS423,Z$2,{claves!$A$2;$E173}),1,0)</f>
        <v>#VALUE!</v>
      </c>
      <c r="AX173" s="436" t="str">
        <f t="array" ref="AX173">IF(AA173=DGET(claves!$A$2:$AS423,AA$2,{claves!$A$2;$E173}),1,0)</f>
        <v>#VALUE!</v>
      </c>
      <c r="AY173" s="436" t="str">
        <f t="array" ref="AY173">IF(AB173=DGET(claves!$A$2:$AS423,AB$2,{claves!$A$2;$E173}),1,0)</f>
        <v>#VALUE!</v>
      </c>
      <c r="AZ173" s="436" t="str">
        <f t="array" ref="AZ173">IF(AC173=DGET(claves!$A$2:$AS423,AC$2,{claves!$A$2;$E173}),1,0)</f>
        <v>#VALUE!</v>
      </c>
      <c r="BA173" s="436" t="str">
        <f t="array" ref="BA173">IF(AD173=DGET(claves!$A$2:$AS423,AD$2,{claves!$A$2;$E173}),1,0)</f>
        <v>#VALUE!</v>
      </c>
      <c r="BB173" s="436" t="str">
        <f t="array" ref="BB173">IF(AE173=DGET(claves!$A$2:$AS423,AE$2,{claves!$A$2;$E173}),1,0)</f>
        <v>#VALUE!</v>
      </c>
      <c r="BC173" s="436" t="str">
        <f t="array" ref="BC173">IF(AF173=DGET(claves!$A$2:$AS423,AF$2,{claves!$A$2;$E173}),1,0)</f>
        <v>#VALUE!</v>
      </c>
      <c r="BD173" s="437" t="str">
        <f t="shared" si="1"/>
        <v>#VALUE!</v>
      </c>
      <c r="BE173" s="435"/>
      <c r="BF173" s="415"/>
    </row>
    <row r="174" ht="14.25" customHeight="1">
      <c r="A174" s="408">
        <v>172.0</v>
      </c>
      <c r="B174" s="153" t="s">
        <v>1901</v>
      </c>
      <c r="C174" s="153">
        <v>2024.0</v>
      </c>
      <c r="D174" s="77" t="s">
        <v>362</v>
      </c>
      <c r="E174" s="409" t="str">
        <f>IFERROR(__xludf.DUMMYFUNCTION("ARRAYFORMULA(JOIN("""", ARRAYFORMULA(MID(SPLIT(F174, "" ""), 1, 1))))
&amp;""/""&amp;G174"),"MQ/2 Primaria")</f>
        <v>MQ/2 Primaria</v>
      </c>
      <c r="F174" s="77" t="s">
        <v>1823</v>
      </c>
      <c r="G174" s="432" t="s">
        <v>15</v>
      </c>
      <c r="H174" s="433" t="s">
        <v>1667</v>
      </c>
      <c r="I174" s="433" t="s">
        <v>1719</v>
      </c>
      <c r="J174" s="433" t="s">
        <v>1902</v>
      </c>
      <c r="K174" s="433" t="s">
        <v>1658</v>
      </c>
      <c r="L174" s="415"/>
      <c r="M174" s="434" t="s">
        <v>1826</v>
      </c>
      <c r="N174" s="434" t="s">
        <v>1660</v>
      </c>
      <c r="O174" s="434" t="s">
        <v>1660</v>
      </c>
      <c r="P174" s="434" t="s">
        <v>1660</v>
      </c>
      <c r="Q174" s="434" t="s">
        <v>1825</v>
      </c>
      <c r="R174" s="434" t="s">
        <v>1660</v>
      </c>
      <c r="S174" s="434" t="s">
        <v>1826</v>
      </c>
      <c r="T174" s="434" t="s">
        <v>1660</v>
      </c>
      <c r="U174" s="434" t="s">
        <v>1826</v>
      </c>
      <c r="V174" s="434"/>
      <c r="W174" s="434" t="s">
        <v>1660</v>
      </c>
      <c r="X174" s="434" t="s">
        <v>1660</v>
      </c>
      <c r="Y174" s="434" t="s">
        <v>1826</v>
      </c>
      <c r="Z174" s="434" t="s">
        <v>1826</v>
      </c>
      <c r="AA174" s="434" t="s">
        <v>1826</v>
      </c>
      <c r="AB174" s="434" t="s">
        <v>1825</v>
      </c>
      <c r="AC174" s="434" t="s">
        <v>1660</v>
      </c>
      <c r="AD174" s="434" t="s">
        <v>1826</v>
      </c>
      <c r="AE174" s="434" t="s">
        <v>1826</v>
      </c>
      <c r="AF174" s="434" t="s">
        <v>1825</v>
      </c>
      <c r="AG174" s="427">
        <v>10.0</v>
      </c>
      <c r="AH174" s="435" t="s">
        <v>18</v>
      </c>
      <c r="AI174" s="415"/>
      <c r="AJ174" s="436" t="str">
        <f t="array" ref="AJ174">IF(M174=DGET(claves!$A$2:$AS423,M$2,{claves!$A$2;$E174}),1,0)</f>
        <v>#VALUE!</v>
      </c>
      <c r="AK174" s="436" t="str">
        <f t="array" ref="AK174">IF(N174=DGET(claves!$A$2:$AS423,N$2,{claves!$A$2;$E174}),1,0)</f>
        <v>#VALUE!</v>
      </c>
      <c r="AL174" s="436" t="str">
        <f t="array" ref="AL174">IF(O174=DGET(claves!$A$2:$AS423,O$2,{claves!$A$2;$E174}),1,0)</f>
        <v>#VALUE!</v>
      </c>
      <c r="AM174" s="436" t="str">
        <f t="array" ref="AM174">IF(P174=DGET(claves!$A$2:$AS423,P$2,{claves!$A$2;$E174}),1,0)</f>
        <v>#VALUE!</v>
      </c>
      <c r="AN174" s="436" t="str">
        <f t="array" ref="AN174">IF(Q174=DGET(claves!$A$2:$AS423,Q$2,{claves!$A$2;$E174}),1,0)</f>
        <v>#VALUE!</v>
      </c>
      <c r="AO174" s="436" t="str">
        <f t="array" ref="AO174">IF(R174=DGET(claves!$A$2:$AS423,R$2,{claves!$A$2;$E174}),1,0)</f>
        <v>#VALUE!</v>
      </c>
      <c r="AP174" s="436" t="str">
        <f t="array" ref="AP174">IF(S174=DGET(claves!$A$2:$AS423,S$2,{claves!$A$2;$E174}),1,0)</f>
        <v>#VALUE!</v>
      </c>
      <c r="AQ174" s="436" t="str">
        <f t="array" ref="AQ174">IF(T174=DGET(claves!$A$2:$AS423,T$2,{claves!$A$2;$E174}),1,0)</f>
        <v>#VALUE!</v>
      </c>
      <c r="AR174" s="436" t="str">
        <f t="array" ref="AR174">IF(U174=DGET(claves!$A$2:$AS423,U$2,{claves!$A$2;$E174}),1,0)</f>
        <v>#VALUE!</v>
      </c>
      <c r="AS174" s="436" t="str">
        <f t="array" ref="AS174">IF(V174=DGET(claves!$A$2:$AS423,V$2,{claves!$A$2;$E174}),1,0)</f>
        <v>#VALUE!</v>
      </c>
      <c r="AT174" s="436" t="str">
        <f t="array" ref="AT174">IF(W174=DGET(claves!$A$2:$AS423,W$2,{claves!$A$2;$E174}),1,0)</f>
        <v>#VALUE!</v>
      </c>
      <c r="AU174" s="436" t="str">
        <f t="array" ref="AU174">IF(X174=DGET(claves!$A$2:$AS423,X$2,{claves!$A$2;$E174}),1,0)</f>
        <v>#VALUE!</v>
      </c>
      <c r="AV174" s="436" t="str">
        <f t="array" ref="AV174">IF(Y174=DGET(claves!$A$2:$AS423,Y$2,{claves!$A$2;$E174}),1,0)</f>
        <v>#VALUE!</v>
      </c>
      <c r="AW174" s="436" t="str">
        <f t="array" ref="AW174">IF(Z174=DGET(claves!$A$2:$AS423,Z$2,{claves!$A$2;$E174}),1,0)</f>
        <v>#VALUE!</v>
      </c>
      <c r="AX174" s="436" t="str">
        <f t="array" ref="AX174">IF(AA174=DGET(claves!$A$2:$AS423,AA$2,{claves!$A$2;$E174}),1,0)</f>
        <v>#VALUE!</v>
      </c>
      <c r="AY174" s="436" t="str">
        <f t="array" ref="AY174">IF(AB174=DGET(claves!$A$2:$AS423,AB$2,{claves!$A$2;$E174}),1,0)</f>
        <v>#VALUE!</v>
      </c>
      <c r="AZ174" s="436" t="str">
        <f t="array" ref="AZ174">IF(AC174=DGET(claves!$A$2:$AS423,AC$2,{claves!$A$2;$E174}),1,0)</f>
        <v>#VALUE!</v>
      </c>
      <c r="BA174" s="436" t="str">
        <f t="array" ref="BA174">IF(AD174=DGET(claves!$A$2:$AS423,AD$2,{claves!$A$2;$E174}),1,0)</f>
        <v>#VALUE!</v>
      </c>
      <c r="BB174" s="436" t="str">
        <f t="array" ref="BB174">IF(AE174=DGET(claves!$A$2:$AS423,AE$2,{claves!$A$2;$E174}),1,0)</f>
        <v>#VALUE!</v>
      </c>
      <c r="BC174" s="436" t="str">
        <f t="array" ref="BC174">IF(AF174=DGET(claves!$A$2:$AS423,AF$2,{claves!$A$2;$E174}),1,0)</f>
        <v>#VALUE!</v>
      </c>
      <c r="BD174" s="437" t="str">
        <f t="shared" si="1"/>
        <v>#VALUE!</v>
      </c>
      <c r="BE174" s="435"/>
      <c r="BF174" s="415"/>
    </row>
    <row r="175" ht="14.25" customHeight="1">
      <c r="A175" s="408">
        <v>173.0</v>
      </c>
      <c r="B175" s="153" t="s">
        <v>1901</v>
      </c>
      <c r="C175" s="153">
        <v>2024.0</v>
      </c>
      <c r="D175" s="77" t="s">
        <v>362</v>
      </c>
      <c r="E175" s="409" t="str">
        <f>IFERROR(__xludf.DUMMYFUNCTION("ARRAYFORMULA(JOIN("""", ARRAYFORMULA(MID(SPLIT(F175, "" ""), 1, 1))))
&amp;""/""&amp;G175"),"MQ/4 Primaria")</f>
        <v>MQ/4 Primaria</v>
      </c>
      <c r="F175" s="77" t="s">
        <v>1823</v>
      </c>
      <c r="G175" s="432" t="s">
        <v>20</v>
      </c>
      <c r="H175" s="433" t="s">
        <v>1903</v>
      </c>
      <c r="I175" s="433" t="s">
        <v>1904</v>
      </c>
      <c r="J175" s="433" t="s">
        <v>1905</v>
      </c>
      <c r="K175" s="432" t="s">
        <v>1665</v>
      </c>
      <c r="L175" s="415"/>
      <c r="M175" s="434" t="s">
        <v>1689</v>
      </c>
      <c r="N175" s="434" t="s">
        <v>1659</v>
      </c>
      <c r="O175" s="434" t="s">
        <v>1689</v>
      </c>
      <c r="P175" s="434" t="s">
        <v>1659</v>
      </c>
      <c r="Q175" s="434" t="s">
        <v>1661</v>
      </c>
      <c r="R175" s="434" t="s">
        <v>1660</v>
      </c>
      <c r="S175" s="434" t="s">
        <v>1660</v>
      </c>
      <c r="T175" s="434" t="s">
        <v>1661</v>
      </c>
      <c r="U175" s="434" t="s">
        <v>1659</v>
      </c>
      <c r="V175" s="434" t="s">
        <v>1659</v>
      </c>
      <c r="W175" s="434" t="s">
        <v>1659</v>
      </c>
      <c r="X175" s="434" t="s">
        <v>1660</v>
      </c>
      <c r="Y175" s="434" t="s">
        <v>1660</v>
      </c>
      <c r="Z175" s="434" t="s">
        <v>1661</v>
      </c>
      <c r="AA175" s="434" t="s">
        <v>1660</v>
      </c>
      <c r="AB175" s="434" t="s">
        <v>1661</v>
      </c>
      <c r="AC175" s="434" t="s">
        <v>1689</v>
      </c>
      <c r="AD175" s="434" t="s">
        <v>1661</v>
      </c>
      <c r="AE175" s="434" t="s">
        <v>1660</v>
      </c>
      <c r="AF175" s="434" t="s">
        <v>1660</v>
      </c>
      <c r="AG175" s="427">
        <v>9.0</v>
      </c>
      <c r="AH175" s="435" t="s">
        <v>18</v>
      </c>
      <c r="AI175" s="415"/>
      <c r="AJ175" s="436" t="str">
        <f t="array" ref="AJ175">IF(M175=DGET(claves!$A$2:$AS423,M$2,{claves!$A$2;$E175}),1,0)</f>
        <v>#VALUE!</v>
      </c>
      <c r="AK175" s="436" t="str">
        <f t="array" ref="AK175">IF(N175=DGET(claves!$A$2:$AS423,N$2,{claves!$A$2;$E175}),1,0)</f>
        <v>#VALUE!</v>
      </c>
      <c r="AL175" s="436" t="str">
        <f t="array" ref="AL175">IF(O175=DGET(claves!$A$2:$AS423,O$2,{claves!$A$2;$E175}),1,0)</f>
        <v>#VALUE!</v>
      </c>
      <c r="AM175" s="436" t="str">
        <f t="array" ref="AM175">IF(P175=DGET(claves!$A$2:$AS423,P$2,{claves!$A$2;$E175}),1,0)</f>
        <v>#VALUE!</v>
      </c>
      <c r="AN175" s="436" t="str">
        <f t="array" ref="AN175">IF(Q175=DGET(claves!$A$2:$AS423,Q$2,{claves!$A$2;$E175}),1,0)</f>
        <v>#VALUE!</v>
      </c>
      <c r="AO175" s="436" t="str">
        <f t="array" ref="AO175">IF(R175=DGET(claves!$A$2:$AS423,R$2,{claves!$A$2;$E175}),1,0)</f>
        <v>#VALUE!</v>
      </c>
      <c r="AP175" s="436" t="str">
        <f t="array" ref="AP175">IF(S175=DGET(claves!$A$2:$AS423,S$2,{claves!$A$2;$E175}),1,0)</f>
        <v>#VALUE!</v>
      </c>
      <c r="AQ175" s="436" t="str">
        <f t="array" ref="AQ175">IF(T175=DGET(claves!$A$2:$AS423,T$2,{claves!$A$2;$E175}),1,0)</f>
        <v>#VALUE!</v>
      </c>
      <c r="AR175" s="436" t="str">
        <f t="array" ref="AR175">IF(U175=DGET(claves!$A$2:$AS423,U$2,{claves!$A$2;$E175}),1,0)</f>
        <v>#VALUE!</v>
      </c>
      <c r="AS175" s="436" t="str">
        <f t="array" ref="AS175">IF(V175=DGET(claves!$A$2:$AS423,V$2,{claves!$A$2;$E175}),1,0)</f>
        <v>#VALUE!</v>
      </c>
      <c r="AT175" s="436" t="str">
        <f t="array" ref="AT175">IF(W175=DGET(claves!$A$2:$AS423,W$2,{claves!$A$2;$E175}),1,0)</f>
        <v>#VALUE!</v>
      </c>
      <c r="AU175" s="436" t="str">
        <f t="array" ref="AU175">IF(X175=DGET(claves!$A$2:$AS423,X$2,{claves!$A$2;$E175}),1,0)</f>
        <v>#VALUE!</v>
      </c>
      <c r="AV175" s="436" t="str">
        <f t="array" ref="AV175">IF(Y175=DGET(claves!$A$2:$AS423,Y$2,{claves!$A$2;$E175}),1,0)</f>
        <v>#VALUE!</v>
      </c>
      <c r="AW175" s="436" t="str">
        <f t="array" ref="AW175">IF(Z175=DGET(claves!$A$2:$AS423,Z$2,{claves!$A$2;$E175}),1,0)</f>
        <v>#VALUE!</v>
      </c>
      <c r="AX175" s="436" t="str">
        <f t="array" ref="AX175">IF(AA175=DGET(claves!$A$2:$AS423,AA$2,{claves!$A$2;$E175}),1,0)</f>
        <v>#VALUE!</v>
      </c>
      <c r="AY175" s="436" t="str">
        <f t="array" ref="AY175">IF(AB175=DGET(claves!$A$2:$AS423,AB$2,{claves!$A$2;$E175}),1,0)</f>
        <v>#VALUE!</v>
      </c>
      <c r="AZ175" s="436" t="str">
        <f t="array" ref="AZ175">IF(AC175=DGET(claves!$A$2:$AS423,AC$2,{claves!$A$2;$E175}),1,0)</f>
        <v>#VALUE!</v>
      </c>
      <c r="BA175" s="436" t="str">
        <f t="array" ref="BA175">IF(AD175=DGET(claves!$A$2:$AS423,AD$2,{claves!$A$2;$E175}),1,0)</f>
        <v>#VALUE!</v>
      </c>
      <c r="BB175" s="436" t="str">
        <f t="array" ref="BB175">IF(AE175=DGET(claves!$A$2:$AS423,AE$2,{claves!$A$2;$E175}),1,0)</f>
        <v>#VALUE!</v>
      </c>
      <c r="BC175" s="436" t="str">
        <f t="array" ref="BC175">IF(AF175=DGET(claves!$A$2:$AS423,AF$2,{claves!$A$2;$E175}),1,0)</f>
        <v>#VALUE!</v>
      </c>
      <c r="BD175" s="437" t="str">
        <f t="shared" si="1"/>
        <v>#VALUE!</v>
      </c>
      <c r="BE175" s="435"/>
      <c r="BF175" s="415"/>
    </row>
    <row r="176" ht="14.25" customHeight="1">
      <c r="A176" s="408">
        <v>174.0</v>
      </c>
      <c r="B176" s="153" t="s">
        <v>1901</v>
      </c>
      <c r="C176" s="153">
        <v>2024.0</v>
      </c>
      <c r="D176" s="77" t="s">
        <v>362</v>
      </c>
      <c r="E176" s="409" t="str">
        <f>IFERROR(__xludf.DUMMYFUNCTION("ARRAYFORMULA(JOIN("""", ARRAYFORMULA(MID(SPLIT(F176, "" ""), 1, 1))))
&amp;""/""&amp;G176"),"MQ/6 Primaria")</f>
        <v>MQ/6 Primaria</v>
      </c>
      <c r="F176" s="77" t="s">
        <v>1823</v>
      </c>
      <c r="G176" s="432" t="s">
        <v>22</v>
      </c>
      <c r="H176" s="433" t="s">
        <v>1895</v>
      </c>
      <c r="I176" s="433" t="s">
        <v>1895</v>
      </c>
      <c r="J176" s="433" t="s">
        <v>1906</v>
      </c>
      <c r="K176" s="432" t="s">
        <v>1665</v>
      </c>
      <c r="L176" s="415"/>
      <c r="M176" s="434" t="s">
        <v>1660</v>
      </c>
      <c r="N176" s="434" t="s">
        <v>1689</v>
      </c>
      <c r="O176" s="434" t="s">
        <v>1659</v>
      </c>
      <c r="P176" s="434" t="s">
        <v>1689</v>
      </c>
      <c r="Q176" s="434" t="s">
        <v>1660</v>
      </c>
      <c r="R176" s="434" t="s">
        <v>1659</v>
      </c>
      <c r="S176" s="434" t="s">
        <v>1659</v>
      </c>
      <c r="T176" s="434" t="s">
        <v>1659</v>
      </c>
      <c r="U176" s="434" t="s">
        <v>1689</v>
      </c>
      <c r="V176" s="434" t="s">
        <v>1689</v>
      </c>
      <c r="W176" s="434" t="s">
        <v>1661</v>
      </c>
      <c r="X176" s="434" t="s">
        <v>1689</v>
      </c>
      <c r="Y176" s="434" t="s">
        <v>1660</v>
      </c>
      <c r="Z176" s="434" t="s">
        <v>1661</v>
      </c>
      <c r="AA176" s="434" t="s">
        <v>1689</v>
      </c>
      <c r="AB176" s="434" t="s">
        <v>1689</v>
      </c>
      <c r="AC176" s="434" t="s">
        <v>1660</v>
      </c>
      <c r="AD176" s="434" t="s">
        <v>1659</v>
      </c>
      <c r="AE176" s="434" t="s">
        <v>1689</v>
      </c>
      <c r="AF176" s="434" t="s">
        <v>1661</v>
      </c>
      <c r="AG176" s="427">
        <v>16.0</v>
      </c>
      <c r="AH176" s="435" t="s">
        <v>24</v>
      </c>
      <c r="AI176" s="415"/>
      <c r="AJ176" s="436" t="str">
        <f t="array" ref="AJ176">IF(M176=DGET(claves!$A$2:$AS423,M$2,{claves!$A$2;$E176}),1,0)</f>
        <v>#VALUE!</v>
      </c>
      <c r="AK176" s="436" t="str">
        <f t="array" ref="AK176">IF(N176=DGET(claves!$A$2:$AS423,N$2,{claves!$A$2;$E176}),1,0)</f>
        <v>#VALUE!</v>
      </c>
      <c r="AL176" s="436" t="str">
        <f t="array" ref="AL176">IF(O176=DGET(claves!$A$2:$AS423,O$2,{claves!$A$2;$E176}),1,0)</f>
        <v>#VALUE!</v>
      </c>
      <c r="AM176" s="436" t="str">
        <f t="array" ref="AM176">IF(P176=DGET(claves!$A$2:$AS423,P$2,{claves!$A$2;$E176}),1,0)</f>
        <v>#VALUE!</v>
      </c>
      <c r="AN176" s="436" t="str">
        <f t="array" ref="AN176">IF(Q176=DGET(claves!$A$2:$AS423,Q$2,{claves!$A$2;$E176}),1,0)</f>
        <v>#VALUE!</v>
      </c>
      <c r="AO176" s="436" t="str">
        <f t="array" ref="AO176">IF(R176=DGET(claves!$A$2:$AS423,R$2,{claves!$A$2;$E176}),1,0)</f>
        <v>#VALUE!</v>
      </c>
      <c r="AP176" s="436" t="str">
        <f t="array" ref="AP176">IF(S176=DGET(claves!$A$2:$AS423,S$2,{claves!$A$2;$E176}),1,0)</f>
        <v>#VALUE!</v>
      </c>
      <c r="AQ176" s="436" t="str">
        <f t="array" ref="AQ176">IF(T176=DGET(claves!$A$2:$AS423,T$2,{claves!$A$2;$E176}),1,0)</f>
        <v>#VALUE!</v>
      </c>
      <c r="AR176" s="436" t="str">
        <f t="array" ref="AR176">IF(U176=DGET(claves!$A$2:$AS423,U$2,{claves!$A$2;$E176}),1,0)</f>
        <v>#VALUE!</v>
      </c>
      <c r="AS176" s="436" t="str">
        <f t="array" ref="AS176">IF(V176=DGET(claves!$A$2:$AS423,V$2,{claves!$A$2;$E176}),1,0)</f>
        <v>#VALUE!</v>
      </c>
      <c r="AT176" s="436" t="str">
        <f t="array" ref="AT176">IF(W176=DGET(claves!$A$2:$AS423,W$2,{claves!$A$2;$E176}),1,0)</f>
        <v>#VALUE!</v>
      </c>
      <c r="AU176" s="436" t="str">
        <f t="array" ref="AU176">IF(X176=DGET(claves!$A$2:$AS423,X$2,{claves!$A$2;$E176}),1,0)</f>
        <v>#VALUE!</v>
      </c>
      <c r="AV176" s="436" t="str">
        <f t="array" ref="AV176">IF(Y176=DGET(claves!$A$2:$AS423,Y$2,{claves!$A$2;$E176}),1,0)</f>
        <v>#VALUE!</v>
      </c>
      <c r="AW176" s="436" t="str">
        <f t="array" ref="AW176">IF(Z176=DGET(claves!$A$2:$AS423,Z$2,{claves!$A$2;$E176}),1,0)</f>
        <v>#VALUE!</v>
      </c>
      <c r="AX176" s="436" t="str">
        <f t="array" ref="AX176">IF(AA176=DGET(claves!$A$2:$AS423,AA$2,{claves!$A$2;$E176}),1,0)</f>
        <v>#VALUE!</v>
      </c>
      <c r="AY176" s="436" t="str">
        <f t="array" ref="AY176">IF(AB176=DGET(claves!$A$2:$AS423,AB$2,{claves!$A$2;$E176}),1,0)</f>
        <v>#VALUE!</v>
      </c>
      <c r="AZ176" s="436" t="str">
        <f t="array" ref="AZ176">IF(AC176=DGET(claves!$A$2:$AS423,AC$2,{claves!$A$2;$E176}),1,0)</f>
        <v>#VALUE!</v>
      </c>
      <c r="BA176" s="436" t="str">
        <f t="array" ref="BA176">IF(AD176=DGET(claves!$A$2:$AS423,AD$2,{claves!$A$2;$E176}),1,0)</f>
        <v>#VALUE!</v>
      </c>
      <c r="BB176" s="436" t="str">
        <f t="array" ref="BB176">IF(AE176=DGET(claves!$A$2:$AS423,AE$2,{claves!$A$2;$E176}),1,0)</f>
        <v>#VALUE!</v>
      </c>
      <c r="BC176" s="436" t="str">
        <f t="array" ref="BC176">IF(AF176=DGET(claves!$A$2:$AS423,AF$2,{claves!$A$2;$E176}),1,0)</f>
        <v>#VALUE!</v>
      </c>
      <c r="BD176" s="437" t="str">
        <f t="shared" si="1"/>
        <v>#VALUE!</v>
      </c>
      <c r="BE176" s="435"/>
      <c r="BF176" s="415"/>
    </row>
    <row r="177" ht="14.25" customHeight="1">
      <c r="A177" s="408">
        <v>175.0</v>
      </c>
      <c r="B177" s="153" t="s">
        <v>1907</v>
      </c>
      <c r="C177" s="153">
        <v>2024.0</v>
      </c>
      <c r="D177" s="77" t="s">
        <v>362</v>
      </c>
      <c r="E177" s="409" t="str">
        <f>IFERROR(__xludf.DUMMYFUNCTION("ARRAYFORMULA(JOIN("""", ARRAYFORMULA(MID(SPLIT(F177, "" ""), 1, 1))))
&amp;""/""&amp;G177"),"MQ/2 Primaria")</f>
        <v>MQ/2 Primaria</v>
      </c>
      <c r="F177" s="77" t="s">
        <v>1823</v>
      </c>
      <c r="G177" s="432" t="s">
        <v>15</v>
      </c>
      <c r="H177" s="433" t="s">
        <v>1670</v>
      </c>
      <c r="I177" s="433" t="s">
        <v>1670</v>
      </c>
      <c r="J177" s="433" t="s">
        <v>1908</v>
      </c>
      <c r="K177" s="433" t="s">
        <v>1658</v>
      </c>
      <c r="L177" s="415"/>
      <c r="M177" s="434" t="s">
        <v>1826</v>
      </c>
      <c r="N177" s="434" t="s">
        <v>1825</v>
      </c>
      <c r="O177" s="434" t="s">
        <v>1660</v>
      </c>
      <c r="P177" s="434" t="s">
        <v>1660</v>
      </c>
      <c r="Q177" s="434" t="s">
        <v>1826</v>
      </c>
      <c r="R177" s="434" t="s">
        <v>1660</v>
      </c>
      <c r="S177" s="434" t="s">
        <v>1825</v>
      </c>
      <c r="T177" s="434" t="s">
        <v>1660</v>
      </c>
      <c r="U177" s="434" t="s">
        <v>1826</v>
      </c>
      <c r="V177" s="434" t="s">
        <v>1826</v>
      </c>
      <c r="W177" s="434" t="s">
        <v>1825</v>
      </c>
      <c r="X177" s="434" t="s">
        <v>1826</v>
      </c>
      <c r="Y177" s="434" t="s">
        <v>1825</v>
      </c>
      <c r="Z177" s="434" t="s">
        <v>1826</v>
      </c>
      <c r="AA177" s="434" t="s">
        <v>1826</v>
      </c>
      <c r="AB177" s="434" t="s">
        <v>1825</v>
      </c>
      <c r="AC177" s="434" t="s">
        <v>1660</v>
      </c>
      <c r="AD177" s="434" t="s">
        <v>1826</v>
      </c>
      <c r="AE177" s="434" t="s">
        <v>1825</v>
      </c>
      <c r="AF177" s="434" t="s">
        <v>1825</v>
      </c>
      <c r="AG177" s="427">
        <v>9.0</v>
      </c>
      <c r="AH177" s="435" t="s">
        <v>18</v>
      </c>
      <c r="AI177" s="415"/>
      <c r="AJ177" s="436" t="str">
        <f t="array" ref="AJ177">IF(M177=DGET(claves!$A$2:$AS423,M$2,{claves!$A$2;$E177}),1,0)</f>
        <v>#VALUE!</v>
      </c>
      <c r="AK177" s="436" t="str">
        <f t="array" ref="AK177">IF(N177=DGET(claves!$A$2:$AS423,N$2,{claves!$A$2;$E177}),1,0)</f>
        <v>#VALUE!</v>
      </c>
      <c r="AL177" s="436" t="str">
        <f t="array" ref="AL177">IF(O177=DGET(claves!$A$2:$AS423,O$2,{claves!$A$2;$E177}),1,0)</f>
        <v>#VALUE!</v>
      </c>
      <c r="AM177" s="436" t="str">
        <f t="array" ref="AM177">IF(P177=DGET(claves!$A$2:$AS423,P$2,{claves!$A$2;$E177}),1,0)</f>
        <v>#VALUE!</v>
      </c>
      <c r="AN177" s="436" t="str">
        <f t="array" ref="AN177">IF(Q177=DGET(claves!$A$2:$AS423,Q$2,{claves!$A$2;$E177}),1,0)</f>
        <v>#VALUE!</v>
      </c>
      <c r="AO177" s="436" t="str">
        <f t="array" ref="AO177">IF(R177=DGET(claves!$A$2:$AS423,R$2,{claves!$A$2;$E177}),1,0)</f>
        <v>#VALUE!</v>
      </c>
      <c r="AP177" s="436" t="str">
        <f t="array" ref="AP177">IF(S177=DGET(claves!$A$2:$AS423,S$2,{claves!$A$2;$E177}),1,0)</f>
        <v>#VALUE!</v>
      </c>
      <c r="AQ177" s="436" t="str">
        <f t="array" ref="AQ177">IF(T177=DGET(claves!$A$2:$AS423,T$2,{claves!$A$2;$E177}),1,0)</f>
        <v>#VALUE!</v>
      </c>
      <c r="AR177" s="436" t="str">
        <f t="array" ref="AR177">IF(U177=DGET(claves!$A$2:$AS423,U$2,{claves!$A$2;$E177}),1,0)</f>
        <v>#VALUE!</v>
      </c>
      <c r="AS177" s="436" t="str">
        <f t="array" ref="AS177">IF(V177=DGET(claves!$A$2:$AS423,V$2,{claves!$A$2;$E177}),1,0)</f>
        <v>#VALUE!</v>
      </c>
      <c r="AT177" s="436" t="str">
        <f t="array" ref="AT177">IF(W177=DGET(claves!$A$2:$AS423,W$2,{claves!$A$2;$E177}),1,0)</f>
        <v>#VALUE!</v>
      </c>
      <c r="AU177" s="436" t="str">
        <f t="array" ref="AU177">IF(X177=DGET(claves!$A$2:$AS423,X$2,{claves!$A$2;$E177}),1,0)</f>
        <v>#VALUE!</v>
      </c>
      <c r="AV177" s="436" t="str">
        <f t="array" ref="AV177">IF(Y177=DGET(claves!$A$2:$AS423,Y$2,{claves!$A$2;$E177}),1,0)</f>
        <v>#VALUE!</v>
      </c>
      <c r="AW177" s="436" t="str">
        <f t="array" ref="AW177">IF(Z177=DGET(claves!$A$2:$AS423,Z$2,{claves!$A$2;$E177}),1,0)</f>
        <v>#VALUE!</v>
      </c>
      <c r="AX177" s="436" t="str">
        <f t="array" ref="AX177">IF(AA177=DGET(claves!$A$2:$AS423,AA$2,{claves!$A$2;$E177}),1,0)</f>
        <v>#VALUE!</v>
      </c>
      <c r="AY177" s="436" t="str">
        <f t="array" ref="AY177">IF(AB177=DGET(claves!$A$2:$AS423,AB$2,{claves!$A$2;$E177}),1,0)</f>
        <v>#VALUE!</v>
      </c>
      <c r="AZ177" s="436" t="str">
        <f t="array" ref="AZ177">IF(AC177=DGET(claves!$A$2:$AS423,AC$2,{claves!$A$2;$E177}),1,0)</f>
        <v>#VALUE!</v>
      </c>
      <c r="BA177" s="436" t="str">
        <f t="array" ref="BA177">IF(AD177=DGET(claves!$A$2:$AS423,AD$2,{claves!$A$2;$E177}),1,0)</f>
        <v>#VALUE!</v>
      </c>
      <c r="BB177" s="436" t="str">
        <f t="array" ref="BB177">IF(AE177=DGET(claves!$A$2:$AS423,AE$2,{claves!$A$2;$E177}),1,0)</f>
        <v>#VALUE!</v>
      </c>
      <c r="BC177" s="436" t="str">
        <f t="array" ref="BC177">IF(AF177=DGET(claves!$A$2:$AS423,AF$2,{claves!$A$2;$E177}),1,0)</f>
        <v>#VALUE!</v>
      </c>
      <c r="BD177" s="437" t="str">
        <f t="shared" si="1"/>
        <v>#VALUE!</v>
      </c>
      <c r="BE177" s="435"/>
      <c r="BF177" s="415"/>
    </row>
    <row r="178" ht="14.25" customHeight="1">
      <c r="A178" s="408">
        <v>176.0</v>
      </c>
      <c r="B178" s="153" t="s">
        <v>1907</v>
      </c>
      <c r="C178" s="153">
        <v>2024.0</v>
      </c>
      <c r="D178" s="77" t="s">
        <v>362</v>
      </c>
      <c r="E178" s="409" t="str">
        <f>IFERROR(__xludf.DUMMYFUNCTION("ARRAYFORMULA(JOIN("""", ARRAYFORMULA(MID(SPLIT(F178, "" ""), 1, 1))))
&amp;""/""&amp;G178"),"MQ/4 Primaria")</f>
        <v>MQ/4 Primaria</v>
      </c>
      <c r="F178" s="77" t="s">
        <v>1823</v>
      </c>
      <c r="G178" s="432" t="s">
        <v>20</v>
      </c>
      <c r="H178" s="433" t="s">
        <v>1670</v>
      </c>
      <c r="I178" s="433" t="s">
        <v>1909</v>
      </c>
      <c r="J178" s="433" t="s">
        <v>1910</v>
      </c>
      <c r="K178" s="433" t="s">
        <v>1658</v>
      </c>
      <c r="L178" s="415"/>
      <c r="M178" s="434" t="s">
        <v>1689</v>
      </c>
      <c r="N178" s="434" t="s">
        <v>1661</v>
      </c>
      <c r="O178" s="434" t="s">
        <v>1689</v>
      </c>
      <c r="P178" s="434" t="s">
        <v>1689</v>
      </c>
      <c r="Q178" s="434" t="s">
        <v>1689</v>
      </c>
      <c r="R178" s="434" t="s">
        <v>1660</v>
      </c>
      <c r="S178" s="434" t="s">
        <v>1661</v>
      </c>
      <c r="T178" s="434" t="s">
        <v>1689</v>
      </c>
      <c r="U178" s="434" t="s">
        <v>1659</v>
      </c>
      <c r="V178" s="434" t="s">
        <v>1660</v>
      </c>
      <c r="W178" s="434" t="s">
        <v>1689</v>
      </c>
      <c r="X178" s="434" t="s">
        <v>1660</v>
      </c>
      <c r="Y178" s="434" t="s">
        <v>1689</v>
      </c>
      <c r="Z178" s="434" t="s">
        <v>1689</v>
      </c>
      <c r="AA178" s="434" t="s">
        <v>1689</v>
      </c>
      <c r="AB178" s="434" t="s">
        <v>1659</v>
      </c>
      <c r="AC178" s="434" t="s">
        <v>1661</v>
      </c>
      <c r="AD178" s="434" t="s">
        <v>1689</v>
      </c>
      <c r="AE178" s="434" t="s">
        <v>1661</v>
      </c>
      <c r="AF178" s="434" t="s">
        <v>1660</v>
      </c>
      <c r="AG178" s="427">
        <v>11.0</v>
      </c>
      <c r="AH178" s="435" t="s">
        <v>24</v>
      </c>
      <c r="AI178" s="415"/>
      <c r="AJ178" s="436" t="str">
        <f t="array" ref="AJ178">IF(M178=DGET(claves!$A$2:$AS423,M$2,{claves!$A$2;$E178}),1,0)</f>
        <v>#VALUE!</v>
      </c>
      <c r="AK178" s="436" t="str">
        <f t="array" ref="AK178">IF(N178=DGET(claves!$A$2:$AS423,N$2,{claves!$A$2;$E178}),1,0)</f>
        <v>#VALUE!</v>
      </c>
      <c r="AL178" s="436" t="str">
        <f t="array" ref="AL178">IF(O178=DGET(claves!$A$2:$AS423,O$2,{claves!$A$2;$E178}),1,0)</f>
        <v>#VALUE!</v>
      </c>
      <c r="AM178" s="436" t="str">
        <f t="array" ref="AM178">IF(P178=DGET(claves!$A$2:$AS423,P$2,{claves!$A$2;$E178}),1,0)</f>
        <v>#VALUE!</v>
      </c>
      <c r="AN178" s="436" t="str">
        <f t="array" ref="AN178">IF(Q178=DGET(claves!$A$2:$AS423,Q$2,{claves!$A$2;$E178}),1,0)</f>
        <v>#VALUE!</v>
      </c>
      <c r="AO178" s="436" t="str">
        <f t="array" ref="AO178">IF(R178=DGET(claves!$A$2:$AS423,R$2,{claves!$A$2;$E178}),1,0)</f>
        <v>#VALUE!</v>
      </c>
      <c r="AP178" s="436" t="str">
        <f t="array" ref="AP178">IF(S178=DGET(claves!$A$2:$AS423,S$2,{claves!$A$2;$E178}),1,0)</f>
        <v>#VALUE!</v>
      </c>
      <c r="AQ178" s="436" t="str">
        <f t="array" ref="AQ178">IF(T178=DGET(claves!$A$2:$AS423,T$2,{claves!$A$2;$E178}),1,0)</f>
        <v>#VALUE!</v>
      </c>
      <c r="AR178" s="436" t="str">
        <f t="array" ref="AR178">IF(U178=DGET(claves!$A$2:$AS423,U$2,{claves!$A$2;$E178}),1,0)</f>
        <v>#VALUE!</v>
      </c>
      <c r="AS178" s="436" t="str">
        <f t="array" ref="AS178">IF(V178=DGET(claves!$A$2:$AS423,V$2,{claves!$A$2;$E178}),1,0)</f>
        <v>#VALUE!</v>
      </c>
      <c r="AT178" s="436" t="str">
        <f t="array" ref="AT178">IF(W178=DGET(claves!$A$2:$AS423,W$2,{claves!$A$2;$E178}),1,0)</f>
        <v>#VALUE!</v>
      </c>
      <c r="AU178" s="436" t="str">
        <f t="array" ref="AU178">IF(X178=DGET(claves!$A$2:$AS423,X$2,{claves!$A$2;$E178}),1,0)</f>
        <v>#VALUE!</v>
      </c>
      <c r="AV178" s="436" t="str">
        <f t="array" ref="AV178">IF(Y178=DGET(claves!$A$2:$AS423,Y$2,{claves!$A$2;$E178}),1,0)</f>
        <v>#VALUE!</v>
      </c>
      <c r="AW178" s="436" t="str">
        <f t="array" ref="AW178">IF(Z178=DGET(claves!$A$2:$AS423,Z$2,{claves!$A$2;$E178}),1,0)</f>
        <v>#VALUE!</v>
      </c>
      <c r="AX178" s="436" t="str">
        <f t="array" ref="AX178">IF(AA178=DGET(claves!$A$2:$AS423,AA$2,{claves!$A$2;$E178}),1,0)</f>
        <v>#VALUE!</v>
      </c>
      <c r="AY178" s="436" t="str">
        <f t="array" ref="AY178">IF(AB178=DGET(claves!$A$2:$AS423,AB$2,{claves!$A$2;$E178}),1,0)</f>
        <v>#VALUE!</v>
      </c>
      <c r="AZ178" s="436" t="str">
        <f t="array" ref="AZ178">IF(AC178=DGET(claves!$A$2:$AS423,AC$2,{claves!$A$2;$E178}),1,0)</f>
        <v>#VALUE!</v>
      </c>
      <c r="BA178" s="436" t="str">
        <f t="array" ref="BA178">IF(AD178=DGET(claves!$A$2:$AS423,AD$2,{claves!$A$2;$E178}),1,0)</f>
        <v>#VALUE!</v>
      </c>
      <c r="BB178" s="436" t="str">
        <f t="array" ref="BB178">IF(AE178=DGET(claves!$A$2:$AS423,AE$2,{claves!$A$2;$E178}),1,0)</f>
        <v>#VALUE!</v>
      </c>
      <c r="BC178" s="436" t="str">
        <f t="array" ref="BC178">IF(AF178=DGET(claves!$A$2:$AS423,AF$2,{claves!$A$2;$E178}),1,0)</f>
        <v>#VALUE!</v>
      </c>
      <c r="BD178" s="437" t="str">
        <f t="shared" si="1"/>
        <v>#VALUE!</v>
      </c>
      <c r="BE178" s="435"/>
      <c r="BF178" s="415"/>
    </row>
    <row r="179" ht="14.25" customHeight="1">
      <c r="A179" s="408">
        <v>177.0</v>
      </c>
      <c r="B179" s="153" t="s">
        <v>1907</v>
      </c>
      <c r="C179" s="153">
        <v>2024.0</v>
      </c>
      <c r="D179" s="77" t="s">
        <v>362</v>
      </c>
      <c r="E179" s="409" t="str">
        <f>IFERROR(__xludf.DUMMYFUNCTION("ARRAYFORMULA(JOIN("""", ARRAYFORMULA(MID(SPLIT(F179, "" ""), 1, 1))))
&amp;""/""&amp;G179"),"MQ/4 Primaria")</f>
        <v>MQ/4 Primaria</v>
      </c>
      <c r="F179" s="77" t="s">
        <v>1823</v>
      </c>
      <c r="G179" s="432" t="s">
        <v>20</v>
      </c>
      <c r="H179" s="433" t="s">
        <v>1670</v>
      </c>
      <c r="I179" s="433" t="s">
        <v>1796</v>
      </c>
      <c r="J179" s="433" t="s">
        <v>1911</v>
      </c>
      <c r="K179" s="432" t="s">
        <v>1665</v>
      </c>
      <c r="L179" s="415"/>
      <c r="M179" s="434" t="s">
        <v>1689</v>
      </c>
      <c r="N179" s="434" t="s">
        <v>1689</v>
      </c>
      <c r="O179" s="434" t="s">
        <v>1660</v>
      </c>
      <c r="P179" s="434" t="s">
        <v>1689</v>
      </c>
      <c r="Q179" s="434" t="s">
        <v>1661</v>
      </c>
      <c r="R179" s="434" t="s">
        <v>1660</v>
      </c>
      <c r="S179" s="434" t="s">
        <v>1661</v>
      </c>
      <c r="T179" s="434" t="s">
        <v>1659</v>
      </c>
      <c r="U179" s="434" t="s">
        <v>1659</v>
      </c>
      <c r="V179" s="434" t="s">
        <v>1660</v>
      </c>
      <c r="W179" s="434" t="s">
        <v>1689</v>
      </c>
      <c r="X179" s="434" t="s">
        <v>1661</v>
      </c>
      <c r="Y179" s="434" t="s">
        <v>1661</v>
      </c>
      <c r="Z179" s="434" t="s">
        <v>1689</v>
      </c>
      <c r="AA179" s="434" t="s">
        <v>1659</v>
      </c>
      <c r="AB179" s="434" t="s">
        <v>1660</v>
      </c>
      <c r="AC179" s="434" t="s">
        <v>1661</v>
      </c>
      <c r="AD179" s="434" t="s">
        <v>1661</v>
      </c>
      <c r="AE179" s="434" t="s">
        <v>1659</v>
      </c>
      <c r="AF179" s="434" t="s">
        <v>1661</v>
      </c>
      <c r="AG179" s="427">
        <v>11.0</v>
      </c>
      <c r="AH179" s="435" t="s">
        <v>24</v>
      </c>
      <c r="AI179" s="415"/>
      <c r="AJ179" s="436" t="str">
        <f t="array" ref="AJ179">IF(M179=DGET(claves!$A$2:$AS423,M$2,{claves!$A$2;$E179}),1,0)</f>
        <v>#VALUE!</v>
      </c>
      <c r="AK179" s="436" t="str">
        <f t="array" ref="AK179">IF(N179=DGET(claves!$A$2:$AS423,N$2,{claves!$A$2;$E179}),1,0)</f>
        <v>#VALUE!</v>
      </c>
      <c r="AL179" s="436" t="str">
        <f t="array" ref="AL179">IF(O179=DGET(claves!$A$2:$AS423,O$2,{claves!$A$2;$E179}),1,0)</f>
        <v>#VALUE!</v>
      </c>
      <c r="AM179" s="436" t="str">
        <f t="array" ref="AM179">IF(P179=DGET(claves!$A$2:$AS423,P$2,{claves!$A$2;$E179}),1,0)</f>
        <v>#VALUE!</v>
      </c>
      <c r="AN179" s="436" t="str">
        <f t="array" ref="AN179">IF(Q179=DGET(claves!$A$2:$AS423,Q$2,{claves!$A$2;$E179}),1,0)</f>
        <v>#VALUE!</v>
      </c>
      <c r="AO179" s="436" t="str">
        <f t="array" ref="AO179">IF(R179=DGET(claves!$A$2:$AS423,R$2,{claves!$A$2;$E179}),1,0)</f>
        <v>#VALUE!</v>
      </c>
      <c r="AP179" s="436" t="str">
        <f t="array" ref="AP179">IF(S179=DGET(claves!$A$2:$AS423,S$2,{claves!$A$2;$E179}),1,0)</f>
        <v>#VALUE!</v>
      </c>
      <c r="AQ179" s="436" t="str">
        <f t="array" ref="AQ179">IF(T179=DGET(claves!$A$2:$AS423,T$2,{claves!$A$2;$E179}),1,0)</f>
        <v>#VALUE!</v>
      </c>
      <c r="AR179" s="436" t="str">
        <f t="array" ref="AR179">IF(U179=DGET(claves!$A$2:$AS423,U$2,{claves!$A$2;$E179}),1,0)</f>
        <v>#VALUE!</v>
      </c>
      <c r="AS179" s="436" t="str">
        <f t="array" ref="AS179">IF(V179=DGET(claves!$A$2:$AS423,V$2,{claves!$A$2;$E179}),1,0)</f>
        <v>#VALUE!</v>
      </c>
      <c r="AT179" s="436" t="str">
        <f t="array" ref="AT179">IF(W179=DGET(claves!$A$2:$AS423,W$2,{claves!$A$2;$E179}),1,0)</f>
        <v>#VALUE!</v>
      </c>
      <c r="AU179" s="436" t="str">
        <f t="array" ref="AU179">IF(X179=DGET(claves!$A$2:$AS423,X$2,{claves!$A$2;$E179}),1,0)</f>
        <v>#VALUE!</v>
      </c>
      <c r="AV179" s="436" t="str">
        <f t="array" ref="AV179">IF(Y179=DGET(claves!$A$2:$AS423,Y$2,{claves!$A$2;$E179}),1,0)</f>
        <v>#VALUE!</v>
      </c>
      <c r="AW179" s="436" t="str">
        <f t="array" ref="AW179">IF(Z179=DGET(claves!$A$2:$AS423,Z$2,{claves!$A$2;$E179}),1,0)</f>
        <v>#VALUE!</v>
      </c>
      <c r="AX179" s="436" t="str">
        <f t="array" ref="AX179">IF(AA179=DGET(claves!$A$2:$AS423,AA$2,{claves!$A$2;$E179}),1,0)</f>
        <v>#VALUE!</v>
      </c>
      <c r="AY179" s="436" t="str">
        <f t="array" ref="AY179">IF(AB179=DGET(claves!$A$2:$AS423,AB$2,{claves!$A$2;$E179}),1,0)</f>
        <v>#VALUE!</v>
      </c>
      <c r="AZ179" s="436" t="str">
        <f t="array" ref="AZ179">IF(AC179=DGET(claves!$A$2:$AS423,AC$2,{claves!$A$2;$E179}),1,0)</f>
        <v>#VALUE!</v>
      </c>
      <c r="BA179" s="436" t="str">
        <f t="array" ref="BA179">IF(AD179=DGET(claves!$A$2:$AS423,AD$2,{claves!$A$2;$E179}),1,0)</f>
        <v>#VALUE!</v>
      </c>
      <c r="BB179" s="436" t="str">
        <f t="array" ref="BB179">IF(AE179=DGET(claves!$A$2:$AS423,AE$2,{claves!$A$2;$E179}),1,0)</f>
        <v>#VALUE!</v>
      </c>
      <c r="BC179" s="436" t="str">
        <f t="array" ref="BC179">IF(AF179=DGET(claves!$A$2:$AS423,AF$2,{claves!$A$2;$E179}),1,0)</f>
        <v>#VALUE!</v>
      </c>
      <c r="BD179" s="437" t="str">
        <f t="shared" si="1"/>
        <v>#VALUE!</v>
      </c>
      <c r="BE179" s="435"/>
      <c r="BF179" s="415"/>
    </row>
    <row r="180" ht="14.25" customHeight="1">
      <c r="A180" s="408">
        <v>178.0</v>
      </c>
      <c r="B180" s="153" t="s">
        <v>1907</v>
      </c>
      <c r="C180" s="153">
        <v>2024.0</v>
      </c>
      <c r="D180" s="77" t="s">
        <v>362</v>
      </c>
      <c r="E180" s="409" t="str">
        <f>IFERROR(__xludf.DUMMYFUNCTION("ARRAYFORMULA(JOIN("""", ARRAYFORMULA(MID(SPLIT(F180, "" ""), 1, 1))))
&amp;""/""&amp;G180"),"MQ/6 Primaria")</f>
        <v>MQ/6 Primaria</v>
      </c>
      <c r="F180" s="77" t="s">
        <v>1823</v>
      </c>
      <c r="G180" s="432" t="s">
        <v>22</v>
      </c>
      <c r="H180" s="433" t="s">
        <v>1912</v>
      </c>
      <c r="I180" s="433" t="s">
        <v>1667</v>
      </c>
      <c r="J180" s="433" t="s">
        <v>1913</v>
      </c>
      <c r="K180" s="432" t="s">
        <v>1665</v>
      </c>
      <c r="L180" s="415"/>
      <c r="M180" s="434" t="s">
        <v>1660</v>
      </c>
      <c r="N180" s="434" t="s">
        <v>1659</v>
      </c>
      <c r="O180" s="434" t="s">
        <v>1661</v>
      </c>
      <c r="P180" s="434" t="s">
        <v>1689</v>
      </c>
      <c r="Q180" s="434" t="s">
        <v>1660</v>
      </c>
      <c r="R180" s="434" t="s">
        <v>1659</v>
      </c>
      <c r="S180" s="434" t="s">
        <v>1659</v>
      </c>
      <c r="T180" s="434" t="s">
        <v>1689</v>
      </c>
      <c r="U180" s="434" t="s">
        <v>1659</v>
      </c>
      <c r="V180" s="434" t="s">
        <v>1689</v>
      </c>
      <c r="W180" s="434" t="s">
        <v>1661</v>
      </c>
      <c r="X180" s="434" t="s">
        <v>1661</v>
      </c>
      <c r="Y180" s="434" t="s">
        <v>1660</v>
      </c>
      <c r="Z180" s="434" t="s">
        <v>1661</v>
      </c>
      <c r="AA180" s="434" t="s">
        <v>1689</v>
      </c>
      <c r="AB180" s="434" t="s">
        <v>1689</v>
      </c>
      <c r="AC180" s="434" t="s">
        <v>1660</v>
      </c>
      <c r="AD180" s="434" t="s">
        <v>1661</v>
      </c>
      <c r="AE180" s="434" t="s">
        <v>1689</v>
      </c>
      <c r="AF180" s="434" t="s">
        <v>1660</v>
      </c>
      <c r="AG180" s="427">
        <v>13.0</v>
      </c>
      <c r="AH180" s="435" t="s">
        <v>24</v>
      </c>
      <c r="AI180" s="415"/>
      <c r="AJ180" s="436" t="str">
        <f t="array" ref="AJ180">IF(M180=DGET(claves!$A$2:$AS423,M$2,{claves!$A$2;$E180}),1,0)</f>
        <v>#VALUE!</v>
      </c>
      <c r="AK180" s="436" t="str">
        <f t="array" ref="AK180">IF(N180=DGET(claves!$A$2:$AS423,N$2,{claves!$A$2;$E180}),1,0)</f>
        <v>#VALUE!</v>
      </c>
      <c r="AL180" s="436" t="str">
        <f t="array" ref="AL180">IF(O180=DGET(claves!$A$2:$AS423,O$2,{claves!$A$2;$E180}),1,0)</f>
        <v>#VALUE!</v>
      </c>
      <c r="AM180" s="436" t="str">
        <f t="array" ref="AM180">IF(P180=DGET(claves!$A$2:$AS423,P$2,{claves!$A$2;$E180}),1,0)</f>
        <v>#VALUE!</v>
      </c>
      <c r="AN180" s="436" t="str">
        <f t="array" ref="AN180">IF(Q180=DGET(claves!$A$2:$AS423,Q$2,{claves!$A$2;$E180}),1,0)</f>
        <v>#VALUE!</v>
      </c>
      <c r="AO180" s="436" t="str">
        <f t="array" ref="AO180">IF(R180=DGET(claves!$A$2:$AS423,R$2,{claves!$A$2;$E180}),1,0)</f>
        <v>#VALUE!</v>
      </c>
      <c r="AP180" s="436" t="str">
        <f t="array" ref="AP180">IF(S180=DGET(claves!$A$2:$AS423,S$2,{claves!$A$2;$E180}),1,0)</f>
        <v>#VALUE!</v>
      </c>
      <c r="AQ180" s="436" t="str">
        <f t="array" ref="AQ180">IF(T180=DGET(claves!$A$2:$AS423,T$2,{claves!$A$2;$E180}),1,0)</f>
        <v>#VALUE!</v>
      </c>
      <c r="AR180" s="436" t="str">
        <f t="array" ref="AR180">IF(U180=DGET(claves!$A$2:$AS423,U$2,{claves!$A$2;$E180}),1,0)</f>
        <v>#VALUE!</v>
      </c>
      <c r="AS180" s="436" t="str">
        <f t="array" ref="AS180">IF(V180=DGET(claves!$A$2:$AS423,V$2,{claves!$A$2;$E180}),1,0)</f>
        <v>#VALUE!</v>
      </c>
      <c r="AT180" s="436" t="str">
        <f t="array" ref="AT180">IF(W180=DGET(claves!$A$2:$AS423,W$2,{claves!$A$2;$E180}),1,0)</f>
        <v>#VALUE!</v>
      </c>
      <c r="AU180" s="436" t="str">
        <f t="array" ref="AU180">IF(X180=DGET(claves!$A$2:$AS423,X$2,{claves!$A$2;$E180}),1,0)</f>
        <v>#VALUE!</v>
      </c>
      <c r="AV180" s="436" t="str">
        <f t="array" ref="AV180">IF(Y180=DGET(claves!$A$2:$AS423,Y$2,{claves!$A$2;$E180}),1,0)</f>
        <v>#VALUE!</v>
      </c>
      <c r="AW180" s="436" t="str">
        <f t="array" ref="AW180">IF(Z180=DGET(claves!$A$2:$AS423,Z$2,{claves!$A$2;$E180}),1,0)</f>
        <v>#VALUE!</v>
      </c>
      <c r="AX180" s="436" t="str">
        <f t="array" ref="AX180">IF(AA180=DGET(claves!$A$2:$AS423,AA$2,{claves!$A$2;$E180}),1,0)</f>
        <v>#VALUE!</v>
      </c>
      <c r="AY180" s="436" t="str">
        <f t="array" ref="AY180">IF(AB180=DGET(claves!$A$2:$AS423,AB$2,{claves!$A$2;$E180}),1,0)</f>
        <v>#VALUE!</v>
      </c>
      <c r="AZ180" s="436" t="str">
        <f t="array" ref="AZ180">IF(AC180=DGET(claves!$A$2:$AS423,AC$2,{claves!$A$2;$E180}),1,0)</f>
        <v>#VALUE!</v>
      </c>
      <c r="BA180" s="436" t="str">
        <f t="array" ref="BA180">IF(AD180=DGET(claves!$A$2:$AS423,AD$2,{claves!$A$2;$E180}),1,0)</f>
        <v>#VALUE!</v>
      </c>
      <c r="BB180" s="436" t="str">
        <f t="array" ref="BB180">IF(AE180=DGET(claves!$A$2:$AS423,AE$2,{claves!$A$2;$E180}),1,0)</f>
        <v>#VALUE!</v>
      </c>
      <c r="BC180" s="436" t="str">
        <f t="array" ref="BC180">IF(AF180=DGET(claves!$A$2:$AS423,AF$2,{claves!$A$2;$E180}),1,0)</f>
        <v>#VALUE!</v>
      </c>
      <c r="BD180" s="437" t="str">
        <f t="shared" si="1"/>
        <v>#VALUE!</v>
      </c>
      <c r="BE180" s="435"/>
      <c r="BF180" s="415"/>
    </row>
    <row r="181" ht="14.25" customHeight="1">
      <c r="A181" s="408">
        <v>179.0</v>
      </c>
      <c r="B181" s="153" t="s">
        <v>1907</v>
      </c>
      <c r="C181" s="153">
        <v>2024.0</v>
      </c>
      <c r="D181" s="77" t="s">
        <v>362</v>
      </c>
      <c r="E181" s="409" t="str">
        <f>IFERROR(__xludf.DUMMYFUNCTION("ARRAYFORMULA(JOIN("""", ARRAYFORMULA(MID(SPLIT(F181, "" ""), 1, 1))))
&amp;""/""&amp;G181"),"MQ/6 Primaria")</f>
        <v>MQ/6 Primaria</v>
      </c>
      <c r="F181" s="77" t="s">
        <v>1823</v>
      </c>
      <c r="G181" s="432" t="s">
        <v>22</v>
      </c>
      <c r="H181" s="433" t="s">
        <v>1670</v>
      </c>
      <c r="I181" s="433" t="s">
        <v>1684</v>
      </c>
      <c r="J181" s="433" t="s">
        <v>1914</v>
      </c>
      <c r="K181" s="433" t="s">
        <v>1658</v>
      </c>
      <c r="L181" s="415"/>
      <c r="M181" s="434" t="s">
        <v>1661</v>
      </c>
      <c r="N181" s="434" t="s">
        <v>1689</v>
      </c>
      <c r="O181" s="434" t="s">
        <v>1661</v>
      </c>
      <c r="P181" s="434" t="s">
        <v>1689</v>
      </c>
      <c r="Q181" s="434" t="s">
        <v>1659</v>
      </c>
      <c r="R181" s="434" t="s">
        <v>1659</v>
      </c>
      <c r="S181" s="434" t="s">
        <v>1659</v>
      </c>
      <c r="T181" s="434" t="s">
        <v>1659</v>
      </c>
      <c r="U181" s="434" t="s">
        <v>1689</v>
      </c>
      <c r="V181" s="434" t="s">
        <v>1689</v>
      </c>
      <c r="W181" s="434" t="s">
        <v>1661</v>
      </c>
      <c r="X181" s="434" t="s">
        <v>1689</v>
      </c>
      <c r="Y181" s="434" t="s">
        <v>1660</v>
      </c>
      <c r="Z181" s="434" t="s">
        <v>1661</v>
      </c>
      <c r="AA181" s="434" t="s">
        <v>1659</v>
      </c>
      <c r="AB181" s="434" t="s">
        <v>1689</v>
      </c>
      <c r="AC181" s="434" t="s">
        <v>1660</v>
      </c>
      <c r="AD181" s="434" t="s">
        <v>1659</v>
      </c>
      <c r="AE181" s="434" t="s">
        <v>1689</v>
      </c>
      <c r="AF181" s="434" t="s">
        <v>1660</v>
      </c>
      <c r="AG181" s="427">
        <v>17.0</v>
      </c>
      <c r="AH181" s="438" t="s">
        <v>32</v>
      </c>
      <c r="AI181" s="415"/>
      <c r="AJ181" s="436" t="str">
        <f t="array" ref="AJ181">IF(M181=DGET(claves!$A$2:$AS423,M$2,{claves!$A$2;$E181}),1,0)</f>
        <v>#VALUE!</v>
      </c>
      <c r="AK181" s="436" t="str">
        <f t="array" ref="AK181">IF(N181=DGET(claves!$A$2:$AS423,N$2,{claves!$A$2;$E181}),1,0)</f>
        <v>#VALUE!</v>
      </c>
      <c r="AL181" s="436" t="str">
        <f t="array" ref="AL181">IF(O181=DGET(claves!$A$2:$AS423,O$2,{claves!$A$2;$E181}),1,0)</f>
        <v>#VALUE!</v>
      </c>
      <c r="AM181" s="436" t="str">
        <f t="array" ref="AM181">IF(P181=DGET(claves!$A$2:$AS423,P$2,{claves!$A$2;$E181}),1,0)</f>
        <v>#VALUE!</v>
      </c>
      <c r="AN181" s="436" t="str">
        <f t="array" ref="AN181">IF(Q181=DGET(claves!$A$2:$AS423,Q$2,{claves!$A$2;$E181}),1,0)</f>
        <v>#VALUE!</v>
      </c>
      <c r="AO181" s="436" t="str">
        <f t="array" ref="AO181">IF(R181=DGET(claves!$A$2:$AS423,R$2,{claves!$A$2;$E181}),1,0)</f>
        <v>#VALUE!</v>
      </c>
      <c r="AP181" s="436" t="str">
        <f t="array" ref="AP181">IF(S181=DGET(claves!$A$2:$AS423,S$2,{claves!$A$2;$E181}),1,0)</f>
        <v>#VALUE!</v>
      </c>
      <c r="AQ181" s="436" t="str">
        <f t="array" ref="AQ181">IF(T181=DGET(claves!$A$2:$AS423,T$2,{claves!$A$2;$E181}),1,0)</f>
        <v>#VALUE!</v>
      </c>
      <c r="AR181" s="436" t="str">
        <f t="array" ref="AR181">IF(U181=DGET(claves!$A$2:$AS423,U$2,{claves!$A$2;$E181}),1,0)</f>
        <v>#VALUE!</v>
      </c>
      <c r="AS181" s="436" t="str">
        <f t="array" ref="AS181">IF(V181=DGET(claves!$A$2:$AS423,V$2,{claves!$A$2;$E181}),1,0)</f>
        <v>#VALUE!</v>
      </c>
      <c r="AT181" s="436" t="str">
        <f t="array" ref="AT181">IF(W181=DGET(claves!$A$2:$AS423,W$2,{claves!$A$2;$E181}),1,0)</f>
        <v>#VALUE!</v>
      </c>
      <c r="AU181" s="436" t="str">
        <f t="array" ref="AU181">IF(X181=DGET(claves!$A$2:$AS423,X$2,{claves!$A$2;$E181}),1,0)</f>
        <v>#VALUE!</v>
      </c>
      <c r="AV181" s="436" t="str">
        <f t="array" ref="AV181">IF(Y181=DGET(claves!$A$2:$AS423,Y$2,{claves!$A$2;$E181}),1,0)</f>
        <v>#VALUE!</v>
      </c>
      <c r="AW181" s="436" t="str">
        <f t="array" ref="AW181">IF(Z181=DGET(claves!$A$2:$AS423,Z$2,{claves!$A$2;$E181}),1,0)</f>
        <v>#VALUE!</v>
      </c>
      <c r="AX181" s="436" t="str">
        <f t="array" ref="AX181">IF(AA181=DGET(claves!$A$2:$AS423,AA$2,{claves!$A$2;$E181}),1,0)</f>
        <v>#VALUE!</v>
      </c>
      <c r="AY181" s="436" t="str">
        <f t="array" ref="AY181">IF(AB181=DGET(claves!$A$2:$AS423,AB$2,{claves!$A$2;$E181}),1,0)</f>
        <v>#VALUE!</v>
      </c>
      <c r="AZ181" s="436" t="str">
        <f t="array" ref="AZ181">IF(AC181=DGET(claves!$A$2:$AS423,AC$2,{claves!$A$2;$E181}),1,0)</f>
        <v>#VALUE!</v>
      </c>
      <c r="BA181" s="436" t="str">
        <f t="array" ref="BA181">IF(AD181=DGET(claves!$A$2:$AS423,AD$2,{claves!$A$2;$E181}),1,0)</f>
        <v>#VALUE!</v>
      </c>
      <c r="BB181" s="436" t="str">
        <f t="array" ref="BB181">IF(AE181=DGET(claves!$A$2:$AS423,AE$2,{claves!$A$2;$E181}),1,0)</f>
        <v>#VALUE!</v>
      </c>
      <c r="BC181" s="436" t="str">
        <f t="array" ref="BC181">IF(AF181=DGET(claves!$A$2:$AS423,AF$2,{claves!$A$2;$E181}),1,0)</f>
        <v>#VALUE!</v>
      </c>
      <c r="BD181" s="437" t="str">
        <f t="shared" si="1"/>
        <v>#VALUE!</v>
      </c>
      <c r="BE181" s="435"/>
      <c r="BF181" s="415"/>
    </row>
    <row r="182" ht="14.25" customHeight="1">
      <c r="A182" s="408">
        <v>180.0</v>
      </c>
      <c r="B182" s="153" t="s">
        <v>1907</v>
      </c>
      <c r="C182" s="153">
        <v>2024.0</v>
      </c>
      <c r="D182" s="77" t="s">
        <v>362</v>
      </c>
      <c r="E182" s="409" t="str">
        <f>IFERROR(__xludf.DUMMYFUNCTION("ARRAYFORMULA(JOIN("""", ARRAYFORMULA(MID(SPLIT(F182, "" ""), 1, 1))))
&amp;""/""&amp;G182"),"MQ/6 Primaria")</f>
        <v>MQ/6 Primaria</v>
      </c>
      <c r="F182" s="77" t="s">
        <v>1823</v>
      </c>
      <c r="G182" s="432" t="s">
        <v>22</v>
      </c>
      <c r="H182" s="433" t="s">
        <v>1678</v>
      </c>
      <c r="I182" s="433" t="s">
        <v>1915</v>
      </c>
      <c r="J182" s="433" t="s">
        <v>1916</v>
      </c>
      <c r="K182" s="433" t="s">
        <v>1658</v>
      </c>
      <c r="L182" s="415"/>
      <c r="M182" s="434" t="s">
        <v>1661</v>
      </c>
      <c r="N182" s="434" t="s">
        <v>1689</v>
      </c>
      <c r="O182" s="434" t="s">
        <v>1661</v>
      </c>
      <c r="P182" s="434" t="s">
        <v>1689</v>
      </c>
      <c r="Q182" s="434" t="s">
        <v>1659</v>
      </c>
      <c r="R182" s="434" t="s">
        <v>1659</v>
      </c>
      <c r="S182" s="434" t="s">
        <v>1659</v>
      </c>
      <c r="T182" s="434" t="s">
        <v>1659</v>
      </c>
      <c r="U182" s="434" t="s">
        <v>1659</v>
      </c>
      <c r="V182" s="434" t="s">
        <v>1689</v>
      </c>
      <c r="W182" s="434" t="s">
        <v>1661</v>
      </c>
      <c r="X182" s="434" t="s">
        <v>1689</v>
      </c>
      <c r="Y182" s="434" t="s">
        <v>1660</v>
      </c>
      <c r="Z182" s="434" t="s">
        <v>1661</v>
      </c>
      <c r="AA182" s="434" t="s">
        <v>1659</v>
      </c>
      <c r="AB182" s="434" t="s">
        <v>1689</v>
      </c>
      <c r="AC182" s="434" t="s">
        <v>1660</v>
      </c>
      <c r="AD182" s="434" t="s">
        <v>1659</v>
      </c>
      <c r="AE182" s="434" t="s">
        <v>1689</v>
      </c>
      <c r="AF182" s="434" t="s">
        <v>1660</v>
      </c>
      <c r="AG182" s="427">
        <v>18.0</v>
      </c>
      <c r="AH182" s="438" t="s">
        <v>32</v>
      </c>
      <c r="AI182" s="415"/>
      <c r="AJ182" s="436" t="str">
        <f t="array" ref="AJ182">IF(M182=DGET(claves!$A$2:$AS423,M$2,{claves!$A$2;$E182}),1,0)</f>
        <v>#VALUE!</v>
      </c>
      <c r="AK182" s="436" t="str">
        <f t="array" ref="AK182">IF(N182=DGET(claves!$A$2:$AS423,N$2,{claves!$A$2;$E182}),1,0)</f>
        <v>#VALUE!</v>
      </c>
      <c r="AL182" s="436" t="str">
        <f t="array" ref="AL182">IF(O182=DGET(claves!$A$2:$AS423,O$2,{claves!$A$2;$E182}),1,0)</f>
        <v>#VALUE!</v>
      </c>
      <c r="AM182" s="436" t="str">
        <f t="array" ref="AM182">IF(P182=DGET(claves!$A$2:$AS423,P$2,{claves!$A$2;$E182}),1,0)</f>
        <v>#VALUE!</v>
      </c>
      <c r="AN182" s="436" t="str">
        <f t="array" ref="AN182">IF(Q182=DGET(claves!$A$2:$AS423,Q$2,{claves!$A$2;$E182}),1,0)</f>
        <v>#VALUE!</v>
      </c>
      <c r="AO182" s="436" t="str">
        <f t="array" ref="AO182">IF(R182=DGET(claves!$A$2:$AS423,R$2,{claves!$A$2;$E182}),1,0)</f>
        <v>#VALUE!</v>
      </c>
      <c r="AP182" s="436" t="str">
        <f t="array" ref="AP182">IF(S182=DGET(claves!$A$2:$AS423,S$2,{claves!$A$2;$E182}),1,0)</f>
        <v>#VALUE!</v>
      </c>
      <c r="AQ182" s="436" t="str">
        <f t="array" ref="AQ182">IF(T182=DGET(claves!$A$2:$AS423,T$2,{claves!$A$2;$E182}),1,0)</f>
        <v>#VALUE!</v>
      </c>
      <c r="AR182" s="436" t="str">
        <f t="array" ref="AR182">IF(U182=DGET(claves!$A$2:$AS423,U$2,{claves!$A$2;$E182}),1,0)</f>
        <v>#VALUE!</v>
      </c>
      <c r="AS182" s="436" t="str">
        <f t="array" ref="AS182">IF(V182=DGET(claves!$A$2:$AS423,V$2,{claves!$A$2;$E182}),1,0)</f>
        <v>#VALUE!</v>
      </c>
      <c r="AT182" s="436" t="str">
        <f t="array" ref="AT182">IF(W182=DGET(claves!$A$2:$AS423,W$2,{claves!$A$2;$E182}),1,0)</f>
        <v>#VALUE!</v>
      </c>
      <c r="AU182" s="436" t="str">
        <f t="array" ref="AU182">IF(X182=DGET(claves!$A$2:$AS423,X$2,{claves!$A$2;$E182}),1,0)</f>
        <v>#VALUE!</v>
      </c>
      <c r="AV182" s="436" t="str">
        <f t="array" ref="AV182">IF(Y182=DGET(claves!$A$2:$AS423,Y$2,{claves!$A$2;$E182}),1,0)</f>
        <v>#VALUE!</v>
      </c>
      <c r="AW182" s="436" t="str">
        <f t="array" ref="AW182">IF(Z182=DGET(claves!$A$2:$AS423,Z$2,{claves!$A$2;$E182}),1,0)</f>
        <v>#VALUE!</v>
      </c>
      <c r="AX182" s="436" t="str">
        <f t="array" ref="AX182">IF(AA182=DGET(claves!$A$2:$AS423,AA$2,{claves!$A$2;$E182}),1,0)</f>
        <v>#VALUE!</v>
      </c>
      <c r="AY182" s="436" t="str">
        <f t="array" ref="AY182">IF(AB182=DGET(claves!$A$2:$AS423,AB$2,{claves!$A$2;$E182}),1,0)</f>
        <v>#VALUE!</v>
      </c>
      <c r="AZ182" s="436" t="str">
        <f t="array" ref="AZ182">IF(AC182=DGET(claves!$A$2:$AS423,AC$2,{claves!$A$2;$E182}),1,0)</f>
        <v>#VALUE!</v>
      </c>
      <c r="BA182" s="436" t="str">
        <f t="array" ref="BA182">IF(AD182=DGET(claves!$A$2:$AS423,AD$2,{claves!$A$2;$E182}),1,0)</f>
        <v>#VALUE!</v>
      </c>
      <c r="BB182" s="436" t="str">
        <f t="array" ref="BB182">IF(AE182=DGET(claves!$A$2:$AS423,AE$2,{claves!$A$2;$E182}),1,0)</f>
        <v>#VALUE!</v>
      </c>
      <c r="BC182" s="436" t="str">
        <f t="array" ref="BC182">IF(AF182=DGET(claves!$A$2:$AS423,AF$2,{claves!$A$2;$E182}),1,0)</f>
        <v>#VALUE!</v>
      </c>
      <c r="BD182" s="437" t="str">
        <f t="shared" si="1"/>
        <v>#VALUE!</v>
      </c>
      <c r="BE182" s="435"/>
      <c r="BF182" s="415"/>
    </row>
    <row r="183" ht="14.25" customHeight="1">
      <c r="A183" s="408">
        <v>181.0</v>
      </c>
      <c r="B183" s="153" t="s">
        <v>1822</v>
      </c>
      <c r="C183" s="153">
        <v>2024.0</v>
      </c>
      <c r="D183" s="77" t="s">
        <v>1817</v>
      </c>
      <c r="E183" s="409" t="str">
        <f>IFERROR(__xludf.DUMMYFUNCTION("ARRAYFORMULA(JOIN("""", ARRAYFORMULA(MID(SPLIT(F183, "" ""), 1, 1))))
&amp;""/""&amp;G183"),"CLQ/4 Primaria")</f>
        <v>CLQ/4 Primaria</v>
      </c>
      <c r="F183" s="77" t="s">
        <v>1827</v>
      </c>
      <c r="G183" s="432" t="s">
        <v>20</v>
      </c>
      <c r="H183" s="433" t="s">
        <v>1782</v>
      </c>
      <c r="I183" s="433" t="s">
        <v>1829</v>
      </c>
      <c r="J183" s="433" t="s">
        <v>1830</v>
      </c>
      <c r="K183" s="433" t="s">
        <v>1658</v>
      </c>
      <c r="L183" s="415"/>
      <c r="M183" s="434" t="s">
        <v>1659</v>
      </c>
      <c r="N183" s="434" t="s">
        <v>1660</v>
      </c>
      <c r="O183" s="434" t="s">
        <v>1660</v>
      </c>
      <c r="P183" s="434" t="s">
        <v>1659</v>
      </c>
      <c r="Q183" s="434" t="s">
        <v>1661</v>
      </c>
      <c r="R183" s="434" t="s">
        <v>1659</v>
      </c>
      <c r="S183" s="434" t="s">
        <v>1660</v>
      </c>
      <c r="T183" s="434" t="s">
        <v>1660</v>
      </c>
      <c r="U183" s="434" t="s">
        <v>1689</v>
      </c>
      <c r="V183" s="434" t="s">
        <v>1661</v>
      </c>
      <c r="W183" s="434" t="s">
        <v>1689</v>
      </c>
      <c r="X183" s="434" t="s">
        <v>1660</v>
      </c>
      <c r="Y183" s="434" t="s">
        <v>1660</v>
      </c>
      <c r="Z183" s="434" t="s">
        <v>1689</v>
      </c>
      <c r="AA183" s="434" t="s">
        <v>1661</v>
      </c>
      <c r="AB183" s="434" t="s">
        <v>1661</v>
      </c>
      <c r="AC183" s="434" t="s">
        <v>1661</v>
      </c>
      <c r="AD183" s="434" t="s">
        <v>1689</v>
      </c>
      <c r="AE183" s="434" t="s">
        <v>1661</v>
      </c>
      <c r="AF183" s="434" t="s">
        <v>1660</v>
      </c>
      <c r="AG183" s="427">
        <v>13.0</v>
      </c>
      <c r="AH183" s="435" t="s">
        <v>24</v>
      </c>
      <c r="AI183" s="415"/>
      <c r="AJ183" s="436" t="str">
        <f t="array" ref="AJ183">IF(M183=DGET(claves!$A$2:$AS423,M$2,{claves!$A$2;$E183}),1,0)</f>
        <v>#VALUE!</v>
      </c>
      <c r="AK183" s="436" t="str">
        <f t="array" ref="AK183">IF(N183=DGET(claves!$A$2:$AS423,N$2,{claves!$A$2;$E183}),1,0)</f>
        <v>#VALUE!</v>
      </c>
      <c r="AL183" s="436" t="str">
        <f t="array" ref="AL183">IF(O183=DGET(claves!$A$2:$AS423,O$2,{claves!$A$2;$E183}),1,0)</f>
        <v>#VALUE!</v>
      </c>
      <c r="AM183" s="436" t="str">
        <f t="array" ref="AM183">IF(P183=DGET(claves!$A$2:$AS423,P$2,{claves!$A$2;$E183}),1,0)</f>
        <v>#VALUE!</v>
      </c>
      <c r="AN183" s="436" t="str">
        <f t="array" ref="AN183">IF(Q183=DGET(claves!$A$2:$AS423,Q$2,{claves!$A$2;$E183}),1,0)</f>
        <v>#VALUE!</v>
      </c>
      <c r="AO183" s="436" t="str">
        <f t="array" ref="AO183">IF(R183=DGET(claves!$A$2:$AS423,R$2,{claves!$A$2;$E183}),1,0)</f>
        <v>#VALUE!</v>
      </c>
      <c r="AP183" s="436" t="str">
        <f t="array" ref="AP183">IF(S183=DGET(claves!$A$2:$AS423,S$2,{claves!$A$2;$E183}),1,0)</f>
        <v>#VALUE!</v>
      </c>
      <c r="AQ183" s="436" t="str">
        <f t="array" ref="AQ183">IF(T183=DGET(claves!$A$2:$AS423,T$2,{claves!$A$2;$E183}),1,0)</f>
        <v>#VALUE!</v>
      </c>
      <c r="AR183" s="436" t="str">
        <f t="array" ref="AR183">IF(U183=DGET(claves!$A$2:$AS423,U$2,{claves!$A$2;$E183}),1,0)</f>
        <v>#VALUE!</v>
      </c>
      <c r="AS183" s="436" t="str">
        <f t="array" ref="AS183">IF(V183=DGET(claves!$A$2:$AS423,V$2,{claves!$A$2;$E183}),1,0)</f>
        <v>#VALUE!</v>
      </c>
      <c r="AT183" s="436" t="str">
        <f t="array" ref="AT183">IF(W183=DGET(claves!$A$2:$AS423,W$2,{claves!$A$2;$E183}),1,0)</f>
        <v>#VALUE!</v>
      </c>
      <c r="AU183" s="436" t="str">
        <f t="array" ref="AU183">IF(X183=DGET(claves!$A$2:$AS423,X$2,{claves!$A$2;$E183}),1,0)</f>
        <v>#VALUE!</v>
      </c>
      <c r="AV183" s="436" t="str">
        <f t="array" ref="AV183">IF(Y183=DGET(claves!$A$2:$AS423,Y$2,{claves!$A$2;$E183}),1,0)</f>
        <v>#VALUE!</v>
      </c>
      <c r="AW183" s="436" t="str">
        <f t="array" ref="AW183">IF(Z183=DGET(claves!$A$2:$AS423,Z$2,{claves!$A$2;$E183}),1,0)</f>
        <v>#VALUE!</v>
      </c>
      <c r="AX183" s="436" t="str">
        <f t="array" ref="AX183">IF(AA183=DGET(claves!$A$2:$AS423,AA$2,{claves!$A$2;$E183}),1,0)</f>
        <v>#VALUE!</v>
      </c>
      <c r="AY183" s="436" t="str">
        <f t="array" ref="AY183">IF(AB183=DGET(claves!$A$2:$AS423,AB$2,{claves!$A$2;$E183}),1,0)</f>
        <v>#VALUE!</v>
      </c>
      <c r="AZ183" s="436" t="str">
        <f t="array" ref="AZ183">IF(AC183=DGET(claves!$A$2:$AS423,AC$2,{claves!$A$2;$E183}),1,0)</f>
        <v>#VALUE!</v>
      </c>
      <c r="BA183" s="436" t="str">
        <f t="array" ref="BA183">IF(AD183=DGET(claves!$A$2:$AS423,AD$2,{claves!$A$2;$E183}),1,0)</f>
        <v>#VALUE!</v>
      </c>
      <c r="BB183" s="436" t="str">
        <f t="array" ref="BB183">IF(AE183=DGET(claves!$A$2:$AS423,AE$2,{claves!$A$2;$E183}),1,0)</f>
        <v>#VALUE!</v>
      </c>
      <c r="BC183" s="436" t="str">
        <f t="array" ref="BC183">IF(AF183=DGET(claves!$A$2:$AS423,AF$2,{claves!$A$2;$E183}),1,0)</f>
        <v>#VALUE!</v>
      </c>
      <c r="BD183" s="437" t="str">
        <f t="shared" si="1"/>
        <v>#VALUE!</v>
      </c>
      <c r="BE183" s="435"/>
      <c r="BF183" s="415"/>
    </row>
    <row r="184" ht="14.25" customHeight="1">
      <c r="A184" s="408">
        <v>182.0</v>
      </c>
      <c r="B184" s="153" t="s">
        <v>1822</v>
      </c>
      <c r="C184" s="153">
        <v>2024.0</v>
      </c>
      <c r="D184" s="77" t="s">
        <v>1817</v>
      </c>
      <c r="E184" s="409" t="str">
        <f>IFERROR(__xludf.DUMMYFUNCTION("ARRAYFORMULA(JOIN("""", ARRAYFORMULA(MID(SPLIT(F184, "" ""), 1, 1))))
&amp;""/""&amp;G184"),"CLQ/4 Primaria")</f>
        <v>CLQ/4 Primaria</v>
      </c>
      <c r="F184" s="77" t="s">
        <v>1827</v>
      </c>
      <c r="G184" s="432" t="s">
        <v>20</v>
      </c>
      <c r="H184" s="433" t="s">
        <v>1719</v>
      </c>
      <c r="I184" s="433" t="s">
        <v>1831</v>
      </c>
      <c r="J184" s="433" t="s">
        <v>1832</v>
      </c>
      <c r="K184" s="432" t="s">
        <v>1665</v>
      </c>
      <c r="L184" s="415"/>
      <c r="M184" s="434" t="s">
        <v>1661</v>
      </c>
      <c r="N184" s="434" t="s">
        <v>1689</v>
      </c>
      <c r="O184" s="434" t="s">
        <v>1660</v>
      </c>
      <c r="P184" s="434" t="s">
        <v>1659</v>
      </c>
      <c r="Q184" s="434" t="s">
        <v>1661</v>
      </c>
      <c r="R184" s="434" t="s">
        <v>1661</v>
      </c>
      <c r="S184" s="434" t="s">
        <v>1661</v>
      </c>
      <c r="T184" s="434" t="s">
        <v>1660</v>
      </c>
      <c r="U184" s="434" t="s">
        <v>1689</v>
      </c>
      <c r="V184" s="434" t="s">
        <v>1659</v>
      </c>
      <c r="W184" s="434" t="s">
        <v>1661</v>
      </c>
      <c r="X184" s="434" t="s">
        <v>1659</v>
      </c>
      <c r="Y184" s="434" t="s">
        <v>1661</v>
      </c>
      <c r="Z184" s="434" t="s">
        <v>1659</v>
      </c>
      <c r="AA184" s="434" t="s">
        <v>1660</v>
      </c>
      <c r="AB184" s="434" t="s">
        <v>1659</v>
      </c>
      <c r="AC184" s="434" t="s">
        <v>1659</v>
      </c>
      <c r="AD184" s="434" t="s">
        <v>1660</v>
      </c>
      <c r="AE184" s="434" t="s">
        <v>1659</v>
      </c>
      <c r="AF184" s="434" t="s">
        <v>1661</v>
      </c>
      <c r="AG184" s="427">
        <v>5.0</v>
      </c>
      <c r="AH184" s="435" t="s">
        <v>18</v>
      </c>
      <c r="AI184" s="415"/>
      <c r="AJ184" s="436" t="str">
        <f t="array" ref="AJ184">IF(M184=DGET(claves!$A$2:$AS423,M$2,{claves!$A$2;$E184}),1,0)</f>
        <v>#VALUE!</v>
      </c>
      <c r="AK184" s="436" t="str">
        <f t="array" ref="AK184">IF(N184=DGET(claves!$A$2:$AS423,N$2,{claves!$A$2;$E184}),1,0)</f>
        <v>#VALUE!</v>
      </c>
      <c r="AL184" s="436" t="str">
        <f t="array" ref="AL184">IF(O184=DGET(claves!$A$2:$AS423,O$2,{claves!$A$2;$E184}),1,0)</f>
        <v>#VALUE!</v>
      </c>
      <c r="AM184" s="436" t="str">
        <f t="array" ref="AM184">IF(P184=DGET(claves!$A$2:$AS423,P$2,{claves!$A$2;$E184}),1,0)</f>
        <v>#VALUE!</v>
      </c>
      <c r="AN184" s="436" t="str">
        <f t="array" ref="AN184">IF(Q184=DGET(claves!$A$2:$AS423,Q$2,{claves!$A$2;$E184}),1,0)</f>
        <v>#VALUE!</v>
      </c>
      <c r="AO184" s="436" t="str">
        <f t="array" ref="AO184">IF(R184=DGET(claves!$A$2:$AS423,R$2,{claves!$A$2;$E184}),1,0)</f>
        <v>#VALUE!</v>
      </c>
      <c r="AP184" s="436" t="str">
        <f t="array" ref="AP184">IF(S184=DGET(claves!$A$2:$AS423,S$2,{claves!$A$2;$E184}),1,0)</f>
        <v>#VALUE!</v>
      </c>
      <c r="AQ184" s="436" t="str">
        <f t="array" ref="AQ184">IF(T184=DGET(claves!$A$2:$AS423,T$2,{claves!$A$2;$E184}),1,0)</f>
        <v>#VALUE!</v>
      </c>
      <c r="AR184" s="436" t="str">
        <f t="array" ref="AR184">IF(U184=DGET(claves!$A$2:$AS423,U$2,{claves!$A$2;$E184}),1,0)</f>
        <v>#VALUE!</v>
      </c>
      <c r="AS184" s="436" t="str">
        <f t="array" ref="AS184">IF(V184=DGET(claves!$A$2:$AS423,V$2,{claves!$A$2;$E184}),1,0)</f>
        <v>#VALUE!</v>
      </c>
      <c r="AT184" s="436" t="str">
        <f t="array" ref="AT184">IF(W184=DGET(claves!$A$2:$AS423,W$2,{claves!$A$2;$E184}),1,0)</f>
        <v>#VALUE!</v>
      </c>
      <c r="AU184" s="436" t="str">
        <f t="array" ref="AU184">IF(X184=DGET(claves!$A$2:$AS423,X$2,{claves!$A$2;$E184}),1,0)</f>
        <v>#VALUE!</v>
      </c>
      <c r="AV184" s="436" t="str">
        <f t="array" ref="AV184">IF(Y184=DGET(claves!$A$2:$AS423,Y$2,{claves!$A$2;$E184}),1,0)</f>
        <v>#VALUE!</v>
      </c>
      <c r="AW184" s="436" t="str">
        <f t="array" ref="AW184">IF(Z184=DGET(claves!$A$2:$AS423,Z$2,{claves!$A$2;$E184}),1,0)</f>
        <v>#VALUE!</v>
      </c>
      <c r="AX184" s="436" t="str">
        <f t="array" ref="AX184">IF(AA184=DGET(claves!$A$2:$AS423,AA$2,{claves!$A$2;$E184}),1,0)</f>
        <v>#VALUE!</v>
      </c>
      <c r="AY184" s="436" t="str">
        <f t="array" ref="AY184">IF(AB184=DGET(claves!$A$2:$AS423,AB$2,{claves!$A$2;$E184}),1,0)</f>
        <v>#VALUE!</v>
      </c>
      <c r="AZ184" s="436" t="str">
        <f t="array" ref="AZ184">IF(AC184=DGET(claves!$A$2:$AS423,AC$2,{claves!$A$2;$E184}),1,0)</f>
        <v>#VALUE!</v>
      </c>
      <c r="BA184" s="436" t="str">
        <f t="array" ref="BA184">IF(AD184=DGET(claves!$A$2:$AS423,AD$2,{claves!$A$2;$E184}),1,0)</f>
        <v>#VALUE!</v>
      </c>
      <c r="BB184" s="436" t="str">
        <f t="array" ref="BB184">IF(AE184=DGET(claves!$A$2:$AS423,AE$2,{claves!$A$2;$E184}),1,0)</f>
        <v>#VALUE!</v>
      </c>
      <c r="BC184" s="436" t="str">
        <f t="array" ref="BC184">IF(AF184=DGET(claves!$A$2:$AS423,AF$2,{claves!$A$2;$E184}),1,0)</f>
        <v>#VALUE!</v>
      </c>
      <c r="BD184" s="437" t="str">
        <f t="shared" si="1"/>
        <v>#VALUE!</v>
      </c>
      <c r="BE184" s="435"/>
      <c r="BF184" s="415"/>
    </row>
    <row r="185" ht="14.25" customHeight="1">
      <c r="A185" s="408">
        <v>183.0</v>
      </c>
      <c r="B185" s="153" t="s">
        <v>1822</v>
      </c>
      <c r="C185" s="153">
        <v>2024.0</v>
      </c>
      <c r="D185" s="77" t="s">
        <v>1817</v>
      </c>
      <c r="E185" s="409" t="str">
        <f>IFERROR(__xludf.DUMMYFUNCTION("ARRAYFORMULA(JOIN("""", ARRAYFORMULA(MID(SPLIT(F185, "" ""), 1, 1))))
&amp;""/""&amp;G185"),"CLQ/6 Primaria")</f>
        <v>CLQ/6 Primaria</v>
      </c>
      <c r="F185" s="77" t="s">
        <v>1827</v>
      </c>
      <c r="G185" s="432" t="s">
        <v>22</v>
      </c>
      <c r="H185" s="433" t="s">
        <v>1833</v>
      </c>
      <c r="I185" s="433" t="s">
        <v>1667</v>
      </c>
      <c r="J185" s="433" t="s">
        <v>1834</v>
      </c>
      <c r="K185" s="433" t="s">
        <v>1658</v>
      </c>
      <c r="L185" s="415"/>
      <c r="M185" s="434" t="s">
        <v>1661</v>
      </c>
      <c r="N185" s="434" t="s">
        <v>1659</v>
      </c>
      <c r="O185" s="434" t="s">
        <v>1689</v>
      </c>
      <c r="P185" s="434" t="s">
        <v>1659</v>
      </c>
      <c r="Q185" s="434" t="s">
        <v>1689</v>
      </c>
      <c r="R185" s="434" t="s">
        <v>1689</v>
      </c>
      <c r="S185" s="434" t="s">
        <v>1661</v>
      </c>
      <c r="T185" s="434" t="s">
        <v>1661</v>
      </c>
      <c r="U185" s="434" t="s">
        <v>1689</v>
      </c>
      <c r="V185" s="434" t="s">
        <v>1661</v>
      </c>
      <c r="W185" s="434" t="s">
        <v>1659</v>
      </c>
      <c r="X185" s="434" t="s">
        <v>1659</v>
      </c>
      <c r="Y185" s="434" t="s">
        <v>1689</v>
      </c>
      <c r="Z185" s="434" t="s">
        <v>1689</v>
      </c>
      <c r="AA185" s="434" t="s">
        <v>1660</v>
      </c>
      <c r="AB185" s="434" t="s">
        <v>1689</v>
      </c>
      <c r="AC185" s="434" t="s">
        <v>1659</v>
      </c>
      <c r="AD185" s="434" t="s">
        <v>1660</v>
      </c>
      <c r="AE185" s="434" t="s">
        <v>1661</v>
      </c>
      <c r="AF185" s="434" t="s">
        <v>1689</v>
      </c>
      <c r="AG185" s="427">
        <v>15.0</v>
      </c>
      <c r="AH185" s="435" t="s">
        <v>24</v>
      </c>
      <c r="AI185" s="415"/>
      <c r="AJ185" s="436" t="str">
        <f t="array" ref="AJ185">IF(M185=DGET(claves!$A$2:$AS423,M$2,{claves!$A$2;$E185}),1,0)</f>
        <v>#VALUE!</v>
      </c>
      <c r="AK185" s="436" t="str">
        <f t="array" ref="AK185">IF(N185=DGET(claves!$A$2:$AS423,N$2,{claves!$A$2;$E185}),1,0)</f>
        <v>#VALUE!</v>
      </c>
      <c r="AL185" s="436" t="str">
        <f t="array" ref="AL185">IF(O185=DGET(claves!$A$2:$AS423,O$2,{claves!$A$2;$E185}),1,0)</f>
        <v>#VALUE!</v>
      </c>
      <c r="AM185" s="436" t="str">
        <f t="array" ref="AM185">IF(P185=DGET(claves!$A$2:$AS423,P$2,{claves!$A$2;$E185}),1,0)</f>
        <v>#VALUE!</v>
      </c>
      <c r="AN185" s="436" t="str">
        <f t="array" ref="AN185">IF(Q185=DGET(claves!$A$2:$AS423,Q$2,{claves!$A$2;$E185}),1,0)</f>
        <v>#VALUE!</v>
      </c>
      <c r="AO185" s="436" t="str">
        <f t="array" ref="AO185">IF(R185=DGET(claves!$A$2:$AS423,R$2,{claves!$A$2;$E185}),1,0)</f>
        <v>#VALUE!</v>
      </c>
      <c r="AP185" s="436" t="str">
        <f t="array" ref="AP185">IF(S185=DGET(claves!$A$2:$AS423,S$2,{claves!$A$2;$E185}),1,0)</f>
        <v>#VALUE!</v>
      </c>
      <c r="AQ185" s="436" t="str">
        <f t="array" ref="AQ185">IF(T185=DGET(claves!$A$2:$AS423,T$2,{claves!$A$2;$E185}),1,0)</f>
        <v>#VALUE!</v>
      </c>
      <c r="AR185" s="436" t="str">
        <f t="array" ref="AR185">IF(U185=DGET(claves!$A$2:$AS423,U$2,{claves!$A$2;$E185}),1,0)</f>
        <v>#VALUE!</v>
      </c>
      <c r="AS185" s="436" t="str">
        <f t="array" ref="AS185">IF(V185=DGET(claves!$A$2:$AS423,V$2,{claves!$A$2;$E185}),1,0)</f>
        <v>#VALUE!</v>
      </c>
      <c r="AT185" s="436" t="str">
        <f t="array" ref="AT185">IF(W185=DGET(claves!$A$2:$AS423,W$2,{claves!$A$2;$E185}),1,0)</f>
        <v>#VALUE!</v>
      </c>
      <c r="AU185" s="436" t="str">
        <f t="array" ref="AU185">IF(X185=DGET(claves!$A$2:$AS423,X$2,{claves!$A$2;$E185}),1,0)</f>
        <v>#VALUE!</v>
      </c>
      <c r="AV185" s="436" t="str">
        <f t="array" ref="AV185">IF(Y185=DGET(claves!$A$2:$AS423,Y$2,{claves!$A$2;$E185}),1,0)</f>
        <v>#VALUE!</v>
      </c>
      <c r="AW185" s="436" t="str">
        <f t="array" ref="AW185">IF(Z185=DGET(claves!$A$2:$AS423,Z$2,{claves!$A$2;$E185}),1,0)</f>
        <v>#VALUE!</v>
      </c>
      <c r="AX185" s="436" t="str">
        <f t="array" ref="AX185">IF(AA185=DGET(claves!$A$2:$AS423,AA$2,{claves!$A$2;$E185}),1,0)</f>
        <v>#VALUE!</v>
      </c>
      <c r="AY185" s="436" t="str">
        <f t="array" ref="AY185">IF(AB185=DGET(claves!$A$2:$AS423,AB$2,{claves!$A$2;$E185}),1,0)</f>
        <v>#VALUE!</v>
      </c>
      <c r="AZ185" s="436" t="str">
        <f t="array" ref="AZ185">IF(AC185=DGET(claves!$A$2:$AS423,AC$2,{claves!$A$2;$E185}),1,0)</f>
        <v>#VALUE!</v>
      </c>
      <c r="BA185" s="436" t="str">
        <f t="array" ref="BA185">IF(AD185=DGET(claves!$A$2:$AS423,AD$2,{claves!$A$2;$E185}),1,0)</f>
        <v>#VALUE!</v>
      </c>
      <c r="BB185" s="436" t="str">
        <f t="array" ref="BB185">IF(AE185=DGET(claves!$A$2:$AS423,AE$2,{claves!$A$2;$E185}),1,0)</f>
        <v>#VALUE!</v>
      </c>
      <c r="BC185" s="436" t="str">
        <f t="array" ref="BC185">IF(AF185=DGET(claves!$A$2:$AS423,AF$2,{claves!$A$2;$E185}),1,0)</f>
        <v>#VALUE!</v>
      </c>
      <c r="BD185" s="437" t="str">
        <f t="shared" si="1"/>
        <v>#VALUE!</v>
      </c>
      <c r="BE185" s="435"/>
      <c r="BF185" s="415"/>
    </row>
    <row r="186" ht="14.25" customHeight="1">
      <c r="A186" s="408">
        <v>184.0</v>
      </c>
      <c r="B186" s="153" t="s">
        <v>1822</v>
      </c>
      <c r="C186" s="153">
        <v>2024.0</v>
      </c>
      <c r="D186" s="77" t="s">
        <v>1817</v>
      </c>
      <c r="E186" s="409" t="str">
        <f>IFERROR(__xludf.DUMMYFUNCTION("ARRAYFORMULA(JOIN("""", ARRAYFORMULA(MID(SPLIT(F186, "" ""), 1, 1))))
&amp;""/""&amp;G186"),"CLQ/6 Primaria")</f>
        <v>CLQ/6 Primaria</v>
      </c>
      <c r="F186" s="77" t="s">
        <v>1827</v>
      </c>
      <c r="G186" s="432" t="s">
        <v>22</v>
      </c>
      <c r="H186" s="433" t="s">
        <v>1782</v>
      </c>
      <c r="I186" s="433" t="s">
        <v>1829</v>
      </c>
      <c r="J186" s="433" t="s">
        <v>1835</v>
      </c>
      <c r="K186" s="432" t="s">
        <v>1665</v>
      </c>
      <c r="L186" s="415"/>
      <c r="M186" s="434" t="s">
        <v>1660</v>
      </c>
      <c r="N186" s="434" t="s">
        <v>1661</v>
      </c>
      <c r="O186" s="434" t="s">
        <v>1661</v>
      </c>
      <c r="P186" s="434" t="s">
        <v>1659</v>
      </c>
      <c r="Q186" s="434" t="s">
        <v>1660</v>
      </c>
      <c r="R186" s="434" t="s">
        <v>1689</v>
      </c>
      <c r="S186" s="434" t="s">
        <v>1689</v>
      </c>
      <c r="T186" s="434" t="s">
        <v>1661</v>
      </c>
      <c r="U186" s="434" t="s">
        <v>1660</v>
      </c>
      <c r="V186" s="434" t="s">
        <v>1661</v>
      </c>
      <c r="W186" s="434" t="s">
        <v>1689</v>
      </c>
      <c r="X186" s="434" t="s">
        <v>1661</v>
      </c>
      <c r="Y186" s="434" t="s">
        <v>1689</v>
      </c>
      <c r="Z186" s="434" t="s">
        <v>1689</v>
      </c>
      <c r="AA186" s="434" t="s">
        <v>1660</v>
      </c>
      <c r="AB186" s="434" t="s">
        <v>1689</v>
      </c>
      <c r="AC186" s="434" t="s">
        <v>1659</v>
      </c>
      <c r="AD186" s="434" t="s">
        <v>1659</v>
      </c>
      <c r="AE186" s="434" t="s">
        <v>1689</v>
      </c>
      <c r="AF186" s="434" t="s">
        <v>1689</v>
      </c>
      <c r="AG186" s="427">
        <v>10.0</v>
      </c>
      <c r="AH186" s="435" t="s">
        <v>18</v>
      </c>
      <c r="AI186" s="415"/>
      <c r="AJ186" s="436" t="str">
        <f t="array" ref="AJ186">IF(M186=DGET(claves!$A$2:$AS423,M$2,{claves!$A$2;$E186}),1,0)</f>
        <v>#VALUE!</v>
      </c>
      <c r="AK186" s="436" t="str">
        <f t="array" ref="AK186">IF(N186=DGET(claves!$A$2:$AS423,N$2,{claves!$A$2;$E186}),1,0)</f>
        <v>#VALUE!</v>
      </c>
      <c r="AL186" s="436" t="str">
        <f t="array" ref="AL186">IF(O186=DGET(claves!$A$2:$AS423,O$2,{claves!$A$2;$E186}),1,0)</f>
        <v>#VALUE!</v>
      </c>
      <c r="AM186" s="436" t="str">
        <f t="array" ref="AM186">IF(P186=DGET(claves!$A$2:$AS423,P$2,{claves!$A$2;$E186}),1,0)</f>
        <v>#VALUE!</v>
      </c>
      <c r="AN186" s="436" t="str">
        <f t="array" ref="AN186">IF(Q186=DGET(claves!$A$2:$AS423,Q$2,{claves!$A$2;$E186}),1,0)</f>
        <v>#VALUE!</v>
      </c>
      <c r="AO186" s="436" t="str">
        <f t="array" ref="AO186">IF(R186=DGET(claves!$A$2:$AS423,R$2,{claves!$A$2;$E186}),1,0)</f>
        <v>#VALUE!</v>
      </c>
      <c r="AP186" s="436" t="str">
        <f t="array" ref="AP186">IF(S186=DGET(claves!$A$2:$AS423,S$2,{claves!$A$2;$E186}),1,0)</f>
        <v>#VALUE!</v>
      </c>
      <c r="AQ186" s="436" t="str">
        <f t="array" ref="AQ186">IF(T186=DGET(claves!$A$2:$AS423,T$2,{claves!$A$2;$E186}),1,0)</f>
        <v>#VALUE!</v>
      </c>
      <c r="AR186" s="436" t="str">
        <f t="array" ref="AR186">IF(U186=DGET(claves!$A$2:$AS423,U$2,{claves!$A$2;$E186}),1,0)</f>
        <v>#VALUE!</v>
      </c>
      <c r="AS186" s="436" t="str">
        <f t="array" ref="AS186">IF(V186=DGET(claves!$A$2:$AS423,V$2,{claves!$A$2;$E186}),1,0)</f>
        <v>#VALUE!</v>
      </c>
      <c r="AT186" s="436" t="str">
        <f t="array" ref="AT186">IF(W186=DGET(claves!$A$2:$AS423,W$2,{claves!$A$2;$E186}),1,0)</f>
        <v>#VALUE!</v>
      </c>
      <c r="AU186" s="436" t="str">
        <f t="array" ref="AU186">IF(X186=DGET(claves!$A$2:$AS423,X$2,{claves!$A$2;$E186}),1,0)</f>
        <v>#VALUE!</v>
      </c>
      <c r="AV186" s="436" t="str">
        <f t="array" ref="AV186">IF(Y186=DGET(claves!$A$2:$AS423,Y$2,{claves!$A$2;$E186}),1,0)</f>
        <v>#VALUE!</v>
      </c>
      <c r="AW186" s="436" t="str">
        <f t="array" ref="AW186">IF(Z186=DGET(claves!$A$2:$AS423,Z$2,{claves!$A$2;$E186}),1,0)</f>
        <v>#VALUE!</v>
      </c>
      <c r="AX186" s="436" t="str">
        <f t="array" ref="AX186">IF(AA186=DGET(claves!$A$2:$AS423,AA$2,{claves!$A$2;$E186}),1,0)</f>
        <v>#VALUE!</v>
      </c>
      <c r="AY186" s="436" t="str">
        <f t="array" ref="AY186">IF(AB186=DGET(claves!$A$2:$AS423,AB$2,{claves!$A$2;$E186}),1,0)</f>
        <v>#VALUE!</v>
      </c>
      <c r="AZ186" s="436" t="str">
        <f t="array" ref="AZ186">IF(AC186=DGET(claves!$A$2:$AS423,AC$2,{claves!$A$2;$E186}),1,0)</f>
        <v>#VALUE!</v>
      </c>
      <c r="BA186" s="436" t="str">
        <f t="array" ref="BA186">IF(AD186=DGET(claves!$A$2:$AS423,AD$2,{claves!$A$2;$E186}),1,0)</f>
        <v>#VALUE!</v>
      </c>
      <c r="BB186" s="436" t="str">
        <f t="array" ref="BB186">IF(AE186=DGET(claves!$A$2:$AS423,AE$2,{claves!$A$2;$E186}),1,0)</f>
        <v>#VALUE!</v>
      </c>
      <c r="BC186" s="436" t="str">
        <f t="array" ref="BC186">IF(AF186=DGET(claves!$A$2:$AS423,AF$2,{claves!$A$2;$E186}),1,0)</f>
        <v>#VALUE!</v>
      </c>
      <c r="BD186" s="437" t="str">
        <f t="shared" si="1"/>
        <v>#VALUE!</v>
      </c>
      <c r="BE186" s="435"/>
      <c r="BF186" s="415"/>
    </row>
    <row r="187" ht="14.25" customHeight="1">
      <c r="A187" s="408">
        <v>185.0</v>
      </c>
      <c r="B187" s="153" t="s">
        <v>1822</v>
      </c>
      <c r="C187" s="153">
        <v>2024.0</v>
      </c>
      <c r="D187" s="77" t="s">
        <v>1817</v>
      </c>
      <c r="E187" s="409" t="str">
        <f>IFERROR(__xludf.DUMMYFUNCTION("ARRAYFORMULA(JOIN("""", ARRAYFORMULA(MID(SPLIT(F187, "" ""), 1, 1))))
&amp;""/""&amp;G187"),"CLQ/6 Primaria")</f>
        <v>CLQ/6 Primaria</v>
      </c>
      <c r="F187" s="77" t="s">
        <v>1827</v>
      </c>
      <c r="G187" s="432" t="s">
        <v>22</v>
      </c>
      <c r="H187" s="433" t="s">
        <v>1684</v>
      </c>
      <c r="I187" s="433" t="s">
        <v>1744</v>
      </c>
      <c r="J187" s="433" t="s">
        <v>1836</v>
      </c>
      <c r="K187" s="432" t="s">
        <v>1665</v>
      </c>
      <c r="L187" s="415"/>
      <c r="M187" s="434" t="s">
        <v>1661</v>
      </c>
      <c r="N187" s="434" t="s">
        <v>1661</v>
      </c>
      <c r="O187" s="434" t="s">
        <v>1689</v>
      </c>
      <c r="P187" s="434" t="s">
        <v>1659</v>
      </c>
      <c r="Q187" s="434" t="s">
        <v>1660</v>
      </c>
      <c r="R187" s="434" t="s">
        <v>1689</v>
      </c>
      <c r="S187" s="434" t="s">
        <v>1661</v>
      </c>
      <c r="T187" s="434" t="s">
        <v>1660</v>
      </c>
      <c r="U187" s="434" t="s">
        <v>1689</v>
      </c>
      <c r="V187" s="434" t="s">
        <v>1660</v>
      </c>
      <c r="W187" s="434" t="s">
        <v>1659</v>
      </c>
      <c r="X187" s="434" t="s">
        <v>1659</v>
      </c>
      <c r="Y187" s="434" t="s">
        <v>1689</v>
      </c>
      <c r="Z187" s="434" t="s">
        <v>1661</v>
      </c>
      <c r="AA187" s="434" t="s">
        <v>1660</v>
      </c>
      <c r="AB187" s="434" t="s">
        <v>1661</v>
      </c>
      <c r="AC187" s="434" t="s">
        <v>1659</v>
      </c>
      <c r="AD187" s="434" t="s">
        <v>1660</v>
      </c>
      <c r="AE187" s="434" t="s">
        <v>1660</v>
      </c>
      <c r="AF187" s="434" t="s">
        <v>1660</v>
      </c>
      <c r="AG187" s="427">
        <v>12.0</v>
      </c>
      <c r="AH187" s="435" t="s">
        <v>24</v>
      </c>
      <c r="AI187" s="415"/>
      <c r="AJ187" s="436" t="str">
        <f t="array" ref="AJ187">IF(M187=DGET(claves!$A$2:$AS423,M$2,{claves!$A$2;$E187}),1,0)</f>
        <v>#VALUE!</v>
      </c>
      <c r="AK187" s="436" t="str">
        <f t="array" ref="AK187">IF(N187=DGET(claves!$A$2:$AS423,N$2,{claves!$A$2;$E187}),1,0)</f>
        <v>#VALUE!</v>
      </c>
      <c r="AL187" s="436" t="str">
        <f t="array" ref="AL187">IF(O187=DGET(claves!$A$2:$AS423,O$2,{claves!$A$2;$E187}),1,0)</f>
        <v>#VALUE!</v>
      </c>
      <c r="AM187" s="436" t="str">
        <f t="array" ref="AM187">IF(P187=DGET(claves!$A$2:$AS423,P$2,{claves!$A$2;$E187}),1,0)</f>
        <v>#VALUE!</v>
      </c>
      <c r="AN187" s="436" t="str">
        <f t="array" ref="AN187">IF(Q187=DGET(claves!$A$2:$AS423,Q$2,{claves!$A$2;$E187}),1,0)</f>
        <v>#VALUE!</v>
      </c>
      <c r="AO187" s="436" t="str">
        <f t="array" ref="AO187">IF(R187=DGET(claves!$A$2:$AS423,R$2,{claves!$A$2;$E187}),1,0)</f>
        <v>#VALUE!</v>
      </c>
      <c r="AP187" s="436" t="str">
        <f t="array" ref="AP187">IF(S187=DGET(claves!$A$2:$AS423,S$2,{claves!$A$2;$E187}),1,0)</f>
        <v>#VALUE!</v>
      </c>
      <c r="AQ187" s="436" t="str">
        <f t="array" ref="AQ187">IF(T187=DGET(claves!$A$2:$AS423,T$2,{claves!$A$2;$E187}),1,0)</f>
        <v>#VALUE!</v>
      </c>
      <c r="AR187" s="436" t="str">
        <f t="array" ref="AR187">IF(U187=DGET(claves!$A$2:$AS423,U$2,{claves!$A$2;$E187}),1,0)</f>
        <v>#VALUE!</v>
      </c>
      <c r="AS187" s="436" t="str">
        <f t="array" ref="AS187">IF(V187=DGET(claves!$A$2:$AS423,V$2,{claves!$A$2;$E187}),1,0)</f>
        <v>#VALUE!</v>
      </c>
      <c r="AT187" s="436" t="str">
        <f t="array" ref="AT187">IF(W187=DGET(claves!$A$2:$AS423,W$2,{claves!$A$2;$E187}),1,0)</f>
        <v>#VALUE!</v>
      </c>
      <c r="AU187" s="436" t="str">
        <f t="array" ref="AU187">IF(X187=DGET(claves!$A$2:$AS423,X$2,{claves!$A$2;$E187}),1,0)</f>
        <v>#VALUE!</v>
      </c>
      <c r="AV187" s="436" t="str">
        <f t="array" ref="AV187">IF(Y187=DGET(claves!$A$2:$AS423,Y$2,{claves!$A$2;$E187}),1,0)</f>
        <v>#VALUE!</v>
      </c>
      <c r="AW187" s="436" t="str">
        <f t="array" ref="AW187">IF(Z187=DGET(claves!$A$2:$AS423,Z$2,{claves!$A$2;$E187}),1,0)</f>
        <v>#VALUE!</v>
      </c>
      <c r="AX187" s="436" t="str">
        <f t="array" ref="AX187">IF(AA187=DGET(claves!$A$2:$AS423,AA$2,{claves!$A$2;$E187}),1,0)</f>
        <v>#VALUE!</v>
      </c>
      <c r="AY187" s="436" t="str">
        <f t="array" ref="AY187">IF(AB187=DGET(claves!$A$2:$AS423,AB$2,{claves!$A$2;$E187}),1,0)</f>
        <v>#VALUE!</v>
      </c>
      <c r="AZ187" s="436" t="str">
        <f t="array" ref="AZ187">IF(AC187=DGET(claves!$A$2:$AS423,AC$2,{claves!$A$2;$E187}),1,0)</f>
        <v>#VALUE!</v>
      </c>
      <c r="BA187" s="436" t="str">
        <f t="array" ref="BA187">IF(AD187=DGET(claves!$A$2:$AS423,AD$2,{claves!$A$2;$E187}),1,0)</f>
        <v>#VALUE!</v>
      </c>
      <c r="BB187" s="436" t="str">
        <f t="array" ref="BB187">IF(AE187=DGET(claves!$A$2:$AS423,AE$2,{claves!$A$2;$E187}),1,0)</f>
        <v>#VALUE!</v>
      </c>
      <c r="BC187" s="436" t="str">
        <f t="array" ref="BC187">IF(AF187=DGET(claves!$A$2:$AS423,AF$2,{claves!$A$2;$E187}),1,0)</f>
        <v>#VALUE!</v>
      </c>
      <c r="BD187" s="437" t="str">
        <f t="shared" si="1"/>
        <v>#VALUE!</v>
      </c>
      <c r="BE187" s="435"/>
      <c r="BF187" s="415"/>
    </row>
    <row r="188" ht="14.25" customHeight="1">
      <c r="A188" s="408">
        <v>186.0</v>
      </c>
      <c r="B188" s="153" t="s">
        <v>224</v>
      </c>
      <c r="C188" s="153">
        <v>2024.0</v>
      </c>
      <c r="D188" s="77" t="s">
        <v>1817</v>
      </c>
      <c r="E188" s="409" t="str">
        <f>IFERROR(__xludf.DUMMYFUNCTION("ARRAYFORMULA(JOIN("""", ARRAYFORMULA(MID(SPLIT(F188, "" ""), 1, 1))))
&amp;""/""&amp;G188"),"CLQ/2 Primaria")</f>
        <v>CLQ/2 Primaria</v>
      </c>
      <c r="F188" s="77" t="s">
        <v>1827</v>
      </c>
      <c r="G188" s="432" t="s">
        <v>15</v>
      </c>
      <c r="H188" s="433" t="s">
        <v>1703</v>
      </c>
      <c r="I188" s="433" t="s">
        <v>1837</v>
      </c>
      <c r="J188" s="433" t="s">
        <v>1838</v>
      </c>
      <c r="K188" s="432" t="s">
        <v>1665</v>
      </c>
      <c r="L188" s="415"/>
      <c r="M188" s="434" t="s">
        <v>1825</v>
      </c>
      <c r="N188" s="434" t="s">
        <v>1825</v>
      </c>
      <c r="O188" s="434" t="s">
        <v>1660</v>
      </c>
      <c r="P188" s="434" t="s">
        <v>1825</v>
      </c>
      <c r="Q188" s="434" t="s">
        <v>1825</v>
      </c>
      <c r="R188" s="434" t="s">
        <v>1825</v>
      </c>
      <c r="S188" s="434" t="s">
        <v>1825</v>
      </c>
      <c r="T188" s="434" t="s">
        <v>1825</v>
      </c>
      <c r="U188" s="434" t="s">
        <v>1825</v>
      </c>
      <c r="V188" s="434" t="s">
        <v>1825</v>
      </c>
      <c r="W188" s="434" t="s">
        <v>1825</v>
      </c>
      <c r="X188" s="434" t="s">
        <v>1826</v>
      </c>
      <c r="Y188" s="434" t="s">
        <v>1825</v>
      </c>
      <c r="Z188" s="434" t="s">
        <v>1825</v>
      </c>
      <c r="AA188" s="434" t="s">
        <v>1825</v>
      </c>
      <c r="AB188" s="434" t="s">
        <v>1825</v>
      </c>
      <c r="AC188" s="434" t="s">
        <v>1825</v>
      </c>
      <c r="AD188" s="434" t="s">
        <v>1825</v>
      </c>
      <c r="AE188" s="434" t="s">
        <v>1825</v>
      </c>
      <c r="AF188" s="434" t="s">
        <v>1825</v>
      </c>
      <c r="AG188" s="427">
        <v>7.0</v>
      </c>
      <c r="AH188" s="435" t="s">
        <v>18</v>
      </c>
      <c r="AI188" s="415"/>
      <c r="AJ188" s="436" t="str">
        <f t="array" ref="AJ188">IF(M188=DGET(claves!$A$2:$AS423,M$2,{claves!$A$2;$E188}),1,0)</f>
        <v>#VALUE!</v>
      </c>
      <c r="AK188" s="436" t="str">
        <f t="array" ref="AK188">IF(N188=DGET(claves!$A$2:$AS423,N$2,{claves!$A$2;$E188}),1,0)</f>
        <v>#VALUE!</v>
      </c>
      <c r="AL188" s="436" t="str">
        <f t="array" ref="AL188">IF(O188=DGET(claves!$A$2:$AS423,O$2,{claves!$A$2;$E188}),1,0)</f>
        <v>#VALUE!</v>
      </c>
      <c r="AM188" s="436" t="str">
        <f t="array" ref="AM188">IF(P188=DGET(claves!$A$2:$AS423,P$2,{claves!$A$2;$E188}),1,0)</f>
        <v>#VALUE!</v>
      </c>
      <c r="AN188" s="436" t="str">
        <f t="array" ref="AN188">IF(Q188=DGET(claves!$A$2:$AS423,Q$2,{claves!$A$2;$E188}),1,0)</f>
        <v>#VALUE!</v>
      </c>
      <c r="AO188" s="436" t="str">
        <f t="array" ref="AO188">IF(R188=DGET(claves!$A$2:$AS423,R$2,{claves!$A$2;$E188}),1,0)</f>
        <v>#VALUE!</v>
      </c>
      <c r="AP188" s="436" t="str">
        <f t="array" ref="AP188">IF(S188=DGET(claves!$A$2:$AS423,S$2,{claves!$A$2;$E188}),1,0)</f>
        <v>#VALUE!</v>
      </c>
      <c r="AQ188" s="436" t="str">
        <f t="array" ref="AQ188">IF(T188=DGET(claves!$A$2:$AS423,T$2,{claves!$A$2;$E188}),1,0)</f>
        <v>#VALUE!</v>
      </c>
      <c r="AR188" s="436" t="str">
        <f t="array" ref="AR188">IF(U188=DGET(claves!$A$2:$AS423,U$2,{claves!$A$2;$E188}),1,0)</f>
        <v>#VALUE!</v>
      </c>
      <c r="AS188" s="436" t="str">
        <f t="array" ref="AS188">IF(V188=DGET(claves!$A$2:$AS423,V$2,{claves!$A$2;$E188}),1,0)</f>
        <v>#VALUE!</v>
      </c>
      <c r="AT188" s="436" t="str">
        <f t="array" ref="AT188">IF(W188=DGET(claves!$A$2:$AS423,W$2,{claves!$A$2;$E188}),1,0)</f>
        <v>#VALUE!</v>
      </c>
      <c r="AU188" s="436" t="str">
        <f t="array" ref="AU188">IF(X188=DGET(claves!$A$2:$AS423,X$2,{claves!$A$2;$E188}),1,0)</f>
        <v>#VALUE!</v>
      </c>
      <c r="AV188" s="436" t="str">
        <f t="array" ref="AV188">IF(Y188=DGET(claves!$A$2:$AS423,Y$2,{claves!$A$2;$E188}),1,0)</f>
        <v>#VALUE!</v>
      </c>
      <c r="AW188" s="436" t="str">
        <f t="array" ref="AW188">IF(Z188=DGET(claves!$A$2:$AS423,Z$2,{claves!$A$2;$E188}),1,0)</f>
        <v>#VALUE!</v>
      </c>
      <c r="AX188" s="436" t="str">
        <f t="array" ref="AX188">IF(AA188=DGET(claves!$A$2:$AS423,AA$2,{claves!$A$2;$E188}),1,0)</f>
        <v>#VALUE!</v>
      </c>
      <c r="AY188" s="436" t="str">
        <f t="array" ref="AY188">IF(AB188=DGET(claves!$A$2:$AS423,AB$2,{claves!$A$2;$E188}),1,0)</f>
        <v>#VALUE!</v>
      </c>
      <c r="AZ188" s="436" t="str">
        <f t="array" ref="AZ188">IF(AC188=DGET(claves!$A$2:$AS423,AC$2,{claves!$A$2;$E188}),1,0)</f>
        <v>#VALUE!</v>
      </c>
      <c r="BA188" s="436" t="str">
        <f t="array" ref="BA188">IF(AD188=DGET(claves!$A$2:$AS423,AD$2,{claves!$A$2;$E188}),1,0)</f>
        <v>#VALUE!</v>
      </c>
      <c r="BB188" s="436" t="str">
        <f t="array" ref="BB188">IF(AE188=DGET(claves!$A$2:$AS423,AE$2,{claves!$A$2;$E188}),1,0)</f>
        <v>#VALUE!</v>
      </c>
      <c r="BC188" s="436" t="str">
        <f t="array" ref="BC188">IF(AF188=DGET(claves!$A$2:$AS423,AF$2,{claves!$A$2;$E188}),1,0)</f>
        <v>#VALUE!</v>
      </c>
      <c r="BD188" s="437" t="str">
        <f t="shared" si="1"/>
        <v>#VALUE!</v>
      </c>
      <c r="BE188" s="435"/>
      <c r="BF188" s="415"/>
    </row>
    <row r="189" ht="14.25" customHeight="1">
      <c r="A189" s="408">
        <v>187.0</v>
      </c>
      <c r="B189" s="153" t="s">
        <v>224</v>
      </c>
      <c r="C189" s="153">
        <v>2024.0</v>
      </c>
      <c r="D189" s="77" t="s">
        <v>1817</v>
      </c>
      <c r="E189" s="409" t="str">
        <f>IFERROR(__xludf.DUMMYFUNCTION("ARRAYFORMULA(JOIN("""", ARRAYFORMULA(MID(SPLIT(F189, "" ""), 1, 1))))
&amp;""/""&amp;G189"),"CLQ/2 Primaria")</f>
        <v>CLQ/2 Primaria</v>
      </c>
      <c r="F189" s="77" t="s">
        <v>1827</v>
      </c>
      <c r="G189" s="432" t="s">
        <v>15</v>
      </c>
      <c r="H189" s="433" t="s">
        <v>1744</v>
      </c>
      <c r="I189" s="433" t="s">
        <v>1790</v>
      </c>
      <c r="J189" s="433" t="s">
        <v>1839</v>
      </c>
      <c r="K189" s="432" t="s">
        <v>1665</v>
      </c>
      <c r="L189" s="415"/>
      <c r="M189" s="434" t="s">
        <v>1825</v>
      </c>
      <c r="N189" s="434" t="s">
        <v>1825</v>
      </c>
      <c r="O189" s="434" t="s">
        <v>1826</v>
      </c>
      <c r="P189" s="434" t="s">
        <v>1825</v>
      </c>
      <c r="Q189" s="434" t="s">
        <v>1660</v>
      </c>
      <c r="R189" s="434" t="s">
        <v>1825</v>
      </c>
      <c r="S189" s="434" t="s">
        <v>1826</v>
      </c>
      <c r="T189" s="434" t="s">
        <v>1660</v>
      </c>
      <c r="U189" s="434" t="s">
        <v>1825</v>
      </c>
      <c r="V189" s="434" t="s">
        <v>1825</v>
      </c>
      <c r="W189" s="434" t="s">
        <v>1660</v>
      </c>
      <c r="X189" s="434" t="s">
        <v>1660</v>
      </c>
      <c r="Y189" s="434" t="s">
        <v>1826</v>
      </c>
      <c r="Z189" s="434" t="s">
        <v>1825</v>
      </c>
      <c r="AA189" s="434" t="s">
        <v>1825</v>
      </c>
      <c r="AB189" s="434" t="s">
        <v>1660</v>
      </c>
      <c r="AC189" s="434" t="s">
        <v>1825</v>
      </c>
      <c r="AD189" s="434" t="s">
        <v>1826</v>
      </c>
      <c r="AE189" s="434" t="s">
        <v>1825</v>
      </c>
      <c r="AF189" s="434" t="s">
        <v>1825</v>
      </c>
      <c r="AG189" s="427">
        <v>10.0</v>
      </c>
      <c r="AH189" s="435" t="s">
        <v>18</v>
      </c>
      <c r="AI189" s="415"/>
      <c r="AJ189" s="436" t="str">
        <f t="array" ref="AJ189">IF(M189=DGET(claves!$A$2:$AS423,M$2,{claves!$A$2;$E189}),1,0)</f>
        <v>#VALUE!</v>
      </c>
      <c r="AK189" s="436" t="str">
        <f t="array" ref="AK189">IF(N189=DGET(claves!$A$2:$AS423,N$2,{claves!$A$2;$E189}),1,0)</f>
        <v>#VALUE!</v>
      </c>
      <c r="AL189" s="436" t="str">
        <f t="array" ref="AL189">IF(O189=DGET(claves!$A$2:$AS423,O$2,{claves!$A$2;$E189}),1,0)</f>
        <v>#VALUE!</v>
      </c>
      <c r="AM189" s="436" t="str">
        <f t="array" ref="AM189">IF(P189=DGET(claves!$A$2:$AS423,P$2,{claves!$A$2;$E189}),1,0)</f>
        <v>#VALUE!</v>
      </c>
      <c r="AN189" s="436" t="str">
        <f t="array" ref="AN189">IF(Q189=DGET(claves!$A$2:$AS423,Q$2,{claves!$A$2;$E189}),1,0)</f>
        <v>#VALUE!</v>
      </c>
      <c r="AO189" s="436" t="str">
        <f t="array" ref="AO189">IF(R189=DGET(claves!$A$2:$AS423,R$2,{claves!$A$2;$E189}),1,0)</f>
        <v>#VALUE!</v>
      </c>
      <c r="AP189" s="436" t="str">
        <f t="array" ref="AP189">IF(S189=DGET(claves!$A$2:$AS423,S$2,{claves!$A$2;$E189}),1,0)</f>
        <v>#VALUE!</v>
      </c>
      <c r="AQ189" s="436" t="str">
        <f t="array" ref="AQ189">IF(T189=DGET(claves!$A$2:$AS423,T$2,{claves!$A$2;$E189}),1,0)</f>
        <v>#VALUE!</v>
      </c>
      <c r="AR189" s="436" t="str">
        <f t="array" ref="AR189">IF(U189=DGET(claves!$A$2:$AS423,U$2,{claves!$A$2;$E189}),1,0)</f>
        <v>#VALUE!</v>
      </c>
      <c r="AS189" s="436" t="str">
        <f t="array" ref="AS189">IF(V189=DGET(claves!$A$2:$AS423,V$2,{claves!$A$2;$E189}),1,0)</f>
        <v>#VALUE!</v>
      </c>
      <c r="AT189" s="436" t="str">
        <f t="array" ref="AT189">IF(W189=DGET(claves!$A$2:$AS423,W$2,{claves!$A$2;$E189}),1,0)</f>
        <v>#VALUE!</v>
      </c>
      <c r="AU189" s="436" t="str">
        <f t="array" ref="AU189">IF(X189=DGET(claves!$A$2:$AS423,X$2,{claves!$A$2;$E189}),1,0)</f>
        <v>#VALUE!</v>
      </c>
      <c r="AV189" s="436" t="str">
        <f t="array" ref="AV189">IF(Y189=DGET(claves!$A$2:$AS423,Y$2,{claves!$A$2;$E189}),1,0)</f>
        <v>#VALUE!</v>
      </c>
      <c r="AW189" s="436" t="str">
        <f t="array" ref="AW189">IF(Z189=DGET(claves!$A$2:$AS423,Z$2,{claves!$A$2;$E189}),1,0)</f>
        <v>#VALUE!</v>
      </c>
      <c r="AX189" s="436" t="str">
        <f t="array" ref="AX189">IF(AA189=DGET(claves!$A$2:$AS423,AA$2,{claves!$A$2;$E189}),1,0)</f>
        <v>#VALUE!</v>
      </c>
      <c r="AY189" s="436" t="str">
        <f t="array" ref="AY189">IF(AB189=DGET(claves!$A$2:$AS423,AB$2,{claves!$A$2;$E189}),1,0)</f>
        <v>#VALUE!</v>
      </c>
      <c r="AZ189" s="436" t="str">
        <f t="array" ref="AZ189">IF(AC189=DGET(claves!$A$2:$AS423,AC$2,{claves!$A$2;$E189}),1,0)</f>
        <v>#VALUE!</v>
      </c>
      <c r="BA189" s="436" t="str">
        <f t="array" ref="BA189">IF(AD189=DGET(claves!$A$2:$AS423,AD$2,{claves!$A$2;$E189}),1,0)</f>
        <v>#VALUE!</v>
      </c>
      <c r="BB189" s="436" t="str">
        <f t="array" ref="BB189">IF(AE189=DGET(claves!$A$2:$AS423,AE$2,{claves!$A$2;$E189}),1,0)</f>
        <v>#VALUE!</v>
      </c>
      <c r="BC189" s="436" t="str">
        <f t="array" ref="BC189">IF(AF189=DGET(claves!$A$2:$AS423,AF$2,{claves!$A$2;$E189}),1,0)</f>
        <v>#VALUE!</v>
      </c>
      <c r="BD189" s="437" t="str">
        <f t="shared" si="1"/>
        <v>#VALUE!</v>
      </c>
      <c r="BE189" s="435"/>
      <c r="BF189" s="415"/>
    </row>
    <row r="190" ht="14.25" customHeight="1">
      <c r="A190" s="408">
        <v>188.0</v>
      </c>
      <c r="B190" s="153" t="s">
        <v>224</v>
      </c>
      <c r="C190" s="153">
        <v>2024.0</v>
      </c>
      <c r="D190" s="77" t="s">
        <v>1817</v>
      </c>
      <c r="E190" s="409" t="str">
        <f>IFERROR(__xludf.DUMMYFUNCTION("ARRAYFORMULA(JOIN("""", ARRAYFORMULA(MID(SPLIT(F190, "" ""), 1, 1))))
&amp;""/""&amp;G190"),"CLQ/2 Primaria")</f>
        <v>CLQ/2 Primaria</v>
      </c>
      <c r="F190" s="77" t="s">
        <v>1827</v>
      </c>
      <c r="G190" s="432" t="s">
        <v>15</v>
      </c>
      <c r="H190" s="433" t="s">
        <v>1840</v>
      </c>
      <c r="I190" s="433" t="s">
        <v>1684</v>
      </c>
      <c r="J190" s="433" t="s">
        <v>1841</v>
      </c>
      <c r="K190" s="433" t="s">
        <v>1658</v>
      </c>
      <c r="L190" s="415"/>
      <c r="M190" s="434" t="s">
        <v>1825</v>
      </c>
      <c r="N190" s="434" t="s">
        <v>1825</v>
      </c>
      <c r="O190" s="434" t="s">
        <v>1826</v>
      </c>
      <c r="P190" s="434" t="s">
        <v>1825</v>
      </c>
      <c r="Q190" s="434" t="s">
        <v>1660</v>
      </c>
      <c r="R190" s="434" t="s">
        <v>1825</v>
      </c>
      <c r="S190" s="434" t="s">
        <v>1826</v>
      </c>
      <c r="T190" s="434" t="s">
        <v>1660</v>
      </c>
      <c r="U190" s="434" t="s">
        <v>1825</v>
      </c>
      <c r="V190" s="434" t="s">
        <v>1825</v>
      </c>
      <c r="W190" s="434" t="s">
        <v>1825</v>
      </c>
      <c r="X190" s="434" t="s">
        <v>1826</v>
      </c>
      <c r="Y190" s="434" t="s">
        <v>1826</v>
      </c>
      <c r="Z190" s="434" t="s">
        <v>1825</v>
      </c>
      <c r="AA190" s="434" t="s">
        <v>1660</v>
      </c>
      <c r="AB190" s="434" t="s">
        <v>1825</v>
      </c>
      <c r="AC190" s="434" t="s">
        <v>1660</v>
      </c>
      <c r="AD190" s="434" t="s">
        <v>1826</v>
      </c>
      <c r="AE190" s="434" t="s">
        <v>1825</v>
      </c>
      <c r="AF190" s="434" t="s">
        <v>1825</v>
      </c>
      <c r="AG190" s="427">
        <v>9.0</v>
      </c>
      <c r="AH190" s="435" t="s">
        <v>18</v>
      </c>
      <c r="AI190" s="415"/>
      <c r="AJ190" s="436" t="str">
        <f t="array" ref="AJ190">IF(M190=DGET(claves!$A$2:$AS423,M$2,{claves!$A$2;$E190}),1,0)</f>
        <v>#VALUE!</v>
      </c>
      <c r="AK190" s="436" t="str">
        <f t="array" ref="AK190">IF(N190=DGET(claves!$A$2:$AS423,N$2,{claves!$A$2;$E190}),1,0)</f>
        <v>#VALUE!</v>
      </c>
      <c r="AL190" s="436" t="str">
        <f t="array" ref="AL190">IF(O190=DGET(claves!$A$2:$AS423,O$2,{claves!$A$2;$E190}),1,0)</f>
        <v>#VALUE!</v>
      </c>
      <c r="AM190" s="436" t="str">
        <f t="array" ref="AM190">IF(P190=DGET(claves!$A$2:$AS423,P$2,{claves!$A$2;$E190}),1,0)</f>
        <v>#VALUE!</v>
      </c>
      <c r="AN190" s="436" t="str">
        <f t="array" ref="AN190">IF(Q190=DGET(claves!$A$2:$AS423,Q$2,{claves!$A$2;$E190}),1,0)</f>
        <v>#VALUE!</v>
      </c>
      <c r="AO190" s="436" t="str">
        <f t="array" ref="AO190">IF(R190=DGET(claves!$A$2:$AS423,R$2,{claves!$A$2;$E190}),1,0)</f>
        <v>#VALUE!</v>
      </c>
      <c r="AP190" s="436" t="str">
        <f t="array" ref="AP190">IF(S190=DGET(claves!$A$2:$AS423,S$2,{claves!$A$2;$E190}),1,0)</f>
        <v>#VALUE!</v>
      </c>
      <c r="AQ190" s="436" t="str">
        <f t="array" ref="AQ190">IF(T190=DGET(claves!$A$2:$AS423,T$2,{claves!$A$2;$E190}),1,0)</f>
        <v>#VALUE!</v>
      </c>
      <c r="AR190" s="436" t="str">
        <f t="array" ref="AR190">IF(U190=DGET(claves!$A$2:$AS423,U$2,{claves!$A$2;$E190}),1,0)</f>
        <v>#VALUE!</v>
      </c>
      <c r="AS190" s="436" t="str">
        <f t="array" ref="AS190">IF(V190=DGET(claves!$A$2:$AS423,V$2,{claves!$A$2;$E190}),1,0)</f>
        <v>#VALUE!</v>
      </c>
      <c r="AT190" s="436" t="str">
        <f t="array" ref="AT190">IF(W190=DGET(claves!$A$2:$AS423,W$2,{claves!$A$2;$E190}),1,0)</f>
        <v>#VALUE!</v>
      </c>
      <c r="AU190" s="436" t="str">
        <f t="array" ref="AU190">IF(X190=DGET(claves!$A$2:$AS423,X$2,{claves!$A$2;$E190}),1,0)</f>
        <v>#VALUE!</v>
      </c>
      <c r="AV190" s="436" t="str">
        <f t="array" ref="AV190">IF(Y190=DGET(claves!$A$2:$AS423,Y$2,{claves!$A$2;$E190}),1,0)</f>
        <v>#VALUE!</v>
      </c>
      <c r="AW190" s="436" t="str">
        <f t="array" ref="AW190">IF(Z190=DGET(claves!$A$2:$AS423,Z$2,{claves!$A$2;$E190}),1,0)</f>
        <v>#VALUE!</v>
      </c>
      <c r="AX190" s="436" t="str">
        <f t="array" ref="AX190">IF(AA190=DGET(claves!$A$2:$AS423,AA$2,{claves!$A$2;$E190}),1,0)</f>
        <v>#VALUE!</v>
      </c>
      <c r="AY190" s="436" t="str">
        <f t="array" ref="AY190">IF(AB190=DGET(claves!$A$2:$AS423,AB$2,{claves!$A$2;$E190}),1,0)</f>
        <v>#VALUE!</v>
      </c>
      <c r="AZ190" s="436" t="str">
        <f t="array" ref="AZ190">IF(AC190=DGET(claves!$A$2:$AS423,AC$2,{claves!$A$2;$E190}),1,0)</f>
        <v>#VALUE!</v>
      </c>
      <c r="BA190" s="436" t="str">
        <f t="array" ref="BA190">IF(AD190=DGET(claves!$A$2:$AS423,AD$2,{claves!$A$2;$E190}),1,0)</f>
        <v>#VALUE!</v>
      </c>
      <c r="BB190" s="436" t="str">
        <f t="array" ref="BB190">IF(AE190=DGET(claves!$A$2:$AS423,AE$2,{claves!$A$2;$E190}),1,0)</f>
        <v>#VALUE!</v>
      </c>
      <c r="BC190" s="436" t="str">
        <f t="array" ref="BC190">IF(AF190=DGET(claves!$A$2:$AS423,AF$2,{claves!$A$2;$E190}),1,0)</f>
        <v>#VALUE!</v>
      </c>
      <c r="BD190" s="437" t="str">
        <f t="shared" si="1"/>
        <v>#VALUE!</v>
      </c>
      <c r="BE190" s="435"/>
      <c r="BF190" s="415"/>
    </row>
    <row r="191" ht="14.25" customHeight="1">
      <c r="A191" s="408">
        <v>189.0</v>
      </c>
      <c r="B191" s="153" t="s">
        <v>224</v>
      </c>
      <c r="C191" s="153">
        <v>2024.0</v>
      </c>
      <c r="D191" s="77" t="s">
        <v>1817</v>
      </c>
      <c r="E191" s="409" t="str">
        <f>IFERROR(__xludf.DUMMYFUNCTION("ARRAYFORMULA(JOIN("""", ARRAYFORMULA(MID(SPLIT(F191, "" ""), 1, 1))))
&amp;""/""&amp;G191"),"CLQ/4 Primaria")</f>
        <v>CLQ/4 Primaria</v>
      </c>
      <c r="F191" s="77" t="s">
        <v>1827</v>
      </c>
      <c r="G191" s="432" t="s">
        <v>20</v>
      </c>
      <c r="H191" s="433" t="s">
        <v>1842</v>
      </c>
      <c r="I191" s="433" t="s">
        <v>1746</v>
      </c>
      <c r="J191" s="433" t="s">
        <v>1843</v>
      </c>
      <c r="K191" s="432" t="s">
        <v>1665</v>
      </c>
      <c r="L191" s="415"/>
      <c r="M191" s="434" t="s">
        <v>1659</v>
      </c>
      <c r="N191" s="434" t="s">
        <v>1660</v>
      </c>
      <c r="O191" s="434" t="s">
        <v>1659</v>
      </c>
      <c r="P191" s="434" t="s">
        <v>1661</v>
      </c>
      <c r="Q191" s="434" t="s">
        <v>1660</v>
      </c>
      <c r="R191" s="434" t="s">
        <v>1661</v>
      </c>
      <c r="S191" s="434" t="s">
        <v>1660</v>
      </c>
      <c r="T191" s="434" t="s">
        <v>1661</v>
      </c>
      <c r="U191" s="434" t="s">
        <v>1689</v>
      </c>
      <c r="V191" s="434" t="s">
        <v>1661</v>
      </c>
      <c r="W191" s="434" t="s">
        <v>1689</v>
      </c>
      <c r="X191" s="434" t="s">
        <v>1660</v>
      </c>
      <c r="Y191" s="434" t="s">
        <v>1659</v>
      </c>
      <c r="Z191" s="434" t="s">
        <v>1660</v>
      </c>
      <c r="AA191" s="434" t="s">
        <v>1660</v>
      </c>
      <c r="AB191" s="434" t="s">
        <v>1661</v>
      </c>
      <c r="AC191" s="434" t="s">
        <v>1661</v>
      </c>
      <c r="AD191" s="434" t="s">
        <v>1689</v>
      </c>
      <c r="AE191" s="434" t="s">
        <v>1661</v>
      </c>
      <c r="AF191" s="434" t="s">
        <v>1660</v>
      </c>
      <c r="AG191" s="427">
        <v>12.0</v>
      </c>
      <c r="AH191" s="435" t="s">
        <v>24</v>
      </c>
      <c r="AI191" s="415"/>
      <c r="AJ191" s="436" t="str">
        <f t="array" ref="AJ191">IF(M191=DGET(claves!$A$2:$AS423,M$2,{claves!$A$2;$E191}),1,0)</f>
        <v>#VALUE!</v>
      </c>
      <c r="AK191" s="436" t="str">
        <f t="array" ref="AK191">IF(N191=DGET(claves!$A$2:$AS423,N$2,{claves!$A$2;$E191}),1,0)</f>
        <v>#VALUE!</v>
      </c>
      <c r="AL191" s="436" t="str">
        <f t="array" ref="AL191">IF(O191=DGET(claves!$A$2:$AS423,O$2,{claves!$A$2;$E191}),1,0)</f>
        <v>#VALUE!</v>
      </c>
      <c r="AM191" s="436" t="str">
        <f t="array" ref="AM191">IF(P191=DGET(claves!$A$2:$AS423,P$2,{claves!$A$2;$E191}),1,0)</f>
        <v>#VALUE!</v>
      </c>
      <c r="AN191" s="436" t="str">
        <f t="array" ref="AN191">IF(Q191=DGET(claves!$A$2:$AS423,Q$2,{claves!$A$2;$E191}),1,0)</f>
        <v>#VALUE!</v>
      </c>
      <c r="AO191" s="436" t="str">
        <f t="array" ref="AO191">IF(R191=DGET(claves!$A$2:$AS423,R$2,{claves!$A$2;$E191}),1,0)</f>
        <v>#VALUE!</v>
      </c>
      <c r="AP191" s="436" t="str">
        <f t="array" ref="AP191">IF(S191=DGET(claves!$A$2:$AS423,S$2,{claves!$A$2;$E191}),1,0)</f>
        <v>#VALUE!</v>
      </c>
      <c r="AQ191" s="436" t="str">
        <f t="array" ref="AQ191">IF(T191=DGET(claves!$A$2:$AS423,T$2,{claves!$A$2;$E191}),1,0)</f>
        <v>#VALUE!</v>
      </c>
      <c r="AR191" s="436" t="str">
        <f t="array" ref="AR191">IF(U191=DGET(claves!$A$2:$AS423,U$2,{claves!$A$2;$E191}),1,0)</f>
        <v>#VALUE!</v>
      </c>
      <c r="AS191" s="436" t="str">
        <f t="array" ref="AS191">IF(V191=DGET(claves!$A$2:$AS423,V$2,{claves!$A$2;$E191}),1,0)</f>
        <v>#VALUE!</v>
      </c>
      <c r="AT191" s="436" t="str">
        <f t="array" ref="AT191">IF(W191=DGET(claves!$A$2:$AS423,W$2,{claves!$A$2;$E191}),1,0)</f>
        <v>#VALUE!</v>
      </c>
      <c r="AU191" s="436" t="str">
        <f t="array" ref="AU191">IF(X191=DGET(claves!$A$2:$AS423,X$2,{claves!$A$2;$E191}),1,0)</f>
        <v>#VALUE!</v>
      </c>
      <c r="AV191" s="436" t="str">
        <f t="array" ref="AV191">IF(Y191=DGET(claves!$A$2:$AS423,Y$2,{claves!$A$2;$E191}),1,0)</f>
        <v>#VALUE!</v>
      </c>
      <c r="AW191" s="436" t="str">
        <f t="array" ref="AW191">IF(Z191=DGET(claves!$A$2:$AS423,Z$2,{claves!$A$2;$E191}),1,0)</f>
        <v>#VALUE!</v>
      </c>
      <c r="AX191" s="436" t="str">
        <f t="array" ref="AX191">IF(AA191=DGET(claves!$A$2:$AS423,AA$2,{claves!$A$2;$E191}),1,0)</f>
        <v>#VALUE!</v>
      </c>
      <c r="AY191" s="436" t="str">
        <f t="array" ref="AY191">IF(AB191=DGET(claves!$A$2:$AS423,AB$2,{claves!$A$2;$E191}),1,0)</f>
        <v>#VALUE!</v>
      </c>
      <c r="AZ191" s="436" t="str">
        <f t="array" ref="AZ191">IF(AC191=DGET(claves!$A$2:$AS423,AC$2,{claves!$A$2;$E191}),1,0)</f>
        <v>#VALUE!</v>
      </c>
      <c r="BA191" s="436" t="str">
        <f t="array" ref="BA191">IF(AD191=DGET(claves!$A$2:$AS423,AD$2,{claves!$A$2;$E191}),1,0)</f>
        <v>#VALUE!</v>
      </c>
      <c r="BB191" s="436" t="str">
        <f t="array" ref="BB191">IF(AE191=DGET(claves!$A$2:$AS423,AE$2,{claves!$A$2;$E191}),1,0)</f>
        <v>#VALUE!</v>
      </c>
      <c r="BC191" s="436" t="str">
        <f t="array" ref="BC191">IF(AF191=DGET(claves!$A$2:$AS423,AF$2,{claves!$A$2;$E191}),1,0)</f>
        <v>#VALUE!</v>
      </c>
      <c r="BD191" s="437" t="str">
        <f t="shared" si="1"/>
        <v>#VALUE!</v>
      </c>
      <c r="BE191" s="435"/>
      <c r="BF191" s="415"/>
    </row>
    <row r="192" ht="14.25" customHeight="1">
      <c r="A192" s="408">
        <v>190.0</v>
      </c>
      <c r="B192" s="153" t="s">
        <v>224</v>
      </c>
      <c r="C192" s="153">
        <v>2024.0</v>
      </c>
      <c r="D192" s="77" t="s">
        <v>1817</v>
      </c>
      <c r="E192" s="409" t="str">
        <f>IFERROR(__xludf.DUMMYFUNCTION("ARRAYFORMULA(JOIN("""", ARRAYFORMULA(MID(SPLIT(F192, "" ""), 1, 1))))
&amp;""/""&amp;G192"),"CLQ/4 Primaria")</f>
        <v>CLQ/4 Primaria</v>
      </c>
      <c r="F192" s="77" t="s">
        <v>1827</v>
      </c>
      <c r="G192" s="432" t="s">
        <v>20</v>
      </c>
      <c r="H192" s="433" t="s">
        <v>1833</v>
      </c>
      <c r="I192" s="433" t="s">
        <v>1684</v>
      </c>
      <c r="J192" s="433" t="s">
        <v>1844</v>
      </c>
      <c r="K192" s="432" t="s">
        <v>1665</v>
      </c>
      <c r="L192" s="415"/>
      <c r="M192" s="434" t="s">
        <v>1659</v>
      </c>
      <c r="N192" s="434" t="s">
        <v>1660</v>
      </c>
      <c r="O192" s="434" t="s">
        <v>1660</v>
      </c>
      <c r="P192" s="434" t="s">
        <v>1659</v>
      </c>
      <c r="Q192" s="434" t="s">
        <v>1689</v>
      </c>
      <c r="R192" s="434" t="s">
        <v>1660</v>
      </c>
      <c r="S192" s="434" t="s">
        <v>1660</v>
      </c>
      <c r="T192" s="434" t="s">
        <v>1659</v>
      </c>
      <c r="U192" s="434" t="s">
        <v>1660</v>
      </c>
      <c r="V192" s="434" t="s">
        <v>1661</v>
      </c>
      <c r="W192" s="434" t="s">
        <v>1689</v>
      </c>
      <c r="X192" s="434" t="s">
        <v>1660</v>
      </c>
      <c r="Y192" s="434" t="s">
        <v>1659</v>
      </c>
      <c r="Z192" s="434" t="s">
        <v>1659</v>
      </c>
      <c r="AA192" s="434" t="s">
        <v>1661</v>
      </c>
      <c r="AB192" s="434" t="s">
        <v>1660</v>
      </c>
      <c r="AC192" s="434" t="s">
        <v>1661</v>
      </c>
      <c r="AD192" s="434" t="s">
        <v>1660</v>
      </c>
      <c r="AE192" s="434" t="s">
        <v>1689</v>
      </c>
      <c r="AF192" s="434" t="s">
        <v>1689</v>
      </c>
      <c r="AG192" s="427">
        <v>13.0</v>
      </c>
      <c r="AH192" s="435" t="s">
        <v>24</v>
      </c>
      <c r="AI192" s="415"/>
      <c r="AJ192" s="436" t="str">
        <f t="array" ref="AJ192">IF(M192=DGET(claves!$A$2:$AS423,M$2,{claves!$A$2;$E192}),1,0)</f>
        <v>#VALUE!</v>
      </c>
      <c r="AK192" s="436" t="str">
        <f t="array" ref="AK192">IF(N192=DGET(claves!$A$2:$AS423,N$2,{claves!$A$2;$E192}),1,0)</f>
        <v>#VALUE!</v>
      </c>
      <c r="AL192" s="436" t="str">
        <f t="array" ref="AL192">IF(O192=DGET(claves!$A$2:$AS423,O$2,{claves!$A$2;$E192}),1,0)</f>
        <v>#VALUE!</v>
      </c>
      <c r="AM192" s="436" t="str">
        <f t="array" ref="AM192">IF(P192=DGET(claves!$A$2:$AS423,P$2,{claves!$A$2;$E192}),1,0)</f>
        <v>#VALUE!</v>
      </c>
      <c r="AN192" s="436" t="str">
        <f t="array" ref="AN192">IF(Q192=DGET(claves!$A$2:$AS423,Q$2,{claves!$A$2;$E192}),1,0)</f>
        <v>#VALUE!</v>
      </c>
      <c r="AO192" s="436" t="str">
        <f t="array" ref="AO192">IF(R192=DGET(claves!$A$2:$AS423,R$2,{claves!$A$2;$E192}),1,0)</f>
        <v>#VALUE!</v>
      </c>
      <c r="AP192" s="436" t="str">
        <f t="array" ref="AP192">IF(S192=DGET(claves!$A$2:$AS423,S$2,{claves!$A$2;$E192}),1,0)</f>
        <v>#VALUE!</v>
      </c>
      <c r="AQ192" s="436" t="str">
        <f t="array" ref="AQ192">IF(T192=DGET(claves!$A$2:$AS423,T$2,{claves!$A$2;$E192}),1,0)</f>
        <v>#VALUE!</v>
      </c>
      <c r="AR192" s="436" t="str">
        <f t="array" ref="AR192">IF(U192=DGET(claves!$A$2:$AS423,U$2,{claves!$A$2;$E192}),1,0)</f>
        <v>#VALUE!</v>
      </c>
      <c r="AS192" s="436" t="str">
        <f t="array" ref="AS192">IF(V192=DGET(claves!$A$2:$AS423,V$2,{claves!$A$2;$E192}),1,0)</f>
        <v>#VALUE!</v>
      </c>
      <c r="AT192" s="436" t="str">
        <f t="array" ref="AT192">IF(W192=DGET(claves!$A$2:$AS423,W$2,{claves!$A$2;$E192}),1,0)</f>
        <v>#VALUE!</v>
      </c>
      <c r="AU192" s="436" t="str">
        <f t="array" ref="AU192">IF(X192=DGET(claves!$A$2:$AS423,X$2,{claves!$A$2;$E192}),1,0)</f>
        <v>#VALUE!</v>
      </c>
      <c r="AV192" s="436" t="str">
        <f t="array" ref="AV192">IF(Y192=DGET(claves!$A$2:$AS423,Y$2,{claves!$A$2;$E192}),1,0)</f>
        <v>#VALUE!</v>
      </c>
      <c r="AW192" s="436" t="str">
        <f t="array" ref="AW192">IF(Z192=DGET(claves!$A$2:$AS423,Z$2,{claves!$A$2;$E192}),1,0)</f>
        <v>#VALUE!</v>
      </c>
      <c r="AX192" s="436" t="str">
        <f t="array" ref="AX192">IF(AA192=DGET(claves!$A$2:$AS423,AA$2,{claves!$A$2;$E192}),1,0)</f>
        <v>#VALUE!</v>
      </c>
      <c r="AY192" s="436" t="str">
        <f t="array" ref="AY192">IF(AB192=DGET(claves!$A$2:$AS423,AB$2,{claves!$A$2;$E192}),1,0)</f>
        <v>#VALUE!</v>
      </c>
      <c r="AZ192" s="436" t="str">
        <f t="array" ref="AZ192">IF(AC192=DGET(claves!$A$2:$AS423,AC$2,{claves!$A$2;$E192}),1,0)</f>
        <v>#VALUE!</v>
      </c>
      <c r="BA192" s="436" t="str">
        <f t="array" ref="BA192">IF(AD192=DGET(claves!$A$2:$AS423,AD$2,{claves!$A$2;$E192}),1,0)</f>
        <v>#VALUE!</v>
      </c>
      <c r="BB192" s="436" t="str">
        <f t="array" ref="BB192">IF(AE192=DGET(claves!$A$2:$AS423,AE$2,{claves!$A$2;$E192}),1,0)</f>
        <v>#VALUE!</v>
      </c>
      <c r="BC192" s="436" t="str">
        <f t="array" ref="BC192">IF(AF192=DGET(claves!$A$2:$AS423,AF$2,{claves!$A$2;$E192}),1,0)</f>
        <v>#VALUE!</v>
      </c>
      <c r="BD192" s="437" t="str">
        <f t="shared" si="1"/>
        <v>#VALUE!</v>
      </c>
      <c r="BE192" s="435"/>
      <c r="BF192" s="415"/>
    </row>
    <row r="193" ht="14.25" customHeight="1">
      <c r="A193" s="408">
        <v>191.0</v>
      </c>
      <c r="B193" s="153" t="s">
        <v>224</v>
      </c>
      <c r="C193" s="153">
        <v>2024.0</v>
      </c>
      <c r="D193" s="77" t="s">
        <v>1817</v>
      </c>
      <c r="E193" s="409" t="str">
        <f>IFERROR(__xludf.DUMMYFUNCTION("ARRAYFORMULA(JOIN("""", ARRAYFORMULA(MID(SPLIT(F193, "" ""), 1, 1))))
&amp;""/""&amp;G193"),"CLQ/4 Primaria")</f>
        <v>CLQ/4 Primaria</v>
      </c>
      <c r="F193" s="77" t="s">
        <v>1827</v>
      </c>
      <c r="G193" s="432" t="s">
        <v>20</v>
      </c>
      <c r="H193" s="433" t="s">
        <v>1684</v>
      </c>
      <c r="I193" s="433" t="s">
        <v>1712</v>
      </c>
      <c r="J193" s="433" t="s">
        <v>1845</v>
      </c>
      <c r="K193" s="433" t="s">
        <v>1658</v>
      </c>
      <c r="L193" s="415"/>
      <c r="M193" s="434" t="s">
        <v>1689</v>
      </c>
      <c r="N193" s="434" t="s">
        <v>1660</v>
      </c>
      <c r="O193" s="434" t="s">
        <v>1660</v>
      </c>
      <c r="P193" s="434" t="s">
        <v>1660</v>
      </c>
      <c r="Q193" s="434" t="s">
        <v>1659</v>
      </c>
      <c r="R193" s="434" t="s">
        <v>1659</v>
      </c>
      <c r="S193" s="434" t="s">
        <v>1659</v>
      </c>
      <c r="T193" s="434" t="s">
        <v>1660</v>
      </c>
      <c r="U193" s="434" t="s">
        <v>1660</v>
      </c>
      <c r="V193" s="434" t="s">
        <v>1659</v>
      </c>
      <c r="W193" s="434"/>
      <c r="X193" s="434" t="s">
        <v>1660</v>
      </c>
      <c r="Y193" s="434"/>
      <c r="Z193" s="434"/>
      <c r="AA193" s="434"/>
      <c r="AB193" s="434" t="s">
        <v>1660</v>
      </c>
      <c r="AC193" s="434" t="s">
        <v>1689</v>
      </c>
      <c r="AD193" s="434" t="s">
        <v>1659</v>
      </c>
      <c r="AE193" s="434" t="s">
        <v>1659</v>
      </c>
      <c r="AF193" s="434" t="s">
        <v>1659</v>
      </c>
      <c r="AG193" s="427">
        <v>3.0</v>
      </c>
      <c r="AH193" s="435" t="s">
        <v>18</v>
      </c>
      <c r="AI193" s="415"/>
      <c r="AJ193" s="436" t="str">
        <f t="array" ref="AJ193">IF(M193=DGET(claves!$A$2:$AS423,M$2,{claves!$A$2;$E193}),1,0)</f>
        <v>#VALUE!</v>
      </c>
      <c r="AK193" s="436" t="str">
        <f t="array" ref="AK193">IF(N193=DGET(claves!$A$2:$AS423,N$2,{claves!$A$2;$E193}),1,0)</f>
        <v>#VALUE!</v>
      </c>
      <c r="AL193" s="436" t="str">
        <f t="array" ref="AL193">IF(O193=DGET(claves!$A$2:$AS423,O$2,{claves!$A$2;$E193}),1,0)</f>
        <v>#VALUE!</v>
      </c>
      <c r="AM193" s="436" t="str">
        <f t="array" ref="AM193">IF(P193=DGET(claves!$A$2:$AS423,P$2,{claves!$A$2;$E193}),1,0)</f>
        <v>#VALUE!</v>
      </c>
      <c r="AN193" s="436" t="str">
        <f t="array" ref="AN193">IF(Q193=DGET(claves!$A$2:$AS423,Q$2,{claves!$A$2;$E193}),1,0)</f>
        <v>#VALUE!</v>
      </c>
      <c r="AO193" s="436" t="str">
        <f t="array" ref="AO193">IF(R193=DGET(claves!$A$2:$AS423,R$2,{claves!$A$2;$E193}),1,0)</f>
        <v>#VALUE!</v>
      </c>
      <c r="AP193" s="436" t="str">
        <f t="array" ref="AP193">IF(S193=DGET(claves!$A$2:$AS423,S$2,{claves!$A$2;$E193}),1,0)</f>
        <v>#VALUE!</v>
      </c>
      <c r="AQ193" s="436" t="str">
        <f t="array" ref="AQ193">IF(T193=DGET(claves!$A$2:$AS423,T$2,{claves!$A$2;$E193}),1,0)</f>
        <v>#VALUE!</v>
      </c>
      <c r="AR193" s="436" t="str">
        <f t="array" ref="AR193">IF(U193=DGET(claves!$A$2:$AS423,U$2,{claves!$A$2;$E193}),1,0)</f>
        <v>#VALUE!</v>
      </c>
      <c r="AS193" s="436" t="str">
        <f t="array" ref="AS193">IF(V193=DGET(claves!$A$2:$AS423,V$2,{claves!$A$2;$E193}),1,0)</f>
        <v>#VALUE!</v>
      </c>
      <c r="AT193" s="436" t="str">
        <f t="array" ref="AT193">IF(W193=DGET(claves!$A$2:$AS423,W$2,{claves!$A$2;$E193}),1,0)</f>
        <v>#VALUE!</v>
      </c>
      <c r="AU193" s="436" t="str">
        <f t="array" ref="AU193">IF(X193=DGET(claves!$A$2:$AS423,X$2,{claves!$A$2;$E193}),1,0)</f>
        <v>#VALUE!</v>
      </c>
      <c r="AV193" s="436" t="str">
        <f t="array" ref="AV193">IF(Y193=DGET(claves!$A$2:$AS423,Y$2,{claves!$A$2;$E193}),1,0)</f>
        <v>#VALUE!</v>
      </c>
      <c r="AW193" s="436" t="str">
        <f t="array" ref="AW193">IF(Z193=DGET(claves!$A$2:$AS423,Z$2,{claves!$A$2;$E193}),1,0)</f>
        <v>#VALUE!</v>
      </c>
      <c r="AX193" s="436" t="str">
        <f t="array" ref="AX193">IF(AA193=DGET(claves!$A$2:$AS423,AA$2,{claves!$A$2;$E193}),1,0)</f>
        <v>#VALUE!</v>
      </c>
      <c r="AY193" s="436" t="str">
        <f t="array" ref="AY193">IF(AB193=DGET(claves!$A$2:$AS423,AB$2,{claves!$A$2;$E193}),1,0)</f>
        <v>#VALUE!</v>
      </c>
      <c r="AZ193" s="436" t="str">
        <f t="array" ref="AZ193">IF(AC193=DGET(claves!$A$2:$AS423,AC$2,{claves!$A$2;$E193}),1,0)</f>
        <v>#VALUE!</v>
      </c>
      <c r="BA193" s="436" t="str">
        <f t="array" ref="BA193">IF(AD193=DGET(claves!$A$2:$AS423,AD$2,{claves!$A$2;$E193}),1,0)</f>
        <v>#VALUE!</v>
      </c>
      <c r="BB193" s="436" t="str">
        <f t="array" ref="BB193">IF(AE193=DGET(claves!$A$2:$AS423,AE$2,{claves!$A$2;$E193}),1,0)</f>
        <v>#VALUE!</v>
      </c>
      <c r="BC193" s="436" t="str">
        <f t="array" ref="BC193">IF(AF193=DGET(claves!$A$2:$AS423,AF$2,{claves!$A$2;$E193}),1,0)</f>
        <v>#VALUE!</v>
      </c>
      <c r="BD193" s="437" t="str">
        <f t="shared" si="1"/>
        <v>#VALUE!</v>
      </c>
      <c r="BE193" s="435"/>
      <c r="BF193" s="415"/>
    </row>
    <row r="194" ht="14.25" customHeight="1">
      <c r="A194" s="408">
        <v>192.0</v>
      </c>
      <c r="B194" s="153" t="s">
        <v>224</v>
      </c>
      <c r="C194" s="153">
        <v>2024.0</v>
      </c>
      <c r="D194" s="77" t="s">
        <v>1817</v>
      </c>
      <c r="E194" s="409" t="str">
        <f>IFERROR(__xludf.DUMMYFUNCTION("ARRAYFORMULA(JOIN("""", ARRAYFORMULA(MID(SPLIT(F194, "" ""), 1, 1))))
&amp;""/""&amp;G194"),"CLQ/6 Primaria")</f>
        <v>CLQ/6 Primaria</v>
      </c>
      <c r="F194" s="77" t="s">
        <v>1827</v>
      </c>
      <c r="G194" s="432" t="s">
        <v>22</v>
      </c>
      <c r="H194" s="433" t="s">
        <v>1744</v>
      </c>
      <c r="I194" s="433" t="s">
        <v>1846</v>
      </c>
      <c r="J194" s="433" t="s">
        <v>1847</v>
      </c>
      <c r="K194" s="432" t="s">
        <v>1665</v>
      </c>
      <c r="L194" s="415"/>
      <c r="M194" s="434" t="s">
        <v>1659</v>
      </c>
      <c r="N194" s="434" t="s">
        <v>1661</v>
      </c>
      <c r="O194" s="434" t="s">
        <v>1689</v>
      </c>
      <c r="P194" s="434" t="s">
        <v>1659</v>
      </c>
      <c r="Q194" s="434" t="s">
        <v>1661</v>
      </c>
      <c r="R194" s="434" t="s">
        <v>1659</v>
      </c>
      <c r="S194" s="434" t="s">
        <v>1661</v>
      </c>
      <c r="T194" s="434" t="s">
        <v>1661</v>
      </c>
      <c r="U194" s="434" t="s">
        <v>1661</v>
      </c>
      <c r="V194" s="434" t="s">
        <v>1659</v>
      </c>
      <c r="W194" s="434" t="s">
        <v>1661</v>
      </c>
      <c r="X194" s="434" t="s">
        <v>1659</v>
      </c>
      <c r="Y194" s="434" t="s">
        <v>1661</v>
      </c>
      <c r="Z194" s="434" t="s">
        <v>1659</v>
      </c>
      <c r="AA194" s="434" t="s">
        <v>1660</v>
      </c>
      <c r="AB194" s="434" t="s">
        <v>1659</v>
      </c>
      <c r="AC194" s="434" t="s">
        <v>1659</v>
      </c>
      <c r="AD194" s="434" t="s">
        <v>1660</v>
      </c>
      <c r="AE194" s="434" t="s">
        <v>1661</v>
      </c>
      <c r="AF194" s="434" t="s">
        <v>1689</v>
      </c>
      <c r="AG194" s="427">
        <v>11.0</v>
      </c>
      <c r="AH194" s="435" t="s">
        <v>24</v>
      </c>
      <c r="AI194" s="415"/>
      <c r="AJ194" s="436" t="str">
        <f t="array" ref="AJ194">IF(M194=DGET(claves!$A$2:$AS423,M$2,{claves!$A$2;$E194}),1,0)</f>
        <v>#VALUE!</v>
      </c>
      <c r="AK194" s="436" t="str">
        <f t="array" ref="AK194">IF(N194=DGET(claves!$A$2:$AS423,N$2,{claves!$A$2;$E194}),1,0)</f>
        <v>#VALUE!</v>
      </c>
      <c r="AL194" s="436" t="str">
        <f t="array" ref="AL194">IF(O194=DGET(claves!$A$2:$AS423,O$2,{claves!$A$2;$E194}),1,0)</f>
        <v>#VALUE!</v>
      </c>
      <c r="AM194" s="436" t="str">
        <f t="array" ref="AM194">IF(P194=DGET(claves!$A$2:$AS423,P$2,{claves!$A$2;$E194}),1,0)</f>
        <v>#VALUE!</v>
      </c>
      <c r="AN194" s="436" t="str">
        <f t="array" ref="AN194">IF(Q194=DGET(claves!$A$2:$AS423,Q$2,{claves!$A$2;$E194}),1,0)</f>
        <v>#VALUE!</v>
      </c>
      <c r="AO194" s="436" t="str">
        <f t="array" ref="AO194">IF(R194=DGET(claves!$A$2:$AS423,R$2,{claves!$A$2;$E194}),1,0)</f>
        <v>#VALUE!</v>
      </c>
      <c r="AP194" s="436" t="str">
        <f t="array" ref="AP194">IF(S194=DGET(claves!$A$2:$AS423,S$2,{claves!$A$2;$E194}),1,0)</f>
        <v>#VALUE!</v>
      </c>
      <c r="AQ194" s="436" t="str">
        <f t="array" ref="AQ194">IF(T194=DGET(claves!$A$2:$AS423,T$2,{claves!$A$2;$E194}),1,0)</f>
        <v>#VALUE!</v>
      </c>
      <c r="AR194" s="436" t="str">
        <f t="array" ref="AR194">IF(U194=DGET(claves!$A$2:$AS423,U$2,{claves!$A$2;$E194}),1,0)</f>
        <v>#VALUE!</v>
      </c>
      <c r="AS194" s="436" t="str">
        <f t="array" ref="AS194">IF(V194=DGET(claves!$A$2:$AS423,V$2,{claves!$A$2;$E194}),1,0)</f>
        <v>#VALUE!</v>
      </c>
      <c r="AT194" s="436" t="str">
        <f t="array" ref="AT194">IF(W194=DGET(claves!$A$2:$AS423,W$2,{claves!$A$2;$E194}),1,0)</f>
        <v>#VALUE!</v>
      </c>
      <c r="AU194" s="436" t="str">
        <f t="array" ref="AU194">IF(X194=DGET(claves!$A$2:$AS423,X$2,{claves!$A$2;$E194}),1,0)</f>
        <v>#VALUE!</v>
      </c>
      <c r="AV194" s="436" t="str">
        <f t="array" ref="AV194">IF(Y194=DGET(claves!$A$2:$AS423,Y$2,{claves!$A$2;$E194}),1,0)</f>
        <v>#VALUE!</v>
      </c>
      <c r="AW194" s="436" t="str">
        <f t="array" ref="AW194">IF(Z194=DGET(claves!$A$2:$AS423,Z$2,{claves!$A$2;$E194}),1,0)</f>
        <v>#VALUE!</v>
      </c>
      <c r="AX194" s="436" t="str">
        <f t="array" ref="AX194">IF(AA194=DGET(claves!$A$2:$AS423,AA$2,{claves!$A$2;$E194}),1,0)</f>
        <v>#VALUE!</v>
      </c>
      <c r="AY194" s="436" t="str">
        <f t="array" ref="AY194">IF(AB194=DGET(claves!$A$2:$AS423,AB$2,{claves!$A$2;$E194}),1,0)</f>
        <v>#VALUE!</v>
      </c>
      <c r="AZ194" s="436" t="str">
        <f t="array" ref="AZ194">IF(AC194=DGET(claves!$A$2:$AS423,AC$2,{claves!$A$2;$E194}),1,0)</f>
        <v>#VALUE!</v>
      </c>
      <c r="BA194" s="436" t="str">
        <f t="array" ref="BA194">IF(AD194=DGET(claves!$A$2:$AS423,AD$2,{claves!$A$2;$E194}),1,0)</f>
        <v>#VALUE!</v>
      </c>
      <c r="BB194" s="436" t="str">
        <f t="array" ref="BB194">IF(AE194=DGET(claves!$A$2:$AS423,AE$2,{claves!$A$2;$E194}),1,0)</f>
        <v>#VALUE!</v>
      </c>
      <c r="BC194" s="436" t="str">
        <f t="array" ref="BC194">IF(AF194=DGET(claves!$A$2:$AS423,AF$2,{claves!$A$2;$E194}),1,0)</f>
        <v>#VALUE!</v>
      </c>
      <c r="BD194" s="437" t="str">
        <f t="shared" si="1"/>
        <v>#VALUE!</v>
      </c>
      <c r="BE194" s="435"/>
      <c r="BF194" s="415"/>
    </row>
    <row r="195" ht="14.25" customHeight="1">
      <c r="A195" s="408">
        <v>193.0</v>
      </c>
      <c r="B195" s="153" t="s">
        <v>224</v>
      </c>
      <c r="C195" s="153">
        <v>2024.0</v>
      </c>
      <c r="D195" s="77" t="s">
        <v>1817</v>
      </c>
      <c r="E195" s="409" t="str">
        <f>IFERROR(__xludf.DUMMYFUNCTION("ARRAYFORMULA(JOIN("""", ARRAYFORMULA(MID(SPLIT(F195, "" ""), 1, 1))))
&amp;""/""&amp;G195"),"CLQ/6 Primaria")</f>
        <v>CLQ/6 Primaria</v>
      </c>
      <c r="F195" s="77" t="s">
        <v>1827</v>
      </c>
      <c r="G195" s="432" t="s">
        <v>22</v>
      </c>
      <c r="H195" s="433" t="s">
        <v>1848</v>
      </c>
      <c r="I195" s="433" t="s">
        <v>1684</v>
      </c>
      <c r="J195" s="433" t="s">
        <v>1849</v>
      </c>
      <c r="K195" s="433" t="s">
        <v>1658</v>
      </c>
      <c r="L195" s="415"/>
      <c r="M195" s="434" t="s">
        <v>1659</v>
      </c>
      <c r="N195" s="434" t="s">
        <v>1661</v>
      </c>
      <c r="O195" s="434" t="s">
        <v>1689</v>
      </c>
      <c r="P195" s="434" t="s">
        <v>1659</v>
      </c>
      <c r="Q195" s="434" t="s">
        <v>1661</v>
      </c>
      <c r="R195" s="434" t="s">
        <v>1659</v>
      </c>
      <c r="S195" s="434" t="s">
        <v>1661</v>
      </c>
      <c r="T195" s="434" t="s">
        <v>1659</v>
      </c>
      <c r="U195" s="434" t="s">
        <v>1661</v>
      </c>
      <c r="V195" s="434" t="s">
        <v>1659</v>
      </c>
      <c r="W195" s="434" t="s">
        <v>1661</v>
      </c>
      <c r="X195" s="434" t="s">
        <v>1659</v>
      </c>
      <c r="Y195" s="434" t="s">
        <v>1661</v>
      </c>
      <c r="Z195" s="434" t="s">
        <v>1659</v>
      </c>
      <c r="AA195" s="434" t="s">
        <v>1661</v>
      </c>
      <c r="AB195" s="434" t="s">
        <v>1659</v>
      </c>
      <c r="AC195" s="434" t="s">
        <v>1659</v>
      </c>
      <c r="AD195" s="434" t="s">
        <v>1660</v>
      </c>
      <c r="AE195" s="434" t="s">
        <v>1661</v>
      </c>
      <c r="AF195" s="434" t="s">
        <v>1689</v>
      </c>
      <c r="AG195" s="427">
        <v>9.0</v>
      </c>
      <c r="AH195" s="435" t="s">
        <v>18</v>
      </c>
      <c r="AI195" s="415"/>
      <c r="AJ195" s="436" t="str">
        <f t="array" ref="AJ195">IF(M195=DGET(claves!$A$2:$AS423,M$2,{claves!$A$2;$E195}),1,0)</f>
        <v>#VALUE!</v>
      </c>
      <c r="AK195" s="436" t="str">
        <f t="array" ref="AK195">IF(N195=DGET(claves!$A$2:$AS423,N$2,{claves!$A$2;$E195}),1,0)</f>
        <v>#VALUE!</v>
      </c>
      <c r="AL195" s="436" t="str">
        <f t="array" ref="AL195">IF(O195=DGET(claves!$A$2:$AS423,O$2,{claves!$A$2;$E195}),1,0)</f>
        <v>#VALUE!</v>
      </c>
      <c r="AM195" s="436" t="str">
        <f t="array" ref="AM195">IF(P195=DGET(claves!$A$2:$AS423,P$2,{claves!$A$2;$E195}),1,0)</f>
        <v>#VALUE!</v>
      </c>
      <c r="AN195" s="436" t="str">
        <f t="array" ref="AN195">IF(Q195=DGET(claves!$A$2:$AS423,Q$2,{claves!$A$2;$E195}),1,0)</f>
        <v>#VALUE!</v>
      </c>
      <c r="AO195" s="436" t="str">
        <f t="array" ref="AO195">IF(R195=DGET(claves!$A$2:$AS423,R$2,{claves!$A$2;$E195}),1,0)</f>
        <v>#VALUE!</v>
      </c>
      <c r="AP195" s="436" t="str">
        <f t="array" ref="AP195">IF(S195=DGET(claves!$A$2:$AS423,S$2,{claves!$A$2;$E195}),1,0)</f>
        <v>#VALUE!</v>
      </c>
      <c r="AQ195" s="436" t="str">
        <f t="array" ref="AQ195">IF(T195=DGET(claves!$A$2:$AS423,T$2,{claves!$A$2;$E195}),1,0)</f>
        <v>#VALUE!</v>
      </c>
      <c r="AR195" s="436" t="str">
        <f t="array" ref="AR195">IF(U195=DGET(claves!$A$2:$AS423,U$2,{claves!$A$2;$E195}),1,0)</f>
        <v>#VALUE!</v>
      </c>
      <c r="AS195" s="436" t="str">
        <f t="array" ref="AS195">IF(V195=DGET(claves!$A$2:$AS423,V$2,{claves!$A$2;$E195}),1,0)</f>
        <v>#VALUE!</v>
      </c>
      <c r="AT195" s="436" t="str">
        <f t="array" ref="AT195">IF(W195=DGET(claves!$A$2:$AS423,W$2,{claves!$A$2;$E195}),1,0)</f>
        <v>#VALUE!</v>
      </c>
      <c r="AU195" s="436" t="str">
        <f t="array" ref="AU195">IF(X195=DGET(claves!$A$2:$AS423,X$2,{claves!$A$2;$E195}),1,0)</f>
        <v>#VALUE!</v>
      </c>
      <c r="AV195" s="436" t="str">
        <f t="array" ref="AV195">IF(Y195=DGET(claves!$A$2:$AS423,Y$2,{claves!$A$2;$E195}),1,0)</f>
        <v>#VALUE!</v>
      </c>
      <c r="AW195" s="436" t="str">
        <f t="array" ref="AW195">IF(Z195=DGET(claves!$A$2:$AS423,Z$2,{claves!$A$2;$E195}),1,0)</f>
        <v>#VALUE!</v>
      </c>
      <c r="AX195" s="436" t="str">
        <f t="array" ref="AX195">IF(AA195=DGET(claves!$A$2:$AS423,AA$2,{claves!$A$2;$E195}),1,0)</f>
        <v>#VALUE!</v>
      </c>
      <c r="AY195" s="436" t="str">
        <f t="array" ref="AY195">IF(AB195=DGET(claves!$A$2:$AS423,AB$2,{claves!$A$2;$E195}),1,0)</f>
        <v>#VALUE!</v>
      </c>
      <c r="AZ195" s="436" t="str">
        <f t="array" ref="AZ195">IF(AC195=DGET(claves!$A$2:$AS423,AC$2,{claves!$A$2;$E195}),1,0)</f>
        <v>#VALUE!</v>
      </c>
      <c r="BA195" s="436" t="str">
        <f t="array" ref="BA195">IF(AD195=DGET(claves!$A$2:$AS423,AD$2,{claves!$A$2;$E195}),1,0)</f>
        <v>#VALUE!</v>
      </c>
      <c r="BB195" s="436" t="str">
        <f t="array" ref="BB195">IF(AE195=DGET(claves!$A$2:$AS423,AE$2,{claves!$A$2;$E195}),1,0)</f>
        <v>#VALUE!</v>
      </c>
      <c r="BC195" s="436" t="str">
        <f t="array" ref="BC195">IF(AF195=DGET(claves!$A$2:$AS423,AF$2,{claves!$A$2;$E195}),1,0)</f>
        <v>#VALUE!</v>
      </c>
      <c r="BD195" s="437" t="str">
        <f t="shared" si="1"/>
        <v>#VALUE!</v>
      </c>
      <c r="BE195" s="435"/>
      <c r="BF195" s="415"/>
    </row>
    <row r="196" ht="14.25" customHeight="1">
      <c r="A196" s="408">
        <v>194.0</v>
      </c>
      <c r="B196" s="153" t="s">
        <v>224</v>
      </c>
      <c r="C196" s="153">
        <v>2024.0</v>
      </c>
      <c r="D196" s="77" t="s">
        <v>1817</v>
      </c>
      <c r="E196" s="409" t="str">
        <f>IFERROR(__xludf.DUMMYFUNCTION("ARRAYFORMULA(JOIN("""", ARRAYFORMULA(MID(SPLIT(F196, "" ""), 1, 1))))
&amp;""/""&amp;G196"),"CLQ/6 Primaria")</f>
        <v>CLQ/6 Primaria</v>
      </c>
      <c r="F196" s="77" t="s">
        <v>1827</v>
      </c>
      <c r="G196" s="432" t="s">
        <v>22</v>
      </c>
      <c r="H196" s="433" t="s">
        <v>1684</v>
      </c>
      <c r="I196" s="433" t="s">
        <v>1728</v>
      </c>
      <c r="J196" s="433" t="s">
        <v>1850</v>
      </c>
      <c r="K196" s="433" t="s">
        <v>1658</v>
      </c>
      <c r="L196" s="415"/>
      <c r="M196" s="434" t="s">
        <v>1659</v>
      </c>
      <c r="N196" s="434" t="s">
        <v>1661</v>
      </c>
      <c r="O196" s="434" t="s">
        <v>1689</v>
      </c>
      <c r="P196" s="434" t="s">
        <v>1659</v>
      </c>
      <c r="Q196" s="434" t="s">
        <v>1661</v>
      </c>
      <c r="R196" s="434" t="s">
        <v>1659</v>
      </c>
      <c r="S196" s="434" t="s">
        <v>1661</v>
      </c>
      <c r="T196" s="434" t="s">
        <v>1659</v>
      </c>
      <c r="U196" s="434" t="s">
        <v>1661</v>
      </c>
      <c r="V196" s="434" t="s">
        <v>1659</v>
      </c>
      <c r="W196" s="434" t="s">
        <v>1661</v>
      </c>
      <c r="X196" s="434" t="s">
        <v>1659</v>
      </c>
      <c r="Y196" s="434" t="s">
        <v>1661</v>
      </c>
      <c r="Z196" s="434" t="s">
        <v>1659</v>
      </c>
      <c r="AA196" s="434" t="s">
        <v>1661</v>
      </c>
      <c r="AB196" s="434" t="s">
        <v>1659</v>
      </c>
      <c r="AC196" s="434" t="s">
        <v>1661</v>
      </c>
      <c r="AD196" s="434" t="s">
        <v>1659</v>
      </c>
      <c r="AE196" s="434" t="s">
        <v>1661</v>
      </c>
      <c r="AF196" s="434" t="s">
        <v>1659</v>
      </c>
      <c r="AG196" s="427">
        <v>6.0</v>
      </c>
      <c r="AH196" s="435" t="s">
        <v>18</v>
      </c>
      <c r="AI196" s="415"/>
      <c r="AJ196" s="436" t="str">
        <f t="array" ref="AJ196">IF(M196=DGET(claves!$A$2:$AS423,M$2,{claves!$A$2;$E196}),1,0)</f>
        <v>#VALUE!</v>
      </c>
      <c r="AK196" s="436" t="str">
        <f t="array" ref="AK196">IF(N196=DGET(claves!$A$2:$AS423,N$2,{claves!$A$2;$E196}),1,0)</f>
        <v>#VALUE!</v>
      </c>
      <c r="AL196" s="436" t="str">
        <f t="array" ref="AL196">IF(O196=DGET(claves!$A$2:$AS423,O$2,{claves!$A$2;$E196}),1,0)</f>
        <v>#VALUE!</v>
      </c>
      <c r="AM196" s="436" t="str">
        <f t="array" ref="AM196">IF(P196=DGET(claves!$A$2:$AS423,P$2,{claves!$A$2;$E196}),1,0)</f>
        <v>#VALUE!</v>
      </c>
      <c r="AN196" s="436" t="str">
        <f t="array" ref="AN196">IF(Q196=DGET(claves!$A$2:$AS423,Q$2,{claves!$A$2;$E196}),1,0)</f>
        <v>#VALUE!</v>
      </c>
      <c r="AO196" s="436" t="str">
        <f t="array" ref="AO196">IF(R196=DGET(claves!$A$2:$AS423,R$2,{claves!$A$2;$E196}),1,0)</f>
        <v>#VALUE!</v>
      </c>
      <c r="AP196" s="436" t="str">
        <f t="array" ref="AP196">IF(S196=DGET(claves!$A$2:$AS423,S$2,{claves!$A$2;$E196}),1,0)</f>
        <v>#VALUE!</v>
      </c>
      <c r="AQ196" s="436" t="str">
        <f t="array" ref="AQ196">IF(T196=DGET(claves!$A$2:$AS423,T$2,{claves!$A$2;$E196}),1,0)</f>
        <v>#VALUE!</v>
      </c>
      <c r="AR196" s="436" t="str">
        <f t="array" ref="AR196">IF(U196=DGET(claves!$A$2:$AS423,U$2,{claves!$A$2;$E196}),1,0)</f>
        <v>#VALUE!</v>
      </c>
      <c r="AS196" s="436" t="str">
        <f t="array" ref="AS196">IF(V196=DGET(claves!$A$2:$AS423,V$2,{claves!$A$2;$E196}),1,0)</f>
        <v>#VALUE!</v>
      </c>
      <c r="AT196" s="436" t="str">
        <f t="array" ref="AT196">IF(W196=DGET(claves!$A$2:$AS423,W$2,{claves!$A$2;$E196}),1,0)</f>
        <v>#VALUE!</v>
      </c>
      <c r="AU196" s="436" t="str">
        <f t="array" ref="AU196">IF(X196=DGET(claves!$A$2:$AS423,X$2,{claves!$A$2;$E196}),1,0)</f>
        <v>#VALUE!</v>
      </c>
      <c r="AV196" s="436" t="str">
        <f t="array" ref="AV196">IF(Y196=DGET(claves!$A$2:$AS423,Y$2,{claves!$A$2;$E196}),1,0)</f>
        <v>#VALUE!</v>
      </c>
      <c r="AW196" s="436" t="str">
        <f t="array" ref="AW196">IF(Z196=DGET(claves!$A$2:$AS423,Z$2,{claves!$A$2;$E196}),1,0)</f>
        <v>#VALUE!</v>
      </c>
      <c r="AX196" s="436" t="str">
        <f t="array" ref="AX196">IF(AA196=DGET(claves!$A$2:$AS423,AA$2,{claves!$A$2;$E196}),1,0)</f>
        <v>#VALUE!</v>
      </c>
      <c r="AY196" s="436" t="str">
        <f t="array" ref="AY196">IF(AB196=DGET(claves!$A$2:$AS423,AB$2,{claves!$A$2;$E196}),1,0)</f>
        <v>#VALUE!</v>
      </c>
      <c r="AZ196" s="436" t="str">
        <f t="array" ref="AZ196">IF(AC196=DGET(claves!$A$2:$AS423,AC$2,{claves!$A$2;$E196}),1,0)</f>
        <v>#VALUE!</v>
      </c>
      <c r="BA196" s="436" t="str">
        <f t="array" ref="BA196">IF(AD196=DGET(claves!$A$2:$AS423,AD$2,{claves!$A$2;$E196}),1,0)</f>
        <v>#VALUE!</v>
      </c>
      <c r="BB196" s="436" t="str">
        <f t="array" ref="BB196">IF(AE196=DGET(claves!$A$2:$AS423,AE$2,{claves!$A$2;$E196}),1,0)</f>
        <v>#VALUE!</v>
      </c>
      <c r="BC196" s="436" t="str">
        <f t="array" ref="BC196">IF(AF196=DGET(claves!$A$2:$AS423,AF$2,{claves!$A$2;$E196}),1,0)</f>
        <v>#VALUE!</v>
      </c>
      <c r="BD196" s="437" t="str">
        <f t="shared" si="1"/>
        <v>#VALUE!</v>
      </c>
      <c r="BE196" s="435"/>
      <c r="BF196" s="415"/>
    </row>
    <row r="197" ht="14.25" customHeight="1">
      <c r="A197" s="408">
        <v>195.0</v>
      </c>
      <c r="B197" s="153" t="s">
        <v>1851</v>
      </c>
      <c r="C197" s="153">
        <v>2024.0</v>
      </c>
      <c r="D197" s="77" t="s">
        <v>1817</v>
      </c>
      <c r="E197" s="409" t="str">
        <f>IFERROR(__xludf.DUMMYFUNCTION("ARRAYFORMULA(JOIN("""", ARRAYFORMULA(MID(SPLIT(F197, "" ""), 1, 1))))
&amp;""/""&amp;G197"),"CLQ/2 Primaria")</f>
        <v>CLQ/2 Primaria</v>
      </c>
      <c r="F197" s="77" t="s">
        <v>1827</v>
      </c>
      <c r="G197" s="432" t="s">
        <v>15</v>
      </c>
      <c r="H197" s="433" t="s">
        <v>1746</v>
      </c>
      <c r="I197" s="433" t="s">
        <v>1771</v>
      </c>
      <c r="J197" s="433" t="s">
        <v>1852</v>
      </c>
      <c r="K197" s="433" t="s">
        <v>1658</v>
      </c>
      <c r="L197" s="415"/>
      <c r="M197" s="434" t="s">
        <v>1825</v>
      </c>
      <c r="N197" s="434" t="s">
        <v>1826</v>
      </c>
      <c r="O197" s="434" t="s">
        <v>1826</v>
      </c>
      <c r="P197" s="434" t="s">
        <v>1825</v>
      </c>
      <c r="Q197" s="434" t="s">
        <v>1825</v>
      </c>
      <c r="R197" s="434" t="s">
        <v>1660</v>
      </c>
      <c r="S197" s="434" t="s">
        <v>1826</v>
      </c>
      <c r="T197" s="434" t="s">
        <v>1660</v>
      </c>
      <c r="U197" s="434" t="s">
        <v>1825</v>
      </c>
      <c r="V197" s="434" t="s">
        <v>1826</v>
      </c>
      <c r="W197" s="434" t="s">
        <v>1825</v>
      </c>
      <c r="X197" s="434" t="s">
        <v>1826</v>
      </c>
      <c r="Y197" s="434" t="s">
        <v>1826</v>
      </c>
      <c r="Z197" s="434" t="s">
        <v>1660</v>
      </c>
      <c r="AA197" s="434" t="s">
        <v>1660</v>
      </c>
      <c r="AB197" s="434" t="s">
        <v>1825</v>
      </c>
      <c r="AC197" s="434" t="s">
        <v>1825</v>
      </c>
      <c r="AD197" s="434" t="s">
        <v>1660</v>
      </c>
      <c r="AE197" s="434" t="s">
        <v>1825</v>
      </c>
      <c r="AF197" s="434" t="s">
        <v>1660</v>
      </c>
      <c r="AG197" s="427">
        <v>14.0</v>
      </c>
      <c r="AH197" s="435" t="s">
        <v>24</v>
      </c>
      <c r="AI197" s="415"/>
      <c r="AJ197" s="436" t="str">
        <f t="array" ref="AJ197">IF(M197=DGET(claves!$A$2:$AS423,M$2,{claves!$A$2;$E197}),1,0)</f>
        <v>#VALUE!</v>
      </c>
      <c r="AK197" s="436" t="str">
        <f t="array" ref="AK197">IF(N197=DGET(claves!$A$2:$AS423,N$2,{claves!$A$2;$E197}),1,0)</f>
        <v>#VALUE!</v>
      </c>
      <c r="AL197" s="436" t="str">
        <f t="array" ref="AL197">IF(O197=DGET(claves!$A$2:$AS423,O$2,{claves!$A$2;$E197}),1,0)</f>
        <v>#VALUE!</v>
      </c>
      <c r="AM197" s="436" t="str">
        <f t="array" ref="AM197">IF(P197=DGET(claves!$A$2:$AS423,P$2,{claves!$A$2;$E197}),1,0)</f>
        <v>#VALUE!</v>
      </c>
      <c r="AN197" s="436" t="str">
        <f t="array" ref="AN197">IF(Q197=DGET(claves!$A$2:$AS423,Q$2,{claves!$A$2;$E197}),1,0)</f>
        <v>#VALUE!</v>
      </c>
      <c r="AO197" s="436" t="str">
        <f t="array" ref="AO197">IF(R197=DGET(claves!$A$2:$AS423,R$2,{claves!$A$2;$E197}),1,0)</f>
        <v>#VALUE!</v>
      </c>
      <c r="AP197" s="436" t="str">
        <f t="array" ref="AP197">IF(S197=DGET(claves!$A$2:$AS423,S$2,{claves!$A$2;$E197}),1,0)</f>
        <v>#VALUE!</v>
      </c>
      <c r="AQ197" s="436" t="str">
        <f t="array" ref="AQ197">IF(T197=DGET(claves!$A$2:$AS423,T$2,{claves!$A$2;$E197}),1,0)</f>
        <v>#VALUE!</v>
      </c>
      <c r="AR197" s="436" t="str">
        <f t="array" ref="AR197">IF(U197=DGET(claves!$A$2:$AS423,U$2,{claves!$A$2;$E197}),1,0)</f>
        <v>#VALUE!</v>
      </c>
      <c r="AS197" s="436" t="str">
        <f t="array" ref="AS197">IF(V197=DGET(claves!$A$2:$AS423,V$2,{claves!$A$2;$E197}),1,0)</f>
        <v>#VALUE!</v>
      </c>
      <c r="AT197" s="436" t="str">
        <f t="array" ref="AT197">IF(W197=DGET(claves!$A$2:$AS423,W$2,{claves!$A$2;$E197}),1,0)</f>
        <v>#VALUE!</v>
      </c>
      <c r="AU197" s="436" t="str">
        <f t="array" ref="AU197">IF(X197=DGET(claves!$A$2:$AS423,X$2,{claves!$A$2;$E197}),1,0)</f>
        <v>#VALUE!</v>
      </c>
      <c r="AV197" s="436" t="str">
        <f t="array" ref="AV197">IF(Y197=DGET(claves!$A$2:$AS423,Y$2,{claves!$A$2;$E197}),1,0)</f>
        <v>#VALUE!</v>
      </c>
      <c r="AW197" s="436" t="str">
        <f t="array" ref="AW197">IF(Z197=DGET(claves!$A$2:$AS423,Z$2,{claves!$A$2;$E197}),1,0)</f>
        <v>#VALUE!</v>
      </c>
      <c r="AX197" s="436" t="str">
        <f t="array" ref="AX197">IF(AA197=DGET(claves!$A$2:$AS423,AA$2,{claves!$A$2;$E197}),1,0)</f>
        <v>#VALUE!</v>
      </c>
      <c r="AY197" s="436" t="str">
        <f t="array" ref="AY197">IF(AB197=DGET(claves!$A$2:$AS423,AB$2,{claves!$A$2;$E197}),1,0)</f>
        <v>#VALUE!</v>
      </c>
      <c r="AZ197" s="436" t="str">
        <f t="array" ref="AZ197">IF(AC197=DGET(claves!$A$2:$AS423,AC$2,{claves!$A$2;$E197}),1,0)</f>
        <v>#VALUE!</v>
      </c>
      <c r="BA197" s="436" t="str">
        <f t="array" ref="BA197">IF(AD197=DGET(claves!$A$2:$AS423,AD$2,{claves!$A$2;$E197}),1,0)</f>
        <v>#VALUE!</v>
      </c>
      <c r="BB197" s="436" t="str">
        <f t="array" ref="BB197">IF(AE197=DGET(claves!$A$2:$AS423,AE$2,{claves!$A$2;$E197}),1,0)</f>
        <v>#VALUE!</v>
      </c>
      <c r="BC197" s="436" t="str">
        <f t="array" ref="BC197">IF(AF197=DGET(claves!$A$2:$AS423,AF$2,{claves!$A$2;$E197}),1,0)</f>
        <v>#VALUE!</v>
      </c>
      <c r="BD197" s="437" t="str">
        <f t="shared" si="1"/>
        <v>#VALUE!</v>
      </c>
      <c r="BE197" s="435"/>
      <c r="BF197" s="415"/>
    </row>
    <row r="198" ht="14.25" customHeight="1">
      <c r="A198" s="408">
        <v>196.0</v>
      </c>
      <c r="B198" s="153" t="s">
        <v>1851</v>
      </c>
      <c r="C198" s="153">
        <v>2024.0</v>
      </c>
      <c r="D198" s="77" t="s">
        <v>1817</v>
      </c>
      <c r="E198" s="409" t="str">
        <f>IFERROR(__xludf.DUMMYFUNCTION("ARRAYFORMULA(JOIN("""", ARRAYFORMULA(MID(SPLIT(F198, "" ""), 1, 1))))
&amp;""/""&amp;G198"),"CLQ/2 Primaria")</f>
        <v>CLQ/2 Primaria</v>
      </c>
      <c r="F198" s="77" t="s">
        <v>1827</v>
      </c>
      <c r="G198" s="432" t="s">
        <v>15</v>
      </c>
      <c r="H198" s="433" t="s">
        <v>1853</v>
      </c>
      <c r="I198" s="433" t="s">
        <v>1854</v>
      </c>
      <c r="J198" s="433" t="s">
        <v>1855</v>
      </c>
      <c r="K198" s="432" t="s">
        <v>1665</v>
      </c>
      <c r="L198" s="415"/>
      <c r="M198" s="434" t="s">
        <v>1825</v>
      </c>
      <c r="N198" s="434" t="s">
        <v>1825</v>
      </c>
      <c r="O198" s="434" t="s">
        <v>1826</v>
      </c>
      <c r="P198" s="434" t="s">
        <v>1825</v>
      </c>
      <c r="Q198" s="434" t="s">
        <v>1825</v>
      </c>
      <c r="R198" s="434" t="s">
        <v>1826</v>
      </c>
      <c r="S198" s="434" t="s">
        <v>1826</v>
      </c>
      <c r="T198" s="434" t="s">
        <v>1660</v>
      </c>
      <c r="U198" s="434" t="s">
        <v>1825</v>
      </c>
      <c r="V198" s="434" t="s">
        <v>1826</v>
      </c>
      <c r="W198" s="434" t="s">
        <v>1825</v>
      </c>
      <c r="X198" s="434" t="s">
        <v>1825</v>
      </c>
      <c r="Y198" s="434" t="s">
        <v>1826</v>
      </c>
      <c r="Z198" s="434" t="s">
        <v>1660</v>
      </c>
      <c r="AA198" s="434" t="s">
        <v>1660</v>
      </c>
      <c r="AB198" s="434" t="s">
        <v>1825</v>
      </c>
      <c r="AC198" s="434" t="s">
        <v>1825</v>
      </c>
      <c r="AD198" s="434" t="s">
        <v>1660</v>
      </c>
      <c r="AE198" s="434" t="s">
        <v>1660</v>
      </c>
      <c r="AF198" s="434"/>
      <c r="AG198" s="427">
        <v>14.0</v>
      </c>
      <c r="AH198" s="435" t="s">
        <v>24</v>
      </c>
      <c r="AI198" s="415"/>
      <c r="AJ198" s="436" t="str">
        <f t="array" ref="AJ198">IF(M198=DGET(claves!$A$2:$AS423,M$2,{claves!$A$2;$E198}),1,0)</f>
        <v>#VALUE!</v>
      </c>
      <c r="AK198" s="436" t="str">
        <f t="array" ref="AK198">IF(N198=DGET(claves!$A$2:$AS423,N$2,{claves!$A$2;$E198}),1,0)</f>
        <v>#VALUE!</v>
      </c>
      <c r="AL198" s="436" t="str">
        <f t="array" ref="AL198">IF(O198=DGET(claves!$A$2:$AS423,O$2,{claves!$A$2;$E198}),1,0)</f>
        <v>#VALUE!</v>
      </c>
      <c r="AM198" s="436" t="str">
        <f t="array" ref="AM198">IF(P198=DGET(claves!$A$2:$AS423,P$2,{claves!$A$2;$E198}),1,0)</f>
        <v>#VALUE!</v>
      </c>
      <c r="AN198" s="436" t="str">
        <f t="array" ref="AN198">IF(Q198=DGET(claves!$A$2:$AS423,Q$2,{claves!$A$2;$E198}),1,0)</f>
        <v>#VALUE!</v>
      </c>
      <c r="AO198" s="436" t="str">
        <f t="array" ref="AO198">IF(R198=DGET(claves!$A$2:$AS423,R$2,{claves!$A$2;$E198}),1,0)</f>
        <v>#VALUE!</v>
      </c>
      <c r="AP198" s="436" t="str">
        <f t="array" ref="AP198">IF(S198=DGET(claves!$A$2:$AS423,S$2,{claves!$A$2;$E198}),1,0)</f>
        <v>#VALUE!</v>
      </c>
      <c r="AQ198" s="436" t="str">
        <f t="array" ref="AQ198">IF(T198=DGET(claves!$A$2:$AS423,T$2,{claves!$A$2;$E198}),1,0)</f>
        <v>#VALUE!</v>
      </c>
      <c r="AR198" s="436" t="str">
        <f t="array" ref="AR198">IF(U198=DGET(claves!$A$2:$AS423,U$2,{claves!$A$2;$E198}),1,0)</f>
        <v>#VALUE!</v>
      </c>
      <c r="AS198" s="436" t="str">
        <f t="array" ref="AS198">IF(V198=DGET(claves!$A$2:$AS423,V$2,{claves!$A$2;$E198}),1,0)</f>
        <v>#VALUE!</v>
      </c>
      <c r="AT198" s="436" t="str">
        <f t="array" ref="AT198">IF(W198=DGET(claves!$A$2:$AS423,W$2,{claves!$A$2;$E198}),1,0)</f>
        <v>#VALUE!</v>
      </c>
      <c r="AU198" s="436" t="str">
        <f t="array" ref="AU198">IF(X198=DGET(claves!$A$2:$AS423,X$2,{claves!$A$2;$E198}),1,0)</f>
        <v>#VALUE!</v>
      </c>
      <c r="AV198" s="436" t="str">
        <f t="array" ref="AV198">IF(Y198=DGET(claves!$A$2:$AS423,Y$2,{claves!$A$2;$E198}),1,0)</f>
        <v>#VALUE!</v>
      </c>
      <c r="AW198" s="436" t="str">
        <f t="array" ref="AW198">IF(Z198=DGET(claves!$A$2:$AS423,Z$2,{claves!$A$2;$E198}),1,0)</f>
        <v>#VALUE!</v>
      </c>
      <c r="AX198" s="436" t="str">
        <f t="array" ref="AX198">IF(AA198=DGET(claves!$A$2:$AS423,AA$2,{claves!$A$2;$E198}),1,0)</f>
        <v>#VALUE!</v>
      </c>
      <c r="AY198" s="436" t="str">
        <f t="array" ref="AY198">IF(AB198=DGET(claves!$A$2:$AS423,AB$2,{claves!$A$2;$E198}),1,0)</f>
        <v>#VALUE!</v>
      </c>
      <c r="AZ198" s="436" t="str">
        <f t="array" ref="AZ198">IF(AC198=DGET(claves!$A$2:$AS423,AC$2,{claves!$A$2;$E198}),1,0)</f>
        <v>#VALUE!</v>
      </c>
      <c r="BA198" s="436" t="str">
        <f t="array" ref="BA198">IF(AD198=DGET(claves!$A$2:$AS423,AD$2,{claves!$A$2;$E198}),1,0)</f>
        <v>#VALUE!</v>
      </c>
      <c r="BB198" s="436" t="str">
        <f t="array" ref="BB198">IF(AE198=DGET(claves!$A$2:$AS423,AE$2,{claves!$A$2;$E198}),1,0)</f>
        <v>#VALUE!</v>
      </c>
      <c r="BC198" s="436" t="str">
        <f t="array" ref="BC198">IF(AF198=DGET(claves!$A$2:$AS423,AF$2,{claves!$A$2;$E198}),1,0)</f>
        <v>#VALUE!</v>
      </c>
      <c r="BD198" s="437" t="str">
        <f t="shared" si="1"/>
        <v>#VALUE!</v>
      </c>
      <c r="BE198" s="435"/>
      <c r="BF198" s="415"/>
    </row>
    <row r="199" ht="14.25" customHeight="1">
      <c r="A199" s="408">
        <v>197.0</v>
      </c>
      <c r="B199" s="153" t="s">
        <v>1851</v>
      </c>
      <c r="C199" s="153">
        <v>2024.0</v>
      </c>
      <c r="D199" s="77" t="s">
        <v>1817</v>
      </c>
      <c r="E199" s="409" t="str">
        <f>IFERROR(__xludf.DUMMYFUNCTION("ARRAYFORMULA(JOIN("""", ARRAYFORMULA(MID(SPLIT(F199, "" ""), 1, 1))))
&amp;""/""&amp;G199"),"CLQ/2 Primaria")</f>
        <v>CLQ/2 Primaria</v>
      </c>
      <c r="F199" s="77" t="s">
        <v>1827</v>
      </c>
      <c r="G199" s="432" t="s">
        <v>15</v>
      </c>
      <c r="H199" s="433" t="s">
        <v>1856</v>
      </c>
      <c r="I199" s="433" t="s">
        <v>1857</v>
      </c>
      <c r="J199" s="433" t="s">
        <v>1858</v>
      </c>
      <c r="K199" s="433" t="s">
        <v>1658</v>
      </c>
      <c r="L199" s="415"/>
      <c r="M199" s="434" t="s">
        <v>1825</v>
      </c>
      <c r="N199" s="434" t="s">
        <v>1825</v>
      </c>
      <c r="O199" s="434" t="s">
        <v>1826</v>
      </c>
      <c r="P199" s="434" t="s">
        <v>1825</v>
      </c>
      <c r="Q199" s="434" t="s">
        <v>1825</v>
      </c>
      <c r="R199" s="434"/>
      <c r="S199" s="434" t="s">
        <v>1826</v>
      </c>
      <c r="T199" s="434" t="s">
        <v>1660</v>
      </c>
      <c r="U199" s="434" t="s">
        <v>1825</v>
      </c>
      <c r="V199" s="434" t="s">
        <v>1826</v>
      </c>
      <c r="W199" s="434" t="s">
        <v>1825</v>
      </c>
      <c r="X199" s="434" t="s">
        <v>1825</v>
      </c>
      <c r="Y199" s="434" t="s">
        <v>1825</v>
      </c>
      <c r="Z199" s="434" t="s">
        <v>1660</v>
      </c>
      <c r="AA199" s="434"/>
      <c r="AB199" s="434" t="s">
        <v>1825</v>
      </c>
      <c r="AC199" s="434" t="s">
        <v>1825</v>
      </c>
      <c r="AD199" s="434" t="s">
        <v>1660</v>
      </c>
      <c r="AE199" s="434" t="s">
        <v>1825</v>
      </c>
      <c r="AF199" s="434"/>
      <c r="AG199" s="427">
        <v>12.0</v>
      </c>
      <c r="AH199" s="435" t="s">
        <v>24</v>
      </c>
      <c r="AI199" s="415"/>
      <c r="AJ199" s="436" t="str">
        <f t="array" ref="AJ199">IF(M199=DGET(claves!$A$2:$AS423,M$2,{claves!$A$2;$E199}),1,0)</f>
        <v>#VALUE!</v>
      </c>
      <c r="AK199" s="436" t="str">
        <f t="array" ref="AK199">IF(N199=DGET(claves!$A$2:$AS423,N$2,{claves!$A$2;$E199}),1,0)</f>
        <v>#VALUE!</v>
      </c>
      <c r="AL199" s="436" t="str">
        <f t="array" ref="AL199">IF(O199=DGET(claves!$A$2:$AS423,O$2,{claves!$A$2;$E199}),1,0)</f>
        <v>#VALUE!</v>
      </c>
      <c r="AM199" s="436" t="str">
        <f t="array" ref="AM199">IF(P199=DGET(claves!$A$2:$AS423,P$2,{claves!$A$2;$E199}),1,0)</f>
        <v>#VALUE!</v>
      </c>
      <c r="AN199" s="436" t="str">
        <f t="array" ref="AN199">IF(Q199=DGET(claves!$A$2:$AS423,Q$2,{claves!$A$2;$E199}),1,0)</f>
        <v>#VALUE!</v>
      </c>
      <c r="AO199" s="436" t="str">
        <f t="array" ref="AO199">IF(R199=DGET(claves!$A$2:$AS423,R$2,{claves!$A$2;$E199}),1,0)</f>
        <v>#VALUE!</v>
      </c>
      <c r="AP199" s="436" t="str">
        <f t="array" ref="AP199">IF(S199=DGET(claves!$A$2:$AS423,S$2,{claves!$A$2;$E199}),1,0)</f>
        <v>#VALUE!</v>
      </c>
      <c r="AQ199" s="436" t="str">
        <f t="array" ref="AQ199">IF(T199=DGET(claves!$A$2:$AS423,T$2,{claves!$A$2;$E199}),1,0)</f>
        <v>#VALUE!</v>
      </c>
      <c r="AR199" s="436" t="str">
        <f t="array" ref="AR199">IF(U199=DGET(claves!$A$2:$AS423,U$2,{claves!$A$2;$E199}),1,0)</f>
        <v>#VALUE!</v>
      </c>
      <c r="AS199" s="436" t="str">
        <f t="array" ref="AS199">IF(V199=DGET(claves!$A$2:$AS423,V$2,{claves!$A$2;$E199}),1,0)</f>
        <v>#VALUE!</v>
      </c>
      <c r="AT199" s="436" t="str">
        <f t="array" ref="AT199">IF(W199=DGET(claves!$A$2:$AS423,W$2,{claves!$A$2;$E199}),1,0)</f>
        <v>#VALUE!</v>
      </c>
      <c r="AU199" s="436" t="str">
        <f t="array" ref="AU199">IF(X199=DGET(claves!$A$2:$AS423,X$2,{claves!$A$2;$E199}),1,0)</f>
        <v>#VALUE!</v>
      </c>
      <c r="AV199" s="436" t="str">
        <f t="array" ref="AV199">IF(Y199=DGET(claves!$A$2:$AS423,Y$2,{claves!$A$2;$E199}),1,0)</f>
        <v>#VALUE!</v>
      </c>
      <c r="AW199" s="436" t="str">
        <f t="array" ref="AW199">IF(Z199=DGET(claves!$A$2:$AS423,Z$2,{claves!$A$2;$E199}),1,0)</f>
        <v>#VALUE!</v>
      </c>
      <c r="AX199" s="436" t="str">
        <f t="array" ref="AX199">IF(AA199=DGET(claves!$A$2:$AS423,AA$2,{claves!$A$2;$E199}),1,0)</f>
        <v>#VALUE!</v>
      </c>
      <c r="AY199" s="436" t="str">
        <f t="array" ref="AY199">IF(AB199=DGET(claves!$A$2:$AS423,AB$2,{claves!$A$2;$E199}),1,0)</f>
        <v>#VALUE!</v>
      </c>
      <c r="AZ199" s="436" t="str">
        <f t="array" ref="AZ199">IF(AC199=DGET(claves!$A$2:$AS423,AC$2,{claves!$A$2;$E199}),1,0)</f>
        <v>#VALUE!</v>
      </c>
      <c r="BA199" s="436" t="str">
        <f t="array" ref="BA199">IF(AD199=DGET(claves!$A$2:$AS423,AD$2,{claves!$A$2;$E199}),1,0)</f>
        <v>#VALUE!</v>
      </c>
      <c r="BB199" s="436" t="str">
        <f t="array" ref="BB199">IF(AE199=DGET(claves!$A$2:$AS423,AE$2,{claves!$A$2;$E199}),1,0)</f>
        <v>#VALUE!</v>
      </c>
      <c r="BC199" s="436" t="str">
        <f t="array" ref="BC199">IF(AF199=DGET(claves!$A$2:$AS423,AF$2,{claves!$A$2;$E199}),1,0)</f>
        <v>#VALUE!</v>
      </c>
      <c r="BD199" s="437" t="str">
        <f t="shared" si="1"/>
        <v>#VALUE!</v>
      </c>
      <c r="BE199" s="435"/>
      <c r="BF199" s="415"/>
    </row>
    <row r="200" ht="14.25" customHeight="1">
      <c r="A200" s="408">
        <v>198.0</v>
      </c>
      <c r="B200" s="153" t="s">
        <v>1851</v>
      </c>
      <c r="C200" s="153">
        <v>2024.0</v>
      </c>
      <c r="D200" s="77" t="s">
        <v>1817</v>
      </c>
      <c r="E200" s="409" t="str">
        <f>IFERROR(__xludf.DUMMYFUNCTION("ARRAYFORMULA(JOIN("""", ARRAYFORMULA(MID(SPLIT(F200, "" ""), 1, 1))))
&amp;""/""&amp;G200"),"CLQ/4 Primaria")</f>
        <v>CLQ/4 Primaria</v>
      </c>
      <c r="F200" s="77" t="s">
        <v>1827</v>
      </c>
      <c r="G200" s="432" t="s">
        <v>20</v>
      </c>
      <c r="H200" s="433" t="s">
        <v>1761</v>
      </c>
      <c r="I200" s="433" t="s">
        <v>1708</v>
      </c>
      <c r="J200" s="433" t="s">
        <v>1859</v>
      </c>
      <c r="K200" s="433" t="s">
        <v>1658</v>
      </c>
      <c r="L200" s="415"/>
      <c r="M200" s="434" t="s">
        <v>1659</v>
      </c>
      <c r="N200" s="434" t="s">
        <v>1661</v>
      </c>
      <c r="O200" s="434" t="s">
        <v>1660</v>
      </c>
      <c r="P200" s="434" t="s">
        <v>1661</v>
      </c>
      <c r="Q200" s="434" t="s">
        <v>1689</v>
      </c>
      <c r="R200" s="434" t="s">
        <v>1660</v>
      </c>
      <c r="S200" s="434" t="s">
        <v>1660</v>
      </c>
      <c r="T200" s="434" t="s">
        <v>1661</v>
      </c>
      <c r="U200" s="434" t="s">
        <v>1689</v>
      </c>
      <c r="V200" s="434" t="s">
        <v>1661</v>
      </c>
      <c r="W200" s="434" t="s">
        <v>1689</v>
      </c>
      <c r="X200" s="434" t="s">
        <v>1660</v>
      </c>
      <c r="Y200" s="434" t="s">
        <v>1659</v>
      </c>
      <c r="Z200" s="434" t="s">
        <v>1659</v>
      </c>
      <c r="AA200" s="434" t="s">
        <v>1660</v>
      </c>
      <c r="AB200" s="434" t="s">
        <v>1689</v>
      </c>
      <c r="AC200" s="434" t="s">
        <v>1689</v>
      </c>
      <c r="AD200" s="434" t="s">
        <v>1689</v>
      </c>
      <c r="AE200" s="434" t="s">
        <v>1659</v>
      </c>
      <c r="AF200" s="434" t="s">
        <v>1659</v>
      </c>
      <c r="AG200" s="427">
        <v>12.0</v>
      </c>
      <c r="AH200" s="435" t="s">
        <v>24</v>
      </c>
      <c r="AI200" s="415"/>
      <c r="AJ200" s="436" t="str">
        <f t="array" ref="AJ200">IF(M200=DGET(claves!$A$2:$AS423,M$2,{claves!$A$2;$E200}),1,0)</f>
        <v>#VALUE!</v>
      </c>
      <c r="AK200" s="436" t="str">
        <f t="array" ref="AK200">IF(N200=DGET(claves!$A$2:$AS423,N$2,{claves!$A$2;$E200}),1,0)</f>
        <v>#VALUE!</v>
      </c>
      <c r="AL200" s="436" t="str">
        <f t="array" ref="AL200">IF(O200=DGET(claves!$A$2:$AS423,O$2,{claves!$A$2;$E200}),1,0)</f>
        <v>#VALUE!</v>
      </c>
      <c r="AM200" s="436" t="str">
        <f t="array" ref="AM200">IF(P200=DGET(claves!$A$2:$AS423,P$2,{claves!$A$2;$E200}),1,0)</f>
        <v>#VALUE!</v>
      </c>
      <c r="AN200" s="436" t="str">
        <f t="array" ref="AN200">IF(Q200=DGET(claves!$A$2:$AS423,Q$2,{claves!$A$2;$E200}),1,0)</f>
        <v>#VALUE!</v>
      </c>
      <c r="AO200" s="436" t="str">
        <f t="array" ref="AO200">IF(R200=DGET(claves!$A$2:$AS423,R$2,{claves!$A$2;$E200}),1,0)</f>
        <v>#VALUE!</v>
      </c>
      <c r="AP200" s="436" t="str">
        <f t="array" ref="AP200">IF(S200=DGET(claves!$A$2:$AS423,S$2,{claves!$A$2;$E200}),1,0)</f>
        <v>#VALUE!</v>
      </c>
      <c r="AQ200" s="436" t="str">
        <f t="array" ref="AQ200">IF(T200=DGET(claves!$A$2:$AS423,T$2,{claves!$A$2;$E200}),1,0)</f>
        <v>#VALUE!</v>
      </c>
      <c r="AR200" s="436" t="str">
        <f t="array" ref="AR200">IF(U200=DGET(claves!$A$2:$AS423,U$2,{claves!$A$2;$E200}),1,0)</f>
        <v>#VALUE!</v>
      </c>
      <c r="AS200" s="436" t="str">
        <f t="array" ref="AS200">IF(V200=DGET(claves!$A$2:$AS423,V$2,{claves!$A$2;$E200}),1,0)</f>
        <v>#VALUE!</v>
      </c>
      <c r="AT200" s="436" t="str">
        <f t="array" ref="AT200">IF(W200=DGET(claves!$A$2:$AS423,W$2,{claves!$A$2;$E200}),1,0)</f>
        <v>#VALUE!</v>
      </c>
      <c r="AU200" s="436" t="str">
        <f t="array" ref="AU200">IF(X200=DGET(claves!$A$2:$AS423,X$2,{claves!$A$2;$E200}),1,0)</f>
        <v>#VALUE!</v>
      </c>
      <c r="AV200" s="436" t="str">
        <f t="array" ref="AV200">IF(Y200=DGET(claves!$A$2:$AS423,Y$2,{claves!$A$2;$E200}),1,0)</f>
        <v>#VALUE!</v>
      </c>
      <c r="AW200" s="436" t="str">
        <f t="array" ref="AW200">IF(Z200=DGET(claves!$A$2:$AS423,Z$2,{claves!$A$2;$E200}),1,0)</f>
        <v>#VALUE!</v>
      </c>
      <c r="AX200" s="436" t="str">
        <f t="array" ref="AX200">IF(AA200=DGET(claves!$A$2:$AS423,AA$2,{claves!$A$2;$E200}),1,0)</f>
        <v>#VALUE!</v>
      </c>
      <c r="AY200" s="436" t="str">
        <f t="array" ref="AY200">IF(AB200=DGET(claves!$A$2:$AS423,AB$2,{claves!$A$2;$E200}),1,0)</f>
        <v>#VALUE!</v>
      </c>
      <c r="AZ200" s="436" t="str">
        <f t="array" ref="AZ200">IF(AC200=DGET(claves!$A$2:$AS423,AC$2,{claves!$A$2;$E200}),1,0)</f>
        <v>#VALUE!</v>
      </c>
      <c r="BA200" s="436" t="str">
        <f t="array" ref="BA200">IF(AD200=DGET(claves!$A$2:$AS423,AD$2,{claves!$A$2;$E200}),1,0)</f>
        <v>#VALUE!</v>
      </c>
      <c r="BB200" s="436" t="str">
        <f t="array" ref="BB200">IF(AE200=DGET(claves!$A$2:$AS423,AE$2,{claves!$A$2;$E200}),1,0)</f>
        <v>#VALUE!</v>
      </c>
      <c r="BC200" s="436" t="str">
        <f t="array" ref="BC200">IF(AF200=DGET(claves!$A$2:$AS423,AF$2,{claves!$A$2;$E200}),1,0)</f>
        <v>#VALUE!</v>
      </c>
      <c r="BD200" s="437" t="str">
        <f t="shared" si="1"/>
        <v>#VALUE!</v>
      </c>
      <c r="BE200" s="435"/>
      <c r="BF200" s="415"/>
    </row>
    <row r="201" ht="14.25" customHeight="1">
      <c r="A201" s="408">
        <v>199.0</v>
      </c>
      <c r="B201" s="153" t="s">
        <v>1851</v>
      </c>
      <c r="C201" s="153">
        <v>2024.0</v>
      </c>
      <c r="D201" s="77" t="s">
        <v>1817</v>
      </c>
      <c r="E201" s="409" t="str">
        <f>IFERROR(__xludf.DUMMYFUNCTION("ARRAYFORMULA(JOIN("""", ARRAYFORMULA(MID(SPLIT(F201, "" ""), 1, 1))))
&amp;""/""&amp;G201"),"CLQ/4 Primaria")</f>
        <v>CLQ/4 Primaria</v>
      </c>
      <c r="F201" s="77" t="s">
        <v>1827</v>
      </c>
      <c r="G201" s="432" t="s">
        <v>20</v>
      </c>
      <c r="H201" s="433" t="s">
        <v>1860</v>
      </c>
      <c r="I201" s="433" t="s">
        <v>1790</v>
      </c>
      <c r="J201" s="433" t="s">
        <v>1861</v>
      </c>
      <c r="K201" s="433" t="s">
        <v>1658</v>
      </c>
      <c r="L201" s="415"/>
      <c r="M201" s="434" t="s">
        <v>1659</v>
      </c>
      <c r="N201" s="434" t="s">
        <v>1661</v>
      </c>
      <c r="O201" s="434" t="s">
        <v>1660</v>
      </c>
      <c r="P201" s="434" t="s">
        <v>1659</v>
      </c>
      <c r="Q201" s="434" t="s">
        <v>1661</v>
      </c>
      <c r="R201" s="434" t="s">
        <v>1659</v>
      </c>
      <c r="S201" s="434" t="s">
        <v>1660</v>
      </c>
      <c r="T201" s="434" t="s">
        <v>1661</v>
      </c>
      <c r="U201" s="434" t="s">
        <v>1689</v>
      </c>
      <c r="V201" s="434" t="s">
        <v>1661</v>
      </c>
      <c r="W201" s="434" t="s">
        <v>1689</v>
      </c>
      <c r="X201" s="434" t="s">
        <v>1660</v>
      </c>
      <c r="Y201" s="434" t="s">
        <v>1659</v>
      </c>
      <c r="Z201" s="434" t="s">
        <v>1689</v>
      </c>
      <c r="AA201" s="434" t="s">
        <v>1661</v>
      </c>
      <c r="AB201" s="434" t="s">
        <v>1689</v>
      </c>
      <c r="AC201" s="434" t="s">
        <v>1661</v>
      </c>
      <c r="AD201" s="434" t="s">
        <v>1689</v>
      </c>
      <c r="AE201" s="434" t="s">
        <v>1659</v>
      </c>
      <c r="AF201" s="434" t="s">
        <v>1659</v>
      </c>
      <c r="AG201" s="427">
        <v>14.0</v>
      </c>
      <c r="AH201" s="435" t="s">
        <v>24</v>
      </c>
      <c r="AI201" s="415"/>
      <c r="AJ201" s="436" t="str">
        <f t="array" ref="AJ201">IF(M201=DGET(claves!$A$2:$AS423,M$2,{claves!$A$2;$E201}),1,0)</f>
        <v>#VALUE!</v>
      </c>
      <c r="AK201" s="436" t="str">
        <f t="array" ref="AK201">IF(N201=DGET(claves!$A$2:$AS423,N$2,{claves!$A$2;$E201}),1,0)</f>
        <v>#VALUE!</v>
      </c>
      <c r="AL201" s="436" t="str">
        <f t="array" ref="AL201">IF(O201=DGET(claves!$A$2:$AS423,O$2,{claves!$A$2;$E201}),1,0)</f>
        <v>#VALUE!</v>
      </c>
      <c r="AM201" s="436" t="str">
        <f t="array" ref="AM201">IF(P201=DGET(claves!$A$2:$AS423,P$2,{claves!$A$2;$E201}),1,0)</f>
        <v>#VALUE!</v>
      </c>
      <c r="AN201" s="436" t="str">
        <f t="array" ref="AN201">IF(Q201=DGET(claves!$A$2:$AS423,Q$2,{claves!$A$2;$E201}),1,0)</f>
        <v>#VALUE!</v>
      </c>
      <c r="AO201" s="436" t="str">
        <f t="array" ref="AO201">IF(R201=DGET(claves!$A$2:$AS423,R$2,{claves!$A$2;$E201}),1,0)</f>
        <v>#VALUE!</v>
      </c>
      <c r="AP201" s="436" t="str">
        <f t="array" ref="AP201">IF(S201=DGET(claves!$A$2:$AS423,S$2,{claves!$A$2;$E201}),1,0)</f>
        <v>#VALUE!</v>
      </c>
      <c r="AQ201" s="436" t="str">
        <f t="array" ref="AQ201">IF(T201=DGET(claves!$A$2:$AS423,T$2,{claves!$A$2;$E201}),1,0)</f>
        <v>#VALUE!</v>
      </c>
      <c r="AR201" s="436" t="str">
        <f t="array" ref="AR201">IF(U201=DGET(claves!$A$2:$AS423,U$2,{claves!$A$2;$E201}),1,0)</f>
        <v>#VALUE!</v>
      </c>
      <c r="AS201" s="436" t="str">
        <f t="array" ref="AS201">IF(V201=DGET(claves!$A$2:$AS423,V$2,{claves!$A$2;$E201}),1,0)</f>
        <v>#VALUE!</v>
      </c>
      <c r="AT201" s="436" t="str">
        <f t="array" ref="AT201">IF(W201=DGET(claves!$A$2:$AS423,W$2,{claves!$A$2;$E201}),1,0)</f>
        <v>#VALUE!</v>
      </c>
      <c r="AU201" s="436" t="str">
        <f t="array" ref="AU201">IF(X201=DGET(claves!$A$2:$AS423,X$2,{claves!$A$2;$E201}),1,0)</f>
        <v>#VALUE!</v>
      </c>
      <c r="AV201" s="436" t="str">
        <f t="array" ref="AV201">IF(Y201=DGET(claves!$A$2:$AS423,Y$2,{claves!$A$2;$E201}),1,0)</f>
        <v>#VALUE!</v>
      </c>
      <c r="AW201" s="436" t="str">
        <f t="array" ref="AW201">IF(Z201=DGET(claves!$A$2:$AS423,Z$2,{claves!$A$2;$E201}),1,0)</f>
        <v>#VALUE!</v>
      </c>
      <c r="AX201" s="436" t="str">
        <f t="array" ref="AX201">IF(AA201=DGET(claves!$A$2:$AS423,AA$2,{claves!$A$2;$E201}),1,0)</f>
        <v>#VALUE!</v>
      </c>
      <c r="AY201" s="436" t="str">
        <f t="array" ref="AY201">IF(AB201=DGET(claves!$A$2:$AS423,AB$2,{claves!$A$2;$E201}),1,0)</f>
        <v>#VALUE!</v>
      </c>
      <c r="AZ201" s="436" t="str">
        <f t="array" ref="AZ201">IF(AC201=DGET(claves!$A$2:$AS423,AC$2,{claves!$A$2;$E201}),1,0)</f>
        <v>#VALUE!</v>
      </c>
      <c r="BA201" s="436" t="str">
        <f t="array" ref="BA201">IF(AD201=DGET(claves!$A$2:$AS423,AD$2,{claves!$A$2;$E201}),1,0)</f>
        <v>#VALUE!</v>
      </c>
      <c r="BB201" s="436" t="str">
        <f t="array" ref="BB201">IF(AE201=DGET(claves!$A$2:$AS423,AE$2,{claves!$A$2;$E201}),1,0)</f>
        <v>#VALUE!</v>
      </c>
      <c r="BC201" s="436" t="str">
        <f t="array" ref="BC201">IF(AF201=DGET(claves!$A$2:$AS423,AF$2,{claves!$A$2;$E201}),1,0)</f>
        <v>#VALUE!</v>
      </c>
      <c r="BD201" s="437" t="str">
        <f t="shared" si="1"/>
        <v>#VALUE!</v>
      </c>
      <c r="BE201" s="435"/>
      <c r="BF201" s="415"/>
    </row>
    <row r="202" ht="14.25" customHeight="1">
      <c r="A202" s="408">
        <v>200.0</v>
      </c>
      <c r="B202" s="153" t="s">
        <v>1851</v>
      </c>
      <c r="C202" s="153">
        <v>2024.0</v>
      </c>
      <c r="D202" s="77" t="s">
        <v>1817</v>
      </c>
      <c r="E202" s="409" t="str">
        <f>IFERROR(__xludf.DUMMYFUNCTION("ARRAYFORMULA(JOIN("""", ARRAYFORMULA(MID(SPLIT(F202, "" ""), 1, 1))))
&amp;""/""&amp;G202"),"CLQ/6 Primaria")</f>
        <v>CLQ/6 Primaria</v>
      </c>
      <c r="F202" s="77" t="s">
        <v>1827</v>
      </c>
      <c r="G202" s="432" t="s">
        <v>22</v>
      </c>
      <c r="H202" s="433" t="s">
        <v>1862</v>
      </c>
      <c r="I202" s="433" t="s">
        <v>1684</v>
      </c>
      <c r="J202" s="433" t="s">
        <v>1863</v>
      </c>
      <c r="K202" s="433" t="s">
        <v>1658</v>
      </c>
      <c r="L202" s="415"/>
      <c r="M202" s="434" t="s">
        <v>1661</v>
      </c>
      <c r="N202" s="434" t="s">
        <v>1661</v>
      </c>
      <c r="O202" s="434" t="s">
        <v>1689</v>
      </c>
      <c r="P202" s="434" t="s">
        <v>1659</v>
      </c>
      <c r="Q202" s="434" t="s">
        <v>1660</v>
      </c>
      <c r="R202" s="434" t="s">
        <v>1689</v>
      </c>
      <c r="S202" s="434" t="s">
        <v>1659</v>
      </c>
      <c r="T202" s="434" t="s">
        <v>1661</v>
      </c>
      <c r="U202" s="434" t="s">
        <v>1689</v>
      </c>
      <c r="V202" s="434" t="s">
        <v>1661</v>
      </c>
      <c r="W202" s="434" t="s">
        <v>1660</v>
      </c>
      <c r="X202" s="434" t="s">
        <v>1661</v>
      </c>
      <c r="Y202" s="434" t="s">
        <v>1660</v>
      </c>
      <c r="Z202" s="434" t="s">
        <v>1661</v>
      </c>
      <c r="AA202" s="434" t="s">
        <v>1660</v>
      </c>
      <c r="AB202" s="434" t="s">
        <v>1660</v>
      </c>
      <c r="AC202" s="434" t="s">
        <v>1659</v>
      </c>
      <c r="AD202" s="434" t="s">
        <v>1660</v>
      </c>
      <c r="AE202" s="434" t="s">
        <v>1660</v>
      </c>
      <c r="AF202" s="434" t="s">
        <v>1689</v>
      </c>
      <c r="AG202" s="427">
        <v>12.0</v>
      </c>
      <c r="AH202" s="435" t="s">
        <v>24</v>
      </c>
      <c r="AI202" s="415"/>
      <c r="AJ202" s="436" t="str">
        <f t="array" ref="AJ202">IF(M202=DGET(claves!$A$2:$AS423,M$2,{claves!$A$2;$E202}),1,0)</f>
        <v>#VALUE!</v>
      </c>
      <c r="AK202" s="436" t="str">
        <f t="array" ref="AK202">IF(N202=DGET(claves!$A$2:$AS423,N$2,{claves!$A$2;$E202}),1,0)</f>
        <v>#VALUE!</v>
      </c>
      <c r="AL202" s="436" t="str">
        <f t="array" ref="AL202">IF(O202=DGET(claves!$A$2:$AS423,O$2,{claves!$A$2;$E202}),1,0)</f>
        <v>#VALUE!</v>
      </c>
      <c r="AM202" s="436" t="str">
        <f t="array" ref="AM202">IF(P202=DGET(claves!$A$2:$AS423,P$2,{claves!$A$2;$E202}),1,0)</f>
        <v>#VALUE!</v>
      </c>
      <c r="AN202" s="436" t="str">
        <f t="array" ref="AN202">IF(Q202=DGET(claves!$A$2:$AS423,Q$2,{claves!$A$2;$E202}),1,0)</f>
        <v>#VALUE!</v>
      </c>
      <c r="AO202" s="436" t="str">
        <f t="array" ref="AO202">IF(R202=DGET(claves!$A$2:$AS423,R$2,{claves!$A$2;$E202}),1,0)</f>
        <v>#VALUE!</v>
      </c>
      <c r="AP202" s="436" t="str">
        <f t="array" ref="AP202">IF(S202=DGET(claves!$A$2:$AS423,S$2,{claves!$A$2;$E202}),1,0)</f>
        <v>#VALUE!</v>
      </c>
      <c r="AQ202" s="436" t="str">
        <f t="array" ref="AQ202">IF(T202=DGET(claves!$A$2:$AS423,T$2,{claves!$A$2;$E202}),1,0)</f>
        <v>#VALUE!</v>
      </c>
      <c r="AR202" s="436" t="str">
        <f t="array" ref="AR202">IF(U202=DGET(claves!$A$2:$AS423,U$2,{claves!$A$2;$E202}),1,0)</f>
        <v>#VALUE!</v>
      </c>
      <c r="AS202" s="436" t="str">
        <f t="array" ref="AS202">IF(V202=DGET(claves!$A$2:$AS423,V$2,{claves!$A$2;$E202}),1,0)</f>
        <v>#VALUE!</v>
      </c>
      <c r="AT202" s="436" t="str">
        <f t="array" ref="AT202">IF(W202=DGET(claves!$A$2:$AS423,W$2,{claves!$A$2;$E202}),1,0)</f>
        <v>#VALUE!</v>
      </c>
      <c r="AU202" s="436" t="str">
        <f t="array" ref="AU202">IF(X202=DGET(claves!$A$2:$AS423,X$2,{claves!$A$2;$E202}),1,0)</f>
        <v>#VALUE!</v>
      </c>
      <c r="AV202" s="436" t="str">
        <f t="array" ref="AV202">IF(Y202=DGET(claves!$A$2:$AS423,Y$2,{claves!$A$2;$E202}),1,0)</f>
        <v>#VALUE!</v>
      </c>
      <c r="AW202" s="436" t="str">
        <f t="array" ref="AW202">IF(Z202=DGET(claves!$A$2:$AS423,Z$2,{claves!$A$2;$E202}),1,0)</f>
        <v>#VALUE!</v>
      </c>
      <c r="AX202" s="436" t="str">
        <f t="array" ref="AX202">IF(AA202=DGET(claves!$A$2:$AS423,AA$2,{claves!$A$2;$E202}),1,0)</f>
        <v>#VALUE!</v>
      </c>
      <c r="AY202" s="436" t="str">
        <f t="array" ref="AY202">IF(AB202=DGET(claves!$A$2:$AS423,AB$2,{claves!$A$2;$E202}),1,0)</f>
        <v>#VALUE!</v>
      </c>
      <c r="AZ202" s="436" t="str">
        <f t="array" ref="AZ202">IF(AC202=DGET(claves!$A$2:$AS423,AC$2,{claves!$A$2;$E202}),1,0)</f>
        <v>#VALUE!</v>
      </c>
      <c r="BA202" s="436" t="str">
        <f t="array" ref="BA202">IF(AD202=DGET(claves!$A$2:$AS423,AD$2,{claves!$A$2;$E202}),1,0)</f>
        <v>#VALUE!</v>
      </c>
      <c r="BB202" s="436" t="str">
        <f t="array" ref="BB202">IF(AE202=DGET(claves!$A$2:$AS423,AE$2,{claves!$A$2;$E202}),1,0)</f>
        <v>#VALUE!</v>
      </c>
      <c r="BC202" s="436" t="str">
        <f t="array" ref="BC202">IF(AF202=DGET(claves!$A$2:$AS423,AF$2,{claves!$A$2;$E202}),1,0)</f>
        <v>#VALUE!</v>
      </c>
      <c r="BD202" s="437" t="str">
        <f t="shared" si="1"/>
        <v>#VALUE!</v>
      </c>
      <c r="BE202" s="435"/>
      <c r="BF202" s="415"/>
    </row>
    <row r="203" ht="14.25" customHeight="1">
      <c r="A203" s="408">
        <v>201.0</v>
      </c>
      <c r="B203" s="153" t="s">
        <v>1864</v>
      </c>
      <c r="C203" s="153">
        <v>2024.0</v>
      </c>
      <c r="D203" s="77" t="s">
        <v>1817</v>
      </c>
      <c r="E203" s="409" t="str">
        <f>IFERROR(__xludf.DUMMYFUNCTION("ARRAYFORMULA(JOIN("""", ARRAYFORMULA(MID(SPLIT(F203, "" ""), 1, 1))))
&amp;""/""&amp;G203"),"CLQ/2 Primaria")</f>
        <v>CLQ/2 Primaria</v>
      </c>
      <c r="F203" s="77" t="s">
        <v>1827</v>
      </c>
      <c r="G203" s="432" t="s">
        <v>15</v>
      </c>
      <c r="H203" s="433" t="s">
        <v>1865</v>
      </c>
      <c r="I203" s="433" t="s">
        <v>1761</v>
      </c>
      <c r="J203" s="433" t="s">
        <v>1866</v>
      </c>
      <c r="K203" s="433" t="s">
        <v>1658</v>
      </c>
      <c r="L203" s="415"/>
      <c r="M203" s="434" t="s">
        <v>1825</v>
      </c>
      <c r="N203" s="434" t="s">
        <v>1825</v>
      </c>
      <c r="O203" s="434" t="s">
        <v>1660</v>
      </c>
      <c r="P203" s="434" t="s">
        <v>1826</v>
      </c>
      <c r="Q203" s="434" t="s">
        <v>1825</v>
      </c>
      <c r="R203" s="434" t="s">
        <v>1660</v>
      </c>
      <c r="S203" s="434" t="s">
        <v>1660</v>
      </c>
      <c r="T203" s="434" t="s">
        <v>1660</v>
      </c>
      <c r="U203" s="434" t="s">
        <v>1826</v>
      </c>
      <c r="V203" s="434" t="s">
        <v>1825</v>
      </c>
      <c r="W203" s="434" t="s">
        <v>1660</v>
      </c>
      <c r="X203" s="434" t="s">
        <v>1660</v>
      </c>
      <c r="Y203" s="434" t="s">
        <v>1660</v>
      </c>
      <c r="Z203" s="434" t="s">
        <v>1826</v>
      </c>
      <c r="AA203" s="434" t="s">
        <v>1826</v>
      </c>
      <c r="AB203" s="434" t="s">
        <v>1826</v>
      </c>
      <c r="AC203" s="434" t="s">
        <v>1825</v>
      </c>
      <c r="AD203" s="434" t="s">
        <v>1826</v>
      </c>
      <c r="AE203" s="434" t="s">
        <v>1825</v>
      </c>
      <c r="AF203" s="434" t="s">
        <v>1826</v>
      </c>
      <c r="AG203" s="427">
        <v>7.0</v>
      </c>
      <c r="AH203" s="435" t="s">
        <v>18</v>
      </c>
      <c r="AI203" s="415"/>
      <c r="AJ203" s="436" t="str">
        <f t="array" ref="AJ203">IF(M203=DGET(claves!$A$2:$AS423,M$2,{claves!$A$2;$E203}),1,0)</f>
        <v>#VALUE!</v>
      </c>
      <c r="AK203" s="436" t="str">
        <f t="array" ref="AK203">IF(N203=DGET(claves!$A$2:$AS423,N$2,{claves!$A$2;$E203}),1,0)</f>
        <v>#VALUE!</v>
      </c>
      <c r="AL203" s="436" t="str">
        <f t="array" ref="AL203">IF(O203=DGET(claves!$A$2:$AS423,O$2,{claves!$A$2;$E203}),1,0)</f>
        <v>#VALUE!</v>
      </c>
      <c r="AM203" s="436" t="str">
        <f t="array" ref="AM203">IF(P203=DGET(claves!$A$2:$AS423,P$2,{claves!$A$2;$E203}),1,0)</f>
        <v>#VALUE!</v>
      </c>
      <c r="AN203" s="436" t="str">
        <f t="array" ref="AN203">IF(Q203=DGET(claves!$A$2:$AS423,Q$2,{claves!$A$2;$E203}),1,0)</f>
        <v>#VALUE!</v>
      </c>
      <c r="AO203" s="436" t="str">
        <f t="array" ref="AO203">IF(R203=DGET(claves!$A$2:$AS423,R$2,{claves!$A$2;$E203}),1,0)</f>
        <v>#VALUE!</v>
      </c>
      <c r="AP203" s="436" t="str">
        <f t="array" ref="AP203">IF(S203=DGET(claves!$A$2:$AS423,S$2,{claves!$A$2;$E203}),1,0)</f>
        <v>#VALUE!</v>
      </c>
      <c r="AQ203" s="436" t="str">
        <f t="array" ref="AQ203">IF(T203=DGET(claves!$A$2:$AS423,T$2,{claves!$A$2;$E203}),1,0)</f>
        <v>#VALUE!</v>
      </c>
      <c r="AR203" s="436" t="str">
        <f t="array" ref="AR203">IF(U203=DGET(claves!$A$2:$AS423,U$2,{claves!$A$2;$E203}),1,0)</f>
        <v>#VALUE!</v>
      </c>
      <c r="AS203" s="436" t="str">
        <f t="array" ref="AS203">IF(V203=DGET(claves!$A$2:$AS423,V$2,{claves!$A$2;$E203}),1,0)</f>
        <v>#VALUE!</v>
      </c>
      <c r="AT203" s="436" t="str">
        <f t="array" ref="AT203">IF(W203=DGET(claves!$A$2:$AS423,W$2,{claves!$A$2;$E203}),1,0)</f>
        <v>#VALUE!</v>
      </c>
      <c r="AU203" s="436" t="str">
        <f t="array" ref="AU203">IF(X203=DGET(claves!$A$2:$AS423,X$2,{claves!$A$2;$E203}),1,0)</f>
        <v>#VALUE!</v>
      </c>
      <c r="AV203" s="436" t="str">
        <f t="array" ref="AV203">IF(Y203=DGET(claves!$A$2:$AS423,Y$2,{claves!$A$2;$E203}),1,0)</f>
        <v>#VALUE!</v>
      </c>
      <c r="AW203" s="436" t="str">
        <f t="array" ref="AW203">IF(Z203=DGET(claves!$A$2:$AS423,Z$2,{claves!$A$2;$E203}),1,0)</f>
        <v>#VALUE!</v>
      </c>
      <c r="AX203" s="436" t="str">
        <f t="array" ref="AX203">IF(AA203=DGET(claves!$A$2:$AS423,AA$2,{claves!$A$2;$E203}),1,0)</f>
        <v>#VALUE!</v>
      </c>
      <c r="AY203" s="436" t="str">
        <f t="array" ref="AY203">IF(AB203=DGET(claves!$A$2:$AS423,AB$2,{claves!$A$2;$E203}),1,0)</f>
        <v>#VALUE!</v>
      </c>
      <c r="AZ203" s="436" t="str">
        <f t="array" ref="AZ203">IF(AC203=DGET(claves!$A$2:$AS423,AC$2,{claves!$A$2;$E203}),1,0)</f>
        <v>#VALUE!</v>
      </c>
      <c r="BA203" s="436" t="str">
        <f t="array" ref="BA203">IF(AD203=DGET(claves!$A$2:$AS423,AD$2,{claves!$A$2;$E203}),1,0)</f>
        <v>#VALUE!</v>
      </c>
      <c r="BB203" s="436" t="str">
        <f t="array" ref="BB203">IF(AE203=DGET(claves!$A$2:$AS423,AE$2,{claves!$A$2;$E203}),1,0)</f>
        <v>#VALUE!</v>
      </c>
      <c r="BC203" s="436" t="str">
        <f t="array" ref="BC203">IF(AF203=DGET(claves!$A$2:$AS423,AF$2,{claves!$A$2;$E203}),1,0)</f>
        <v>#VALUE!</v>
      </c>
      <c r="BD203" s="437" t="str">
        <f t="shared" si="1"/>
        <v>#VALUE!</v>
      </c>
      <c r="BE203" s="435"/>
      <c r="BF203" s="415"/>
    </row>
    <row r="204" ht="14.25" customHeight="1">
      <c r="A204" s="408">
        <v>202.0</v>
      </c>
      <c r="B204" s="153" t="s">
        <v>1864</v>
      </c>
      <c r="C204" s="153">
        <v>2024.0</v>
      </c>
      <c r="D204" s="77" t="s">
        <v>1817</v>
      </c>
      <c r="E204" s="409" t="str">
        <f>IFERROR(__xludf.DUMMYFUNCTION("ARRAYFORMULA(JOIN("""", ARRAYFORMULA(MID(SPLIT(F204, "" ""), 1, 1))))
&amp;""/""&amp;G204"),"CLQ/2 Primaria")</f>
        <v>CLQ/2 Primaria</v>
      </c>
      <c r="F204" s="77" t="s">
        <v>1827</v>
      </c>
      <c r="G204" s="432" t="s">
        <v>15</v>
      </c>
      <c r="H204" s="433" t="s">
        <v>1867</v>
      </c>
      <c r="I204" s="433" t="s">
        <v>1868</v>
      </c>
      <c r="J204" s="433" t="s">
        <v>1869</v>
      </c>
      <c r="K204" s="432" t="s">
        <v>1665</v>
      </c>
      <c r="L204" s="415"/>
      <c r="M204" s="434" t="s">
        <v>1825</v>
      </c>
      <c r="N204" s="434" t="s">
        <v>1825</v>
      </c>
      <c r="O204" s="434" t="s">
        <v>1660</v>
      </c>
      <c r="P204" s="434" t="s">
        <v>1826</v>
      </c>
      <c r="Q204" s="434" t="s">
        <v>1825</v>
      </c>
      <c r="R204" s="434" t="s">
        <v>1660</v>
      </c>
      <c r="S204" s="434" t="s">
        <v>1825</v>
      </c>
      <c r="T204" s="434" t="s">
        <v>1826</v>
      </c>
      <c r="U204" s="434" t="s">
        <v>1660</v>
      </c>
      <c r="V204" s="434" t="s">
        <v>1660</v>
      </c>
      <c r="W204" s="434" t="s">
        <v>1660</v>
      </c>
      <c r="X204" s="434" t="s">
        <v>1825</v>
      </c>
      <c r="Y204" s="434" t="s">
        <v>1826</v>
      </c>
      <c r="Z204" s="434" t="s">
        <v>1660</v>
      </c>
      <c r="AA204" s="434" t="s">
        <v>1825</v>
      </c>
      <c r="AB204" s="434" t="s">
        <v>1825</v>
      </c>
      <c r="AC204" s="434" t="s">
        <v>1825</v>
      </c>
      <c r="AD204" s="434" t="s">
        <v>1826</v>
      </c>
      <c r="AE204" s="434" t="s">
        <v>1826</v>
      </c>
      <c r="AF204" s="434" t="s">
        <v>1825</v>
      </c>
      <c r="AG204" s="427">
        <v>11.0</v>
      </c>
      <c r="AH204" s="435" t="s">
        <v>24</v>
      </c>
      <c r="AI204" s="415"/>
      <c r="AJ204" s="436" t="str">
        <f t="array" ref="AJ204">IF(M204=DGET(claves!$A$2:$AS423,M$2,{claves!$A$2;$E204}),1,0)</f>
        <v>#VALUE!</v>
      </c>
      <c r="AK204" s="436" t="str">
        <f t="array" ref="AK204">IF(N204=DGET(claves!$A$2:$AS423,N$2,{claves!$A$2;$E204}),1,0)</f>
        <v>#VALUE!</v>
      </c>
      <c r="AL204" s="436" t="str">
        <f t="array" ref="AL204">IF(O204=DGET(claves!$A$2:$AS423,O$2,{claves!$A$2;$E204}),1,0)</f>
        <v>#VALUE!</v>
      </c>
      <c r="AM204" s="436" t="str">
        <f t="array" ref="AM204">IF(P204=DGET(claves!$A$2:$AS423,P$2,{claves!$A$2;$E204}),1,0)</f>
        <v>#VALUE!</v>
      </c>
      <c r="AN204" s="436" t="str">
        <f t="array" ref="AN204">IF(Q204=DGET(claves!$A$2:$AS423,Q$2,{claves!$A$2;$E204}),1,0)</f>
        <v>#VALUE!</v>
      </c>
      <c r="AO204" s="436" t="str">
        <f t="array" ref="AO204">IF(R204=DGET(claves!$A$2:$AS423,R$2,{claves!$A$2;$E204}),1,0)</f>
        <v>#VALUE!</v>
      </c>
      <c r="AP204" s="436" t="str">
        <f t="array" ref="AP204">IF(S204=DGET(claves!$A$2:$AS423,S$2,{claves!$A$2;$E204}),1,0)</f>
        <v>#VALUE!</v>
      </c>
      <c r="AQ204" s="436" t="str">
        <f t="array" ref="AQ204">IF(T204=DGET(claves!$A$2:$AS423,T$2,{claves!$A$2;$E204}),1,0)</f>
        <v>#VALUE!</v>
      </c>
      <c r="AR204" s="436" t="str">
        <f t="array" ref="AR204">IF(U204=DGET(claves!$A$2:$AS423,U$2,{claves!$A$2;$E204}),1,0)</f>
        <v>#VALUE!</v>
      </c>
      <c r="AS204" s="436" t="str">
        <f t="array" ref="AS204">IF(V204=DGET(claves!$A$2:$AS423,V$2,{claves!$A$2;$E204}),1,0)</f>
        <v>#VALUE!</v>
      </c>
      <c r="AT204" s="436" t="str">
        <f t="array" ref="AT204">IF(W204=DGET(claves!$A$2:$AS423,W$2,{claves!$A$2;$E204}),1,0)</f>
        <v>#VALUE!</v>
      </c>
      <c r="AU204" s="436" t="str">
        <f t="array" ref="AU204">IF(X204=DGET(claves!$A$2:$AS423,X$2,{claves!$A$2;$E204}),1,0)</f>
        <v>#VALUE!</v>
      </c>
      <c r="AV204" s="436" t="str">
        <f t="array" ref="AV204">IF(Y204=DGET(claves!$A$2:$AS423,Y$2,{claves!$A$2;$E204}),1,0)</f>
        <v>#VALUE!</v>
      </c>
      <c r="AW204" s="436" t="str">
        <f t="array" ref="AW204">IF(Z204=DGET(claves!$A$2:$AS423,Z$2,{claves!$A$2;$E204}),1,0)</f>
        <v>#VALUE!</v>
      </c>
      <c r="AX204" s="436" t="str">
        <f t="array" ref="AX204">IF(AA204=DGET(claves!$A$2:$AS423,AA$2,{claves!$A$2;$E204}),1,0)</f>
        <v>#VALUE!</v>
      </c>
      <c r="AY204" s="436" t="str">
        <f t="array" ref="AY204">IF(AB204=DGET(claves!$A$2:$AS423,AB$2,{claves!$A$2;$E204}),1,0)</f>
        <v>#VALUE!</v>
      </c>
      <c r="AZ204" s="436" t="str">
        <f t="array" ref="AZ204">IF(AC204=DGET(claves!$A$2:$AS423,AC$2,{claves!$A$2;$E204}),1,0)</f>
        <v>#VALUE!</v>
      </c>
      <c r="BA204" s="436" t="str">
        <f t="array" ref="BA204">IF(AD204=DGET(claves!$A$2:$AS423,AD$2,{claves!$A$2;$E204}),1,0)</f>
        <v>#VALUE!</v>
      </c>
      <c r="BB204" s="436" t="str">
        <f t="array" ref="BB204">IF(AE204=DGET(claves!$A$2:$AS423,AE$2,{claves!$A$2;$E204}),1,0)</f>
        <v>#VALUE!</v>
      </c>
      <c r="BC204" s="436" t="str">
        <f t="array" ref="BC204">IF(AF204=DGET(claves!$A$2:$AS423,AF$2,{claves!$A$2;$E204}),1,0)</f>
        <v>#VALUE!</v>
      </c>
      <c r="BD204" s="437" t="str">
        <f t="shared" si="1"/>
        <v>#VALUE!</v>
      </c>
      <c r="BE204" s="435"/>
      <c r="BF204" s="415"/>
    </row>
    <row r="205" ht="14.25" customHeight="1">
      <c r="A205" s="408">
        <v>203.0</v>
      </c>
      <c r="B205" s="153" t="s">
        <v>1864</v>
      </c>
      <c r="C205" s="153">
        <v>2024.0</v>
      </c>
      <c r="D205" s="77" t="s">
        <v>1817</v>
      </c>
      <c r="E205" s="409" t="str">
        <f>IFERROR(__xludf.DUMMYFUNCTION("ARRAYFORMULA(JOIN("""", ARRAYFORMULA(MID(SPLIT(F205, "" ""), 1, 1))))
&amp;""/""&amp;G205"),"CLQ/2 Primaria")</f>
        <v>CLQ/2 Primaria</v>
      </c>
      <c r="F205" s="77" t="s">
        <v>1827</v>
      </c>
      <c r="G205" s="432" t="s">
        <v>15</v>
      </c>
      <c r="H205" s="433" t="s">
        <v>1867</v>
      </c>
      <c r="I205" s="433" t="s">
        <v>1870</v>
      </c>
      <c r="J205" s="433" t="s">
        <v>1871</v>
      </c>
      <c r="K205" s="432" t="s">
        <v>1665</v>
      </c>
      <c r="L205" s="415"/>
      <c r="M205" s="434" t="s">
        <v>1825</v>
      </c>
      <c r="N205" s="434" t="s">
        <v>1660</v>
      </c>
      <c r="O205" s="434" t="s">
        <v>1660</v>
      </c>
      <c r="P205" s="434" t="s">
        <v>1825</v>
      </c>
      <c r="Q205" s="434" t="s">
        <v>1825</v>
      </c>
      <c r="R205" s="434" t="s">
        <v>1660</v>
      </c>
      <c r="S205" s="434" t="s">
        <v>1660</v>
      </c>
      <c r="T205" s="434" t="s">
        <v>1660</v>
      </c>
      <c r="U205" s="434" t="s">
        <v>1825</v>
      </c>
      <c r="V205" s="434" t="s">
        <v>1826</v>
      </c>
      <c r="W205" s="434" t="s">
        <v>1660</v>
      </c>
      <c r="X205" s="434" t="s">
        <v>1825</v>
      </c>
      <c r="Y205" s="434" t="s">
        <v>1826</v>
      </c>
      <c r="Z205" s="434" t="s">
        <v>1825</v>
      </c>
      <c r="AA205" s="434" t="s">
        <v>1826</v>
      </c>
      <c r="AB205" s="434" t="s">
        <v>1826</v>
      </c>
      <c r="AC205" s="434" t="s">
        <v>1825</v>
      </c>
      <c r="AD205" s="434" t="s">
        <v>1825</v>
      </c>
      <c r="AE205" s="434" t="s">
        <v>1826</v>
      </c>
      <c r="AF205" s="434" t="s">
        <v>1826</v>
      </c>
      <c r="AG205" s="427">
        <v>11.0</v>
      </c>
      <c r="AH205" s="435" t="s">
        <v>24</v>
      </c>
      <c r="AI205" s="415"/>
      <c r="AJ205" s="436" t="str">
        <f t="array" ref="AJ205">IF(M205=DGET(claves!$A$2:$AS423,M$2,{claves!$A$2;$E205}),1,0)</f>
        <v>#VALUE!</v>
      </c>
      <c r="AK205" s="436" t="str">
        <f t="array" ref="AK205">IF(N205=DGET(claves!$A$2:$AS423,N$2,{claves!$A$2;$E205}),1,0)</f>
        <v>#VALUE!</v>
      </c>
      <c r="AL205" s="436" t="str">
        <f t="array" ref="AL205">IF(O205=DGET(claves!$A$2:$AS423,O$2,{claves!$A$2;$E205}),1,0)</f>
        <v>#VALUE!</v>
      </c>
      <c r="AM205" s="436" t="str">
        <f t="array" ref="AM205">IF(P205=DGET(claves!$A$2:$AS423,P$2,{claves!$A$2;$E205}),1,0)</f>
        <v>#VALUE!</v>
      </c>
      <c r="AN205" s="436" t="str">
        <f t="array" ref="AN205">IF(Q205=DGET(claves!$A$2:$AS423,Q$2,{claves!$A$2;$E205}),1,0)</f>
        <v>#VALUE!</v>
      </c>
      <c r="AO205" s="436" t="str">
        <f t="array" ref="AO205">IF(R205=DGET(claves!$A$2:$AS423,R$2,{claves!$A$2;$E205}),1,0)</f>
        <v>#VALUE!</v>
      </c>
      <c r="AP205" s="436" t="str">
        <f t="array" ref="AP205">IF(S205=DGET(claves!$A$2:$AS423,S$2,{claves!$A$2;$E205}),1,0)</f>
        <v>#VALUE!</v>
      </c>
      <c r="AQ205" s="436" t="str">
        <f t="array" ref="AQ205">IF(T205=DGET(claves!$A$2:$AS423,T$2,{claves!$A$2;$E205}),1,0)</f>
        <v>#VALUE!</v>
      </c>
      <c r="AR205" s="436" t="str">
        <f t="array" ref="AR205">IF(U205=DGET(claves!$A$2:$AS423,U$2,{claves!$A$2;$E205}),1,0)</f>
        <v>#VALUE!</v>
      </c>
      <c r="AS205" s="436" t="str">
        <f t="array" ref="AS205">IF(V205=DGET(claves!$A$2:$AS423,V$2,{claves!$A$2;$E205}),1,0)</f>
        <v>#VALUE!</v>
      </c>
      <c r="AT205" s="436" t="str">
        <f t="array" ref="AT205">IF(W205=DGET(claves!$A$2:$AS423,W$2,{claves!$A$2;$E205}),1,0)</f>
        <v>#VALUE!</v>
      </c>
      <c r="AU205" s="436" t="str">
        <f t="array" ref="AU205">IF(X205=DGET(claves!$A$2:$AS423,X$2,{claves!$A$2;$E205}),1,0)</f>
        <v>#VALUE!</v>
      </c>
      <c r="AV205" s="436" t="str">
        <f t="array" ref="AV205">IF(Y205=DGET(claves!$A$2:$AS423,Y$2,{claves!$A$2;$E205}),1,0)</f>
        <v>#VALUE!</v>
      </c>
      <c r="AW205" s="436" t="str">
        <f t="array" ref="AW205">IF(Z205=DGET(claves!$A$2:$AS423,Z$2,{claves!$A$2;$E205}),1,0)</f>
        <v>#VALUE!</v>
      </c>
      <c r="AX205" s="436" t="str">
        <f t="array" ref="AX205">IF(AA205=DGET(claves!$A$2:$AS423,AA$2,{claves!$A$2;$E205}),1,0)</f>
        <v>#VALUE!</v>
      </c>
      <c r="AY205" s="436" t="str">
        <f t="array" ref="AY205">IF(AB205=DGET(claves!$A$2:$AS423,AB$2,{claves!$A$2;$E205}),1,0)</f>
        <v>#VALUE!</v>
      </c>
      <c r="AZ205" s="436" t="str">
        <f t="array" ref="AZ205">IF(AC205=DGET(claves!$A$2:$AS423,AC$2,{claves!$A$2;$E205}),1,0)</f>
        <v>#VALUE!</v>
      </c>
      <c r="BA205" s="436" t="str">
        <f t="array" ref="BA205">IF(AD205=DGET(claves!$A$2:$AS423,AD$2,{claves!$A$2;$E205}),1,0)</f>
        <v>#VALUE!</v>
      </c>
      <c r="BB205" s="436" t="str">
        <f t="array" ref="BB205">IF(AE205=DGET(claves!$A$2:$AS423,AE$2,{claves!$A$2;$E205}),1,0)</f>
        <v>#VALUE!</v>
      </c>
      <c r="BC205" s="436" t="str">
        <f t="array" ref="BC205">IF(AF205=DGET(claves!$A$2:$AS423,AF$2,{claves!$A$2;$E205}),1,0)</f>
        <v>#VALUE!</v>
      </c>
      <c r="BD205" s="437" t="str">
        <f t="shared" si="1"/>
        <v>#VALUE!</v>
      </c>
      <c r="BE205" s="435"/>
      <c r="BF205" s="415"/>
    </row>
    <row r="206" ht="14.25" customHeight="1">
      <c r="A206" s="408">
        <v>204.0</v>
      </c>
      <c r="B206" s="153" t="s">
        <v>1864</v>
      </c>
      <c r="C206" s="153">
        <v>2024.0</v>
      </c>
      <c r="D206" s="77" t="s">
        <v>1817</v>
      </c>
      <c r="E206" s="409" t="str">
        <f>IFERROR(__xludf.DUMMYFUNCTION("ARRAYFORMULA(JOIN("""", ARRAYFORMULA(MID(SPLIT(F206, "" ""), 1, 1))))
&amp;""/""&amp;G206"),"CLQ/2 Primaria")</f>
        <v>CLQ/2 Primaria</v>
      </c>
      <c r="F206" s="77" t="s">
        <v>1827</v>
      </c>
      <c r="G206" s="432" t="s">
        <v>15</v>
      </c>
      <c r="H206" s="433" t="s">
        <v>1872</v>
      </c>
      <c r="I206" s="433" t="s">
        <v>1719</v>
      </c>
      <c r="J206" s="433" t="s">
        <v>1873</v>
      </c>
      <c r="K206" s="433" t="s">
        <v>1658</v>
      </c>
      <c r="L206" s="415"/>
      <c r="M206" s="434" t="s">
        <v>1825</v>
      </c>
      <c r="N206" s="434" t="s">
        <v>1825</v>
      </c>
      <c r="O206" s="434" t="s">
        <v>1826</v>
      </c>
      <c r="P206" s="434" t="s">
        <v>1660</v>
      </c>
      <c r="Q206" s="434" t="s">
        <v>1826</v>
      </c>
      <c r="R206" s="434" t="s">
        <v>1660</v>
      </c>
      <c r="S206" s="434" t="s">
        <v>1825</v>
      </c>
      <c r="T206" s="434" t="s">
        <v>1826</v>
      </c>
      <c r="U206" s="434" t="s">
        <v>1660</v>
      </c>
      <c r="V206" s="434" t="s">
        <v>1825</v>
      </c>
      <c r="W206" s="434" t="s">
        <v>1660</v>
      </c>
      <c r="X206" s="434" t="s">
        <v>1825</v>
      </c>
      <c r="Y206" s="434" t="s">
        <v>1826</v>
      </c>
      <c r="Z206" s="434" t="s">
        <v>1660</v>
      </c>
      <c r="AA206" s="434" t="s">
        <v>1660</v>
      </c>
      <c r="AB206" s="434" t="s">
        <v>1660</v>
      </c>
      <c r="AC206" s="434" t="s">
        <v>1826</v>
      </c>
      <c r="AD206" s="434" t="s">
        <v>1825</v>
      </c>
      <c r="AE206" s="434" t="s">
        <v>1660</v>
      </c>
      <c r="AF206" s="434" t="s">
        <v>1826</v>
      </c>
      <c r="AG206" s="427">
        <v>8.0</v>
      </c>
      <c r="AH206" s="435" t="s">
        <v>18</v>
      </c>
      <c r="AI206" s="415"/>
      <c r="AJ206" s="436" t="str">
        <f t="array" ref="AJ206">IF(M206=DGET(claves!$A$2:$AS423,M$2,{claves!$A$2;$E206}),1,0)</f>
        <v>#VALUE!</v>
      </c>
      <c r="AK206" s="436" t="str">
        <f t="array" ref="AK206">IF(N206=DGET(claves!$A$2:$AS423,N$2,{claves!$A$2;$E206}),1,0)</f>
        <v>#VALUE!</v>
      </c>
      <c r="AL206" s="436" t="str">
        <f t="array" ref="AL206">IF(O206=DGET(claves!$A$2:$AS423,O$2,{claves!$A$2;$E206}),1,0)</f>
        <v>#VALUE!</v>
      </c>
      <c r="AM206" s="436" t="str">
        <f t="array" ref="AM206">IF(P206=DGET(claves!$A$2:$AS423,P$2,{claves!$A$2;$E206}),1,0)</f>
        <v>#VALUE!</v>
      </c>
      <c r="AN206" s="436" t="str">
        <f t="array" ref="AN206">IF(Q206=DGET(claves!$A$2:$AS423,Q$2,{claves!$A$2;$E206}),1,0)</f>
        <v>#VALUE!</v>
      </c>
      <c r="AO206" s="436" t="str">
        <f t="array" ref="AO206">IF(R206=DGET(claves!$A$2:$AS423,R$2,{claves!$A$2;$E206}),1,0)</f>
        <v>#VALUE!</v>
      </c>
      <c r="AP206" s="436" t="str">
        <f t="array" ref="AP206">IF(S206=DGET(claves!$A$2:$AS423,S$2,{claves!$A$2;$E206}),1,0)</f>
        <v>#VALUE!</v>
      </c>
      <c r="AQ206" s="436" t="str">
        <f t="array" ref="AQ206">IF(T206=DGET(claves!$A$2:$AS423,T$2,{claves!$A$2;$E206}),1,0)</f>
        <v>#VALUE!</v>
      </c>
      <c r="AR206" s="436" t="str">
        <f t="array" ref="AR206">IF(U206=DGET(claves!$A$2:$AS423,U$2,{claves!$A$2;$E206}),1,0)</f>
        <v>#VALUE!</v>
      </c>
      <c r="AS206" s="436" t="str">
        <f t="array" ref="AS206">IF(V206=DGET(claves!$A$2:$AS423,V$2,{claves!$A$2;$E206}),1,0)</f>
        <v>#VALUE!</v>
      </c>
      <c r="AT206" s="436" t="str">
        <f t="array" ref="AT206">IF(W206=DGET(claves!$A$2:$AS423,W$2,{claves!$A$2;$E206}),1,0)</f>
        <v>#VALUE!</v>
      </c>
      <c r="AU206" s="436" t="str">
        <f t="array" ref="AU206">IF(X206=DGET(claves!$A$2:$AS423,X$2,{claves!$A$2;$E206}),1,0)</f>
        <v>#VALUE!</v>
      </c>
      <c r="AV206" s="436" t="str">
        <f t="array" ref="AV206">IF(Y206=DGET(claves!$A$2:$AS423,Y$2,{claves!$A$2;$E206}),1,0)</f>
        <v>#VALUE!</v>
      </c>
      <c r="AW206" s="436" t="str">
        <f t="array" ref="AW206">IF(Z206=DGET(claves!$A$2:$AS423,Z$2,{claves!$A$2;$E206}),1,0)</f>
        <v>#VALUE!</v>
      </c>
      <c r="AX206" s="436" t="str">
        <f t="array" ref="AX206">IF(AA206=DGET(claves!$A$2:$AS423,AA$2,{claves!$A$2;$E206}),1,0)</f>
        <v>#VALUE!</v>
      </c>
      <c r="AY206" s="436" t="str">
        <f t="array" ref="AY206">IF(AB206=DGET(claves!$A$2:$AS423,AB$2,{claves!$A$2;$E206}),1,0)</f>
        <v>#VALUE!</v>
      </c>
      <c r="AZ206" s="436" t="str">
        <f t="array" ref="AZ206">IF(AC206=DGET(claves!$A$2:$AS423,AC$2,{claves!$A$2;$E206}),1,0)</f>
        <v>#VALUE!</v>
      </c>
      <c r="BA206" s="436" t="str">
        <f t="array" ref="BA206">IF(AD206=DGET(claves!$A$2:$AS423,AD$2,{claves!$A$2;$E206}),1,0)</f>
        <v>#VALUE!</v>
      </c>
      <c r="BB206" s="436" t="str">
        <f t="array" ref="BB206">IF(AE206=DGET(claves!$A$2:$AS423,AE$2,{claves!$A$2;$E206}),1,0)</f>
        <v>#VALUE!</v>
      </c>
      <c r="BC206" s="436" t="str">
        <f t="array" ref="BC206">IF(AF206=DGET(claves!$A$2:$AS423,AF$2,{claves!$A$2;$E206}),1,0)</f>
        <v>#VALUE!</v>
      </c>
      <c r="BD206" s="437" t="str">
        <f t="shared" si="1"/>
        <v>#VALUE!</v>
      </c>
      <c r="BE206" s="435"/>
      <c r="BF206" s="415"/>
    </row>
    <row r="207" ht="14.25" customHeight="1">
      <c r="A207" s="408">
        <v>205.0</v>
      </c>
      <c r="B207" s="153" t="s">
        <v>1864</v>
      </c>
      <c r="C207" s="153">
        <v>2024.0</v>
      </c>
      <c r="D207" s="77" t="s">
        <v>1817</v>
      </c>
      <c r="E207" s="409" t="str">
        <f>IFERROR(__xludf.DUMMYFUNCTION("ARRAYFORMULA(JOIN("""", ARRAYFORMULA(MID(SPLIT(F207, "" ""), 1, 1))))
&amp;""/""&amp;G207"),"CLQ/4 Primaria")</f>
        <v>CLQ/4 Primaria</v>
      </c>
      <c r="F207" s="77" t="s">
        <v>1827</v>
      </c>
      <c r="G207" s="432" t="s">
        <v>20</v>
      </c>
      <c r="H207" s="433" t="s">
        <v>1874</v>
      </c>
      <c r="I207" s="433" t="s">
        <v>1875</v>
      </c>
      <c r="J207" s="433" t="s">
        <v>1876</v>
      </c>
      <c r="K207" s="433" t="s">
        <v>1658</v>
      </c>
      <c r="L207" s="415"/>
      <c r="M207" s="434" t="s">
        <v>1659</v>
      </c>
      <c r="N207" s="434" t="s">
        <v>1660</v>
      </c>
      <c r="O207" s="434" t="s">
        <v>1660</v>
      </c>
      <c r="P207" s="434" t="s">
        <v>1659</v>
      </c>
      <c r="Q207" s="434" t="s">
        <v>1659</v>
      </c>
      <c r="R207" s="434" t="s">
        <v>1659</v>
      </c>
      <c r="S207" s="434" t="s">
        <v>1660</v>
      </c>
      <c r="T207" s="434" t="s">
        <v>1661</v>
      </c>
      <c r="U207" s="434" t="s">
        <v>1659</v>
      </c>
      <c r="V207" s="434" t="s">
        <v>1689</v>
      </c>
      <c r="W207" s="434" t="s">
        <v>1661</v>
      </c>
      <c r="X207" s="434" t="s">
        <v>1660</v>
      </c>
      <c r="Y207" s="434" t="s">
        <v>1660</v>
      </c>
      <c r="Z207" s="434" t="s">
        <v>1661</v>
      </c>
      <c r="AA207" s="434" t="s">
        <v>1689</v>
      </c>
      <c r="AB207" s="434" t="s">
        <v>1659</v>
      </c>
      <c r="AC207" s="434" t="s">
        <v>1661</v>
      </c>
      <c r="AD207" s="434" t="s">
        <v>1689</v>
      </c>
      <c r="AE207" s="434" t="s">
        <v>1661</v>
      </c>
      <c r="AF207" s="434" t="s">
        <v>1661</v>
      </c>
      <c r="AG207" s="427">
        <v>8.0</v>
      </c>
      <c r="AH207" s="435" t="s">
        <v>18</v>
      </c>
      <c r="AI207" s="415"/>
      <c r="AJ207" s="436" t="str">
        <f t="array" ref="AJ207">IF(M207=DGET(claves!$A$2:$AS423,M$2,{claves!$A$2;$E207}),1,0)</f>
        <v>#VALUE!</v>
      </c>
      <c r="AK207" s="436" t="str">
        <f t="array" ref="AK207">IF(N207=DGET(claves!$A$2:$AS423,N$2,{claves!$A$2;$E207}),1,0)</f>
        <v>#VALUE!</v>
      </c>
      <c r="AL207" s="436" t="str">
        <f t="array" ref="AL207">IF(O207=DGET(claves!$A$2:$AS423,O$2,{claves!$A$2;$E207}),1,0)</f>
        <v>#VALUE!</v>
      </c>
      <c r="AM207" s="436" t="str">
        <f t="array" ref="AM207">IF(P207=DGET(claves!$A$2:$AS423,P$2,{claves!$A$2;$E207}),1,0)</f>
        <v>#VALUE!</v>
      </c>
      <c r="AN207" s="436" t="str">
        <f t="array" ref="AN207">IF(Q207=DGET(claves!$A$2:$AS423,Q$2,{claves!$A$2;$E207}),1,0)</f>
        <v>#VALUE!</v>
      </c>
      <c r="AO207" s="436" t="str">
        <f t="array" ref="AO207">IF(R207=DGET(claves!$A$2:$AS423,R$2,{claves!$A$2;$E207}),1,0)</f>
        <v>#VALUE!</v>
      </c>
      <c r="AP207" s="436" t="str">
        <f t="array" ref="AP207">IF(S207=DGET(claves!$A$2:$AS423,S$2,{claves!$A$2;$E207}),1,0)</f>
        <v>#VALUE!</v>
      </c>
      <c r="AQ207" s="436" t="str">
        <f t="array" ref="AQ207">IF(T207=DGET(claves!$A$2:$AS423,T$2,{claves!$A$2;$E207}),1,0)</f>
        <v>#VALUE!</v>
      </c>
      <c r="AR207" s="436" t="str">
        <f t="array" ref="AR207">IF(U207=DGET(claves!$A$2:$AS423,U$2,{claves!$A$2;$E207}),1,0)</f>
        <v>#VALUE!</v>
      </c>
      <c r="AS207" s="436" t="str">
        <f t="array" ref="AS207">IF(V207=DGET(claves!$A$2:$AS423,V$2,{claves!$A$2;$E207}),1,0)</f>
        <v>#VALUE!</v>
      </c>
      <c r="AT207" s="436" t="str">
        <f t="array" ref="AT207">IF(W207=DGET(claves!$A$2:$AS423,W$2,{claves!$A$2;$E207}),1,0)</f>
        <v>#VALUE!</v>
      </c>
      <c r="AU207" s="436" t="str">
        <f t="array" ref="AU207">IF(X207=DGET(claves!$A$2:$AS423,X$2,{claves!$A$2;$E207}),1,0)</f>
        <v>#VALUE!</v>
      </c>
      <c r="AV207" s="436" t="str">
        <f t="array" ref="AV207">IF(Y207=DGET(claves!$A$2:$AS423,Y$2,{claves!$A$2;$E207}),1,0)</f>
        <v>#VALUE!</v>
      </c>
      <c r="AW207" s="436" t="str">
        <f t="array" ref="AW207">IF(Z207=DGET(claves!$A$2:$AS423,Z$2,{claves!$A$2;$E207}),1,0)</f>
        <v>#VALUE!</v>
      </c>
      <c r="AX207" s="436" t="str">
        <f t="array" ref="AX207">IF(AA207=DGET(claves!$A$2:$AS423,AA$2,{claves!$A$2;$E207}),1,0)</f>
        <v>#VALUE!</v>
      </c>
      <c r="AY207" s="436" t="str">
        <f t="array" ref="AY207">IF(AB207=DGET(claves!$A$2:$AS423,AB$2,{claves!$A$2;$E207}),1,0)</f>
        <v>#VALUE!</v>
      </c>
      <c r="AZ207" s="436" t="str">
        <f t="array" ref="AZ207">IF(AC207=DGET(claves!$A$2:$AS423,AC$2,{claves!$A$2;$E207}),1,0)</f>
        <v>#VALUE!</v>
      </c>
      <c r="BA207" s="436" t="str">
        <f t="array" ref="BA207">IF(AD207=DGET(claves!$A$2:$AS423,AD$2,{claves!$A$2;$E207}),1,0)</f>
        <v>#VALUE!</v>
      </c>
      <c r="BB207" s="436" t="str">
        <f t="array" ref="BB207">IF(AE207=DGET(claves!$A$2:$AS423,AE$2,{claves!$A$2;$E207}),1,0)</f>
        <v>#VALUE!</v>
      </c>
      <c r="BC207" s="436" t="str">
        <f t="array" ref="BC207">IF(AF207=DGET(claves!$A$2:$AS423,AF$2,{claves!$A$2;$E207}),1,0)</f>
        <v>#VALUE!</v>
      </c>
      <c r="BD207" s="437" t="str">
        <f t="shared" si="1"/>
        <v>#VALUE!</v>
      </c>
      <c r="BE207" s="435"/>
      <c r="BF207" s="415"/>
    </row>
    <row r="208" ht="14.25" customHeight="1">
      <c r="A208" s="408">
        <v>206.0</v>
      </c>
      <c r="B208" s="153" t="s">
        <v>1864</v>
      </c>
      <c r="C208" s="153">
        <v>2024.0</v>
      </c>
      <c r="D208" s="77" t="s">
        <v>1817</v>
      </c>
      <c r="E208" s="409" t="str">
        <f>IFERROR(__xludf.DUMMYFUNCTION("ARRAYFORMULA(JOIN("""", ARRAYFORMULA(MID(SPLIT(F208, "" ""), 1, 1))))
&amp;""/""&amp;G208"),"CLQ/4 Primaria")</f>
        <v>CLQ/4 Primaria</v>
      </c>
      <c r="F208" s="77" t="s">
        <v>1827</v>
      </c>
      <c r="G208" s="432" t="s">
        <v>20</v>
      </c>
      <c r="H208" s="433" t="s">
        <v>1877</v>
      </c>
      <c r="I208" s="433" t="s">
        <v>1761</v>
      </c>
      <c r="J208" s="433" t="s">
        <v>1878</v>
      </c>
      <c r="K208" s="432" t="s">
        <v>1665</v>
      </c>
      <c r="L208" s="415"/>
      <c r="M208" s="434" t="s">
        <v>1659</v>
      </c>
      <c r="N208" s="434" t="s">
        <v>1661</v>
      </c>
      <c r="O208" s="434" t="s">
        <v>1660</v>
      </c>
      <c r="P208" s="434" t="s">
        <v>1659</v>
      </c>
      <c r="Q208" s="434" t="s">
        <v>1689</v>
      </c>
      <c r="R208" s="434" t="s">
        <v>1689</v>
      </c>
      <c r="S208" s="434" t="s">
        <v>1660</v>
      </c>
      <c r="T208" s="434" t="s">
        <v>1661</v>
      </c>
      <c r="U208" s="434" t="s">
        <v>1660</v>
      </c>
      <c r="V208" s="434" t="s">
        <v>1661</v>
      </c>
      <c r="W208" s="434" t="s">
        <v>1689</v>
      </c>
      <c r="X208" s="434" t="s">
        <v>1661</v>
      </c>
      <c r="Y208" s="434" t="s">
        <v>1659</v>
      </c>
      <c r="Z208" s="434" t="s">
        <v>1659</v>
      </c>
      <c r="AA208" s="434" t="s">
        <v>1660</v>
      </c>
      <c r="AB208" s="434" t="s">
        <v>1661</v>
      </c>
      <c r="AC208" s="434" t="s">
        <v>1661</v>
      </c>
      <c r="AD208" s="434" t="s">
        <v>1689</v>
      </c>
      <c r="AE208" s="434" t="s">
        <v>1659</v>
      </c>
      <c r="AF208" s="434" t="s">
        <v>1660</v>
      </c>
      <c r="AG208" s="427">
        <v>12.0</v>
      </c>
      <c r="AH208" s="435" t="s">
        <v>24</v>
      </c>
      <c r="AI208" s="415"/>
      <c r="AJ208" s="436" t="str">
        <f t="array" ref="AJ208">IF(M208=DGET(claves!$A$2:$AS423,M$2,{claves!$A$2;$E208}),1,0)</f>
        <v>#VALUE!</v>
      </c>
      <c r="AK208" s="436" t="str">
        <f t="array" ref="AK208">IF(N208=DGET(claves!$A$2:$AS423,N$2,{claves!$A$2;$E208}),1,0)</f>
        <v>#VALUE!</v>
      </c>
      <c r="AL208" s="436" t="str">
        <f t="array" ref="AL208">IF(O208=DGET(claves!$A$2:$AS423,O$2,{claves!$A$2;$E208}),1,0)</f>
        <v>#VALUE!</v>
      </c>
      <c r="AM208" s="436" t="str">
        <f t="array" ref="AM208">IF(P208=DGET(claves!$A$2:$AS423,P$2,{claves!$A$2;$E208}),1,0)</f>
        <v>#VALUE!</v>
      </c>
      <c r="AN208" s="436" t="str">
        <f t="array" ref="AN208">IF(Q208=DGET(claves!$A$2:$AS423,Q$2,{claves!$A$2;$E208}),1,0)</f>
        <v>#VALUE!</v>
      </c>
      <c r="AO208" s="436" t="str">
        <f t="array" ref="AO208">IF(R208=DGET(claves!$A$2:$AS423,R$2,{claves!$A$2;$E208}),1,0)</f>
        <v>#VALUE!</v>
      </c>
      <c r="AP208" s="436" t="str">
        <f t="array" ref="AP208">IF(S208=DGET(claves!$A$2:$AS423,S$2,{claves!$A$2;$E208}),1,0)</f>
        <v>#VALUE!</v>
      </c>
      <c r="AQ208" s="436" t="str">
        <f t="array" ref="AQ208">IF(T208=DGET(claves!$A$2:$AS423,T$2,{claves!$A$2;$E208}),1,0)</f>
        <v>#VALUE!</v>
      </c>
      <c r="AR208" s="436" t="str">
        <f t="array" ref="AR208">IF(U208=DGET(claves!$A$2:$AS423,U$2,{claves!$A$2;$E208}),1,0)</f>
        <v>#VALUE!</v>
      </c>
      <c r="AS208" s="436" t="str">
        <f t="array" ref="AS208">IF(V208=DGET(claves!$A$2:$AS423,V$2,{claves!$A$2;$E208}),1,0)</f>
        <v>#VALUE!</v>
      </c>
      <c r="AT208" s="436" t="str">
        <f t="array" ref="AT208">IF(W208=DGET(claves!$A$2:$AS423,W$2,{claves!$A$2;$E208}),1,0)</f>
        <v>#VALUE!</v>
      </c>
      <c r="AU208" s="436" t="str">
        <f t="array" ref="AU208">IF(X208=DGET(claves!$A$2:$AS423,X$2,{claves!$A$2;$E208}),1,0)</f>
        <v>#VALUE!</v>
      </c>
      <c r="AV208" s="436" t="str">
        <f t="array" ref="AV208">IF(Y208=DGET(claves!$A$2:$AS423,Y$2,{claves!$A$2;$E208}),1,0)</f>
        <v>#VALUE!</v>
      </c>
      <c r="AW208" s="436" t="str">
        <f t="array" ref="AW208">IF(Z208=DGET(claves!$A$2:$AS423,Z$2,{claves!$A$2;$E208}),1,0)</f>
        <v>#VALUE!</v>
      </c>
      <c r="AX208" s="436" t="str">
        <f t="array" ref="AX208">IF(AA208=DGET(claves!$A$2:$AS423,AA$2,{claves!$A$2;$E208}),1,0)</f>
        <v>#VALUE!</v>
      </c>
      <c r="AY208" s="436" t="str">
        <f t="array" ref="AY208">IF(AB208=DGET(claves!$A$2:$AS423,AB$2,{claves!$A$2;$E208}),1,0)</f>
        <v>#VALUE!</v>
      </c>
      <c r="AZ208" s="436" t="str">
        <f t="array" ref="AZ208">IF(AC208=DGET(claves!$A$2:$AS423,AC$2,{claves!$A$2;$E208}),1,0)</f>
        <v>#VALUE!</v>
      </c>
      <c r="BA208" s="436" t="str">
        <f t="array" ref="BA208">IF(AD208=DGET(claves!$A$2:$AS423,AD$2,{claves!$A$2;$E208}),1,0)</f>
        <v>#VALUE!</v>
      </c>
      <c r="BB208" s="436" t="str">
        <f t="array" ref="BB208">IF(AE208=DGET(claves!$A$2:$AS423,AE$2,{claves!$A$2;$E208}),1,0)</f>
        <v>#VALUE!</v>
      </c>
      <c r="BC208" s="436" t="str">
        <f t="array" ref="BC208">IF(AF208=DGET(claves!$A$2:$AS423,AF$2,{claves!$A$2;$E208}),1,0)</f>
        <v>#VALUE!</v>
      </c>
      <c r="BD208" s="437" t="str">
        <f t="shared" si="1"/>
        <v>#VALUE!</v>
      </c>
      <c r="BE208" s="435"/>
      <c r="BF208" s="415"/>
    </row>
    <row r="209" ht="14.25" customHeight="1">
      <c r="A209" s="408">
        <v>207.0</v>
      </c>
      <c r="B209" s="153" t="s">
        <v>1864</v>
      </c>
      <c r="C209" s="153">
        <v>2024.0</v>
      </c>
      <c r="D209" s="77" t="s">
        <v>1817</v>
      </c>
      <c r="E209" s="409" t="str">
        <f>IFERROR(__xludf.DUMMYFUNCTION("ARRAYFORMULA(JOIN("""", ARRAYFORMULA(MID(SPLIT(F209, "" ""), 1, 1))))
&amp;""/""&amp;G209"),"CLQ/4 Primaria")</f>
        <v>CLQ/4 Primaria</v>
      </c>
      <c r="F209" s="77" t="s">
        <v>1827</v>
      </c>
      <c r="G209" s="432" t="s">
        <v>20</v>
      </c>
      <c r="H209" s="433" t="s">
        <v>1879</v>
      </c>
      <c r="I209" s="433" t="s">
        <v>1880</v>
      </c>
      <c r="J209" s="433" t="s">
        <v>1881</v>
      </c>
      <c r="K209" s="433" t="s">
        <v>1658</v>
      </c>
      <c r="L209" s="415"/>
      <c r="M209" s="434" t="s">
        <v>1659</v>
      </c>
      <c r="N209" s="434" t="s">
        <v>1661</v>
      </c>
      <c r="O209" s="434" t="s">
        <v>1660</v>
      </c>
      <c r="P209" s="434" t="s">
        <v>1659</v>
      </c>
      <c r="Q209" s="434" t="s">
        <v>1661</v>
      </c>
      <c r="R209" s="434" t="s">
        <v>1660</v>
      </c>
      <c r="S209" s="434" t="s">
        <v>1660</v>
      </c>
      <c r="T209" s="434" t="s">
        <v>1661</v>
      </c>
      <c r="U209" s="434" t="s">
        <v>1661</v>
      </c>
      <c r="V209" s="434" t="s">
        <v>1661</v>
      </c>
      <c r="W209" s="434" t="s">
        <v>1660</v>
      </c>
      <c r="X209" s="434" t="s">
        <v>1659</v>
      </c>
      <c r="Y209" s="434" t="s">
        <v>1660</v>
      </c>
      <c r="Z209" s="434" t="s">
        <v>1661</v>
      </c>
      <c r="AA209" s="434" t="s">
        <v>1659</v>
      </c>
      <c r="AB209" s="434" t="s">
        <v>1661</v>
      </c>
      <c r="AC209" s="434" t="s">
        <v>1659</v>
      </c>
      <c r="AD209" s="434" t="s">
        <v>1689</v>
      </c>
      <c r="AE209" s="434" t="s">
        <v>1659</v>
      </c>
      <c r="AF209" s="434" t="s">
        <v>1660</v>
      </c>
      <c r="AG209" s="427">
        <v>10.0</v>
      </c>
      <c r="AH209" s="435" t="s">
        <v>18</v>
      </c>
      <c r="AI209" s="415"/>
      <c r="AJ209" s="436" t="str">
        <f t="array" ref="AJ209">IF(M209=DGET(claves!$A$2:$AS423,M$2,{claves!$A$2;$E209}),1,0)</f>
        <v>#VALUE!</v>
      </c>
      <c r="AK209" s="436" t="str">
        <f t="array" ref="AK209">IF(N209=DGET(claves!$A$2:$AS423,N$2,{claves!$A$2;$E209}),1,0)</f>
        <v>#VALUE!</v>
      </c>
      <c r="AL209" s="436" t="str">
        <f t="array" ref="AL209">IF(O209=DGET(claves!$A$2:$AS423,O$2,{claves!$A$2;$E209}),1,0)</f>
        <v>#VALUE!</v>
      </c>
      <c r="AM209" s="436" t="str">
        <f t="array" ref="AM209">IF(P209=DGET(claves!$A$2:$AS423,P$2,{claves!$A$2;$E209}),1,0)</f>
        <v>#VALUE!</v>
      </c>
      <c r="AN209" s="436" t="str">
        <f t="array" ref="AN209">IF(Q209=DGET(claves!$A$2:$AS423,Q$2,{claves!$A$2;$E209}),1,0)</f>
        <v>#VALUE!</v>
      </c>
      <c r="AO209" s="436" t="str">
        <f t="array" ref="AO209">IF(R209=DGET(claves!$A$2:$AS423,R$2,{claves!$A$2;$E209}),1,0)</f>
        <v>#VALUE!</v>
      </c>
      <c r="AP209" s="436" t="str">
        <f t="array" ref="AP209">IF(S209=DGET(claves!$A$2:$AS423,S$2,{claves!$A$2;$E209}),1,0)</f>
        <v>#VALUE!</v>
      </c>
      <c r="AQ209" s="436" t="str">
        <f t="array" ref="AQ209">IF(T209=DGET(claves!$A$2:$AS423,T$2,{claves!$A$2;$E209}),1,0)</f>
        <v>#VALUE!</v>
      </c>
      <c r="AR209" s="436" t="str">
        <f t="array" ref="AR209">IF(U209=DGET(claves!$A$2:$AS423,U$2,{claves!$A$2;$E209}),1,0)</f>
        <v>#VALUE!</v>
      </c>
      <c r="AS209" s="436" t="str">
        <f t="array" ref="AS209">IF(V209=DGET(claves!$A$2:$AS423,V$2,{claves!$A$2;$E209}),1,0)</f>
        <v>#VALUE!</v>
      </c>
      <c r="AT209" s="436" t="str">
        <f t="array" ref="AT209">IF(W209=DGET(claves!$A$2:$AS423,W$2,{claves!$A$2;$E209}),1,0)</f>
        <v>#VALUE!</v>
      </c>
      <c r="AU209" s="436" t="str">
        <f t="array" ref="AU209">IF(X209=DGET(claves!$A$2:$AS423,X$2,{claves!$A$2;$E209}),1,0)</f>
        <v>#VALUE!</v>
      </c>
      <c r="AV209" s="436" t="str">
        <f t="array" ref="AV209">IF(Y209=DGET(claves!$A$2:$AS423,Y$2,{claves!$A$2;$E209}),1,0)</f>
        <v>#VALUE!</v>
      </c>
      <c r="AW209" s="436" t="str">
        <f t="array" ref="AW209">IF(Z209=DGET(claves!$A$2:$AS423,Z$2,{claves!$A$2;$E209}),1,0)</f>
        <v>#VALUE!</v>
      </c>
      <c r="AX209" s="436" t="str">
        <f t="array" ref="AX209">IF(AA209=DGET(claves!$A$2:$AS423,AA$2,{claves!$A$2;$E209}),1,0)</f>
        <v>#VALUE!</v>
      </c>
      <c r="AY209" s="436" t="str">
        <f t="array" ref="AY209">IF(AB209=DGET(claves!$A$2:$AS423,AB$2,{claves!$A$2;$E209}),1,0)</f>
        <v>#VALUE!</v>
      </c>
      <c r="AZ209" s="436" t="str">
        <f t="array" ref="AZ209">IF(AC209=DGET(claves!$A$2:$AS423,AC$2,{claves!$A$2;$E209}),1,0)</f>
        <v>#VALUE!</v>
      </c>
      <c r="BA209" s="436" t="str">
        <f t="array" ref="BA209">IF(AD209=DGET(claves!$A$2:$AS423,AD$2,{claves!$A$2;$E209}),1,0)</f>
        <v>#VALUE!</v>
      </c>
      <c r="BB209" s="436" t="str">
        <f t="array" ref="BB209">IF(AE209=DGET(claves!$A$2:$AS423,AE$2,{claves!$A$2;$E209}),1,0)</f>
        <v>#VALUE!</v>
      </c>
      <c r="BC209" s="436" t="str">
        <f t="array" ref="BC209">IF(AF209=DGET(claves!$A$2:$AS423,AF$2,{claves!$A$2;$E209}),1,0)</f>
        <v>#VALUE!</v>
      </c>
      <c r="BD209" s="437" t="str">
        <f t="shared" si="1"/>
        <v>#VALUE!</v>
      </c>
      <c r="BE209" s="435"/>
      <c r="BF209" s="415"/>
    </row>
    <row r="210" ht="14.25" customHeight="1">
      <c r="A210" s="408">
        <v>208.0</v>
      </c>
      <c r="B210" s="153" t="s">
        <v>1864</v>
      </c>
      <c r="C210" s="153">
        <v>2024.0</v>
      </c>
      <c r="D210" s="77" t="s">
        <v>1817</v>
      </c>
      <c r="E210" s="409" t="str">
        <f>IFERROR(__xludf.DUMMYFUNCTION("ARRAYFORMULA(JOIN("""", ARRAYFORMULA(MID(SPLIT(F210, "" ""), 1, 1))))
&amp;""/""&amp;G210"),"CLQ/4 Primaria")</f>
        <v>CLQ/4 Primaria</v>
      </c>
      <c r="F210" s="77" t="s">
        <v>1827</v>
      </c>
      <c r="G210" s="432" t="s">
        <v>20</v>
      </c>
      <c r="H210" s="433" t="s">
        <v>1882</v>
      </c>
      <c r="I210" s="433" t="s">
        <v>1883</v>
      </c>
      <c r="J210" s="433" t="s">
        <v>1884</v>
      </c>
      <c r="K210" s="432" t="s">
        <v>1665</v>
      </c>
      <c r="L210" s="415"/>
      <c r="M210" s="434" t="s">
        <v>1659</v>
      </c>
      <c r="N210" s="434" t="s">
        <v>1660</v>
      </c>
      <c r="O210" s="434" t="s">
        <v>1660</v>
      </c>
      <c r="P210" s="434" t="s">
        <v>1659</v>
      </c>
      <c r="Q210" s="434" t="s">
        <v>1661</v>
      </c>
      <c r="R210" s="434" t="s">
        <v>1689</v>
      </c>
      <c r="S210" s="434" t="s">
        <v>1660</v>
      </c>
      <c r="T210" s="434" t="s">
        <v>1661</v>
      </c>
      <c r="U210" s="434" t="s">
        <v>1689</v>
      </c>
      <c r="V210" s="434" t="s">
        <v>1661</v>
      </c>
      <c r="W210" s="434" t="s">
        <v>1689</v>
      </c>
      <c r="X210" s="434" t="s">
        <v>1660</v>
      </c>
      <c r="Y210" s="434" t="s">
        <v>1659</v>
      </c>
      <c r="Z210" s="434" t="s">
        <v>1659</v>
      </c>
      <c r="AA210" s="434" t="s">
        <v>1661</v>
      </c>
      <c r="AB210" s="434" t="s">
        <v>1661</v>
      </c>
      <c r="AC210" s="434" t="s">
        <v>1661</v>
      </c>
      <c r="AD210" s="434" t="s">
        <v>1689</v>
      </c>
      <c r="AE210" s="434" t="s">
        <v>1659</v>
      </c>
      <c r="AF210" s="434" t="s">
        <v>1689</v>
      </c>
      <c r="AG210" s="427">
        <v>18.0</v>
      </c>
      <c r="AH210" s="438" t="s">
        <v>32</v>
      </c>
      <c r="AI210" s="415"/>
      <c r="AJ210" s="436" t="str">
        <f t="array" ref="AJ210">IF(M210=DGET(claves!$A$2:$AS423,M$2,{claves!$A$2;$E210}),1,0)</f>
        <v>#VALUE!</v>
      </c>
      <c r="AK210" s="436" t="str">
        <f t="array" ref="AK210">IF(N210=DGET(claves!$A$2:$AS423,N$2,{claves!$A$2;$E210}),1,0)</f>
        <v>#VALUE!</v>
      </c>
      <c r="AL210" s="436" t="str">
        <f t="array" ref="AL210">IF(O210=DGET(claves!$A$2:$AS423,O$2,{claves!$A$2;$E210}),1,0)</f>
        <v>#VALUE!</v>
      </c>
      <c r="AM210" s="436" t="str">
        <f t="array" ref="AM210">IF(P210=DGET(claves!$A$2:$AS423,P$2,{claves!$A$2;$E210}),1,0)</f>
        <v>#VALUE!</v>
      </c>
      <c r="AN210" s="436" t="str">
        <f t="array" ref="AN210">IF(Q210=DGET(claves!$A$2:$AS423,Q$2,{claves!$A$2;$E210}),1,0)</f>
        <v>#VALUE!</v>
      </c>
      <c r="AO210" s="436" t="str">
        <f t="array" ref="AO210">IF(R210=DGET(claves!$A$2:$AS423,R$2,{claves!$A$2;$E210}),1,0)</f>
        <v>#VALUE!</v>
      </c>
      <c r="AP210" s="436" t="str">
        <f t="array" ref="AP210">IF(S210=DGET(claves!$A$2:$AS423,S$2,{claves!$A$2;$E210}),1,0)</f>
        <v>#VALUE!</v>
      </c>
      <c r="AQ210" s="436" t="str">
        <f t="array" ref="AQ210">IF(T210=DGET(claves!$A$2:$AS423,T$2,{claves!$A$2;$E210}),1,0)</f>
        <v>#VALUE!</v>
      </c>
      <c r="AR210" s="436" t="str">
        <f t="array" ref="AR210">IF(U210=DGET(claves!$A$2:$AS423,U$2,{claves!$A$2;$E210}),1,0)</f>
        <v>#VALUE!</v>
      </c>
      <c r="AS210" s="436" t="str">
        <f t="array" ref="AS210">IF(V210=DGET(claves!$A$2:$AS423,V$2,{claves!$A$2;$E210}),1,0)</f>
        <v>#VALUE!</v>
      </c>
      <c r="AT210" s="436" t="str">
        <f t="array" ref="AT210">IF(W210=DGET(claves!$A$2:$AS423,W$2,{claves!$A$2;$E210}),1,0)</f>
        <v>#VALUE!</v>
      </c>
      <c r="AU210" s="436" t="str">
        <f t="array" ref="AU210">IF(X210=DGET(claves!$A$2:$AS423,X$2,{claves!$A$2;$E210}),1,0)</f>
        <v>#VALUE!</v>
      </c>
      <c r="AV210" s="436" t="str">
        <f t="array" ref="AV210">IF(Y210=DGET(claves!$A$2:$AS423,Y$2,{claves!$A$2;$E210}),1,0)</f>
        <v>#VALUE!</v>
      </c>
      <c r="AW210" s="436" t="str">
        <f t="array" ref="AW210">IF(Z210=DGET(claves!$A$2:$AS423,Z$2,{claves!$A$2;$E210}),1,0)</f>
        <v>#VALUE!</v>
      </c>
      <c r="AX210" s="436" t="str">
        <f t="array" ref="AX210">IF(AA210=DGET(claves!$A$2:$AS423,AA$2,{claves!$A$2;$E210}),1,0)</f>
        <v>#VALUE!</v>
      </c>
      <c r="AY210" s="436" t="str">
        <f t="array" ref="AY210">IF(AB210=DGET(claves!$A$2:$AS423,AB$2,{claves!$A$2;$E210}),1,0)</f>
        <v>#VALUE!</v>
      </c>
      <c r="AZ210" s="436" t="str">
        <f t="array" ref="AZ210">IF(AC210=DGET(claves!$A$2:$AS423,AC$2,{claves!$A$2;$E210}),1,0)</f>
        <v>#VALUE!</v>
      </c>
      <c r="BA210" s="436" t="str">
        <f t="array" ref="BA210">IF(AD210=DGET(claves!$A$2:$AS423,AD$2,{claves!$A$2;$E210}),1,0)</f>
        <v>#VALUE!</v>
      </c>
      <c r="BB210" s="436" t="str">
        <f t="array" ref="BB210">IF(AE210=DGET(claves!$A$2:$AS423,AE$2,{claves!$A$2;$E210}),1,0)</f>
        <v>#VALUE!</v>
      </c>
      <c r="BC210" s="436" t="str">
        <f t="array" ref="BC210">IF(AF210=DGET(claves!$A$2:$AS423,AF$2,{claves!$A$2;$E210}),1,0)</f>
        <v>#VALUE!</v>
      </c>
      <c r="BD210" s="437" t="str">
        <f t="shared" si="1"/>
        <v>#VALUE!</v>
      </c>
      <c r="BE210" s="435"/>
      <c r="BF210" s="415"/>
    </row>
    <row r="211" ht="14.25" customHeight="1">
      <c r="A211" s="408">
        <v>209.0</v>
      </c>
      <c r="B211" s="153" t="s">
        <v>1864</v>
      </c>
      <c r="C211" s="153">
        <v>2024.0</v>
      </c>
      <c r="D211" s="77" t="s">
        <v>1817</v>
      </c>
      <c r="E211" s="409" t="str">
        <f>IFERROR(__xludf.DUMMYFUNCTION("ARRAYFORMULA(JOIN("""", ARRAYFORMULA(MID(SPLIT(F211, "" ""), 1, 1))))
&amp;""/""&amp;G211"),"CLQ/4 Primaria")</f>
        <v>CLQ/4 Primaria</v>
      </c>
      <c r="F211" s="77" t="s">
        <v>1827</v>
      </c>
      <c r="G211" s="432" t="s">
        <v>20</v>
      </c>
      <c r="H211" s="433" t="s">
        <v>1885</v>
      </c>
      <c r="I211" s="433" t="s">
        <v>1655</v>
      </c>
      <c r="J211" s="433" t="s">
        <v>1886</v>
      </c>
      <c r="K211" s="433" t="s">
        <v>1658</v>
      </c>
      <c r="L211" s="415"/>
      <c r="M211" s="434" t="s">
        <v>1659</v>
      </c>
      <c r="N211" s="434" t="s">
        <v>1661</v>
      </c>
      <c r="O211" s="434" t="s">
        <v>1660</v>
      </c>
      <c r="P211" s="434" t="s">
        <v>1659</v>
      </c>
      <c r="Q211" s="434" t="s">
        <v>1689</v>
      </c>
      <c r="R211" s="434" t="s">
        <v>1689</v>
      </c>
      <c r="S211" s="434" t="s">
        <v>1660</v>
      </c>
      <c r="T211" s="434" t="s">
        <v>1660</v>
      </c>
      <c r="U211" s="434" t="s">
        <v>1689</v>
      </c>
      <c r="V211" s="434" t="s">
        <v>1661</v>
      </c>
      <c r="W211" s="434" t="s">
        <v>1659</v>
      </c>
      <c r="X211" s="434" t="s">
        <v>1660</v>
      </c>
      <c r="Y211" s="434" t="s">
        <v>1659</v>
      </c>
      <c r="Z211" s="434" t="s">
        <v>1659</v>
      </c>
      <c r="AA211" s="434" t="s">
        <v>1661</v>
      </c>
      <c r="AB211" s="434" t="s">
        <v>1661</v>
      </c>
      <c r="AC211" s="434" t="s">
        <v>1660</v>
      </c>
      <c r="AD211" s="434" t="s">
        <v>1660</v>
      </c>
      <c r="AE211" s="434" t="s">
        <v>1659</v>
      </c>
      <c r="AF211" s="434" t="s">
        <v>1689</v>
      </c>
      <c r="AG211" s="427">
        <v>12.0</v>
      </c>
      <c r="AH211" s="435" t="s">
        <v>24</v>
      </c>
      <c r="AI211" s="415"/>
      <c r="AJ211" s="436" t="str">
        <f t="array" ref="AJ211">IF(M211=DGET(claves!$A$2:$AS423,M$2,{claves!$A$2;$E211}),1,0)</f>
        <v>#VALUE!</v>
      </c>
      <c r="AK211" s="436" t="str">
        <f t="array" ref="AK211">IF(N211=DGET(claves!$A$2:$AS423,N$2,{claves!$A$2;$E211}),1,0)</f>
        <v>#VALUE!</v>
      </c>
      <c r="AL211" s="436" t="str">
        <f t="array" ref="AL211">IF(O211=DGET(claves!$A$2:$AS423,O$2,{claves!$A$2;$E211}),1,0)</f>
        <v>#VALUE!</v>
      </c>
      <c r="AM211" s="436" t="str">
        <f t="array" ref="AM211">IF(P211=DGET(claves!$A$2:$AS423,P$2,{claves!$A$2;$E211}),1,0)</f>
        <v>#VALUE!</v>
      </c>
      <c r="AN211" s="436" t="str">
        <f t="array" ref="AN211">IF(Q211=DGET(claves!$A$2:$AS423,Q$2,{claves!$A$2;$E211}),1,0)</f>
        <v>#VALUE!</v>
      </c>
      <c r="AO211" s="436" t="str">
        <f t="array" ref="AO211">IF(R211=DGET(claves!$A$2:$AS423,R$2,{claves!$A$2;$E211}),1,0)</f>
        <v>#VALUE!</v>
      </c>
      <c r="AP211" s="436" t="str">
        <f t="array" ref="AP211">IF(S211=DGET(claves!$A$2:$AS423,S$2,{claves!$A$2;$E211}),1,0)</f>
        <v>#VALUE!</v>
      </c>
      <c r="AQ211" s="436" t="str">
        <f t="array" ref="AQ211">IF(T211=DGET(claves!$A$2:$AS423,T$2,{claves!$A$2;$E211}),1,0)</f>
        <v>#VALUE!</v>
      </c>
      <c r="AR211" s="436" t="str">
        <f t="array" ref="AR211">IF(U211=DGET(claves!$A$2:$AS423,U$2,{claves!$A$2;$E211}),1,0)</f>
        <v>#VALUE!</v>
      </c>
      <c r="AS211" s="436" t="str">
        <f t="array" ref="AS211">IF(V211=DGET(claves!$A$2:$AS423,V$2,{claves!$A$2;$E211}),1,0)</f>
        <v>#VALUE!</v>
      </c>
      <c r="AT211" s="436" t="str">
        <f t="array" ref="AT211">IF(W211=DGET(claves!$A$2:$AS423,W$2,{claves!$A$2;$E211}),1,0)</f>
        <v>#VALUE!</v>
      </c>
      <c r="AU211" s="436" t="str">
        <f t="array" ref="AU211">IF(X211=DGET(claves!$A$2:$AS423,X$2,{claves!$A$2;$E211}),1,0)</f>
        <v>#VALUE!</v>
      </c>
      <c r="AV211" s="436" t="str">
        <f t="array" ref="AV211">IF(Y211=DGET(claves!$A$2:$AS423,Y$2,{claves!$A$2;$E211}),1,0)</f>
        <v>#VALUE!</v>
      </c>
      <c r="AW211" s="436" t="str">
        <f t="array" ref="AW211">IF(Z211=DGET(claves!$A$2:$AS423,Z$2,{claves!$A$2;$E211}),1,0)</f>
        <v>#VALUE!</v>
      </c>
      <c r="AX211" s="436" t="str">
        <f t="array" ref="AX211">IF(AA211=DGET(claves!$A$2:$AS423,AA$2,{claves!$A$2;$E211}),1,0)</f>
        <v>#VALUE!</v>
      </c>
      <c r="AY211" s="436" t="str">
        <f t="array" ref="AY211">IF(AB211=DGET(claves!$A$2:$AS423,AB$2,{claves!$A$2;$E211}),1,0)</f>
        <v>#VALUE!</v>
      </c>
      <c r="AZ211" s="436" t="str">
        <f t="array" ref="AZ211">IF(AC211=DGET(claves!$A$2:$AS423,AC$2,{claves!$A$2;$E211}),1,0)</f>
        <v>#VALUE!</v>
      </c>
      <c r="BA211" s="436" t="str">
        <f t="array" ref="BA211">IF(AD211=DGET(claves!$A$2:$AS423,AD$2,{claves!$A$2;$E211}),1,0)</f>
        <v>#VALUE!</v>
      </c>
      <c r="BB211" s="436" t="str">
        <f t="array" ref="BB211">IF(AE211=DGET(claves!$A$2:$AS423,AE$2,{claves!$A$2;$E211}),1,0)</f>
        <v>#VALUE!</v>
      </c>
      <c r="BC211" s="436" t="str">
        <f t="array" ref="BC211">IF(AF211=DGET(claves!$A$2:$AS423,AF$2,{claves!$A$2;$E211}),1,0)</f>
        <v>#VALUE!</v>
      </c>
      <c r="BD211" s="437" t="str">
        <f t="shared" si="1"/>
        <v>#VALUE!</v>
      </c>
      <c r="BE211" s="435"/>
      <c r="BF211" s="415"/>
    </row>
    <row r="212" ht="14.25" customHeight="1">
      <c r="A212" s="408">
        <v>210.0</v>
      </c>
      <c r="B212" s="153" t="s">
        <v>1864</v>
      </c>
      <c r="C212" s="153">
        <v>2024.0</v>
      </c>
      <c r="D212" s="77" t="s">
        <v>1817</v>
      </c>
      <c r="E212" s="409" t="str">
        <f>IFERROR(__xludf.DUMMYFUNCTION("ARRAYFORMULA(JOIN("""", ARRAYFORMULA(MID(SPLIT(F212, "" ""), 1, 1))))
&amp;""/""&amp;G212"),"CLQ/4 Primaria")</f>
        <v>CLQ/4 Primaria</v>
      </c>
      <c r="F212" s="77" t="s">
        <v>1827</v>
      </c>
      <c r="G212" s="432" t="s">
        <v>20</v>
      </c>
      <c r="H212" s="433" t="s">
        <v>1662</v>
      </c>
      <c r="I212" s="433" t="s">
        <v>1703</v>
      </c>
      <c r="J212" s="433" t="s">
        <v>1887</v>
      </c>
      <c r="K212" s="433" t="s">
        <v>1658</v>
      </c>
      <c r="L212" s="415"/>
      <c r="M212" s="434" t="s">
        <v>1659</v>
      </c>
      <c r="N212" s="434" t="s">
        <v>1661</v>
      </c>
      <c r="O212" s="434" t="s">
        <v>1660</v>
      </c>
      <c r="P212" s="434" t="s">
        <v>1659</v>
      </c>
      <c r="Q212" s="434" t="s">
        <v>1659</v>
      </c>
      <c r="R212" s="434" t="s">
        <v>1660</v>
      </c>
      <c r="S212" s="434" t="s">
        <v>1660</v>
      </c>
      <c r="T212" s="434" t="s">
        <v>1660</v>
      </c>
      <c r="U212" s="434" t="s">
        <v>1689</v>
      </c>
      <c r="V212" s="434" t="s">
        <v>1661</v>
      </c>
      <c r="W212" s="434" t="s">
        <v>1660</v>
      </c>
      <c r="X212" s="434" t="s">
        <v>1689</v>
      </c>
      <c r="Y212" s="434" t="s">
        <v>1659</v>
      </c>
      <c r="Z212" s="434" t="s">
        <v>1660</v>
      </c>
      <c r="AA212" s="434" t="s">
        <v>1659</v>
      </c>
      <c r="AB212" s="434" t="s">
        <v>1659</v>
      </c>
      <c r="AC212" s="434" t="s">
        <v>1689</v>
      </c>
      <c r="AD212" s="434" t="s">
        <v>1661</v>
      </c>
      <c r="AE212" s="434" t="s">
        <v>1689</v>
      </c>
      <c r="AF212" s="434" t="s">
        <v>1661</v>
      </c>
      <c r="AG212" s="427">
        <v>7.0</v>
      </c>
      <c r="AH212" s="435" t="s">
        <v>18</v>
      </c>
      <c r="AI212" s="415"/>
      <c r="AJ212" s="436" t="str">
        <f t="array" ref="AJ212">IF(M212=DGET(claves!$A$2:$AS423,M$2,{claves!$A$2;$E212}),1,0)</f>
        <v>#VALUE!</v>
      </c>
      <c r="AK212" s="436" t="str">
        <f t="array" ref="AK212">IF(N212=DGET(claves!$A$2:$AS423,N$2,{claves!$A$2;$E212}),1,0)</f>
        <v>#VALUE!</v>
      </c>
      <c r="AL212" s="436" t="str">
        <f t="array" ref="AL212">IF(O212=DGET(claves!$A$2:$AS423,O$2,{claves!$A$2;$E212}),1,0)</f>
        <v>#VALUE!</v>
      </c>
      <c r="AM212" s="436" t="str">
        <f t="array" ref="AM212">IF(P212=DGET(claves!$A$2:$AS423,P$2,{claves!$A$2;$E212}),1,0)</f>
        <v>#VALUE!</v>
      </c>
      <c r="AN212" s="436" t="str">
        <f t="array" ref="AN212">IF(Q212=DGET(claves!$A$2:$AS423,Q$2,{claves!$A$2;$E212}),1,0)</f>
        <v>#VALUE!</v>
      </c>
      <c r="AO212" s="436" t="str">
        <f t="array" ref="AO212">IF(R212=DGET(claves!$A$2:$AS423,R$2,{claves!$A$2;$E212}),1,0)</f>
        <v>#VALUE!</v>
      </c>
      <c r="AP212" s="436" t="str">
        <f t="array" ref="AP212">IF(S212=DGET(claves!$A$2:$AS423,S$2,{claves!$A$2;$E212}),1,0)</f>
        <v>#VALUE!</v>
      </c>
      <c r="AQ212" s="436" t="str">
        <f t="array" ref="AQ212">IF(T212=DGET(claves!$A$2:$AS423,T$2,{claves!$A$2;$E212}),1,0)</f>
        <v>#VALUE!</v>
      </c>
      <c r="AR212" s="436" t="str">
        <f t="array" ref="AR212">IF(U212=DGET(claves!$A$2:$AS423,U$2,{claves!$A$2;$E212}),1,0)</f>
        <v>#VALUE!</v>
      </c>
      <c r="AS212" s="436" t="str">
        <f t="array" ref="AS212">IF(V212=DGET(claves!$A$2:$AS423,V$2,{claves!$A$2;$E212}),1,0)</f>
        <v>#VALUE!</v>
      </c>
      <c r="AT212" s="436" t="str">
        <f t="array" ref="AT212">IF(W212=DGET(claves!$A$2:$AS423,W$2,{claves!$A$2;$E212}),1,0)</f>
        <v>#VALUE!</v>
      </c>
      <c r="AU212" s="436" t="str">
        <f t="array" ref="AU212">IF(X212=DGET(claves!$A$2:$AS423,X$2,{claves!$A$2;$E212}),1,0)</f>
        <v>#VALUE!</v>
      </c>
      <c r="AV212" s="436" t="str">
        <f t="array" ref="AV212">IF(Y212=DGET(claves!$A$2:$AS423,Y$2,{claves!$A$2;$E212}),1,0)</f>
        <v>#VALUE!</v>
      </c>
      <c r="AW212" s="436" t="str">
        <f t="array" ref="AW212">IF(Z212=DGET(claves!$A$2:$AS423,Z$2,{claves!$A$2;$E212}),1,0)</f>
        <v>#VALUE!</v>
      </c>
      <c r="AX212" s="436" t="str">
        <f t="array" ref="AX212">IF(AA212=DGET(claves!$A$2:$AS423,AA$2,{claves!$A$2;$E212}),1,0)</f>
        <v>#VALUE!</v>
      </c>
      <c r="AY212" s="436" t="str">
        <f t="array" ref="AY212">IF(AB212=DGET(claves!$A$2:$AS423,AB$2,{claves!$A$2;$E212}),1,0)</f>
        <v>#VALUE!</v>
      </c>
      <c r="AZ212" s="436" t="str">
        <f t="array" ref="AZ212">IF(AC212=DGET(claves!$A$2:$AS423,AC$2,{claves!$A$2;$E212}),1,0)</f>
        <v>#VALUE!</v>
      </c>
      <c r="BA212" s="436" t="str">
        <f t="array" ref="BA212">IF(AD212=DGET(claves!$A$2:$AS423,AD$2,{claves!$A$2;$E212}),1,0)</f>
        <v>#VALUE!</v>
      </c>
      <c r="BB212" s="436" t="str">
        <f t="array" ref="BB212">IF(AE212=DGET(claves!$A$2:$AS423,AE$2,{claves!$A$2;$E212}),1,0)</f>
        <v>#VALUE!</v>
      </c>
      <c r="BC212" s="436" t="str">
        <f t="array" ref="BC212">IF(AF212=DGET(claves!$A$2:$AS423,AF$2,{claves!$A$2;$E212}),1,0)</f>
        <v>#VALUE!</v>
      </c>
      <c r="BD212" s="437" t="str">
        <f t="shared" si="1"/>
        <v>#VALUE!</v>
      </c>
      <c r="BE212" s="435"/>
      <c r="BF212" s="415"/>
    </row>
    <row r="213" ht="14.25" customHeight="1">
      <c r="A213" s="408">
        <v>211.0</v>
      </c>
      <c r="B213" s="153" t="s">
        <v>1864</v>
      </c>
      <c r="C213" s="153">
        <v>2024.0</v>
      </c>
      <c r="D213" s="77" t="s">
        <v>1817</v>
      </c>
      <c r="E213" s="409" t="str">
        <f>IFERROR(__xludf.DUMMYFUNCTION("ARRAYFORMULA(JOIN("""", ARRAYFORMULA(MID(SPLIT(F213, "" ""), 1, 1))))
&amp;""/""&amp;G213"),"CLQ/4 Primaria")</f>
        <v>CLQ/4 Primaria</v>
      </c>
      <c r="F213" s="77" t="s">
        <v>1827</v>
      </c>
      <c r="G213" s="432" t="s">
        <v>20</v>
      </c>
      <c r="H213" s="433" t="s">
        <v>1888</v>
      </c>
      <c r="I213" s="433" t="s">
        <v>1744</v>
      </c>
      <c r="J213" s="433" t="s">
        <v>1889</v>
      </c>
      <c r="K213" s="433" t="s">
        <v>1658</v>
      </c>
      <c r="L213" s="415"/>
      <c r="M213" s="434" t="s">
        <v>1659</v>
      </c>
      <c r="N213" s="434" t="s">
        <v>1689</v>
      </c>
      <c r="O213" s="434" t="s">
        <v>1660</v>
      </c>
      <c r="P213" s="434" t="s">
        <v>1660</v>
      </c>
      <c r="Q213" s="434" t="s">
        <v>1661</v>
      </c>
      <c r="R213" s="434" t="s">
        <v>1661</v>
      </c>
      <c r="S213" s="434" t="s">
        <v>1689</v>
      </c>
      <c r="T213" s="434" t="s">
        <v>1689</v>
      </c>
      <c r="U213" s="434" t="s">
        <v>1689</v>
      </c>
      <c r="V213" s="434" t="s">
        <v>1661</v>
      </c>
      <c r="W213" s="434" t="s">
        <v>1661</v>
      </c>
      <c r="X213" s="434" t="s">
        <v>1659</v>
      </c>
      <c r="Y213" s="434" t="s">
        <v>1689</v>
      </c>
      <c r="Z213" s="434" t="s">
        <v>1659</v>
      </c>
      <c r="AA213" s="434" t="s">
        <v>1661</v>
      </c>
      <c r="AB213" s="434" t="s">
        <v>1660</v>
      </c>
      <c r="AC213" s="434" t="s">
        <v>1660</v>
      </c>
      <c r="AD213" s="434" t="s">
        <v>1660</v>
      </c>
      <c r="AE213" s="434" t="s">
        <v>1661</v>
      </c>
      <c r="AF213" s="434" t="s">
        <v>1659</v>
      </c>
      <c r="AG213" s="427">
        <v>6.0</v>
      </c>
      <c r="AH213" s="435" t="s">
        <v>18</v>
      </c>
      <c r="AI213" s="415"/>
      <c r="AJ213" s="436" t="str">
        <f t="array" ref="AJ213">IF(M213=DGET(claves!$A$2:$AS423,M$2,{claves!$A$2;$E213}),1,0)</f>
        <v>#VALUE!</v>
      </c>
      <c r="AK213" s="436" t="str">
        <f t="array" ref="AK213">IF(N213=DGET(claves!$A$2:$AS423,N$2,{claves!$A$2;$E213}),1,0)</f>
        <v>#VALUE!</v>
      </c>
      <c r="AL213" s="436" t="str">
        <f t="array" ref="AL213">IF(O213=DGET(claves!$A$2:$AS423,O$2,{claves!$A$2;$E213}),1,0)</f>
        <v>#VALUE!</v>
      </c>
      <c r="AM213" s="436" t="str">
        <f t="array" ref="AM213">IF(P213=DGET(claves!$A$2:$AS423,P$2,{claves!$A$2;$E213}),1,0)</f>
        <v>#VALUE!</v>
      </c>
      <c r="AN213" s="436" t="str">
        <f t="array" ref="AN213">IF(Q213=DGET(claves!$A$2:$AS423,Q$2,{claves!$A$2;$E213}),1,0)</f>
        <v>#VALUE!</v>
      </c>
      <c r="AO213" s="436" t="str">
        <f t="array" ref="AO213">IF(R213=DGET(claves!$A$2:$AS423,R$2,{claves!$A$2;$E213}),1,0)</f>
        <v>#VALUE!</v>
      </c>
      <c r="AP213" s="436" t="str">
        <f t="array" ref="AP213">IF(S213=DGET(claves!$A$2:$AS423,S$2,{claves!$A$2;$E213}),1,0)</f>
        <v>#VALUE!</v>
      </c>
      <c r="AQ213" s="436" t="str">
        <f t="array" ref="AQ213">IF(T213=DGET(claves!$A$2:$AS423,T$2,{claves!$A$2;$E213}),1,0)</f>
        <v>#VALUE!</v>
      </c>
      <c r="AR213" s="436" t="str">
        <f t="array" ref="AR213">IF(U213=DGET(claves!$A$2:$AS423,U$2,{claves!$A$2;$E213}),1,0)</f>
        <v>#VALUE!</v>
      </c>
      <c r="AS213" s="436" t="str">
        <f t="array" ref="AS213">IF(V213=DGET(claves!$A$2:$AS423,V$2,{claves!$A$2;$E213}),1,0)</f>
        <v>#VALUE!</v>
      </c>
      <c r="AT213" s="436" t="str">
        <f t="array" ref="AT213">IF(W213=DGET(claves!$A$2:$AS423,W$2,{claves!$A$2;$E213}),1,0)</f>
        <v>#VALUE!</v>
      </c>
      <c r="AU213" s="436" t="str">
        <f t="array" ref="AU213">IF(X213=DGET(claves!$A$2:$AS423,X$2,{claves!$A$2;$E213}),1,0)</f>
        <v>#VALUE!</v>
      </c>
      <c r="AV213" s="436" t="str">
        <f t="array" ref="AV213">IF(Y213=DGET(claves!$A$2:$AS423,Y$2,{claves!$A$2;$E213}),1,0)</f>
        <v>#VALUE!</v>
      </c>
      <c r="AW213" s="436" t="str">
        <f t="array" ref="AW213">IF(Z213=DGET(claves!$A$2:$AS423,Z$2,{claves!$A$2;$E213}),1,0)</f>
        <v>#VALUE!</v>
      </c>
      <c r="AX213" s="436" t="str">
        <f t="array" ref="AX213">IF(AA213=DGET(claves!$A$2:$AS423,AA$2,{claves!$A$2;$E213}),1,0)</f>
        <v>#VALUE!</v>
      </c>
      <c r="AY213" s="436" t="str">
        <f t="array" ref="AY213">IF(AB213=DGET(claves!$A$2:$AS423,AB$2,{claves!$A$2;$E213}),1,0)</f>
        <v>#VALUE!</v>
      </c>
      <c r="AZ213" s="436" t="str">
        <f t="array" ref="AZ213">IF(AC213=DGET(claves!$A$2:$AS423,AC$2,{claves!$A$2;$E213}),1,0)</f>
        <v>#VALUE!</v>
      </c>
      <c r="BA213" s="436" t="str">
        <f t="array" ref="BA213">IF(AD213=DGET(claves!$A$2:$AS423,AD$2,{claves!$A$2;$E213}),1,0)</f>
        <v>#VALUE!</v>
      </c>
      <c r="BB213" s="436" t="str">
        <f t="array" ref="BB213">IF(AE213=DGET(claves!$A$2:$AS423,AE$2,{claves!$A$2;$E213}),1,0)</f>
        <v>#VALUE!</v>
      </c>
      <c r="BC213" s="436" t="str">
        <f t="array" ref="BC213">IF(AF213=DGET(claves!$A$2:$AS423,AF$2,{claves!$A$2;$E213}),1,0)</f>
        <v>#VALUE!</v>
      </c>
      <c r="BD213" s="437" t="str">
        <f t="shared" si="1"/>
        <v>#VALUE!</v>
      </c>
      <c r="BE213" s="435"/>
      <c r="BF213" s="415"/>
    </row>
    <row r="214" ht="14.25" customHeight="1">
      <c r="A214" s="408">
        <v>212.0</v>
      </c>
      <c r="B214" s="153" t="s">
        <v>1864</v>
      </c>
      <c r="C214" s="153">
        <v>2024.0</v>
      </c>
      <c r="D214" s="77" t="s">
        <v>1817</v>
      </c>
      <c r="E214" s="409" t="str">
        <f>IFERROR(__xludf.DUMMYFUNCTION("ARRAYFORMULA(JOIN("""", ARRAYFORMULA(MID(SPLIT(F214, "" ""), 1, 1))))
&amp;""/""&amp;G214"),"CLQ/4 Primaria")</f>
        <v>CLQ/4 Primaria</v>
      </c>
      <c r="F214" s="77" t="s">
        <v>1827</v>
      </c>
      <c r="G214" s="432" t="s">
        <v>20</v>
      </c>
      <c r="H214" s="433" t="s">
        <v>1890</v>
      </c>
      <c r="I214" s="433" t="s">
        <v>1891</v>
      </c>
      <c r="J214" s="433" t="s">
        <v>1892</v>
      </c>
      <c r="K214" s="432" t="s">
        <v>1665</v>
      </c>
      <c r="L214" s="415"/>
      <c r="M214" s="434" t="s">
        <v>1659</v>
      </c>
      <c r="N214" s="434" t="s">
        <v>1660</v>
      </c>
      <c r="O214" s="434" t="s">
        <v>1660</v>
      </c>
      <c r="P214" s="434" t="s">
        <v>1659</v>
      </c>
      <c r="Q214" s="434" t="s">
        <v>1661</v>
      </c>
      <c r="R214" s="434" t="s">
        <v>1660</v>
      </c>
      <c r="S214" s="434" t="s">
        <v>1660</v>
      </c>
      <c r="T214" s="434" t="s">
        <v>1661</v>
      </c>
      <c r="U214" s="434" t="s">
        <v>1689</v>
      </c>
      <c r="V214" s="434" t="s">
        <v>1689</v>
      </c>
      <c r="W214" s="434" t="s">
        <v>1689</v>
      </c>
      <c r="X214" s="434" t="s">
        <v>1661</v>
      </c>
      <c r="Y214" s="434" t="s">
        <v>1659</v>
      </c>
      <c r="Z214" s="434" t="s">
        <v>1659</v>
      </c>
      <c r="AA214" s="434" t="s">
        <v>1660</v>
      </c>
      <c r="AB214" s="434" t="s">
        <v>1661</v>
      </c>
      <c r="AC214" s="434" t="s">
        <v>1661</v>
      </c>
      <c r="AD214" s="434" t="s">
        <v>1689</v>
      </c>
      <c r="AE214" s="434" t="s">
        <v>1659</v>
      </c>
      <c r="AF214" s="434" t="s">
        <v>1660</v>
      </c>
      <c r="AG214" s="427">
        <v>15.0</v>
      </c>
      <c r="AH214" s="435" t="s">
        <v>24</v>
      </c>
      <c r="AI214" s="415"/>
      <c r="AJ214" s="436" t="str">
        <f t="array" ref="AJ214">IF(M214=DGET(claves!$A$2:$AS423,M$2,{claves!$A$2;$E214}),1,0)</f>
        <v>#VALUE!</v>
      </c>
      <c r="AK214" s="436" t="str">
        <f t="array" ref="AK214">IF(N214=DGET(claves!$A$2:$AS423,N$2,{claves!$A$2;$E214}),1,0)</f>
        <v>#VALUE!</v>
      </c>
      <c r="AL214" s="436" t="str">
        <f t="array" ref="AL214">IF(O214=DGET(claves!$A$2:$AS423,O$2,{claves!$A$2;$E214}),1,0)</f>
        <v>#VALUE!</v>
      </c>
      <c r="AM214" s="436" t="str">
        <f t="array" ref="AM214">IF(P214=DGET(claves!$A$2:$AS423,P$2,{claves!$A$2;$E214}),1,0)</f>
        <v>#VALUE!</v>
      </c>
      <c r="AN214" s="436" t="str">
        <f t="array" ref="AN214">IF(Q214=DGET(claves!$A$2:$AS423,Q$2,{claves!$A$2;$E214}),1,0)</f>
        <v>#VALUE!</v>
      </c>
      <c r="AO214" s="436" t="str">
        <f t="array" ref="AO214">IF(R214=DGET(claves!$A$2:$AS423,R$2,{claves!$A$2;$E214}),1,0)</f>
        <v>#VALUE!</v>
      </c>
      <c r="AP214" s="436" t="str">
        <f t="array" ref="AP214">IF(S214=DGET(claves!$A$2:$AS423,S$2,{claves!$A$2;$E214}),1,0)</f>
        <v>#VALUE!</v>
      </c>
      <c r="AQ214" s="436" t="str">
        <f t="array" ref="AQ214">IF(T214=DGET(claves!$A$2:$AS423,T$2,{claves!$A$2;$E214}),1,0)</f>
        <v>#VALUE!</v>
      </c>
      <c r="AR214" s="436" t="str">
        <f t="array" ref="AR214">IF(U214=DGET(claves!$A$2:$AS423,U$2,{claves!$A$2;$E214}),1,0)</f>
        <v>#VALUE!</v>
      </c>
      <c r="AS214" s="436" t="str">
        <f t="array" ref="AS214">IF(V214=DGET(claves!$A$2:$AS423,V$2,{claves!$A$2;$E214}),1,0)</f>
        <v>#VALUE!</v>
      </c>
      <c r="AT214" s="436" t="str">
        <f t="array" ref="AT214">IF(W214=DGET(claves!$A$2:$AS423,W$2,{claves!$A$2;$E214}),1,0)</f>
        <v>#VALUE!</v>
      </c>
      <c r="AU214" s="436" t="str">
        <f t="array" ref="AU214">IF(X214=DGET(claves!$A$2:$AS423,X$2,{claves!$A$2;$E214}),1,0)</f>
        <v>#VALUE!</v>
      </c>
      <c r="AV214" s="436" t="str">
        <f t="array" ref="AV214">IF(Y214=DGET(claves!$A$2:$AS423,Y$2,{claves!$A$2;$E214}),1,0)</f>
        <v>#VALUE!</v>
      </c>
      <c r="AW214" s="436" t="str">
        <f t="array" ref="AW214">IF(Z214=DGET(claves!$A$2:$AS423,Z$2,{claves!$A$2;$E214}),1,0)</f>
        <v>#VALUE!</v>
      </c>
      <c r="AX214" s="436" t="str">
        <f t="array" ref="AX214">IF(AA214=DGET(claves!$A$2:$AS423,AA$2,{claves!$A$2;$E214}),1,0)</f>
        <v>#VALUE!</v>
      </c>
      <c r="AY214" s="436" t="str">
        <f t="array" ref="AY214">IF(AB214=DGET(claves!$A$2:$AS423,AB$2,{claves!$A$2;$E214}),1,0)</f>
        <v>#VALUE!</v>
      </c>
      <c r="AZ214" s="436" t="str">
        <f t="array" ref="AZ214">IF(AC214=DGET(claves!$A$2:$AS423,AC$2,{claves!$A$2;$E214}),1,0)</f>
        <v>#VALUE!</v>
      </c>
      <c r="BA214" s="436" t="str">
        <f t="array" ref="BA214">IF(AD214=DGET(claves!$A$2:$AS423,AD$2,{claves!$A$2;$E214}),1,0)</f>
        <v>#VALUE!</v>
      </c>
      <c r="BB214" s="436" t="str">
        <f t="array" ref="BB214">IF(AE214=DGET(claves!$A$2:$AS423,AE$2,{claves!$A$2;$E214}),1,0)</f>
        <v>#VALUE!</v>
      </c>
      <c r="BC214" s="436" t="str">
        <f t="array" ref="BC214">IF(AF214=DGET(claves!$A$2:$AS423,AF$2,{claves!$A$2;$E214}),1,0)</f>
        <v>#VALUE!</v>
      </c>
      <c r="BD214" s="437" t="str">
        <f t="shared" si="1"/>
        <v>#VALUE!</v>
      </c>
      <c r="BE214" s="435"/>
      <c r="BF214" s="415"/>
    </row>
    <row r="215" ht="14.25" customHeight="1">
      <c r="A215" s="408">
        <v>213.0</v>
      </c>
      <c r="B215" s="153" t="s">
        <v>1864</v>
      </c>
      <c r="C215" s="153">
        <v>2024.0</v>
      </c>
      <c r="D215" s="77" t="s">
        <v>1817</v>
      </c>
      <c r="E215" s="409" t="str">
        <f>IFERROR(__xludf.DUMMYFUNCTION("ARRAYFORMULA(JOIN("""", ARRAYFORMULA(MID(SPLIT(F215, "" ""), 1, 1))))
&amp;""/""&amp;G215"),"CLQ/6 Primaria")</f>
        <v>CLQ/6 Primaria</v>
      </c>
      <c r="F215" s="77" t="s">
        <v>1827</v>
      </c>
      <c r="G215" s="432" t="s">
        <v>22</v>
      </c>
      <c r="H215" s="433" t="s">
        <v>1680</v>
      </c>
      <c r="I215" s="433" t="s">
        <v>1893</v>
      </c>
      <c r="J215" s="433" t="s">
        <v>1894</v>
      </c>
      <c r="K215" s="433" t="s">
        <v>1658</v>
      </c>
      <c r="L215" s="415"/>
      <c r="M215" s="434" t="s">
        <v>1661</v>
      </c>
      <c r="N215" s="434" t="s">
        <v>1661</v>
      </c>
      <c r="O215" s="434" t="s">
        <v>1659</v>
      </c>
      <c r="P215" s="434" t="s">
        <v>1689</v>
      </c>
      <c r="Q215" s="434" t="s">
        <v>1660</v>
      </c>
      <c r="R215" s="434" t="s">
        <v>1689</v>
      </c>
      <c r="S215" s="434" t="s">
        <v>1659</v>
      </c>
      <c r="T215" s="434" t="s">
        <v>1660</v>
      </c>
      <c r="U215" s="434" t="s">
        <v>1689</v>
      </c>
      <c r="V215" s="434"/>
      <c r="W215" s="434" t="s">
        <v>1659</v>
      </c>
      <c r="X215" s="434" t="s">
        <v>1659</v>
      </c>
      <c r="Y215" s="434" t="s">
        <v>1659</v>
      </c>
      <c r="Z215" s="434" t="s">
        <v>1659</v>
      </c>
      <c r="AA215" s="434" t="s">
        <v>1660</v>
      </c>
      <c r="AB215" s="434" t="s">
        <v>1660</v>
      </c>
      <c r="AC215" s="434" t="s">
        <v>1660</v>
      </c>
      <c r="AD215" s="434" t="s">
        <v>1660</v>
      </c>
      <c r="AE215" s="434" t="s">
        <v>1659</v>
      </c>
      <c r="AF215" s="434" t="s">
        <v>1659</v>
      </c>
      <c r="AG215" s="427">
        <v>6.0</v>
      </c>
      <c r="AH215" s="435" t="s">
        <v>18</v>
      </c>
      <c r="AI215" s="415"/>
      <c r="AJ215" s="436" t="str">
        <f t="array" ref="AJ215">IF(M215=DGET(claves!$A$2:$AS423,M$2,{claves!$A$2;$E215}),1,0)</f>
        <v>#VALUE!</v>
      </c>
      <c r="AK215" s="436" t="str">
        <f t="array" ref="AK215">IF(N215=DGET(claves!$A$2:$AS423,N$2,{claves!$A$2;$E215}),1,0)</f>
        <v>#VALUE!</v>
      </c>
      <c r="AL215" s="436" t="str">
        <f t="array" ref="AL215">IF(O215=DGET(claves!$A$2:$AS423,O$2,{claves!$A$2;$E215}),1,0)</f>
        <v>#VALUE!</v>
      </c>
      <c r="AM215" s="436" t="str">
        <f t="array" ref="AM215">IF(P215=DGET(claves!$A$2:$AS423,P$2,{claves!$A$2;$E215}),1,0)</f>
        <v>#VALUE!</v>
      </c>
      <c r="AN215" s="436" t="str">
        <f t="array" ref="AN215">IF(Q215=DGET(claves!$A$2:$AS423,Q$2,{claves!$A$2;$E215}),1,0)</f>
        <v>#VALUE!</v>
      </c>
      <c r="AO215" s="436" t="str">
        <f t="array" ref="AO215">IF(R215=DGET(claves!$A$2:$AS423,R$2,{claves!$A$2;$E215}),1,0)</f>
        <v>#VALUE!</v>
      </c>
      <c r="AP215" s="436" t="str">
        <f t="array" ref="AP215">IF(S215=DGET(claves!$A$2:$AS423,S$2,{claves!$A$2;$E215}),1,0)</f>
        <v>#VALUE!</v>
      </c>
      <c r="AQ215" s="436" t="str">
        <f t="array" ref="AQ215">IF(T215=DGET(claves!$A$2:$AS423,T$2,{claves!$A$2;$E215}),1,0)</f>
        <v>#VALUE!</v>
      </c>
      <c r="AR215" s="436" t="str">
        <f t="array" ref="AR215">IF(U215=DGET(claves!$A$2:$AS423,U$2,{claves!$A$2;$E215}),1,0)</f>
        <v>#VALUE!</v>
      </c>
      <c r="AS215" s="436" t="str">
        <f t="array" ref="AS215">IF(V215=DGET(claves!$A$2:$AS423,V$2,{claves!$A$2;$E215}),1,0)</f>
        <v>#VALUE!</v>
      </c>
      <c r="AT215" s="436" t="str">
        <f t="array" ref="AT215">IF(W215=DGET(claves!$A$2:$AS423,W$2,{claves!$A$2;$E215}),1,0)</f>
        <v>#VALUE!</v>
      </c>
      <c r="AU215" s="436" t="str">
        <f t="array" ref="AU215">IF(X215=DGET(claves!$A$2:$AS423,X$2,{claves!$A$2;$E215}),1,0)</f>
        <v>#VALUE!</v>
      </c>
      <c r="AV215" s="436" t="str">
        <f t="array" ref="AV215">IF(Y215=DGET(claves!$A$2:$AS423,Y$2,{claves!$A$2;$E215}),1,0)</f>
        <v>#VALUE!</v>
      </c>
      <c r="AW215" s="436" t="str">
        <f t="array" ref="AW215">IF(Z215=DGET(claves!$A$2:$AS423,Z$2,{claves!$A$2;$E215}),1,0)</f>
        <v>#VALUE!</v>
      </c>
      <c r="AX215" s="436" t="str">
        <f t="array" ref="AX215">IF(AA215=DGET(claves!$A$2:$AS423,AA$2,{claves!$A$2;$E215}),1,0)</f>
        <v>#VALUE!</v>
      </c>
      <c r="AY215" s="436" t="str">
        <f t="array" ref="AY215">IF(AB215=DGET(claves!$A$2:$AS423,AB$2,{claves!$A$2;$E215}),1,0)</f>
        <v>#VALUE!</v>
      </c>
      <c r="AZ215" s="436" t="str">
        <f t="array" ref="AZ215">IF(AC215=DGET(claves!$A$2:$AS423,AC$2,{claves!$A$2;$E215}),1,0)</f>
        <v>#VALUE!</v>
      </c>
      <c r="BA215" s="436" t="str">
        <f t="array" ref="BA215">IF(AD215=DGET(claves!$A$2:$AS423,AD$2,{claves!$A$2;$E215}),1,0)</f>
        <v>#VALUE!</v>
      </c>
      <c r="BB215" s="436" t="str">
        <f t="array" ref="BB215">IF(AE215=DGET(claves!$A$2:$AS423,AE$2,{claves!$A$2;$E215}),1,0)</f>
        <v>#VALUE!</v>
      </c>
      <c r="BC215" s="436" t="str">
        <f t="array" ref="BC215">IF(AF215=DGET(claves!$A$2:$AS423,AF$2,{claves!$A$2;$E215}),1,0)</f>
        <v>#VALUE!</v>
      </c>
      <c r="BD215" s="437" t="str">
        <f t="shared" si="1"/>
        <v>#VALUE!</v>
      </c>
      <c r="BE215" s="435"/>
      <c r="BF215" s="415"/>
    </row>
    <row r="216" ht="14.25" customHeight="1">
      <c r="A216" s="408">
        <v>214.0</v>
      </c>
      <c r="B216" s="153" t="s">
        <v>1864</v>
      </c>
      <c r="C216" s="153">
        <v>2024.0</v>
      </c>
      <c r="D216" s="77" t="s">
        <v>1817</v>
      </c>
      <c r="E216" s="409" t="str">
        <f>IFERROR(__xludf.DUMMYFUNCTION("ARRAYFORMULA(JOIN("""", ARRAYFORMULA(MID(SPLIT(F216, "" ""), 1, 1))))
&amp;""/""&amp;G216"),"CLQ/6 Primaria")</f>
        <v>CLQ/6 Primaria</v>
      </c>
      <c r="F216" s="77" t="s">
        <v>1827</v>
      </c>
      <c r="G216" s="432" t="s">
        <v>22</v>
      </c>
      <c r="H216" s="433" t="s">
        <v>1655</v>
      </c>
      <c r="I216" s="433" t="s">
        <v>1895</v>
      </c>
      <c r="J216" s="433" t="s">
        <v>1896</v>
      </c>
      <c r="K216" s="432" t="s">
        <v>1665</v>
      </c>
      <c r="L216" s="415"/>
      <c r="M216" s="434" t="s">
        <v>1661</v>
      </c>
      <c r="N216" s="434" t="s">
        <v>1661</v>
      </c>
      <c r="O216" s="434" t="s">
        <v>1689</v>
      </c>
      <c r="P216" s="434" t="s">
        <v>1659</v>
      </c>
      <c r="Q216" s="434" t="s">
        <v>1689</v>
      </c>
      <c r="R216" s="434" t="s">
        <v>1660</v>
      </c>
      <c r="S216" s="434" t="s">
        <v>1659</v>
      </c>
      <c r="T216" s="434" t="s">
        <v>1661</v>
      </c>
      <c r="U216" s="434" t="s">
        <v>1689</v>
      </c>
      <c r="V216" s="434" t="s">
        <v>1661</v>
      </c>
      <c r="W216" s="434" t="s">
        <v>1689</v>
      </c>
      <c r="X216" s="434" t="s">
        <v>1661</v>
      </c>
      <c r="Y216" s="434" t="s">
        <v>1659</v>
      </c>
      <c r="Z216" s="434" t="s">
        <v>1660</v>
      </c>
      <c r="AA216" s="434" t="s">
        <v>1659</v>
      </c>
      <c r="AB216" s="434" t="s">
        <v>1661</v>
      </c>
      <c r="AC216" s="434" t="s">
        <v>1689</v>
      </c>
      <c r="AD216" s="434" t="s">
        <v>1660</v>
      </c>
      <c r="AE216" s="434" t="s">
        <v>1659</v>
      </c>
      <c r="AF216" s="434" t="s">
        <v>1661</v>
      </c>
      <c r="AG216" s="427">
        <v>9.0</v>
      </c>
      <c r="AH216" s="435" t="s">
        <v>18</v>
      </c>
      <c r="AI216" s="415"/>
      <c r="AJ216" s="436" t="str">
        <f t="array" ref="AJ216">IF(M216=DGET(claves!$A$2:$AS423,M$2,{claves!$A$2;$E216}),1,0)</f>
        <v>#VALUE!</v>
      </c>
      <c r="AK216" s="436" t="str">
        <f t="array" ref="AK216">IF(N216=DGET(claves!$A$2:$AS423,N$2,{claves!$A$2;$E216}),1,0)</f>
        <v>#VALUE!</v>
      </c>
      <c r="AL216" s="436" t="str">
        <f t="array" ref="AL216">IF(O216=DGET(claves!$A$2:$AS423,O$2,{claves!$A$2;$E216}),1,0)</f>
        <v>#VALUE!</v>
      </c>
      <c r="AM216" s="436" t="str">
        <f t="array" ref="AM216">IF(P216=DGET(claves!$A$2:$AS423,P$2,{claves!$A$2;$E216}),1,0)</f>
        <v>#VALUE!</v>
      </c>
      <c r="AN216" s="436" t="str">
        <f t="array" ref="AN216">IF(Q216=DGET(claves!$A$2:$AS423,Q$2,{claves!$A$2;$E216}),1,0)</f>
        <v>#VALUE!</v>
      </c>
      <c r="AO216" s="436" t="str">
        <f t="array" ref="AO216">IF(R216=DGET(claves!$A$2:$AS423,R$2,{claves!$A$2;$E216}),1,0)</f>
        <v>#VALUE!</v>
      </c>
      <c r="AP216" s="436" t="str">
        <f t="array" ref="AP216">IF(S216=DGET(claves!$A$2:$AS423,S$2,{claves!$A$2;$E216}),1,0)</f>
        <v>#VALUE!</v>
      </c>
      <c r="AQ216" s="436" t="str">
        <f t="array" ref="AQ216">IF(T216=DGET(claves!$A$2:$AS423,T$2,{claves!$A$2;$E216}),1,0)</f>
        <v>#VALUE!</v>
      </c>
      <c r="AR216" s="436" t="str">
        <f t="array" ref="AR216">IF(U216=DGET(claves!$A$2:$AS423,U$2,{claves!$A$2;$E216}),1,0)</f>
        <v>#VALUE!</v>
      </c>
      <c r="AS216" s="436" t="str">
        <f t="array" ref="AS216">IF(V216=DGET(claves!$A$2:$AS423,V$2,{claves!$A$2;$E216}),1,0)</f>
        <v>#VALUE!</v>
      </c>
      <c r="AT216" s="436" t="str">
        <f t="array" ref="AT216">IF(W216=DGET(claves!$A$2:$AS423,W$2,{claves!$A$2;$E216}),1,0)</f>
        <v>#VALUE!</v>
      </c>
      <c r="AU216" s="436" t="str">
        <f t="array" ref="AU216">IF(X216=DGET(claves!$A$2:$AS423,X$2,{claves!$A$2;$E216}),1,0)</f>
        <v>#VALUE!</v>
      </c>
      <c r="AV216" s="436" t="str">
        <f t="array" ref="AV216">IF(Y216=DGET(claves!$A$2:$AS423,Y$2,{claves!$A$2;$E216}),1,0)</f>
        <v>#VALUE!</v>
      </c>
      <c r="AW216" s="436" t="str">
        <f t="array" ref="AW216">IF(Z216=DGET(claves!$A$2:$AS423,Z$2,{claves!$A$2;$E216}),1,0)</f>
        <v>#VALUE!</v>
      </c>
      <c r="AX216" s="436" t="str">
        <f t="array" ref="AX216">IF(AA216=DGET(claves!$A$2:$AS423,AA$2,{claves!$A$2;$E216}),1,0)</f>
        <v>#VALUE!</v>
      </c>
      <c r="AY216" s="436" t="str">
        <f t="array" ref="AY216">IF(AB216=DGET(claves!$A$2:$AS423,AB$2,{claves!$A$2;$E216}),1,0)</f>
        <v>#VALUE!</v>
      </c>
      <c r="AZ216" s="436" t="str">
        <f t="array" ref="AZ216">IF(AC216=DGET(claves!$A$2:$AS423,AC$2,{claves!$A$2;$E216}),1,0)</f>
        <v>#VALUE!</v>
      </c>
      <c r="BA216" s="436" t="str">
        <f t="array" ref="BA216">IF(AD216=DGET(claves!$A$2:$AS423,AD$2,{claves!$A$2;$E216}),1,0)</f>
        <v>#VALUE!</v>
      </c>
      <c r="BB216" s="436" t="str">
        <f t="array" ref="BB216">IF(AE216=DGET(claves!$A$2:$AS423,AE$2,{claves!$A$2;$E216}),1,0)</f>
        <v>#VALUE!</v>
      </c>
      <c r="BC216" s="436" t="str">
        <f t="array" ref="BC216">IF(AF216=DGET(claves!$A$2:$AS423,AF$2,{claves!$A$2;$E216}),1,0)</f>
        <v>#VALUE!</v>
      </c>
      <c r="BD216" s="437" t="str">
        <f t="shared" si="1"/>
        <v>#VALUE!</v>
      </c>
      <c r="BE216" s="435"/>
      <c r="BF216" s="415"/>
    </row>
    <row r="217" ht="14.25" customHeight="1">
      <c r="A217" s="408">
        <v>215.0</v>
      </c>
      <c r="B217" s="153" t="s">
        <v>1864</v>
      </c>
      <c r="C217" s="153">
        <v>2024.0</v>
      </c>
      <c r="D217" s="77" t="s">
        <v>1817</v>
      </c>
      <c r="E217" s="409" t="str">
        <f>IFERROR(__xludf.DUMMYFUNCTION("ARRAYFORMULA(JOIN("""", ARRAYFORMULA(MID(SPLIT(F217, "" ""), 1, 1))))
&amp;""/""&amp;G217"),"CLQ/6 Primaria")</f>
        <v>CLQ/6 Primaria</v>
      </c>
      <c r="F217" s="77" t="s">
        <v>1827</v>
      </c>
      <c r="G217" s="432" t="s">
        <v>22</v>
      </c>
      <c r="H217" s="433" t="s">
        <v>1867</v>
      </c>
      <c r="I217" s="433" t="s">
        <v>1880</v>
      </c>
      <c r="J217" s="433" t="s">
        <v>1897</v>
      </c>
      <c r="K217" s="432" t="s">
        <v>1665</v>
      </c>
      <c r="L217" s="415"/>
      <c r="M217" s="434" t="s">
        <v>1661</v>
      </c>
      <c r="N217" s="434" t="s">
        <v>1661</v>
      </c>
      <c r="O217" s="434" t="s">
        <v>1659</v>
      </c>
      <c r="P217" s="434" t="s">
        <v>1659</v>
      </c>
      <c r="Q217" s="434" t="s">
        <v>1660</v>
      </c>
      <c r="R217" s="434" t="s">
        <v>1689</v>
      </c>
      <c r="S217" s="434" t="s">
        <v>1659</v>
      </c>
      <c r="T217" s="434" t="s">
        <v>1661</v>
      </c>
      <c r="U217" s="434" t="s">
        <v>1661</v>
      </c>
      <c r="V217" s="434" t="s">
        <v>1661</v>
      </c>
      <c r="W217" s="434" t="s">
        <v>1661</v>
      </c>
      <c r="X217" s="434" t="s">
        <v>1659</v>
      </c>
      <c r="Y217" s="434" t="s">
        <v>1660</v>
      </c>
      <c r="Z217" s="434" t="s">
        <v>1661</v>
      </c>
      <c r="AA217" s="434" t="s">
        <v>1660</v>
      </c>
      <c r="AB217" s="434" t="s">
        <v>1660</v>
      </c>
      <c r="AC217" s="434" t="s">
        <v>1689</v>
      </c>
      <c r="AD217" s="434" t="s">
        <v>1689</v>
      </c>
      <c r="AE217" s="434" t="s">
        <v>1689</v>
      </c>
      <c r="AF217" s="434" t="s">
        <v>1659</v>
      </c>
      <c r="AG217" s="427">
        <v>7.0</v>
      </c>
      <c r="AH217" s="435" t="s">
        <v>18</v>
      </c>
      <c r="AI217" s="415"/>
      <c r="AJ217" s="436" t="str">
        <f t="array" ref="AJ217">IF(M217=DGET(claves!$A$2:$AS423,M$2,{claves!$A$2;$E217}),1,0)</f>
        <v>#VALUE!</v>
      </c>
      <c r="AK217" s="436" t="str">
        <f t="array" ref="AK217">IF(N217=DGET(claves!$A$2:$AS423,N$2,{claves!$A$2;$E217}),1,0)</f>
        <v>#VALUE!</v>
      </c>
      <c r="AL217" s="436" t="str">
        <f t="array" ref="AL217">IF(O217=DGET(claves!$A$2:$AS423,O$2,{claves!$A$2;$E217}),1,0)</f>
        <v>#VALUE!</v>
      </c>
      <c r="AM217" s="436" t="str">
        <f t="array" ref="AM217">IF(P217=DGET(claves!$A$2:$AS423,P$2,{claves!$A$2;$E217}),1,0)</f>
        <v>#VALUE!</v>
      </c>
      <c r="AN217" s="436" t="str">
        <f t="array" ref="AN217">IF(Q217=DGET(claves!$A$2:$AS423,Q$2,{claves!$A$2;$E217}),1,0)</f>
        <v>#VALUE!</v>
      </c>
      <c r="AO217" s="436" t="str">
        <f t="array" ref="AO217">IF(R217=DGET(claves!$A$2:$AS423,R$2,{claves!$A$2;$E217}),1,0)</f>
        <v>#VALUE!</v>
      </c>
      <c r="AP217" s="436" t="str">
        <f t="array" ref="AP217">IF(S217=DGET(claves!$A$2:$AS423,S$2,{claves!$A$2;$E217}),1,0)</f>
        <v>#VALUE!</v>
      </c>
      <c r="AQ217" s="436" t="str">
        <f t="array" ref="AQ217">IF(T217=DGET(claves!$A$2:$AS423,T$2,{claves!$A$2;$E217}),1,0)</f>
        <v>#VALUE!</v>
      </c>
      <c r="AR217" s="436" t="str">
        <f t="array" ref="AR217">IF(U217=DGET(claves!$A$2:$AS423,U$2,{claves!$A$2;$E217}),1,0)</f>
        <v>#VALUE!</v>
      </c>
      <c r="AS217" s="436" t="str">
        <f t="array" ref="AS217">IF(V217=DGET(claves!$A$2:$AS423,V$2,{claves!$A$2;$E217}),1,0)</f>
        <v>#VALUE!</v>
      </c>
      <c r="AT217" s="436" t="str">
        <f t="array" ref="AT217">IF(W217=DGET(claves!$A$2:$AS423,W$2,{claves!$A$2;$E217}),1,0)</f>
        <v>#VALUE!</v>
      </c>
      <c r="AU217" s="436" t="str">
        <f t="array" ref="AU217">IF(X217=DGET(claves!$A$2:$AS423,X$2,{claves!$A$2;$E217}),1,0)</f>
        <v>#VALUE!</v>
      </c>
      <c r="AV217" s="436" t="str">
        <f t="array" ref="AV217">IF(Y217=DGET(claves!$A$2:$AS423,Y$2,{claves!$A$2;$E217}),1,0)</f>
        <v>#VALUE!</v>
      </c>
      <c r="AW217" s="436" t="str">
        <f t="array" ref="AW217">IF(Z217=DGET(claves!$A$2:$AS423,Z$2,{claves!$A$2;$E217}),1,0)</f>
        <v>#VALUE!</v>
      </c>
      <c r="AX217" s="436" t="str">
        <f t="array" ref="AX217">IF(AA217=DGET(claves!$A$2:$AS423,AA$2,{claves!$A$2;$E217}),1,0)</f>
        <v>#VALUE!</v>
      </c>
      <c r="AY217" s="436" t="str">
        <f t="array" ref="AY217">IF(AB217=DGET(claves!$A$2:$AS423,AB$2,{claves!$A$2;$E217}),1,0)</f>
        <v>#VALUE!</v>
      </c>
      <c r="AZ217" s="436" t="str">
        <f t="array" ref="AZ217">IF(AC217=DGET(claves!$A$2:$AS423,AC$2,{claves!$A$2;$E217}),1,0)</f>
        <v>#VALUE!</v>
      </c>
      <c r="BA217" s="436" t="str">
        <f t="array" ref="BA217">IF(AD217=DGET(claves!$A$2:$AS423,AD$2,{claves!$A$2;$E217}),1,0)</f>
        <v>#VALUE!</v>
      </c>
      <c r="BB217" s="436" t="str">
        <f t="array" ref="BB217">IF(AE217=DGET(claves!$A$2:$AS423,AE$2,{claves!$A$2;$E217}),1,0)</f>
        <v>#VALUE!</v>
      </c>
      <c r="BC217" s="436" t="str">
        <f t="array" ref="BC217">IF(AF217=DGET(claves!$A$2:$AS423,AF$2,{claves!$A$2;$E217}),1,0)</f>
        <v>#VALUE!</v>
      </c>
      <c r="BD217" s="437" t="str">
        <f t="shared" si="1"/>
        <v>#VALUE!</v>
      </c>
      <c r="BE217" s="435"/>
      <c r="BF217" s="415"/>
    </row>
    <row r="218" ht="14.25" customHeight="1">
      <c r="A218" s="408">
        <v>216.0</v>
      </c>
      <c r="B218" s="153" t="s">
        <v>1864</v>
      </c>
      <c r="C218" s="153">
        <v>2024.0</v>
      </c>
      <c r="D218" s="77" t="s">
        <v>1817</v>
      </c>
      <c r="E218" s="409" t="str">
        <f>IFERROR(__xludf.DUMMYFUNCTION("ARRAYFORMULA(JOIN("""", ARRAYFORMULA(MID(SPLIT(F218, "" ""), 1, 1))))
&amp;""/""&amp;G218"),"CLQ/6 Primaria")</f>
        <v>CLQ/6 Primaria</v>
      </c>
      <c r="F218" s="77" t="s">
        <v>1827</v>
      </c>
      <c r="G218" s="432" t="s">
        <v>22</v>
      </c>
      <c r="H218" s="433" t="s">
        <v>1670</v>
      </c>
      <c r="I218" s="433" t="s">
        <v>1761</v>
      </c>
      <c r="J218" s="433" t="s">
        <v>1898</v>
      </c>
      <c r="K218" s="432" t="s">
        <v>1665</v>
      </c>
      <c r="L218" s="415"/>
      <c r="M218" s="434" t="s">
        <v>1661</v>
      </c>
      <c r="N218" s="434" t="s">
        <v>1659</v>
      </c>
      <c r="O218" s="434" t="s">
        <v>1689</v>
      </c>
      <c r="P218" s="434" t="s">
        <v>1660</v>
      </c>
      <c r="Q218" s="434" t="s">
        <v>1659</v>
      </c>
      <c r="R218" s="434" t="s">
        <v>1659</v>
      </c>
      <c r="S218" s="434" t="s">
        <v>1661</v>
      </c>
      <c r="T218" s="434" t="s">
        <v>1689</v>
      </c>
      <c r="U218" s="434" t="s">
        <v>1689</v>
      </c>
      <c r="V218" s="434" t="s">
        <v>1659</v>
      </c>
      <c r="W218" s="434" t="s">
        <v>1661</v>
      </c>
      <c r="X218" s="434" t="s">
        <v>1660</v>
      </c>
      <c r="Y218" s="434" t="s">
        <v>1659</v>
      </c>
      <c r="Z218" s="434" t="s">
        <v>1689</v>
      </c>
      <c r="AA218" s="434" t="s">
        <v>1661</v>
      </c>
      <c r="AB218" s="434" t="s">
        <v>1689</v>
      </c>
      <c r="AC218" s="434" t="s">
        <v>1661</v>
      </c>
      <c r="AD218" s="434" t="s">
        <v>1661</v>
      </c>
      <c r="AE218" s="434" t="s">
        <v>1660</v>
      </c>
      <c r="AF218" s="434" t="s">
        <v>1659</v>
      </c>
      <c r="AG218" s="427">
        <v>6.0</v>
      </c>
      <c r="AH218" s="435" t="s">
        <v>18</v>
      </c>
      <c r="AI218" s="415"/>
      <c r="AJ218" s="436" t="str">
        <f t="array" ref="AJ218">IF(M218=DGET(claves!$A$2:$AS423,M$2,{claves!$A$2;$E218}),1,0)</f>
        <v>#VALUE!</v>
      </c>
      <c r="AK218" s="436" t="str">
        <f t="array" ref="AK218">IF(N218=DGET(claves!$A$2:$AS423,N$2,{claves!$A$2;$E218}),1,0)</f>
        <v>#VALUE!</v>
      </c>
      <c r="AL218" s="436" t="str">
        <f t="array" ref="AL218">IF(O218=DGET(claves!$A$2:$AS423,O$2,{claves!$A$2;$E218}),1,0)</f>
        <v>#VALUE!</v>
      </c>
      <c r="AM218" s="436" t="str">
        <f t="array" ref="AM218">IF(P218=DGET(claves!$A$2:$AS423,P$2,{claves!$A$2;$E218}),1,0)</f>
        <v>#VALUE!</v>
      </c>
      <c r="AN218" s="436" t="str">
        <f t="array" ref="AN218">IF(Q218=DGET(claves!$A$2:$AS423,Q$2,{claves!$A$2;$E218}),1,0)</f>
        <v>#VALUE!</v>
      </c>
      <c r="AO218" s="436" t="str">
        <f t="array" ref="AO218">IF(R218=DGET(claves!$A$2:$AS423,R$2,{claves!$A$2;$E218}),1,0)</f>
        <v>#VALUE!</v>
      </c>
      <c r="AP218" s="436" t="str">
        <f t="array" ref="AP218">IF(S218=DGET(claves!$A$2:$AS423,S$2,{claves!$A$2;$E218}),1,0)</f>
        <v>#VALUE!</v>
      </c>
      <c r="AQ218" s="436" t="str">
        <f t="array" ref="AQ218">IF(T218=DGET(claves!$A$2:$AS423,T$2,{claves!$A$2;$E218}),1,0)</f>
        <v>#VALUE!</v>
      </c>
      <c r="AR218" s="436" t="str">
        <f t="array" ref="AR218">IF(U218=DGET(claves!$A$2:$AS423,U$2,{claves!$A$2;$E218}),1,0)</f>
        <v>#VALUE!</v>
      </c>
      <c r="AS218" s="436" t="str">
        <f t="array" ref="AS218">IF(V218=DGET(claves!$A$2:$AS423,V$2,{claves!$A$2;$E218}),1,0)</f>
        <v>#VALUE!</v>
      </c>
      <c r="AT218" s="436" t="str">
        <f t="array" ref="AT218">IF(W218=DGET(claves!$A$2:$AS423,W$2,{claves!$A$2;$E218}),1,0)</f>
        <v>#VALUE!</v>
      </c>
      <c r="AU218" s="436" t="str">
        <f t="array" ref="AU218">IF(X218=DGET(claves!$A$2:$AS423,X$2,{claves!$A$2;$E218}),1,0)</f>
        <v>#VALUE!</v>
      </c>
      <c r="AV218" s="436" t="str">
        <f t="array" ref="AV218">IF(Y218=DGET(claves!$A$2:$AS423,Y$2,{claves!$A$2;$E218}),1,0)</f>
        <v>#VALUE!</v>
      </c>
      <c r="AW218" s="436" t="str">
        <f t="array" ref="AW218">IF(Z218=DGET(claves!$A$2:$AS423,Z$2,{claves!$A$2;$E218}),1,0)</f>
        <v>#VALUE!</v>
      </c>
      <c r="AX218" s="436" t="str">
        <f t="array" ref="AX218">IF(AA218=DGET(claves!$A$2:$AS423,AA$2,{claves!$A$2;$E218}),1,0)</f>
        <v>#VALUE!</v>
      </c>
      <c r="AY218" s="436" t="str">
        <f t="array" ref="AY218">IF(AB218=DGET(claves!$A$2:$AS423,AB$2,{claves!$A$2;$E218}),1,0)</f>
        <v>#VALUE!</v>
      </c>
      <c r="AZ218" s="436" t="str">
        <f t="array" ref="AZ218">IF(AC218=DGET(claves!$A$2:$AS423,AC$2,{claves!$A$2;$E218}),1,0)</f>
        <v>#VALUE!</v>
      </c>
      <c r="BA218" s="436" t="str">
        <f t="array" ref="BA218">IF(AD218=DGET(claves!$A$2:$AS423,AD$2,{claves!$A$2;$E218}),1,0)</f>
        <v>#VALUE!</v>
      </c>
      <c r="BB218" s="436" t="str">
        <f t="array" ref="BB218">IF(AE218=DGET(claves!$A$2:$AS423,AE$2,{claves!$A$2;$E218}),1,0)</f>
        <v>#VALUE!</v>
      </c>
      <c r="BC218" s="436" t="str">
        <f t="array" ref="BC218">IF(AF218=DGET(claves!$A$2:$AS423,AF$2,{claves!$A$2;$E218}),1,0)</f>
        <v>#VALUE!</v>
      </c>
      <c r="BD218" s="437" t="str">
        <f t="shared" si="1"/>
        <v>#VALUE!</v>
      </c>
      <c r="BE218" s="435"/>
      <c r="BF218" s="415"/>
    </row>
    <row r="219" ht="14.25" customHeight="1">
      <c r="A219" s="408">
        <v>217.0</v>
      </c>
      <c r="B219" s="153" t="s">
        <v>1864</v>
      </c>
      <c r="C219" s="153">
        <v>2024.0</v>
      </c>
      <c r="D219" s="77" t="s">
        <v>1817</v>
      </c>
      <c r="E219" s="409" t="str">
        <f>IFERROR(__xludf.DUMMYFUNCTION("ARRAYFORMULA(JOIN("""", ARRAYFORMULA(MID(SPLIT(F219, "" ""), 1, 1))))
&amp;""/""&amp;G219"),"CLQ/6 Primaria")</f>
        <v>CLQ/6 Primaria</v>
      </c>
      <c r="F219" s="77" t="s">
        <v>1827</v>
      </c>
      <c r="G219" s="432" t="s">
        <v>22</v>
      </c>
      <c r="H219" s="433" t="s">
        <v>1899</v>
      </c>
      <c r="I219" s="433" t="s">
        <v>1684</v>
      </c>
      <c r="J219" s="433" t="s">
        <v>1900</v>
      </c>
      <c r="K219" s="433" t="s">
        <v>1658</v>
      </c>
      <c r="L219" s="415"/>
      <c r="M219" s="434" t="s">
        <v>1659</v>
      </c>
      <c r="N219" s="434" t="s">
        <v>1659</v>
      </c>
      <c r="O219" s="434" t="s">
        <v>1689</v>
      </c>
      <c r="P219" s="434" t="s">
        <v>1689</v>
      </c>
      <c r="Q219" s="434" t="s">
        <v>1689</v>
      </c>
      <c r="R219" s="434" t="s">
        <v>1660</v>
      </c>
      <c r="S219" s="434" t="s">
        <v>1661</v>
      </c>
      <c r="T219" s="434" t="s">
        <v>1659</v>
      </c>
      <c r="U219" s="434" t="s">
        <v>1689</v>
      </c>
      <c r="V219" s="434" t="s">
        <v>1661</v>
      </c>
      <c r="W219" s="434" t="s">
        <v>1689</v>
      </c>
      <c r="X219" s="434" t="s">
        <v>1661</v>
      </c>
      <c r="Y219" s="434" t="s">
        <v>1660</v>
      </c>
      <c r="Z219" s="434" t="s">
        <v>1689</v>
      </c>
      <c r="AA219" s="434" t="s">
        <v>1660</v>
      </c>
      <c r="AB219" s="434" t="s">
        <v>1661</v>
      </c>
      <c r="AC219" s="434" t="s">
        <v>1659</v>
      </c>
      <c r="AD219" s="434" t="s">
        <v>1660</v>
      </c>
      <c r="AE219" s="434" t="s">
        <v>1661</v>
      </c>
      <c r="AF219" s="434" t="s">
        <v>1661</v>
      </c>
      <c r="AG219" s="427">
        <v>9.0</v>
      </c>
      <c r="AH219" s="435" t="s">
        <v>18</v>
      </c>
      <c r="AI219" s="415"/>
      <c r="AJ219" s="436" t="str">
        <f t="array" ref="AJ219">IF(M219=DGET(claves!$A$2:$AS423,M$2,{claves!$A$2;$E219}),1,0)</f>
        <v>#VALUE!</v>
      </c>
      <c r="AK219" s="436" t="str">
        <f t="array" ref="AK219">IF(N219=DGET(claves!$A$2:$AS423,N$2,{claves!$A$2;$E219}),1,0)</f>
        <v>#VALUE!</v>
      </c>
      <c r="AL219" s="436" t="str">
        <f t="array" ref="AL219">IF(O219=DGET(claves!$A$2:$AS423,O$2,{claves!$A$2;$E219}),1,0)</f>
        <v>#VALUE!</v>
      </c>
      <c r="AM219" s="436" t="str">
        <f t="array" ref="AM219">IF(P219=DGET(claves!$A$2:$AS423,P$2,{claves!$A$2;$E219}),1,0)</f>
        <v>#VALUE!</v>
      </c>
      <c r="AN219" s="436" t="str">
        <f t="array" ref="AN219">IF(Q219=DGET(claves!$A$2:$AS423,Q$2,{claves!$A$2;$E219}),1,0)</f>
        <v>#VALUE!</v>
      </c>
      <c r="AO219" s="436" t="str">
        <f t="array" ref="AO219">IF(R219=DGET(claves!$A$2:$AS423,R$2,{claves!$A$2;$E219}),1,0)</f>
        <v>#VALUE!</v>
      </c>
      <c r="AP219" s="436" t="str">
        <f t="array" ref="AP219">IF(S219=DGET(claves!$A$2:$AS423,S$2,{claves!$A$2;$E219}),1,0)</f>
        <v>#VALUE!</v>
      </c>
      <c r="AQ219" s="436" t="str">
        <f t="array" ref="AQ219">IF(T219=DGET(claves!$A$2:$AS423,T$2,{claves!$A$2;$E219}),1,0)</f>
        <v>#VALUE!</v>
      </c>
      <c r="AR219" s="436" t="str">
        <f t="array" ref="AR219">IF(U219=DGET(claves!$A$2:$AS423,U$2,{claves!$A$2;$E219}),1,0)</f>
        <v>#VALUE!</v>
      </c>
      <c r="AS219" s="436" t="str">
        <f t="array" ref="AS219">IF(V219=DGET(claves!$A$2:$AS423,V$2,{claves!$A$2;$E219}),1,0)</f>
        <v>#VALUE!</v>
      </c>
      <c r="AT219" s="436" t="str">
        <f t="array" ref="AT219">IF(W219=DGET(claves!$A$2:$AS423,W$2,{claves!$A$2;$E219}),1,0)</f>
        <v>#VALUE!</v>
      </c>
      <c r="AU219" s="436" t="str">
        <f t="array" ref="AU219">IF(X219=DGET(claves!$A$2:$AS423,X$2,{claves!$A$2;$E219}),1,0)</f>
        <v>#VALUE!</v>
      </c>
      <c r="AV219" s="436" t="str">
        <f t="array" ref="AV219">IF(Y219=DGET(claves!$A$2:$AS423,Y$2,{claves!$A$2;$E219}),1,0)</f>
        <v>#VALUE!</v>
      </c>
      <c r="AW219" s="436" t="str">
        <f t="array" ref="AW219">IF(Z219=DGET(claves!$A$2:$AS423,Z$2,{claves!$A$2;$E219}),1,0)</f>
        <v>#VALUE!</v>
      </c>
      <c r="AX219" s="436" t="str">
        <f t="array" ref="AX219">IF(AA219=DGET(claves!$A$2:$AS423,AA$2,{claves!$A$2;$E219}),1,0)</f>
        <v>#VALUE!</v>
      </c>
      <c r="AY219" s="436" t="str">
        <f t="array" ref="AY219">IF(AB219=DGET(claves!$A$2:$AS423,AB$2,{claves!$A$2;$E219}),1,0)</f>
        <v>#VALUE!</v>
      </c>
      <c r="AZ219" s="436" t="str">
        <f t="array" ref="AZ219">IF(AC219=DGET(claves!$A$2:$AS423,AC$2,{claves!$A$2;$E219}),1,0)</f>
        <v>#VALUE!</v>
      </c>
      <c r="BA219" s="436" t="str">
        <f t="array" ref="BA219">IF(AD219=DGET(claves!$A$2:$AS423,AD$2,{claves!$A$2;$E219}),1,0)</f>
        <v>#VALUE!</v>
      </c>
      <c r="BB219" s="436" t="str">
        <f t="array" ref="BB219">IF(AE219=DGET(claves!$A$2:$AS423,AE$2,{claves!$A$2;$E219}),1,0)</f>
        <v>#VALUE!</v>
      </c>
      <c r="BC219" s="436" t="str">
        <f t="array" ref="BC219">IF(AF219=DGET(claves!$A$2:$AS423,AF$2,{claves!$A$2;$E219}),1,0)</f>
        <v>#VALUE!</v>
      </c>
      <c r="BD219" s="437" t="str">
        <f t="shared" si="1"/>
        <v>#VALUE!</v>
      </c>
      <c r="BE219" s="435"/>
      <c r="BF219" s="415"/>
    </row>
    <row r="220" ht="14.25" customHeight="1">
      <c r="A220" s="408">
        <v>218.0</v>
      </c>
      <c r="B220" s="153" t="s">
        <v>1901</v>
      </c>
      <c r="C220" s="153">
        <v>2024.0</v>
      </c>
      <c r="D220" s="77" t="s">
        <v>1817</v>
      </c>
      <c r="E220" s="409" t="str">
        <f>IFERROR(__xludf.DUMMYFUNCTION("ARRAYFORMULA(JOIN("""", ARRAYFORMULA(MID(SPLIT(F220, "" ""), 1, 1))))
&amp;""/""&amp;G220"),"CLQ/2 Primaria")</f>
        <v>CLQ/2 Primaria</v>
      </c>
      <c r="F220" s="77" t="s">
        <v>1827</v>
      </c>
      <c r="G220" s="432" t="s">
        <v>15</v>
      </c>
      <c r="H220" s="433" t="s">
        <v>1667</v>
      </c>
      <c r="I220" s="433" t="s">
        <v>1719</v>
      </c>
      <c r="J220" s="433" t="s">
        <v>1902</v>
      </c>
      <c r="K220" s="433" t="s">
        <v>1658</v>
      </c>
      <c r="L220" s="415"/>
      <c r="M220" s="434" t="s">
        <v>1825</v>
      </c>
      <c r="N220" s="434" t="s">
        <v>1825</v>
      </c>
      <c r="O220" s="434" t="s">
        <v>1826</v>
      </c>
      <c r="P220" s="434" t="s">
        <v>1825</v>
      </c>
      <c r="Q220" s="434" t="s">
        <v>1825</v>
      </c>
      <c r="R220" s="434" t="s">
        <v>1825</v>
      </c>
      <c r="S220" s="434" t="s">
        <v>1660</v>
      </c>
      <c r="T220" s="434" t="s">
        <v>1660</v>
      </c>
      <c r="U220" s="434" t="s">
        <v>1826</v>
      </c>
      <c r="V220" s="434" t="s">
        <v>1826</v>
      </c>
      <c r="W220" s="434" t="s">
        <v>1660</v>
      </c>
      <c r="X220" s="434" t="s">
        <v>1825</v>
      </c>
      <c r="Y220" s="434" t="s">
        <v>1825</v>
      </c>
      <c r="Z220" s="434" t="s">
        <v>1826</v>
      </c>
      <c r="AA220" s="434" t="s">
        <v>1825</v>
      </c>
      <c r="AB220" s="434" t="s">
        <v>1825</v>
      </c>
      <c r="AC220" s="434" t="s">
        <v>1660</v>
      </c>
      <c r="AD220" s="434" t="s">
        <v>1660</v>
      </c>
      <c r="AE220" s="434" t="s">
        <v>1825</v>
      </c>
      <c r="AF220" s="434" t="s">
        <v>1825</v>
      </c>
      <c r="AG220" s="427">
        <v>10.0</v>
      </c>
      <c r="AH220" s="435" t="s">
        <v>18</v>
      </c>
      <c r="AI220" s="415"/>
      <c r="AJ220" s="436" t="str">
        <f t="array" ref="AJ220">IF(M220=DGET(claves!$A$2:$AS423,M$2,{claves!$A$2;$E220}),1,0)</f>
        <v>#VALUE!</v>
      </c>
      <c r="AK220" s="436" t="str">
        <f t="array" ref="AK220">IF(N220=DGET(claves!$A$2:$AS423,N$2,{claves!$A$2;$E220}),1,0)</f>
        <v>#VALUE!</v>
      </c>
      <c r="AL220" s="436" t="str">
        <f t="array" ref="AL220">IF(O220=DGET(claves!$A$2:$AS423,O$2,{claves!$A$2;$E220}),1,0)</f>
        <v>#VALUE!</v>
      </c>
      <c r="AM220" s="436" t="str">
        <f t="array" ref="AM220">IF(P220=DGET(claves!$A$2:$AS423,P$2,{claves!$A$2;$E220}),1,0)</f>
        <v>#VALUE!</v>
      </c>
      <c r="AN220" s="436" t="str">
        <f t="array" ref="AN220">IF(Q220=DGET(claves!$A$2:$AS423,Q$2,{claves!$A$2;$E220}),1,0)</f>
        <v>#VALUE!</v>
      </c>
      <c r="AO220" s="436" t="str">
        <f t="array" ref="AO220">IF(R220=DGET(claves!$A$2:$AS423,R$2,{claves!$A$2;$E220}),1,0)</f>
        <v>#VALUE!</v>
      </c>
      <c r="AP220" s="436" t="str">
        <f t="array" ref="AP220">IF(S220=DGET(claves!$A$2:$AS423,S$2,{claves!$A$2;$E220}),1,0)</f>
        <v>#VALUE!</v>
      </c>
      <c r="AQ220" s="436" t="str">
        <f t="array" ref="AQ220">IF(T220=DGET(claves!$A$2:$AS423,T$2,{claves!$A$2;$E220}),1,0)</f>
        <v>#VALUE!</v>
      </c>
      <c r="AR220" s="436" t="str">
        <f t="array" ref="AR220">IF(U220=DGET(claves!$A$2:$AS423,U$2,{claves!$A$2;$E220}),1,0)</f>
        <v>#VALUE!</v>
      </c>
      <c r="AS220" s="436" t="str">
        <f t="array" ref="AS220">IF(V220=DGET(claves!$A$2:$AS423,V$2,{claves!$A$2;$E220}),1,0)</f>
        <v>#VALUE!</v>
      </c>
      <c r="AT220" s="436" t="str">
        <f t="array" ref="AT220">IF(W220=DGET(claves!$A$2:$AS423,W$2,{claves!$A$2;$E220}),1,0)</f>
        <v>#VALUE!</v>
      </c>
      <c r="AU220" s="436" t="str">
        <f t="array" ref="AU220">IF(X220=DGET(claves!$A$2:$AS423,X$2,{claves!$A$2;$E220}),1,0)</f>
        <v>#VALUE!</v>
      </c>
      <c r="AV220" s="436" t="str">
        <f t="array" ref="AV220">IF(Y220=DGET(claves!$A$2:$AS423,Y$2,{claves!$A$2;$E220}),1,0)</f>
        <v>#VALUE!</v>
      </c>
      <c r="AW220" s="436" t="str">
        <f t="array" ref="AW220">IF(Z220=DGET(claves!$A$2:$AS423,Z$2,{claves!$A$2;$E220}),1,0)</f>
        <v>#VALUE!</v>
      </c>
      <c r="AX220" s="436" t="str">
        <f t="array" ref="AX220">IF(AA220=DGET(claves!$A$2:$AS423,AA$2,{claves!$A$2;$E220}),1,0)</f>
        <v>#VALUE!</v>
      </c>
      <c r="AY220" s="436" t="str">
        <f t="array" ref="AY220">IF(AB220=DGET(claves!$A$2:$AS423,AB$2,{claves!$A$2;$E220}),1,0)</f>
        <v>#VALUE!</v>
      </c>
      <c r="AZ220" s="436" t="str">
        <f t="array" ref="AZ220">IF(AC220=DGET(claves!$A$2:$AS423,AC$2,{claves!$A$2;$E220}),1,0)</f>
        <v>#VALUE!</v>
      </c>
      <c r="BA220" s="436" t="str">
        <f t="array" ref="BA220">IF(AD220=DGET(claves!$A$2:$AS423,AD$2,{claves!$A$2;$E220}),1,0)</f>
        <v>#VALUE!</v>
      </c>
      <c r="BB220" s="436" t="str">
        <f t="array" ref="BB220">IF(AE220=DGET(claves!$A$2:$AS423,AE$2,{claves!$A$2;$E220}),1,0)</f>
        <v>#VALUE!</v>
      </c>
      <c r="BC220" s="436" t="str">
        <f t="array" ref="BC220">IF(AF220=DGET(claves!$A$2:$AS423,AF$2,{claves!$A$2;$E220}),1,0)</f>
        <v>#VALUE!</v>
      </c>
      <c r="BD220" s="437" t="str">
        <f t="shared" si="1"/>
        <v>#VALUE!</v>
      </c>
      <c r="BE220" s="435"/>
      <c r="BF220" s="415"/>
    </row>
    <row r="221" ht="14.25" customHeight="1">
      <c r="A221" s="408">
        <v>219.0</v>
      </c>
      <c r="B221" s="153" t="s">
        <v>1901</v>
      </c>
      <c r="C221" s="153">
        <v>2024.0</v>
      </c>
      <c r="D221" s="77" t="s">
        <v>1817</v>
      </c>
      <c r="E221" s="409" t="str">
        <f>IFERROR(__xludf.DUMMYFUNCTION("ARRAYFORMULA(JOIN("""", ARRAYFORMULA(MID(SPLIT(F221, "" ""), 1, 1))))
&amp;""/""&amp;G221"),"CLQ/4 Primaria")</f>
        <v>CLQ/4 Primaria</v>
      </c>
      <c r="F221" s="77" t="s">
        <v>1827</v>
      </c>
      <c r="G221" s="432" t="s">
        <v>20</v>
      </c>
      <c r="H221" s="433" t="s">
        <v>1903</v>
      </c>
      <c r="I221" s="433" t="s">
        <v>1904</v>
      </c>
      <c r="J221" s="433" t="s">
        <v>1905</v>
      </c>
      <c r="K221" s="432" t="s">
        <v>1665</v>
      </c>
      <c r="L221" s="415"/>
      <c r="M221" s="434" t="s">
        <v>1659</v>
      </c>
      <c r="N221" s="434" t="s">
        <v>1660</v>
      </c>
      <c r="O221" s="434" t="s">
        <v>1660</v>
      </c>
      <c r="P221" s="434" t="s">
        <v>1659</v>
      </c>
      <c r="Q221" s="434" t="s">
        <v>1689</v>
      </c>
      <c r="R221" s="434" t="s">
        <v>1660</v>
      </c>
      <c r="S221" s="434" t="s">
        <v>1660</v>
      </c>
      <c r="T221" s="434" t="s">
        <v>1661</v>
      </c>
      <c r="U221" s="434" t="s">
        <v>1689</v>
      </c>
      <c r="V221" s="434" t="s">
        <v>1661</v>
      </c>
      <c r="W221" s="434" t="s">
        <v>1689</v>
      </c>
      <c r="X221" s="434" t="s">
        <v>1659</v>
      </c>
      <c r="Y221" s="434" t="s">
        <v>1659</v>
      </c>
      <c r="Z221" s="434" t="s">
        <v>1689</v>
      </c>
      <c r="AA221" s="434" t="s">
        <v>1661</v>
      </c>
      <c r="AB221" s="434" t="s">
        <v>1661</v>
      </c>
      <c r="AC221" s="434" t="s">
        <v>1661</v>
      </c>
      <c r="AD221" s="434" t="s">
        <v>1689</v>
      </c>
      <c r="AE221" s="434" t="s">
        <v>1659</v>
      </c>
      <c r="AF221" s="434" t="s">
        <v>1689</v>
      </c>
      <c r="AG221" s="427">
        <v>16.0</v>
      </c>
      <c r="AH221" s="435" t="s">
        <v>24</v>
      </c>
      <c r="AI221" s="415"/>
      <c r="AJ221" s="436" t="str">
        <f t="array" ref="AJ221">IF(M221=DGET(claves!$A$2:$AS423,M$2,{claves!$A$2;$E221}),1,0)</f>
        <v>#VALUE!</v>
      </c>
      <c r="AK221" s="436" t="str">
        <f t="array" ref="AK221">IF(N221=DGET(claves!$A$2:$AS423,N$2,{claves!$A$2;$E221}),1,0)</f>
        <v>#VALUE!</v>
      </c>
      <c r="AL221" s="436" t="str">
        <f t="array" ref="AL221">IF(O221=DGET(claves!$A$2:$AS423,O$2,{claves!$A$2;$E221}),1,0)</f>
        <v>#VALUE!</v>
      </c>
      <c r="AM221" s="436" t="str">
        <f t="array" ref="AM221">IF(P221=DGET(claves!$A$2:$AS423,P$2,{claves!$A$2;$E221}),1,0)</f>
        <v>#VALUE!</v>
      </c>
      <c r="AN221" s="436" t="str">
        <f t="array" ref="AN221">IF(Q221=DGET(claves!$A$2:$AS423,Q$2,{claves!$A$2;$E221}),1,0)</f>
        <v>#VALUE!</v>
      </c>
      <c r="AO221" s="436" t="str">
        <f t="array" ref="AO221">IF(R221=DGET(claves!$A$2:$AS423,R$2,{claves!$A$2;$E221}),1,0)</f>
        <v>#VALUE!</v>
      </c>
      <c r="AP221" s="436" t="str">
        <f t="array" ref="AP221">IF(S221=DGET(claves!$A$2:$AS423,S$2,{claves!$A$2;$E221}),1,0)</f>
        <v>#VALUE!</v>
      </c>
      <c r="AQ221" s="436" t="str">
        <f t="array" ref="AQ221">IF(T221=DGET(claves!$A$2:$AS423,T$2,{claves!$A$2;$E221}),1,0)</f>
        <v>#VALUE!</v>
      </c>
      <c r="AR221" s="436" t="str">
        <f t="array" ref="AR221">IF(U221=DGET(claves!$A$2:$AS423,U$2,{claves!$A$2;$E221}),1,0)</f>
        <v>#VALUE!</v>
      </c>
      <c r="AS221" s="436" t="str">
        <f t="array" ref="AS221">IF(V221=DGET(claves!$A$2:$AS423,V$2,{claves!$A$2;$E221}),1,0)</f>
        <v>#VALUE!</v>
      </c>
      <c r="AT221" s="436" t="str">
        <f t="array" ref="AT221">IF(W221=DGET(claves!$A$2:$AS423,W$2,{claves!$A$2;$E221}),1,0)</f>
        <v>#VALUE!</v>
      </c>
      <c r="AU221" s="436" t="str">
        <f t="array" ref="AU221">IF(X221=DGET(claves!$A$2:$AS423,X$2,{claves!$A$2;$E221}),1,0)</f>
        <v>#VALUE!</v>
      </c>
      <c r="AV221" s="436" t="str">
        <f t="array" ref="AV221">IF(Y221=DGET(claves!$A$2:$AS423,Y$2,{claves!$A$2;$E221}),1,0)</f>
        <v>#VALUE!</v>
      </c>
      <c r="AW221" s="436" t="str">
        <f t="array" ref="AW221">IF(Z221=DGET(claves!$A$2:$AS423,Z$2,{claves!$A$2;$E221}),1,0)</f>
        <v>#VALUE!</v>
      </c>
      <c r="AX221" s="436" t="str">
        <f t="array" ref="AX221">IF(AA221=DGET(claves!$A$2:$AS423,AA$2,{claves!$A$2;$E221}),1,0)</f>
        <v>#VALUE!</v>
      </c>
      <c r="AY221" s="436" t="str">
        <f t="array" ref="AY221">IF(AB221=DGET(claves!$A$2:$AS423,AB$2,{claves!$A$2;$E221}),1,0)</f>
        <v>#VALUE!</v>
      </c>
      <c r="AZ221" s="436" t="str">
        <f t="array" ref="AZ221">IF(AC221=DGET(claves!$A$2:$AS423,AC$2,{claves!$A$2;$E221}),1,0)</f>
        <v>#VALUE!</v>
      </c>
      <c r="BA221" s="436" t="str">
        <f t="array" ref="BA221">IF(AD221=DGET(claves!$A$2:$AS423,AD$2,{claves!$A$2;$E221}),1,0)</f>
        <v>#VALUE!</v>
      </c>
      <c r="BB221" s="436" t="str">
        <f t="array" ref="BB221">IF(AE221=DGET(claves!$A$2:$AS423,AE$2,{claves!$A$2;$E221}),1,0)</f>
        <v>#VALUE!</v>
      </c>
      <c r="BC221" s="436" t="str">
        <f t="array" ref="BC221">IF(AF221=DGET(claves!$A$2:$AS423,AF$2,{claves!$A$2;$E221}),1,0)</f>
        <v>#VALUE!</v>
      </c>
      <c r="BD221" s="437" t="str">
        <f t="shared" si="1"/>
        <v>#VALUE!</v>
      </c>
      <c r="BE221" s="435"/>
      <c r="BF221" s="415"/>
    </row>
    <row r="222" ht="14.25" customHeight="1">
      <c r="A222" s="408">
        <v>220.0</v>
      </c>
      <c r="B222" s="153" t="s">
        <v>1901</v>
      </c>
      <c r="C222" s="153">
        <v>2024.0</v>
      </c>
      <c r="D222" s="77" t="s">
        <v>1817</v>
      </c>
      <c r="E222" s="409" t="str">
        <f>IFERROR(__xludf.DUMMYFUNCTION("ARRAYFORMULA(JOIN("""", ARRAYFORMULA(MID(SPLIT(F222, "" ""), 1, 1))))
&amp;""/""&amp;G222"),"CLQ/6 Primaria")</f>
        <v>CLQ/6 Primaria</v>
      </c>
      <c r="F222" s="77" t="s">
        <v>1827</v>
      </c>
      <c r="G222" s="432" t="s">
        <v>22</v>
      </c>
      <c r="H222" s="433" t="s">
        <v>1895</v>
      </c>
      <c r="I222" s="433" t="s">
        <v>1895</v>
      </c>
      <c r="J222" s="433" t="s">
        <v>1906</v>
      </c>
      <c r="K222" s="432" t="s">
        <v>1665</v>
      </c>
      <c r="L222" s="415"/>
      <c r="M222" s="434" t="s">
        <v>1661</v>
      </c>
      <c r="N222" s="434" t="s">
        <v>1661</v>
      </c>
      <c r="O222" s="434" t="s">
        <v>1689</v>
      </c>
      <c r="P222" s="434" t="s">
        <v>1659</v>
      </c>
      <c r="Q222" s="434" t="s">
        <v>1689</v>
      </c>
      <c r="R222" s="434" t="s">
        <v>1689</v>
      </c>
      <c r="S222" s="434" t="s">
        <v>1661</v>
      </c>
      <c r="T222" s="434" t="s">
        <v>1661</v>
      </c>
      <c r="U222" s="434" t="s">
        <v>1660</v>
      </c>
      <c r="V222" s="434" t="s">
        <v>1659</v>
      </c>
      <c r="W222" s="434" t="s">
        <v>1659</v>
      </c>
      <c r="X222" s="434" t="s">
        <v>1661</v>
      </c>
      <c r="Y222" s="434" t="s">
        <v>1689</v>
      </c>
      <c r="Z222" s="434" t="s">
        <v>1689</v>
      </c>
      <c r="AA222" s="434" t="s">
        <v>1660</v>
      </c>
      <c r="AB222" s="434" t="s">
        <v>1661</v>
      </c>
      <c r="AC222" s="434" t="s">
        <v>1659</v>
      </c>
      <c r="AD222" s="434" t="s">
        <v>1660</v>
      </c>
      <c r="AE222" s="434" t="s">
        <v>1660</v>
      </c>
      <c r="AF222" s="434" t="s">
        <v>1689</v>
      </c>
      <c r="AG222" s="427">
        <v>14.0</v>
      </c>
      <c r="AH222" s="435" t="s">
        <v>24</v>
      </c>
      <c r="AI222" s="415"/>
      <c r="AJ222" s="436" t="str">
        <f t="array" ref="AJ222">IF(M222=DGET(claves!$A$2:$AS423,M$2,{claves!$A$2;$E222}),1,0)</f>
        <v>#VALUE!</v>
      </c>
      <c r="AK222" s="436" t="str">
        <f t="array" ref="AK222">IF(N222=DGET(claves!$A$2:$AS423,N$2,{claves!$A$2;$E222}),1,0)</f>
        <v>#VALUE!</v>
      </c>
      <c r="AL222" s="436" t="str">
        <f t="array" ref="AL222">IF(O222=DGET(claves!$A$2:$AS423,O$2,{claves!$A$2;$E222}),1,0)</f>
        <v>#VALUE!</v>
      </c>
      <c r="AM222" s="436" t="str">
        <f t="array" ref="AM222">IF(P222=DGET(claves!$A$2:$AS423,P$2,{claves!$A$2;$E222}),1,0)</f>
        <v>#VALUE!</v>
      </c>
      <c r="AN222" s="436" t="str">
        <f t="array" ref="AN222">IF(Q222=DGET(claves!$A$2:$AS423,Q$2,{claves!$A$2;$E222}),1,0)</f>
        <v>#VALUE!</v>
      </c>
      <c r="AO222" s="436" t="str">
        <f t="array" ref="AO222">IF(R222=DGET(claves!$A$2:$AS423,R$2,{claves!$A$2;$E222}),1,0)</f>
        <v>#VALUE!</v>
      </c>
      <c r="AP222" s="436" t="str">
        <f t="array" ref="AP222">IF(S222=DGET(claves!$A$2:$AS423,S$2,{claves!$A$2;$E222}),1,0)</f>
        <v>#VALUE!</v>
      </c>
      <c r="AQ222" s="436" t="str">
        <f t="array" ref="AQ222">IF(T222=DGET(claves!$A$2:$AS423,T$2,{claves!$A$2;$E222}),1,0)</f>
        <v>#VALUE!</v>
      </c>
      <c r="AR222" s="436" t="str">
        <f t="array" ref="AR222">IF(U222=DGET(claves!$A$2:$AS423,U$2,{claves!$A$2;$E222}),1,0)</f>
        <v>#VALUE!</v>
      </c>
      <c r="AS222" s="436" t="str">
        <f t="array" ref="AS222">IF(V222=DGET(claves!$A$2:$AS423,V$2,{claves!$A$2;$E222}),1,0)</f>
        <v>#VALUE!</v>
      </c>
      <c r="AT222" s="436" t="str">
        <f t="array" ref="AT222">IF(W222=DGET(claves!$A$2:$AS423,W$2,{claves!$A$2;$E222}),1,0)</f>
        <v>#VALUE!</v>
      </c>
      <c r="AU222" s="436" t="str">
        <f t="array" ref="AU222">IF(X222=DGET(claves!$A$2:$AS423,X$2,{claves!$A$2;$E222}),1,0)</f>
        <v>#VALUE!</v>
      </c>
      <c r="AV222" s="436" t="str">
        <f t="array" ref="AV222">IF(Y222=DGET(claves!$A$2:$AS423,Y$2,{claves!$A$2;$E222}),1,0)</f>
        <v>#VALUE!</v>
      </c>
      <c r="AW222" s="436" t="str">
        <f t="array" ref="AW222">IF(Z222=DGET(claves!$A$2:$AS423,Z$2,{claves!$A$2;$E222}),1,0)</f>
        <v>#VALUE!</v>
      </c>
      <c r="AX222" s="436" t="str">
        <f t="array" ref="AX222">IF(AA222=DGET(claves!$A$2:$AS423,AA$2,{claves!$A$2;$E222}),1,0)</f>
        <v>#VALUE!</v>
      </c>
      <c r="AY222" s="436" t="str">
        <f t="array" ref="AY222">IF(AB222=DGET(claves!$A$2:$AS423,AB$2,{claves!$A$2;$E222}),1,0)</f>
        <v>#VALUE!</v>
      </c>
      <c r="AZ222" s="436" t="str">
        <f t="array" ref="AZ222">IF(AC222=DGET(claves!$A$2:$AS423,AC$2,{claves!$A$2;$E222}),1,0)</f>
        <v>#VALUE!</v>
      </c>
      <c r="BA222" s="436" t="str">
        <f t="array" ref="BA222">IF(AD222=DGET(claves!$A$2:$AS423,AD$2,{claves!$A$2;$E222}),1,0)</f>
        <v>#VALUE!</v>
      </c>
      <c r="BB222" s="436" t="str">
        <f t="array" ref="BB222">IF(AE222=DGET(claves!$A$2:$AS423,AE$2,{claves!$A$2;$E222}),1,0)</f>
        <v>#VALUE!</v>
      </c>
      <c r="BC222" s="436" t="str">
        <f t="array" ref="BC222">IF(AF222=DGET(claves!$A$2:$AS423,AF$2,{claves!$A$2;$E222}),1,0)</f>
        <v>#VALUE!</v>
      </c>
      <c r="BD222" s="437" t="str">
        <f t="shared" si="1"/>
        <v>#VALUE!</v>
      </c>
      <c r="BE222" s="435"/>
      <c r="BF222" s="415"/>
    </row>
    <row r="223" ht="14.25" customHeight="1">
      <c r="A223" s="408">
        <v>221.0</v>
      </c>
      <c r="B223" s="153" t="s">
        <v>1907</v>
      </c>
      <c r="C223" s="153">
        <v>2024.0</v>
      </c>
      <c r="D223" s="77" t="s">
        <v>1817</v>
      </c>
      <c r="E223" s="409" t="str">
        <f>IFERROR(__xludf.DUMMYFUNCTION("ARRAYFORMULA(JOIN("""", ARRAYFORMULA(MID(SPLIT(F223, "" ""), 1, 1))))
&amp;""/""&amp;G223"),"CLQ/2 Primaria")</f>
        <v>CLQ/2 Primaria</v>
      </c>
      <c r="F223" s="77" t="s">
        <v>1827</v>
      </c>
      <c r="G223" s="432" t="s">
        <v>15</v>
      </c>
      <c r="H223" s="433" t="s">
        <v>1670</v>
      </c>
      <c r="I223" s="433" t="s">
        <v>1670</v>
      </c>
      <c r="J223" s="433" t="s">
        <v>1908</v>
      </c>
      <c r="K223" s="433" t="s">
        <v>1658</v>
      </c>
      <c r="L223" s="415"/>
      <c r="M223" s="434" t="s">
        <v>1825</v>
      </c>
      <c r="N223" s="434" t="s">
        <v>1660</v>
      </c>
      <c r="O223" s="434" t="s">
        <v>1826</v>
      </c>
      <c r="P223" s="434" t="s">
        <v>1825</v>
      </c>
      <c r="Q223" s="434" t="s">
        <v>1825</v>
      </c>
      <c r="R223" s="434" t="s">
        <v>1660</v>
      </c>
      <c r="S223" s="434" t="s">
        <v>1826</v>
      </c>
      <c r="T223" s="434" t="s">
        <v>1825</v>
      </c>
      <c r="U223" s="434" t="s">
        <v>1660</v>
      </c>
      <c r="V223" s="434" t="s">
        <v>1825</v>
      </c>
      <c r="W223" s="434" t="s">
        <v>1825</v>
      </c>
      <c r="X223" s="434" t="s">
        <v>1826</v>
      </c>
      <c r="Y223" s="434" t="s">
        <v>1660</v>
      </c>
      <c r="Z223" s="434" t="s">
        <v>1826</v>
      </c>
      <c r="AA223" s="434" t="s">
        <v>1660</v>
      </c>
      <c r="AB223" s="434" t="s">
        <v>1826</v>
      </c>
      <c r="AC223" s="434" t="s">
        <v>1660</v>
      </c>
      <c r="AD223" s="434" t="s">
        <v>1825</v>
      </c>
      <c r="AE223" s="434" t="s">
        <v>1660</v>
      </c>
      <c r="AF223" s="434" t="s">
        <v>1825</v>
      </c>
      <c r="AG223" s="427">
        <v>8.0</v>
      </c>
      <c r="AH223" s="435" t="s">
        <v>18</v>
      </c>
      <c r="AI223" s="415"/>
      <c r="AJ223" s="436" t="str">
        <f t="array" ref="AJ223">IF(M223=DGET(claves!$A$2:$AS423,M$2,{claves!$A$2;$E223}),1,0)</f>
        <v>#VALUE!</v>
      </c>
      <c r="AK223" s="436" t="str">
        <f t="array" ref="AK223">IF(N223=DGET(claves!$A$2:$AS423,N$2,{claves!$A$2;$E223}),1,0)</f>
        <v>#VALUE!</v>
      </c>
      <c r="AL223" s="436" t="str">
        <f t="array" ref="AL223">IF(O223=DGET(claves!$A$2:$AS423,O$2,{claves!$A$2;$E223}),1,0)</f>
        <v>#VALUE!</v>
      </c>
      <c r="AM223" s="436" t="str">
        <f t="array" ref="AM223">IF(P223=DGET(claves!$A$2:$AS423,P$2,{claves!$A$2;$E223}),1,0)</f>
        <v>#VALUE!</v>
      </c>
      <c r="AN223" s="436" t="str">
        <f t="array" ref="AN223">IF(Q223=DGET(claves!$A$2:$AS423,Q$2,{claves!$A$2;$E223}),1,0)</f>
        <v>#VALUE!</v>
      </c>
      <c r="AO223" s="436" t="str">
        <f t="array" ref="AO223">IF(R223=DGET(claves!$A$2:$AS423,R$2,{claves!$A$2;$E223}),1,0)</f>
        <v>#VALUE!</v>
      </c>
      <c r="AP223" s="436" t="str">
        <f t="array" ref="AP223">IF(S223=DGET(claves!$A$2:$AS423,S$2,{claves!$A$2;$E223}),1,0)</f>
        <v>#VALUE!</v>
      </c>
      <c r="AQ223" s="436" t="str">
        <f t="array" ref="AQ223">IF(T223=DGET(claves!$A$2:$AS423,T$2,{claves!$A$2;$E223}),1,0)</f>
        <v>#VALUE!</v>
      </c>
      <c r="AR223" s="436" t="str">
        <f t="array" ref="AR223">IF(U223=DGET(claves!$A$2:$AS423,U$2,{claves!$A$2;$E223}),1,0)</f>
        <v>#VALUE!</v>
      </c>
      <c r="AS223" s="436" t="str">
        <f t="array" ref="AS223">IF(V223=DGET(claves!$A$2:$AS423,V$2,{claves!$A$2;$E223}),1,0)</f>
        <v>#VALUE!</v>
      </c>
      <c r="AT223" s="436" t="str">
        <f t="array" ref="AT223">IF(W223=DGET(claves!$A$2:$AS423,W$2,{claves!$A$2;$E223}),1,0)</f>
        <v>#VALUE!</v>
      </c>
      <c r="AU223" s="436" t="str">
        <f t="array" ref="AU223">IF(X223=DGET(claves!$A$2:$AS423,X$2,{claves!$A$2;$E223}),1,0)</f>
        <v>#VALUE!</v>
      </c>
      <c r="AV223" s="436" t="str">
        <f t="array" ref="AV223">IF(Y223=DGET(claves!$A$2:$AS423,Y$2,{claves!$A$2;$E223}),1,0)</f>
        <v>#VALUE!</v>
      </c>
      <c r="AW223" s="436" t="str">
        <f t="array" ref="AW223">IF(Z223=DGET(claves!$A$2:$AS423,Z$2,{claves!$A$2;$E223}),1,0)</f>
        <v>#VALUE!</v>
      </c>
      <c r="AX223" s="436" t="str">
        <f t="array" ref="AX223">IF(AA223=DGET(claves!$A$2:$AS423,AA$2,{claves!$A$2;$E223}),1,0)</f>
        <v>#VALUE!</v>
      </c>
      <c r="AY223" s="436" t="str">
        <f t="array" ref="AY223">IF(AB223=DGET(claves!$A$2:$AS423,AB$2,{claves!$A$2;$E223}),1,0)</f>
        <v>#VALUE!</v>
      </c>
      <c r="AZ223" s="436" t="str">
        <f t="array" ref="AZ223">IF(AC223=DGET(claves!$A$2:$AS423,AC$2,{claves!$A$2;$E223}),1,0)</f>
        <v>#VALUE!</v>
      </c>
      <c r="BA223" s="436" t="str">
        <f t="array" ref="BA223">IF(AD223=DGET(claves!$A$2:$AS423,AD$2,{claves!$A$2;$E223}),1,0)</f>
        <v>#VALUE!</v>
      </c>
      <c r="BB223" s="436" t="str">
        <f t="array" ref="BB223">IF(AE223=DGET(claves!$A$2:$AS423,AE$2,{claves!$A$2;$E223}),1,0)</f>
        <v>#VALUE!</v>
      </c>
      <c r="BC223" s="436" t="str">
        <f t="array" ref="BC223">IF(AF223=DGET(claves!$A$2:$AS423,AF$2,{claves!$A$2;$E223}),1,0)</f>
        <v>#VALUE!</v>
      </c>
      <c r="BD223" s="437" t="str">
        <f t="shared" si="1"/>
        <v>#VALUE!</v>
      </c>
      <c r="BE223" s="435"/>
      <c r="BF223" s="415"/>
    </row>
    <row r="224" ht="14.25" customHeight="1">
      <c r="A224" s="408">
        <v>222.0</v>
      </c>
      <c r="B224" s="153" t="s">
        <v>1907</v>
      </c>
      <c r="C224" s="153">
        <v>2024.0</v>
      </c>
      <c r="D224" s="77" t="s">
        <v>1817</v>
      </c>
      <c r="E224" s="409" t="str">
        <f>IFERROR(__xludf.DUMMYFUNCTION("ARRAYFORMULA(JOIN("""", ARRAYFORMULA(MID(SPLIT(F224, "" ""), 1, 1))))
&amp;""/""&amp;G224"),"CLQ/4 Primaria")</f>
        <v>CLQ/4 Primaria</v>
      </c>
      <c r="F224" s="77" t="s">
        <v>1827</v>
      </c>
      <c r="G224" s="432" t="s">
        <v>20</v>
      </c>
      <c r="H224" s="433" t="s">
        <v>1670</v>
      </c>
      <c r="I224" s="433" t="s">
        <v>1909</v>
      </c>
      <c r="J224" s="433" t="s">
        <v>1910</v>
      </c>
      <c r="K224" s="433" t="s">
        <v>1658</v>
      </c>
      <c r="L224" s="415"/>
      <c r="M224" s="434" t="s">
        <v>1659</v>
      </c>
      <c r="N224" s="434" t="s">
        <v>1660</v>
      </c>
      <c r="O224" s="434" t="s">
        <v>1661</v>
      </c>
      <c r="P224" s="434" t="s">
        <v>1659</v>
      </c>
      <c r="Q224" s="434" t="s">
        <v>1661</v>
      </c>
      <c r="R224" s="434" t="s">
        <v>1660</v>
      </c>
      <c r="S224" s="434" t="s">
        <v>1659</v>
      </c>
      <c r="T224" s="434" t="s">
        <v>1661</v>
      </c>
      <c r="U224" s="434" t="s">
        <v>1689</v>
      </c>
      <c r="V224" s="434" t="s">
        <v>1661</v>
      </c>
      <c r="W224" s="434" t="s">
        <v>1659</v>
      </c>
      <c r="X224" s="434" t="s">
        <v>1660</v>
      </c>
      <c r="Y224" s="434" t="s">
        <v>1689</v>
      </c>
      <c r="Z224" s="434" t="s">
        <v>1689</v>
      </c>
      <c r="AA224" s="434" t="s">
        <v>1689</v>
      </c>
      <c r="AB224" s="434" t="s">
        <v>1661</v>
      </c>
      <c r="AC224" s="434" t="s">
        <v>1689</v>
      </c>
      <c r="AD224" s="434" t="s">
        <v>1661</v>
      </c>
      <c r="AE224" s="434" t="s">
        <v>1689</v>
      </c>
      <c r="AF224" s="434" t="s">
        <v>1660</v>
      </c>
      <c r="AG224" s="427">
        <v>11.0</v>
      </c>
      <c r="AH224" s="435" t="s">
        <v>24</v>
      </c>
      <c r="AI224" s="415"/>
      <c r="AJ224" s="436" t="str">
        <f t="array" ref="AJ224">IF(M224=DGET(claves!$A$2:$AS423,M$2,{claves!$A$2;$E224}),1,0)</f>
        <v>#VALUE!</v>
      </c>
      <c r="AK224" s="436" t="str">
        <f t="array" ref="AK224">IF(N224=DGET(claves!$A$2:$AS423,N$2,{claves!$A$2;$E224}),1,0)</f>
        <v>#VALUE!</v>
      </c>
      <c r="AL224" s="436" t="str">
        <f t="array" ref="AL224">IF(O224=DGET(claves!$A$2:$AS423,O$2,{claves!$A$2;$E224}),1,0)</f>
        <v>#VALUE!</v>
      </c>
      <c r="AM224" s="436" t="str">
        <f t="array" ref="AM224">IF(P224=DGET(claves!$A$2:$AS423,P$2,{claves!$A$2;$E224}),1,0)</f>
        <v>#VALUE!</v>
      </c>
      <c r="AN224" s="436" t="str">
        <f t="array" ref="AN224">IF(Q224=DGET(claves!$A$2:$AS423,Q$2,{claves!$A$2;$E224}),1,0)</f>
        <v>#VALUE!</v>
      </c>
      <c r="AO224" s="436" t="str">
        <f t="array" ref="AO224">IF(R224=DGET(claves!$A$2:$AS423,R$2,{claves!$A$2;$E224}),1,0)</f>
        <v>#VALUE!</v>
      </c>
      <c r="AP224" s="436" t="str">
        <f t="array" ref="AP224">IF(S224=DGET(claves!$A$2:$AS423,S$2,{claves!$A$2;$E224}),1,0)</f>
        <v>#VALUE!</v>
      </c>
      <c r="AQ224" s="436" t="str">
        <f t="array" ref="AQ224">IF(T224=DGET(claves!$A$2:$AS423,T$2,{claves!$A$2;$E224}),1,0)</f>
        <v>#VALUE!</v>
      </c>
      <c r="AR224" s="436" t="str">
        <f t="array" ref="AR224">IF(U224=DGET(claves!$A$2:$AS423,U$2,{claves!$A$2;$E224}),1,0)</f>
        <v>#VALUE!</v>
      </c>
      <c r="AS224" s="436" t="str">
        <f t="array" ref="AS224">IF(V224=DGET(claves!$A$2:$AS423,V$2,{claves!$A$2;$E224}),1,0)</f>
        <v>#VALUE!</v>
      </c>
      <c r="AT224" s="436" t="str">
        <f t="array" ref="AT224">IF(W224=DGET(claves!$A$2:$AS423,W$2,{claves!$A$2;$E224}),1,0)</f>
        <v>#VALUE!</v>
      </c>
      <c r="AU224" s="436" t="str">
        <f t="array" ref="AU224">IF(X224=DGET(claves!$A$2:$AS423,X$2,{claves!$A$2;$E224}),1,0)</f>
        <v>#VALUE!</v>
      </c>
      <c r="AV224" s="436" t="str">
        <f t="array" ref="AV224">IF(Y224=DGET(claves!$A$2:$AS423,Y$2,{claves!$A$2;$E224}),1,0)</f>
        <v>#VALUE!</v>
      </c>
      <c r="AW224" s="436" t="str">
        <f t="array" ref="AW224">IF(Z224=DGET(claves!$A$2:$AS423,Z$2,{claves!$A$2;$E224}),1,0)</f>
        <v>#VALUE!</v>
      </c>
      <c r="AX224" s="436" t="str">
        <f t="array" ref="AX224">IF(AA224=DGET(claves!$A$2:$AS423,AA$2,{claves!$A$2;$E224}),1,0)</f>
        <v>#VALUE!</v>
      </c>
      <c r="AY224" s="436" t="str">
        <f t="array" ref="AY224">IF(AB224=DGET(claves!$A$2:$AS423,AB$2,{claves!$A$2;$E224}),1,0)</f>
        <v>#VALUE!</v>
      </c>
      <c r="AZ224" s="436" t="str">
        <f t="array" ref="AZ224">IF(AC224=DGET(claves!$A$2:$AS423,AC$2,{claves!$A$2;$E224}),1,0)</f>
        <v>#VALUE!</v>
      </c>
      <c r="BA224" s="436" t="str">
        <f t="array" ref="BA224">IF(AD224=DGET(claves!$A$2:$AS423,AD$2,{claves!$A$2;$E224}),1,0)</f>
        <v>#VALUE!</v>
      </c>
      <c r="BB224" s="436" t="str">
        <f t="array" ref="BB224">IF(AE224=DGET(claves!$A$2:$AS423,AE$2,{claves!$A$2;$E224}),1,0)</f>
        <v>#VALUE!</v>
      </c>
      <c r="BC224" s="436" t="str">
        <f t="array" ref="BC224">IF(AF224=DGET(claves!$A$2:$AS423,AF$2,{claves!$A$2;$E224}),1,0)</f>
        <v>#VALUE!</v>
      </c>
      <c r="BD224" s="437" t="str">
        <f t="shared" si="1"/>
        <v>#VALUE!</v>
      </c>
      <c r="BE224" s="435"/>
      <c r="BF224" s="415"/>
    </row>
    <row r="225" ht="14.25" customHeight="1">
      <c r="A225" s="408">
        <v>223.0</v>
      </c>
      <c r="B225" s="153" t="s">
        <v>1907</v>
      </c>
      <c r="C225" s="153">
        <v>2024.0</v>
      </c>
      <c r="D225" s="77" t="s">
        <v>1817</v>
      </c>
      <c r="E225" s="409" t="str">
        <f>IFERROR(__xludf.DUMMYFUNCTION("ARRAYFORMULA(JOIN("""", ARRAYFORMULA(MID(SPLIT(F225, "" ""), 1, 1))))
&amp;""/""&amp;G225"),"CLQ/4 Primaria")</f>
        <v>CLQ/4 Primaria</v>
      </c>
      <c r="F225" s="77" t="s">
        <v>1827</v>
      </c>
      <c r="G225" s="432" t="s">
        <v>20</v>
      </c>
      <c r="H225" s="433" t="s">
        <v>1670</v>
      </c>
      <c r="I225" s="433" t="s">
        <v>1796</v>
      </c>
      <c r="J225" s="433" t="s">
        <v>1911</v>
      </c>
      <c r="K225" s="432" t="s">
        <v>1665</v>
      </c>
      <c r="L225" s="415"/>
      <c r="M225" s="434" t="s">
        <v>1659</v>
      </c>
      <c r="N225" s="434" t="s">
        <v>1661</v>
      </c>
      <c r="O225" s="434" t="s">
        <v>1661</v>
      </c>
      <c r="P225" s="434" t="s">
        <v>1661</v>
      </c>
      <c r="Q225" s="434" t="s">
        <v>1689</v>
      </c>
      <c r="R225" s="434" t="s">
        <v>1660</v>
      </c>
      <c r="S225" s="434" t="s">
        <v>1661</v>
      </c>
      <c r="T225" s="434" t="s">
        <v>1689</v>
      </c>
      <c r="U225" s="434" t="s">
        <v>1661</v>
      </c>
      <c r="V225" s="434" t="s">
        <v>1689</v>
      </c>
      <c r="W225" s="434" t="s">
        <v>1689</v>
      </c>
      <c r="X225" s="434" t="s">
        <v>1661</v>
      </c>
      <c r="Y225" s="434" t="s">
        <v>1659</v>
      </c>
      <c r="Z225" s="434" t="s">
        <v>1661</v>
      </c>
      <c r="AA225" s="434" t="s">
        <v>1659</v>
      </c>
      <c r="AB225" s="434" t="s">
        <v>1689</v>
      </c>
      <c r="AC225" s="434" t="s">
        <v>1661</v>
      </c>
      <c r="AD225" s="434" t="s">
        <v>1689</v>
      </c>
      <c r="AE225" s="434" t="s">
        <v>1659</v>
      </c>
      <c r="AF225" s="434" t="s">
        <v>1660</v>
      </c>
      <c r="AG225" s="427">
        <v>8.0</v>
      </c>
      <c r="AH225" s="435" t="s">
        <v>18</v>
      </c>
      <c r="AI225" s="415"/>
      <c r="AJ225" s="436" t="str">
        <f t="array" ref="AJ225">IF(M225=DGET(claves!$A$2:$AS423,M$2,{claves!$A$2;$E225}),1,0)</f>
        <v>#VALUE!</v>
      </c>
      <c r="AK225" s="436" t="str">
        <f t="array" ref="AK225">IF(N225=DGET(claves!$A$2:$AS423,N$2,{claves!$A$2;$E225}),1,0)</f>
        <v>#VALUE!</v>
      </c>
      <c r="AL225" s="436" t="str">
        <f t="array" ref="AL225">IF(O225=DGET(claves!$A$2:$AS423,O$2,{claves!$A$2;$E225}),1,0)</f>
        <v>#VALUE!</v>
      </c>
      <c r="AM225" s="436" t="str">
        <f t="array" ref="AM225">IF(P225=DGET(claves!$A$2:$AS423,P$2,{claves!$A$2;$E225}),1,0)</f>
        <v>#VALUE!</v>
      </c>
      <c r="AN225" s="436" t="str">
        <f t="array" ref="AN225">IF(Q225=DGET(claves!$A$2:$AS423,Q$2,{claves!$A$2;$E225}),1,0)</f>
        <v>#VALUE!</v>
      </c>
      <c r="AO225" s="436" t="str">
        <f t="array" ref="AO225">IF(R225=DGET(claves!$A$2:$AS423,R$2,{claves!$A$2;$E225}),1,0)</f>
        <v>#VALUE!</v>
      </c>
      <c r="AP225" s="436" t="str">
        <f t="array" ref="AP225">IF(S225=DGET(claves!$A$2:$AS423,S$2,{claves!$A$2;$E225}),1,0)</f>
        <v>#VALUE!</v>
      </c>
      <c r="AQ225" s="436" t="str">
        <f t="array" ref="AQ225">IF(T225=DGET(claves!$A$2:$AS423,T$2,{claves!$A$2;$E225}),1,0)</f>
        <v>#VALUE!</v>
      </c>
      <c r="AR225" s="436" t="str">
        <f t="array" ref="AR225">IF(U225=DGET(claves!$A$2:$AS423,U$2,{claves!$A$2;$E225}),1,0)</f>
        <v>#VALUE!</v>
      </c>
      <c r="AS225" s="436" t="str">
        <f t="array" ref="AS225">IF(V225=DGET(claves!$A$2:$AS423,V$2,{claves!$A$2;$E225}),1,0)</f>
        <v>#VALUE!</v>
      </c>
      <c r="AT225" s="436" t="str">
        <f t="array" ref="AT225">IF(W225=DGET(claves!$A$2:$AS423,W$2,{claves!$A$2;$E225}),1,0)</f>
        <v>#VALUE!</v>
      </c>
      <c r="AU225" s="436" t="str">
        <f t="array" ref="AU225">IF(X225=DGET(claves!$A$2:$AS423,X$2,{claves!$A$2;$E225}),1,0)</f>
        <v>#VALUE!</v>
      </c>
      <c r="AV225" s="436" t="str">
        <f t="array" ref="AV225">IF(Y225=DGET(claves!$A$2:$AS423,Y$2,{claves!$A$2;$E225}),1,0)</f>
        <v>#VALUE!</v>
      </c>
      <c r="AW225" s="436" t="str">
        <f t="array" ref="AW225">IF(Z225=DGET(claves!$A$2:$AS423,Z$2,{claves!$A$2;$E225}),1,0)</f>
        <v>#VALUE!</v>
      </c>
      <c r="AX225" s="436" t="str">
        <f t="array" ref="AX225">IF(AA225=DGET(claves!$A$2:$AS423,AA$2,{claves!$A$2;$E225}),1,0)</f>
        <v>#VALUE!</v>
      </c>
      <c r="AY225" s="436" t="str">
        <f t="array" ref="AY225">IF(AB225=DGET(claves!$A$2:$AS423,AB$2,{claves!$A$2;$E225}),1,0)</f>
        <v>#VALUE!</v>
      </c>
      <c r="AZ225" s="436" t="str">
        <f t="array" ref="AZ225">IF(AC225=DGET(claves!$A$2:$AS423,AC$2,{claves!$A$2;$E225}),1,0)</f>
        <v>#VALUE!</v>
      </c>
      <c r="BA225" s="436" t="str">
        <f t="array" ref="BA225">IF(AD225=DGET(claves!$A$2:$AS423,AD$2,{claves!$A$2;$E225}),1,0)</f>
        <v>#VALUE!</v>
      </c>
      <c r="BB225" s="436" t="str">
        <f t="array" ref="BB225">IF(AE225=DGET(claves!$A$2:$AS423,AE$2,{claves!$A$2;$E225}),1,0)</f>
        <v>#VALUE!</v>
      </c>
      <c r="BC225" s="436" t="str">
        <f t="array" ref="BC225">IF(AF225=DGET(claves!$A$2:$AS423,AF$2,{claves!$A$2;$E225}),1,0)</f>
        <v>#VALUE!</v>
      </c>
      <c r="BD225" s="437" t="str">
        <f t="shared" si="1"/>
        <v>#VALUE!</v>
      </c>
      <c r="BE225" s="435"/>
      <c r="BF225" s="415"/>
    </row>
    <row r="226" ht="14.25" customHeight="1">
      <c r="A226" s="408">
        <v>224.0</v>
      </c>
      <c r="B226" s="153" t="s">
        <v>1907</v>
      </c>
      <c r="C226" s="153">
        <v>2024.0</v>
      </c>
      <c r="D226" s="77" t="s">
        <v>1817</v>
      </c>
      <c r="E226" s="409" t="str">
        <f>IFERROR(__xludf.DUMMYFUNCTION("ARRAYFORMULA(JOIN("""", ARRAYFORMULA(MID(SPLIT(F226, "" ""), 1, 1))))
&amp;""/""&amp;G226"),"CLQ/6 Primaria")</f>
        <v>CLQ/6 Primaria</v>
      </c>
      <c r="F226" s="77" t="s">
        <v>1827</v>
      </c>
      <c r="G226" s="432" t="s">
        <v>22</v>
      </c>
      <c r="H226" s="433" t="s">
        <v>1912</v>
      </c>
      <c r="I226" s="433" t="s">
        <v>1667</v>
      </c>
      <c r="J226" s="433" t="s">
        <v>1913</v>
      </c>
      <c r="K226" s="432" t="s">
        <v>1665</v>
      </c>
      <c r="L226" s="415"/>
      <c r="M226" s="434" t="s">
        <v>1660</v>
      </c>
      <c r="N226" s="434" t="s">
        <v>1661</v>
      </c>
      <c r="O226" s="434" t="s">
        <v>1689</v>
      </c>
      <c r="P226" s="434" t="s">
        <v>1659</v>
      </c>
      <c r="Q226" s="434" t="s">
        <v>1689</v>
      </c>
      <c r="R226" s="434" t="s">
        <v>1689</v>
      </c>
      <c r="S226" s="434" t="s">
        <v>1689</v>
      </c>
      <c r="T226" s="434" t="s">
        <v>1661</v>
      </c>
      <c r="U226" s="434" t="s">
        <v>1689</v>
      </c>
      <c r="V226" s="434" t="s">
        <v>1659</v>
      </c>
      <c r="W226" s="434" t="s">
        <v>1689</v>
      </c>
      <c r="X226" s="434" t="s">
        <v>1689</v>
      </c>
      <c r="Y226" s="434" t="s">
        <v>1689</v>
      </c>
      <c r="Z226" s="434" t="s">
        <v>1661</v>
      </c>
      <c r="AA226" s="434" t="s">
        <v>1689</v>
      </c>
      <c r="AB226" s="434" t="s">
        <v>1689</v>
      </c>
      <c r="AC226" s="434" t="s">
        <v>1659</v>
      </c>
      <c r="AD226" s="434" t="s">
        <v>1660</v>
      </c>
      <c r="AE226" s="434" t="s">
        <v>1689</v>
      </c>
      <c r="AF226" s="434" t="s">
        <v>1689</v>
      </c>
      <c r="AG226" s="427">
        <v>16.0</v>
      </c>
      <c r="AH226" s="435" t="s">
        <v>24</v>
      </c>
      <c r="AI226" s="415"/>
      <c r="AJ226" s="436" t="str">
        <f t="array" ref="AJ226">IF(M226=DGET(claves!$A$2:$AS423,M$2,{claves!$A$2;$E226}),1,0)</f>
        <v>#VALUE!</v>
      </c>
      <c r="AK226" s="436" t="str">
        <f t="array" ref="AK226">IF(N226=DGET(claves!$A$2:$AS423,N$2,{claves!$A$2;$E226}),1,0)</f>
        <v>#VALUE!</v>
      </c>
      <c r="AL226" s="436" t="str">
        <f t="array" ref="AL226">IF(O226=DGET(claves!$A$2:$AS423,O$2,{claves!$A$2;$E226}),1,0)</f>
        <v>#VALUE!</v>
      </c>
      <c r="AM226" s="436" t="str">
        <f t="array" ref="AM226">IF(P226=DGET(claves!$A$2:$AS423,P$2,{claves!$A$2;$E226}),1,0)</f>
        <v>#VALUE!</v>
      </c>
      <c r="AN226" s="436" t="str">
        <f t="array" ref="AN226">IF(Q226=DGET(claves!$A$2:$AS423,Q$2,{claves!$A$2;$E226}),1,0)</f>
        <v>#VALUE!</v>
      </c>
      <c r="AO226" s="436" t="str">
        <f t="array" ref="AO226">IF(R226=DGET(claves!$A$2:$AS423,R$2,{claves!$A$2;$E226}),1,0)</f>
        <v>#VALUE!</v>
      </c>
      <c r="AP226" s="436" t="str">
        <f t="array" ref="AP226">IF(S226=DGET(claves!$A$2:$AS423,S$2,{claves!$A$2;$E226}),1,0)</f>
        <v>#VALUE!</v>
      </c>
      <c r="AQ226" s="436" t="str">
        <f t="array" ref="AQ226">IF(T226=DGET(claves!$A$2:$AS423,T$2,{claves!$A$2;$E226}),1,0)</f>
        <v>#VALUE!</v>
      </c>
      <c r="AR226" s="436" t="str">
        <f t="array" ref="AR226">IF(U226=DGET(claves!$A$2:$AS423,U$2,{claves!$A$2;$E226}),1,0)</f>
        <v>#VALUE!</v>
      </c>
      <c r="AS226" s="436" t="str">
        <f t="array" ref="AS226">IF(V226=DGET(claves!$A$2:$AS423,V$2,{claves!$A$2;$E226}),1,0)</f>
        <v>#VALUE!</v>
      </c>
      <c r="AT226" s="436" t="str">
        <f t="array" ref="AT226">IF(W226=DGET(claves!$A$2:$AS423,W$2,{claves!$A$2;$E226}),1,0)</f>
        <v>#VALUE!</v>
      </c>
      <c r="AU226" s="436" t="str">
        <f t="array" ref="AU226">IF(X226=DGET(claves!$A$2:$AS423,X$2,{claves!$A$2;$E226}),1,0)</f>
        <v>#VALUE!</v>
      </c>
      <c r="AV226" s="436" t="str">
        <f t="array" ref="AV226">IF(Y226=DGET(claves!$A$2:$AS423,Y$2,{claves!$A$2;$E226}),1,0)</f>
        <v>#VALUE!</v>
      </c>
      <c r="AW226" s="436" t="str">
        <f t="array" ref="AW226">IF(Z226=DGET(claves!$A$2:$AS423,Z$2,{claves!$A$2;$E226}),1,0)</f>
        <v>#VALUE!</v>
      </c>
      <c r="AX226" s="436" t="str">
        <f t="array" ref="AX226">IF(AA226=DGET(claves!$A$2:$AS423,AA$2,{claves!$A$2;$E226}),1,0)</f>
        <v>#VALUE!</v>
      </c>
      <c r="AY226" s="436" t="str">
        <f t="array" ref="AY226">IF(AB226=DGET(claves!$A$2:$AS423,AB$2,{claves!$A$2;$E226}),1,0)</f>
        <v>#VALUE!</v>
      </c>
      <c r="AZ226" s="436" t="str">
        <f t="array" ref="AZ226">IF(AC226=DGET(claves!$A$2:$AS423,AC$2,{claves!$A$2;$E226}),1,0)</f>
        <v>#VALUE!</v>
      </c>
      <c r="BA226" s="436" t="str">
        <f t="array" ref="BA226">IF(AD226=DGET(claves!$A$2:$AS423,AD$2,{claves!$A$2;$E226}),1,0)</f>
        <v>#VALUE!</v>
      </c>
      <c r="BB226" s="436" t="str">
        <f t="array" ref="BB226">IF(AE226=DGET(claves!$A$2:$AS423,AE$2,{claves!$A$2;$E226}),1,0)</f>
        <v>#VALUE!</v>
      </c>
      <c r="BC226" s="436" t="str">
        <f t="array" ref="BC226">IF(AF226=DGET(claves!$A$2:$AS423,AF$2,{claves!$A$2;$E226}),1,0)</f>
        <v>#VALUE!</v>
      </c>
      <c r="BD226" s="437" t="str">
        <f t="shared" si="1"/>
        <v>#VALUE!</v>
      </c>
      <c r="BE226" s="435"/>
      <c r="BF226" s="415"/>
    </row>
    <row r="227" ht="14.25" customHeight="1">
      <c r="A227" s="408">
        <v>225.0</v>
      </c>
      <c r="B227" s="153" t="s">
        <v>1907</v>
      </c>
      <c r="C227" s="153">
        <v>2024.0</v>
      </c>
      <c r="D227" s="77" t="s">
        <v>1817</v>
      </c>
      <c r="E227" s="409" t="str">
        <f>IFERROR(__xludf.DUMMYFUNCTION("ARRAYFORMULA(JOIN("""", ARRAYFORMULA(MID(SPLIT(F227, "" ""), 1, 1))))
&amp;""/""&amp;G227"),"CLQ/6 Primaria")</f>
        <v>CLQ/6 Primaria</v>
      </c>
      <c r="F227" s="77" t="s">
        <v>1827</v>
      </c>
      <c r="G227" s="432" t="s">
        <v>22</v>
      </c>
      <c r="H227" s="433" t="s">
        <v>1670</v>
      </c>
      <c r="I227" s="433" t="s">
        <v>1684</v>
      </c>
      <c r="J227" s="433" t="s">
        <v>1914</v>
      </c>
      <c r="K227" s="433" t="s">
        <v>1658</v>
      </c>
      <c r="L227" s="415"/>
      <c r="M227" s="434" t="s">
        <v>1661</v>
      </c>
      <c r="N227" s="434" t="s">
        <v>1661</v>
      </c>
      <c r="O227" s="434" t="s">
        <v>1689</v>
      </c>
      <c r="P227" s="434" t="s">
        <v>1659</v>
      </c>
      <c r="Q227" s="434" t="s">
        <v>1660</v>
      </c>
      <c r="R227" s="434" t="s">
        <v>1689</v>
      </c>
      <c r="S227" s="434" t="s">
        <v>1661</v>
      </c>
      <c r="T227" s="434" t="s">
        <v>1660</v>
      </c>
      <c r="U227" s="434" t="s">
        <v>1689</v>
      </c>
      <c r="V227" s="434" t="s">
        <v>1689</v>
      </c>
      <c r="W227" s="434" t="s">
        <v>1689</v>
      </c>
      <c r="X227" s="434" t="s">
        <v>1659</v>
      </c>
      <c r="Y227" s="434" t="s">
        <v>1689</v>
      </c>
      <c r="Z227" s="434" t="s">
        <v>1661</v>
      </c>
      <c r="AA227" s="434" t="s">
        <v>1660</v>
      </c>
      <c r="AB227" s="434" t="s">
        <v>1660</v>
      </c>
      <c r="AC227" s="434" t="s">
        <v>1659</v>
      </c>
      <c r="AD227" s="434" t="s">
        <v>1660</v>
      </c>
      <c r="AE227" s="434" t="s">
        <v>1661</v>
      </c>
      <c r="AF227" s="434" t="s">
        <v>1661</v>
      </c>
      <c r="AG227" s="427">
        <v>14.0</v>
      </c>
      <c r="AH227" s="435" t="s">
        <v>24</v>
      </c>
      <c r="AI227" s="415"/>
      <c r="AJ227" s="436" t="str">
        <f t="array" ref="AJ227">IF(M227=DGET(claves!$A$2:$AS423,M$2,{claves!$A$2;$E227}),1,0)</f>
        <v>#VALUE!</v>
      </c>
      <c r="AK227" s="436" t="str">
        <f t="array" ref="AK227">IF(N227=DGET(claves!$A$2:$AS423,N$2,{claves!$A$2;$E227}),1,0)</f>
        <v>#VALUE!</v>
      </c>
      <c r="AL227" s="436" t="str">
        <f t="array" ref="AL227">IF(O227=DGET(claves!$A$2:$AS423,O$2,{claves!$A$2;$E227}),1,0)</f>
        <v>#VALUE!</v>
      </c>
      <c r="AM227" s="436" t="str">
        <f t="array" ref="AM227">IF(P227=DGET(claves!$A$2:$AS423,P$2,{claves!$A$2;$E227}),1,0)</f>
        <v>#VALUE!</v>
      </c>
      <c r="AN227" s="436" t="str">
        <f t="array" ref="AN227">IF(Q227=DGET(claves!$A$2:$AS423,Q$2,{claves!$A$2;$E227}),1,0)</f>
        <v>#VALUE!</v>
      </c>
      <c r="AO227" s="436" t="str">
        <f t="array" ref="AO227">IF(R227=DGET(claves!$A$2:$AS423,R$2,{claves!$A$2;$E227}),1,0)</f>
        <v>#VALUE!</v>
      </c>
      <c r="AP227" s="436" t="str">
        <f t="array" ref="AP227">IF(S227=DGET(claves!$A$2:$AS423,S$2,{claves!$A$2;$E227}),1,0)</f>
        <v>#VALUE!</v>
      </c>
      <c r="AQ227" s="436" t="str">
        <f t="array" ref="AQ227">IF(T227=DGET(claves!$A$2:$AS423,T$2,{claves!$A$2;$E227}),1,0)</f>
        <v>#VALUE!</v>
      </c>
      <c r="AR227" s="436" t="str">
        <f t="array" ref="AR227">IF(U227=DGET(claves!$A$2:$AS423,U$2,{claves!$A$2;$E227}),1,0)</f>
        <v>#VALUE!</v>
      </c>
      <c r="AS227" s="436" t="str">
        <f t="array" ref="AS227">IF(V227=DGET(claves!$A$2:$AS423,V$2,{claves!$A$2;$E227}),1,0)</f>
        <v>#VALUE!</v>
      </c>
      <c r="AT227" s="436" t="str">
        <f t="array" ref="AT227">IF(W227=DGET(claves!$A$2:$AS423,W$2,{claves!$A$2;$E227}),1,0)</f>
        <v>#VALUE!</v>
      </c>
      <c r="AU227" s="436" t="str">
        <f t="array" ref="AU227">IF(X227=DGET(claves!$A$2:$AS423,X$2,{claves!$A$2;$E227}),1,0)</f>
        <v>#VALUE!</v>
      </c>
      <c r="AV227" s="436" t="str">
        <f t="array" ref="AV227">IF(Y227=DGET(claves!$A$2:$AS423,Y$2,{claves!$A$2;$E227}),1,0)</f>
        <v>#VALUE!</v>
      </c>
      <c r="AW227" s="436" t="str">
        <f t="array" ref="AW227">IF(Z227=DGET(claves!$A$2:$AS423,Z$2,{claves!$A$2;$E227}),1,0)</f>
        <v>#VALUE!</v>
      </c>
      <c r="AX227" s="436" t="str">
        <f t="array" ref="AX227">IF(AA227=DGET(claves!$A$2:$AS423,AA$2,{claves!$A$2;$E227}),1,0)</f>
        <v>#VALUE!</v>
      </c>
      <c r="AY227" s="436" t="str">
        <f t="array" ref="AY227">IF(AB227=DGET(claves!$A$2:$AS423,AB$2,{claves!$A$2;$E227}),1,0)</f>
        <v>#VALUE!</v>
      </c>
      <c r="AZ227" s="436" t="str">
        <f t="array" ref="AZ227">IF(AC227=DGET(claves!$A$2:$AS423,AC$2,{claves!$A$2;$E227}),1,0)</f>
        <v>#VALUE!</v>
      </c>
      <c r="BA227" s="436" t="str">
        <f t="array" ref="BA227">IF(AD227=DGET(claves!$A$2:$AS423,AD$2,{claves!$A$2;$E227}),1,0)</f>
        <v>#VALUE!</v>
      </c>
      <c r="BB227" s="436" t="str">
        <f t="array" ref="BB227">IF(AE227=DGET(claves!$A$2:$AS423,AE$2,{claves!$A$2;$E227}),1,0)</f>
        <v>#VALUE!</v>
      </c>
      <c r="BC227" s="436" t="str">
        <f t="array" ref="BC227">IF(AF227=DGET(claves!$A$2:$AS423,AF$2,{claves!$A$2;$E227}),1,0)</f>
        <v>#VALUE!</v>
      </c>
      <c r="BD227" s="437" t="str">
        <f t="shared" si="1"/>
        <v>#VALUE!</v>
      </c>
      <c r="BE227" s="435"/>
      <c r="BF227" s="415"/>
    </row>
    <row r="228" ht="14.25" customHeight="1">
      <c r="A228" s="408">
        <v>226.0</v>
      </c>
      <c r="B228" s="153" t="s">
        <v>1907</v>
      </c>
      <c r="C228" s="153">
        <v>2024.0</v>
      </c>
      <c r="D228" s="77" t="s">
        <v>1817</v>
      </c>
      <c r="E228" s="409" t="str">
        <f>IFERROR(__xludf.DUMMYFUNCTION("ARRAYFORMULA(JOIN("""", ARRAYFORMULA(MID(SPLIT(F228, "" ""), 1, 1))))
&amp;""/""&amp;G228"),"CLQ/6 Primaria")</f>
        <v>CLQ/6 Primaria</v>
      </c>
      <c r="F228" s="77" t="s">
        <v>1827</v>
      </c>
      <c r="G228" s="432" t="s">
        <v>22</v>
      </c>
      <c r="H228" s="433" t="s">
        <v>1678</v>
      </c>
      <c r="I228" s="433" t="s">
        <v>1915</v>
      </c>
      <c r="J228" s="433" t="s">
        <v>1916</v>
      </c>
      <c r="K228" s="433" t="s">
        <v>1658</v>
      </c>
      <c r="L228" s="415"/>
      <c r="M228" s="434" t="s">
        <v>1661</v>
      </c>
      <c r="N228" s="434" t="s">
        <v>1661</v>
      </c>
      <c r="O228" s="434" t="s">
        <v>1689</v>
      </c>
      <c r="P228" s="434" t="s">
        <v>1659</v>
      </c>
      <c r="Q228" s="434" t="s">
        <v>1689</v>
      </c>
      <c r="R228" s="434" t="s">
        <v>1689</v>
      </c>
      <c r="S228" s="434" t="s">
        <v>1659</v>
      </c>
      <c r="T228" s="434" t="s">
        <v>1661</v>
      </c>
      <c r="U228" s="434" t="s">
        <v>1689</v>
      </c>
      <c r="V228" s="434" t="s">
        <v>1659</v>
      </c>
      <c r="W228" s="434" t="s">
        <v>1660</v>
      </c>
      <c r="X228" s="434" t="s">
        <v>1689</v>
      </c>
      <c r="Y228" s="434" t="s">
        <v>1659</v>
      </c>
      <c r="Z228" s="434" t="s">
        <v>1661</v>
      </c>
      <c r="AA228" s="434" t="s">
        <v>1660</v>
      </c>
      <c r="AB228" s="434" t="s">
        <v>1689</v>
      </c>
      <c r="AC228" s="434" t="s">
        <v>1659</v>
      </c>
      <c r="AD228" s="434" t="s">
        <v>1660</v>
      </c>
      <c r="AE228" s="434" t="s">
        <v>1661</v>
      </c>
      <c r="AF228" s="434" t="s">
        <v>1689</v>
      </c>
      <c r="AG228" s="427">
        <v>17.0</v>
      </c>
      <c r="AH228" s="438" t="s">
        <v>32</v>
      </c>
      <c r="AI228" s="415"/>
      <c r="AJ228" s="436" t="str">
        <f t="array" ref="AJ228">IF(M228=DGET(claves!$A$2:$AS423,M$2,{claves!$A$2;$E228}),1,0)</f>
        <v>#VALUE!</v>
      </c>
      <c r="AK228" s="436" t="str">
        <f t="array" ref="AK228">IF(N228=DGET(claves!$A$2:$AS423,N$2,{claves!$A$2;$E228}),1,0)</f>
        <v>#VALUE!</v>
      </c>
      <c r="AL228" s="436" t="str">
        <f t="array" ref="AL228">IF(O228=DGET(claves!$A$2:$AS423,O$2,{claves!$A$2;$E228}),1,0)</f>
        <v>#VALUE!</v>
      </c>
      <c r="AM228" s="436" t="str">
        <f t="array" ref="AM228">IF(P228=DGET(claves!$A$2:$AS423,P$2,{claves!$A$2;$E228}),1,0)</f>
        <v>#VALUE!</v>
      </c>
      <c r="AN228" s="436" t="str">
        <f t="array" ref="AN228">IF(Q228=DGET(claves!$A$2:$AS423,Q$2,{claves!$A$2;$E228}),1,0)</f>
        <v>#VALUE!</v>
      </c>
      <c r="AO228" s="436" t="str">
        <f t="array" ref="AO228">IF(R228=DGET(claves!$A$2:$AS423,R$2,{claves!$A$2;$E228}),1,0)</f>
        <v>#VALUE!</v>
      </c>
      <c r="AP228" s="436" t="str">
        <f t="array" ref="AP228">IF(S228=DGET(claves!$A$2:$AS423,S$2,{claves!$A$2;$E228}),1,0)</f>
        <v>#VALUE!</v>
      </c>
      <c r="AQ228" s="436" t="str">
        <f t="array" ref="AQ228">IF(T228=DGET(claves!$A$2:$AS423,T$2,{claves!$A$2;$E228}),1,0)</f>
        <v>#VALUE!</v>
      </c>
      <c r="AR228" s="436" t="str">
        <f t="array" ref="AR228">IF(U228=DGET(claves!$A$2:$AS423,U$2,{claves!$A$2;$E228}),1,0)</f>
        <v>#VALUE!</v>
      </c>
      <c r="AS228" s="436" t="str">
        <f t="array" ref="AS228">IF(V228=DGET(claves!$A$2:$AS423,V$2,{claves!$A$2;$E228}),1,0)</f>
        <v>#VALUE!</v>
      </c>
      <c r="AT228" s="436" t="str">
        <f t="array" ref="AT228">IF(W228=DGET(claves!$A$2:$AS423,W$2,{claves!$A$2;$E228}),1,0)</f>
        <v>#VALUE!</v>
      </c>
      <c r="AU228" s="436" t="str">
        <f t="array" ref="AU228">IF(X228=DGET(claves!$A$2:$AS423,X$2,{claves!$A$2;$E228}),1,0)</f>
        <v>#VALUE!</v>
      </c>
      <c r="AV228" s="436" t="str">
        <f t="array" ref="AV228">IF(Y228=DGET(claves!$A$2:$AS423,Y$2,{claves!$A$2;$E228}),1,0)</f>
        <v>#VALUE!</v>
      </c>
      <c r="AW228" s="436" t="str">
        <f t="array" ref="AW228">IF(Z228=DGET(claves!$A$2:$AS423,Z$2,{claves!$A$2;$E228}),1,0)</f>
        <v>#VALUE!</v>
      </c>
      <c r="AX228" s="436" t="str">
        <f t="array" ref="AX228">IF(AA228=DGET(claves!$A$2:$AS423,AA$2,{claves!$A$2;$E228}),1,0)</f>
        <v>#VALUE!</v>
      </c>
      <c r="AY228" s="436" t="str">
        <f t="array" ref="AY228">IF(AB228=DGET(claves!$A$2:$AS423,AB$2,{claves!$A$2;$E228}),1,0)</f>
        <v>#VALUE!</v>
      </c>
      <c r="AZ228" s="436" t="str">
        <f t="array" ref="AZ228">IF(AC228=DGET(claves!$A$2:$AS423,AC$2,{claves!$A$2;$E228}),1,0)</f>
        <v>#VALUE!</v>
      </c>
      <c r="BA228" s="436" t="str">
        <f t="array" ref="BA228">IF(AD228=DGET(claves!$A$2:$AS423,AD$2,{claves!$A$2;$E228}),1,0)</f>
        <v>#VALUE!</v>
      </c>
      <c r="BB228" s="436" t="str">
        <f t="array" ref="BB228">IF(AE228=DGET(claves!$A$2:$AS423,AE$2,{claves!$A$2;$E228}),1,0)</f>
        <v>#VALUE!</v>
      </c>
      <c r="BC228" s="436" t="str">
        <f t="array" ref="BC228">IF(AF228=DGET(claves!$A$2:$AS423,AF$2,{claves!$A$2;$E228}),1,0)</f>
        <v>#VALUE!</v>
      </c>
      <c r="BD228" s="437" t="str">
        <f t="shared" si="1"/>
        <v>#VALUE!</v>
      </c>
      <c r="BE228" s="435"/>
      <c r="BF228" s="415"/>
    </row>
    <row r="229" ht="14.25" customHeight="1">
      <c r="A229" s="408">
        <v>227.0</v>
      </c>
      <c r="B229" s="153" t="s">
        <v>1907</v>
      </c>
      <c r="C229" s="153">
        <v>2024.0</v>
      </c>
      <c r="D229" s="77" t="s">
        <v>1817</v>
      </c>
      <c r="E229" s="409" t="str">
        <f>IFERROR(__xludf.DUMMYFUNCTION("ARRAYFORMULA(JOIN("""", ARRAYFORMULA(MID(SPLIT(F229, "" ""), 1, 1))))
&amp;""/""&amp;G229"),"CLQ/6 Primaria")</f>
        <v>CLQ/6 Primaria</v>
      </c>
      <c r="F229" s="77" t="s">
        <v>1827</v>
      </c>
      <c r="G229" s="432" t="s">
        <v>22</v>
      </c>
      <c r="H229" s="433" t="s">
        <v>1880</v>
      </c>
      <c r="I229" s="433" t="s">
        <v>1804</v>
      </c>
      <c r="J229" s="433" t="s">
        <v>1917</v>
      </c>
      <c r="K229" s="433" t="s">
        <v>1658</v>
      </c>
      <c r="L229" s="415"/>
      <c r="M229" s="434"/>
      <c r="N229" s="434"/>
      <c r="O229" s="434"/>
      <c r="P229" s="434"/>
      <c r="Q229" s="434"/>
      <c r="R229" s="434"/>
      <c r="S229" s="434"/>
      <c r="T229" s="434"/>
      <c r="U229" s="434"/>
      <c r="V229" s="434"/>
      <c r="W229" s="434"/>
      <c r="X229" s="434"/>
      <c r="Y229" s="434"/>
      <c r="Z229" s="434"/>
      <c r="AA229" s="434"/>
      <c r="AB229" s="434"/>
      <c r="AC229" s="434"/>
      <c r="AD229" s="434"/>
      <c r="AE229" s="434"/>
      <c r="AF229" s="434"/>
      <c r="AG229" s="427">
        <v>0.0</v>
      </c>
      <c r="AH229" s="435" t="s">
        <v>1468</v>
      </c>
      <c r="AI229" s="415"/>
      <c r="AJ229" s="436" t="str">
        <f t="array" ref="AJ229">IF(M229=DGET(claves!$A$2:$AS423,M$2,{claves!$A$2;$E229}),1,0)</f>
        <v>#VALUE!</v>
      </c>
      <c r="AK229" s="436" t="str">
        <f t="array" ref="AK229">IF(N229=DGET(claves!$A$2:$AS423,N$2,{claves!$A$2;$E229}),1,0)</f>
        <v>#VALUE!</v>
      </c>
      <c r="AL229" s="436" t="str">
        <f t="array" ref="AL229">IF(O229=DGET(claves!$A$2:$AS423,O$2,{claves!$A$2;$E229}),1,0)</f>
        <v>#VALUE!</v>
      </c>
      <c r="AM229" s="436" t="str">
        <f t="array" ref="AM229">IF(P229=DGET(claves!$A$2:$AS423,P$2,{claves!$A$2;$E229}),1,0)</f>
        <v>#VALUE!</v>
      </c>
      <c r="AN229" s="436" t="str">
        <f t="array" ref="AN229">IF(Q229=DGET(claves!$A$2:$AS423,Q$2,{claves!$A$2;$E229}),1,0)</f>
        <v>#VALUE!</v>
      </c>
      <c r="AO229" s="436" t="str">
        <f t="array" ref="AO229">IF(R229=DGET(claves!$A$2:$AS423,R$2,{claves!$A$2;$E229}),1,0)</f>
        <v>#VALUE!</v>
      </c>
      <c r="AP229" s="436" t="str">
        <f t="array" ref="AP229">IF(S229=DGET(claves!$A$2:$AS423,S$2,{claves!$A$2;$E229}),1,0)</f>
        <v>#VALUE!</v>
      </c>
      <c r="AQ229" s="436" t="str">
        <f t="array" ref="AQ229">IF(T229=DGET(claves!$A$2:$AS423,T$2,{claves!$A$2;$E229}),1,0)</f>
        <v>#VALUE!</v>
      </c>
      <c r="AR229" s="436" t="str">
        <f t="array" ref="AR229">IF(U229=DGET(claves!$A$2:$AS423,U$2,{claves!$A$2;$E229}),1,0)</f>
        <v>#VALUE!</v>
      </c>
      <c r="AS229" s="436" t="str">
        <f t="array" ref="AS229">IF(V229=DGET(claves!$A$2:$AS423,V$2,{claves!$A$2;$E229}),1,0)</f>
        <v>#VALUE!</v>
      </c>
      <c r="AT229" s="436" t="str">
        <f t="array" ref="AT229">IF(W229=DGET(claves!$A$2:$AS423,W$2,{claves!$A$2;$E229}),1,0)</f>
        <v>#VALUE!</v>
      </c>
      <c r="AU229" s="436" t="str">
        <f t="array" ref="AU229">IF(X229=DGET(claves!$A$2:$AS423,X$2,{claves!$A$2;$E229}),1,0)</f>
        <v>#VALUE!</v>
      </c>
      <c r="AV229" s="436" t="str">
        <f t="array" ref="AV229">IF(Y229=DGET(claves!$A$2:$AS423,Y$2,{claves!$A$2;$E229}),1,0)</f>
        <v>#VALUE!</v>
      </c>
      <c r="AW229" s="436" t="str">
        <f t="array" ref="AW229">IF(Z229=DGET(claves!$A$2:$AS423,Z$2,{claves!$A$2;$E229}),1,0)</f>
        <v>#VALUE!</v>
      </c>
      <c r="AX229" s="436" t="str">
        <f t="array" ref="AX229">IF(AA229=DGET(claves!$A$2:$AS423,AA$2,{claves!$A$2;$E229}),1,0)</f>
        <v>#VALUE!</v>
      </c>
      <c r="AY229" s="436" t="str">
        <f t="array" ref="AY229">IF(AB229=DGET(claves!$A$2:$AS423,AB$2,{claves!$A$2;$E229}),1,0)</f>
        <v>#VALUE!</v>
      </c>
      <c r="AZ229" s="436" t="str">
        <f t="array" ref="AZ229">IF(AC229=DGET(claves!$A$2:$AS423,AC$2,{claves!$A$2;$E229}),1,0)</f>
        <v>#VALUE!</v>
      </c>
      <c r="BA229" s="436" t="str">
        <f t="array" ref="BA229">IF(AD229=DGET(claves!$A$2:$AS423,AD$2,{claves!$A$2;$E229}),1,0)</f>
        <v>#VALUE!</v>
      </c>
      <c r="BB229" s="436" t="str">
        <f t="array" ref="BB229">IF(AE229=DGET(claves!$A$2:$AS423,AE$2,{claves!$A$2;$E229}),1,0)</f>
        <v>#VALUE!</v>
      </c>
      <c r="BC229" s="436" t="str">
        <f t="array" ref="BC229">IF(AF229=DGET(claves!$A$2:$AS423,AF$2,{claves!$A$2;$E229}),1,0)</f>
        <v>#VALUE!</v>
      </c>
      <c r="BD229" s="437" t="str">
        <f t="shared" si="1"/>
        <v>#VALUE!</v>
      </c>
      <c r="BE229" s="435" t="s">
        <v>1468</v>
      </c>
      <c r="BF229" s="415"/>
    </row>
    <row r="230" ht="14.25" customHeight="1">
      <c r="A230" s="408">
        <v>228.0</v>
      </c>
      <c r="B230" s="153" t="s">
        <v>1907</v>
      </c>
      <c r="C230" s="153">
        <v>2024.0</v>
      </c>
      <c r="D230" s="77" t="s">
        <v>1817</v>
      </c>
      <c r="E230" s="409" t="str">
        <f>IFERROR(__xludf.DUMMYFUNCTION("ARRAYFORMULA(JOIN("""", ARRAYFORMULA(MID(SPLIT(F230, "" ""), 1, 1))))
&amp;""/""&amp;G230"),"CLQ/6 Primaria")</f>
        <v>CLQ/6 Primaria</v>
      </c>
      <c r="F230" s="77" t="s">
        <v>1827</v>
      </c>
      <c r="G230" s="432" t="s">
        <v>22</v>
      </c>
      <c r="H230" s="433" t="s">
        <v>1918</v>
      </c>
      <c r="I230" s="433" t="s">
        <v>1684</v>
      </c>
      <c r="J230" s="433" t="s">
        <v>1919</v>
      </c>
      <c r="K230" s="433" t="s">
        <v>1658</v>
      </c>
      <c r="L230" s="415"/>
      <c r="M230" s="434"/>
      <c r="N230" s="434"/>
      <c r="O230" s="434"/>
      <c r="P230" s="434"/>
      <c r="Q230" s="434"/>
      <c r="R230" s="434"/>
      <c r="S230" s="434"/>
      <c r="T230" s="434"/>
      <c r="U230" s="434"/>
      <c r="V230" s="434"/>
      <c r="W230" s="434"/>
      <c r="X230" s="434"/>
      <c r="Y230" s="434"/>
      <c r="Z230" s="434"/>
      <c r="AA230" s="434"/>
      <c r="AB230" s="434"/>
      <c r="AC230" s="434"/>
      <c r="AD230" s="434"/>
      <c r="AE230" s="434"/>
      <c r="AF230" s="434"/>
      <c r="AG230" s="427">
        <v>0.0</v>
      </c>
      <c r="AH230" s="435" t="s">
        <v>1468</v>
      </c>
      <c r="AI230" s="415"/>
      <c r="AJ230" s="436" t="str">
        <f t="array" ref="AJ230">IF(M230=DGET(claves!$A$2:$AS423,M$2,{claves!$A$2;$E230}),1,0)</f>
        <v>#VALUE!</v>
      </c>
      <c r="AK230" s="436" t="str">
        <f t="array" ref="AK230">IF(N230=DGET(claves!$A$2:$AS423,N$2,{claves!$A$2;$E230}),1,0)</f>
        <v>#VALUE!</v>
      </c>
      <c r="AL230" s="436" t="str">
        <f t="array" ref="AL230">IF(O230=DGET(claves!$A$2:$AS423,O$2,{claves!$A$2;$E230}),1,0)</f>
        <v>#VALUE!</v>
      </c>
      <c r="AM230" s="436" t="str">
        <f t="array" ref="AM230">IF(P230=DGET(claves!$A$2:$AS423,P$2,{claves!$A$2;$E230}),1,0)</f>
        <v>#VALUE!</v>
      </c>
      <c r="AN230" s="436" t="str">
        <f t="array" ref="AN230">IF(Q230=DGET(claves!$A$2:$AS423,Q$2,{claves!$A$2;$E230}),1,0)</f>
        <v>#VALUE!</v>
      </c>
      <c r="AO230" s="436" t="str">
        <f t="array" ref="AO230">IF(R230=DGET(claves!$A$2:$AS423,R$2,{claves!$A$2;$E230}),1,0)</f>
        <v>#VALUE!</v>
      </c>
      <c r="AP230" s="436" t="str">
        <f t="array" ref="AP230">IF(S230=DGET(claves!$A$2:$AS423,S$2,{claves!$A$2;$E230}),1,0)</f>
        <v>#VALUE!</v>
      </c>
      <c r="AQ230" s="436" t="str">
        <f t="array" ref="AQ230">IF(T230=DGET(claves!$A$2:$AS423,T$2,{claves!$A$2;$E230}),1,0)</f>
        <v>#VALUE!</v>
      </c>
      <c r="AR230" s="436" t="str">
        <f t="array" ref="AR230">IF(U230=DGET(claves!$A$2:$AS423,U$2,{claves!$A$2;$E230}),1,0)</f>
        <v>#VALUE!</v>
      </c>
      <c r="AS230" s="436" t="str">
        <f t="array" ref="AS230">IF(V230=DGET(claves!$A$2:$AS423,V$2,{claves!$A$2;$E230}),1,0)</f>
        <v>#VALUE!</v>
      </c>
      <c r="AT230" s="436" t="str">
        <f t="array" ref="AT230">IF(W230=DGET(claves!$A$2:$AS423,W$2,{claves!$A$2;$E230}),1,0)</f>
        <v>#VALUE!</v>
      </c>
      <c r="AU230" s="436" t="str">
        <f t="array" ref="AU230">IF(X230=DGET(claves!$A$2:$AS423,X$2,{claves!$A$2;$E230}),1,0)</f>
        <v>#VALUE!</v>
      </c>
      <c r="AV230" s="436" t="str">
        <f t="array" ref="AV230">IF(Y230=DGET(claves!$A$2:$AS423,Y$2,{claves!$A$2;$E230}),1,0)</f>
        <v>#VALUE!</v>
      </c>
      <c r="AW230" s="436" t="str">
        <f t="array" ref="AW230">IF(Z230=DGET(claves!$A$2:$AS423,Z$2,{claves!$A$2;$E230}),1,0)</f>
        <v>#VALUE!</v>
      </c>
      <c r="AX230" s="436" t="str">
        <f t="array" ref="AX230">IF(AA230=DGET(claves!$A$2:$AS423,AA$2,{claves!$A$2;$E230}),1,0)</f>
        <v>#VALUE!</v>
      </c>
      <c r="AY230" s="436" t="str">
        <f t="array" ref="AY230">IF(AB230=DGET(claves!$A$2:$AS423,AB$2,{claves!$A$2;$E230}),1,0)</f>
        <v>#VALUE!</v>
      </c>
      <c r="AZ230" s="436" t="str">
        <f t="array" ref="AZ230">IF(AC230=DGET(claves!$A$2:$AS423,AC$2,{claves!$A$2;$E230}),1,0)</f>
        <v>#VALUE!</v>
      </c>
      <c r="BA230" s="436" t="str">
        <f t="array" ref="BA230">IF(AD230=DGET(claves!$A$2:$AS423,AD$2,{claves!$A$2;$E230}),1,0)</f>
        <v>#VALUE!</v>
      </c>
      <c r="BB230" s="436" t="str">
        <f t="array" ref="BB230">IF(AE230=DGET(claves!$A$2:$AS423,AE$2,{claves!$A$2;$E230}),1,0)</f>
        <v>#VALUE!</v>
      </c>
      <c r="BC230" s="436" t="str">
        <f t="array" ref="BC230">IF(AF230=DGET(claves!$A$2:$AS423,AF$2,{claves!$A$2;$E230}),1,0)</f>
        <v>#VALUE!</v>
      </c>
      <c r="BD230" s="437" t="str">
        <f t="shared" si="1"/>
        <v>#VALUE!</v>
      </c>
      <c r="BE230" s="435" t="s">
        <v>1468</v>
      </c>
      <c r="BF230" s="415"/>
    </row>
    <row r="231" ht="14.25" customHeight="1">
      <c r="A231" s="408">
        <v>229.0</v>
      </c>
      <c r="B231" s="153" t="s">
        <v>1920</v>
      </c>
      <c r="C231" s="153">
        <v>2024.0</v>
      </c>
      <c r="D231" s="77" t="s">
        <v>362</v>
      </c>
      <c r="E231" s="409" t="str">
        <f>IFERROR(__xludf.DUMMYFUNCTION("ARRAYFORMULA(JOIN("""", ARRAYFORMULA(MID(SPLIT(F231, "" ""), 1, 1))))
&amp;""/""&amp;G231"),"MQ/2 Primaria")</f>
        <v>MQ/2 Primaria</v>
      </c>
      <c r="F231" s="77" t="s">
        <v>1823</v>
      </c>
      <c r="G231" s="432" t="s">
        <v>15</v>
      </c>
      <c r="H231" s="433" t="s">
        <v>1831</v>
      </c>
      <c r="I231" s="433" t="s">
        <v>1921</v>
      </c>
      <c r="J231" s="433" t="s">
        <v>1922</v>
      </c>
      <c r="K231" s="433" t="s">
        <v>1658</v>
      </c>
      <c r="L231" s="415"/>
      <c r="M231" s="434" t="s">
        <v>1825</v>
      </c>
      <c r="N231" s="434" t="s">
        <v>1660</v>
      </c>
      <c r="O231" s="434" t="s">
        <v>1825</v>
      </c>
      <c r="P231" s="434" t="s">
        <v>1826</v>
      </c>
      <c r="Q231" s="434" t="s">
        <v>1826</v>
      </c>
      <c r="R231" s="434" t="s">
        <v>1660</v>
      </c>
      <c r="S231" s="434" t="s">
        <v>1826</v>
      </c>
      <c r="T231" s="434" t="s">
        <v>1660</v>
      </c>
      <c r="U231" s="434" t="s">
        <v>1826</v>
      </c>
      <c r="V231" s="434" t="s">
        <v>1825</v>
      </c>
      <c r="W231" s="434" t="s">
        <v>1660</v>
      </c>
      <c r="X231" s="434" t="s">
        <v>1825</v>
      </c>
      <c r="Y231" s="434" t="s">
        <v>1825</v>
      </c>
      <c r="Z231" s="434" t="s">
        <v>1825</v>
      </c>
      <c r="AA231" s="434" t="s">
        <v>1826</v>
      </c>
      <c r="AB231" s="434" t="s">
        <v>1660</v>
      </c>
      <c r="AC231" s="434" t="s">
        <v>1660</v>
      </c>
      <c r="AD231" s="434" t="s">
        <v>1826</v>
      </c>
      <c r="AE231" s="434" t="s">
        <v>1825</v>
      </c>
      <c r="AF231" s="434" t="s">
        <v>1825</v>
      </c>
      <c r="AG231" s="427">
        <v>13.0</v>
      </c>
      <c r="AH231" s="435" t="s">
        <v>24</v>
      </c>
      <c r="AI231" s="415"/>
      <c r="AJ231" s="436" t="str">
        <f t="array" ref="AJ231">IF(M231=DGET(claves!$A$2:$AS423,M$2,{claves!$A$2;$E231}),1,0)</f>
        <v>#VALUE!</v>
      </c>
      <c r="AK231" s="436" t="str">
        <f t="array" ref="AK231">IF(N231=DGET(claves!$A$2:$AS423,N$2,{claves!$A$2;$E231}),1,0)</f>
        <v>#VALUE!</v>
      </c>
      <c r="AL231" s="436" t="str">
        <f t="array" ref="AL231">IF(O231=DGET(claves!$A$2:$AS423,O$2,{claves!$A$2;$E231}),1,0)</f>
        <v>#VALUE!</v>
      </c>
      <c r="AM231" s="436" t="str">
        <f t="array" ref="AM231">IF(P231=DGET(claves!$A$2:$AS423,P$2,{claves!$A$2;$E231}),1,0)</f>
        <v>#VALUE!</v>
      </c>
      <c r="AN231" s="436" t="str">
        <f t="array" ref="AN231">IF(Q231=DGET(claves!$A$2:$AS423,Q$2,{claves!$A$2;$E231}),1,0)</f>
        <v>#VALUE!</v>
      </c>
      <c r="AO231" s="436" t="str">
        <f t="array" ref="AO231">IF(R231=DGET(claves!$A$2:$AS423,R$2,{claves!$A$2;$E231}),1,0)</f>
        <v>#VALUE!</v>
      </c>
      <c r="AP231" s="436" t="str">
        <f t="array" ref="AP231">IF(S231=DGET(claves!$A$2:$AS423,S$2,{claves!$A$2;$E231}),1,0)</f>
        <v>#VALUE!</v>
      </c>
      <c r="AQ231" s="436" t="str">
        <f t="array" ref="AQ231">IF(T231=DGET(claves!$A$2:$AS423,T$2,{claves!$A$2;$E231}),1,0)</f>
        <v>#VALUE!</v>
      </c>
      <c r="AR231" s="436" t="str">
        <f t="array" ref="AR231">IF(U231=DGET(claves!$A$2:$AS423,U$2,{claves!$A$2;$E231}),1,0)</f>
        <v>#VALUE!</v>
      </c>
      <c r="AS231" s="436" t="str">
        <f t="array" ref="AS231">IF(V231=DGET(claves!$A$2:$AS423,V$2,{claves!$A$2;$E231}),1,0)</f>
        <v>#VALUE!</v>
      </c>
      <c r="AT231" s="436" t="str">
        <f t="array" ref="AT231">IF(W231=DGET(claves!$A$2:$AS423,W$2,{claves!$A$2;$E231}),1,0)</f>
        <v>#VALUE!</v>
      </c>
      <c r="AU231" s="436" t="str">
        <f t="array" ref="AU231">IF(X231=DGET(claves!$A$2:$AS423,X$2,{claves!$A$2;$E231}),1,0)</f>
        <v>#VALUE!</v>
      </c>
      <c r="AV231" s="436" t="str">
        <f t="array" ref="AV231">IF(Y231=DGET(claves!$A$2:$AS423,Y$2,{claves!$A$2;$E231}),1,0)</f>
        <v>#VALUE!</v>
      </c>
      <c r="AW231" s="436" t="str">
        <f t="array" ref="AW231">IF(Z231=DGET(claves!$A$2:$AS423,Z$2,{claves!$A$2;$E231}),1,0)</f>
        <v>#VALUE!</v>
      </c>
      <c r="AX231" s="436" t="str">
        <f t="array" ref="AX231">IF(AA231=DGET(claves!$A$2:$AS423,AA$2,{claves!$A$2;$E231}),1,0)</f>
        <v>#VALUE!</v>
      </c>
      <c r="AY231" s="436" t="str">
        <f t="array" ref="AY231">IF(AB231=DGET(claves!$A$2:$AS423,AB$2,{claves!$A$2;$E231}),1,0)</f>
        <v>#VALUE!</v>
      </c>
      <c r="AZ231" s="436" t="str">
        <f t="array" ref="AZ231">IF(AC231=DGET(claves!$A$2:$AS423,AC$2,{claves!$A$2;$E231}),1,0)</f>
        <v>#VALUE!</v>
      </c>
      <c r="BA231" s="436" t="str">
        <f t="array" ref="BA231">IF(AD231=DGET(claves!$A$2:$AS423,AD$2,{claves!$A$2;$E231}),1,0)</f>
        <v>#VALUE!</v>
      </c>
      <c r="BB231" s="436" t="str">
        <f t="array" ref="BB231">IF(AE231=DGET(claves!$A$2:$AS423,AE$2,{claves!$A$2;$E231}),1,0)</f>
        <v>#VALUE!</v>
      </c>
      <c r="BC231" s="436" t="str">
        <f t="array" ref="BC231">IF(AF231=DGET(claves!$A$2:$AS423,AF$2,{claves!$A$2;$E231}),1,0)</f>
        <v>#VALUE!</v>
      </c>
      <c r="BD231" s="437" t="str">
        <f t="shared" si="1"/>
        <v>#VALUE!</v>
      </c>
      <c r="BE231" s="435"/>
      <c r="BF231" s="415"/>
    </row>
    <row r="232" ht="14.25" customHeight="1">
      <c r="A232" s="408">
        <v>230.0</v>
      </c>
      <c r="B232" s="153" t="s">
        <v>1920</v>
      </c>
      <c r="C232" s="153">
        <v>2024.0</v>
      </c>
      <c r="D232" s="77" t="s">
        <v>1817</v>
      </c>
      <c r="E232" s="409" t="str">
        <f>IFERROR(__xludf.DUMMYFUNCTION("ARRAYFORMULA(JOIN("""", ARRAYFORMULA(MID(SPLIT(F232, "" ""), 1, 1))))
&amp;""/""&amp;G232"),"CLQ/2 Primaria")</f>
        <v>CLQ/2 Primaria</v>
      </c>
      <c r="F232" s="77" t="s">
        <v>1827</v>
      </c>
      <c r="G232" s="432" t="s">
        <v>15</v>
      </c>
      <c r="H232" s="433" t="s">
        <v>1831</v>
      </c>
      <c r="I232" s="433" t="s">
        <v>1921</v>
      </c>
      <c r="J232" s="433" t="s">
        <v>1922</v>
      </c>
      <c r="K232" s="433" t="s">
        <v>1658</v>
      </c>
      <c r="L232" s="415"/>
      <c r="M232" s="434" t="s">
        <v>1825</v>
      </c>
      <c r="N232" s="434" t="s">
        <v>1826</v>
      </c>
      <c r="O232" s="434" t="s">
        <v>1660</v>
      </c>
      <c r="P232" s="434" t="s">
        <v>1825</v>
      </c>
      <c r="Q232" s="434" t="s">
        <v>1825</v>
      </c>
      <c r="R232" s="434" t="s">
        <v>1826</v>
      </c>
      <c r="S232" s="434" t="s">
        <v>1826</v>
      </c>
      <c r="T232" s="434" t="s">
        <v>1825</v>
      </c>
      <c r="U232" s="434" t="s">
        <v>1826</v>
      </c>
      <c r="V232" s="434" t="s">
        <v>1660</v>
      </c>
      <c r="W232" s="434" t="s">
        <v>1825</v>
      </c>
      <c r="X232" s="434" t="s">
        <v>1660</v>
      </c>
      <c r="Y232" s="434" t="s">
        <v>1826</v>
      </c>
      <c r="Z232" s="434" t="s">
        <v>1825</v>
      </c>
      <c r="AA232" s="434" t="s">
        <v>1660</v>
      </c>
      <c r="AB232" s="434" t="s">
        <v>1660</v>
      </c>
      <c r="AC232" s="434" t="s">
        <v>1826</v>
      </c>
      <c r="AD232" s="434" t="s">
        <v>1825</v>
      </c>
      <c r="AE232" s="434" t="s">
        <v>1825</v>
      </c>
      <c r="AF232" s="434" t="s">
        <v>1825</v>
      </c>
      <c r="AG232" s="427">
        <v>8.0</v>
      </c>
      <c r="AH232" s="435" t="s">
        <v>18</v>
      </c>
      <c r="AI232" s="415"/>
      <c r="AJ232" s="436" t="str">
        <f t="array" ref="AJ232">IF(M232=DGET(claves!$A$2:$AS423,M$2,{claves!$A$2;$E232}),1,0)</f>
        <v>#VALUE!</v>
      </c>
      <c r="AK232" s="436" t="str">
        <f t="array" ref="AK232">IF(N232=DGET(claves!$A$2:$AS423,N$2,{claves!$A$2;$E232}),1,0)</f>
        <v>#VALUE!</v>
      </c>
      <c r="AL232" s="436" t="str">
        <f t="array" ref="AL232">IF(O232=DGET(claves!$A$2:$AS423,O$2,{claves!$A$2;$E232}),1,0)</f>
        <v>#VALUE!</v>
      </c>
      <c r="AM232" s="436" t="str">
        <f t="array" ref="AM232">IF(P232=DGET(claves!$A$2:$AS423,P$2,{claves!$A$2;$E232}),1,0)</f>
        <v>#VALUE!</v>
      </c>
      <c r="AN232" s="436" t="str">
        <f t="array" ref="AN232">IF(Q232=DGET(claves!$A$2:$AS423,Q$2,{claves!$A$2;$E232}),1,0)</f>
        <v>#VALUE!</v>
      </c>
      <c r="AO232" s="436" t="str">
        <f t="array" ref="AO232">IF(R232=DGET(claves!$A$2:$AS423,R$2,{claves!$A$2;$E232}),1,0)</f>
        <v>#VALUE!</v>
      </c>
      <c r="AP232" s="436" t="str">
        <f t="array" ref="AP232">IF(S232=DGET(claves!$A$2:$AS423,S$2,{claves!$A$2;$E232}),1,0)</f>
        <v>#VALUE!</v>
      </c>
      <c r="AQ232" s="436" t="str">
        <f t="array" ref="AQ232">IF(T232=DGET(claves!$A$2:$AS423,T$2,{claves!$A$2;$E232}),1,0)</f>
        <v>#VALUE!</v>
      </c>
      <c r="AR232" s="436" t="str">
        <f t="array" ref="AR232">IF(U232=DGET(claves!$A$2:$AS423,U$2,{claves!$A$2;$E232}),1,0)</f>
        <v>#VALUE!</v>
      </c>
      <c r="AS232" s="436" t="str">
        <f t="array" ref="AS232">IF(V232=DGET(claves!$A$2:$AS423,V$2,{claves!$A$2;$E232}),1,0)</f>
        <v>#VALUE!</v>
      </c>
      <c r="AT232" s="436" t="str">
        <f t="array" ref="AT232">IF(W232=DGET(claves!$A$2:$AS423,W$2,{claves!$A$2;$E232}),1,0)</f>
        <v>#VALUE!</v>
      </c>
      <c r="AU232" s="436" t="str">
        <f t="array" ref="AU232">IF(X232=DGET(claves!$A$2:$AS423,X$2,{claves!$A$2;$E232}),1,0)</f>
        <v>#VALUE!</v>
      </c>
      <c r="AV232" s="436" t="str">
        <f t="array" ref="AV232">IF(Y232=DGET(claves!$A$2:$AS423,Y$2,{claves!$A$2;$E232}),1,0)</f>
        <v>#VALUE!</v>
      </c>
      <c r="AW232" s="436" t="str">
        <f t="array" ref="AW232">IF(Z232=DGET(claves!$A$2:$AS423,Z$2,{claves!$A$2;$E232}),1,0)</f>
        <v>#VALUE!</v>
      </c>
      <c r="AX232" s="436" t="str">
        <f t="array" ref="AX232">IF(AA232=DGET(claves!$A$2:$AS423,AA$2,{claves!$A$2;$E232}),1,0)</f>
        <v>#VALUE!</v>
      </c>
      <c r="AY232" s="436" t="str">
        <f t="array" ref="AY232">IF(AB232=DGET(claves!$A$2:$AS423,AB$2,{claves!$A$2;$E232}),1,0)</f>
        <v>#VALUE!</v>
      </c>
      <c r="AZ232" s="436" t="str">
        <f t="array" ref="AZ232">IF(AC232=DGET(claves!$A$2:$AS423,AC$2,{claves!$A$2;$E232}),1,0)</f>
        <v>#VALUE!</v>
      </c>
      <c r="BA232" s="436" t="str">
        <f t="array" ref="BA232">IF(AD232=DGET(claves!$A$2:$AS423,AD$2,{claves!$A$2;$E232}),1,0)</f>
        <v>#VALUE!</v>
      </c>
      <c r="BB232" s="436" t="str">
        <f t="array" ref="BB232">IF(AE232=DGET(claves!$A$2:$AS423,AE$2,{claves!$A$2;$E232}),1,0)</f>
        <v>#VALUE!</v>
      </c>
      <c r="BC232" s="436" t="str">
        <f t="array" ref="BC232">IF(AF232=DGET(claves!$A$2:$AS423,AF$2,{claves!$A$2;$E232}),1,0)</f>
        <v>#VALUE!</v>
      </c>
      <c r="BD232" s="437" t="str">
        <f t="shared" si="1"/>
        <v>#VALUE!</v>
      </c>
      <c r="BE232" s="435"/>
      <c r="BF232" s="415"/>
    </row>
    <row r="233" ht="14.25" customHeight="1">
      <c r="A233" s="408">
        <v>231.0</v>
      </c>
      <c r="B233" s="153" t="s">
        <v>1920</v>
      </c>
      <c r="C233" s="153">
        <v>2024.0</v>
      </c>
      <c r="D233" s="77" t="s">
        <v>362</v>
      </c>
      <c r="E233" s="409" t="str">
        <f>IFERROR(__xludf.DUMMYFUNCTION("ARRAYFORMULA(JOIN("""", ARRAYFORMULA(MID(SPLIT(F233, "" ""), 1, 1))))
&amp;""/""&amp;G233"),"MQ/4 Primaria")</f>
        <v>MQ/4 Primaria</v>
      </c>
      <c r="F233" s="77" t="s">
        <v>1823</v>
      </c>
      <c r="G233" s="432" t="s">
        <v>20</v>
      </c>
      <c r="H233" s="433" t="s">
        <v>1723</v>
      </c>
      <c r="I233" s="433" t="s">
        <v>1742</v>
      </c>
      <c r="J233" s="433" t="s">
        <v>1923</v>
      </c>
      <c r="K233" s="433" t="s">
        <v>1658</v>
      </c>
      <c r="L233" s="415"/>
      <c r="M233" s="434" t="s">
        <v>1689</v>
      </c>
      <c r="N233" s="434" t="s">
        <v>1661</v>
      </c>
      <c r="O233" s="434" t="s">
        <v>1689</v>
      </c>
      <c r="P233" s="434" t="s">
        <v>1689</v>
      </c>
      <c r="Q233" s="434" t="s">
        <v>1661</v>
      </c>
      <c r="R233" s="434" t="s">
        <v>1660</v>
      </c>
      <c r="S233" s="434" t="s">
        <v>1660</v>
      </c>
      <c r="T233" s="434" t="s">
        <v>1689</v>
      </c>
      <c r="U233" s="434" t="s">
        <v>1659</v>
      </c>
      <c r="V233" s="434" t="s">
        <v>1660</v>
      </c>
      <c r="W233" s="434" t="s">
        <v>1659</v>
      </c>
      <c r="X233" s="434" t="s">
        <v>1660</v>
      </c>
      <c r="Y233" s="434" t="s">
        <v>1660</v>
      </c>
      <c r="Z233" s="434" t="s">
        <v>1661</v>
      </c>
      <c r="AA233" s="434" t="s">
        <v>1660</v>
      </c>
      <c r="AB233" s="434" t="s">
        <v>1659</v>
      </c>
      <c r="AC233" s="434" t="s">
        <v>1689</v>
      </c>
      <c r="AD233" s="434" t="s">
        <v>1661</v>
      </c>
      <c r="AE233" s="434" t="s">
        <v>1659</v>
      </c>
      <c r="AF233" s="434" t="s">
        <v>1660</v>
      </c>
      <c r="AG233" s="427">
        <v>13.0</v>
      </c>
      <c r="AH233" s="435" t="s">
        <v>24</v>
      </c>
      <c r="AI233" s="415"/>
      <c r="AJ233" s="436" t="str">
        <f t="array" ref="AJ233">IF(M233=DGET(claves!$A$2:$AS423,M$2,{claves!$A$2;$E233}),1,0)</f>
        <v>#VALUE!</v>
      </c>
      <c r="AK233" s="436" t="str">
        <f t="array" ref="AK233">IF(N233=DGET(claves!$A$2:$AS423,N$2,{claves!$A$2;$E233}),1,0)</f>
        <v>#VALUE!</v>
      </c>
      <c r="AL233" s="436" t="str">
        <f t="array" ref="AL233">IF(O233=DGET(claves!$A$2:$AS423,O$2,{claves!$A$2;$E233}),1,0)</f>
        <v>#VALUE!</v>
      </c>
      <c r="AM233" s="436" t="str">
        <f t="array" ref="AM233">IF(P233=DGET(claves!$A$2:$AS423,P$2,{claves!$A$2;$E233}),1,0)</f>
        <v>#VALUE!</v>
      </c>
      <c r="AN233" s="436" t="str">
        <f t="array" ref="AN233">IF(Q233=DGET(claves!$A$2:$AS423,Q$2,{claves!$A$2;$E233}),1,0)</f>
        <v>#VALUE!</v>
      </c>
      <c r="AO233" s="436" t="str">
        <f t="array" ref="AO233">IF(R233=DGET(claves!$A$2:$AS423,R$2,{claves!$A$2;$E233}),1,0)</f>
        <v>#VALUE!</v>
      </c>
      <c r="AP233" s="436" t="str">
        <f t="array" ref="AP233">IF(S233=DGET(claves!$A$2:$AS423,S$2,{claves!$A$2;$E233}),1,0)</f>
        <v>#VALUE!</v>
      </c>
      <c r="AQ233" s="436" t="str">
        <f t="array" ref="AQ233">IF(T233=DGET(claves!$A$2:$AS423,T$2,{claves!$A$2;$E233}),1,0)</f>
        <v>#VALUE!</v>
      </c>
      <c r="AR233" s="436" t="str">
        <f t="array" ref="AR233">IF(U233=DGET(claves!$A$2:$AS423,U$2,{claves!$A$2;$E233}),1,0)</f>
        <v>#VALUE!</v>
      </c>
      <c r="AS233" s="436" t="str">
        <f t="array" ref="AS233">IF(V233=DGET(claves!$A$2:$AS423,V$2,{claves!$A$2;$E233}),1,0)</f>
        <v>#VALUE!</v>
      </c>
      <c r="AT233" s="436" t="str">
        <f t="array" ref="AT233">IF(W233=DGET(claves!$A$2:$AS423,W$2,{claves!$A$2;$E233}),1,0)</f>
        <v>#VALUE!</v>
      </c>
      <c r="AU233" s="436" t="str">
        <f t="array" ref="AU233">IF(X233=DGET(claves!$A$2:$AS423,X$2,{claves!$A$2;$E233}),1,0)</f>
        <v>#VALUE!</v>
      </c>
      <c r="AV233" s="436" t="str">
        <f t="array" ref="AV233">IF(Y233=DGET(claves!$A$2:$AS423,Y$2,{claves!$A$2;$E233}),1,0)</f>
        <v>#VALUE!</v>
      </c>
      <c r="AW233" s="436" t="str">
        <f t="array" ref="AW233">IF(Z233=DGET(claves!$A$2:$AS423,Z$2,{claves!$A$2;$E233}),1,0)</f>
        <v>#VALUE!</v>
      </c>
      <c r="AX233" s="436" t="str">
        <f t="array" ref="AX233">IF(AA233=DGET(claves!$A$2:$AS423,AA$2,{claves!$A$2;$E233}),1,0)</f>
        <v>#VALUE!</v>
      </c>
      <c r="AY233" s="436" t="str">
        <f t="array" ref="AY233">IF(AB233=DGET(claves!$A$2:$AS423,AB$2,{claves!$A$2;$E233}),1,0)</f>
        <v>#VALUE!</v>
      </c>
      <c r="AZ233" s="436" t="str">
        <f t="array" ref="AZ233">IF(AC233=DGET(claves!$A$2:$AS423,AC$2,{claves!$A$2;$E233}),1,0)</f>
        <v>#VALUE!</v>
      </c>
      <c r="BA233" s="436" t="str">
        <f t="array" ref="BA233">IF(AD233=DGET(claves!$A$2:$AS423,AD$2,{claves!$A$2;$E233}),1,0)</f>
        <v>#VALUE!</v>
      </c>
      <c r="BB233" s="436" t="str">
        <f t="array" ref="BB233">IF(AE233=DGET(claves!$A$2:$AS423,AE$2,{claves!$A$2;$E233}),1,0)</f>
        <v>#VALUE!</v>
      </c>
      <c r="BC233" s="436" t="str">
        <f t="array" ref="BC233">IF(AF233=DGET(claves!$A$2:$AS423,AF$2,{claves!$A$2;$E233}),1,0)</f>
        <v>#VALUE!</v>
      </c>
      <c r="BD233" s="437" t="str">
        <f t="shared" si="1"/>
        <v>#VALUE!</v>
      </c>
      <c r="BE233" s="435"/>
      <c r="BF233" s="415"/>
    </row>
    <row r="234" ht="14.25" customHeight="1">
      <c r="A234" s="408">
        <v>232.0</v>
      </c>
      <c r="B234" s="153" t="s">
        <v>1920</v>
      </c>
      <c r="C234" s="153">
        <v>2024.0</v>
      </c>
      <c r="D234" s="77" t="s">
        <v>1817</v>
      </c>
      <c r="E234" s="409" t="str">
        <f>IFERROR(__xludf.DUMMYFUNCTION("ARRAYFORMULA(JOIN("""", ARRAYFORMULA(MID(SPLIT(F234, "" ""), 1, 1))))
&amp;""/""&amp;G234"),"CLQ/4 Primaria")</f>
        <v>CLQ/4 Primaria</v>
      </c>
      <c r="F234" s="77" t="s">
        <v>1827</v>
      </c>
      <c r="G234" s="432" t="s">
        <v>20</v>
      </c>
      <c r="H234" s="433" t="s">
        <v>1723</v>
      </c>
      <c r="I234" s="433" t="s">
        <v>1742</v>
      </c>
      <c r="J234" s="433" t="s">
        <v>1923</v>
      </c>
      <c r="K234" s="433" t="s">
        <v>1658</v>
      </c>
      <c r="L234" s="415"/>
      <c r="M234" s="434" t="s">
        <v>1659</v>
      </c>
      <c r="N234" s="434" t="s">
        <v>1660</v>
      </c>
      <c r="O234" s="434" t="s">
        <v>1660</v>
      </c>
      <c r="P234" s="434" t="s">
        <v>1689</v>
      </c>
      <c r="Q234" s="434" t="s">
        <v>1661</v>
      </c>
      <c r="R234" s="434" t="s">
        <v>1659</v>
      </c>
      <c r="S234" s="434" t="s">
        <v>1660</v>
      </c>
      <c r="T234" s="434" t="s">
        <v>1660</v>
      </c>
      <c r="U234" s="434" t="s">
        <v>1689</v>
      </c>
      <c r="V234" s="434" t="s">
        <v>1661</v>
      </c>
      <c r="W234" s="434" t="s">
        <v>1660</v>
      </c>
      <c r="X234" s="434" t="s">
        <v>1660</v>
      </c>
      <c r="Y234" s="434" t="s">
        <v>1659</v>
      </c>
      <c r="Z234" s="434" t="s">
        <v>1659</v>
      </c>
      <c r="AA234" s="434" t="s">
        <v>1661</v>
      </c>
      <c r="AB234" s="434" t="s">
        <v>1689</v>
      </c>
      <c r="AC234" s="434" t="s">
        <v>1689</v>
      </c>
      <c r="AD234" s="434" t="s">
        <v>1689</v>
      </c>
      <c r="AE234" s="434" t="s">
        <v>1659</v>
      </c>
      <c r="AF234" s="434" t="s">
        <v>1689</v>
      </c>
      <c r="AG234" s="427">
        <v>13.0</v>
      </c>
      <c r="AH234" s="435" t="s">
        <v>24</v>
      </c>
      <c r="AI234" s="415"/>
      <c r="AJ234" s="436" t="str">
        <f t="array" ref="AJ234">IF(M234=DGET(claves!$A$2:$AS423,M$2,{claves!$A$2;$E234}),1,0)</f>
        <v>#VALUE!</v>
      </c>
      <c r="AK234" s="436" t="str">
        <f t="array" ref="AK234">IF(N234=DGET(claves!$A$2:$AS423,N$2,{claves!$A$2;$E234}),1,0)</f>
        <v>#VALUE!</v>
      </c>
      <c r="AL234" s="436" t="str">
        <f t="array" ref="AL234">IF(O234=DGET(claves!$A$2:$AS423,O$2,{claves!$A$2;$E234}),1,0)</f>
        <v>#VALUE!</v>
      </c>
      <c r="AM234" s="436" t="str">
        <f t="array" ref="AM234">IF(P234=DGET(claves!$A$2:$AS423,P$2,{claves!$A$2;$E234}),1,0)</f>
        <v>#VALUE!</v>
      </c>
      <c r="AN234" s="436" t="str">
        <f t="array" ref="AN234">IF(Q234=DGET(claves!$A$2:$AS423,Q$2,{claves!$A$2;$E234}),1,0)</f>
        <v>#VALUE!</v>
      </c>
      <c r="AO234" s="436" t="str">
        <f t="array" ref="AO234">IF(R234=DGET(claves!$A$2:$AS423,R$2,{claves!$A$2;$E234}),1,0)</f>
        <v>#VALUE!</v>
      </c>
      <c r="AP234" s="436" t="str">
        <f t="array" ref="AP234">IF(S234=DGET(claves!$A$2:$AS423,S$2,{claves!$A$2;$E234}),1,0)</f>
        <v>#VALUE!</v>
      </c>
      <c r="AQ234" s="436" t="str">
        <f t="array" ref="AQ234">IF(T234=DGET(claves!$A$2:$AS423,T$2,{claves!$A$2;$E234}),1,0)</f>
        <v>#VALUE!</v>
      </c>
      <c r="AR234" s="436" t="str">
        <f t="array" ref="AR234">IF(U234=DGET(claves!$A$2:$AS423,U$2,{claves!$A$2;$E234}),1,0)</f>
        <v>#VALUE!</v>
      </c>
      <c r="AS234" s="436" t="str">
        <f t="array" ref="AS234">IF(V234=DGET(claves!$A$2:$AS423,V$2,{claves!$A$2;$E234}),1,0)</f>
        <v>#VALUE!</v>
      </c>
      <c r="AT234" s="436" t="str">
        <f t="array" ref="AT234">IF(W234=DGET(claves!$A$2:$AS423,W$2,{claves!$A$2;$E234}),1,0)</f>
        <v>#VALUE!</v>
      </c>
      <c r="AU234" s="436" t="str">
        <f t="array" ref="AU234">IF(X234=DGET(claves!$A$2:$AS423,X$2,{claves!$A$2;$E234}),1,0)</f>
        <v>#VALUE!</v>
      </c>
      <c r="AV234" s="436" t="str">
        <f t="array" ref="AV234">IF(Y234=DGET(claves!$A$2:$AS423,Y$2,{claves!$A$2;$E234}),1,0)</f>
        <v>#VALUE!</v>
      </c>
      <c r="AW234" s="436" t="str">
        <f t="array" ref="AW234">IF(Z234=DGET(claves!$A$2:$AS423,Z$2,{claves!$A$2;$E234}),1,0)</f>
        <v>#VALUE!</v>
      </c>
      <c r="AX234" s="436" t="str">
        <f t="array" ref="AX234">IF(AA234=DGET(claves!$A$2:$AS423,AA$2,{claves!$A$2;$E234}),1,0)</f>
        <v>#VALUE!</v>
      </c>
      <c r="AY234" s="436" t="str">
        <f t="array" ref="AY234">IF(AB234=DGET(claves!$A$2:$AS423,AB$2,{claves!$A$2;$E234}),1,0)</f>
        <v>#VALUE!</v>
      </c>
      <c r="AZ234" s="436" t="str">
        <f t="array" ref="AZ234">IF(AC234=DGET(claves!$A$2:$AS423,AC$2,{claves!$A$2;$E234}),1,0)</f>
        <v>#VALUE!</v>
      </c>
      <c r="BA234" s="436" t="str">
        <f t="array" ref="BA234">IF(AD234=DGET(claves!$A$2:$AS423,AD$2,{claves!$A$2;$E234}),1,0)</f>
        <v>#VALUE!</v>
      </c>
      <c r="BB234" s="436" t="str">
        <f t="array" ref="BB234">IF(AE234=DGET(claves!$A$2:$AS423,AE$2,{claves!$A$2;$E234}),1,0)</f>
        <v>#VALUE!</v>
      </c>
      <c r="BC234" s="436" t="str">
        <f t="array" ref="BC234">IF(AF234=DGET(claves!$A$2:$AS423,AF$2,{claves!$A$2;$E234}),1,0)</f>
        <v>#VALUE!</v>
      </c>
      <c r="BD234" s="437" t="str">
        <f t="shared" si="1"/>
        <v>#VALUE!</v>
      </c>
      <c r="BE234" s="435"/>
      <c r="BF234" s="415"/>
    </row>
    <row r="235" ht="14.25" customHeight="1">
      <c r="A235" s="408">
        <v>233.0</v>
      </c>
      <c r="B235" s="153" t="s">
        <v>1920</v>
      </c>
      <c r="C235" s="153">
        <v>2024.0</v>
      </c>
      <c r="D235" s="77" t="s">
        <v>362</v>
      </c>
      <c r="E235" s="409" t="str">
        <f>IFERROR(__xludf.DUMMYFUNCTION("ARRAYFORMULA(JOIN("""", ARRAYFORMULA(MID(SPLIT(F235, "" ""), 1, 1))))
&amp;""/""&amp;G235"),"MQ/6 Primaria")</f>
        <v>MQ/6 Primaria</v>
      </c>
      <c r="F235" s="77" t="s">
        <v>1823</v>
      </c>
      <c r="G235" s="432" t="s">
        <v>22</v>
      </c>
      <c r="H235" s="433" t="s">
        <v>1924</v>
      </c>
      <c r="I235" s="433" t="s">
        <v>1925</v>
      </c>
      <c r="J235" s="433" t="s">
        <v>1926</v>
      </c>
      <c r="K235" s="432" t="s">
        <v>1665</v>
      </c>
      <c r="L235" s="415"/>
      <c r="M235" s="434" t="s">
        <v>1689</v>
      </c>
      <c r="N235" s="434" t="s">
        <v>1689</v>
      </c>
      <c r="O235" s="434" t="s">
        <v>1659</v>
      </c>
      <c r="P235" s="434" t="s">
        <v>1661</v>
      </c>
      <c r="Q235" s="434" t="s">
        <v>1660</v>
      </c>
      <c r="R235" s="434" t="s">
        <v>1659</v>
      </c>
      <c r="S235" s="434" t="s">
        <v>1659</v>
      </c>
      <c r="T235" s="434" t="s">
        <v>1659</v>
      </c>
      <c r="U235" s="434" t="s">
        <v>1659</v>
      </c>
      <c r="V235" s="434" t="s">
        <v>1661</v>
      </c>
      <c r="W235" s="434" t="s">
        <v>1661</v>
      </c>
      <c r="X235" s="434" t="s">
        <v>1689</v>
      </c>
      <c r="Y235" s="434" t="s">
        <v>1660</v>
      </c>
      <c r="Z235" s="434" t="s">
        <v>1689</v>
      </c>
      <c r="AA235" s="434" t="s">
        <v>1689</v>
      </c>
      <c r="AB235" s="434" t="s">
        <v>1689</v>
      </c>
      <c r="AC235" s="434" t="s">
        <v>1660</v>
      </c>
      <c r="AD235" s="434" t="s">
        <v>1659</v>
      </c>
      <c r="AE235" s="434" t="s">
        <v>1689</v>
      </c>
      <c r="AF235" s="434" t="s">
        <v>1660</v>
      </c>
      <c r="AG235" s="427">
        <v>12.0</v>
      </c>
      <c r="AH235" s="435" t="s">
        <v>24</v>
      </c>
      <c r="AI235" s="415"/>
      <c r="AJ235" s="436" t="str">
        <f t="array" ref="AJ235">IF(M235=DGET(claves!$A$2:$AS423,M$2,{claves!$A$2;$E235}),1,0)</f>
        <v>#VALUE!</v>
      </c>
      <c r="AK235" s="436" t="str">
        <f t="array" ref="AK235">IF(N235=DGET(claves!$A$2:$AS423,N$2,{claves!$A$2;$E235}),1,0)</f>
        <v>#VALUE!</v>
      </c>
      <c r="AL235" s="436" t="str">
        <f t="array" ref="AL235">IF(O235=DGET(claves!$A$2:$AS423,O$2,{claves!$A$2;$E235}),1,0)</f>
        <v>#VALUE!</v>
      </c>
      <c r="AM235" s="436" t="str">
        <f t="array" ref="AM235">IF(P235=DGET(claves!$A$2:$AS423,P$2,{claves!$A$2;$E235}),1,0)</f>
        <v>#VALUE!</v>
      </c>
      <c r="AN235" s="436" t="str">
        <f t="array" ref="AN235">IF(Q235=DGET(claves!$A$2:$AS423,Q$2,{claves!$A$2;$E235}),1,0)</f>
        <v>#VALUE!</v>
      </c>
      <c r="AO235" s="436" t="str">
        <f t="array" ref="AO235">IF(R235=DGET(claves!$A$2:$AS423,R$2,{claves!$A$2;$E235}),1,0)</f>
        <v>#VALUE!</v>
      </c>
      <c r="AP235" s="436" t="str">
        <f t="array" ref="AP235">IF(S235=DGET(claves!$A$2:$AS423,S$2,{claves!$A$2;$E235}),1,0)</f>
        <v>#VALUE!</v>
      </c>
      <c r="AQ235" s="436" t="str">
        <f t="array" ref="AQ235">IF(T235=DGET(claves!$A$2:$AS423,T$2,{claves!$A$2;$E235}),1,0)</f>
        <v>#VALUE!</v>
      </c>
      <c r="AR235" s="436" t="str">
        <f t="array" ref="AR235">IF(U235=DGET(claves!$A$2:$AS423,U$2,{claves!$A$2;$E235}),1,0)</f>
        <v>#VALUE!</v>
      </c>
      <c r="AS235" s="436" t="str">
        <f t="array" ref="AS235">IF(V235=DGET(claves!$A$2:$AS423,V$2,{claves!$A$2;$E235}),1,0)</f>
        <v>#VALUE!</v>
      </c>
      <c r="AT235" s="436" t="str">
        <f t="array" ref="AT235">IF(W235=DGET(claves!$A$2:$AS423,W$2,{claves!$A$2;$E235}),1,0)</f>
        <v>#VALUE!</v>
      </c>
      <c r="AU235" s="436" t="str">
        <f t="array" ref="AU235">IF(X235=DGET(claves!$A$2:$AS423,X$2,{claves!$A$2;$E235}),1,0)</f>
        <v>#VALUE!</v>
      </c>
      <c r="AV235" s="436" t="str">
        <f t="array" ref="AV235">IF(Y235=DGET(claves!$A$2:$AS423,Y$2,{claves!$A$2;$E235}),1,0)</f>
        <v>#VALUE!</v>
      </c>
      <c r="AW235" s="436" t="str">
        <f t="array" ref="AW235">IF(Z235=DGET(claves!$A$2:$AS423,Z$2,{claves!$A$2;$E235}),1,0)</f>
        <v>#VALUE!</v>
      </c>
      <c r="AX235" s="436" t="str">
        <f t="array" ref="AX235">IF(AA235=DGET(claves!$A$2:$AS423,AA$2,{claves!$A$2;$E235}),1,0)</f>
        <v>#VALUE!</v>
      </c>
      <c r="AY235" s="436" t="str">
        <f t="array" ref="AY235">IF(AB235=DGET(claves!$A$2:$AS423,AB$2,{claves!$A$2;$E235}),1,0)</f>
        <v>#VALUE!</v>
      </c>
      <c r="AZ235" s="436" t="str">
        <f t="array" ref="AZ235">IF(AC235=DGET(claves!$A$2:$AS423,AC$2,{claves!$A$2;$E235}),1,0)</f>
        <v>#VALUE!</v>
      </c>
      <c r="BA235" s="436" t="str">
        <f t="array" ref="BA235">IF(AD235=DGET(claves!$A$2:$AS423,AD$2,{claves!$A$2;$E235}),1,0)</f>
        <v>#VALUE!</v>
      </c>
      <c r="BB235" s="436" t="str">
        <f t="array" ref="BB235">IF(AE235=DGET(claves!$A$2:$AS423,AE$2,{claves!$A$2;$E235}),1,0)</f>
        <v>#VALUE!</v>
      </c>
      <c r="BC235" s="436" t="str">
        <f t="array" ref="BC235">IF(AF235=DGET(claves!$A$2:$AS423,AF$2,{claves!$A$2;$E235}),1,0)</f>
        <v>#VALUE!</v>
      </c>
      <c r="BD235" s="437" t="str">
        <f t="shared" si="1"/>
        <v>#VALUE!</v>
      </c>
      <c r="BE235" s="435"/>
      <c r="BF235" s="415"/>
    </row>
    <row r="236" ht="14.25" customHeight="1">
      <c r="A236" s="408">
        <v>234.0</v>
      </c>
      <c r="B236" s="153" t="s">
        <v>1920</v>
      </c>
      <c r="C236" s="153">
        <v>2024.0</v>
      </c>
      <c r="D236" s="77" t="s">
        <v>1817</v>
      </c>
      <c r="E236" s="409" t="str">
        <f>IFERROR(__xludf.DUMMYFUNCTION("ARRAYFORMULA(JOIN("""", ARRAYFORMULA(MID(SPLIT(F236, "" ""), 1, 1))))
&amp;""/""&amp;G236"),"CLQ/6 Primaria")</f>
        <v>CLQ/6 Primaria</v>
      </c>
      <c r="F236" s="77" t="s">
        <v>1827</v>
      </c>
      <c r="G236" s="432" t="s">
        <v>22</v>
      </c>
      <c r="H236" s="433" t="s">
        <v>1924</v>
      </c>
      <c r="I236" s="433" t="s">
        <v>1925</v>
      </c>
      <c r="J236" s="433" t="s">
        <v>1926</v>
      </c>
      <c r="K236" s="432" t="s">
        <v>1665</v>
      </c>
      <c r="L236" s="415"/>
      <c r="M236" s="434" t="s">
        <v>1661</v>
      </c>
      <c r="N236" s="434" t="s">
        <v>1661</v>
      </c>
      <c r="O236" s="434" t="s">
        <v>1689</v>
      </c>
      <c r="P236" s="434" t="s">
        <v>1659</v>
      </c>
      <c r="Q236" s="434" t="s">
        <v>1660</v>
      </c>
      <c r="R236" s="434" t="s">
        <v>1689</v>
      </c>
      <c r="S236" s="434" t="s">
        <v>1689</v>
      </c>
      <c r="T236" s="434" t="s">
        <v>1660</v>
      </c>
      <c r="U236" s="434" t="s">
        <v>1659</v>
      </c>
      <c r="V236" s="434" t="s">
        <v>1661</v>
      </c>
      <c r="W236" s="434" t="s">
        <v>1660</v>
      </c>
      <c r="X236" s="434" t="s">
        <v>1661</v>
      </c>
      <c r="Y236" s="434" t="s">
        <v>1660</v>
      </c>
      <c r="Z236" s="434" t="s">
        <v>1689</v>
      </c>
      <c r="AA236" s="434" t="s">
        <v>1660</v>
      </c>
      <c r="AB236" s="434" t="s">
        <v>1689</v>
      </c>
      <c r="AC236" s="434" t="s">
        <v>1659</v>
      </c>
      <c r="AD236" s="434" t="s">
        <v>1660</v>
      </c>
      <c r="AE236" s="434" t="s">
        <v>1689</v>
      </c>
      <c r="AF236" s="434" t="s">
        <v>1689</v>
      </c>
      <c r="AG236" s="427">
        <v>10.0</v>
      </c>
      <c r="AH236" s="435" t="s">
        <v>18</v>
      </c>
      <c r="AI236" s="415"/>
      <c r="AJ236" s="436" t="str">
        <f t="array" ref="AJ236">IF(M236=DGET(claves!$A$2:$AS423,M$2,{claves!$A$2;$E236}),1,0)</f>
        <v>#VALUE!</v>
      </c>
      <c r="AK236" s="436" t="str">
        <f t="array" ref="AK236">IF(N236=DGET(claves!$A$2:$AS423,N$2,{claves!$A$2;$E236}),1,0)</f>
        <v>#VALUE!</v>
      </c>
      <c r="AL236" s="436" t="str">
        <f t="array" ref="AL236">IF(O236=DGET(claves!$A$2:$AS423,O$2,{claves!$A$2;$E236}),1,0)</f>
        <v>#VALUE!</v>
      </c>
      <c r="AM236" s="436" t="str">
        <f t="array" ref="AM236">IF(P236=DGET(claves!$A$2:$AS423,P$2,{claves!$A$2;$E236}),1,0)</f>
        <v>#VALUE!</v>
      </c>
      <c r="AN236" s="436" t="str">
        <f t="array" ref="AN236">IF(Q236=DGET(claves!$A$2:$AS423,Q$2,{claves!$A$2;$E236}),1,0)</f>
        <v>#VALUE!</v>
      </c>
      <c r="AO236" s="436" t="str">
        <f t="array" ref="AO236">IF(R236=DGET(claves!$A$2:$AS423,R$2,{claves!$A$2;$E236}),1,0)</f>
        <v>#VALUE!</v>
      </c>
      <c r="AP236" s="436" t="str">
        <f t="array" ref="AP236">IF(S236=DGET(claves!$A$2:$AS423,S$2,{claves!$A$2;$E236}),1,0)</f>
        <v>#VALUE!</v>
      </c>
      <c r="AQ236" s="436" t="str">
        <f t="array" ref="AQ236">IF(T236=DGET(claves!$A$2:$AS423,T$2,{claves!$A$2;$E236}),1,0)</f>
        <v>#VALUE!</v>
      </c>
      <c r="AR236" s="436" t="str">
        <f t="array" ref="AR236">IF(U236=DGET(claves!$A$2:$AS423,U$2,{claves!$A$2;$E236}),1,0)</f>
        <v>#VALUE!</v>
      </c>
      <c r="AS236" s="436" t="str">
        <f t="array" ref="AS236">IF(V236=DGET(claves!$A$2:$AS423,V$2,{claves!$A$2;$E236}),1,0)</f>
        <v>#VALUE!</v>
      </c>
      <c r="AT236" s="436" t="str">
        <f t="array" ref="AT236">IF(W236=DGET(claves!$A$2:$AS423,W$2,{claves!$A$2;$E236}),1,0)</f>
        <v>#VALUE!</v>
      </c>
      <c r="AU236" s="436" t="str">
        <f t="array" ref="AU236">IF(X236=DGET(claves!$A$2:$AS423,X$2,{claves!$A$2;$E236}),1,0)</f>
        <v>#VALUE!</v>
      </c>
      <c r="AV236" s="436" t="str">
        <f t="array" ref="AV236">IF(Y236=DGET(claves!$A$2:$AS423,Y$2,{claves!$A$2;$E236}),1,0)</f>
        <v>#VALUE!</v>
      </c>
      <c r="AW236" s="436" t="str">
        <f t="array" ref="AW236">IF(Z236=DGET(claves!$A$2:$AS423,Z$2,{claves!$A$2;$E236}),1,0)</f>
        <v>#VALUE!</v>
      </c>
      <c r="AX236" s="436" t="str">
        <f t="array" ref="AX236">IF(AA236=DGET(claves!$A$2:$AS423,AA$2,{claves!$A$2;$E236}),1,0)</f>
        <v>#VALUE!</v>
      </c>
      <c r="AY236" s="436" t="str">
        <f t="array" ref="AY236">IF(AB236=DGET(claves!$A$2:$AS423,AB$2,{claves!$A$2;$E236}),1,0)</f>
        <v>#VALUE!</v>
      </c>
      <c r="AZ236" s="436" t="str">
        <f t="array" ref="AZ236">IF(AC236=DGET(claves!$A$2:$AS423,AC$2,{claves!$A$2;$E236}),1,0)</f>
        <v>#VALUE!</v>
      </c>
      <c r="BA236" s="436" t="str">
        <f t="array" ref="BA236">IF(AD236=DGET(claves!$A$2:$AS423,AD$2,{claves!$A$2;$E236}),1,0)</f>
        <v>#VALUE!</v>
      </c>
      <c r="BB236" s="436" t="str">
        <f t="array" ref="BB236">IF(AE236=DGET(claves!$A$2:$AS423,AE$2,{claves!$A$2;$E236}),1,0)</f>
        <v>#VALUE!</v>
      </c>
      <c r="BC236" s="436" t="str">
        <f t="array" ref="BC236">IF(AF236=DGET(claves!$A$2:$AS423,AF$2,{claves!$A$2;$E236}),1,0)</f>
        <v>#VALUE!</v>
      </c>
      <c r="BD236" s="437" t="str">
        <f t="shared" si="1"/>
        <v>#VALUE!</v>
      </c>
      <c r="BE236" s="435"/>
      <c r="BF236" s="415"/>
    </row>
    <row r="237" ht="14.25" customHeight="1">
      <c r="A237" s="408">
        <v>235.0</v>
      </c>
      <c r="B237" s="153" t="s">
        <v>1927</v>
      </c>
      <c r="C237" s="153">
        <v>2024.0</v>
      </c>
      <c r="D237" s="77" t="s">
        <v>1817</v>
      </c>
      <c r="E237" s="409" t="str">
        <f>IFERROR(__xludf.DUMMYFUNCTION("ARRAYFORMULA(JOIN("""", ARRAYFORMULA(MID(SPLIT(F237, "" ""), 1, 1))))
&amp;""/""&amp;G237"),"CLQ/2 Primaria")</f>
        <v>CLQ/2 Primaria</v>
      </c>
      <c r="F237" s="77" t="s">
        <v>1827</v>
      </c>
      <c r="G237" s="432" t="s">
        <v>15</v>
      </c>
      <c r="H237" s="433" t="s">
        <v>1662</v>
      </c>
      <c r="I237" s="433" t="s">
        <v>1744</v>
      </c>
      <c r="J237" s="433" t="s">
        <v>1928</v>
      </c>
      <c r="K237" s="433" t="s">
        <v>1658</v>
      </c>
      <c r="L237" s="415"/>
      <c r="M237" s="434"/>
      <c r="N237" s="434"/>
      <c r="O237" s="434"/>
      <c r="P237" s="434"/>
      <c r="Q237" s="434"/>
      <c r="R237" s="434"/>
      <c r="S237" s="434"/>
      <c r="T237" s="434"/>
      <c r="U237" s="434"/>
      <c r="V237" s="434"/>
      <c r="W237" s="434"/>
      <c r="X237" s="434"/>
      <c r="Y237" s="434"/>
      <c r="Z237" s="434"/>
      <c r="AA237" s="434"/>
      <c r="AB237" s="434"/>
      <c r="AC237" s="434"/>
      <c r="AD237" s="434"/>
      <c r="AE237" s="434"/>
      <c r="AF237" s="434"/>
      <c r="AG237" s="427">
        <v>0.0</v>
      </c>
      <c r="AH237" s="435" t="s">
        <v>1468</v>
      </c>
      <c r="AI237" s="415"/>
      <c r="AJ237" s="436" t="str">
        <f t="array" ref="AJ237">IF(M237=DGET(claves!$A$2:$AS423,M$2,{claves!$A$2;$E237}),1,0)</f>
        <v>#VALUE!</v>
      </c>
      <c r="AK237" s="436" t="str">
        <f t="array" ref="AK237">IF(N237=DGET(claves!$A$2:$AS423,N$2,{claves!$A$2;$E237}),1,0)</f>
        <v>#VALUE!</v>
      </c>
      <c r="AL237" s="436" t="str">
        <f t="array" ref="AL237">IF(O237=DGET(claves!$A$2:$AS423,O$2,{claves!$A$2;$E237}),1,0)</f>
        <v>#VALUE!</v>
      </c>
      <c r="AM237" s="436" t="str">
        <f t="array" ref="AM237">IF(P237=DGET(claves!$A$2:$AS423,P$2,{claves!$A$2;$E237}),1,0)</f>
        <v>#VALUE!</v>
      </c>
      <c r="AN237" s="436" t="str">
        <f t="array" ref="AN237">IF(Q237=DGET(claves!$A$2:$AS423,Q$2,{claves!$A$2;$E237}),1,0)</f>
        <v>#VALUE!</v>
      </c>
      <c r="AO237" s="436" t="str">
        <f t="array" ref="AO237">IF(R237=DGET(claves!$A$2:$AS423,R$2,{claves!$A$2;$E237}),1,0)</f>
        <v>#VALUE!</v>
      </c>
      <c r="AP237" s="436" t="str">
        <f t="array" ref="AP237">IF(S237=DGET(claves!$A$2:$AS423,S$2,{claves!$A$2;$E237}),1,0)</f>
        <v>#VALUE!</v>
      </c>
      <c r="AQ237" s="436" t="str">
        <f t="array" ref="AQ237">IF(T237=DGET(claves!$A$2:$AS423,T$2,{claves!$A$2;$E237}),1,0)</f>
        <v>#VALUE!</v>
      </c>
      <c r="AR237" s="436" t="str">
        <f t="array" ref="AR237">IF(U237=DGET(claves!$A$2:$AS423,U$2,{claves!$A$2;$E237}),1,0)</f>
        <v>#VALUE!</v>
      </c>
      <c r="AS237" s="436" t="str">
        <f t="array" ref="AS237">IF(V237=DGET(claves!$A$2:$AS423,V$2,{claves!$A$2;$E237}),1,0)</f>
        <v>#VALUE!</v>
      </c>
      <c r="AT237" s="436" t="str">
        <f t="array" ref="AT237">IF(W237=DGET(claves!$A$2:$AS423,W$2,{claves!$A$2;$E237}),1,0)</f>
        <v>#VALUE!</v>
      </c>
      <c r="AU237" s="436" t="str">
        <f t="array" ref="AU237">IF(X237=DGET(claves!$A$2:$AS423,X$2,{claves!$A$2;$E237}),1,0)</f>
        <v>#VALUE!</v>
      </c>
      <c r="AV237" s="436" t="str">
        <f t="array" ref="AV237">IF(Y237=DGET(claves!$A$2:$AS423,Y$2,{claves!$A$2;$E237}),1,0)</f>
        <v>#VALUE!</v>
      </c>
      <c r="AW237" s="436" t="str">
        <f t="array" ref="AW237">IF(Z237=DGET(claves!$A$2:$AS423,Z$2,{claves!$A$2;$E237}),1,0)</f>
        <v>#VALUE!</v>
      </c>
      <c r="AX237" s="436" t="str">
        <f t="array" ref="AX237">IF(AA237=DGET(claves!$A$2:$AS423,AA$2,{claves!$A$2;$E237}),1,0)</f>
        <v>#VALUE!</v>
      </c>
      <c r="AY237" s="436" t="str">
        <f t="array" ref="AY237">IF(AB237=DGET(claves!$A$2:$AS423,AB$2,{claves!$A$2;$E237}),1,0)</f>
        <v>#VALUE!</v>
      </c>
      <c r="AZ237" s="436" t="str">
        <f t="array" ref="AZ237">IF(AC237=DGET(claves!$A$2:$AS423,AC$2,{claves!$A$2;$E237}),1,0)</f>
        <v>#VALUE!</v>
      </c>
      <c r="BA237" s="436" t="str">
        <f t="array" ref="BA237">IF(AD237=DGET(claves!$A$2:$AS423,AD$2,{claves!$A$2;$E237}),1,0)</f>
        <v>#VALUE!</v>
      </c>
      <c r="BB237" s="436" t="str">
        <f t="array" ref="BB237">IF(AE237=DGET(claves!$A$2:$AS423,AE$2,{claves!$A$2;$E237}),1,0)</f>
        <v>#VALUE!</v>
      </c>
      <c r="BC237" s="436" t="str">
        <f t="array" ref="BC237">IF(AF237=DGET(claves!$A$2:$AS423,AF$2,{claves!$A$2;$E237}),1,0)</f>
        <v>#VALUE!</v>
      </c>
      <c r="BD237" s="437" t="str">
        <f t="shared" si="1"/>
        <v>#VALUE!</v>
      </c>
      <c r="BE237" s="435" t="s">
        <v>1468</v>
      </c>
      <c r="BF237" s="415"/>
    </row>
    <row r="238" ht="14.25" customHeight="1">
      <c r="A238" s="408">
        <v>236.0</v>
      </c>
      <c r="B238" s="153" t="s">
        <v>1927</v>
      </c>
      <c r="C238" s="153">
        <v>2024.0</v>
      </c>
      <c r="D238" s="77" t="s">
        <v>362</v>
      </c>
      <c r="E238" s="409" t="str">
        <f>IFERROR(__xludf.DUMMYFUNCTION("ARRAYFORMULA(JOIN("""", ARRAYFORMULA(MID(SPLIT(F238, "" ""), 1, 1))))
&amp;""/""&amp;G238"),"MC/2 Primaria")</f>
        <v>MC/2 Primaria</v>
      </c>
      <c r="F238" s="77" t="s">
        <v>1654</v>
      </c>
      <c r="G238" s="432" t="s">
        <v>15</v>
      </c>
      <c r="H238" s="433" t="s">
        <v>1837</v>
      </c>
      <c r="I238" s="433" t="s">
        <v>1929</v>
      </c>
      <c r="J238" s="433" t="s">
        <v>1930</v>
      </c>
      <c r="K238" s="433" t="s">
        <v>1658</v>
      </c>
      <c r="L238" s="415"/>
      <c r="M238" s="434" t="s">
        <v>1659</v>
      </c>
      <c r="N238" s="434" t="s">
        <v>1661</v>
      </c>
      <c r="O238" s="434" t="s">
        <v>1659</v>
      </c>
      <c r="P238" s="434" t="s">
        <v>1659</v>
      </c>
      <c r="Q238" s="434" t="s">
        <v>1659</v>
      </c>
      <c r="R238" s="434" t="s">
        <v>1660</v>
      </c>
      <c r="S238" s="434" t="s">
        <v>1659</v>
      </c>
      <c r="T238" s="434" t="s">
        <v>1661</v>
      </c>
      <c r="U238" s="434" t="s">
        <v>1659</v>
      </c>
      <c r="V238" s="434" t="s">
        <v>1660</v>
      </c>
      <c r="W238" s="434" t="s">
        <v>1661</v>
      </c>
      <c r="X238" s="434" t="s">
        <v>1660</v>
      </c>
      <c r="Y238" s="434" t="s">
        <v>1661</v>
      </c>
      <c r="Z238" s="434" t="s">
        <v>1661</v>
      </c>
      <c r="AA238" s="434" t="s">
        <v>1661</v>
      </c>
      <c r="AB238" s="434" t="s">
        <v>1661</v>
      </c>
      <c r="AC238" s="434" t="s">
        <v>1659</v>
      </c>
      <c r="AD238" s="434" t="s">
        <v>1660</v>
      </c>
      <c r="AE238" s="434" t="s">
        <v>1661</v>
      </c>
      <c r="AF238" s="434" t="s">
        <v>1659</v>
      </c>
      <c r="AG238" s="427">
        <v>20.0</v>
      </c>
      <c r="AH238" s="438" t="s">
        <v>32</v>
      </c>
      <c r="AI238" s="415"/>
      <c r="AJ238" s="436" t="str">
        <f t="array" ref="AJ238">IF(M238=DGET(claves!$A$2:$AS423,M$2,{claves!$A$2;$E238}),1,0)</f>
        <v>#VALUE!</v>
      </c>
      <c r="AK238" s="436" t="str">
        <f t="array" ref="AK238">IF(N238=DGET(claves!$A$2:$AS423,N$2,{claves!$A$2;$E238}),1,0)</f>
        <v>#VALUE!</v>
      </c>
      <c r="AL238" s="436" t="str">
        <f t="array" ref="AL238">IF(O238=DGET(claves!$A$2:$AS423,O$2,{claves!$A$2;$E238}),1,0)</f>
        <v>#VALUE!</v>
      </c>
      <c r="AM238" s="436" t="str">
        <f t="array" ref="AM238">IF(P238=DGET(claves!$A$2:$AS423,P$2,{claves!$A$2;$E238}),1,0)</f>
        <v>#VALUE!</v>
      </c>
      <c r="AN238" s="436" t="str">
        <f t="array" ref="AN238">IF(Q238=DGET(claves!$A$2:$AS423,Q$2,{claves!$A$2;$E238}),1,0)</f>
        <v>#VALUE!</v>
      </c>
      <c r="AO238" s="436" t="str">
        <f t="array" ref="AO238">IF(R238=DGET(claves!$A$2:$AS423,R$2,{claves!$A$2;$E238}),1,0)</f>
        <v>#VALUE!</v>
      </c>
      <c r="AP238" s="436" t="str">
        <f t="array" ref="AP238">IF(S238=DGET(claves!$A$2:$AS423,S$2,{claves!$A$2;$E238}),1,0)</f>
        <v>#VALUE!</v>
      </c>
      <c r="AQ238" s="436" t="str">
        <f t="array" ref="AQ238">IF(T238=DGET(claves!$A$2:$AS423,T$2,{claves!$A$2;$E238}),1,0)</f>
        <v>#VALUE!</v>
      </c>
      <c r="AR238" s="436" t="str">
        <f t="array" ref="AR238">IF(U238=DGET(claves!$A$2:$AS423,U$2,{claves!$A$2;$E238}),1,0)</f>
        <v>#VALUE!</v>
      </c>
      <c r="AS238" s="436" t="str">
        <f t="array" ref="AS238">IF(V238=DGET(claves!$A$2:$AS423,V$2,{claves!$A$2;$E238}),1,0)</f>
        <v>#VALUE!</v>
      </c>
      <c r="AT238" s="436" t="str">
        <f t="array" ref="AT238">IF(W238=DGET(claves!$A$2:$AS423,W$2,{claves!$A$2;$E238}),1,0)</f>
        <v>#VALUE!</v>
      </c>
      <c r="AU238" s="436" t="str">
        <f t="array" ref="AU238">IF(X238=DGET(claves!$A$2:$AS423,X$2,{claves!$A$2;$E238}),1,0)</f>
        <v>#VALUE!</v>
      </c>
      <c r="AV238" s="436" t="str">
        <f t="array" ref="AV238">IF(Y238=DGET(claves!$A$2:$AS423,Y$2,{claves!$A$2;$E238}),1,0)</f>
        <v>#VALUE!</v>
      </c>
      <c r="AW238" s="436" t="str">
        <f t="array" ref="AW238">IF(Z238=DGET(claves!$A$2:$AS423,Z$2,{claves!$A$2;$E238}),1,0)</f>
        <v>#VALUE!</v>
      </c>
      <c r="AX238" s="436" t="str">
        <f t="array" ref="AX238">IF(AA238=DGET(claves!$A$2:$AS423,AA$2,{claves!$A$2;$E238}),1,0)</f>
        <v>#VALUE!</v>
      </c>
      <c r="AY238" s="436" t="str">
        <f t="array" ref="AY238">IF(AB238=DGET(claves!$A$2:$AS423,AB$2,{claves!$A$2;$E238}),1,0)</f>
        <v>#VALUE!</v>
      </c>
      <c r="AZ238" s="436" t="str">
        <f t="array" ref="AZ238">IF(AC238=DGET(claves!$A$2:$AS423,AC$2,{claves!$A$2;$E238}),1,0)</f>
        <v>#VALUE!</v>
      </c>
      <c r="BA238" s="436" t="str">
        <f t="array" ref="BA238">IF(AD238=DGET(claves!$A$2:$AS423,AD$2,{claves!$A$2;$E238}),1,0)</f>
        <v>#VALUE!</v>
      </c>
      <c r="BB238" s="436" t="str">
        <f t="array" ref="BB238">IF(AE238=DGET(claves!$A$2:$AS423,AE$2,{claves!$A$2;$E238}),1,0)</f>
        <v>#VALUE!</v>
      </c>
      <c r="BC238" s="436" t="str">
        <f t="array" ref="BC238">IF(AF238=DGET(claves!$A$2:$AS423,AF$2,{claves!$A$2;$E238}),1,0)</f>
        <v>#VALUE!</v>
      </c>
      <c r="BD238" s="437" t="str">
        <f t="shared" si="1"/>
        <v>#VALUE!</v>
      </c>
      <c r="BE238" s="435" t="s">
        <v>1468</v>
      </c>
      <c r="BF238" s="415"/>
    </row>
    <row r="239" ht="14.25" customHeight="1">
      <c r="A239" s="408">
        <v>237.0</v>
      </c>
      <c r="B239" s="153" t="s">
        <v>1927</v>
      </c>
      <c r="C239" s="153">
        <v>2024.0</v>
      </c>
      <c r="D239" s="77" t="s">
        <v>1817</v>
      </c>
      <c r="E239" s="409" t="str">
        <f>IFERROR(__xludf.DUMMYFUNCTION("ARRAYFORMULA(JOIN("""", ARRAYFORMULA(MID(SPLIT(F239, "" ""), 1, 1))))
&amp;""/""&amp;G239"),"CLC/2 Primaria")</f>
        <v>CLC/2 Primaria</v>
      </c>
      <c r="F239" s="77" t="s">
        <v>1819</v>
      </c>
      <c r="G239" s="432" t="s">
        <v>15</v>
      </c>
      <c r="H239" s="433" t="s">
        <v>1837</v>
      </c>
      <c r="I239" s="433" t="s">
        <v>1929</v>
      </c>
      <c r="J239" s="433" t="s">
        <v>1930</v>
      </c>
      <c r="K239" s="433" t="s">
        <v>1658</v>
      </c>
      <c r="L239" s="415"/>
      <c r="M239" s="434" t="s">
        <v>1661</v>
      </c>
      <c r="N239" s="434" t="s">
        <v>1660</v>
      </c>
      <c r="O239" s="434" t="s">
        <v>1659</v>
      </c>
      <c r="P239" s="434" t="s">
        <v>1661</v>
      </c>
      <c r="Q239" s="434" t="s">
        <v>1659</v>
      </c>
      <c r="R239" s="434" t="s">
        <v>1661</v>
      </c>
      <c r="S239" s="434" t="s">
        <v>1659</v>
      </c>
      <c r="T239" s="434" t="s">
        <v>1661</v>
      </c>
      <c r="U239" s="434" t="s">
        <v>1660</v>
      </c>
      <c r="V239" s="434" t="s">
        <v>1659</v>
      </c>
      <c r="W239" s="434" t="s">
        <v>1661</v>
      </c>
      <c r="X239" s="434" t="s">
        <v>1659</v>
      </c>
      <c r="Y239" s="434" t="s">
        <v>1661</v>
      </c>
      <c r="Z239" s="434" t="s">
        <v>1659</v>
      </c>
      <c r="AA239" s="434" t="s">
        <v>1660</v>
      </c>
      <c r="AB239" s="434" t="s">
        <v>1659</v>
      </c>
      <c r="AC239" s="434" t="s">
        <v>1661</v>
      </c>
      <c r="AD239" s="434" t="s">
        <v>1660</v>
      </c>
      <c r="AE239" s="434" t="s">
        <v>1661</v>
      </c>
      <c r="AF239" s="434" t="s">
        <v>1659</v>
      </c>
      <c r="AG239" s="427">
        <v>18.0</v>
      </c>
      <c r="AH239" s="438" t="s">
        <v>32</v>
      </c>
      <c r="AI239" s="415"/>
      <c r="AJ239" s="436" t="str">
        <f t="array" ref="AJ239">IF(M239=DGET(claves!$A$2:$AS423,M$2,{claves!$A$2;$E239}),1,0)</f>
        <v>#VALUE!</v>
      </c>
      <c r="AK239" s="436" t="str">
        <f t="array" ref="AK239">IF(N239=DGET(claves!$A$2:$AS423,N$2,{claves!$A$2;$E239}),1,0)</f>
        <v>#VALUE!</v>
      </c>
      <c r="AL239" s="436" t="str">
        <f t="array" ref="AL239">IF(O239=DGET(claves!$A$2:$AS423,O$2,{claves!$A$2;$E239}),1,0)</f>
        <v>#VALUE!</v>
      </c>
      <c r="AM239" s="436" t="str">
        <f t="array" ref="AM239">IF(P239=DGET(claves!$A$2:$AS423,P$2,{claves!$A$2;$E239}),1,0)</f>
        <v>#VALUE!</v>
      </c>
      <c r="AN239" s="436" t="str">
        <f t="array" ref="AN239">IF(Q239=DGET(claves!$A$2:$AS423,Q$2,{claves!$A$2;$E239}),1,0)</f>
        <v>#VALUE!</v>
      </c>
      <c r="AO239" s="436" t="str">
        <f t="array" ref="AO239">IF(R239=DGET(claves!$A$2:$AS423,R$2,{claves!$A$2;$E239}),1,0)</f>
        <v>#VALUE!</v>
      </c>
      <c r="AP239" s="436" t="str">
        <f t="array" ref="AP239">IF(S239=DGET(claves!$A$2:$AS423,S$2,{claves!$A$2;$E239}),1,0)</f>
        <v>#VALUE!</v>
      </c>
      <c r="AQ239" s="436" t="str">
        <f t="array" ref="AQ239">IF(T239=DGET(claves!$A$2:$AS423,T$2,{claves!$A$2;$E239}),1,0)</f>
        <v>#VALUE!</v>
      </c>
      <c r="AR239" s="436" t="str">
        <f t="array" ref="AR239">IF(U239=DGET(claves!$A$2:$AS423,U$2,{claves!$A$2;$E239}),1,0)</f>
        <v>#VALUE!</v>
      </c>
      <c r="AS239" s="436" t="str">
        <f t="array" ref="AS239">IF(V239=DGET(claves!$A$2:$AS423,V$2,{claves!$A$2;$E239}),1,0)</f>
        <v>#VALUE!</v>
      </c>
      <c r="AT239" s="436" t="str">
        <f t="array" ref="AT239">IF(W239=DGET(claves!$A$2:$AS423,W$2,{claves!$A$2;$E239}),1,0)</f>
        <v>#VALUE!</v>
      </c>
      <c r="AU239" s="436" t="str">
        <f t="array" ref="AU239">IF(X239=DGET(claves!$A$2:$AS423,X$2,{claves!$A$2;$E239}),1,0)</f>
        <v>#VALUE!</v>
      </c>
      <c r="AV239" s="436" t="str">
        <f t="array" ref="AV239">IF(Y239=DGET(claves!$A$2:$AS423,Y$2,{claves!$A$2;$E239}),1,0)</f>
        <v>#VALUE!</v>
      </c>
      <c r="AW239" s="436" t="str">
        <f t="array" ref="AW239">IF(Z239=DGET(claves!$A$2:$AS423,Z$2,{claves!$A$2;$E239}),1,0)</f>
        <v>#VALUE!</v>
      </c>
      <c r="AX239" s="436" t="str">
        <f t="array" ref="AX239">IF(AA239=DGET(claves!$A$2:$AS423,AA$2,{claves!$A$2;$E239}),1,0)</f>
        <v>#VALUE!</v>
      </c>
      <c r="AY239" s="436" t="str">
        <f t="array" ref="AY239">IF(AB239=DGET(claves!$A$2:$AS423,AB$2,{claves!$A$2;$E239}),1,0)</f>
        <v>#VALUE!</v>
      </c>
      <c r="AZ239" s="436" t="str">
        <f t="array" ref="AZ239">IF(AC239=DGET(claves!$A$2:$AS423,AC$2,{claves!$A$2;$E239}),1,0)</f>
        <v>#VALUE!</v>
      </c>
      <c r="BA239" s="436" t="str">
        <f t="array" ref="BA239">IF(AD239=DGET(claves!$A$2:$AS423,AD$2,{claves!$A$2;$E239}),1,0)</f>
        <v>#VALUE!</v>
      </c>
      <c r="BB239" s="436" t="str">
        <f t="array" ref="BB239">IF(AE239=DGET(claves!$A$2:$AS423,AE$2,{claves!$A$2;$E239}),1,0)</f>
        <v>#VALUE!</v>
      </c>
      <c r="BC239" s="436" t="str">
        <f t="array" ref="BC239">IF(AF239=DGET(claves!$A$2:$AS423,AF$2,{claves!$A$2;$E239}),1,0)</f>
        <v>#VALUE!</v>
      </c>
      <c r="BD239" s="437" t="str">
        <f t="shared" si="1"/>
        <v>#VALUE!</v>
      </c>
      <c r="BE239" s="435"/>
      <c r="BF239" s="415"/>
    </row>
    <row r="240" ht="14.25" customHeight="1">
      <c r="A240" s="408">
        <v>238.0</v>
      </c>
      <c r="B240" s="153" t="s">
        <v>1927</v>
      </c>
      <c r="C240" s="153">
        <v>2024.0</v>
      </c>
      <c r="D240" s="77" t="s">
        <v>362</v>
      </c>
      <c r="E240" s="409" t="str">
        <f>IFERROR(__xludf.DUMMYFUNCTION("ARRAYFORMULA(JOIN("""", ARRAYFORMULA(MID(SPLIT(F240, "" ""), 1, 1))))
&amp;""/""&amp;G240"),"MC/2 Primaria")</f>
        <v>MC/2 Primaria</v>
      </c>
      <c r="F240" s="77" t="s">
        <v>1654</v>
      </c>
      <c r="G240" s="432" t="s">
        <v>15</v>
      </c>
      <c r="H240" s="433" t="s">
        <v>1712</v>
      </c>
      <c r="I240" s="433" t="s">
        <v>1684</v>
      </c>
      <c r="J240" s="433" t="s">
        <v>1931</v>
      </c>
      <c r="K240" s="432" t="s">
        <v>1665</v>
      </c>
      <c r="L240" s="415"/>
      <c r="M240" s="434" t="s">
        <v>1659</v>
      </c>
      <c r="N240" s="434" t="s">
        <v>1661</v>
      </c>
      <c r="O240" s="434" t="s">
        <v>1659</v>
      </c>
      <c r="P240" s="434" t="s">
        <v>1659</v>
      </c>
      <c r="Q240" s="434" t="s">
        <v>1659</v>
      </c>
      <c r="R240" s="434" t="s">
        <v>1659</v>
      </c>
      <c r="S240" s="434" t="s">
        <v>1661</v>
      </c>
      <c r="T240" s="434" t="s">
        <v>1661</v>
      </c>
      <c r="U240" s="434" t="s">
        <v>1659</v>
      </c>
      <c r="V240" s="434" t="s">
        <v>1659</v>
      </c>
      <c r="W240" s="434" t="s">
        <v>1659</v>
      </c>
      <c r="X240" s="434" t="s">
        <v>1660</v>
      </c>
      <c r="Y240" s="434" t="s">
        <v>1659</v>
      </c>
      <c r="Z240" s="434" t="s">
        <v>1661</v>
      </c>
      <c r="AA240" s="434" t="s">
        <v>1660</v>
      </c>
      <c r="AB240" s="434" t="s">
        <v>1661</v>
      </c>
      <c r="AC240" s="434" t="s">
        <v>1659</v>
      </c>
      <c r="AD240" s="434" t="s">
        <v>1660</v>
      </c>
      <c r="AE240" s="434" t="s">
        <v>1661</v>
      </c>
      <c r="AF240" s="434" t="s">
        <v>1659</v>
      </c>
      <c r="AG240" s="427">
        <v>14.0</v>
      </c>
      <c r="AH240" s="435" t="s">
        <v>24</v>
      </c>
      <c r="AI240" s="415"/>
      <c r="AJ240" s="436" t="str">
        <f t="array" ref="AJ240">IF(M240=DGET(claves!$A$2:$AS423,M$2,{claves!$A$2;$E240}),1,0)</f>
        <v>#VALUE!</v>
      </c>
      <c r="AK240" s="436" t="str">
        <f t="array" ref="AK240">IF(N240=DGET(claves!$A$2:$AS423,N$2,{claves!$A$2;$E240}),1,0)</f>
        <v>#VALUE!</v>
      </c>
      <c r="AL240" s="436" t="str">
        <f t="array" ref="AL240">IF(O240=DGET(claves!$A$2:$AS423,O$2,{claves!$A$2;$E240}),1,0)</f>
        <v>#VALUE!</v>
      </c>
      <c r="AM240" s="436" t="str">
        <f t="array" ref="AM240">IF(P240=DGET(claves!$A$2:$AS423,P$2,{claves!$A$2;$E240}),1,0)</f>
        <v>#VALUE!</v>
      </c>
      <c r="AN240" s="436" t="str">
        <f t="array" ref="AN240">IF(Q240=DGET(claves!$A$2:$AS423,Q$2,{claves!$A$2;$E240}),1,0)</f>
        <v>#VALUE!</v>
      </c>
      <c r="AO240" s="436" t="str">
        <f t="array" ref="AO240">IF(R240=DGET(claves!$A$2:$AS423,R$2,{claves!$A$2;$E240}),1,0)</f>
        <v>#VALUE!</v>
      </c>
      <c r="AP240" s="436" t="str">
        <f t="array" ref="AP240">IF(S240=DGET(claves!$A$2:$AS423,S$2,{claves!$A$2;$E240}),1,0)</f>
        <v>#VALUE!</v>
      </c>
      <c r="AQ240" s="436" t="str">
        <f t="array" ref="AQ240">IF(T240=DGET(claves!$A$2:$AS423,T$2,{claves!$A$2;$E240}),1,0)</f>
        <v>#VALUE!</v>
      </c>
      <c r="AR240" s="436" t="str">
        <f t="array" ref="AR240">IF(U240=DGET(claves!$A$2:$AS423,U$2,{claves!$A$2;$E240}),1,0)</f>
        <v>#VALUE!</v>
      </c>
      <c r="AS240" s="436" t="str">
        <f t="array" ref="AS240">IF(V240=DGET(claves!$A$2:$AS423,V$2,{claves!$A$2;$E240}),1,0)</f>
        <v>#VALUE!</v>
      </c>
      <c r="AT240" s="436" t="str">
        <f t="array" ref="AT240">IF(W240=DGET(claves!$A$2:$AS423,W$2,{claves!$A$2;$E240}),1,0)</f>
        <v>#VALUE!</v>
      </c>
      <c r="AU240" s="436" t="str">
        <f t="array" ref="AU240">IF(X240=DGET(claves!$A$2:$AS423,X$2,{claves!$A$2;$E240}),1,0)</f>
        <v>#VALUE!</v>
      </c>
      <c r="AV240" s="436" t="str">
        <f t="array" ref="AV240">IF(Y240=DGET(claves!$A$2:$AS423,Y$2,{claves!$A$2;$E240}),1,0)</f>
        <v>#VALUE!</v>
      </c>
      <c r="AW240" s="436" t="str">
        <f t="array" ref="AW240">IF(Z240=DGET(claves!$A$2:$AS423,Z$2,{claves!$A$2;$E240}),1,0)</f>
        <v>#VALUE!</v>
      </c>
      <c r="AX240" s="436" t="str">
        <f t="array" ref="AX240">IF(AA240=DGET(claves!$A$2:$AS423,AA$2,{claves!$A$2;$E240}),1,0)</f>
        <v>#VALUE!</v>
      </c>
      <c r="AY240" s="436" t="str">
        <f t="array" ref="AY240">IF(AB240=DGET(claves!$A$2:$AS423,AB$2,{claves!$A$2;$E240}),1,0)</f>
        <v>#VALUE!</v>
      </c>
      <c r="AZ240" s="436" t="str">
        <f t="array" ref="AZ240">IF(AC240=DGET(claves!$A$2:$AS423,AC$2,{claves!$A$2;$E240}),1,0)</f>
        <v>#VALUE!</v>
      </c>
      <c r="BA240" s="436" t="str">
        <f t="array" ref="BA240">IF(AD240=DGET(claves!$A$2:$AS423,AD$2,{claves!$A$2;$E240}),1,0)</f>
        <v>#VALUE!</v>
      </c>
      <c r="BB240" s="436" t="str">
        <f t="array" ref="BB240">IF(AE240=DGET(claves!$A$2:$AS423,AE$2,{claves!$A$2;$E240}),1,0)</f>
        <v>#VALUE!</v>
      </c>
      <c r="BC240" s="436" t="str">
        <f t="array" ref="BC240">IF(AF240=DGET(claves!$A$2:$AS423,AF$2,{claves!$A$2;$E240}),1,0)</f>
        <v>#VALUE!</v>
      </c>
      <c r="BD240" s="437" t="str">
        <f t="shared" si="1"/>
        <v>#VALUE!</v>
      </c>
      <c r="BE240" s="435" t="s">
        <v>1468</v>
      </c>
      <c r="BF240" s="415"/>
    </row>
    <row r="241" ht="14.25" customHeight="1">
      <c r="A241" s="408">
        <v>239.0</v>
      </c>
      <c r="B241" s="153" t="s">
        <v>1927</v>
      </c>
      <c r="C241" s="153">
        <v>2024.0</v>
      </c>
      <c r="D241" s="77" t="s">
        <v>1817</v>
      </c>
      <c r="E241" s="409" t="str">
        <f>IFERROR(__xludf.DUMMYFUNCTION("ARRAYFORMULA(JOIN("""", ARRAYFORMULA(MID(SPLIT(F241, "" ""), 1, 1))))
&amp;""/""&amp;G241"),"CLC/2 Primaria")</f>
        <v>CLC/2 Primaria</v>
      </c>
      <c r="F241" s="77" t="s">
        <v>1819</v>
      </c>
      <c r="G241" s="432" t="s">
        <v>15</v>
      </c>
      <c r="H241" s="433" t="s">
        <v>1712</v>
      </c>
      <c r="I241" s="433" t="s">
        <v>1684</v>
      </c>
      <c r="J241" s="433" t="s">
        <v>1931</v>
      </c>
      <c r="K241" s="432" t="s">
        <v>1665</v>
      </c>
      <c r="L241" s="415"/>
      <c r="M241" s="434" t="s">
        <v>1661</v>
      </c>
      <c r="N241" s="434" t="s">
        <v>1660</v>
      </c>
      <c r="O241" s="434" t="s">
        <v>1659</v>
      </c>
      <c r="P241" s="434" t="s">
        <v>1661</v>
      </c>
      <c r="Q241" s="434" t="s">
        <v>1659</v>
      </c>
      <c r="R241" s="434" t="s">
        <v>1661</v>
      </c>
      <c r="S241" s="434" t="s">
        <v>1659</v>
      </c>
      <c r="T241" s="434" t="s">
        <v>1661</v>
      </c>
      <c r="U241" s="434" t="s">
        <v>1660</v>
      </c>
      <c r="V241" s="434" t="s">
        <v>1659</v>
      </c>
      <c r="W241" s="434" t="s">
        <v>1661</v>
      </c>
      <c r="X241" s="434" t="s">
        <v>1659</v>
      </c>
      <c r="Y241" s="434" t="s">
        <v>1661</v>
      </c>
      <c r="Z241" s="434" t="s">
        <v>1659</v>
      </c>
      <c r="AA241" s="434" t="s">
        <v>1660</v>
      </c>
      <c r="AB241" s="434" t="s">
        <v>1659</v>
      </c>
      <c r="AC241" s="434" t="s">
        <v>1661</v>
      </c>
      <c r="AD241" s="434" t="s">
        <v>1660</v>
      </c>
      <c r="AE241" s="434" t="s">
        <v>1661</v>
      </c>
      <c r="AF241" s="434" t="s">
        <v>1659</v>
      </c>
      <c r="AG241" s="427">
        <v>18.0</v>
      </c>
      <c r="AH241" s="438" t="s">
        <v>32</v>
      </c>
      <c r="AI241" s="415"/>
      <c r="AJ241" s="436" t="str">
        <f t="array" ref="AJ241">IF(M241=DGET(claves!$A$2:$AS423,M$2,{claves!$A$2;$E241}),1,0)</f>
        <v>#VALUE!</v>
      </c>
      <c r="AK241" s="436" t="str">
        <f t="array" ref="AK241">IF(N241=DGET(claves!$A$2:$AS423,N$2,{claves!$A$2;$E241}),1,0)</f>
        <v>#VALUE!</v>
      </c>
      <c r="AL241" s="436" t="str">
        <f t="array" ref="AL241">IF(O241=DGET(claves!$A$2:$AS423,O$2,{claves!$A$2;$E241}),1,0)</f>
        <v>#VALUE!</v>
      </c>
      <c r="AM241" s="436" t="str">
        <f t="array" ref="AM241">IF(P241=DGET(claves!$A$2:$AS423,P$2,{claves!$A$2;$E241}),1,0)</f>
        <v>#VALUE!</v>
      </c>
      <c r="AN241" s="436" t="str">
        <f t="array" ref="AN241">IF(Q241=DGET(claves!$A$2:$AS423,Q$2,{claves!$A$2;$E241}),1,0)</f>
        <v>#VALUE!</v>
      </c>
      <c r="AO241" s="436" t="str">
        <f t="array" ref="AO241">IF(R241=DGET(claves!$A$2:$AS423,R$2,{claves!$A$2;$E241}),1,0)</f>
        <v>#VALUE!</v>
      </c>
      <c r="AP241" s="436" t="str">
        <f t="array" ref="AP241">IF(S241=DGET(claves!$A$2:$AS423,S$2,{claves!$A$2;$E241}),1,0)</f>
        <v>#VALUE!</v>
      </c>
      <c r="AQ241" s="436" t="str">
        <f t="array" ref="AQ241">IF(T241=DGET(claves!$A$2:$AS423,T$2,{claves!$A$2;$E241}),1,0)</f>
        <v>#VALUE!</v>
      </c>
      <c r="AR241" s="436" t="str">
        <f t="array" ref="AR241">IF(U241=DGET(claves!$A$2:$AS423,U$2,{claves!$A$2;$E241}),1,0)</f>
        <v>#VALUE!</v>
      </c>
      <c r="AS241" s="436" t="str">
        <f t="array" ref="AS241">IF(V241=DGET(claves!$A$2:$AS423,V$2,{claves!$A$2;$E241}),1,0)</f>
        <v>#VALUE!</v>
      </c>
      <c r="AT241" s="436" t="str">
        <f t="array" ref="AT241">IF(W241=DGET(claves!$A$2:$AS423,W$2,{claves!$A$2;$E241}),1,0)</f>
        <v>#VALUE!</v>
      </c>
      <c r="AU241" s="436" t="str">
        <f t="array" ref="AU241">IF(X241=DGET(claves!$A$2:$AS423,X$2,{claves!$A$2;$E241}),1,0)</f>
        <v>#VALUE!</v>
      </c>
      <c r="AV241" s="436" t="str">
        <f t="array" ref="AV241">IF(Y241=DGET(claves!$A$2:$AS423,Y$2,{claves!$A$2;$E241}),1,0)</f>
        <v>#VALUE!</v>
      </c>
      <c r="AW241" s="436" t="str">
        <f t="array" ref="AW241">IF(Z241=DGET(claves!$A$2:$AS423,Z$2,{claves!$A$2;$E241}),1,0)</f>
        <v>#VALUE!</v>
      </c>
      <c r="AX241" s="436" t="str">
        <f t="array" ref="AX241">IF(AA241=DGET(claves!$A$2:$AS423,AA$2,{claves!$A$2;$E241}),1,0)</f>
        <v>#VALUE!</v>
      </c>
      <c r="AY241" s="436" t="str">
        <f t="array" ref="AY241">IF(AB241=DGET(claves!$A$2:$AS423,AB$2,{claves!$A$2;$E241}),1,0)</f>
        <v>#VALUE!</v>
      </c>
      <c r="AZ241" s="436" t="str">
        <f t="array" ref="AZ241">IF(AC241=DGET(claves!$A$2:$AS423,AC$2,{claves!$A$2;$E241}),1,0)</f>
        <v>#VALUE!</v>
      </c>
      <c r="BA241" s="436" t="str">
        <f t="array" ref="BA241">IF(AD241=DGET(claves!$A$2:$AS423,AD$2,{claves!$A$2;$E241}),1,0)</f>
        <v>#VALUE!</v>
      </c>
      <c r="BB241" s="436" t="str">
        <f t="array" ref="BB241">IF(AE241=DGET(claves!$A$2:$AS423,AE$2,{claves!$A$2;$E241}),1,0)</f>
        <v>#VALUE!</v>
      </c>
      <c r="BC241" s="436" t="str">
        <f t="array" ref="BC241">IF(AF241=DGET(claves!$A$2:$AS423,AF$2,{claves!$A$2;$E241}),1,0)</f>
        <v>#VALUE!</v>
      </c>
      <c r="BD241" s="437" t="str">
        <f t="shared" si="1"/>
        <v>#VALUE!</v>
      </c>
      <c r="BE241" s="435"/>
      <c r="BF241" s="415"/>
    </row>
    <row r="242" ht="14.25" customHeight="1">
      <c r="A242" s="408">
        <v>240.0</v>
      </c>
      <c r="B242" s="153" t="s">
        <v>1927</v>
      </c>
      <c r="C242" s="153">
        <v>2024.0</v>
      </c>
      <c r="D242" s="77" t="s">
        <v>362</v>
      </c>
      <c r="E242" s="409" t="str">
        <f>IFERROR(__xludf.DUMMYFUNCTION("ARRAYFORMULA(JOIN("""", ARRAYFORMULA(MID(SPLIT(F242, "" ""), 1, 1))))
&amp;""/""&amp;G242"),"MC/2 Primaria")</f>
        <v>MC/2 Primaria</v>
      </c>
      <c r="F242" s="77" t="s">
        <v>1654</v>
      </c>
      <c r="G242" s="432" t="s">
        <v>15</v>
      </c>
      <c r="H242" s="433" t="s">
        <v>1667</v>
      </c>
      <c r="I242" s="433" t="s">
        <v>1749</v>
      </c>
      <c r="J242" s="433" t="s">
        <v>1932</v>
      </c>
      <c r="K242" s="433" t="s">
        <v>1658</v>
      </c>
      <c r="L242" s="415"/>
      <c r="M242" s="434" t="s">
        <v>1659</v>
      </c>
      <c r="N242" s="434" t="s">
        <v>1661</v>
      </c>
      <c r="O242" s="434" t="s">
        <v>1660</v>
      </c>
      <c r="P242" s="434" t="s">
        <v>1661</v>
      </c>
      <c r="Q242" s="434" t="s">
        <v>1660</v>
      </c>
      <c r="R242" s="434" t="s">
        <v>1660</v>
      </c>
      <c r="S242" s="434" t="s">
        <v>1661</v>
      </c>
      <c r="T242" s="434" t="s">
        <v>1661</v>
      </c>
      <c r="U242" s="434" t="s">
        <v>1661</v>
      </c>
      <c r="V242" s="434" t="s">
        <v>1660</v>
      </c>
      <c r="W242" s="434" t="s">
        <v>1661</v>
      </c>
      <c r="X242" s="434" t="s">
        <v>1661</v>
      </c>
      <c r="Y242" s="434" t="s">
        <v>1661</v>
      </c>
      <c r="Z242" s="434" t="s">
        <v>1661</v>
      </c>
      <c r="AA242" s="434" t="s">
        <v>1661</v>
      </c>
      <c r="AB242" s="434"/>
      <c r="AC242" s="434" t="s">
        <v>1659</v>
      </c>
      <c r="AD242" s="434" t="s">
        <v>1660</v>
      </c>
      <c r="AE242" s="434" t="s">
        <v>1659</v>
      </c>
      <c r="AF242" s="434" t="s">
        <v>1659</v>
      </c>
      <c r="AG242" s="427">
        <v>12.0</v>
      </c>
      <c r="AH242" s="435" t="s">
        <v>24</v>
      </c>
      <c r="AI242" s="415"/>
      <c r="AJ242" s="436" t="str">
        <f t="array" ref="AJ242">IF(M242=DGET(claves!$A$2:$AS423,M$2,{claves!$A$2;$E242}),1,0)</f>
        <v>#VALUE!</v>
      </c>
      <c r="AK242" s="436" t="str">
        <f t="array" ref="AK242">IF(N242=DGET(claves!$A$2:$AS423,N$2,{claves!$A$2;$E242}),1,0)</f>
        <v>#VALUE!</v>
      </c>
      <c r="AL242" s="436" t="str">
        <f t="array" ref="AL242">IF(O242=DGET(claves!$A$2:$AS423,O$2,{claves!$A$2;$E242}),1,0)</f>
        <v>#VALUE!</v>
      </c>
      <c r="AM242" s="436" t="str">
        <f t="array" ref="AM242">IF(P242=DGET(claves!$A$2:$AS423,P$2,{claves!$A$2;$E242}),1,0)</f>
        <v>#VALUE!</v>
      </c>
      <c r="AN242" s="436" t="str">
        <f t="array" ref="AN242">IF(Q242=DGET(claves!$A$2:$AS423,Q$2,{claves!$A$2;$E242}),1,0)</f>
        <v>#VALUE!</v>
      </c>
      <c r="AO242" s="436" t="str">
        <f t="array" ref="AO242">IF(R242=DGET(claves!$A$2:$AS423,R$2,{claves!$A$2;$E242}),1,0)</f>
        <v>#VALUE!</v>
      </c>
      <c r="AP242" s="436" t="str">
        <f t="array" ref="AP242">IF(S242=DGET(claves!$A$2:$AS423,S$2,{claves!$A$2;$E242}),1,0)</f>
        <v>#VALUE!</v>
      </c>
      <c r="AQ242" s="436" t="str">
        <f t="array" ref="AQ242">IF(T242=DGET(claves!$A$2:$AS423,T$2,{claves!$A$2;$E242}),1,0)</f>
        <v>#VALUE!</v>
      </c>
      <c r="AR242" s="436" t="str">
        <f t="array" ref="AR242">IF(U242=DGET(claves!$A$2:$AS423,U$2,{claves!$A$2;$E242}),1,0)</f>
        <v>#VALUE!</v>
      </c>
      <c r="AS242" s="436" t="str">
        <f t="array" ref="AS242">IF(V242=DGET(claves!$A$2:$AS423,V$2,{claves!$A$2;$E242}),1,0)</f>
        <v>#VALUE!</v>
      </c>
      <c r="AT242" s="436" t="str">
        <f t="array" ref="AT242">IF(W242=DGET(claves!$A$2:$AS423,W$2,{claves!$A$2;$E242}),1,0)</f>
        <v>#VALUE!</v>
      </c>
      <c r="AU242" s="436" t="str">
        <f t="array" ref="AU242">IF(X242=DGET(claves!$A$2:$AS423,X$2,{claves!$A$2;$E242}),1,0)</f>
        <v>#VALUE!</v>
      </c>
      <c r="AV242" s="436" t="str">
        <f t="array" ref="AV242">IF(Y242=DGET(claves!$A$2:$AS423,Y$2,{claves!$A$2;$E242}),1,0)</f>
        <v>#VALUE!</v>
      </c>
      <c r="AW242" s="436" t="str">
        <f t="array" ref="AW242">IF(Z242=DGET(claves!$A$2:$AS423,Z$2,{claves!$A$2;$E242}),1,0)</f>
        <v>#VALUE!</v>
      </c>
      <c r="AX242" s="436" t="str">
        <f t="array" ref="AX242">IF(AA242=DGET(claves!$A$2:$AS423,AA$2,{claves!$A$2;$E242}),1,0)</f>
        <v>#VALUE!</v>
      </c>
      <c r="AY242" s="436" t="str">
        <f t="array" ref="AY242">IF(AB242=DGET(claves!$A$2:$AS423,AB$2,{claves!$A$2;$E242}),1,0)</f>
        <v>#VALUE!</v>
      </c>
      <c r="AZ242" s="436" t="str">
        <f t="array" ref="AZ242">IF(AC242=DGET(claves!$A$2:$AS423,AC$2,{claves!$A$2;$E242}),1,0)</f>
        <v>#VALUE!</v>
      </c>
      <c r="BA242" s="436" t="str">
        <f t="array" ref="BA242">IF(AD242=DGET(claves!$A$2:$AS423,AD$2,{claves!$A$2;$E242}),1,0)</f>
        <v>#VALUE!</v>
      </c>
      <c r="BB242" s="436" t="str">
        <f t="array" ref="BB242">IF(AE242=DGET(claves!$A$2:$AS423,AE$2,{claves!$A$2;$E242}),1,0)</f>
        <v>#VALUE!</v>
      </c>
      <c r="BC242" s="436" t="str">
        <f t="array" ref="BC242">IF(AF242=DGET(claves!$A$2:$AS423,AF$2,{claves!$A$2;$E242}),1,0)</f>
        <v>#VALUE!</v>
      </c>
      <c r="BD242" s="437" t="str">
        <f t="shared" si="1"/>
        <v>#VALUE!</v>
      </c>
      <c r="BE242" s="435" t="s">
        <v>1468</v>
      </c>
      <c r="BF242" s="415"/>
    </row>
    <row r="243" ht="14.25" customHeight="1">
      <c r="A243" s="408">
        <v>241.0</v>
      </c>
      <c r="B243" s="153" t="s">
        <v>1927</v>
      </c>
      <c r="C243" s="153">
        <v>2024.0</v>
      </c>
      <c r="D243" s="77" t="s">
        <v>1817</v>
      </c>
      <c r="E243" s="409" t="str">
        <f>IFERROR(__xludf.DUMMYFUNCTION("ARRAYFORMULA(JOIN("""", ARRAYFORMULA(MID(SPLIT(F243, "" ""), 1, 1))))
&amp;""/""&amp;G243"),"CLC/2 Primaria")</f>
        <v>CLC/2 Primaria</v>
      </c>
      <c r="F243" s="77" t="s">
        <v>1819</v>
      </c>
      <c r="G243" s="432" t="s">
        <v>15</v>
      </c>
      <c r="H243" s="433" t="s">
        <v>1667</v>
      </c>
      <c r="I243" s="433" t="s">
        <v>1749</v>
      </c>
      <c r="J243" s="433" t="s">
        <v>1932</v>
      </c>
      <c r="K243" s="433" t="s">
        <v>1658</v>
      </c>
      <c r="L243" s="415"/>
      <c r="M243" s="434" t="s">
        <v>1661</v>
      </c>
      <c r="N243" s="434" t="s">
        <v>1660</v>
      </c>
      <c r="O243" s="434" t="s">
        <v>1659</v>
      </c>
      <c r="P243" s="434" t="s">
        <v>1661</v>
      </c>
      <c r="Q243" s="434" t="s">
        <v>1659</v>
      </c>
      <c r="R243" s="434" t="s">
        <v>1661</v>
      </c>
      <c r="S243" s="434" t="s">
        <v>1659</v>
      </c>
      <c r="T243" s="434" t="s">
        <v>1661</v>
      </c>
      <c r="U243" s="434" t="s">
        <v>1660</v>
      </c>
      <c r="V243" s="434" t="s">
        <v>1659</v>
      </c>
      <c r="W243" s="434" t="s">
        <v>1661</v>
      </c>
      <c r="X243" s="434" t="s">
        <v>1659</v>
      </c>
      <c r="Y243" s="434" t="s">
        <v>1660</v>
      </c>
      <c r="Z243" s="434" t="s">
        <v>1659</v>
      </c>
      <c r="AA243" s="434" t="s">
        <v>1660</v>
      </c>
      <c r="AB243" s="434" t="s">
        <v>1659</v>
      </c>
      <c r="AC243" s="434" t="s">
        <v>1660</v>
      </c>
      <c r="AD243" s="434" t="s">
        <v>1660</v>
      </c>
      <c r="AE243" s="434" t="s">
        <v>1659</v>
      </c>
      <c r="AF243" s="434" t="s">
        <v>1659</v>
      </c>
      <c r="AG243" s="427">
        <v>19.0</v>
      </c>
      <c r="AH243" s="438" t="s">
        <v>32</v>
      </c>
      <c r="AI243" s="415"/>
      <c r="AJ243" s="436" t="str">
        <f t="array" ref="AJ243">IF(M243=DGET(claves!$A$2:$AS423,M$2,{claves!$A$2;$E243}),1,0)</f>
        <v>#VALUE!</v>
      </c>
      <c r="AK243" s="436" t="str">
        <f t="array" ref="AK243">IF(N243=DGET(claves!$A$2:$AS423,N$2,{claves!$A$2;$E243}),1,0)</f>
        <v>#VALUE!</v>
      </c>
      <c r="AL243" s="436" t="str">
        <f t="array" ref="AL243">IF(O243=DGET(claves!$A$2:$AS423,O$2,{claves!$A$2;$E243}),1,0)</f>
        <v>#VALUE!</v>
      </c>
      <c r="AM243" s="436" t="str">
        <f t="array" ref="AM243">IF(P243=DGET(claves!$A$2:$AS423,P$2,{claves!$A$2;$E243}),1,0)</f>
        <v>#VALUE!</v>
      </c>
      <c r="AN243" s="436" t="str">
        <f t="array" ref="AN243">IF(Q243=DGET(claves!$A$2:$AS423,Q$2,{claves!$A$2;$E243}),1,0)</f>
        <v>#VALUE!</v>
      </c>
      <c r="AO243" s="436" t="str">
        <f t="array" ref="AO243">IF(R243=DGET(claves!$A$2:$AS423,R$2,{claves!$A$2;$E243}),1,0)</f>
        <v>#VALUE!</v>
      </c>
      <c r="AP243" s="436" t="str">
        <f t="array" ref="AP243">IF(S243=DGET(claves!$A$2:$AS423,S$2,{claves!$A$2;$E243}),1,0)</f>
        <v>#VALUE!</v>
      </c>
      <c r="AQ243" s="436" t="str">
        <f t="array" ref="AQ243">IF(T243=DGET(claves!$A$2:$AS423,T$2,{claves!$A$2;$E243}),1,0)</f>
        <v>#VALUE!</v>
      </c>
      <c r="AR243" s="436" t="str">
        <f t="array" ref="AR243">IF(U243=DGET(claves!$A$2:$AS423,U$2,{claves!$A$2;$E243}),1,0)</f>
        <v>#VALUE!</v>
      </c>
      <c r="AS243" s="436" t="str">
        <f t="array" ref="AS243">IF(V243=DGET(claves!$A$2:$AS423,V$2,{claves!$A$2;$E243}),1,0)</f>
        <v>#VALUE!</v>
      </c>
      <c r="AT243" s="436" t="str">
        <f t="array" ref="AT243">IF(W243=DGET(claves!$A$2:$AS423,W$2,{claves!$A$2;$E243}),1,0)</f>
        <v>#VALUE!</v>
      </c>
      <c r="AU243" s="436" t="str">
        <f t="array" ref="AU243">IF(X243=DGET(claves!$A$2:$AS423,X$2,{claves!$A$2;$E243}),1,0)</f>
        <v>#VALUE!</v>
      </c>
      <c r="AV243" s="436" t="str">
        <f t="array" ref="AV243">IF(Y243=DGET(claves!$A$2:$AS423,Y$2,{claves!$A$2;$E243}),1,0)</f>
        <v>#VALUE!</v>
      </c>
      <c r="AW243" s="436" t="str">
        <f t="array" ref="AW243">IF(Z243=DGET(claves!$A$2:$AS423,Z$2,{claves!$A$2;$E243}),1,0)</f>
        <v>#VALUE!</v>
      </c>
      <c r="AX243" s="436" t="str">
        <f t="array" ref="AX243">IF(AA243=DGET(claves!$A$2:$AS423,AA$2,{claves!$A$2;$E243}),1,0)</f>
        <v>#VALUE!</v>
      </c>
      <c r="AY243" s="436" t="str">
        <f t="array" ref="AY243">IF(AB243=DGET(claves!$A$2:$AS423,AB$2,{claves!$A$2;$E243}),1,0)</f>
        <v>#VALUE!</v>
      </c>
      <c r="AZ243" s="436" t="str">
        <f t="array" ref="AZ243">IF(AC243=DGET(claves!$A$2:$AS423,AC$2,{claves!$A$2;$E243}),1,0)</f>
        <v>#VALUE!</v>
      </c>
      <c r="BA243" s="436" t="str">
        <f t="array" ref="BA243">IF(AD243=DGET(claves!$A$2:$AS423,AD$2,{claves!$A$2;$E243}),1,0)</f>
        <v>#VALUE!</v>
      </c>
      <c r="BB243" s="436" t="str">
        <f t="array" ref="BB243">IF(AE243=DGET(claves!$A$2:$AS423,AE$2,{claves!$A$2;$E243}),1,0)</f>
        <v>#VALUE!</v>
      </c>
      <c r="BC243" s="436" t="str">
        <f t="array" ref="BC243">IF(AF243=DGET(claves!$A$2:$AS423,AF$2,{claves!$A$2;$E243}),1,0)</f>
        <v>#VALUE!</v>
      </c>
      <c r="BD243" s="437" t="str">
        <f t="shared" si="1"/>
        <v>#VALUE!</v>
      </c>
      <c r="BE243" s="435"/>
      <c r="BF243" s="415"/>
    </row>
    <row r="244" ht="14.25" customHeight="1">
      <c r="A244" s="408">
        <v>242.0</v>
      </c>
      <c r="B244" s="153" t="s">
        <v>1927</v>
      </c>
      <c r="C244" s="153">
        <v>2024.0</v>
      </c>
      <c r="D244" s="77" t="s">
        <v>362</v>
      </c>
      <c r="E244" s="409" t="str">
        <f>IFERROR(__xludf.DUMMYFUNCTION("ARRAYFORMULA(JOIN("""", ARRAYFORMULA(MID(SPLIT(F244, "" ""), 1, 1))))
&amp;""/""&amp;G244"),"MC/2 Primaria")</f>
        <v>MC/2 Primaria</v>
      </c>
      <c r="F244" s="77" t="s">
        <v>1654</v>
      </c>
      <c r="G244" s="432" t="s">
        <v>15</v>
      </c>
      <c r="H244" s="433" t="s">
        <v>1856</v>
      </c>
      <c r="I244" s="433" t="s">
        <v>1684</v>
      </c>
      <c r="J244" s="433" t="s">
        <v>1933</v>
      </c>
      <c r="K244" s="433" t="s">
        <v>1658</v>
      </c>
      <c r="L244" s="415"/>
      <c r="M244" s="434" t="s">
        <v>1659</v>
      </c>
      <c r="N244" s="434" t="s">
        <v>1661</v>
      </c>
      <c r="O244" s="434" t="s">
        <v>1659</v>
      </c>
      <c r="P244" s="434" t="s">
        <v>1659</v>
      </c>
      <c r="Q244" s="434" t="s">
        <v>1659</v>
      </c>
      <c r="R244" s="434" t="s">
        <v>1660</v>
      </c>
      <c r="S244" s="434" t="s">
        <v>1659</v>
      </c>
      <c r="T244" s="434" t="s">
        <v>1661</v>
      </c>
      <c r="U244" s="434" t="s">
        <v>1659</v>
      </c>
      <c r="V244" s="434" t="s">
        <v>1660</v>
      </c>
      <c r="W244" s="434" t="s">
        <v>1660</v>
      </c>
      <c r="X244" s="434" t="s">
        <v>1660</v>
      </c>
      <c r="Y244" s="434" t="s">
        <v>1661</v>
      </c>
      <c r="Z244" s="434" t="s">
        <v>1661</v>
      </c>
      <c r="AA244" s="434" t="s">
        <v>1661</v>
      </c>
      <c r="AB244" s="434" t="s">
        <v>1661</v>
      </c>
      <c r="AC244" s="434" t="s">
        <v>1659</v>
      </c>
      <c r="AD244" s="434" t="s">
        <v>1660</v>
      </c>
      <c r="AE244" s="434" t="s">
        <v>1661</v>
      </c>
      <c r="AF244" s="434" t="s">
        <v>1659</v>
      </c>
      <c r="AG244" s="427">
        <v>19.0</v>
      </c>
      <c r="AH244" s="438" t="s">
        <v>32</v>
      </c>
      <c r="AI244" s="415"/>
      <c r="AJ244" s="436" t="str">
        <f t="array" ref="AJ244">IF(M244=DGET(claves!$A$2:$AS423,M$2,{claves!$A$2;$E244}),1,0)</f>
        <v>#VALUE!</v>
      </c>
      <c r="AK244" s="436" t="str">
        <f t="array" ref="AK244">IF(N244=DGET(claves!$A$2:$AS423,N$2,{claves!$A$2;$E244}),1,0)</f>
        <v>#VALUE!</v>
      </c>
      <c r="AL244" s="436" t="str">
        <f t="array" ref="AL244">IF(O244=DGET(claves!$A$2:$AS423,O$2,{claves!$A$2;$E244}),1,0)</f>
        <v>#VALUE!</v>
      </c>
      <c r="AM244" s="436" t="str">
        <f t="array" ref="AM244">IF(P244=DGET(claves!$A$2:$AS423,P$2,{claves!$A$2;$E244}),1,0)</f>
        <v>#VALUE!</v>
      </c>
      <c r="AN244" s="436" t="str">
        <f t="array" ref="AN244">IF(Q244=DGET(claves!$A$2:$AS423,Q$2,{claves!$A$2;$E244}),1,0)</f>
        <v>#VALUE!</v>
      </c>
      <c r="AO244" s="436" t="str">
        <f t="array" ref="AO244">IF(R244=DGET(claves!$A$2:$AS423,R$2,{claves!$A$2;$E244}),1,0)</f>
        <v>#VALUE!</v>
      </c>
      <c r="AP244" s="436" t="str">
        <f t="array" ref="AP244">IF(S244=DGET(claves!$A$2:$AS423,S$2,{claves!$A$2;$E244}),1,0)</f>
        <v>#VALUE!</v>
      </c>
      <c r="AQ244" s="436" t="str">
        <f t="array" ref="AQ244">IF(T244=DGET(claves!$A$2:$AS423,T$2,{claves!$A$2;$E244}),1,0)</f>
        <v>#VALUE!</v>
      </c>
      <c r="AR244" s="436" t="str">
        <f t="array" ref="AR244">IF(U244=DGET(claves!$A$2:$AS423,U$2,{claves!$A$2;$E244}),1,0)</f>
        <v>#VALUE!</v>
      </c>
      <c r="AS244" s="436" t="str">
        <f t="array" ref="AS244">IF(V244=DGET(claves!$A$2:$AS423,V$2,{claves!$A$2;$E244}),1,0)</f>
        <v>#VALUE!</v>
      </c>
      <c r="AT244" s="436" t="str">
        <f t="array" ref="AT244">IF(W244=DGET(claves!$A$2:$AS423,W$2,{claves!$A$2;$E244}),1,0)</f>
        <v>#VALUE!</v>
      </c>
      <c r="AU244" s="436" t="str">
        <f t="array" ref="AU244">IF(X244=DGET(claves!$A$2:$AS423,X$2,{claves!$A$2;$E244}),1,0)</f>
        <v>#VALUE!</v>
      </c>
      <c r="AV244" s="436" t="str">
        <f t="array" ref="AV244">IF(Y244=DGET(claves!$A$2:$AS423,Y$2,{claves!$A$2;$E244}),1,0)</f>
        <v>#VALUE!</v>
      </c>
      <c r="AW244" s="436" t="str">
        <f t="array" ref="AW244">IF(Z244=DGET(claves!$A$2:$AS423,Z$2,{claves!$A$2;$E244}),1,0)</f>
        <v>#VALUE!</v>
      </c>
      <c r="AX244" s="436" t="str">
        <f t="array" ref="AX244">IF(AA244=DGET(claves!$A$2:$AS423,AA$2,{claves!$A$2;$E244}),1,0)</f>
        <v>#VALUE!</v>
      </c>
      <c r="AY244" s="436" t="str">
        <f t="array" ref="AY244">IF(AB244=DGET(claves!$A$2:$AS423,AB$2,{claves!$A$2;$E244}),1,0)</f>
        <v>#VALUE!</v>
      </c>
      <c r="AZ244" s="436" t="str">
        <f t="array" ref="AZ244">IF(AC244=DGET(claves!$A$2:$AS423,AC$2,{claves!$A$2;$E244}),1,0)</f>
        <v>#VALUE!</v>
      </c>
      <c r="BA244" s="436" t="str">
        <f t="array" ref="BA244">IF(AD244=DGET(claves!$A$2:$AS423,AD$2,{claves!$A$2;$E244}),1,0)</f>
        <v>#VALUE!</v>
      </c>
      <c r="BB244" s="436" t="str">
        <f t="array" ref="BB244">IF(AE244=DGET(claves!$A$2:$AS423,AE$2,{claves!$A$2;$E244}),1,0)</f>
        <v>#VALUE!</v>
      </c>
      <c r="BC244" s="436" t="str">
        <f t="array" ref="BC244">IF(AF244=DGET(claves!$A$2:$AS423,AF$2,{claves!$A$2;$E244}),1,0)</f>
        <v>#VALUE!</v>
      </c>
      <c r="BD244" s="437" t="str">
        <f t="shared" si="1"/>
        <v>#VALUE!</v>
      </c>
      <c r="BE244" s="435" t="s">
        <v>1468</v>
      </c>
      <c r="BF244" s="415"/>
    </row>
    <row r="245" ht="14.25" customHeight="1">
      <c r="A245" s="408">
        <v>243.0</v>
      </c>
      <c r="B245" s="153" t="s">
        <v>1927</v>
      </c>
      <c r="C245" s="153">
        <v>2024.0</v>
      </c>
      <c r="D245" s="77" t="s">
        <v>1817</v>
      </c>
      <c r="E245" s="409" t="str">
        <f>IFERROR(__xludf.DUMMYFUNCTION("ARRAYFORMULA(JOIN("""", ARRAYFORMULA(MID(SPLIT(F245, "" ""), 1, 1))))
&amp;""/""&amp;G245"),"CLC/2 Primaria")</f>
        <v>CLC/2 Primaria</v>
      </c>
      <c r="F245" s="77" t="s">
        <v>1819</v>
      </c>
      <c r="G245" s="432" t="s">
        <v>15</v>
      </c>
      <c r="H245" s="433" t="s">
        <v>1856</v>
      </c>
      <c r="I245" s="433" t="s">
        <v>1684</v>
      </c>
      <c r="J245" s="433" t="s">
        <v>1933</v>
      </c>
      <c r="K245" s="433" t="s">
        <v>1658</v>
      </c>
      <c r="L245" s="415"/>
      <c r="M245" s="434" t="s">
        <v>1661</v>
      </c>
      <c r="N245" s="434" t="s">
        <v>1660</v>
      </c>
      <c r="O245" s="434" t="s">
        <v>1659</v>
      </c>
      <c r="P245" s="434" t="s">
        <v>1661</v>
      </c>
      <c r="Q245" s="434" t="s">
        <v>1659</v>
      </c>
      <c r="R245" s="434" t="s">
        <v>1661</v>
      </c>
      <c r="S245" s="434" t="s">
        <v>1659</v>
      </c>
      <c r="T245" s="434" t="s">
        <v>1661</v>
      </c>
      <c r="U245" s="434" t="s">
        <v>1660</v>
      </c>
      <c r="V245" s="434" t="s">
        <v>1659</v>
      </c>
      <c r="W245" s="434" t="s">
        <v>1661</v>
      </c>
      <c r="X245" s="434" t="s">
        <v>1659</v>
      </c>
      <c r="Y245" s="434" t="s">
        <v>1661</v>
      </c>
      <c r="Z245" s="434" t="s">
        <v>1659</v>
      </c>
      <c r="AA245" s="434" t="s">
        <v>1660</v>
      </c>
      <c r="AB245" s="434" t="s">
        <v>1659</v>
      </c>
      <c r="AC245" s="434" t="s">
        <v>1661</v>
      </c>
      <c r="AD245" s="434" t="s">
        <v>1660</v>
      </c>
      <c r="AE245" s="434" t="s">
        <v>1661</v>
      </c>
      <c r="AF245" s="434" t="s">
        <v>1659</v>
      </c>
      <c r="AG245" s="427">
        <v>18.0</v>
      </c>
      <c r="AH245" s="438" t="s">
        <v>32</v>
      </c>
      <c r="AI245" s="415"/>
      <c r="AJ245" s="436" t="str">
        <f t="array" ref="AJ245">IF(M245=DGET(claves!$A$2:$AS423,M$2,{claves!$A$2;$E245}),1,0)</f>
        <v>#VALUE!</v>
      </c>
      <c r="AK245" s="436" t="str">
        <f t="array" ref="AK245">IF(N245=DGET(claves!$A$2:$AS423,N$2,{claves!$A$2;$E245}),1,0)</f>
        <v>#VALUE!</v>
      </c>
      <c r="AL245" s="436" t="str">
        <f t="array" ref="AL245">IF(O245=DGET(claves!$A$2:$AS423,O$2,{claves!$A$2;$E245}),1,0)</f>
        <v>#VALUE!</v>
      </c>
      <c r="AM245" s="436" t="str">
        <f t="array" ref="AM245">IF(P245=DGET(claves!$A$2:$AS423,P$2,{claves!$A$2;$E245}),1,0)</f>
        <v>#VALUE!</v>
      </c>
      <c r="AN245" s="436" t="str">
        <f t="array" ref="AN245">IF(Q245=DGET(claves!$A$2:$AS423,Q$2,{claves!$A$2;$E245}),1,0)</f>
        <v>#VALUE!</v>
      </c>
      <c r="AO245" s="436" t="str">
        <f t="array" ref="AO245">IF(R245=DGET(claves!$A$2:$AS423,R$2,{claves!$A$2;$E245}),1,0)</f>
        <v>#VALUE!</v>
      </c>
      <c r="AP245" s="436" t="str">
        <f t="array" ref="AP245">IF(S245=DGET(claves!$A$2:$AS423,S$2,{claves!$A$2;$E245}),1,0)</f>
        <v>#VALUE!</v>
      </c>
      <c r="AQ245" s="436" t="str">
        <f t="array" ref="AQ245">IF(T245=DGET(claves!$A$2:$AS423,T$2,{claves!$A$2;$E245}),1,0)</f>
        <v>#VALUE!</v>
      </c>
      <c r="AR245" s="436" t="str">
        <f t="array" ref="AR245">IF(U245=DGET(claves!$A$2:$AS423,U$2,{claves!$A$2;$E245}),1,0)</f>
        <v>#VALUE!</v>
      </c>
      <c r="AS245" s="436" t="str">
        <f t="array" ref="AS245">IF(V245=DGET(claves!$A$2:$AS423,V$2,{claves!$A$2;$E245}),1,0)</f>
        <v>#VALUE!</v>
      </c>
      <c r="AT245" s="436" t="str">
        <f t="array" ref="AT245">IF(W245=DGET(claves!$A$2:$AS423,W$2,{claves!$A$2;$E245}),1,0)</f>
        <v>#VALUE!</v>
      </c>
      <c r="AU245" s="436" t="str">
        <f t="array" ref="AU245">IF(X245=DGET(claves!$A$2:$AS423,X$2,{claves!$A$2;$E245}),1,0)</f>
        <v>#VALUE!</v>
      </c>
      <c r="AV245" s="436" t="str">
        <f t="array" ref="AV245">IF(Y245=DGET(claves!$A$2:$AS423,Y$2,{claves!$A$2;$E245}),1,0)</f>
        <v>#VALUE!</v>
      </c>
      <c r="AW245" s="436" t="str">
        <f t="array" ref="AW245">IF(Z245=DGET(claves!$A$2:$AS423,Z$2,{claves!$A$2;$E245}),1,0)</f>
        <v>#VALUE!</v>
      </c>
      <c r="AX245" s="436" t="str">
        <f t="array" ref="AX245">IF(AA245=DGET(claves!$A$2:$AS423,AA$2,{claves!$A$2;$E245}),1,0)</f>
        <v>#VALUE!</v>
      </c>
      <c r="AY245" s="436" t="str">
        <f t="array" ref="AY245">IF(AB245=DGET(claves!$A$2:$AS423,AB$2,{claves!$A$2;$E245}),1,0)</f>
        <v>#VALUE!</v>
      </c>
      <c r="AZ245" s="436" t="str">
        <f t="array" ref="AZ245">IF(AC245=DGET(claves!$A$2:$AS423,AC$2,{claves!$A$2;$E245}),1,0)</f>
        <v>#VALUE!</v>
      </c>
      <c r="BA245" s="436" t="str">
        <f t="array" ref="BA245">IF(AD245=DGET(claves!$A$2:$AS423,AD$2,{claves!$A$2;$E245}),1,0)</f>
        <v>#VALUE!</v>
      </c>
      <c r="BB245" s="436" t="str">
        <f t="array" ref="BB245">IF(AE245=DGET(claves!$A$2:$AS423,AE$2,{claves!$A$2;$E245}),1,0)</f>
        <v>#VALUE!</v>
      </c>
      <c r="BC245" s="436" t="str">
        <f t="array" ref="BC245">IF(AF245=DGET(claves!$A$2:$AS423,AF$2,{claves!$A$2;$E245}),1,0)</f>
        <v>#VALUE!</v>
      </c>
      <c r="BD245" s="437" t="str">
        <f t="shared" si="1"/>
        <v>#VALUE!</v>
      </c>
      <c r="BE245" s="435"/>
      <c r="BF245" s="415"/>
    </row>
    <row r="246" ht="14.25" customHeight="1">
      <c r="A246" s="408">
        <v>244.0</v>
      </c>
      <c r="B246" s="153" t="s">
        <v>1927</v>
      </c>
      <c r="C246" s="153">
        <v>2024.0</v>
      </c>
      <c r="D246" s="77" t="s">
        <v>362</v>
      </c>
      <c r="E246" s="409" t="str">
        <f>IFERROR(__xludf.DUMMYFUNCTION("ARRAYFORMULA(JOIN("""", ARRAYFORMULA(MID(SPLIT(F246, "" ""), 1, 1))))
&amp;""/""&amp;G246"),"MC/2 Primaria")</f>
        <v>MC/2 Primaria</v>
      </c>
      <c r="F246" s="77" t="s">
        <v>1654</v>
      </c>
      <c r="G246" s="432" t="s">
        <v>15</v>
      </c>
      <c r="H246" s="433" t="s">
        <v>1934</v>
      </c>
      <c r="I246" s="433" t="s">
        <v>1935</v>
      </c>
      <c r="J246" s="433" t="s">
        <v>1936</v>
      </c>
      <c r="K246" s="432" t="s">
        <v>1665</v>
      </c>
      <c r="L246" s="415"/>
      <c r="M246" s="434" t="s">
        <v>1659</v>
      </c>
      <c r="N246" s="434" t="s">
        <v>1661</v>
      </c>
      <c r="O246" s="434" t="s">
        <v>1659</v>
      </c>
      <c r="P246" s="434" t="s">
        <v>1659</v>
      </c>
      <c r="Q246" s="434" t="s">
        <v>1659</v>
      </c>
      <c r="R246" s="434" t="s">
        <v>1660</v>
      </c>
      <c r="S246" s="434" t="s">
        <v>1659</v>
      </c>
      <c r="T246" s="434" t="s">
        <v>1661</v>
      </c>
      <c r="U246" s="434" t="s">
        <v>1659</v>
      </c>
      <c r="V246" s="434" t="s">
        <v>1660</v>
      </c>
      <c r="W246" s="434" t="s">
        <v>1661</v>
      </c>
      <c r="X246" s="434" t="s">
        <v>1660</v>
      </c>
      <c r="Y246" s="434" t="s">
        <v>1661</v>
      </c>
      <c r="Z246" s="434" t="s">
        <v>1659</v>
      </c>
      <c r="AA246" s="434" t="s">
        <v>1661</v>
      </c>
      <c r="AB246" s="434" t="s">
        <v>1661</v>
      </c>
      <c r="AC246" s="434" t="s">
        <v>1659</v>
      </c>
      <c r="AD246" s="434" t="s">
        <v>1660</v>
      </c>
      <c r="AE246" s="434" t="s">
        <v>1661</v>
      </c>
      <c r="AF246" s="434" t="s">
        <v>1659</v>
      </c>
      <c r="AG246" s="427">
        <v>19.0</v>
      </c>
      <c r="AH246" s="438" t="s">
        <v>32</v>
      </c>
      <c r="AI246" s="415"/>
      <c r="AJ246" s="436" t="str">
        <f t="array" ref="AJ246">IF(M246=DGET(claves!$A$2:$AS423,M$2,{claves!$A$2;$E246}),1,0)</f>
        <v>#VALUE!</v>
      </c>
      <c r="AK246" s="436" t="str">
        <f t="array" ref="AK246">IF(N246=DGET(claves!$A$2:$AS423,N$2,{claves!$A$2;$E246}),1,0)</f>
        <v>#VALUE!</v>
      </c>
      <c r="AL246" s="436" t="str">
        <f t="array" ref="AL246">IF(O246=DGET(claves!$A$2:$AS423,O$2,{claves!$A$2;$E246}),1,0)</f>
        <v>#VALUE!</v>
      </c>
      <c r="AM246" s="436" t="str">
        <f t="array" ref="AM246">IF(P246=DGET(claves!$A$2:$AS423,P$2,{claves!$A$2;$E246}),1,0)</f>
        <v>#VALUE!</v>
      </c>
      <c r="AN246" s="436" t="str">
        <f t="array" ref="AN246">IF(Q246=DGET(claves!$A$2:$AS423,Q$2,{claves!$A$2;$E246}),1,0)</f>
        <v>#VALUE!</v>
      </c>
      <c r="AO246" s="436" t="str">
        <f t="array" ref="AO246">IF(R246=DGET(claves!$A$2:$AS423,R$2,{claves!$A$2;$E246}),1,0)</f>
        <v>#VALUE!</v>
      </c>
      <c r="AP246" s="436" t="str">
        <f t="array" ref="AP246">IF(S246=DGET(claves!$A$2:$AS423,S$2,{claves!$A$2;$E246}),1,0)</f>
        <v>#VALUE!</v>
      </c>
      <c r="AQ246" s="436" t="str">
        <f t="array" ref="AQ246">IF(T246=DGET(claves!$A$2:$AS423,T$2,{claves!$A$2;$E246}),1,0)</f>
        <v>#VALUE!</v>
      </c>
      <c r="AR246" s="436" t="str">
        <f t="array" ref="AR246">IF(U246=DGET(claves!$A$2:$AS423,U$2,{claves!$A$2;$E246}),1,0)</f>
        <v>#VALUE!</v>
      </c>
      <c r="AS246" s="436" t="str">
        <f t="array" ref="AS246">IF(V246=DGET(claves!$A$2:$AS423,V$2,{claves!$A$2;$E246}),1,0)</f>
        <v>#VALUE!</v>
      </c>
      <c r="AT246" s="436" t="str">
        <f t="array" ref="AT246">IF(W246=DGET(claves!$A$2:$AS423,W$2,{claves!$A$2;$E246}),1,0)</f>
        <v>#VALUE!</v>
      </c>
      <c r="AU246" s="436" t="str">
        <f t="array" ref="AU246">IF(X246=DGET(claves!$A$2:$AS423,X$2,{claves!$A$2;$E246}),1,0)</f>
        <v>#VALUE!</v>
      </c>
      <c r="AV246" s="436" t="str">
        <f t="array" ref="AV246">IF(Y246=DGET(claves!$A$2:$AS423,Y$2,{claves!$A$2;$E246}),1,0)</f>
        <v>#VALUE!</v>
      </c>
      <c r="AW246" s="436" t="str">
        <f t="array" ref="AW246">IF(Z246=DGET(claves!$A$2:$AS423,Z$2,{claves!$A$2;$E246}),1,0)</f>
        <v>#VALUE!</v>
      </c>
      <c r="AX246" s="436" t="str">
        <f t="array" ref="AX246">IF(AA246=DGET(claves!$A$2:$AS423,AA$2,{claves!$A$2;$E246}),1,0)</f>
        <v>#VALUE!</v>
      </c>
      <c r="AY246" s="436" t="str">
        <f t="array" ref="AY246">IF(AB246=DGET(claves!$A$2:$AS423,AB$2,{claves!$A$2;$E246}),1,0)</f>
        <v>#VALUE!</v>
      </c>
      <c r="AZ246" s="436" t="str">
        <f t="array" ref="AZ246">IF(AC246=DGET(claves!$A$2:$AS423,AC$2,{claves!$A$2;$E246}),1,0)</f>
        <v>#VALUE!</v>
      </c>
      <c r="BA246" s="436" t="str">
        <f t="array" ref="BA246">IF(AD246=DGET(claves!$A$2:$AS423,AD$2,{claves!$A$2;$E246}),1,0)</f>
        <v>#VALUE!</v>
      </c>
      <c r="BB246" s="436" t="str">
        <f t="array" ref="BB246">IF(AE246=DGET(claves!$A$2:$AS423,AE$2,{claves!$A$2;$E246}),1,0)</f>
        <v>#VALUE!</v>
      </c>
      <c r="BC246" s="436" t="str">
        <f t="array" ref="BC246">IF(AF246=DGET(claves!$A$2:$AS423,AF$2,{claves!$A$2;$E246}),1,0)</f>
        <v>#VALUE!</v>
      </c>
      <c r="BD246" s="437" t="str">
        <f t="shared" si="1"/>
        <v>#VALUE!</v>
      </c>
      <c r="BE246" s="435" t="s">
        <v>1468</v>
      </c>
      <c r="BF246" s="415"/>
    </row>
    <row r="247" ht="14.25" customHeight="1">
      <c r="A247" s="408">
        <v>245.0</v>
      </c>
      <c r="B247" s="153" t="s">
        <v>1927</v>
      </c>
      <c r="C247" s="153">
        <v>2024.0</v>
      </c>
      <c r="D247" s="77" t="s">
        <v>1817</v>
      </c>
      <c r="E247" s="409" t="str">
        <f>IFERROR(__xludf.DUMMYFUNCTION("ARRAYFORMULA(JOIN("""", ARRAYFORMULA(MID(SPLIT(F247, "" ""), 1, 1))))
&amp;""/""&amp;G247"),"CLC/2 Primaria")</f>
        <v>CLC/2 Primaria</v>
      </c>
      <c r="F247" s="77" t="s">
        <v>1819</v>
      </c>
      <c r="G247" s="432" t="s">
        <v>15</v>
      </c>
      <c r="H247" s="433" t="s">
        <v>1934</v>
      </c>
      <c r="I247" s="433" t="s">
        <v>1935</v>
      </c>
      <c r="J247" s="433" t="s">
        <v>1936</v>
      </c>
      <c r="K247" s="432" t="s">
        <v>1665</v>
      </c>
      <c r="L247" s="415"/>
      <c r="M247" s="434" t="s">
        <v>1661</v>
      </c>
      <c r="N247" s="434" t="s">
        <v>1660</v>
      </c>
      <c r="O247" s="434" t="s">
        <v>1659</v>
      </c>
      <c r="P247" s="434" t="s">
        <v>1661</v>
      </c>
      <c r="Q247" s="434" t="s">
        <v>1659</v>
      </c>
      <c r="R247" s="434" t="s">
        <v>1661</v>
      </c>
      <c r="S247" s="434" t="s">
        <v>1659</v>
      </c>
      <c r="T247" s="434" t="s">
        <v>1661</v>
      </c>
      <c r="U247" s="434" t="s">
        <v>1660</v>
      </c>
      <c r="V247" s="434" t="s">
        <v>1659</v>
      </c>
      <c r="W247" s="434" t="s">
        <v>1661</v>
      </c>
      <c r="X247" s="434" t="s">
        <v>1659</v>
      </c>
      <c r="Y247" s="434" t="s">
        <v>1661</v>
      </c>
      <c r="Z247" s="434" t="s">
        <v>1659</v>
      </c>
      <c r="AA247" s="434" t="s">
        <v>1660</v>
      </c>
      <c r="AB247" s="434" t="s">
        <v>1659</v>
      </c>
      <c r="AC247" s="434" t="s">
        <v>1661</v>
      </c>
      <c r="AD247" s="434" t="s">
        <v>1660</v>
      </c>
      <c r="AE247" s="434" t="s">
        <v>1661</v>
      </c>
      <c r="AF247" s="434" t="s">
        <v>1659</v>
      </c>
      <c r="AG247" s="427">
        <v>18.0</v>
      </c>
      <c r="AH247" s="438" t="s">
        <v>32</v>
      </c>
      <c r="AI247" s="415"/>
      <c r="AJ247" s="436" t="str">
        <f t="array" ref="AJ247">IF(M247=DGET(claves!$A$2:$AS423,M$2,{claves!$A$2;$E247}),1,0)</f>
        <v>#VALUE!</v>
      </c>
      <c r="AK247" s="436" t="str">
        <f t="array" ref="AK247">IF(N247=DGET(claves!$A$2:$AS423,N$2,{claves!$A$2;$E247}),1,0)</f>
        <v>#VALUE!</v>
      </c>
      <c r="AL247" s="436" t="str">
        <f t="array" ref="AL247">IF(O247=DGET(claves!$A$2:$AS423,O$2,{claves!$A$2;$E247}),1,0)</f>
        <v>#VALUE!</v>
      </c>
      <c r="AM247" s="436" t="str">
        <f t="array" ref="AM247">IF(P247=DGET(claves!$A$2:$AS423,P$2,{claves!$A$2;$E247}),1,0)</f>
        <v>#VALUE!</v>
      </c>
      <c r="AN247" s="436" t="str">
        <f t="array" ref="AN247">IF(Q247=DGET(claves!$A$2:$AS423,Q$2,{claves!$A$2;$E247}),1,0)</f>
        <v>#VALUE!</v>
      </c>
      <c r="AO247" s="436" t="str">
        <f t="array" ref="AO247">IF(R247=DGET(claves!$A$2:$AS423,R$2,{claves!$A$2;$E247}),1,0)</f>
        <v>#VALUE!</v>
      </c>
      <c r="AP247" s="436" t="str">
        <f t="array" ref="AP247">IF(S247=DGET(claves!$A$2:$AS423,S$2,{claves!$A$2;$E247}),1,0)</f>
        <v>#VALUE!</v>
      </c>
      <c r="AQ247" s="436" t="str">
        <f t="array" ref="AQ247">IF(T247=DGET(claves!$A$2:$AS423,T$2,{claves!$A$2;$E247}),1,0)</f>
        <v>#VALUE!</v>
      </c>
      <c r="AR247" s="436" t="str">
        <f t="array" ref="AR247">IF(U247=DGET(claves!$A$2:$AS423,U$2,{claves!$A$2;$E247}),1,0)</f>
        <v>#VALUE!</v>
      </c>
      <c r="AS247" s="436" t="str">
        <f t="array" ref="AS247">IF(V247=DGET(claves!$A$2:$AS423,V$2,{claves!$A$2;$E247}),1,0)</f>
        <v>#VALUE!</v>
      </c>
      <c r="AT247" s="436" t="str">
        <f t="array" ref="AT247">IF(W247=DGET(claves!$A$2:$AS423,W$2,{claves!$A$2;$E247}),1,0)</f>
        <v>#VALUE!</v>
      </c>
      <c r="AU247" s="436" t="str">
        <f t="array" ref="AU247">IF(X247=DGET(claves!$A$2:$AS423,X$2,{claves!$A$2;$E247}),1,0)</f>
        <v>#VALUE!</v>
      </c>
      <c r="AV247" s="436" t="str">
        <f t="array" ref="AV247">IF(Y247=DGET(claves!$A$2:$AS423,Y$2,{claves!$A$2;$E247}),1,0)</f>
        <v>#VALUE!</v>
      </c>
      <c r="AW247" s="436" t="str">
        <f t="array" ref="AW247">IF(Z247=DGET(claves!$A$2:$AS423,Z$2,{claves!$A$2;$E247}),1,0)</f>
        <v>#VALUE!</v>
      </c>
      <c r="AX247" s="436" t="str">
        <f t="array" ref="AX247">IF(AA247=DGET(claves!$A$2:$AS423,AA$2,{claves!$A$2;$E247}),1,0)</f>
        <v>#VALUE!</v>
      </c>
      <c r="AY247" s="436" t="str">
        <f t="array" ref="AY247">IF(AB247=DGET(claves!$A$2:$AS423,AB$2,{claves!$A$2;$E247}),1,0)</f>
        <v>#VALUE!</v>
      </c>
      <c r="AZ247" s="436" t="str">
        <f t="array" ref="AZ247">IF(AC247=DGET(claves!$A$2:$AS423,AC$2,{claves!$A$2;$E247}),1,0)</f>
        <v>#VALUE!</v>
      </c>
      <c r="BA247" s="436" t="str">
        <f t="array" ref="BA247">IF(AD247=DGET(claves!$A$2:$AS423,AD$2,{claves!$A$2;$E247}),1,0)</f>
        <v>#VALUE!</v>
      </c>
      <c r="BB247" s="436" t="str">
        <f t="array" ref="BB247">IF(AE247=DGET(claves!$A$2:$AS423,AE$2,{claves!$A$2;$E247}),1,0)</f>
        <v>#VALUE!</v>
      </c>
      <c r="BC247" s="436" t="str">
        <f t="array" ref="BC247">IF(AF247=DGET(claves!$A$2:$AS423,AF$2,{claves!$A$2;$E247}),1,0)</f>
        <v>#VALUE!</v>
      </c>
      <c r="BD247" s="437" t="str">
        <f t="shared" si="1"/>
        <v>#VALUE!</v>
      </c>
      <c r="BE247" s="435"/>
      <c r="BF247" s="415"/>
    </row>
    <row r="248" ht="14.25" customHeight="1">
      <c r="A248" s="408">
        <v>246.0</v>
      </c>
      <c r="B248" s="153" t="s">
        <v>1927</v>
      </c>
      <c r="C248" s="153">
        <v>2024.0</v>
      </c>
      <c r="D248" s="77" t="s">
        <v>362</v>
      </c>
      <c r="E248" s="409" t="str">
        <f>IFERROR(__xludf.DUMMYFUNCTION("ARRAYFORMULA(JOIN("""", ARRAYFORMULA(MID(SPLIT(F248, "" ""), 1, 1))))
&amp;""/""&amp;G248"),"MC/2 Primaria")</f>
        <v>MC/2 Primaria</v>
      </c>
      <c r="F248" s="77" t="s">
        <v>1654</v>
      </c>
      <c r="G248" s="432" t="s">
        <v>15</v>
      </c>
      <c r="H248" s="433" t="s">
        <v>1937</v>
      </c>
      <c r="I248" s="433" t="s">
        <v>1749</v>
      </c>
      <c r="J248" s="433" t="s">
        <v>1938</v>
      </c>
      <c r="K248" s="433" t="s">
        <v>1658</v>
      </c>
      <c r="L248" s="415"/>
      <c r="M248" s="434" t="s">
        <v>1659</v>
      </c>
      <c r="N248" s="434" t="s">
        <v>1661</v>
      </c>
      <c r="O248" s="434" t="s">
        <v>1659</v>
      </c>
      <c r="P248" s="434" t="s">
        <v>1659</v>
      </c>
      <c r="Q248" s="434" t="s">
        <v>1659</v>
      </c>
      <c r="R248" s="434" t="s">
        <v>1660</v>
      </c>
      <c r="S248" s="434" t="s">
        <v>1659</v>
      </c>
      <c r="T248" s="434"/>
      <c r="U248" s="434"/>
      <c r="V248" s="434" t="s">
        <v>1660</v>
      </c>
      <c r="W248" s="434" t="s">
        <v>1661</v>
      </c>
      <c r="X248" s="434" t="s">
        <v>1660</v>
      </c>
      <c r="Y248" s="434" t="s">
        <v>1661</v>
      </c>
      <c r="Z248" s="434" t="s">
        <v>1661</v>
      </c>
      <c r="AA248" s="434" t="s">
        <v>1661</v>
      </c>
      <c r="AB248" s="434" t="s">
        <v>1661</v>
      </c>
      <c r="AC248" s="434" t="s">
        <v>1659</v>
      </c>
      <c r="AD248" s="434" t="s">
        <v>1660</v>
      </c>
      <c r="AE248" s="434" t="s">
        <v>1660</v>
      </c>
      <c r="AF248" s="434" t="s">
        <v>1659</v>
      </c>
      <c r="AG248" s="427">
        <v>17.0</v>
      </c>
      <c r="AH248" s="438" t="s">
        <v>32</v>
      </c>
      <c r="AI248" s="415"/>
      <c r="AJ248" s="436" t="str">
        <f t="array" ref="AJ248">IF(M248=DGET(claves!$A$2:$AS423,M$2,{claves!$A$2;$E248}),1,0)</f>
        <v>#VALUE!</v>
      </c>
      <c r="AK248" s="436" t="str">
        <f t="array" ref="AK248">IF(N248=DGET(claves!$A$2:$AS423,N$2,{claves!$A$2;$E248}),1,0)</f>
        <v>#VALUE!</v>
      </c>
      <c r="AL248" s="436" t="str">
        <f t="array" ref="AL248">IF(O248=DGET(claves!$A$2:$AS423,O$2,{claves!$A$2;$E248}),1,0)</f>
        <v>#VALUE!</v>
      </c>
      <c r="AM248" s="436" t="str">
        <f t="array" ref="AM248">IF(P248=DGET(claves!$A$2:$AS423,P$2,{claves!$A$2;$E248}),1,0)</f>
        <v>#VALUE!</v>
      </c>
      <c r="AN248" s="436" t="str">
        <f t="array" ref="AN248">IF(Q248=DGET(claves!$A$2:$AS423,Q$2,{claves!$A$2;$E248}),1,0)</f>
        <v>#VALUE!</v>
      </c>
      <c r="AO248" s="436" t="str">
        <f t="array" ref="AO248">IF(R248=DGET(claves!$A$2:$AS423,R$2,{claves!$A$2;$E248}),1,0)</f>
        <v>#VALUE!</v>
      </c>
      <c r="AP248" s="436" t="str">
        <f t="array" ref="AP248">IF(S248=DGET(claves!$A$2:$AS423,S$2,{claves!$A$2;$E248}),1,0)</f>
        <v>#VALUE!</v>
      </c>
      <c r="AQ248" s="436" t="str">
        <f t="array" ref="AQ248">IF(T248=DGET(claves!$A$2:$AS423,T$2,{claves!$A$2;$E248}),1,0)</f>
        <v>#VALUE!</v>
      </c>
      <c r="AR248" s="436" t="str">
        <f t="array" ref="AR248">IF(U248=DGET(claves!$A$2:$AS423,U$2,{claves!$A$2;$E248}),1,0)</f>
        <v>#VALUE!</v>
      </c>
      <c r="AS248" s="436" t="str">
        <f t="array" ref="AS248">IF(V248=DGET(claves!$A$2:$AS423,V$2,{claves!$A$2;$E248}),1,0)</f>
        <v>#VALUE!</v>
      </c>
      <c r="AT248" s="436" t="str">
        <f t="array" ref="AT248">IF(W248=DGET(claves!$A$2:$AS423,W$2,{claves!$A$2;$E248}),1,0)</f>
        <v>#VALUE!</v>
      </c>
      <c r="AU248" s="436" t="str">
        <f t="array" ref="AU248">IF(X248=DGET(claves!$A$2:$AS423,X$2,{claves!$A$2;$E248}),1,0)</f>
        <v>#VALUE!</v>
      </c>
      <c r="AV248" s="436" t="str">
        <f t="array" ref="AV248">IF(Y248=DGET(claves!$A$2:$AS423,Y$2,{claves!$A$2;$E248}),1,0)</f>
        <v>#VALUE!</v>
      </c>
      <c r="AW248" s="436" t="str">
        <f t="array" ref="AW248">IF(Z248=DGET(claves!$A$2:$AS423,Z$2,{claves!$A$2;$E248}),1,0)</f>
        <v>#VALUE!</v>
      </c>
      <c r="AX248" s="436" t="str">
        <f t="array" ref="AX248">IF(AA248=DGET(claves!$A$2:$AS423,AA$2,{claves!$A$2;$E248}),1,0)</f>
        <v>#VALUE!</v>
      </c>
      <c r="AY248" s="436" t="str">
        <f t="array" ref="AY248">IF(AB248=DGET(claves!$A$2:$AS423,AB$2,{claves!$A$2;$E248}),1,0)</f>
        <v>#VALUE!</v>
      </c>
      <c r="AZ248" s="436" t="str">
        <f t="array" ref="AZ248">IF(AC248=DGET(claves!$A$2:$AS423,AC$2,{claves!$A$2;$E248}),1,0)</f>
        <v>#VALUE!</v>
      </c>
      <c r="BA248" s="436" t="str">
        <f t="array" ref="BA248">IF(AD248=DGET(claves!$A$2:$AS423,AD$2,{claves!$A$2;$E248}),1,0)</f>
        <v>#VALUE!</v>
      </c>
      <c r="BB248" s="436" t="str">
        <f t="array" ref="BB248">IF(AE248=DGET(claves!$A$2:$AS423,AE$2,{claves!$A$2;$E248}),1,0)</f>
        <v>#VALUE!</v>
      </c>
      <c r="BC248" s="436" t="str">
        <f t="array" ref="BC248">IF(AF248=DGET(claves!$A$2:$AS423,AF$2,{claves!$A$2;$E248}),1,0)</f>
        <v>#VALUE!</v>
      </c>
      <c r="BD248" s="437" t="str">
        <f t="shared" si="1"/>
        <v>#VALUE!</v>
      </c>
      <c r="BE248" s="435" t="s">
        <v>1468</v>
      </c>
      <c r="BF248" s="415"/>
    </row>
    <row r="249" ht="14.25" customHeight="1">
      <c r="A249" s="408">
        <v>247.0</v>
      </c>
      <c r="B249" s="153" t="s">
        <v>1927</v>
      </c>
      <c r="C249" s="153">
        <v>2024.0</v>
      </c>
      <c r="D249" s="77" t="s">
        <v>1817</v>
      </c>
      <c r="E249" s="409" t="str">
        <f>IFERROR(__xludf.DUMMYFUNCTION("ARRAYFORMULA(JOIN("""", ARRAYFORMULA(MID(SPLIT(F249, "" ""), 1, 1))))
&amp;""/""&amp;G249"),"CLC/2 Primaria")</f>
        <v>CLC/2 Primaria</v>
      </c>
      <c r="F249" s="77" t="s">
        <v>1819</v>
      </c>
      <c r="G249" s="432" t="s">
        <v>15</v>
      </c>
      <c r="H249" s="433" t="s">
        <v>1937</v>
      </c>
      <c r="I249" s="433" t="s">
        <v>1749</v>
      </c>
      <c r="J249" s="433" t="s">
        <v>1938</v>
      </c>
      <c r="K249" s="433" t="s">
        <v>1658</v>
      </c>
      <c r="L249" s="415"/>
      <c r="M249" s="434" t="s">
        <v>1661</v>
      </c>
      <c r="N249" s="434" t="s">
        <v>1660</v>
      </c>
      <c r="O249" s="434" t="s">
        <v>1659</v>
      </c>
      <c r="P249" s="434" t="s">
        <v>1661</v>
      </c>
      <c r="Q249" s="434" t="s">
        <v>1659</v>
      </c>
      <c r="R249" s="434" t="s">
        <v>1661</v>
      </c>
      <c r="S249" s="434" t="s">
        <v>1659</v>
      </c>
      <c r="T249" s="434" t="s">
        <v>1661</v>
      </c>
      <c r="U249" s="434" t="s">
        <v>1660</v>
      </c>
      <c r="V249" s="434" t="s">
        <v>1659</v>
      </c>
      <c r="W249" s="434" t="s">
        <v>1661</v>
      </c>
      <c r="X249" s="434" t="s">
        <v>1659</v>
      </c>
      <c r="Y249" s="434" t="s">
        <v>1661</v>
      </c>
      <c r="Z249" s="434" t="s">
        <v>1659</v>
      </c>
      <c r="AA249" s="434" t="s">
        <v>1660</v>
      </c>
      <c r="AB249" s="434" t="s">
        <v>1659</v>
      </c>
      <c r="AC249" s="434" t="s">
        <v>1661</v>
      </c>
      <c r="AD249" s="434" t="s">
        <v>1660</v>
      </c>
      <c r="AE249" s="434" t="s">
        <v>1661</v>
      </c>
      <c r="AF249" s="434" t="s">
        <v>1659</v>
      </c>
      <c r="AG249" s="427">
        <v>18.0</v>
      </c>
      <c r="AH249" s="438" t="s">
        <v>32</v>
      </c>
      <c r="AI249" s="415"/>
      <c r="AJ249" s="436" t="str">
        <f t="array" ref="AJ249">IF(M249=DGET(claves!$A$2:$AS423,M$2,{claves!$A$2;$E249}),1,0)</f>
        <v>#VALUE!</v>
      </c>
      <c r="AK249" s="436" t="str">
        <f t="array" ref="AK249">IF(N249=DGET(claves!$A$2:$AS423,N$2,{claves!$A$2;$E249}),1,0)</f>
        <v>#VALUE!</v>
      </c>
      <c r="AL249" s="436" t="str">
        <f t="array" ref="AL249">IF(O249=DGET(claves!$A$2:$AS423,O$2,{claves!$A$2;$E249}),1,0)</f>
        <v>#VALUE!</v>
      </c>
      <c r="AM249" s="436" t="str">
        <f t="array" ref="AM249">IF(P249=DGET(claves!$A$2:$AS423,P$2,{claves!$A$2;$E249}),1,0)</f>
        <v>#VALUE!</v>
      </c>
      <c r="AN249" s="436" t="str">
        <f t="array" ref="AN249">IF(Q249=DGET(claves!$A$2:$AS423,Q$2,{claves!$A$2;$E249}),1,0)</f>
        <v>#VALUE!</v>
      </c>
      <c r="AO249" s="436" t="str">
        <f t="array" ref="AO249">IF(R249=DGET(claves!$A$2:$AS423,R$2,{claves!$A$2;$E249}),1,0)</f>
        <v>#VALUE!</v>
      </c>
      <c r="AP249" s="436" t="str">
        <f t="array" ref="AP249">IF(S249=DGET(claves!$A$2:$AS423,S$2,{claves!$A$2;$E249}),1,0)</f>
        <v>#VALUE!</v>
      </c>
      <c r="AQ249" s="436" t="str">
        <f t="array" ref="AQ249">IF(T249=DGET(claves!$A$2:$AS423,T$2,{claves!$A$2;$E249}),1,0)</f>
        <v>#VALUE!</v>
      </c>
      <c r="AR249" s="436" t="str">
        <f t="array" ref="AR249">IF(U249=DGET(claves!$A$2:$AS423,U$2,{claves!$A$2;$E249}),1,0)</f>
        <v>#VALUE!</v>
      </c>
      <c r="AS249" s="436" t="str">
        <f t="array" ref="AS249">IF(V249=DGET(claves!$A$2:$AS423,V$2,{claves!$A$2;$E249}),1,0)</f>
        <v>#VALUE!</v>
      </c>
      <c r="AT249" s="436" t="str">
        <f t="array" ref="AT249">IF(W249=DGET(claves!$A$2:$AS423,W$2,{claves!$A$2;$E249}),1,0)</f>
        <v>#VALUE!</v>
      </c>
      <c r="AU249" s="436" t="str">
        <f t="array" ref="AU249">IF(X249=DGET(claves!$A$2:$AS423,X$2,{claves!$A$2;$E249}),1,0)</f>
        <v>#VALUE!</v>
      </c>
      <c r="AV249" s="436" t="str">
        <f t="array" ref="AV249">IF(Y249=DGET(claves!$A$2:$AS423,Y$2,{claves!$A$2;$E249}),1,0)</f>
        <v>#VALUE!</v>
      </c>
      <c r="AW249" s="436" t="str">
        <f t="array" ref="AW249">IF(Z249=DGET(claves!$A$2:$AS423,Z$2,{claves!$A$2;$E249}),1,0)</f>
        <v>#VALUE!</v>
      </c>
      <c r="AX249" s="436" t="str">
        <f t="array" ref="AX249">IF(AA249=DGET(claves!$A$2:$AS423,AA$2,{claves!$A$2;$E249}),1,0)</f>
        <v>#VALUE!</v>
      </c>
      <c r="AY249" s="436" t="str">
        <f t="array" ref="AY249">IF(AB249=DGET(claves!$A$2:$AS423,AB$2,{claves!$A$2;$E249}),1,0)</f>
        <v>#VALUE!</v>
      </c>
      <c r="AZ249" s="436" t="str">
        <f t="array" ref="AZ249">IF(AC249=DGET(claves!$A$2:$AS423,AC$2,{claves!$A$2;$E249}),1,0)</f>
        <v>#VALUE!</v>
      </c>
      <c r="BA249" s="436" t="str">
        <f t="array" ref="BA249">IF(AD249=DGET(claves!$A$2:$AS423,AD$2,{claves!$A$2;$E249}),1,0)</f>
        <v>#VALUE!</v>
      </c>
      <c r="BB249" s="436" t="str">
        <f t="array" ref="BB249">IF(AE249=DGET(claves!$A$2:$AS423,AE$2,{claves!$A$2;$E249}),1,0)</f>
        <v>#VALUE!</v>
      </c>
      <c r="BC249" s="436" t="str">
        <f t="array" ref="BC249">IF(AF249=DGET(claves!$A$2:$AS423,AF$2,{claves!$A$2;$E249}),1,0)</f>
        <v>#VALUE!</v>
      </c>
      <c r="BD249" s="437" t="str">
        <f t="shared" si="1"/>
        <v>#VALUE!</v>
      </c>
      <c r="BE249" s="435"/>
      <c r="BF249" s="415"/>
    </row>
    <row r="250" ht="14.25" customHeight="1">
      <c r="A250" s="408">
        <v>248.0</v>
      </c>
      <c r="B250" s="153" t="s">
        <v>1927</v>
      </c>
      <c r="C250" s="153">
        <v>2024.0</v>
      </c>
      <c r="D250" s="77" t="s">
        <v>362</v>
      </c>
      <c r="E250" s="409" t="str">
        <f>IFERROR(__xludf.DUMMYFUNCTION("ARRAYFORMULA(JOIN("""", ARRAYFORMULA(MID(SPLIT(F250, "" ""), 1, 1))))
&amp;""/""&amp;G250"),"MC/2 Primaria")</f>
        <v>MC/2 Primaria</v>
      </c>
      <c r="F250" s="77" t="s">
        <v>1654</v>
      </c>
      <c r="G250" s="432" t="s">
        <v>15</v>
      </c>
      <c r="H250" s="433" t="s">
        <v>1939</v>
      </c>
      <c r="I250" s="433" t="s">
        <v>1940</v>
      </c>
      <c r="J250" s="433" t="s">
        <v>1941</v>
      </c>
      <c r="K250" s="432" t="s">
        <v>1665</v>
      </c>
      <c r="L250" s="415"/>
      <c r="M250" s="434" t="s">
        <v>1659</v>
      </c>
      <c r="N250" s="434" t="s">
        <v>1661</v>
      </c>
      <c r="O250" s="434" t="s">
        <v>1659</v>
      </c>
      <c r="P250" s="434" t="s">
        <v>1659</v>
      </c>
      <c r="Q250" s="434" t="s">
        <v>1659</v>
      </c>
      <c r="R250" s="434" t="s">
        <v>1660</v>
      </c>
      <c r="S250" s="434" t="s">
        <v>1661</v>
      </c>
      <c r="T250" s="434" t="s">
        <v>1661</v>
      </c>
      <c r="U250" s="434" t="s">
        <v>1659</v>
      </c>
      <c r="V250" s="434" t="s">
        <v>1660</v>
      </c>
      <c r="W250" s="434" t="s">
        <v>1661</v>
      </c>
      <c r="X250" s="434" t="s">
        <v>1660</v>
      </c>
      <c r="Y250" s="434" t="s">
        <v>1661</v>
      </c>
      <c r="Z250" s="434" t="s">
        <v>1661</v>
      </c>
      <c r="AA250" s="434" t="s">
        <v>1661</v>
      </c>
      <c r="AB250" s="434" t="s">
        <v>1661</v>
      </c>
      <c r="AC250" s="434" t="s">
        <v>1659</v>
      </c>
      <c r="AD250" s="434" t="s">
        <v>1660</v>
      </c>
      <c r="AE250" s="434" t="s">
        <v>1661</v>
      </c>
      <c r="AF250" s="434" t="s">
        <v>1659</v>
      </c>
      <c r="AG250" s="427">
        <v>19.0</v>
      </c>
      <c r="AH250" s="438" t="s">
        <v>32</v>
      </c>
      <c r="AI250" s="415"/>
      <c r="AJ250" s="436" t="str">
        <f t="array" ref="AJ250">IF(M250=DGET(claves!$A$2:$AS423,M$2,{claves!$A$2;$E250}),1,0)</f>
        <v>#VALUE!</v>
      </c>
      <c r="AK250" s="436" t="str">
        <f t="array" ref="AK250">IF(N250=DGET(claves!$A$2:$AS423,N$2,{claves!$A$2;$E250}),1,0)</f>
        <v>#VALUE!</v>
      </c>
      <c r="AL250" s="436" t="str">
        <f t="array" ref="AL250">IF(O250=DGET(claves!$A$2:$AS423,O$2,{claves!$A$2;$E250}),1,0)</f>
        <v>#VALUE!</v>
      </c>
      <c r="AM250" s="436" t="str">
        <f t="array" ref="AM250">IF(P250=DGET(claves!$A$2:$AS423,P$2,{claves!$A$2;$E250}),1,0)</f>
        <v>#VALUE!</v>
      </c>
      <c r="AN250" s="436" t="str">
        <f t="array" ref="AN250">IF(Q250=DGET(claves!$A$2:$AS423,Q$2,{claves!$A$2;$E250}),1,0)</f>
        <v>#VALUE!</v>
      </c>
      <c r="AO250" s="436" t="str">
        <f t="array" ref="AO250">IF(R250=DGET(claves!$A$2:$AS423,R$2,{claves!$A$2;$E250}),1,0)</f>
        <v>#VALUE!</v>
      </c>
      <c r="AP250" s="436" t="str">
        <f t="array" ref="AP250">IF(S250=DGET(claves!$A$2:$AS423,S$2,{claves!$A$2;$E250}),1,0)</f>
        <v>#VALUE!</v>
      </c>
      <c r="AQ250" s="436" t="str">
        <f t="array" ref="AQ250">IF(T250=DGET(claves!$A$2:$AS423,T$2,{claves!$A$2;$E250}),1,0)</f>
        <v>#VALUE!</v>
      </c>
      <c r="AR250" s="436" t="str">
        <f t="array" ref="AR250">IF(U250=DGET(claves!$A$2:$AS423,U$2,{claves!$A$2;$E250}),1,0)</f>
        <v>#VALUE!</v>
      </c>
      <c r="AS250" s="436" t="str">
        <f t="array" ref="AS250">IF(V250=DGET(claves!$A$2:$AS423,V$2,{claves!$A$2;$E250}),1,0)</f>
        <v>#VALUE!</v>
      </c>
      <c r="AT250" s="436" t="str">
        <f t="array" ref="AT250">IF(W250=DGET(claves!$A$2:$AS423,W$2,{claves!$A$2;$E250}),1,0)</f>
        <v>#VALUE!</v>
      </c>
      <c r="AU250" s="436" t="str">
        <f t="array" ref="AU250">IF(X250=DGET(claves!$A$2:$AS423,X$2,{claves!$A$2;$E250}),1,0)</f>
        <v>#VALUE!</v>
      </c>
      <c r="AV250" s="436" t="str">
        <f t="array" ref="AV250">IF(Y250=DGET(claves!$A$2:$AS423,Y$2,{claves!$A$2;$E250}),1,0)</f>
        <v>#VALUE!</v>
      </c>
      <c r="AW250" s="436" t="str">
        <f t="array" ref="AW250">IF(Z250=DGET(claves!$A$2:$AS423,Z$2,{claves!$A$2;$E250}),1,0)</f>
        <v>#VALUE!</v>
      </c>
      <c r="AX250" s="436" t="str">
        <f t="array" ref="AX250">IF(AA250=DGET(claves!$A$2:$AS423,AA$2,{claves!$A$2;$E250}),1,0)</f>
        <v>#VALUE!</v>
      </c>
      <c r="AY250" s="436" t="str">
        <f t="array" ref="AY250">IF(AB250=DGET(claves!$A$2:$AS423,AB$2,{claves!$A$2;$E250}),1,0)</f>
        <v>#VALUE!</v>
      </c>
      <c r="AZ250" s="436" t="str">
        <f t="array" ref="AZ250">IF(AC250=DGET(claves!$A$2:$AS423,AC$2,{claves!$A$2;$E250}),1,0)</f>
        <v>#VALUE!</v>
      </c>
      <c r="BA250" s="436" t="str">
        <f t="array" ref="BA250">IF(AD250=DGET(claves!$A$2:$AS423,AD$2,{claves!$A$2;$E250}),1,0)</f>
        <v>#VALUE!</v>
      </c>
      <c r="BB250" s="436" t="str">
        <f t="array" ref="BB250">IF(AE250=DGET(claves!$A$2:$AS423,AE$2,{claves!$A$2;$E250}),1,0)</f>
        <v>#VALUE!</v>
      </c>
      <c r="BC250" s="436" t="str">
        <f t="array" ref="BC250">IF(AF250=DGET(claves!$A$2:$AS423,AF$2,{claves!$A$2;$E250}),1,0)</f>
        <v>#VALUE!</v>
      </c>
      <c r="BD250" s="437" t="str">
        <f t="shared" si="1"/>
        <v>#VALUE!</v>
      </c>
      <c r="BE250" s="435" t="s">
        <v>1468</v>
      </c>
      <c r="BF250" s="415"/>
    </row>
    <row r="251" ht="14.25" customHeight="1">
      <c r="A251" s="408">
        <v>249.0</v>
      </c>
      <c r="B251" s="153" t="s">
        <v>1927</v>
      </c>
      <c r="C251" s="153">
        <v>2024.0</v>
      </c>
      <c r="D251" s="77" t="s">
        <v>1817</v>
      </c>
      <c r="E251" s="409" t="str">
        <f>IFERROR(__xludf.DUMMYFUNCTION("ARRAYFORMULA(JOIN("""", ARRAYFORMULA(MID(SPLIT(F251, "" ""), 1, 1))))
&amp;""/""&amp;G251"),"CLC/2 Primaria")</f>
        <v>CLC/2 Primaria</v>
      </c>
      <c r="F251" s="77" t="s">
        <v>1819</v>
      </c>
      <c r="G251" s="432" t="s">
        <v>15</v>
      </c>
      <c r="H251" s="433" t="s">
        <v>1939</v>
      </c>
      <c r="I251" s="433" t="s">
        <v>1940</v>
      </c>
      <c r="J251" s="433" t="s">
        <v>1941</v>
      </c>
      <c r="K251" s="432" t="s">
        <v>1665</v>
      </c>
      <c r="L251" s="415"/>
      <c r="M251" s="434" t="s">
        <v>1661</v>
      </c>
      <c r="N251" s="434" t="s">
        <v>1660</v>
      </c>
      <c r="O251" s="434" t="s">
        <v>1659</v>
      </c>
      <c r="P251" s="434" t="s">
        <v>1661</v>
      </c>
      <c r="Q251" s="434" t="s">
        <v>1659</v>
      </c>
      <c r="R251" s="434" t="s">
        <v>1661</v>
      </c>
      <c r="S251" s="434" t="s">
        <v>1659</v>
      </c>
      <c r="T251" s="434" t="s">
        <v>1661</v>
      </c>
      <c r="U251" s="434" t="s">
        <v>1660</v>
      </c>
      <c r="V251" s="434" t="s">
        <v>1659</v>
      </c>
      <c r="W251" s="434" t="s">
        <v>1661</v>
      </c>
      <c r="X251" s="434" t="s">
        <v>1661</v>
      </c>
      <c r="Y251" s="434" t="s">
        <v>1661</v>
      </c>
      <c r="Z251" s="434" t="s">
        <v>1659</v>
      </c>
      <c r="AA251" s="434" t="s">
        <v>1660</v>
      </c>
      <c r="AB251" s="434" t="s">
        <v>1659</v>
      </c>
      <c r="AC251" s="434" t="s">
        <v>1661</v>
      </c>
      <c r="AD251" s="434" t="s">
        <v>1660</v>
      </c>
      <c r="AE251" s="434" t="s">
        <v>1661</v>
      </c>
      <c r="AF251" s="434" t="s">
        <v>1659</v>
      </c>
      <c r="AG251" s="427">
        <v>17.0</v>
      </c>
      <c r="AH251" s="438" t="s">
        <v>32</v>
      </c>
      <c r="AI251" s="415"/>
      <c r="AJ251" s="436" t="str">
        <f t="array" ref="AJ251">IF(M251=DGET(claves!$A$2:$AS423,M$2,{claves!$A$2;$E251}),1,0)</f>
        <v>#VALUE!</v>
      </c>
      <c r="AK251" s="436" t="str">
        <f t="array" ref="AK251">IF(N251=DGET(claves!$A$2:$AS423,N$2,{claves!$A$2;$E251}),1,0)</f>
        <v>#VALUE!</v>
      </c>
      <c r="AL251" s="436" t="str">
        <f t="array" ref="AL251">IF(O251=DGET(claves!$A$2:$AS423,O$2,{claves!$A$2;$E251}),1,0)</f>
        <v>#VALUE!</v>
      </c>
      <c r="AM251" s="436" t="str">
        <f t="array" ref="AM251">IF(P251=DGET(claves!$A$2:$AS423,P$2,{claves!$A$2;$E251}),1,0)</f>
        <v>#VALUE!</v>
      </c>
      <c r="AN251" s="436" t="str">
        <f t="array" ref="AN251">IF(Q251=DGET(claves!$A$2:$AS423,Q$2,{claves!$A$2;$E251}),1,0)</f>
        <v>#VALUE!</v>
      </c>
      <c r="AO251" s="436" t="str">
        <f t="array" ref="AO251">IF(R251=DGET(claves!$A$2:$AS423,R$2,{claves!$A$2;$E251}),1,0)</f>
        <v>#VALUE!</v>
      </c>
      <c r="AP251" s="436" t="str">
        <f t="array" ref="AP251">IF(S251=DGET(claves!$A$2:$AS423,S$2,{claves!$A$2;$E251}),1,0)</f>
        <v>#VALUE!</v>
      </c>
      <c r="AQ251" s="436" t="str">
        <f t="array" ref="AQ251">IF(T251=DGET(claves!$A$2:$AS423,T$2,{claves!$A$2;$E251}),1,0)</f>
        <v>#VALUE!</v>
      </c>
      <c r="AR251" s="436" t="str">
        <f t="array" ref="AR251">IF(U251=DGET(claves!$A$2:$AS423,U$2,{claves!$A$2;$E251}),1,0)</f>
        <v>#VALUE!</v>
      </c>
      <c r="AS251" s="436" t="str">
        <f t="array" ref="AS251">IF(V251=DGET(claves!$A$2:$AS423,V$2,{claves!$A$2;$E251}),1,0)</f>
        <v>#VALUE!</v>
      </c>
      <c r="AT251" s="436" t="str">
        <f t="array" ref="AT251">IF(W251=DGET(claves!$A$2:$AS423,W$2,{claves!$A$2;$E251}),1,0)</f>
        <v>#VALUE!</v>
      </c>
      <c r="AU251" s="436" t="str">
        <f t="array" ref="AU251">IF(X251=DGET(claves!$A$2:$AS423,X$2,{claves!$A$2;$E251}),1,0)</f>
        <v>#VALUE!</v>
      </c>
      <c r="AV251" s="436" t="str">
        <f t="array" ref="AV251">IF(Y251=DGET(claves!$A$2:$AS423,Y$2,{claves!$A$2;$E251}),1,0)</f>
        <v>#VALUE!</v>
      </c>
      <c r="AW251" s="436" t="str">
        <f t="array" ref="AW251">IF(Z251=DGET(claves!$A$2:$AS423,Z$2,{claves!$A$2;$E251}),1,0)</f>
        <v>#VALUE!</v>
      </c>
      <c r="AX251" s="436" t="str">
        <f t="array" ref="AX251">IF(AA251=DGET(claves!$A$2:$AS423,AA$2,{claves!$A$2;$E251}),1,0)</f>
        <v>#VALUE!</v>
      </c>
      <c r="AY251" s="436" t="str">
        <f t="array" ref="AY251">IF(AB251=DGET(claves!$A$2:$AS423,AB$2,{claves!$A$2;$E251}),1,0)</f>
        <v>#VALUE!</v>
      </c>
      <c r="AZ251" s="436" t="str">
        <f t="array" ref="AZ251">IF(AC251=DGET(claves!$A$2:$AS423,AC$2,{claves!$A$2;$E251}),1,0)</f>
        <v>#VALUE!</v>
      </c>
      <c r="BA251" s="436" t="str">
        <f t="array" ref="BA251">IF(AD251=DGET(claves!$A$2:$AS423,AD$2,{claves!$A$2;$E251}),1,0)</f>
        <v>#VALUE!</v>
      </c>
      <c r="BB251" s="436" t="str">
        <f t="array" ref="BB251">IF(AE251=DGET(claves!$A$2:$AS423,AE$2,{claves!$A$2;$E251}),1,0)</f>
        <v>#VALUE!</v>
      </c>
      <c r="BC251" s="436" t="str">
        <f t="array" ref="BC251">IF(AF251=DGET(claves!$A$2:$AS423,AF$2,{claves!$A$2;$E251}),1,0)</f>
        <v>#VALUE!</v>
      </c>
      <c r="BD251" s="437" t="str">
        <f t="shared" si="1"/>
        <v>#VALUE!</v>
      </c>
      <c r="BE251" s="435"/>
      <c r="BF251" s="415"/>
    </row>
    <row r="252" ht="14.25" customHeight="1">
      <c r="A252" s="408">
        <v>250.0</v>
      </c>
      <c r="B252" s="153" t="s">
        <v>1927</v>
      </c>
      <c r="C252" s="153">
        <v>2024.0</v>
      </c>
      <c r="D252" s="77" t="s">
        <v>362</v>
      </c>
      <c r="E252" s="409" t="str">
        <f>IFERROR(__xludf.DUMMYFUNCTION("ARRAYFORMULA(JOIN("""", ARRAYFORMULA(MID(SPLIT(F252, "" ""), 1, 1))))
&amp;""/""&amp;G252"),"MC/2 Primaria")</f>
        <v>MC/2 Primaria</v>
      </c>
      <c r="F252" s="77" t="s">
        <v>1654</v>
      </c>
      <c r="G252" s="432" t="s">
        <v>15</v>
      </c>
      <c r="H252" s="433" t="s">
        <v>1942</v>
      </c>
      <c r="I252" s="433" t="s">
        <v>1943</v>
      </c>
      <c r="J252" s="433" t="s">
        <v>1944</v>
      </c>
      <c r="K252" s="433" t="s">
        <v>1658</v>
      </c>
      <c r="L252" s="415"/>
      <c r="M252" s="434" t="s">
        <v>1659</v>
      </c>
      <c r="N252" s="434" t="s">
        <v>1659</v>
      </c>
      <c r="O252" s="434" t="s">
        <v>1661</v>
      </c>
      <c r="P252" s="434" t="s">
        <v>1659</v>
      </c>
      <c r="Q252" s="434" t="s">
        <v>1660</v>
      </c>
      <c r="R252" s="434" t="s">
        <v>1660</v>
      </c>
      <c r="S252" s="434" t="s">
        <v>1661</v>
      </c>
      <c r="T252" s="434" t="s">
        <v>1659</v>
      </c>
      <c r="U252" s="434" t="s">
        <v>1661</v>
      </c>
      <c r="V252" s="434" t="s">
        <v>1660</v>
      </c>
      <c r="W252" s="434" t="s">
        <v>1660</v>
      </c>
      <c r="X252" s="434" t="s">
        <v>1659</v>
      </c>
      <c r="Y252" s="434" t="s">
        <v>1660</v>
      </c>
      <c r="Z252" s="434" t="s">
        <v>1661</v>
      </c>
      <c r="AA252" s="434" t="s">
        <v>1660</v>
      </c>
      <c r="AB252" s="434" t="s">
        <v>1661</v>
      </c>
      <c r="AC252" s="434" t="s">
        <v>1661</v>
      </c>
      <c r="AD252" s="434" t="s">
        <v>1660</v>
      </c>
      <c r="AE252" s="434" t="s">
        <v>1661</v>
      </c>
      <c r="AF252" s="434" t="s">
        <v>1659</v>
      </c>
      <c r="AG252" s="427">
        <v>9.0</v>
      </c>
      <c r="AH252" s="435" t="s">
        <v>18</v>
      </c>
      <c r="AI252" s="415"/>
      <c r="AJ252" s="436" t="str">
        <f t="array" ref="AJ252">IF(M252=DGET(claves!$A$2:$AS423,M$2,{claves!$A$2;$E252}),1,0)</f>
        <v>#VALUE!</v>
      </c>
      <c r="AK252" s="436" t="str">
        <f t="array" ref="AK252">IF(N252=DGET(claves!$A$2:$AS423,N$2,{claves!$A$2;$E252}),1,0)</f>
        <v>#VALUE!</v>
      </c>
      <c r="AL252" s="436" t="str">
        <f t="array" ref="AL252">IF(O252=DGET(claves!$A$2:$AS423,O$2,{claves!$A$2;$E252}),1,0)</f>
        <v>#VALUE!</v>
      </c>
      <c r="AM252" s="436" t="str">
        <f t="array" ref="AM252">IF(P252=DGET(claves!$A$2:$AS423,P$2,{claves!$A$2;$E252}),1,0)</f>
        <v>#VALUE!</v>
      </c>
      <c r="AN252" s="436" t="str">
        <f t="array" ref="AN252">IF(Q252=DGET(claves!$A$2:$AS423,Q$2,{claves!$A$2;$E252}),1,0)</f>
        <v>#VALUE!</v>
      </c>
      <c r="AO252" s="436" t="str">
        <f t="array" ref="AO252">IF(R252=DGET(claves!$A$2:$AS423,R$2,{claves!$A$2;$E252}),1,0)</f>
        <v>#VALUE!</v>
      </c>
      <c r="AP252" s="436" t="str">
        <f t="array" ref="AP252">IF(S252=DGET(claves!$A$2:$AS423,S$2,{claves!$A$2;$E252}),1,0)</f>
        <v>#VALUE!</v>
      </c>
      <c r="AQ252" s="436" t="str">
        <f t="array" ref="AQ252">IF(T252=DGET(claves!$A$2:$AS423,T$2,{claves!$A$2;$E252}),1,0)</f>
        <v>#VALUE!</v>
      </c>
      <c r="AR252" s="436" t="str">
        <f t="array" ref="AR252">IF(U252=DGET(claves!$A$2:$AS423,U$2,{claves!$A$2;$E252}),1,0)</f>
        <v>#VALUE!</v>
      </c>
      <c r="AS252" s="436" t="str">
        <f t="array" ref="AS252">IF(V252=DGET(claves!$A$2:$AS423,V$2,{claves!$A$2;$E252}),1,0)</f>
        <v>#VALUE!</v>
      </c>
      <c r="AT252" s="436" t="str">
        <f t="array" ref="AT252">IF(W252=DGET(claves!$A$2:$AS423,W$2,{claves!$A$2;$E252}),1,0)</f>
        <v>#VALUE!</v>
      </c>
      <c r="AU252" s="436" t="str">
        <f t="array" ref="AU252">IF(X252=DGET(claves!$A$2:$AS423,X$2,{claves!$A$2;$E252}),1,0)</f>
        <v>#VALUE!</v>
      </c>
      <c r="AV252" s="436" t="str">
        <f t="array" ref="AV252">IF(Y252=DGET(claves!$A$2:$AS423,Y$2,{claves!$A$2;$E252}),1,0)</f>
        <v>#VALUE!</v>
      </c>
      <c r="AW252" s="436" t="str">
        <f t="array" ref="AW252">IF(Z252=DGET(claves!$A$2:$AS423,Z$2,{claves!$A$2;$E252}),1,0)</f>
        <v>#VALUE!</v>
      </c>
      <c r="AX252" s="436" t="str">
        <f t="array" ref="AX252">IF(AA252=DGET(claves!$A$2:$AS423,AA$2,{claves!$A$2;$E252}),1,0)</f>
        <v>#VALUE!</v>
      </c>
      <c r="AY252" s="436" t="str">
        <f t="array" ref="AY252">IF(AB252=DGET(claves!$A$2:$AS423,AB$2,{claves!$A$2;$E252}),1,0)</f>
        <v>#VALUE!</v>
      </c>
      <c r="AZ252" s="436" t="str">
        <f t="array" ref="AZ252">IF(AC252=DGET(claves!$A$2:$AS423,AC$2,{claves!$A$2;$E252}),1,0)</f>
        <v>#VALUE!</v>
      </c>
      <c r="BA252" s="436" t="str">
        <f t="array" ref="BA252">IF(AD252=DGET(claves!$A$2:$AS423,AD$2,{claves!$A$2;$E252}),1,0)</f>
        <v>#VALUE!</v>
      </c>
      <c r="BB252" s="436" t="str">
        <f t="array" ref="BB252">IF(AE252=DGET(claves!$A$2:$AS423,AE$2,{claves!$A$2;$E252}),1,0)</f>
        <v>#VALUE!</v>
      </c>
      <c r="BC252" s="436" t="str">
        <f t="array" ref="BC252">IF(AF252=DGET(claves!$A$2:$AS423,AF$2,{claves!$A$2;$E252}),1,0)</f>
        <v>#VALUE!</v>
      </c>
      <c r="BD252" s="437" t="str">
        <f t="shared" si="1"/>
        <v>#VALUE!</v>
      </c>
      <c r="BE252" s="435" t="s">
        <v>1468</v>
      </c>
      <c r="BF252" s="415"/>
    </row>
    <row r="253" ht="14.25" customHeight="1">
      <c r="A253" s="408">
        <v>251.0</v>
      </c>
      <c r="B253" s="153" t="s">
        <v>1927</v>
      </c>
      <c r="C253" s="153">
        <v>2024.0</v>
      </c>
      <c r="D253" s="77" t="s">
        <v>1817</v>
      </c>
      <c r="E253" s="409" t="str">
        <f>IFERROR(__xludf.DUMMYFUNCTION("ARRAYFORMULA(JOIN("""", ARRAYFORMULA(MID(SPLIT(F253, "" ""), 1, 1))))
&amp;""/""&amp;G253"),"CLC/2 Primaria")</f>
        <v>CLC/2 Primaria</v>
      </c>
      <c r="F253" s="77" t="s">
        <v>1819</v>
      </c>
      <c r="G253" s="432" t="s">
        <v>15</v>
      </c>
      <c r="H253" s="433" t="s">
        <v>1942</v>
      </c>
      <c r="I253" s="433" t="s">
        <v>1943</v>
      </c>
      <c r="J253" s="433" t="s">
        <v>1944</v>
      </c>
      <c r="K253" s="433" t="s">
        <v>1658</v>
      </c>
      <c r="L253" s="415"/>
      <c r="M253" s="434" t="s">
        <v>1661</v>
      </c>
      <c r="N253" s="434" t="s">
        <v>1659</v>
      </c>
      <c r="O253" s="434" t="s">
        <v>1659</v>
      </c>
      <c r="P253" s="434" t="s">
        <v>1661</v>
      </c>
      <c r="Q253" s="434" t="s">
        <v>1659</v>
      </c>
      <c r="R253" s="434" t="s">
        <v>1661</v>
      </c>
      <c r="S253" s="434" t="s">
        <v>1659</v>
      </c>
      <c r="T253" s="434" t="s">
        <v>1661</v>
      </c>
      <c r="U253" s="434" t="s">
        <v>1660</v>
      </c>
      <c r="V253" s="434" t="s">
        <v>1659</v>
      </c>
      <c r="W253" s="434" t="s">
        <v>1660</v>
      </c>
      <c r="X253" s="434" t="s">
        <v>1661</v>
      </c>
      <c r="Y253" s="434" t="s">
        <v>1660</v>
      </c>
      <c r="Z253" s="434" t="s">
        <v>1661</v>
      </c>
      <c r="AA253" s="434" t="s">
        <v>1660</v>
      </c>
      <c r="AB253" s="434" t="s">
        <v>1661</v>
      </c>
      <c r="AC253" s="434" t="s">
        <v>1661</v>
      </c>
      <c r="AD253" s="434" t="s">
        <v>1659</v>
      </c>
      <c r="AE253" s="434" t="s">
        <v>1661</v>
      </c>
      <c r="AF253" s="434" t="s">
        <v>1660</v>
      </c>
      <c r="AG253" s="427">
        <v>12.0</v>
      </c>
      <c r="AH253" s="435" t="s">
        <v>24</v>
      </c>
      <c r="AI253" s="415"/>
      <c r="AJ253" s="436" t="str">
        <f t="array" ref="AJ253">IF(M253=DGET(claves!$A$2:$AS423,M$2,{claves!$A$2;$E253}),1,0)</f>
        <v>#VALUE!</v>
      </c>
      <c r="AK253" s="436" t="str">
        <f t="array" ref="AK253">IF(N253=DGET(claves!$A$2:$AS423,N$2,{claves!$A$2;$E253}),1,0)</f>
        <v>#VALUE!</v>
      </c>
      <c r="AL253" s="436" t="str">
        <f t="array" ref="AL253">IF(O253=DGET(claves!$A$2:$AS423,O$2,{claves!$A$2;$E253}),1,0)</f>
        <v>#VALUE!</v>
      </c>
      <c r="AM253" s="436" t="str">
        <f t="array" ref="AM253">IF(P253=DGET(claves!$A$2:$AS423,P$2,{claves!$A$2;$E253}),1,0)</f>
        <v>#VALUE!</v>
      </c>
      <c r="AN253" s="436" t="str">
        <f t="array" ref="AN253">IF(Q253=DGET(claves!$A$2:$AS423,Q$2,{claves!$A$2;$E253}),1,0)</f>
        <v>#VALUE!</v>
      </c>
      <c r="AO253" s="436" t="str">
        <f t="array" ref="AO253">IF(R253=DGET(claves!$A$2:$AS423,R$2,{claves!$A$2;$E253}),1,0)</f>
        <v>#VALUE!</v>
      </c>
      <c r="AP253" s="436" t="str">
        <f t="array" ref="AP253">IF(S253=DGET(claves!$A$2:$AS423,S$2,{claves!$A$2;$E253}),1,0)</f>
        <v>#VALUE!</v>
      </c>
      <c r="AQ253" s="436" t="str">
        <f t="array" ref="AQ253">IF(T253=DGET(claves!$A$2:$AS423,T$2,{claves!$A$2;$E253}),1,0)</f>
        <v>#VALUE!</v>
      </c>
      <c r="AR253" s="436" t="str">
        <f t="array" ref="AR253">IF(U253=DGET(claves!$A$2:$AS423,U$2,{claves!$A$2;$E253}),1,0)</f>
        <v>#VALUE!</v>
      </c>
      <c r="AS253" s="436" t="str">
        <f t="array" ref="AS253">IF(V253=DGET(claves!$A$2:$AS423,V$2,{claves!$A$2;$E253}),1,0)</f>
        <v>#VALUE!</v>
      </c>
      <c r="AT253" s="436" t="str">
        <f t="array" ref="AT253">IF(W253=DGET(claves!$A$2:$AS423,W$2,{claves!$A$2;$E253}),1,0)</f>
        <v>#VALUE!</v>
      </c>
      <c r="AU253" s="436" t="str">
        <f t="array" ref="AU253">IF(X253=DGET(claves!$A$2:$AS423,X$2,{claves!$A$2;$E253}),1,0)</f>
        <v>#VALUE!</v>
      </c>
      <c r="AV253" s="436" t="str">
        <f t="array" ref="AV253">IF(Y253=DGET(claves!$A$2:$AS423,Y$2,{claves!$A$2;$E253}),1,0)</f>
        <v>#VALUE!</v>
      </c>
      <c r="AW253" s="436" t="str">
        <f t="array" ref="AW253">IF(Z253=DGET(claves!$A$2:$AS423,Z$2,{claves!$A$2;$E253}),1,0)</f>
        <v>#VALUE!</v>
      </c>
      <c r="AX253" s="436" t="str">
        <f t="array" ref="AX253">IF(AA253=DGET(claves!$A$2:$AS423,AA$2,{claves!$A$2;$E253}),1,0)</f>
        <v>#VALUE!</v>
      </c>
      <c r="AY253" s="436" t="str">
        <f t="array" ref="AY253">IF(AB253=DGET(claves!$A$2:$AS423,AB$2,{claves!$A$2;$E253}),1,0)</f>
        <v>#VALUE!</v>
      </c>
      <c r="AZ253" s="436" t="str">
        <f t="array" ref="AZ253">IF(AC253=DGET(claves!$A$2:$AS423,AC$2,{claves!$A$2;$E253}),1,0)</f>
        <v>#VALUE!</v>
      </c>
      <c r="BA253" s="436" t="str">
        <f t="array" ref="BA253">IF(AD253=DGET(claves!$A$2:$AS423,AD$2,{claves!$A$2;$E253}),1,0)</f>
        <v>#VALUE!</v>
      </c>
      <c r="BB253" s="436" t="str">
        <f t="array" ref="BB253">IF(AE253=DGET(claves!$A$2:$AS423,AE$2,{claves!$A$2;$E253}),1,0)</f>
        <v>#VALUE!</v>
      </c>
      <c r="BC253" s="436" t="str">
        <f t="array" ref="BC253">IF(AF253=DGET(claves!$A$2:$AS423,AF$2,{claves!$A$2;$E253}),1,0)</f>
        <v>#VALUE!</v>
      </c>
      <c r="BD253" s="437" t="str">
        <f t="shared" si="1"/>
        <v>#VALUE!</v>
      </c>
      <c r="BE253" s="435"/>
      <c r="BF253" s="415"/>
    </row>
    <row r="254" ht="14.25" customHeight="1">
      <c r="A254" s="408">
        <v>252.0</v>
      </c>
      <c r="B254" s="153" t="s">
        <v>1927</v>
      </c>
      <c r="C254" s="153">
        <v>2024.0</v>
      </c>
      <c r="D254" s="77" t="s">
        <v>362</v>
      </c>
      <c r="E254" s="409" t="str">
        <f>IFERROR(__xludf.DUMMYFUNCTION("ARRAYFORMULA(JOIN("""", ARRAYFORMULA(MID(SPLIT(F254, "" ""), 1, 1))))
&amp;""/""&amp;G254"),"MC/2 Primaria")</f>
        <v>MC/2 Primaria</v>
      </c>
      <c r="F254" s="77" t="s">
        <v>1654</v>
      </c>
      <c r="G254" s="432" t="s">
        <v>15</v>
      </c>
      <c r="H254" s="433" t="s">
        <v>1945</v>
      </c>
      <c r="I254" s="433" t="s">
        <v>1946</v>
      </c>
      <c r="J254" s="433" t="s">
        <v>1947</v>
      </c>
      <c r="K254" s="432" t="s">
        <v>1665</v>
      </c>
      <c r="L254" s="415"/>
      <c r="M254" s="434" t="s">
        <v>1659</v>
      </c>
      <c r="N254" s="434" t="s">
        <v>1660</v>
      </c>
      <c r="O254" s="434" t="s">
        <v>1660</v>
      </c>
      <c r="P254" s="434" t="s">
        <v>1661</v>
      </c>
      <c r="Q254" s="434" t="s">
        <v>1660</v>
      </c>
      <c r="R254" s="434" t="s">
        <v>1660</v>
      </c>
      <c r="S254" s="434" t="s">
        <v>1661</v>
      </c>
      <c r="T254" s="434" t="s">
        <v>1661</v>
      </c>
      <c r="U254" s="434" t="s">
        <v>1659</v>
      </c>
      <c r="V254" s="434" t="s">
        <v>1659</v>
      </c>
      <c r="W254" s="434" t="s">
        <v>1659</v>
      </c>
      <c r="X254" s="434" t="s">
        <v>1661</v>
      </c>
      <c r="Y254" s="434" t="s">
        <v>1661</v>
      </c>
      <c r="Z254" s="434" t="s">
        <v>1659</v>
      </c>
      <c r="AA254" s="434" t="s">
        <v>1661</v>
      </c>
      <c r="AB254" s="434" t="s">
        <v>1661</v>
      </c>
      <c r="AC254" s="434" t="s">
        <v>1661</v>
      </c>
      <c r="AD254" s="434" t="s">
        <v>1661</v>
      </c>
      <c r="AE254" s="434" t="s">
        <v>1661</v>
      </c>
      <c r="AF254" s="434" t="s">
        <v>1660</v>
      </c>
      <c r="AG254" s="427">
        <v>8.0</v>
      </c>
      <c r="AH254" s="435" t="s">
        <v>18</v>
      </c>
      <c r="AI254" s="415"/>
      <c r="AJ254" s="436" t="str">
        <f t="array" ref="AJ254">IF(M254=DGET(claves!$A$2:$AS423,M$2,{claves!$A$2;$E254}),1,0)</f>
        <v>#VALUE!</v>
      </c>
      <c r="AK254" s="436" t="str">
        <f t="array" ref="AK254">IF(N254=DGET(claves!$A$2:$AS423,N$2,{claves!$A$2;$E254}),1,0)</f>
        <v>#VALUE!</v>
      </c>
      <c r="AL254" s="436" t="str">
        <f t="array" ref="AL254">IF(O254=DGET(claves!$A$2:$AS423,O$2,{claves!$A$2;$E254}),1,0)</f>
        <v>#VALUE!</v>
      </c>
      <c r="AM254" s="436" t="str">
        <f t="array" ref="AM254">IF(P254=DGET(claves!$A$2:$AS423,P$2,{claves!$A$2;$E254}),1,0)</f>
        <v>#VALUE!</v>
      </c>
      <c r="AN254" s="436" t="str">
        <f t="array" ref="AN254">IF(Q254=DGET(claves!$A$2:$AS423,Q$2,{claves!$A$2;$E254}),1,0)</f>
        <v>#VALUE!</v>
      </c>
      <c r="AO254" s="436" t="str">
        <f t="array" ref="AO254">IF(R254=DGET(claves!$A$2:$AS423,R$2,{claves!$A$2;$E254}),1,0)</f>
        <v>#VALUE!</v>
      </c>
      <c r="AP254" s="436" t="str">
        <f t="array" ref="AP254">IF(S254=DGET(claves!$A$2:$AS423,S$2,{claves!$A$2;$E254}),1,0)</f>
        <v>#VALUE!</v>
      </c>
      <c r="AQ254" s="436" t="str">
        <f t="array" ref="AQ254">IF(T254=DGET(claves!$A$2:$AS423,T$2,{claves!$A$2;$E254}),1,0)</f>
        <v>#VALUE!</v>
      </c>
      <c r="AR254" s="436" t="str">
        <f t="array" ref="AR254">IF(U254=DGET(claves!$A$2:$AS423,U$2,{claves!$A$2;$E254}),1,0)</f>
        <v>#VALUE!</v>
      </c>
      <c r="AS254" s="436" t="str">
        <f t="array" ref="AS254">IF(V254=DGET(claves!$A$2:$AS423,V$2,{claves!$A$2;$E254}),1,0)</f>
        <v>#VALUE!</v>
      </c>
      <c r="AT254" s="436" t="str">
        <f t="array" ref="AT254">IF(W254=DGET(claves!$A$2:$AS423,W$2,{claves!$A$2;$E254}),1,0)</f>
        <v>#VALUE!</v>
      </c>
      <c r="AU254" s="436" t="str">
        <f t="array" ref="AU254">IF(X254=DGET(claves!$A$2:$AS423,X$2,{claves!$A$2;$E254}),1,0)</f>
        <v>#VALUE!</v>
      </c>
      <c r="AV254" s="436" t="str">
        <f t="array" ref="AV254">IF(Y254=DGET(claves!$A$2:$AS423,Y$2,{claves!$A$2;$E254}),1,0)</f>
        <v>#VALUE!</v>
      </c>
      <c r="AW254" s="436" t="str">
        <f t="array" ref="AW254">IF(Z254=DGET(claves!$A$2:$AS423,Z$2,{claves!$A$2;$E254}),1,0)</f>
        <v>#VALUE!</v>
      </c>
      <c r="AX254" s="436" t="str">
        <f t="array" ref="AX254">IF(AA254=DGET(claves!$A$2:$AS423,AA$2,{claves!$A$2;$E254}),1,0)</f>
        <v>#VALUE!</v>
      </c>
      <c r="AY254" s="436" t="str">
        <f t="array" ref="AY254">IF(AB254=DGET(claves!$A$2:$AS423,AB$2,{claves!$A$2;$E254}),1,0)</f>
        <v>#VALUE!</v>
      </c>
      <c r="AZ254" s="436" t="str">
        <f t="array" ref="AZ254">IF(AC254=DGET(claves!$A$2:$AS423,AC$2,{claves!$A$2;$E254}),1,0)</f>
        <v>#VALUE!</v>
      </c>
      <c r="BA254" s="436" t="str">
        <f t="array" ref="BA254">IF(AD254=DGET(claves!$A$2:$AS423,AD$2,{claves!$A$2;$E254}),1,0)</f>
        <v>#VALUE!</v>
      </c>
      <c r="BB254" s="436" t="str">
        <f t="array" ref="BB254">IF(AE254=DGET(claves!$A$2:$AS423,AE$2,{claves!$A$2;$E254}),1,0)</f>
        <v>#VALUE!</v>
      </c>
      <c r="BC254" s="436" t="str">
        <f t="array" ref="BC254">IF(AF254=DGET(claves!$A$2:$AS423,AF$2,{claves!$A$2;$E254}),1,0)</f>
        <v>#VALUE!</v>
      </c>
      <c r="BD254" s="437" t="str">
        <f t="shared" si="1"/>
        <v>#VALUE!</v>
      </c>
      <c r="BE254" s="435" t="s">
        <v>1468</v>
      </c>
      <c r="BF254" s="415"/>
    </row>
    <row r="255" ht="14.25" customHeight="1">
      <c r="A255" s="408">
        <v>253.0</v>
      </c>
      <c r="B255" s="153" t="s">
        <v>1927</v>
      </c>
      <c r="C255" s="153">
        <v>2024.0</v>
      </c>
      <c r="D255" s="77" t="s">
        <v>1817</v>
      </c>
      <c r="E255" s="409" t="str">
        <f>IFERROR(__xludf.DUMMYFUNCTION("ARRAYFORMULA(JOIN("""", ARRAYFORMULA(MID(SPLIT(F255, "" ""), 1, 1))))
&amp;""/""&amp;G255"),"CLC/2 Primaria")</f>
        <v>CLC/2 Primaria</v>
      </c>
      <c r="F255" s="77" t="s">
        <v>1819</v>
      </c>
      <c r="G255" s="432" t="s">
        <v>15</v>
      </c>
      <c r="H255" s="433" t="s">
        <v>1945</v>
      </c>
      <c r="I255" s="433" t="s">
        <v>1946</v>
      </c>
      <c r="J255" s="433" t="s">
        <v>1947</v>
      </c>
      <c r="K255" s="432" t="s">
        <v>1665</v>
      </c>
      <c r="L255" s="415"/>
      <c r="M255" s="434" t="s">
        <v>1661</v>
      </c>
      <c r="N255" s="434" t="s">
        <v>1660</v>
      </c>
      <c r="O255" s="434" t="s">
        <v>1659</v>
      </c>
      <c r="P255" s="434" t="s">
        <v>1661</v>
      </c>
      <c r="Q255" s="434" t="s">
        <v>1659</v>
      </c>
      <c r="R255" s="434" t="s">
        <v>1661</v>
      </c>
      <c r="S255" s="434" t="s">
        <v>1659</v>
      </c>
      <c r="T255" s="434" t="s">
        <v>1661</v>
      </c>
      <c r="U255" s="434" t="s">
        <v>1660</v>
      </c>
      <c r="V255" s="434" t="s">
        <v>1660</v>
      </c>
      <c r="W255" s="434" t="s">
        <v>1659</v>
      </c>
      <c r="X255" s="434" t="s">
        <v>1660</v>
      </c>
      <c r="Y255" s="434" t="s">
        <v>1660</v>
      </c>
      <c r="Z255" s="434" t="s">
        <v>1659</v>
      </c>
      <c r="AA255" s="434" t="s">
        <v>1660</v>
      </c>
      <c r="AB255" s="434" t="s">
        <v>1659</v>
      </c>
      <c r="AC255" s="434" t="s">
        <v>1661</v>
      </c>
      <c r="AD255" s="434" t="s">
        <v>1660</v>
      </c>
      <c r="AE255" s="434" t="s">
        <v>1659</v>
      </c>
      <c r="AF255" s="434" t="s">
        <v>1659</v>
      </c>
      <c r="AG255" s="427">
        <v>17.0</v>
      </c>
      <c r="AH255" s="438" t="s">
        <v>32</v>
      </c>
      <c r="AI255" s="415"/>
      <c r="AJ255" s="436" t="str">
        <f t="array" ref="AJ255">IF(M255=DGET(claves!$A$2:$AS423,M$2,{claves!$A$2;$E255}),1,0)</f>
        <v>#VALUE!</v>
      </c>
      <c r="AK255" s="436" t="str">
        <f t="array" ref="AK255">IF(N255=DGET(claves!$A$2:$AS423,N$2,{claves!$A$2;$E255}),1,0)</f>
        <v>#VALUE!</v>
      </c>
      <c r="AL255" s="436" t="str">
        <f t="array" ref="AL255">IF(O255=DGET(claves!$A$2:$AS423,O$2,{claves!$A$2;$E255}),1,0)</f>
        <v>#VALUE!</v>
      </c>
      <c r="AM255" s="436" t="str">
        <f t="array" ref="AM255">IF(P255=DGET(claves!$A$2:$AS423,P$2,{claves!$A$2;$E255}),1,0)</f>
        <v>#VALUE!</v>
      </c>
      <c r="AN255" s="436" t="str">
        <f t="array" ref="AN255">IF(Q255=DGET(claves!$A$2:$AS423,Q$2,{claves!$A$2;$E255}),1,0)</f>
        <v>#VALUE!</v>
      </c>
      <c r="AO255" s="436" t="str">
        <f t="array" ref="AO255">IF(R255=DGET(claves!$A$2:$AS423,R$2,{claves!$A$2;$E255}),1,0)</f>
        <v>#VALUE!</v>
      </c>
      <c r="AP255" s="436" t="str">
        <f t="array" ref="AP255">IF(S255=DGET(claves!$A$2:$AS423,S$2,{claves!$A$2;$E255}),1,0)</f>
        <v>#VALUE!</v>
      </c>
      <c r="AQ255" s="436" t="str">
        <f t="array" ref="AQ255">IF(T255=DGET(claves!$A$2:$AS423,T$2,{claves!$A$2;$E255}),1,0)</f>
        <v>#VALUE!</v>
      </c>
      <c r="AR255" s="436" t="str">
        <f t="array" ref="AR255">IF(U255=DGET(claves!$A$2:$AS423,U$2,{claves!$A$2;$E255}),1,0)</f>
        <v>#VALUE!</v>
      </c>
      <c r="AS255" s="436" t="str">
        <f t="array" ref="AS255">IF(V255=DGET(claves!$A$2:$AS423,V$2,{claves!$A$2;$E255}),1,0)</f>
        <v>#VALUE!</v>
      </c>
      <c r="AT255" s="436" t="str">
        <f t="array" ref="AT255">IF(W255=DGET(claves!$A$2:$AS423,W$2,{claves!$A$2;$E255}),1,0)</f>
        <v>#VALUE!</v>
      </c>
      <c r="AU255" s="436" t="str">
        <f t="array" ref="AU255">IF(X255=DGET(claves!$A$2:$AS423,X$2,{claves!$A$2;$E255}),1,0)</f>
        <v>#VALUE!</v>
      </c>
      <c r="AV255" s="436" t="str">
        <f t="array" ref="AV255">IF(Y255=DGET(claves!$A$2:$AS423,Y$2,{claves!$A$2;$E255}),1,0)</f>
        <v>#VALUE!</v>
      </c>
      <c r="AW255" s="436" t="str">
        <f t="array" ref="AW255">IF(Z255=DGET(claves!$A$2:$AS423,Z$2,{claves!$A$2;$E255}),1,0)</f>
        <v>#VALUE!</v>
      </c>
      <c r="AX255" s="436" t="str">
        <f t="array" ref="AX255">IF(AA255=DGET(claves!$A$2:$AS423,AA$2,{claves!$A$2;$E255}),1,0)</f>
        <v>#VALUE!</v>
      </c>
      <c r="AY255" s="436" t="str">
        <f t="array" ref="AY255">IF(AB255=DGET(claves!$A$2:$AS423,AB$2,{claves!$A$2;$E255}),1,0)</f>
        <v>#VALUE!</v>
      </c>
      <c r="AZ255" s="436" t="str">
        <f t="array" ref="AZ255">IF(AC255=DGET(claves!$A$2:$AS423,AC$2,{claves!$A$2;$E255}),1,0)</f>
        <v>#VALUE!</v>
      </c>
      <c r="BA255" s="436" t="str">
        <f t="array" ref="BA255">IF(AD255=DGET(claves!$A$2:$AS423,AD$2,{claves!$A$2;$E255}),1,0)</f>
        <v>#VALUE!</v>
      </c>
      <c r="BB255" s="436" t="str">
        <f t="array" ref="BB255">IF(AE255=DGET(claves!$A$2:$AS423,AE$2,{claves!$A$2;$E255}),1,0)</f>
        <v>#VALUE!</v>
      </c>
      <c r="BC255" s="436" t="str">
        <f t="array" ref="BC255">IF(AF255=DGET(claves!$A$2:$AS423,AF$2,{claves!$A$2;$E255}),1,0)</f>
        <v>#VALUE!</v>
      </c>
      <c r="BD255" s="437" t="str">
        <f t="shared" si="1"/>
        <v>#VALUE!</v>
      </c>
      <c r="BE255" s="435"/>
      <c r="BF255" s="415"/>
    </row>
    <row r="256" ht="14.25" customHeight="1">
      <c r="A256" s="408">
        <v>254.0</v>
      </c>
      <c r="B256" s="153" t="s">
        <v>1927</v>
      </c>
      <c r="C256" s="153">
        <v>2024.0</v>
      </c>
      <c r="D256" s="77" t="s">
        <v>362</v>
      </c>
      <c r="E256" s="409" t="str">
        <f>IFERROR(__xludf.DUMMYFUNCTION("ARRAYFORMULA(JOIN("""", ARRAYFORMULA(MID(SPLIT(F256, "" ""), 1, 1))))
&amp;""/""&amp;G256"),"MC/2 Primaria")</f>
        <v>MC/2 Primaria</v>
      </c>
      <c r="F256" s="77" t="s">
        <v>1654</v>
      </c>
      <c r="G256" s="432" t="s">
        <v>15</v>
      </c>
      <c r="H256" s="433" t="s">
        <v>1737</v>
      </c>
      <c r="I256" s="433" t="s">
        <v>1670</v>
      </c>
      <c r="J256" s="433" t="s">
        <v>1948</v>
      </c>
      <c r="K256" s="433" t="s">
        <v>1658</v>
      </c>
      <c r="L256" s="415"/>
      <c r="M256" s="434" t="s">
        <v>1660</v>
      </c>
      <c r="N256" s="434" t="s">
        <v>1661</v>
      </c>
      <c r="O256" s="434" t="s">
        <v>1660</v>
      </c>
      <c r="P256" s="434" t="s">
        <v>1659</v>
      </c>
      <c r="Q256" s="434" t="s">
        <v>1659</v>
      </c>
      <c r="R256" s="434" t="s">
        <v>1660</v>
      </c>
      <c r="S256" s="434" t="s">
        <v>1659</v>
      </c>
      <c r="T256" s="434" t="s">
        <v>1661</v>
      </c>
      <c r="U256" s="434" t="s">
        <v>1661</v>
      </c>
      <c r="V256" s="434" t="s">
        <v>1660</v>
      </c>
      <c r="W256" s="434" t="s">
        <v>1661</v>
      </c>
      <c r="X256" s="434" t="s">
        <v>1660</v>
      </c>
      <c r="Y256" s="434" t="s">
        <v>1661</v>
      </c>
      <c r="Z256" s="434" t="s">
        <v>1661</v>
      </c>
      <c r="AA256" s="434" t="s">
        <v>1659</v>
      </c>
      <c r="AB256" s="434" t="s">
        <v>1661</v>
      </c>
      <c r="AC256" s="434" t="s">
        <v>1659</v>
      </c>
      <c r="AD256" s="434" t="s">
        <v>1660</v>
      </c>
      <c r="AE256" s="434" t="s">
        <v>1661</v>
      </c>
      <c r="AF256" s="434" t="s">
        <v>1659</v>
      </c>
      <c r="AG256" s="427">
        <v>16.0</v>
      </c>
      <c r="AH256" s="435" t="s">
        <v>24</v>
      </c>
      <c r="AI256" s="415"/>
      <c r="AJ256" s="436" t="str">
        <f t="array" ref="AJ256">IF(M256=DGET(claves!$A$2:$AS423,M$2,{claves!$A$2;$E256}),1,0)</f>
        <v>#VALUE!</v>
      </c>
      <c r="AK256" s="436" t="str">
        <f t="array" ref="AK256">IF(N256=DGET(claves!$A$2:$AS423,N$2,{claves!$A$2;$E256}),1,0)</f>
        <v>#VALUE!</v>
      </c>
      <c r="AL256" s="436" t="str">
        <f t="array" ref="AL256">IF(O256=DGET(claves!$A$2:$AS423,O$2,{claves!$A$2;$E256}),1,0)</f>
        <v>#VALUE!</v>
      </c>
      <c r="AM256" s="436" t="str">
        <f t="array" ref="AM256">IF(P256=DGET(claves!$A$2:$AS423,P$2,{claves!$A$2;$E256}),1,0)</f>
        <v>#VALUE!</v>
      </c>
      <c r="AN256" s="436" t="str">
        <f t="array" ref="AN256">IF(Q256=DGET(claves!$A$2:$AS423,Q$2,{claves!$A$2;$E256}),1,0)</f>
        <v>#VALUE!</v>
      </c>
      <c r="AO256" s="436" t="str">
        <f t="array" ref="AO256">IF(R256=DGET(claves!$A$2:$AS423,R$2,{claves!$A$2;$E256}),1,0)</f>
        <v>#VALUE!</v>
      </c>
      <c r="AP256" s="436" t="str">
        <f t="array" ref="AP256">IF(S256=DGET(claves!$A$2:$AS423,S$2,{claves!$A$2;$E256}),1,0)</f>
        <v>#VALUE!</v>
      </c>
      <c r="AQ256" s="436" t="str">
        <f t="array" ref="AQ256">IF(T256=DGET(claves!$A$2:$AS423,T$2,{claves!$A$2;$E256}),1,0)</f>
        <v>#VALUE!</v>
      </c>
      <c r="AR256" s="436" t="str">
        <f t="array" ref="AR256">IF(U256=DGET(claves!$A$2:$AS423,U$2,{claves!$A$2;$E256}),1,0)</f>
        <v>#VALUE!</v>
      </c>
      <c r="AS256" s="436" t="str">
        <f t="array" ref="AS256">IF(V256=DGET(claves!$A$2:$AS423,V$2,{claves!$A$2;$E256}),1,0)</f>
        <v>#VALUE!</v>
      </c>
      <c r="AT256" s="436" t="str">
        <f t="array" ref="AT256">IF(W256=DGET(claves!$A$2:$AS423,W$2,{claves!$A$2;$E256}),1,0)</f>
        <v>#VALUE!</v>
      </c>
      <c r="AU256" s="436" t="str">
        <f t="array" ref="AU256">IF(X256=DGET(claves!$A$2:$AS423,X$2,{claves!$A$2;$E256}),1,0)</f>
        <v>#VALUE!</v>
      </c>
      <c r="AV256" s="436" t="str">
        <f t="array" ref="AV256">IF(Y256=DGET(claves!$A$2:$AS423,Y$2,{claves!$A$2;$E256}),1,0)</f>
        <v>#VALUE!</v>
      </c>
      <c r="AW256" s="436" t="str">
        <f t="array" ref="AW256">IF(Z256=DGET(claves!$A$2:$AS423,Z$2,{claves!$A$2;$E256}),1,0)</f>
        <v>#VALUE!</v>
      </c>
      <c r="AX256" s="436" t="str">
        <f t="array" ref="AX256">IF(AA256=DGET(claves!$A$2:$AS423,AA$2,{claves!$A$2;$E256}),1,0)</f>
        <v>#VALUE!</v>
      </c>
      <c r="AY256" s="436" t="str">
        <f t="array" ref="AY256">IF(AB256=DGET(claves!$A$2:$AS423,AB$2,{claves!$A$2;$E256}),1,0)</f>
        <v>#VALUE!</v>
      </c>
      <c r="AZ256" s="436" t="str">
        <f t="array" ref="AZ256">IF(AC256=DGET(claves!$A$2:$AS423,AC$2,{claves!$A$2;$E256}),1,0)</f>
        <v>#VALUE!</v>
      </c>
      <c r="BA256" s="436" t="str">
        <f t="array" ref="BA256">IF(AD256=DGET(claves!$A$2:$AS423,AD$2,{claves!$A$2;$E256}),1,0)</f>
        <v>#VALUE!</v>
      </c>
      <c r="BB256" s="436" t="str">
        <f t="array" ref="BB256">IF(AE256=DGET(claves!$A$2:$AS423,AE$2,{claves!$A$2;$E256}),1,0)</f>
        <v>#VALUE!</v>
      </c>
      <c r="BC256" s="436" t="str">
        <f t="array" ref="BC256">IF(AF256=DGET(claves!$A$2:$AS423,AF$2,{claves!$A$2;$E256}),1,0)</f>
        <v>#VALUE!</v>
      </c>
      <c r="BD256" s="437" t="str">
        <f t="shared" si="1"/>
        <v>#VALUE!</v>
      </c>
      <c r="BE256" s="435" t="s">
        <v>1468</v>
      </c>
      <c r="BF256" s="415"/>
    </row>
    <row r="257" ht="14.25" customHeight="1">
      <c r="A257" s="408">
        <v>255.0</v>
      </c>
      <c r="B257" s="153" t="s">
        <v>1927</v>
      </c>
      <c r="C257" s="153">
        <v>2024.0</v>
      </c>
      <c r="D257" s="77" t="s">
        <v>1817</v>
      </c>
      <c r="E257" s="409" t="str">
        <f>IFERROR(__xludf.DUMMYFUNCTION("ARRAYFORMULA(JOIN("""", ARRAYFORMULA(MID(SPLIT(F257, "" ""), 1, 1))))
&amp;""/""&amp;G257"),"CLC/2 Primaria")</f>
        <v>CLC/2 Primaria</v>
      </c>
      <c r="F257" s="77" t="s">
        <v>1819</v>
      </c>
      <c r="G257" s="432" t="s">
        <v>15</v>
      </c>
      <c r="H257" s="433" t="s">
        <v>1737</v>
      </c>
      <c r="I257" s="433" t="s">
        <v>1670</v>
      </c>
      <c r="J257" s="433" t="s">
        <v>1948</v>
      </c>
      <c r="K257" s="433" t="s">
        <v>1658</v>
      </c>
      <c r="L257" s="415"/>
      <c r="M257" s="434" t="s">
        <v>1661</v>
      </c>
      <c r="N257" s="434" t="s">
        <v>1660</v>
      </c>
      <c r="O257" s="434" t="s">
        <v>1659</v>
      </c>
      <c r="P257" s="434" t="s">
        <v>1661</v>
      </c>
      <c r="Q257" s="434" t="s">
        <v>1659</v>
      </c>
      <c r="R257" s="434" t="s">
        <v>1661</v>
      </c>
      <c r="S257" s="434" t="s">
        <v>1659</v>
      </c>
      <c r="T257" s="434" t="s">
        <v>1661</v>
      </c>
      <c r="U257" s="434" t="s">
        <v>1661</v>
      </c>
      <c r="V257" s="434" t="s">
        <v>1660</v>
      </c>
      <c r="W257" s="434" t="s">
        <v>1661</v>
      </c>
      <c r="X257" s="434" t="s">
        <v>1659</v>
      </c>
      <c r="Y257" s="434" t="s">
        <v>1661</v>
      </c>
      <c r="Z257" s="434" t="s">
        <v>1659</v>
      </c>
      <c r="AA257" s="434" t="s">
        <v>1660</v>
      </c>
      <c r="AB257" s="434" t="s">
        <v>1659</v>
      </c>
      <c r="AC257" s="434" t="s">
        <v>1661</v>
      </c>
      <c r="AD257" s="434" t="s">
        <v>1660</v>
      </c>
      <c r="AE257" s="434" t="s">
        <v>1659</v>
      </c>
      <c r="AF257" s="434" t="s">
        <v>1659</v>
      </c>
      <c r="AG257" s="427">
        <v>17.0</v>
      </c>
      <c r="AH257" s="438" t="s">
        <v>32</v>
      </c>
      <c r="AI257" s="415"/>
      <c r="AJ257" s="436" t="str">
        <f t="array" ref="AJ257">IF(M257=DGET(claves!$A$2:$AS423,M$2,{claves!$A$2;$E257}),1,0)</f>
        <v>#VALUE!</v>
      </c>
      <c r="AK257" s="436" t="str">
        <f t="array" ref="AK257">IF(N257=DGET(claves!$A$2:$AS423,N$2,{claves!$A$2;$E257}),1,0)</f>
        <v>#VALUE!</v>
      </c>
      <c r="AL257" s="436" t="str">
        <f t="array" ref="AL257">IF(O257=DGET(claves!$A$2:$AS423,O$2,{claves!$A$2;$E257}),1,0)</f>
        <v>#VALUE!</v>
      </c>
      <c r="AM257" s="436" t="str">
        <f t="array" ref="AM257">IF(P257=DGET(claves!$A$2:$AS423,P$2,{claves!$A$2;$E257}),1,0)</f>
        <v>#VALUE!</v>
      </c>
      <c r="AN257" s="436" t="str">
        <f t="array" ref="AN257">IF(Q257=DGET(claves!$A$2:$AS423,Q$2,{claves!$A$2;$E257}),1,0)</f>
        <v>#VALUE!</v>
      </c>
      <c r="AO257" s="436" t="str">
        <f t="array" ref="AO257">IF(R257=DGET(claves!$A$2:$AS423,R$2,{claves!$A$2;$E257}),1,0)</f>
        <v>#VALUE!</v>
      </c>
      <c r="AP257" s="436" t="str">
        <f t="array" ref="AP257">IF(S257=DGET(claves!$A$2:$AS423,S$2,{claves!$A$2;$E257}),1,0)</f>
        <v>#VALUE!</v>
      </c>
      <c r="AQ257" s="436" t="str">
        <f t="array" ref="AQ257">IF(T257=DGET(claves!$A$2:$AS423,T$2,{claves!$A$2;$E257}),1,0)</f>
        <v>#VALUE!</v>
      </c>
      <c r="AR257" s="436" t="str">
        <f t="array" ref="AR257">IF(U257=DGET(claves!$A$2:$AS423,U$2,{claves!$A$2;$E257}),1,0)</f>
        <v>#VALUE!</v>
      </c>
      <c r="AS257" s="436" t="str">
        <f t="array" ref="AS257">IF(V257=DGET(claves!$A$2:$AS423,V$2,{claves!$A$2;$E257}),1,0)</f>
        <v>#VALUE!</v>
      </c>
      <c r="AT257" s="436" t="str">
        <f t="array" ref="AT257">IF(W257=DGET(claves!$A$2:$AS423,W$2,{claves!$A$2;$E257}),1,0)</f>
        <v>#VALUE!</v>
      </c>
      <c r="AU257" s="436" t="str">
        <f t="array" ref="AU257">IF(X257=DGET(claves!$A$2:$AS423,X$2,{claves!$A$2;$E257}),1,0)</f>
        <v>#VALUE!</v>
      </c>
      <c r="AV257" s="436" t="str">
        <f t="array" ref="AV257">IF(Y257=DGET(claves!$A$2:$AS423,Y$2,{claves!$A$2;$E257}),1,0)</f>
        <v>#VALUE!</v>
      </c>
      <c r="AW257" s="436" t="str">
        <f t="array" ref="AW257">IF(Z257=DGET(claves!$A$2:$AS423,Z$2,{claves!$A$2;$E257}),1,0)</f>
        <v>#VALUE!</v>
      </c>
      <c r="AX257" s="436" t="str">
        <f t="array" ref="AX257">IF(AA257=DGET(claves!$A$2:$AS423,AA$2,{claves!$A$2;$E257}),1,0)</f>
        <v>#VALUE!</v>
      </c>
      <c r="AY257" s="436" t="str">
        <f t="array" ref="AY257">IF(AB257=DGET(claves!$A$2:$AS423,AB$2,{claves!$A$2;$E257}),1,0)</f>
        <v>#VALUE!</v>
      </c>
      <c r="AZ257" s="436" t="str">
        <f t="array" ref="AZ257">IF(AC257=DGET(claves!$A$2:$AS423,AC$2,{claves!$A$2;$E257}),1,0)</f>
        <v>#VALUE!</v>
      </c>
      <c r="BA257" s="436" t="str">
        <f t="array" ref="BA257">IF(AD257=DGET(claves!$A$2:$AS423,AD$2,{claves!$A$2;$E257}),1,0)</f>
        <v>#VALUE!</v>
      </c>
      <c r="BB257" s="436" t="str">
        <f t="array" ref="BB257">IF(AE257=DGET(claves!$A$2:$AS423,AE$2,{claves!$A$2;$E257}),1,0)</f>
        <v>#VALUE!</v>
      </c>
      <c r="BC257" s="436" t="str">
        <f t="array" ref="BC257">IF(AF257=DGET(claves!$A$2:$AS423,AF$2,{claves!$A$2;$E257}),1,0)</f>
        <v>#VALUE!</v>
      </c>
      <c r="BD257" s="437" t="str">
        <f t="shared" si="1"/>
        <v>#VALUE!</v>
      </c>
      <c r="BE257" s="435"/>
      <c r="BF257" s="415"/>
    </row>
    <row r="258" ht="14.25" customHeight="1">
      <c r="A258" s="408">
        <v>256.0</v>
      </c>
      <c r="B258" s="153" t="s">
        <v>1927</v>
      </c>
      <c r="C258" s="153">
        <v>2024.0</v>
      </c>
      <c r="D258" s="77" t="s">
        <v>362</v>
      </c>
      <c r="E258" s="409" t="str">
        <f>IFERROR(__xludf.DUMMYFUNCTION("ARRAYFORMULA(JOIN("""", ARRAYFORMULA(MID(SPLIT(F258, "" ""), 1, 1))))
&amp;""/""&amp;G258"),"MC/2 Primaria")</f>
        <v>MC/2 Primaria</v>
      </c>
      <c r="F258" s="77" t="s">
        <v>1654</v>
      </c>
      <c r="G258" s="432" t="s">
        <v>15</v>
      </c>
      <c r="H258" s="433" t="s">
        <v>1782</v>
      </c>
      <c r="I258" s="433" t="s">
        <v>1697</v>
      </c>
      <c r="J258" s="433" t="s">
        <v>1949</v>
      </c>
      <c r="K258" s="433" t="s">
        <v>1658</v>
      </c>
      <c r="L258" s="415"/>
      <c r="M258" s="434" t="s">
        <v>1659</v>
      </c>
      <c r="N258" s="434" t="s">
        <v>1661</v>
      </c>
      <c r="O258" s="434" t="s">
        <v>1659</v>
      </c>
      <c r="P258" s="434" t="s">
        <v>1661</v>
      </c>
      <c r="Q258" s="434" t="s">
        <v>1661</v>
      </c>
      <c r="R258" s="434" t="s">
        <v>1660</v>
      </c>
      <c r="S258" s="434" t="s">
        <v>1659</v>
      </c>
      <c r="T258" s="434" t="s">
        <v>1661</v>
      </c>
      <c r="U258" s="434" t="s">
        <v>1661</v>
      </c>
      <c r="V258" s="434" t="s">
        <v>1660</v>
      </c>
      <c r="W258" s="434" t="s">
        <v>1659</v>
      </c>
      <c r="X258" s="434" t="s">
        <v>1660</v>
      </c>
      <c r="Y258" s="434" t="s">
        <v>1661</v>
      </c>
      <c r="Z258" s="434" t="s">
        <v>1661</v>
      </c>
      <c r="AA258" s="434" t="s">
        <v>1660</v>
      </c>
      <c r="AB258" s="434" t="s">
        <v>1659</v>
      </c>
      <c r="AC258" s="434" t="s">
        <v>1659</v>
      </c>
      <c r="AD258" s="434" t="s">
        <v>1661</v>
      </c>
      <c r="AE258" s="434" t="s">
        <v>1660</v>
      </c>
      <c r="AF258" s="434" t="s">
        <v>1660</v>
      </c>
      <c r="AG258" s="427">
        <v>11.0</v>
      </c>
      <c r="AH258" s="435" t="s">
        <v>24</v>
      </c>
      <c r="AI258" s="415"/>
      <c r="AJ258" s="436" t="str">
        <f t="array" ref="AJ258">IF(M258=DGET(claves!$A$2:$AS423,M$2,{claves!$A$2;$E258}),1,0)</f>
        <v>#VALUE!</v>
      </c>
      <c r="AK258" s="436" t="str">
        <f t="array" ref="AK258">IF(N258=DGET(claves!$A$2:$AS423,N$2,{claves!$A$2;$E258}),1,0)</f>
        <v>#VALUE!</v>
      </c>
      <c r="AL258" s="436" t="str">
        <f t="array" ref="AL258">IF(O258=DGET(claves!$A$2:$AS423,O$2,{claves!$A$2;$E258}),1,0)</f>
        <v>#VALUE!</v>
      </c>
      <c r="AM258" s="436" t="str">
        <f t="array" ref="AM258">IF(P258=DGET(claves!$A$2:$AS423,P$2,{claves!$A$2;$E258}),1,0)</f>
        <v>#VALUE!</v>
      </c>
      <c r="AN258" s="436" t="str">
        <f t="array" ref="AN258">IF(Q258=DGET(claves!$A$2:$AS423,Q$2,{claves!$A$2;$E258}),1,0)</f>
        <v>#VALUE!</v>
      </c>
      <c r="AO258" s="436" t="str">
        <f t="array" ref="AO258">IF(R258=DGET(claves!$A$2:$AS423,R$2,{claves!$A$2;$E258}),1,0)</f>
        <v>#VALUE!</v>
      </c>
      <c r="AP258" s="436" t="str">
        <f t="array" ref="AP258">IF(S258=DGET(claves!$A$2:$AS423,S$2,{claves!$A$2;$E258}),1,0)</f>
        <v>#VALUE!</v>
      </c>
      <c r="AQ258" s="436" t="str">
        <f t="array" ref="AQ258">IF(T258=DGET(claves!$A$2:$AS423,T$2,{claves!$A$2;$E258}),1,0)</f>
        <v>#VALUE!</v>
      </c>
      <c r="AR258" s="436" t="str">
        <f t="array" ref="AR258">IF(U258=DGET(claves!$A$2:$AS423,U$2,{claves!$A$2;$E258}),1,0)</f>
        <v>#VALUE!</v>
      </c>
      <c r="AS258" s="436" t="str">
        <f t="array" ref="AS258">IF(V258=DGET(claves!$A$2:$AS423,V$2,{claves!$A$2;$E258}),1,0)</f>
        <v>#VALUE!</v>
      </c>
      <c r="AT258" s="436" t="str">
        <f t="array" ref="AT258">IF(W258=DGET(claves!$A$2:$AS423,W$2,{claves!$A$2;$E258}),1,0)</f>
        <v>#VALUE!</v>
      </c>
      <c r="AU258" s="436" t="str">
        <f t="array" ref="AU258">IF(X258=DGET(claves!$A$2:$AS423,X$2,{claves!$A$2;$E258}),1,0)</f>
        <v>#VALUE!</v>
      </c>
      <c r="AV258" s="436" t="str">
        <f t="array" ref="AV258">IF(Y258=DGET(claves!$A$2:$AS423,Y$2,{claves!$A$2;$E258}),1,0)</f>
        <v>#VALUE!</v>
      </c>
      <c r="AW258" s="436" t="str">
        <f t="array" ref="AW258">IF(Z258=DGET(claves!$A$2:$AS423,Z$2,{claves!$A$2;$E258}),1,0)</f>
        <v>#VALUE!</v>
      </c>
      <c r="AX258" s="436" t="str">
        <f t="array" ref="AX258">IF(AA258=DGET(claves!$A$2:$AS423,AA$2,{claves!$A$2;$E258}),1,0)</f>
        <v>#VALUE!</v>
      </c>
      <c r="AY258" s="436" t="str">
        <f t="array" ref="AY258">IF(AB258=DGET(claves!$A$2:$AS423,AB$2,{claves!$A$2;$E258}),1,0)</f>
        <v>#VALUE!</v>
      </c>
      <c r="AZ258" s="436" t="str">
        <f t="array" ref="AZ258">IF(AC258=DGET(claves!$A$2:$AS423,AC$2,{claves!$A$2;$E258}),1,0)</f>
        <v>#VALUE!</v>
      </c>
      <c r="BA258" s="436" t="str">
        <f t="array" ref="BA258">IF(AD258=DGET(claves!$A$2:$AS423,AD$2,{claves!$A$2;$E258}),1,0)</f>
        <v>#VALUE!</v>
      </c>
      <c r="BB258" s="436" t="str">
        <f t="array" ref="BB258">IF(AE258=DGET(claves!$A$2:$AS423,AE$2,{claves!$A$2;$E258}),1,0)</f>
        <v>#VALUE!</v>
      </c>
      <c r="BC258" s="436" t="str">
        <f t="array" ref="BC258">IF(AF258=DGET(claves!$A$2:$AS423,AF$2,{claves!$A$2;$E258}),1,0)</f>
        <v>#VALUE!</v>
      </c>
      <c r="BD258" s="437" t="str">
        <f t="shared" si="1"/>
        <v>#VALUE!</v>
      </c>
      <c r="BE258" s="435" t="s">
        <v>1468</v>
      </c>
      <c r="BF258" s="415"/>
    </row>
    <row r="259" ht="14.25" customHeight="1">
      <c r="A259" s="408">
        <v>257.0</v>
      </c>
      <c r="B259" s="153" t="s">
        <v>1927</v>
      </c>
      <c r="C259" s="153">
        <v>2024.0</v>
      </c>
      <c r="D259" s="77" t="s">
        <v>1817</v>
      </c>
      <c r="E259" s="409" t="str">
        <f>IFERROR(__xludf.DUMMYFUNCTION("ARRAYFORMULA(JOIN("""", ARRAYFORMULA(MID(SPLIT(F259, "" ""), 1, 1))))
&amp;""/""&amp;G259"),"CLC/2 Primaria")</f>
        <v>CLC/2 Primaria</v>
      </c>
      <c r="F259" s="77" t="s">
        <v>1819</v>
      </c>
      <c r="G259" s="432" t="s">
        <v>15</v>
      </c>
      <c r="H259" s="433" t="s">
        <v>1782</v>
      </c>
      <c r="I259" s="433" t="s">
        <v>1697</v>
      </c>
      <c r="J259" s="433" t="s">
        <v>1949</v>
      </c>
      <c r="K259" s="433" t="s">
        <v>1658</v>
      </c>
      <c r="L259" s="415"/>
      <c r="M259" s="434" t="s">
        <v>1661</v>
      </c>
      <c r="N259" s="434" t="s">
        <v>1660</v>
      </c>
      <c r="O259" s="434" t="s">
        <v>1659</v>
      </c>
      <c r="P259" s="434" t="s">
        <v>1661</v>
      </c>
      <c r="Q259" s="434" t="s">
        <v>1659</v>
      </c>
      <c r="R259" s="434" t="s">
        <v>1661</v>
      </c>
      <c r="S259" s="434" t="s">
        <v>1659</v>
      </c>
      <c r="T259" s="434" t="s">
        <v>1661</v>
      </c>
      <c r="U259" s="434" t="s">
        <v>1660</v>
      </c>
      <c r="V259" s="434" t="s">
        <v>1659</v>
      </c>
      <c r="W259" s="434" t="s">
        <v>1661</v>
      </c>
      <c r="X259" s="434" t="s">
        <v>1659</v>
      </c>
      <c r="Y259" s="434" t="s">
        <v>1660</v>
      </c>
      <c r="Z259" s="434" t="s">
        <v>1659</v>
      </c>
      <c r="AA259" s="434" t="s">
        <v>1660</v>
      </c>
      <c r="AB259" s="434" t="s">
        <v>1659</v>
      </c>
      <c r="AC259" s="434" t="s">
        <v>1661</v>
      </c>
      <c r="AD259" s="434" t="s">
        <v>1660</v>
      </c>
      <c r="AE259" s="434" t="s">
        <v>1659</v>
      </c>
      <c r="AF259" s="434" t="s">
        <v>1661</v>
      </c>
      <c r="AG259" s="427">
        <v>19.0</v>
      </c>
      <c r="AH259" s="438" t="s">
        <v>32</v>
      </c>
      <c r="AI259" s="415"/>
      <c r="AJ259" s="436" t="str">
        <f t="array" ref="AJ259">IF(M259=DGET(claves!$A$2:$AS423,M$2,{claves!$A$2;$E259}),1,0)</f>
        <v>#VALUE!</v>
      </c>
      <c r="AK259" s="436" t="str">
        <f t="array" ref="AK259">IF(N259=DGET(claves!$A$2:$AS423,N$2,{claves!$A$2;$E259}),1,0)</f>
        <v>#VALUE!</v>
      </c>
      <c r="AL259" s="436" t="str">
        <f t="array" ref="AL259">IF(O259=DGET(claves!$A$2:$AS423,O$2,{claves!$A$2;$E259}),1,0)</f>
        <v>#VALUE!</v>
      </c>
      <c r="AM259" s="436" t="str">
        <f t="array" ref="AM259">IF(P259=DGET(claves!$A$2:$AS423,P$2,{claves!$A$2;$E259}),1,0)</f>
        <v>#VALUE!</v>
      </c>
      <c r="AN259" s="436" t="str">
        <f t="array" ref="AN259">IF(Q259=DGET(claves!$A$2:$AS423,Q$2,{claves!$A$2;$E259}),1,0)</f>
        <v>#VALUE!</v>
      </c>
      <c r="AO259" s="436" t="str">
        <f t="array" ref="AO259">IF(R259=DGET(claves!$A$2:$AS423,R$2,{claves!$A$2;$E259}),1,0)</f>
        <v>#VALUE!</v>
      </c>
      <c r="AP259" s="436" t="str">
        <f t="array" ref="AP259">IF(S259=DGET(claves!$A$2:$AS423,S$2,{claves!$A$2;$E259}),1,0)</f>
        <v>#VALUE!</v>
      </c>
      <c r="AQ259" s="436" t="str">
        <f t="array" ref="AQ259">IF(T259=DGET(claves!$A$2:$AS423,T$2,{claves!$A$2;$E259}),1,0)</f>
        <v>#VALUE!</v>
      </c>
      <c r="AR259" s="436" t="str">
        <f t="array" ref="AR259">IF(U259=DGET(claves!$A$2:$AS423,U$2,{claves!$A$2;$E259}),1,0)</f>
        <v>#VALUE!</v>
      </c>
      <c r="AS259" s="436" t="str">
        <f t="array" ref="AS259">IF(V259=DGET(claves!$A$2:$AS423,V$2,{claves!$A$2;$E259}),1,0)</f>
        <v>#VALUE!</v>
      </c>
      <c r="AT259" s="436" t="str">
        <f t="array" ref="AT259">IF(W259=DGET(claves!$A$2:$AS423,W$2,{claves!$A$2;$E259}),1,0)</f>
        <v>#VALUE!</v>
      </c>
      <c r="AU259" s="436" t="str">
        <f t="array" ref="AU259">IF(X259=DGET(claves!$A$2:$AS423,X$2,{claves!$A$2;$E259}),1,0)</f>
        <v>#VALUE!</v>
      </c>
      <c r="AV259" s="436" t="str">
        <f t="array" ref="AV259">IF(Y259=DGET(claves!$A$2:$AS423,Y$2,{claves!$A$2;$E259}),1,0)</f>
        <v>#VALUE!</v>
      </c>
      <c r="AW259" s="436" t="str">
        <f t="array" ref="AW259">IF(Z259=DGET(claves!$A$2:$AS423,Z$2,{claves!$A$2;$E259}),1,0)</f>
        <v>#VALUE!</v>
      </c>
      <c r="AX259" s="436" t="str">
        <f t="array" ref="AX259">IF(AA259=DGET(claves!$A$2:$AS423,AA$2,{claves!$A$2;$E259}),1,0)</f>
        <v>#VALUE!</v>
      </c>
      <c r="AY259" s="436" t="str">
        <f t="array" ref="AY259">IF(AB259=DGET(claves!$A$2:$AS423,AB$2,{claves!$A$2;$E259}),1,0)</f>
        <v>#VALUE!</v>
      </c>
      <c r="AZ259" s="436" t="str">
        <f t="array" ref="AZ259">IF(AC259=DGET(claves!$A$2:$AS423,AC$2,{claves!$A$2;$E259}),1,0)</f>
        <v>#VALUE!</v>
      </c>
      <c r="BA259" s="436" t="str">
        <f t="array" ref="BA259">IF(AD259=DGET(claves!$A$2:$AS423,AD$2,{claves!$A$2;$E259}),1,0)</f>
        <v>#VALUE!</v>
      </c>
      <c r="BB259" s="436" t="str">
        <f t="array" ref="BB259">IF(AE259=DGET(claves!$A$2:$AS423,AE$2,{claves!$A$2;$E259}),1,0)</f>
        <v>#VALUE!</v>
      </c>
      <c r="BC259" s="436" t="str">
        <f t="array" ref="BC259">IF(AF259=DGET(claves!$A$2:$AS423,AF$2,{claves!$A$2;$E259}),1,0)</f>
        <v>#VALUE!</v>
      </c>
      <c r="BD259" s="437" t="str">
        <f t="shared" si="1"/>
        <v>#VALUE!</v>
      </c>
      <c r="BE259" s="435"/>
      <c r="BF259" s="415"/>
    </row>
    <row r="260" ht="14.25" customHeight="1">
      <c r="A260" s="408">
        <v>258.0</v>
      </c>
      <c r="B260" s="153" t="s">
        <v>1927</v>
      </c>
      <c r="C260" s="153">
        <v>2024.0</v>
      </c>
      <c r="D260" s="77" t="s">
        <v>1817</v>
      </c>
      <c r="E260" s="409" t="str">
        <f>IFERROR(__xludf.DUMMYFUNCTION("ARRAYFORMULA(JOIN("""", ARRAYFORMULA(MID(SPLIT(F260, "" ""), 1, 1))))
&amp;""/""&amp;G260"),"CLQ/2 Primaria")</f>
        <v>CLQ/2 Primaria</v>
      </c>
      <c r="F260" s="77" t="s">
        <v>1827</v>
      </c>
      <c r="G260" s="432" t="s">
        <v>15</v>
      </c>
      <c r="H260" s="433" t="s">
        <v>1950</v>
      </c>
      <c r="I260" s="433" t="s">
        <v>1684</v>
      </c>
      <c r="J260" s="433" t="s">
        <v>1951</v>
      </c>
      <c r="K260" s="432" t="s">
        <v>1665</v>
      </c>
      <c r="L260" s="415"/>
      <c r="M260" s="434"/>
      <c r="N260" s="434"/>
      <c r="O260" s="434"/>
      <c r="P260" s="434"/>
      <c r="Q260" s="434"/>
      <c r="R260" s="434"/>
      <c r="S260" s="434"/>
      <c r="T260" s="434"/>
      <c r="U260" s="434"/>
      <c r="V260" s="434"/>
      <c r="W260" s="434"/>
      <c r="X260" s="434"/>
      <c r="Y260" s="434"/>
      <c r="Z260" s="434"/>
      <c r="AA260" s="434"/>
      <c r="AB260" s="434"/>
      <c r="AC260" s="434"/>
      <c r="AD260" s="434"/>
      <c r="AE260" s="434"/>
      <c r="AF260" s="434"/>
      <c r="AG260" s="427">
        <v>0.0</v>
      </c>
      <c r="AH260" s="435" t="s">
        <v>1468</v>
      </c>
      <c r="AI260" s="415"/>
      <c r="AJ260" s="436" t="str">
        <f t="array" ref="AJ260">IF(M260=DGET(claves!$A$2:$AS423,M$2,{claves!$A$2;$E260}),1,0)</f>
        <v>#VALUE!</v>
      </c>
      <c r="AK260" s="436" t="str">
        <f t="array" ref="AK260">IF(N260=DGET(claves!$A$2:$AS423,N$2,{claves!$A$2;$E260}),1,0)</f>
        <v>#VALUE!</v>
      </c>
      <c r="AL260" s="436" t="str">
        <f t="array" ref="AL260">IF(O260=DGET(claves!$A$2:$AS423,O$2,{claves!$A$2;$E260}),1,0)</f>
        <v>#VALUE!</v>
      </c>
      <c r="AM260" s="436" t="str">
        <f t="array" ref="AM260">IF(P260=DGET(claves!$A$2:$AS423,P$2,{claves!$A$2;$E260}),1,0)</f>
        <v>#VALUE!</v>
      </c>
      <c r="AN260" s="436" t="str">
        <f t="array" ref="AN260">IF(Q260=DGET(claves!$A$2:$AS423,Q$2,{claves!$A$2;$E260}),1,0)</f>
        <v>#VALUE!</v>
      </c>
      <c r="AO260" s="436" t="str">
        <f t="array" ref="AO260">IF(R260=DGET(claves!$A$2:$AS423,R$2,{claves!$A$2;$E260}),1,0)</f>
        <v>#VALUE!</v>
      </c>
      <c r="AP260" s="436" t="str">
        <f t="array" ref="AP260">IF(S260=DGET(claves!$A$2:$AS423,S$2,{claves!$A$2;$E260}),1,0)</f>
        <v>#VALUE!</v>
      </c>
      <c r="AQ260" s="436" t="str">
        <f t="array" ref="AQ260">IF(T260=DGET(claves!$A$2:$AS423,T$2,{claves!$A$2;$E260}),1,0)</f>
        <v>#VALUE!</v>
      </c>
      <c r="AR260" s="436" t="str">
        <f t="array" ref="AR260">IF(U260=DGET(claves!$A$2:$AS423,U$2,{claves!$A$2;$E260}),1,0)</f>
        <v>#VALUE!</v>
      </c>
      <c r="AS260" s="436" t="str">
        <f t="array" ref="AS260">IF(V260=DGET(claves!$A$2:$AS423,V$2,{claves!$A$2;$E260}),1,0)</f>
        <v>#VALUE!</v>
      </c>
      <c r="AT260" s="436" t="str">
        <f t="array" ref="AT260">IF(W260=DGET(claves!$A$2:$AS423,W$2,{claves!$A$2;$E260}),1,0)</f>
        <v>#VALUE!</v>
      </c>
      <c r="AU260" s="436" t="str">
        <f t="array" ref="AU260">IF(X260=DGET(claves!$A$2:$AS423,X$2,{claves!$A$2;$E260}),1,0)</f>
        <v>#VALUE!</v>
      </c>
      <c r="AV260" s="436" t="str">
        <f t="array" ref="AV260">IF(Y260=DGET(claves!$A$2:$AS423,Y$2,{claves!$A$2;$E260}),1,0)</f>
        <v>#VALUE!</v>
      </c>
      <c r="AW260" s="436" t="str">
        <f t="array" ref="AW260">IF(Z260=DGET(claves!$A$2:$AS423,Z$2,{claves!$A$2;$E260}),1,0)</f>
        <v>#VALUE!</v>
      </c>
      <c r="AX260" s="436" t="str">
        <f t="array" ref="AX260">IF(AA260=DGET(claves!$A$2:$AS423,AA$2,{claves!$A$2;$E260}),1,0)</f>
        <v>#VALUE!</v>
      </c>
      <c r="AY260" s="436" t="str">
        <f t="array" ref="AY260">IF(AB260=DGET(claves!$A$2:$AS423,AB$2,{claves!$A$2;$E260}),1,0)</f>
        <v>#VALUE!</v>
      </c>
      <c r="AZ260" s="436" t="str">
        <f t="array" ref="AZ260">IF(AC260=DGET(claves!$A$2:$AS423,AC$2,{claves!$A$2;$E260}),1,0)</f>
        <v>#VALUE!</v>
      </c>
      <c r="BA260" s="436" t="str">
        <f t="array" ref="BA260">IF(AD260=DGET(claves!$A$2:$AS423,AD$2,{claves!$A$2;$E260}),1,0)</f>
        <v>#VALUE!</v>
      </c>
      <c r="BB260" s="436" t="str">
        <f t="array" ref="BB260">IF(AE260=DGET(claves!$A$2:$AS423,AE$2,{claves!$A$2;$E260}),1,0)</f>
        <v>#VALUE!</v>
      </c>
      <c r="BC260" s="436" t="str">
        <f t="array" ref="BC260">IF(AF260=DGET(claves!$A$2:$AS423,AF$2,{claves!$A$2;$E260}),1,0)</f>
        <v>#VALUE!</v>
      </c>
      <c r="BD260" s="437" t="str">
        <f t="shared" si="1"/>
        <v>#VALUE!</v>
      </c>
      <c r="BE260" s="435" t="s">
        <v>1468</v>
      </c>
      <c r="BF260" s="415"/>
    </row>
    <row r="261" ht="14.25" customHeight="1">
      <c r="A261" s="408">
        <v>259.0</v>
      </c>
      <c r="B261" s="153" t="s">
        <v>1927</v>
      </c>
      <c r="C261" s="153">
        <v>2024.0</v>
      </c>
      <c r="D261" s="77" t="s">
        <v>362</v>
      </c>
      <c r="E261" s="409" t="str">
        <f>IFERROR(__xludf.DUMMYFUNCTION("ARRAYFORMULA(JOIN("""", ARRAYFORMULA(MID(SPLIT(F261, "" ""), 1, 1))))
&amp;""/""&amp;G261"),"MC/2 Primaria")</f>
        <v>MC/2 Primaria</v>
      </c>
      <c r="F261" s="77" t="s">
        <v>1654</v>
      </c>
      <c r="G261" s="432" t="s">
        <v>15</v>
      </c>
      <c r="H261" s="433" t="s">
        <v>1952</v>
      </c>
      <c r="I261" s="433" t="s">
        <v>1684</v>
      </c>
      <c r="J261" s="433" t="s">
        <v>1953</v>
      </c>
      <c r="K261" s="433" t="s">
        <v>1658</v>
      </c>
      <c r="L261" s="415"/>
      <c r="M261" s="434" t="s">
        <v>1659</v>
      </c>
      <c r="N261" s="434" t="s">
        <v>1660</v>
      </c>
      <c r="O261" s="434" t="s">
        <v>1659</v>
      </c>
      <c r="P261" s="434" t="s">
        <v>1659</v>
      </c>
      <c r="Q261" s="434" t="s">
        <v>1660</v>
      </c>
      <c r="R261" s="434" t="s">
        <v>1661</v>
      </c>
      <c r="S261" s="434" t="s">
        <v>1661</v>
      </c>
      <c r="T261" s="434" t="s">
        <v>1659</v>
      </c>
      <c r="U261" s="434" t="s">
        <v>1661</v>
      </c>
      <c r="V261" s="434" t="s">
        <v>1660</v>
      </c>
      <c r="W261" s="434" t="s">
        <v>1660</v>
      </c>
      <c r="X261" s="434" t="s">
        <v>1661</v>
      </c>
      <c r="Y261" s="434" t="s">
        <v>1661</v>
      </c>
      <c r="Z261" s="434" t="s">
        <v>1661</v>
      </c>
      <c r="AA261" s="434"/>
      <c r="AB261" s="434"/>
      <c r="AC261" s="434"/>
      <c r="AD261" s="434"/>
      <c r="AE261" s="434"/>
      <c r="AF261" s="434"/>
      <c r="AG261" s="427">
        <v>6.0</v>
      </c>
      <c r="AH261" s="435" t="s">
        <v>18</v>
      </c>
      <c r="AI261" s="415"/>
      <c r="AJ261" s="436" t="str">
        <f t="array" ref="AJ261">IF(M261=DGET(claves!$A$2:$AS423,M$2,{claves!$A$2;$E261}),1,0)</f>
        <v>#VALUE!</v>
      </c>
      <c r="AK261" s="436" t="str">
        <f t="array" ref="AK261">IF(N261=DGET(claves!$A$2:$AS423,N$2,{claves!$A$2;$E261}),1,0)</f>
        <v>#VALUE!</v>
      </c>
      <c r="AL261" s="436" t="str">
        <f t="array" ref="AL261">IF(O261=DGET(claves!$A$2:$AS423,O$2,{claves!$A$2;$E261}),1,0)</f>
        <v>#VALUE!</v>
      </c>
      <c r="AM261" s="436" t="str">
        <f t="array" ref="AM261">IF(P261=DGET(claves!$A$2:$AS423,P$2,{claves!$A$2;$E261}),1,0)</f>
        <v>#VALUE!</v>
      </c>
      <c r="AN261" s="436" t="str">
        <f t="array" ref="AN261">IF(Q261=DGET(claves!$A$2:$AS423,Q$2,{claves!$A$2;$E261}),1,0)</f>
        <v>#VALUE!</v>
      </c>
      <c r="AO261" s="436" t="str">
        <f t="array" ref="AO261">IF(R261=DGET(claves!$A$2:$AS423,R$2,{claves!$A$2;$E261}),1,0)</f>
        <v>#VALUE!</v>
      </c>
      <c r="AP261" s="436" t="str">
        <f t="array" ref="AP261">IF(S261=DGET(claves!$A$2:$AS423,S$2,{claves!$A$2;$E261}),1,0)</f>
        <v>#VALUE!</v>
      </c>
      <c r="AQ261" s="436" t="str">
        <f t="array" ref="AQ261">IF(T261=DGET(claves!$A$2:$AS423,T$2,{claves!$A$2;$E261}),1,0)</f>
        <v>#VALUE!</v>
      </c>
      <c r="AR261" s="436" t="str">
        <f t="array" ref="AR261">IF(U261=DGET(claves!$A$2:$AS423,U$2,{claves!$A$2;$E261}),1,0)</f>
        <v>#VALUE!</v>
      </c>
      <c r="AS261" s="436" t="str">
        <f t="array" ref="AS261">IF(V261=DGET(claves!$A$2:$AS423,V$2,{claves!$A$2;$E261}),1,0)</f>
        <v>#VALUE!</v>
      </c>
      <c r="AT261" s="436" t="str">
        <f t="array" ref="AT261">IF(W261=DGET(claves!$A$2:$AS423,W$2,{claves!$A$2;$E261}),1,0)</f>
        <v>#VALUE!</v>
      </c>
      <c r="AU261" s="436" t="str">
        <f t="array" ref="AU261">IF(X261=DGET(claves!$A$2:$AS423,X$2,{claves!$A$2;$E261}),1,0)</f>
        <v>#VALUE!</v>
      </c>
      <c r="AV261" s="436" t="str">
        <f t="array" ref="AV261">IF(Y261=DGET(claves!$A$2:$AS423,Y$2,{claves!$A$2;$E261}),1,0)</f>
        <v>#VALUE!</v>
      </c>
      <c r="AW261" s="436" t="str">
        <f t="array" ref="AW261">IF(Z261=DGET(claves!$A$2:$AS423,Z$2,{claves!$A$2;$E261}),1,0)</f>
        <v>#VALUE!</v>
      </c>
      <c r="AX261" s="436" t="str">
        <f t="array" ref="AX261">IF(AA261=DGET(claves!$A$2:$AS423,AA$2,{claves!$A$2;$E261}),1,0)</f>
        <v>#VALUE!</v>
      </c>
      <c r="AY261" s="436" t="str">
        <f t="array" ref="AY261">IF(AB261=DGET(claves!$A$2:$AS423,AB$2,{claves!$A$2;$E261}),1,0)</f>
        <v>#VALUE!</v>
      </c>
      <c r="AZ261" s="436" t="str">
        <f t="array" ref="AZ261">IF(AC261=DGET(claves!$A$2:$AS423,AC$2,{claves!$A$2;$E261}),1,0)</f>
        <v>#VALUE!</v>
      </c>
      <c r="BA261" s="436" t="str">
        <f t="array" ref="BA261">IF(AD261=DGET(claves!$A$2:$AS423,AD$2,{claves!$A$2;$E261}),1,0)</f>
        <v>#VALUE!</v>
      </c>
      <c r="BB261" s="436" t="str">
        <f t="array" ref="BB261">IF(AE261=DGET(claves!$A$2:$AS423,AE$2,{claves!$A$2;$E261}),1,0)</f>
        <v>#VALUE!</v>
      </c>
      <c r="BC261" s="436" t="str">
        <f t="array" ref="BC261">IF(AF261=DGET(claves!$A$2:$AS423,AF$2,{claves!$A$2;$E261}),1,0)</f>
        <v>#VALUE!</v>
      </c>
      <c r="BD261" s="437" t="str">
        <f t="shared" si="1"/>
        <v>#VALUE!</v>
      </c>
      <c r="BE261" s="435" t="s">
        <v>1468</v>
      </c>
      <c r="BF261" s="415"/>
    </row>
    <row r="262" ht="14.25" customHeight="1">
      <c r="A262" s="408">
        <v>260.0</v>
      </c>
      <c r="B262" s="153" t="s">
        <v>1927</v>
      </c>
      <c r="C262" s="153">
        <v>2024.0</v>
      </c>
      <c r="D262" s="77" t="s">
        <v>1817</v>
      </c>
      <c r="E262" s="409" t="str">
        <f>IFERROR(__xludf.DUMMYFUNCTION("ARRAYFORMULA(JOIN("""", ARRAYFORMULA(MID(SPLIT(F262, "" ""), 1, 1))))
&amp;""/""&amp;G262"),"CLC/2 Primaria")</f>
        <v>CLC/2 Primaria</v>
      </c>
      <c r="F262" s="77" t="s">
        <v>1819</v>
      </c>
      <c r="G262" s="432" t="s">
        <v>15</v>
      </c>
      <c r="H262" s="433" t="s">
        <v>1952</v>
      </c>
      <c r="I262" s="433" t="s">
        <v>1684</v>
      </c>
      <c r="J262" s="433" t="s">
        <v>1953</v>
      </c>
      <c r="K262" s="433" t="s">
        <v>1658</v>
      </c>
      <c r="L262" s="415"/>
      <c r="M262" s="434" t="s">
        <v>1661</v>
      </c>
      <c r="N262" s="434" t="s">
        <v>1660</v>
      </c>
      <c r="O262" s="434" t="s">
        <v>1659</v>
      </c>
      <c r="P262" s="434" t="s">
        <v>1661</v>
      </c>
      <c r="Q262" s="434" t="s">
        <v>1659</v>
      </c>
      <c r="R262" s="434" t="s">
        <v>1661</v>
      </c>
      <c r="S262" s="434" t="s">
        <v>1659</v>
      </c>
      <c r="T262" s="434" t="s">
        <v>1661</v>
      </c>
      <c r="U262" s="434" t="s">
        <v>1660</v>
      </c>
      <c r="V262" s="434" t="s">
        <v>1659</v>
      </c>
      <c r="W262" s="434" t="s">
        <v>1661</v>
      </c>
      <c r="X262" s="434" t="s">
        <v>1659</v>
      </c>
      <c r="Y262" s="434" t="s">
        <v>1660</v>
      </c>
      <c r="Z262" s="434" t="s">
        <v>1659</v>
      </c>
      <c r="AA262" s="434" t="s">
        <v>1660</v>
      </c>
      <c r="AB262" s="434" t="s">
        <v>1659</v>
      </c>
      <c r="AC262" s="434"/>
      <c r="AD262" s="434" t="s">
        <v>1660</v>
      </c>
      <c r="AE262" s="434" t="s">
        <v>1659</v>
      </c>
      <c r="AF262" s="434" t="s">
        <v>1659</v>
      </c>
      <c r="AG262" s="427">
        <v>19.0</v>
      </c>
      <c r="AH262" s="438" t="s">
        <v>32</v>
      </c>
      <c r="AI262" s="415"/>
      <c r="AJ262" s="436" t="str">
        <f t="array" ref="AJ262">IF(M262=DGET(claves!$A$2:$AS423,M$2,{claves!$A$2;$E262}),1,0)</f>
        <v>#VALUE!</v>
      </c>
      <c r="AK262" s="436" t="str">
        <f t="array" ref="AK262">IF(N262=DGET(claves!$A$2:$AS423,N$2,{claves!$A$2;$E262}),1,0)</f>
        <v>#VALUE!</v>
      </c>
      <c r="AL262" s="436" t="str">
        <f t="array" ref="AL262">IF(O262=DGET(claves!$A$2:$AS423,O$2,{claves!$A$2;$E262}),1,0)</f>
        <v>#VALUE!</v>
      </c>
      <c r="AM262" s="436" t="str">
        <f t="array" ref="AM262">IF(P262=DGET(claves!$A$2:$AS423,P$2,{claves!$A$2;$E262}),1,0)</f>
        <v>#VALUE!</v>
      </c>
      <c r="AN262" s="436" t="str">
        <f t="array" ref="AN262">IF(Q262=DGET(claves!$A$2:$AS423,Q$2,{claves!$A$2;$E262}),1,0)</f>
        <v>#VALUE!</v>
      </c>
      <c r="AO262" s="436" t="str">
        <f t="array" ref="AO262">IF(R262=DGET(claves!$A$2:$AS423,R$2,{claves!$A$2;$E262}),1,0)</f>
        <v>#VALUE!</v>
      </c>
      <c r="AP262" s="436" t="str">
        <f t="array" ref="AP262">IF(S262=DGET(claves!$A$2:$AS423,S$2,{claves!$A$2;$E262}),1,0)</f>
        <v>#VALUE!</v>
      </c>
      <c r="AQ262" s="436" t="str">
        <f t="array" ref="AQ262">IF(T262=DGET(claves!$A$2:$AS423,T$2,{claves!$A$2;$E262}),1,0)</f>
        <v>#VALUE!</v>
      </c>
      <c r="AR262" s="436" t="str">
        <f t="array" ref="AR262">IF(U262=DGET(claves!$A$2:$AS423,U$2,{claves!$A$2;$E262}),1,0)</f>
        <v>#VALUE!</v>
      </c>
      <c r="AS262" s="436" t="str">
        <f t="array" ref="AS262">IF(V262=DGET(claves!$A$2:$AS423,V$2,{claves!$A$2;$E262}),1,0)</f>
        <v>#VALUE!</v>
      </c>
      <c r="AT262" s="436" t="str">
        <f t="array" ref="AT262">IF(W262=DGET(claves!$A$2:$AS423,W$2,{claves!$A$2;$E262}),1,0)</f>
        <v>#VALUE!</v>
      </c>
      <c r="AU262" s="436" t="str">
        <f t="array" ref="AU262">IF(X262=DGET(claves!$A$2:$AS423,X$2,{claves!$A$2;$E262}),1,0)</f>
        <v>#VALUE!</v>
      </c>
      <c r="AV262" s="436" t="str">
        <f t="array" ref="AV262">IF(Y262=DGET(claves!$A$2:$AS423,Y$2,{claves!$A$2;$E262}),1,0)</f>
        <v>#VALUE!</v>
      </c>
      <c r="AW262" s="436" t="str">
        <f t="array" ref="AW262">IF(Z262=DGET(claves!$A$2:$AS423,Z$2,{claves!$A$2;$E262}),1,0)</f>
        <v>#VALUE!</v>
      </c>
      <c r="AX262" s="436" t="str">
        <f t="array" ref="AX262">IF(AA262=DGET(claves!$A$2:$AS423,AA$2,{claves!$A$2;$E262}),1,0)</f>
        <v>#VALUE!</v>
      </c>
      <c r="AY262" s="436" t="str">
        <f t="array" ref="AY262">IF(AB262=DGET(claves!$A$2:$AS423,AB$2,{claves!$A$2;$E262}),1,0)</f>
        <v>#VALUE!</v>
      </c>
      <c r="AZ262" s="436" t="str">
        <f t="array" ref="AZ262">IF(AC262=DGET(claves!$A$2:$AS423,AC$2,{claves!$A$2;$E262}),1,0)</f>
        <v>#VALUE!</v>
      </c>
      <c r="BA262" s="436" t="str">
        <f t="array" ref="BA262">IF(AD262=DGET(claves!$A$2:$AS423,AD$2,{claves!$A$2;$E262}),1,0)</f>
        <v>#VALUE!</v>
      </c>
      <c r="BB262" s="436" t="str">
        <f t="array" ref="BB262">IF(AE262=DGET(claves!$A$2:$AS423,AE$2,{claves!$A$2;$E262}),1,0)</f>
        <v>#VALUE!</v>
      </c>
      <c r="BC262" s="436" t="str">
        <f t="array" ref="BC262">IF(AF262=DGET(claves!$A$2:$AS423,AF$2,{claves!$A$2;$E262}),1,0)</f>
        <v>#VALUE!</v>
      </c>
      <c r="BD262" s="437" t="str">
        <f t="shared" si="1"/>
        <v>#VALUE!</v>
      </c>
      <c r="BE262" s="435"/>
      <c r="BF262" s="415"/>
    </row>
    <row r="263" ht="14.25" customHeight="1">
      <c r="A263" s="408">
        <v>261.0</v>
      </c>
      <c r="B263" s="153" t="s">
        <v>1927</v>
      </c>
      <c r="C263" s="153">
        <v>2024.0</v>
      </c>
      <c r="D263" s="77" t="s">
        <v>362</v>
      </c>
      <c r="E263" s="409" t="str">
        <f>IFERROR(__xludf.DUMMYFUNCTION("ARRAYFORMULA(JOIN("""", ARRAYFORMULA(MID(SPLIT(F263, "" ""), 1, 1))))
&amp;""/""&amp;G263"),"MC/2 Primaria")</f>
        <v>MC/2 Primaria</v>
      </c>
      <c r="F263" s="77" t="s">
        <v>1654</v>
      </c>
      <c r="G263" s="432" t="s">
        <v>15</v>
      </c>
      <c r="H263" s="433" t="s">
        <v>1954</v>
      </c>
      <c r="I263" s="433" t="s">
        <v>1955</v>
      </c>
      <c r="J263" s="433" t="s">
        <v>1956</v>
      </c>
      <c r="K263" s="432" t="s">
        <v>1665</v>
      </c>
      <c r="L263" s="415"/>
      <c r="M263" s="434" t="s">
        <v>1659</v>
      </c>
      <c r="N263" s="434" t="s">
        <v>1661</v>
      </c>
      <c r="O263" s="434" t="s">
        <v>1659</v>
      </c>
      <c r="P263" s="434" t="s">
        <v>1659</v>
      </c>
      <c r="Q263" s="434" t="s">
        <v>1659</v>
      </c>
      <c r="R263" s="434" t="s">
        <v>1660</v>
      </c>
      <c r="S263" s="434" t="s">
        <v>1661</v>
      </c>
      <c r="T263" s="434" t="s">
        <v>1661</v>
      </c>
      <c r="U263" s="434" t="s">
        <v>1661</v>
      </c>
      <c r="V263" s="434" t="s">
        <v>1660</v>
      </c>
      <c r="W263" s="434" t="s">
        <v>1659</v>
      </c>
      <c r="X263" s="434" t="s">
        <v>1661</v>
      </c>
      <c r="Y263" s="434" t="s">
        <v>1661</v>
      </c>
      <c r="Z263" s="434" t="s">
        <v>1661</v>
      </c>
      <c r="AA263" s="434" t="s">
        <v>1659</v>
      </c>
      <c r="AB263" s="434" t="s">
        <v>1660</v>
      </c>
      <c r="AC263" s="434" t="s">
        <v>1659</v>
      </c>
      <c r="AD263" s="434" t="s">
        <v>1660</v>
      </c>
      <c r="AE263" s="434" t="s">
        <v>1659</v>
      </c>
      <c r="AF263" s="434" t="s">
        <v>1661</v>
      </c>
      <c r="AG263" s="427">
        <v>12.0</v>
      </c>
      <c r="AH263" s="435" t="s">
        <v>24</v>
      </c>
      <c r="AI263" s="415"/>
      <c r="AJ263" s="436" t="str">
        <f t="array" ref="AJ263">IF(M263=DGET(claves!$A$2:$AS423,M$2,{claves!$A$2;$E263}),1,0)</f>
        <v>#VALUE!</v>
      </c>
      <c r="AK263" s="436" t="str">
        <f t="array" ref="AK263">IF(N263=DGET(claves!$A$2:$AS423,N$2,{claves!$A$2;$E263}),1,0)</f>
        <v>#VALUE!</v>
      </c>
      <c r="AL263" s="436" t="str">
        <f t="array" ref="AL263">IF(O263=DGET(claves!$A$2:$AS423,O$2,{claves!$A$2;$E263}),1,0)</f>
        <v>#VALUE!</v>
      </c>
      <c r="AM263" s="436" t="str">
        <f t="array" ref="AM263">IF(P263=DGET(claves!$A$2:$AS423,P$2,{claves!$A$2;$E263}),1,0)</f>
        <v>#VALUE!</v>
      </c>
      <c r="AN263" s="436" t="str">
        <f t="array" ref="AN263">IF(Q263=DGET(claves!$A$2:$AS423,Q$2,{claves!$A$2;$E263}),1,0)</f>
        <v>#VALUE!</v>
      </c>
      <c r="AO263" s="436" t="str">
        <f t="array" ref="AO263">IF(R263=DGET(claves!$A$2:$AS423,R$2,{claves!$A$2;$E263}),1,0)</f>
        <v>#VALUE!</v>
      </c>
      <c r="AP263" s="436" t="str">
        <f t="array" ref="AP263">IF(S263=DGET(claves!$A$2:$AS423,S$2,{claves!$A$2;$E263}),1,0)</f>
        <v>#VALUE!</v>
      </c>
      <c r="AQ263" s="436" t="str">
        <f t="array" ref="AQ263">IF(T263=DGET(claves!$A$2:$AS423,T$2,{claves!$A$2;$E263}),1,0)</f>
        <v>#VALUE!</v>
      </c>
      <c r="AR263" s="436" t="str">
        <f t="array" ref="AR263">IF(U263=DGET(claves!$A$2:$AS423,U$2,{claves!$A$2;$E263}),1,0)</f>
        <v>#VALUE!</v>
      </c>
      <c r="AS263" s="436" t="str">
        <f t="array" ref="AS263">IF(V263=DGET(claves!$A$2:$AS423,V$2,{claves!$A$2;$E263}),1,0)</f>
        <v>#VALUE!</v>
      </c>
      <c r="AT263" s="436" t="str">
        <f t="array" ref="AT263">IF(W263=DGET(claves!$A$2:$AS423,W$2,{claves!$A$2;$E263}),1,0)</f>
        <v>#VALUE!</v>
      </c>
      <c r="AU263" s="436" t="str">
        <f t="array" ref="AU263">IF(X263=DGET(claves!$A$2:$AS423,X$2,{claves!$A$2;$E263}),1,0)</f>
        <v>#VALUE!</v>
      </c>
      <c r="AV263" s="436" t="str">
        <f t="array" ref="AV263">IF(Y263=DGET(claves!$A$2:$AS423,Y$2,{claves!$A$2;$E263}),1,0)</f>
        <v>#VALUE!</v>
      </c>
      <c r="AW263" s="436" t="str">
        <f t="array" ref="AW263">IF(Z263=DGET(claves!$A$2:$AS423,Z$2,{claves!$A$2;$E263}),1,0)</f>
        <v>#VALUE!</v>
      </c>
      <c r="AX263" s="436" t="str">
        <f t="array" ref="AX263">IF(AA263=DGET(claves!$A$2:$AS423,AA$2,{claves!$A$2;$E263}),1,0)</f>
        <v>#VALUE!</v>
      </c>
      <c r="AY263" s="436" t="str">
        <f t="array" ref="AY263">IF(AB263=DGET(claves!$A$2:$AS423,AB$2,{claves!$A$2;$E263}),1,0)</f>
        <v>#VALUE!</v>
      </c>
      <c r="AZ263" s="436" t="str">
        <f t="array" ref="AZ263">IF(AC263=DGET(claves!$A$2:$AS423,AC$2,{claves!$A$2;$E263}),1,0)</f>
        <v>#VALUE!</v>
      </c>
      <c r="BA263" s="436" t="str">
        <f t="array" ref="BA263">IF(AD263=DGET(claves!$A$2:$AS423,AD$2,{claves!$A$2;$E263}),1,0)</f>
        <v>#VALUE!</v>
      </c>
      <c r="BB263" s="436" t="str">
        <f t="array" ref="BB263">IF(AE263=DGET(claves!$A$2:$AS423,AE$2,{claves!$A$2;$E263}),1,0)</f>
        <v>#VALUE!</v>
      </c>
      <c r="BC263" s="436" t="str">
        <f t="array" ref="BC263">IF(AF263=DGET(claves!$A$2:$AS423,AF$2,{claves!$A$2;$E263}),1,0)</f>
        <v>#VALUE!</v>
      </c>
      <c r="BD263" s="437" t="str">
        <f t="shared" si="1"/>
        <v>#VALUE!</v>
      </c>
      <c r="BE263" s="435" t="s">
        <v>1468</v>
      </c>
      <c r="BF263" s="415"/>
    </row>
    <row r="264" ht="14.25" customHeight="1">
      <c r="A264" s="408">
        <v>262.0</v>
      </c>
      <c r="B264" s="153" t="s">
        <v>1927</v>
      </c>
      <c r="C264" s="153">
        <v>2024.0</v>
      </c>
      <c r="D264" s="77" t="s">
        <v>1817</v>
      </c>
      <c r="E264" s="409" t="str">
        <f>IFERROR(__xludf.DUMMYFUNCTION("ARRAYFORMULA(JOIN("""", ARRAYFORMULA(MID(SPLIT(F264, "" ""), 1, 1))))
&amp;""/""&amp;G264"),"CLC/2 Primaria")</f>
        <v>CLC/2 Primaria</v>
      </c>
      <c r="F264" s="77" t="s">
        <v>1819</v>
      </c>
      <c r="G264" s="432" t="s">
        <v>15</v>
      </c>
      <c r="H264" s="433" t="s">
        <v>1954</v>
      </c>
      <c r="I264" s="433" t="s">
        <v>1955</v>
      </c>
      <c r="J264" s="433" t="s">
        <v>1956</v>
      </c>
      <c r="K264" s="432" t="s">
        <v>1665</v>
      </c>
      <c r="L264" s="415"/>
      <c r="M264" s="434" t="s">
        <v>1661</v>
      </c>
      <c r="N264" s="434" t="s">
        <v>1660</v>
      </c>
      <c r="O264" s="434" t="s">
        <v>1659</v>
      </c>
      <c r="P264" s="434" t="s">
        <v>1661</v>
      </c>
      <c r="Q264" s="434" t="s">
        <v>1659</v>
      </c>
      <c r="R264" s="434" t="s">
        <v>1661</v>
      </c>
      <c r="S264" s="434" t="s">
        <v>1659</v>
      </c>
      <c r="T264" s="434" t="s">
        <v>1661</v>
      </c>
      <c r="U264" s="434" t="s">
        <v>1660</v>
      </c>
      <c r="V264" s="434" t="s">
        <v>1659</v>
      </c>
      <c r="W264" s="434" t="s">
        <v>1661</v>
      </c>
      <c r="X264" s="434" t="s">
        <v>1659</v>
      </c>
      <c r="Y264" s="434" t="s">
        <v>1661</v>
      </c>
      <c r="Z264" s="434" t="s">
        <v>1659</v>
      </c>
      <c r="AA264" s="434" t="s">
        <v>1661</v>
      </c>
      <c r="AB264" s="434" t="s">
        <v>1659</v>
      </c>
      <c r="AC264" s="434"/>
      <c r="AD264" s="434" t="s">
        <v>1660</v>
      </c>
      <c r="AE264" s="434" t="s">
        <v>1659</v>
      </c>
      <c r="AF264" s="434" t="s">
        <v>1659</v>
      </c>
      <c r="AG264" s="427">
        <v>17.0</v>
      </c>
      <c r="AH264" s="438" t="s">
        <v>32</v>
      </c>
      <c r="AI264" s="415"/>
      <c r="AJ264" s="436" t="str">
        <f t="array" ref="AJ264">IF(M264=DGET(claves!$A$2:$AS423,M$2,{claves!$A$2;$E264}),1,0)</f>
        <v>#VALUE!</v>
      </c>
      <c r="AK264" s="436" t="str">
        <f t="array" ref="AK264">IF(N264=DGET(claves!$A$2:$AS423,N$2,{claves!$A$2;$E264}),1,0)</f>
        <v>#VALUE!</v>
      </c>
      <c r="AL264" s="436" t="str">
        <f t="array" ref="AL264">IF(O264=DGET(claves!$A$2:$AS423,O$2,{claves!$A$2;$E264}),1,0)</f>
        <v>#VALUE!</v>
      </c>
      <c r="AM264" s="436" t="str">
        <f t="array" ref="AM264">IF(P264=DGET(claves!$A$2:$AS423,P$2,{claves!$A$2;$E264}),1,0)</f>
        <v>#VALUE!</v>
      </c>
      <c r="AN264" s="436" t="str">
        <f t="array" ref="AN264">IF(Q264=DGET(claves!$A$2:$AS423,Q$2,{claves!$A$2;$E264}),1,0)</f>
        <v>#VALUE!</v>
      </c>
      <c r="AO264" s="436" t="str">
        <f t="array" ref="AO264">IF(R264=DGET(claves!$A$2:$AS423,R$2,{claves!$A$2;$E264}),1,0)</f>
        <v>#VALUE!</v>
      </c>
      <c r="AP264" s="436" t="str">
        <f t="array" ref="AP264">IF(S264=DGET(claves!$A$2:$AS423,S$2,{claves!$A$2;$E264}),1,0)</f>
        <v>#VALUE!</v>
      </c>
      <c r="AQ264" s="436" t="str">
        <f t="array" ref="AQ264">IF(T264=DGET(claves!$A$2:$AS423,T$2,{claves!$A$2;$E264}),1,0)</f>
        <v>#VALUE!</v>
      </c>
      <c r="AR264" s="436" t="str">
        <f t="array" ref="AR264">IF(U264=DGET(claves!$A$2:$AS423,U$2,{claves!$A$2;$E264}),1,0)</f>
        <v>#VALUE!</v>
      </c>
      <c r="AS264" s="436" t="str">
        <f t="array" ref="AS264">IF(V264=DGET(claves!$A$2:$AS423,V$2,{claves!$A$2;$E264}),1,0)</f>
        <v>#VALUE!</v>
      </c>
      <c r="AT264" s="436" t="str">
        <f t="array" ref="AT264">IF(W264=DGET(claves!$A$2:$AS423,W$2,{claves!$A$2;$E264}),1,0)</f>
        <v>#VALUE!</v>
      </c>
      <c r="AU264" s="436" t="str">
        <f t="array" ref="AU264">IF(X264=DGET(claves!$A$2:$AS423,X$2,{claves!$A$2;$E264}),1,0)</f>
        <v>#VALUE!</v>
      </c>
      <c r="AV264" s="436" t="str">
        <f t="array" ref="AV264">IF(Y264=DGET(claves!$A$2:$AS423,Y$2,{claves!$A$2;$E264}),1,0)</f>
        <v>#VALUE!</v>
      </c>
      <c r="AW264" s="436" t="str">
        <f t="array" ref="AW264">IF(Z264=DGET(claves!$A$2:$AS423,Z$2,{claves!$A$2;$E264}),1,0)</f>
        <v>#VALUE!</v>
      </c>
      <c r="AX264" s="436" t="str">
        <f t="array" ref="AX264">IF(AA264=DGET(claves!$A$2:$AS423,AA$2,{claves!$A$2;$E264}),1,0)</f>
        <v>#VALUE!</v>
      </c>
      <c r="AY264" s="436" t="str">
        <f t="array" ref="AY264">IF(AB264=DGET(claves!$A$2:$AS423,AB$2,{claves!$A$2;$E264}),1,0)</f>
        <v>#VALUE!</v>
      </c>
      <c r="AZ264" s="436" t="str">
        <f t="array" ref="AZ264">IF(AC264=DGET(claves!$A$2:$AS423,AC$2,{claves!$A$2;$E264}),1,0)</f>
        <v>#VALUE!</v>
      </c>
      <c r="BA264" s="436" t="str">
        <f t="array" ref="BA264">IF(AD264=DGET(claves!$A$2:$AS423,AD$2,{claves!$A$2;$E264}),1,0)</f>
        <v>#VALUE!</v>
      </c>
      <c r="BB264" s="436" t="str">
        <f t="array" ref="BB264">IF(AE264=DGET(claves!$A$2:$AS423,AE$2,{claves!$A$2;$E264}),1,0)</f>
        <v>#VALUE!</v>
      </c>
      <c r="BC264" s="436" t="str">
        <f t="array" ref="BC264">IF(AF264=DGET(claves!$A$2:$AS423,AF$2,{claves!$A$2;$E264}),1,0)</f>
        <v>#VALUE!</v>
      </c>
      <c r="BD264" s="437" t="str">
        <f t="shared" si="1"/>
        <v>#VALUE!</v>
      </c>
      <c r="BE264" s="435"/>
      <c r="BF264" s="415"/>
    </row>
    <row r="265" ht="14.25" customHeight="1">
      <c r="A265" s="408">
        <v>263.0</v>
      </c>
      <c r="B265" s="153" t="s">
        <v>1927</v>
      </c>
      <c r="C265" s="153">
        <v>2024.0</v>
      </c>
      <c r="D265" s="77" t="s">
        <v>362</v>
      </c>
      <c r="E265" s="409" t="str">
        <f>IFERROR(__xludf.DUMMYFUNCTION("ARRAYFORMULA(JOIN("""", ARRAYFORMULA(MID(SPLIT(F265, "" ""), 1, 1))))
&amp;""/""&amp;G265"),"MC/2 Primaria")</f>
        <v>MC/2 Primaria</v>
      </c>
      <c r="F265" s="77" t="s">
        <v>1654</v>
      </c>
      <c r="G265" s="432" t="s">
        <v>15</v>
      </c>
      <c r="H265" s="433" t="s">
        <v>1957</v>
      </c>
      <c r="I265" s="433" t="s">
        <v>1667</v>
      </c>
      <c r="J265" s="433" t="s">
        <v>1958</v>
      </c>
      <c r="K265" s="433" t="s">
        <v>1658</v>
      </c>
      <c r="L265" s="415"/>
      <c r="M265" s="434" t="s">
        <v>1659</v>
      </c>
      <c r="N265" s="434" t="s">
        <v>1661</v>
      </c>
      <c r="O265" s="434" t="s">
        <v>1659</v>
      </c>
      <c r="P265" s="434" t="s">
        <v>1659</v>
      </c>
      <c r="Q265" s="434" t="s">
        <v>1659</v>
      </c>
      <c r="R265" s="434" t="s">
        <v>1660</v>
      </c>
      <c r="S265" s="434" t="s">
        <v>1661</v>
      </c>
      <c r="T265" s="434" t="s">
        <v>1661</v>
      </c>
      <c r="U265" s="434" t="s">
        <v>1659</v>
      </c>
      <c r="V265" s="434" t="s">
        <v>1660</v>
      </c>
      <c r="W265" s="434" t="s">
        <v>1661</v>
      </c>
      <c r="X265" s="434" t="s">
        <v>1660</v>
      </c>
      <c r="Y265" s="434" t="s">
        <v>1660</v>
      </c>
      <c r="Z265" s="434" t="s">
        <v>1661</v>
      </c>
      <c r="AA265" s="434" t="s">
        <v>1659</v>
      </c>
      <c r="AB265" s="434" t="s">
        <v>1661</v>
      </c>
      <c r="AC265" s="434" t="s">
        <v>1659</v>
      </c>
      <c r="AD265" s="434" t="s">
        <v>1660</v>
      </c>
      <c r="AE265" s="434" t="s">
        <v>1661</v>
      </c>
      <c r="AF265" s="434" t="s">
        <v>1659</v>
      </c>
      <c r="AG265" s="427">
        <v>17.0</v>
      </c>
      <c r="AH265" s="438" t="s">
        <v>32</v>
      </c>
      <c r="AI265" s="415"/>
      <c r="AJ265" s="436" t="str">
        <f t="array" ref="AJ265">IF(M265=DGET(claves!$A$2:$AS423,M$2,{claves!$A$2;$E265}),1,0)</f>
        <v>#VALUE!</v>
      </c>
      <c r="AK265" s="436" t="str">
        <f t="array" ref="AK265">IF(N265=DGET(claves!$A$2:$AS423,N$2,{claves!$A$2;$E265}),1,0)</f>
        <v>#VALUE!</v>
      </c>
      <c r="AL265" s="436" t="str">
        <f t="array" ref="AL265">IF(O265=DGET(claves!$A$2:$AS423,O$2,{claves!$A$2;$E265}),1,0)</f>
        <v>#VALUE!</v>
      </c>
      <c r="AM265" s="436" t="str">
        <f t="array" ref="AM265">IF(P265=DGET(claves!$A$2:$AS423,P$2,{claves!$A$2;$E265}),1,0)</f>
        <v>#VALUE!</v>
      </c>
      <c r="AN265" s="436" t="str">
        <f t="array" ref="AN265">IF(Q265=DGET(claves!$A$2:$AS423,Q$2,{claves!$A$2;$E265}),1,0)</f>
        <v>#VALUE!</v>
      </c>
      <c r="AO265" s="436" t="str">
        <f t="array" ref="AO265">IF(R265=DGET(claves!$A$2:$AS423,R$2,{claves!$A$2;$E265}),1,0)</f>
        <v>#VALUE!</v>
      </c>
      <c r="AP265" s="436" t="str">
        <f t="array" ref="AP265">IF(S265=DGET(claves!$A$2:$AS423,S$2,{claves!$A$2;$E265}),1,0)</f>
        <v>#VALUE!</v>
      </c>
      <c r="AQ265" s="436" t="str">
        <f t="array" ref="AQ265">IF(T265=DGET(claves!$A$2:$AS423,T$2,{claves!$A$2;$E265}),1,0)</f>
        <v>#VALUE!</v>
      </c>
      <c r="AR265" s="436" t="str">
        <f t="array" ref="AR265">IF(U265=DGET(claves!$A$2:$AS423,U$2,{claves!$A$2;$E265}),1,0)</f>
        <v>#VALUE!</v>
      </c>
      <c r="AS265" s="436" t="str">
        <f t="array" ref="AS265">IF(V265=DGET(claves!$A$2:$AS423,V$2,{claves!$A$2;$E265}),1,0)</f>
        <v>#VALUE!</v>
      </c>
      <c r="AT265" s="436" t="str">
        <f t="array" ref="AT265">IF(W265=DGET(claves!$A$2:$AS423,W$2,{claves!$A$2;$E265}),1,0)</f>
        <v>#VALUE!</v>
      </c>
      <c r="AU265" s="436" t="str">
        <f t="array" ref="AU265">IF(X265=DGET(claves!$A$2:$AS423,X$2,{claves!$A$2;$E265}),1,0)</f>
        <v>#VALUE!</v>
      </c>
      <c r="AV265" s="436" t="str">
        <f t="array" ref="AV265">IF(Y265=DGET(claves!$A$2:$AS423,Y$2,{claves!$A$2;$E265}),1,0)</f>
        <v>#VALUE!</v>
      </c>
      <c r="AW265" s="436" t="str">
        <f t="array" ref="AW265">IF(Z265=DGET(claves!$A$2:$AS423,Z$2,{claves!$A$2;$E265}),1,0)</f>
        <v>#VALUE!</v>
      </c>
      <c r="AX265" s="436" t="str">
        <f t="array" ref="AX265">IF(AA265=DGET(claves!$A$2:$AS423,AA$2,{claves!$A$2;$E265}),1,0)</f>
        <v>#VALUE!</v>
      </c>
      <c r="AY265" s="436" t="str">
        <f t="array" ref="AY265">IF(AB265=DGET(claves!$A$2:$AS423,AB$2,{claves!$A$2;$E265}),1,0)</f>
        <v>#VALUE!</v>
      </c>
      <c r="AZ265" s="436" t="str">
        <f t="array" ref="AZ265">IF(AC265=DGET(claves!$A$2:$AS423,AC$2,{claves!$A$2;$E265}),1,0)</f>
        <v>#VALUE!</v>
      </c>
      <c r="BA265" s="436" t="str">
        <f t="array" ref="BA265">IF(AD265=DGET(claves!$A$2:$AS423,AD$2,{claves!$A$2;$E265}),1,0)</f>
        <v>#VALUE!</v>
      </c>
      <c r="BB265" s="436" t="str">
        <f t="array" ref="BB265">IF(AE265=DGET(claves!$A$2:$AS423,AE$2,{claves!$A$2;$E265}),1,0)</f>
        <v>#VALUE!</v>
      </c>
      <c r="BC265" s="436" t="str">
        <f t="array" ref="BC265">IF(AF265=DGET(claves!$A$2:$AS423,AF$2,{claves!$A$2;$E265}),1,0)</f>
        <v>#VALUE!</v>
      </c>
      <c r="BD265" s="437" t="str">
        <f t="shared" si="1"/>
        <v>#VALUE!</v>
      </c>
      <c r="BE265" s="435" t="s">
        <v>1468</v>
      </c>
      <c r="BF265" s="415"/>
    </row>
    <row r="266" ht="14.25" customHeight="1">
      <c r="A266" s="408">
        <v>264.0</v>
      </c>
      <c r="B266" s="153" t="s">
        <v>1927</v>
      </c>
      <c r="C266" s="153">
        <v>2024.0</v>
      </c>
      <c r="D266" s="77" t="s">
        <v>1817</v>
      </c>
      <c r="E266" s="409" t="str">
        <f>IFERROR(__xludf.DUMMYFUNCTION("ARRAYFORMULA(JOIN("""", ARRAYFORMULA(MID(SPLIT(F266, "" ""), 1, 1))))
&amp;""/""&amp;G266"),"CLC/2 Primaria")</f>
        <v>CLC/2 Primaria</v>
      </c>
      <c r="F266" s="77" t="s">
        <v>1819</v>
      </c>
      <c r="G266" s="432" t="s">
        <v>15</v>
      </c>
      <c r="H266" s="433" t="s">
        <v>1957</v>
      </c>
      <c r="I266" s="433" t="s">
        <v>1667</v>
      </c>
      <c r="J266" s="433" t="s">
        <v>1958</v>
      </c>
      <c r="K266" s="433" t="s">
        <v>1658</v>
      </c>
      <c r="L266" s="415"/>
      <c r="M266" s="434" t="s">
        <v>1661</v>
      </c>
      <c r="N266" s="434" t="s">
        <v>1660</v>
      </c>
      <c r="O266" s="434" t="s">
        <v>1659</v>
      </c>
      <c r="P266" s="434" t="s">
        <v>1661</v>
      </c>
      <c r="Q266" s="434" t="s">
        <v>1659</v>
      </c>
      <c r="R266" s="434" t="s">
        <v>1661</v>
      </c>
      <c r="S266" s="434" t="s">
        <v>1659</v>
      </c>
      <c r="T266" s="434" t="s">
        <v>1659</v>
      </c>
      <c r="U266" s="434" t="s">
        <v>1661</v>
      </c>
      <c r="V266" s="434" t="s">
        <v>1659</v>
      </c>
      <c r="W266" s="434" t="s">
        <v>1661</v>
      </c>
      <c r="X266" s="434" t="s">
        <v>1659</v>
      </c>
      <c r="Y266" s="434" t="s">
        <v>1660</v>
      </c>
      <c r="Z266" s="434" t="s">
        <v>1659</v>
      </c>
      <c r="AA266" s="434" t="s">
        <v>1659</v>
      </c>
      <c r="AB266" s="434" t="s">
        <v>1659</v>
      </c>
      <c r="AC266" s="434" t="s">
        <v>1661</v>
      </c>
      <c r="AD266" s="434" t="s">
        <v>1660</v>
      </c>
      <c r="AE266" s="434" t="s">
        <v>1660</v>
      </c>
      <c r="AF266" s="434" t="s">
        <v>1659</v>
      </c>
      <c r="AG266" s="427">
        <v>16.0</v>
      </c>
      <c r="AH266" s="435" t="s">
        <v>24</v>
      </c>
      <c r="AI266" s="415"/>
      <c r="AJ266" s="436" t="str">
        <f t="array" ref="AJ266">IF(M266=DGET(claves!$A$2:$AS423,M$2,{claves!$A$2;$E266}),1,0)</f>
        <v>#VALUE!</v>
      </c>
      <c r="AK266" s="436" t="str">
        <f t="array" ref="AK266">IF(N266=DGET(claves!$A$2:$AS423,N$2,{claves!$A$2;$E266}),1,0)</f>
        <v>#VALUE!</v>
      </c>
      <c r="AL266" s="436" t="str">
        <f t="array" ref="AL266">IF(O266=DGET(claves!$A$2:$AS423,O$2,{claves!$A$2;$E266}),1,0)</f>
        <v>#VALUE!</v>
      </c>
      <c r="AM266" s="436" t="str">
        <f t="array" ref="AM266">IF(P266=DGET(claves!$A$2:$AS423,P$2,{claves!$A$2;$E266}),1,0)</f>
        <v>#VALUE!</v>
      </c>
      <c r="AN266" s="436" t="str">
        <f t="array" ref="AN266">IF(Q266=DGET(claves!$A$2:$AS423,Q$2,{claves!$A$2;$E266}),1,0)</f>
        <v>#VALUE!</v>
      </c>
      <c r="AO266" s="436" t="str">
        <f t="array" ref="AO266">IF(R266=DGET(claves!$A$2:$AS423,R$2,{claves!$A$2;$E266}),1,0)</f>
        <v>#VALUE!</v>
      </c>
      <c r="AP266" s="436" t="str">
        <f t="array" ref="AP266">IF(S266=DGET(claves!$A$2:$AS423,S$2,{claves!$A$2;$E266}),1,0)</f>
        <v>#VALUE!</v>
      </c>
      <c r="AQ266" s="436" t="str">
        <f t="array" ref="AQ266">IF(T266=DGET(claves!$A$2:$AS423,T$2,{claves!$A$2;$E266}),1,0)</f>
        <v>#VALUE!</v>
      </c>
      <c r="AR266" s="436" t="str">
        <f t="array" ref="AR266">IF(U266=DGET(claves!$A$2:$AS423,U$2,{claves!$A$2;$E266}),1,0)</f>
        <v>#VALUE!</v>
      </c>
      <c r="AS266" s="436" t="str">
        <f t="array" ref="AS266">IF(V266=DGET(claves!$A$2:$AS423,V$2,{claves!$A$2;$E266}),1,0)</f>
        <v>#VALUE!</v>
      </c>
      <c r="AT266" s="436" t="str">
        <f t="array" ref="AT266">IF(W266=DGET(claves!$A$2:$AS423,W$2,{claves!$A$2;$E266}),1,0)</f>
        <v>#VALUE!</v>
      </c>
      <c r="AU266" s="436" t="str">
        <f t="array" ref="AU266">IF(X266=DGET(claves!$A$2:$AS423,X$2,{claves!$A$2;$E266}),1,0)</f>
        <v>#VALUE!</v>
      </c>
      <c r="AV266" s="436" t="str">
        <f t="array" ref="AV266">IF(Y266=DGET(claves!$A$2:$AS423,Y$2,{claves!$A$2;$E266}),1,0)</f>
        <v>#VALUE!</v>
      </c>
      <c r="AW266" s="436" t="str">
        <f t="array" ref="AW266">IF(Z266=DGET(claves!$A$2:$AS423,Z$2,{claves!$A$2;$E266}),1,0)</f>
        <v>#VALUE!</v>
      </c>
      <c r="AX266" s="436" t="str">
        <f t="array" ref="AX266">IF(AA266=DGET(claves!$A$2:$AS423,AA$2,{claves!$A$2;$E266}),1,0)</f>
        <v>#VALUE!</v>
      </c>
      <c r="AY266" s="436" t="str">
        <f t="array" ref="AY266">IF(AB266=DGET(claves!$A$2:$AS423,AB$2,{claves!$A$2;$E266}),1,0)</f>
        <v>#VALUE!</v>
      </c>
      <c r="AZ266" s="436" t="str">
        <f t="array" ref="AZ266">IF(AC266=DGET(claves!$A$2:$AS423,AC$2,{claves!$A$2;$E266}),1,0)</f>
        <v>#VALUE!</v>
      </c>
      <c r="BA266" s="436" t="str">
        <f t="array" ref="BA266">IF(AD266=DGET(claves!$A$2:$AS423,AD$2,{claves!$A$2;$E266}),1,0)</f>
        <v>#VALUE!</v>
      </c>
      <c r="BB266" s="436" t="str">
        <f t="array" ref="BB266">IF(AE266=DGET(claves!$A$2:$AS423,AE$2,{claves!$A$2;$E266}),1,0)</f>
        <v>#VALUE!</v>
      </c>
      <c r="BC266" s="436" t="str">
        <f t="array" ref="BC266">IF(AF266=DGET(claves!$A$2:$AS423,AF$2,{claves!$A$2;$E266}),1,0)</f>
        <v>#VALUE!</v>
      </c>
      <c r="BD266" s="437" t="str">
        <f t="shared" si="1"/>
        <v>#VALUE!</v>
      </c>
      <c r="BE266" s="435"/>
      <c r="BF266" s="415"/>
    </row>
    <row r="267" ht="14.25" customHeight="1">
      <c r="A267" s="408">
        <v>265.0</v>
      </c>
      <c r="B267" s="153" t="s">
        <v>1927</v>
      </c>
      <c r="C267" s="153">
        <v>2024.0</v>
      </c>
      <c r="D267" s="77" t="s">
        <v>362</v>
      </c>
      <c r="E267" s="409" t="str">
        <f>IFERROR(__xludf.DUMMYFUNCTION("ARRAYFORMULA(JOIN("""", ARRAYFORMULA(MID(SPLIT(F267, "" ""), 1, 1))))
&amp;""/""&amp;G267"),"MC/4 Primaria")</f>
        <v>MC/4 Primaria</v>
      </c>
      <c r="F267" s="77" t="s">
        <v>1654</v>
      </c>
      <c r="G267" s="432" t="s">
        <v>20</v>
      </c>
      <c r="H267" s="433" t="s">
        <v>1883</v>
      </c>
      <c r="I267" s="433" t="s">
        <v>1935</v>
      </c>
      <c r="J267" s="433" t="s">
        <v>1959</v>
      </c>
      <c r="K267" s="433" t="s">
        <v>1658</v>
      </c>
      <c r="L267" s="415"/>
      <c r="M267" s="434" t="s">
        <v>1689</v>
      </c>
      <c r="N267" s="434" t="s">
        <v>1661</v>
      </c>
      <c r="O267" s="434" t="s">
        <v>1689</v>
      </c>
      <c r="P267" s="434" t="s">
        <v>1659</v>
      </c>
      <c r="Q267" s="434" t="s">
        <v>1661</v>
      </c>
      <c r="R267" s="434" t="s">
        <v>1689</v>
      </c>
      <c r="S267" s="434" t="s">
        <v>1660</v>
      </c>
      <c r="T267" s="434" t="s">
        <v>1661</v>
      </c>
      <c r="U267" s="434" t="s">
        <v>1659</v>
      </c>
      <c r="V267" s="434" t="s">
        <v>1659</v>
      </c>
      <c r="W267" s="434" t="s">
        <v>1661</v>
      </c>
      <c r="X267" s="434" t="s">
        <v>1660</v>
      </c>
      <c r="Y267" s="434" t="s">
        <v>1661</v>
      </c>
      <c r="Z267" s="434" t="s">
        <v>1660</v>
      </c>
      <c r="AA267" s="434" t="s">
        <v>1659</v>
      </c>
      <c r="AB267" s="434" t="s">
        <v>1660</v>
      </c>
      <c r="AC267" s="434" t="s">
        <v>1661</v>
      </c>
      <c r="AD267" s="434" t="s">
        <v>1659</v>
      </c>
      <c r="AE267" s="434" t="s">
        <v>1660</v>
      </c>
      <c r="AF267" s="434" t="s">
        <v>1659</v>
      </c>
      <c r="AG267" s="427">
        <v>6.0</v>
      </c>
      <c r="AH267" s="435" t="s">
        <v>18</v>
      </c>
      <c r="AI267" s="415"/>
      <c r="AJ267" s="436" t="str">
        <f t="array" ref="AJ267">IF(M267=DGET(claves!$A$2:$AS423,M$2,{claves!$A$2;$E267}),1,0)</f>
        <v>#VALUE!</v>
      </c>
      <c r="AK267" s="436" t="str">
        <f t="array" ref="AK267">IF(N267=DGET(claves!$A$2:$AS423,N$2,{claves!$A$2;$E267}),1,0)</f>
        <v>#VALUE!</v>
      </c>
      <c r="AL267" s="436" t="str">
        <f t="array" ref="AL267">IF(O267=DGET(claves!$A$2:$AS423,O$2,{claves!$A$2;$E267}),1,0)</f>
        <v>#VALUE!</v>
      </c>
      <c r="AM267" s="436" t="str">
        <f t="array" ref="AM267">IF(P267=DGET(claves!$A$2:$AS423,P$2,{claves!$A$2;$E267}),1,0)</f>
        <v>#VALUE!</v>
      </c>
      <c r="AN267" s="436" t="str">
        <f t="array" ref="AN267">IF(Q267=DGET(claves!$A$2:$AS423,Q$2,{claves!$A$2;$E267}),1,0)</f>
        <v>#VALUE!</v>
      </c>
      <c r="AO267" s="436" t="str">
        <f t="array" ref="AO267">IF(R267=DGET(claves!$A$2:$AS423,R$2,{claves!$A$2;$E267}),1,0)</f>
        <v>#VALUE!</v>
      </c>
      <c r="AP267" s="436" t="str">
        <f t="array" ref="AP267">IF(S267=DGET(claves!$A$2:$AS423,S$2,{claves!$A$2;$E267}),1,0)</f>
        <v>#VALUE!</v>
      </c>
      <c r="AQ267" s="436" t="str">
        <f t="array" ref="AQ267">IF(T267=DGET(claves!$A$2:$AS423,T$2,{claves!$A$2;$E267}),1,0)</f>
        <v>#VALUE!</v>
      </c>
      <c r="AR267" s="436" t="str">
        <f t="array" ref="AR267">IF(U267=DGET(claves!$A$2:$AS423,U$2,{claves!$A$2;$E267}),1,0)</f>
        <v>#VALUE!</v>
      </c>
      <c r="AS267" s="436" t="str">
        <f t="array" ref="AS267">IF(V267=DGET(claves!$A$2:$AS423,V$2,{claves!$A$2;$E267}),1,0)</f>
        <v>#VALUE!</v>
      </c>
      <c r="AT267" s="436" t="str">
        <f t="array" ref="AT267">IF(W267=DGET(claves!$A$2:$AS423,W$2,{claves!$A$2;$E267}),1,0)</f>
        <v>#VALUE!</v>
      </c>
      <c r="AU267" s="436" t="str">
        <f t="array" ref="AU267">IF(X267=DGET(claves!$A$2:$AS423,X$2,{claves!$A$2;$E267}),1,0)</f>
        <v>#VALUE!</v>
      </c>
      <c r="AV267" s="436" t="str">
        <f t="array" ref="AV267">IF(Y267=DGET(claves!$A$2:$AS423,Y$2,{claves!$A$2;$E267}),1,0)</f>
        <v>#VALUE!</v>
      </c>
      <c r="AW267" s="436" t="str">
        <f t="array" ref="AW267">IF(Z267=DGET(claves!$A$2:$AS423,Z$2,{claves!$A$2;$E267}),1,0)</f>
        <v>#VALUE!</v>
      </c>
      <c r="AX267" s="436" t="str">
        <f t="array" ref="AX267">IF(AA267=DGET(claves!$A$2:$AS423,AA$2,{claves!$A$2;$E267}),1,0)</f>
        <v>#VALUE!</v>
      </c>
      <c r="AY267" s="436" t="str">
        <f t="array" ref="AY267">IF(AB267=DGET(claves!$A$2:$AS423,AB$2,{claves!$A$2;$E267}),1,0)</f>
        <v>#VALUE!</v>
      </c>
      <c r="AZ267" s="436" t="str">
        <f t="array" ref="AZ267">IF(AC267=DGET(claves!$A$2:$AS423,AC$2,{claves!$A$2;$E267}),1,0)</f>
        <v>#VALUE!</v>
      </c>
      <c r="BA267" s="436" t="str">
        <f t="array" ref="BA267">IF(AD267=DGET(claves!$A$2:$AS423,AD$2,{claves!$A$2;$E267}),1,0)</f>
        <v>#VALUE!</v>
      </c>
      <c r="BB267" s="436" t="str">
        <f t="array" ref="BB267">IF(AE267=DGET(claves!$A$2:$AS423,AE$2,{claves!$A$2;$E267}),1,0)</f>
        <v>#VALUE!</v>
      </c>
      <c r="BC267" s="436" t="str">
        <f t="array" ref="BC267">IF(AF267=DGET(claves!$A$2:$AS423,AF$2,{claves!$A$2;$E267}),1,0)</f>
        <v>#VALUE!</v>
      </c>
      <c r="BD267" s="437" t="str">
        <f t="shared" si="1"/>
        <v>#VALUE!</v>
      </c>
      <c r="BE267" s="435" t="s">
        <v>1468</v>
      </c>
      <c r="BF267" s="415"/>
    </row>
    <row r="268" ht="14.25" customHeight="1">
      <c r="A268" s="408">
        <v>266.0</v>
      </c>
      <c r="B268" s="153" t="s">
        <v>1927</v>
      </c>
      <c r="C268" s="153">
        <v>2024.0</v>
      </c>
      <c r="D268" s="77" t="s">
        <v>1817</v>
      </c>
      <c r="E268" s="409" t="str">
        <f>IFERROR(__xludf.DUMMYFUNCTION("ARRAYFORMULA(JOIN("""", ARRAYFORMULA(MID(SPLIT(F268, "" ""), 1, 1))))
&amp;""/""&amp;G268"),"CLC/4 Primaria")</f>
        <v>CLC/4 Primaria</v>
      </c>
      <c r="F268" s="77" t="s">
        <v>1819</v>
      </c>
      <c r="G268" s="432" t="s">
        <v>20</v>
      </c>
      <c r="H268" s="433" t="s">
        <v>1883</v>
      </c>
      <c r="I268" s="433" t="s">
        <v>1935</v>
      </c>
      <c r="J268" s="433" t="s">
        <v>1959</v>
      </c>
      <c r="K268" s="433" t="s">
        <v>1658</v>
      </c>
      <c r="L268" s="415"/>
      <c r="M268" s="434" t="s">
        <v>1659</v>
      </c>
      <c r="N268" s="434" t="s">
        <v>1689</v>
      </c>
      <c r="O268" s="434" t="s">
        <v>1689</v>
      </c>
      <c r="P268" s="434" t="s">
        <v>1660</v>
      </c>
      <c r="Q268" s="434" t="s">
        <v>1689</v>
      </c>
      <c r="R268" s="434" t="s">
        <v>1660</v>
      </c>
      <c r="S268" s="434" t="s">
        <v>1659</v>
      </c>
      <c r="T268" s="434" t="s">
        <v>1689</v>
      </c>
      <c r="U268" s="434" t="s">
        <v>1659</v>
      </c>
      <c r="V268" s="434" t="s">
        <v>1661</v>
      </c>
      <c r="W268" s="434" t="s">
        <v>1659</v>
      </c>
      <c r="X268" s="434" t="s">
        <v>1660</v>
      </c>
      <c r="Y268" s="434" t="s">
        <v>1659</v>
      </c>
      <c r="Z268" s="434" t="s">
        <v>1661</v>
      </c>
      <c r="AA268" s="434" t="s">
        <v>1660</v>
      </c>
      <c r="AB268" s="434" t="s">
        <v>1659</v>
      </c>
      <c r="AC268" s="434" t="s">
        <v>1660</v>
      </c>
      <c r="AD268" s="434" t="s">
        <v>1659</v>
      </c>
      <c r="AE268" s="434" t="s">
        <v>1659</v>
      </c>
      <c r="AF268" s="434" t="s">
        <v>1659</v>
      </c>
      <c r="AG268" s="427">
        <v>7.0</v>
      </c>
      <c r="AH268" s="435" t="s">
        <v>18</v>
      </c>
      <c r="AI268" s="415"/>
      <c r="AJ268" s="436" t="str">
        <f t="array" ref="AJ268">IF(M268=DGET(claves!$A$2:$AS423,M$2,{claves!$A$2;$E268}),1,0)</f>
        <v>#VALUE!</v>
      </c>
      <c r="AK268" s="436" t="str">
        <f t="array" ref="AK268">IF(N268=DGET(claves!$A$2:$AS423,N$2,{claves!$A$2;$E268}),1,0)</f>
        <v>#VALUE!</v>
      </c>
      <c r="AL268" s="436" t="str">
        <f t="array" ref="AL268">IF(O268=DGET(claves!$A$2:$AS423,O$2,{claves!$A$2;$E268}),1,0)</f>
        <v>#VALUE!</v>
      </c>
      <c r="AM268" s="436" t="str">
        <f t="array" ref="AM268">IF(P268=DGET(claves!$A$2:$AS423,P$2,{claves!$A$2;$E268}),1,0)</f>
        <v>#VALUE!</v>
      </c>
      <c r="AN268" s="436" t="str">
        <f t="array" ref="AN268">IF(Q268=DGET(claves!$A$2:$AS423,Q$2,{claves!$A$2;$E268}),1,0)</f>
        <v>#VALUE!</v>
      </c>
      <c r="AO268" s="436" t="str">
        <f t="array" ref="AO268">IF(R268=DGET(claves!$A$2:$AS423,R$2,{claves!$A$2;$E268}),1,0)</f>
        <v>#VALUE!</v>
      </c>
      <c r="AP268" s="436" t="str">
        <f t="array" ref="AP268">IF(S268=DGET(claves!$A$2:$AS423,S$2,{claves!$A$2;$E268}),1,0)</f>
        <v>#VALUE!</v>
      </c>
      <c r="AQ268" s="436" t="str">
        <f t="array" ref="AQ268">IF(T268=DGET(claves!$A$2:$AS423,T$2,{claves!$A$2;$E268}),1,0)</f>
        <v>#VALUE!</v>
      </c>
      <c r="AR268" s="436" t="str">
        <f t="array" ref="AR268">IF(U268=DGET(claves!$A$2:$AS423,U$2,{claves!$A$2;$E268}),1,0)</f>
        <v>#VALUE!</v>
      </c>
      <c r="AS268" s="436" t="str">
        <f t="array" ref="AS268">IF(V268=DGET(claves!$A$2:$AS423,V$2,{claves!$A$2;$E268}),1,0)</f>
        <v>#VALUE!</v>
      </c>
      <c r="AT268" s="436" t="str">
        <f t="array" ref="AT268">IF(W268=DGET(claves!$A$2:$AS423,W$2,{claves!$A$2;$E268}),1,0)</f>
        <v>#VALUE!</v>
      </c>
      <c r="AU268" s="436" t="str">
        <f t="array" ref="AU268">IF(X268=DGET(claves!$A$2:$AS423,X$2,{claves!$A$2;$E268}),1,0)</f>
        <v>#VALUE!</v>
      </c>
      <c r="AV268" s="436" t="str">
        <f t="array" ref="AV268">IF(Y268=DGET(claves!$A$2:$AS423,Y$2,{claves!$A$2;$E268}),1,0)</f>
        <v>#VALUE!</v>
      </c>
      <c r="AW268" s="436" t="str">
        <f t="array" ref="AW268">IF(Z268=DGET(claves!$A$2:$AS423,Z$2,{claves!$A$2;$E268}),1,0)</f>
        <v>#VALUE!</v>
      </c>
      <c r="AX268" s="436" t="str">
        <f t="array" ref="AX268">IF(AA268=DGET(claves!$A$2:$AS423,AA$2,{claves!$A$2;$E268}),1,0)</f>
        <v>#VALUE!</v>
      </c>
      <c r="AY268" s="436" t="str">
        <f t="array" ref="AY268">IF(AB268=DGET(claves!$A$2:$AS423,AB$2,{claves!$A$2;$E268}),1,0)</f>
        <v>#VALUE!</v>
      </c>
      <c r="AZ268" s="436" t="str">
        <f t="array" ref="AZ268">IF(AC268=DGET(claves!$A$2:$AS423,AC$2,{claves!$A$2;$E268}),1,0)</f>
        <v>#VALUE!</v>
      </c>
      <c r="BA268" s="436" t="str">
        <f t="array" ref="BA268">IF(AD268=DGET(claves!$A$2:$AS423,AD$2,{claves!$A$2;$E268}),1,0)</f>
        <v>#VALUE!</v>
      </c>
      <c r="BB268" s="436" t="str">
        <f t="array" ref="BB268">IF(AE268=DGET(claves!$A$2:$AS423,AE$2,{claves!$A$2;$E268}),1,0)</f>
        <v>#VALUE!</v>
      </c>
      <c r="BC268" s="436" t="str">
        <f t="array" ref="BC268">IF(AF268=DGET(claves!$A$2:$AS423,AF$2,{claves!$A$2;$E268}),1,0)</f>
        <v>#VALUE!</v>
      </c>
      <c r="BD268" s="437" t="str">
        <f t="shared" si="1"/>
        <v>#VALUE!</v>
      </c>
      <c r="BE268" s="435"/>
      <c r="BF268" s="415"/>
    </row>
    <row r="269" ht="14.25" customHeight="1">
      <c r="A269" s="408">
        <v>267.0</v>
      </c>
      <c r="B269" s="153" t="s">
        <v>1927</v>
      </c>
      <c r="C269" s="153">
        <v>2024.0</v>
      </c>
      <c r="D269" s="77" t="s">
        <v>362</v>
      </c>
      <c r="E269" s="409" t="str">
        <f>IFERROR(__xludf.DUMMYFUNCTION("ARRAYFORMULA(JOIN("""", ARRAYFORMULA(MID(SPLIT(F269, "" ""), 1, 1))))
&amp;""/""&amp;G269"),"MC/4 Primaria")</f>
        <v>MC/4 Primaria</v>
      </c>
      <c r="F269" s="77" t="s">
        <v>1654</v>
      </c>
      <c r="G269" s="432" t="s">
        <v>20</v>
      </c>
      <c r="H269" s="433" t="s">
        <v>1744</v>
      </c>
      <c r="I269" s="433" t="s">
        <v>1771</v>
      </c>
      <c r="J269" s="433" t="s">
        <v>1960</v>
      </c>
      <c r="K269" s="432" t="s">
        <v>1665</v>
      </c>
      <c r="L269" s="415"/>
      <c r="M269" s="434" t="s">
        <v>1661</v>
      </c>
      <c r="N269" s="434" t="s">
        <v>1661</v>
      </c>
      <c r="O269" s="434" t="s">
        <v>1660</v>
      </c>
      <c r="P269" s="434" t="s">
        <v>1659</v>
      </c>
      <c r="Q269" s="434" t="s">
        <v>1661</v>
      </c>
      <c r="R269" s="434" t="s">
        <v>1689</v>
      </c>
      <c r="S269" s="434" t="s">
        <v>1659</v>
      </c>
      <c r="T269" s="434" t="s">
        <v>1661</v>
      </c>
      <c r="U269" s="434" t="s">
        <v>1659</v>
      </c>
      <c r="V269" s="434" t="s">
        <v>1661</v>
      </c>
      <c r="W269" s="434" t="s">
        <v>1661</v>
      </c>
      <c r="X269" s="434" t="s">
        <v>1689</v>
      </c>
      <c r="Y269" s="434" t="s">
        <v>1660</v>
      </c>
      <c r="Z269" s="434" t="s">
        <v>1660</v>
      </c>
      <c r="AA269" s="434" t="s">
        <v>1661</v>
      </c>
      <c r="AB269" s="434" t="s">
        <v>1660</v>
      </c>
      <c r="AC269" s="434" t="s">
        <v>1659</v>
      </c>
      <c r="AD269" s="434" t="s">
        <v>1661</v>
      </c>
      <c r="AE269" s="434" t="s">
        <v>1689</v>
      </c>
      <c r="AF269" s="434" t="s">
        <v>1661</v>
      </c>
      <c r="AG269" s="427">
        <v>6.0</v>
      </c>
      <c r="AH269" s="435" t="s">
        <v>18</v>
      </c>
      <c r="AI269" s="415"/>
      <c r="AJ269" s="436" t="str">
        <f t="array" ref="AJ269">IF(M269=DGET(claves!$A$2:$AS423,M$2,{claves!$A$2;$E269}),1,0)</f>
        <v>#VALUE!</v>
      </c>
      <c r="AK269" s="436" t="str">
        <f t="array" ref="AK269">IF(N269=DGET(claves!$A$2:$AS423,N$2,{claves!$A$2;$E269}),1,0)</f>
        <v>#VALUE!</v>
      </c>
      <c r="AL269" s="436" t="str">
        <f t="array" ref="AL269">IF(O269=DGET(claves!$A$2:$AS423,O$2,{claves!$A$2;$E269}),1,0)</f>
        <v>#VALUE!</v>
      </c>
      <c r="AM269" s="436" t="str">
        <f t="array" ref="AM269">IF(P269=DGET(claves!$A$2:$AS423,P$2,{claves!$A$2;$E269}),1,0)</f>
        <v>#VALUE!</v>
      </c>
      <c r="AN269" s="436" t="str">
        <f t="array" ref="AN269">IF(Q269=DGET(claves!$A$2:$AS423,Q$2,{claves!$A$2;$E269}),1,0)</f>
        <v>#VALUE!</v>
      </c>
      <c r="AO269" s="436" t="str">
        <f t="array" ref="AO269">IF(R269=DGET(claves!$A$2:$AS423,R$2,{claves!$A$2;$E269}),1,0)</f>
        <v>#VALUE!</v>
      </c>
      <c r="AP269" s="436" t="str">
        <f t="array" ref="AP269">IF(S269=DGET(claves!$A$2:$AS423,S$2,{claves!$A$2;$E269}),1,0)</f>
        <v>#VALUE!</v>
      </c>
      <c r="AQ269" s="436" t="str">
        <f t="array" ref="AQ269">IF(T269=DGET(claves!$A$2:$AS423,T$2,{claves!$A$2;$E269}),1,0)</f>
        <v>#VALUE!</v>
      </c>
      <c r="AR269" s="436" t="str">
        <f t="array" ref="AR269">IF(U269=DGET(claves!$A$2:$AS423,U$2,{claves!$A$2;$E269}),1,0)</f>
        <v>#VALUE!</v>
      </c>
      <c r="AS269" s="436" t="str">
        <f t="array" ref="AS269">IF(V269=DGET(claves!$A$2:$AS423,V$2,{claves!$A$2;$E269}),1,0)</f>
        <v>#VALUE!</v>
      </c>
      <c r="AT269" s="436" t="str">
        <f t="array" ref="AT269">IF(W269=DGET(claves!$A$2:$AS423,W$2,{claves!$A$2;$E269}),1,0)</f>
        <v>#VALUE!</v>
      </c>
      <c r="AU269" s="436" t="str">
        <f t="array" ref="AU269">IF(X269=DGET(claves!$A$2:$AS423,X$2,{claves!$A$2;$E269}),1,0)</f>
        <v>#VALUE!</v>
      </c>
      <c r="AV269" s="436" t="str">
        <f t="array" ref="AV269">IF(Y269=DGET(claves!$A$2:$AS423,Y$2,{claves!$A$2;$E269}),1,0)</f>
        <v>#VALUE!</v>
      </c>
      <c r="AW269" s="436" t="str">
        <f t="array" ref="AW269">IF(Z269=DGET(claves!$A$2:$AS423,Z$2,{claves!$A$2;$E269}),1,0)</f>
        <v>#VALUE!</v>
      </c>
      <c r="AX269" s="436" t="str">
        <f t="array" ref="AX269">IF(AA269=DGET(claves!$A$2:$AS423,AA$2,{claves!$A$2;$E269}),1,0)</f>
        <v>#VALUE!</v>
      </c>
      <c r="AY269" s="436" t="str">
        <f t="array" ref="AY269">IF(AB269=DGET(claves!$A$2:$AS423,AB$2,{claves!$A$2;$E269}),1,0)</f>
        <v>#VALUE!</v>
      </c>
      <c r="AZ269" s="436" t="str">
        <f t="array" ref="AZ269">IF(AC269=DGET(claves!$A$2:$AS423,AC$2,{claves!$A$2;$E269}),1,0)</f>
        <v>#VALUE!</v>
      </c>
      <c r="BA269" s="436" t="str">
        <f t="array" ref="BA269">IF(AD269=DGET(claves!$A$2:$AS423,AD$2,{claves!$A$2;$E269}),1,0)</f>
        <v>#VALUE!</v>
      </c>
      <c r="BB269" s="436" t="str">
        <f t="array" ref="BB269">IF(AE269=DGET(claves!$A$2:$AS423,AE$2,{claves!$A$2;$E269}),1,0)</f>
        <v>#VALUE!</v>
      </c>
      <c r="BC269" s="436" t="str">
        <f t="array" ref="BC269">IF(AF269=DGET(claves!$A$2:$AS423,AF$2,{claves!$A$2;$E269}),1,0)</f>
        <v>#VALUE!</v>
      </c>
      <c r="BD269" s="437" t="str">
        <f t="shared" si="1"/>
        <v>#VALUE!</v>
      </c>
      <c r="BE269" s="435" t="s">
        <v>1468</v>
      </c>
      <c r="BF269" s="415"/>
    </row>
    <row r="270" ht="14.25" customHeight="1">
      <c r="A270" s="408">
        <v>268.0</v>
      </c>
      <c r="B270" s="153" t="s">
        <v>1927</v>
      </c>
      <c r="C270" s="153">
        <v>2024.0</v>
      </c>
      <c r="D270" s="77" t="s">
        <v>1817</v>
      </c>
      <c r="E270" s="409" t="str">
        <f>IFERROR(__xludf.DUMMYFUNCTION("ARRAYFORMULA(JOIN("""", ARRAYFORMULA(MID(SPLIT(F270, "" ""), 1, 1))))
&amp;""/""&amp;G270"),"CLC/4 Primaria")</f>
        <v>CLC/4 Primaria</v>
      </c>
      <c r="F270" s="77" t="s">
        <v>1819</v>
      </c>
      <c r="G270" s="432" t="s">
        <v>20</v>
      </c>
      <c r="H270" s="433" t="s">
        <v>1744</v>
      </c>
      <c r="I270" s="433" t="s">
        <v>1771</v>
      </c>
      <c r="J270" s="433" t="s">
        <v>1960</v>
      </c>
      <c r="K270" s="432" t="s">
        <v>1665</v>
      </c>
      <c r="L270" s="415"/>
      <c r="M270" s="434" t="s">
        <v>1659</v>
      </c>
      <c r="N270" s="434" t="s">
        <v>1689</v>
      </c>
      <c r="O270" s="434" t="s">
        <v>1689</v>
      </c>
      <c r="P270" s="434" t="s">
        <v>1661</v>
      </c>
      <c r="Q270" s="434" t="s">
        <v>1660</v>
      </c>
      <c r="R270" s="434" t="s">
        <v>1660</v>
      </c>
      <c r="S270" s="434" t="s">
        <v>1689</v>
      </c>
      <c r="T270" s="434" t="s">
        <v>1661</v>
      </c>
      <c r="U270" s="434" t="s">
        <v>1689</v>
      </c>
      <c r="V270" s="434" t="s">
        <v>1689</v>
      </c>
      <c r="W270" s="434" t="s">
        <v>1661</v>
      </c>
      <c r="X270" s="434" t="s">
        <v>1660</v>
      </c>
      <c r="Y270" s="434" t="s">
        <v>1660</v>
      </c>
      <c r="Z270" s="434" t="s">
        <v>1659</v>
      </c>
      <c r="AA270" s="434" t="s">
        <v>1660</v>
      </c>
      <c r="AB270" s="434" t="s">
        <v>1689</v>
      </c>
      <c r="AC270" s="434" t="s">
        <v>1661</v>
      </c>
      <c r="AD270" s="434" t="s">
        <v>1661</v>
      </c>
      <c r="AE270" s="434" t="s">
        <v>1660</v>
      </c>
      <c r="AF270" s="434" t="s">
        <v>1689</v>
      </c>
      <c r="AG270" s="427">
        <v>5.0</v>
      </c>
      <c r="AH270" s="435" t="s">
        <v>18</v>
      </c>
      <c r="AI270" s="415"/>
      <c r="AJ270" s="436" t="str">
        <f t="array" ref="AJ270">IF(M270=DGET(claves!$A$2:$AS423,M$2,{claves!$A$2;$E270}),1,0)</f>
        <v>#VALUE!</v>
      </c>
      <c r="AK270" s="436" t="str">
        <f t="array" ref="AK270">IF(N270=DGET(claves!$A$2:$AS423,N$2,{claves!$A$2;$E270}),1,0)</f>
        <v>#VALUE!</v>
      </c>
      <c r="AL270" s="436" t="str">
        <f t="array" ref="AL270">IF(O270=DGET(claves!$A$2:$AS423,O$2,{claves!$A$2;$E270}),1,0)</f>
        <v>#VALUE!</v>
      </c>
      <c r="AM270" s="436" t="str">
        <f t="array" ref="AM270">IF(P270=DGET(claves!$A$2:$AS423,P$2,{claves!$A$2;$E270}),1,0)</f>
        <v>#VALUE!</v>
      </c>
      <c r="AN270" s="436" t="str">
        <f t="array" ref="AN270">IF(Q270=DGET(claves!$A$2:$AS423,Q$2,{claves!$A$2;$E270}),1,0)</f>
        <v>#VALUE!</v>
      </c>
      <c r="AO270" s="436" t="str">
        <f t="array" ref="AO270">IF(R270=DGET(claves!$A$2:$AS423,R$2,{claves!$A$2;$E270}),1,0)</f>
        <v>#VALUE!</v>
      </c>
      <c r="AP270" s="436" t="str">
        <f t="array" ref="AP270">IF(S270=DGET(claves!$A$2:$AS423,S$2,{claves!$A$2;$E270}),1,0)</f>
        <v>#VALUE!</v>
      </c>
      <c r="AQ270" s="436" t="str">
        <f t="array" ref="AQ270">IF(T270=DGET(claves!$A$2:$AS423,T$2,{claves!$A$2;$E270}),1,0)</f>
        <v>#VALUE!</v>
      </c>
      <c r="AR270" s="436" t="str">
        <f t="array" ref="AR270">IF(U270=DGET(claves!$A$2:$AS423,U$2,{claves!$A$2;$E270}),1,0)</f>
        <v>#VALUE!</v>
      </c>
      <c r="AS270" s="436" t="str">
        <f t="array" ref="AS270">IF(V270=DGET(claves!$A$2:$AS423,V$2,{claves!$A$2;$E270}),1,0)</f>
        <v>#VALUE!</v>
      </c>
      <c r="AT270" s="436" t="str">
        <f t="array" ref="AT270">IF(W270=DGET(claves!$A$2:$AS423,W$2,{claves!$A$2;$E270}),1,0)</f>
        <v>#VALUE!</v>
      </c>
      <c r="AU270" s="436" t="str">
        <f t="array" ref="AU270">IF(X270=DGET(claves!$A$2:$AS423,X$2,{claves!$A$2;$E270}),1,0)</f>
        <v>#VALUE!</v>
      </c>
      <c r="AV270" s="436" t="str">
        <f t="array" ref="AV270">IF(Y270=DGET(claves!$A$2:$AS423,Y$2,{claves!$A$2;$E270}),1,0)</f>
        <v>#VALUE!</v>
      </c>
      <c r="AW270" s="436" t="str">
        <f t="array" ref="AW270">IF(Z270=DGET(claves!$A$2:$AS423,Z$2,{claves!$A$2;$E270}),1,0)</f>
        <v>#VALUE!</v>
      </c>
      <c r="AX270" s="436" t="str">
        <f t="array" ref="AX270">IF(AA270=DGET(claves!$A$2:$AS423,AA$2,{claves!$A$2;$E270}),1,0)</f>
        <v>#VALUE!</v>
      </c>
      <c r="AY270" s="436" t="str">
        <f t="array" ref="AY270">IF(AB270=DGET(claves!$A$2:$AS423,AB$2,{claves!$A$2;$E270}),1,0)</f>
        <v>#VALUE!</v>
      </c>
      <c r="AZ270" s="436" t="str">
        <f t="array" ref="AZ270">IF(AC270=DGET(claves!$A$2:$AS423,AC$2,{claves!$A$2;$E270}),1,0)</f>
        <v>#VALUE!</v>
      </c>
      <c r="BA270" s="436" t="str">
        <f t="array" ref="BA270">IF(AD270=DGET(claves!$A$2:$AS423,AD$2,{claves!$A$2;$E270}),1,0)</f>
        <v>#VALUE!</v>
      </c>
      <c r="BB270" s="436" t="str">
        <f t="array" ref="BB270">IF(AE270=DGET(claves!$A$2:$AS423,AE$2,{claves!$A$2;$E270}),1,0)</f>
        <v>#VALUE!</v>
      </c>
      <c r="BC270" s="436" t="str">
        <f t="array" ref="BC270">IF(AF270=DGET(claves!$A$2:$AS423,AF$2,{claves!$A$2;$E270}),1,0)</f>
        <v>#VALUE!</v>
      </c>
      <c r="BD270" s="437" t="str">
        <f t="shared" si="1"/>
        <v>#VALUE!</v>
      </c>
      <c r="BE270" s="435"/>
      <c r="BF270" s="415"/>
    </row>
    <row r="271" ht="14.25" customHeight="1">
      <c r="A271" s="408">
        <v>269.0</v>
      </c>
      <c r="B271" s="153" t="s">
        <v>1927</v>
      </c>
      <c r="C271" s="153">
        <v>2024.0</v>
      </c>
      <c r="D271" s="77" t="s">
        <v>362</v>
      </c>
      <c r="E271" s="409" t="str">
        <f>IFERROR(__xludf.DUMMYFUNCTION("ARRAYFORMULA(JOIN("""", ARRAYFORMULA(MID(SPLIT(F271, "" ""), 1, 1))))
&amp;""/""&amp;G271"),"MC/4 Primaria")</f>
        <v>MC/4 Primaria</v>
      </c>
      <c r="F271" s="77" t="s">
        <v>1654</v>
      </c>
      <c r="G271" s="432" t="s">
        <v>20</v>
      </c>
      <c r="H271" s="433" t="s">
        <v>1737</v>
      </c>
      <c r="I271" s="433" t="s">
        <v>1862</v>
      </c>
      <c r="J271" s="433" t="s">
        <v>1961</v>
      </c>
      <c r="K271" s="432" t="s">
        <v>1665</v>
      </c>
      <c r="L271" s="415"/>
      <c r="M271" s="434" t="s">
        <v>1689</v>
      </c>
      <c r="N271" s="434" t="s">
        <v>1660</v>
      </c>
      <c r="O271" s="434" t="s">
        <v>1660</v>
      </c>
      <c r="P271" s="434" t="s">
        <v>1659</v>
      </c>
      <c r="Q271" s="434" t="s">
        <v>1661</v>
      </c>
      <c r="R271" s="434" t="s">
        <v>1659</v>
      </c>
      <c r="S271" s="434" t="s">
        <v>1659</v>
      </c>
      <c r="T271" s="434" t="s">
        <v>1661</v>
      </c>
      <c r="U271" s="434" t="s">
        <v>1660</v>
      </c>
      <c r="V271" s="434" t="s">
        <v>1661</v>
      </c>
      <c r="W271" s="434" t="s">
        <v>1661</v>
      </c>
      <c r="X271" s="434" t="s">
        <v>1660</v>
      </c>
      <c r="Y271" s="434" t="s">
        <v>1661</v>
      </c>
      <c r="Z271" s="434" t="s">
        <v>1659</v>
      </c>
      <c r="AA271" s="434" t="s">
        <v>1689</v>
      </c>
      <c r="AB271" s="434" t="s">
        <v>1659</v>
      </c>
      <c r="AC271" s="434" t="s">
        <v>1689</v>
      </c>
      <c r="AD271" s="434" t="s">
        <v>1689</v>
      </c>
      <c r="AE271" s="434" t="s">
        <v>1689</v>
      </c>
      <c r="AF271" s="434" t="s">
        <v>1660</v>
      </c>
      <c r="AG271" s="427">
        <v>7.0</v>
      </c>
      <c r="AH271" s="435" t="s">
        <v>18</v>
      </c>
      <c r="AI271" s="415"/>
      <c r="AJ271" s="436" t="str">
        <f t="array" ref="AJ271">IF(M271=DGET(claves!$A$2:$AS423,M$2,{claves!$A$2;$E271}),1,0)</f>
        <v>#VALUE!</v>
      </c>
      <c r="AK271" s="436" t="str">
        <f t="array" ref="AK271">IF(N271=DGET(claves!$A$2:$AS423,N$2,{claves!$A$2;$E271}),1,0)</f>
        <v>#VALUE!</v>
      </c>
      <c r="AL271" s="436" t="str">
        <f t="array" ref="AL271">IF(O271=DGET(claves!$A$2:$AS423,O$2,{claves!$A$2;$E271}),1,0)</f>
        <v>#VALUE!</v>
      </c>
      <c r="AM271" s="436" t="str">
        <f t="array" ref="AM271">IF(P271=DGET(claves!$A$2:$AS423,P$2,{claves!$A$2;$E271}),1,0)</f>
        <v>#VALUE!</v>
      </c>
      <c r="AN271" s="436" t="str">
        <f t="array" ref="AN271">IF(Q271=DGET(claves!$A$2:$AS423,Q$2,{claves!$A$2;$E271}),1,0)</f>
        <v>#VALUE!</v>
      </c>
      <c r="AO271" s="436" t="str">
        <f t="array" ref="AO271">IF(R271=DGET(claves!$A$2:$AS423,R$2,{claves!$A$2;$E271}),1,0)</f>
        <v>#VALUE!</v>
      </c>
      <c r="AP271" s="436" t="str">
        <f t="array" ref="AP271">IF(S271=DGET(claves!$A$2:$AS423,S$2,{claves!$A$2;$E271}),1,0)</f>
        <v>#VALUE!</v>
      </c>
      <c r="AQ271" s="436" t="str">
        <f t="array" ref="AQ271">IF(T271=DGET(claves!$A$2:$AS423,T$2,{claves!$A$2;$E271}),1,0)</f>
        <v>#VALUE!</v>
      </c>
      <c r="AR271" s="436" t="str">
        <f t="array" ref="AR271">IF(U271=DGET(claves!$A$2:$AS423,U$2,{claves!$A$2;$E271}),1,0)</f>
        <v>#VALUE!</v>
      </c>
      <c r="AS271" s="436" t="str">
        <f t="array" ref="AS271">IF(V271=DGET(claves!$A$2:$AS423,V$2,{claves!$A$2;$E271}),1,0)</f>
        <v>#VALUE!</v>
      </c>
      <c r="AT271" s="436" t="str">
        <f t="array" ref="AT271">IF(W271=DGET(claves!$A$2:$AS423,W$2,{claves!$A$2;$E271}),1,0)</f>
        <v>#VALUE!</v>
      </c>
      <c r="AU271" s="436" t="str">
        <f t="array" ref="AU271">IF(X271=DGET(claves!$A$2:$AS423,X$2,{claves!$A$2;$E271}),1,0)</f>
        <v>#VALUE!</v>
      </c>
      <c r="AV271" s="436" t="str">
        <f t="array" ref="AV271">IF(Y271=DGET(claves!$A$2:$AS423,Y$2,{claves!$A$2;$E271}),1,0)</f>
        <v>#VALUE!</v>
      </c>
      <c r="AW271" s="436" t="str">
        <f t="array" ref="AW271">IF(Z271=DGET(claves!$A$2:$AS423,Z$2,{claves!$A$2;$E271}),1,0)</f>
        <v>#VALUE!</v>
      </c>
      <c r="AX271" s="436" t="str">
        <f t="array" ref="AX271">IF(AA271=DGET(claves!$A$2:$AS423,AA$2,{claves!$A$2;$E271}),1,0)</f>
        <v>#VALUE!</v>
      </c>
      <c r="AY271" s="436" t="str">
        <f t="array" ref="AY271">IF(AB271=DGET(claves!$A$2:$AS423,AB$2,{claves!$A$2;$E271}),1,0)</f>
        <v>#VALUE!</v>
      </c>
      <c r="AZ271" s="436" t="str">
        <f t="array" ref="AZ271">IF(AC271=DGET(claves!$A$2:$AS423,AC$2,{claves!$A$2;$E271}),1,0)</f>
        <v>#VALUE!</v>
      </c>
      <c r="BA271" s="436" t="str">
        <f t="array" ref="BA271">IF(AD271=DGET(claves!$A$2:$AS423,AD$2,{claves!$A$2;$E271}),1,0)</f>
        <v>#VALUE!</v>
      </c>
      <c r="BB271" s="436" t="str">
        <f t="array" ref="BB271">IF(AE271=DGET(claves!$A$2:$AS423,AE$2,{claves!$A$2;$E271}),1,0)</f>
        <v>#VALUE!</v>
      </c>
      <c r="BC271" s="436" t="str">
        <f t="array" ref="BC271">IF(AF271=DGET(claves!$A$2:$AS423,AF$2,{claves!$A$2;$E271}),1,0)</f>
        <v>#VALUE!</v>
      </c>
      <c r="BD271" s="437" t="str">
        <f t="shared" si="1"/>
        <v>#VALUE!</v>
      </c>
      <c r="BE271" s="435" t="s">
        <v>1468</v>
      </c>
      <c r="BF271" s="415"/>
    </row>
    <row r="272" ht="14.25" customHeight="1">
      <c r="A272" s="408">
        <v>270.0</v>
      </c>
      <c r="B272" s="153" t="s">
        <v>1927</v>
      </c>
      <c r="C272" s="153">
        <v>2024.0</v>
      </c>
      <c r="D272" s="77" t="s">
        <v>1817</v>
      </c>
      <c r="E272" s="409" t="str">
        <f>IFERROR(__xludf.DUMMYFUNCTION("ARRAYFORMULA(JOIN("""", ARRAYFORMULA(MID(SPLIT(F272, "" ""), 1, 1))))
&amp;""/""&amp;G272"),"CLC/4 Primaria")</f>
        <v>CLC/4 Primaria</v>
      </c>
      <c r="F272" s="77" t="s">
        <v>1819</v>
      </c>
      <c r="G272" s="432" t="s">
        <v>20</v>
      </c>
      <c r="H272" s="433" t="s">
        <v>1737</v>
      </c>
      <c r="I272" s="433" t="s">
        <v>1862</v>
      </c>
      <c r="J272" s="433" t="s">
        <v>1961</v>
      </c>
      <c r="K272" s="432" t="s">
        <v>1665</v>
      </c>
      <c r="L272" s="415"/>
      <c r="M272" s="434" t="s">
        <v>1660</v>
      </c>
      <c r="N272" s="434" t="s">
        <v>1659</v>
      </c>
      <c r="O272" s="434" t="s">
        <v>1660</v>
      </c>
      <c r="P272" s="434" t="s">
        <v>1660</v>
      </c>
      <c r="Q272" s="434" t="s">
        <v>1660</v>
      </c>
      <c r="R272" s="434" t="s">
        <v>1659</v>
      </c>
      <c r="S272" s="434" t="s">
        <v>1659</v>
      </c>
      <c r="T272" s="434" t="s">
        <v>1661</v>
      </c>
      <c r="U272" s="434" t="s">
        <v>1660</v>
      </c>
      <c r="V272" s="434" t="s">
        <v>1659</v>
      </c>
      <c r="W272" s="434" t="s">
        <v>1660</v>
      </c>
      <c r="X272" s="434" t="s">
        <v>1661</v>
      </c>
      <c r="Y272" s="434" t="s">
        <v>1659</v>
      </c>
      <c r="Z272" s="434" t="s">
        <v>1660</v>
      </c>
      <c r="AA272" s="434" t="s">
        <v>1659</v>
      </c>
      <c r="AB272" s="434" t="s">
        <v>1659</v>
      </c>
      <c r="AC272" s="434" t="s">
        <v>1660</v>
      </c>
      <c r="AD272" s="434" t="s">
        <v>1659</v>
      </c>
      <c r="AE272" s="434" t="s">
        <v>1659</v>
      </c>
      <c r="AF272" s="434" t="s">
        <v>1689</v>
      </c>
      <c r="AG272" s="427">
        <v>11.0</v>
      </c>
      <c r="AH272" s="435" t="s">
        <v>24</v>
      </c>
      <c r="AI272" s="415"/>
      <c r="AJ272" s="436" t="str">
        <f t="array" ref="AJ272">IF(M272=DGET(claves!$A$2:$AS423,M$2,{claves!$A$2;$E272}),1,0)</f>
        <v>#VALUE!</v>
      </c>
      <c r="AK272" s="436" t="str">
        <f t="array" ref="AK272">IF(N272=DGET(claves!$A$2:$AS423,N$2,{claves!$A$2;$E272}),1,0)</f>
        <v>#VALUE!</v>
      </c>
      <c r="AL272" s="436" t="str">
        <f t="array" ref="AL272">IF(O272=DGET(claves!$A$2:$AS423,O$2,{claves!$A$2;$E272}),1,0)</f>
        <v>#VALUE!</v>
      </c>
      <c r="AM272" s="436" t="str">
        <f t="array" ref="AM272">IF(P272=DGET(claves!$A$2:$AS423,P$2,{claves!$A$2;$E272}),1,0)</f>
        <v>#VALUE!</v>
      </c>
      <c r="AN272" s="436" t="str">
        <f t="array" ref="AN272">IF(Q272=DGET(claves!$A$2:$AS423,Q$2,{claves!$A$2;$E272}),1,0)</f>
        <v>#VALUE!</v>
      </c>
      <c r="AO272" s="436" t="str">
        <f t="array" ref="AO272">IF(R272=DGET(claves!$A$2:$AS423,R$2,{claves!$A$2;$E272}),1,0)</f>
        <v>#VALUE!</v>
      </c>
      <c r="AP272" s="436" t="str">
        <f t="array" ref="AP272">IF(S272=DGET(claves!$A$2:$AS423,S$2,{claves!$A$2;$E272}),1,0)</f>
        <v>#VALUE!</v>
      </c>
      <c r="AQ272" s="436" t="str">
        <f t="array" ref="AQ272">IF(T272=DGET(claves!$A$2:$AS423,T$2,{claves!$A$2;$E272}),1,0)</f>
        <v>#VALUE!</v>
      </c>
      <c r="AR272" s="436" t="str">
        <f t="array" ref="AR272">IF(U272=DGET(claves!$A$2:$AS423,U$2,{claves!$A$2;$E272}),1,0)</f>
        <v>#VALUE!</v>
      </c>
      <c r="AS272" s="436" t="str">
        <f t="array" ref="AS272">IF(V272=DGET(claves!$A$2:$AS423,V$2,{claves!$A$2;$E272}),1,0)</f>
        <v>#VALUE!</v>
      </c>
      <c r="AT272" s="436" t="str">
        <f t="array" ref="AT272">IF(W272=DGET(claves!$A$2:$AS423,W$2,{claves!$A$2;$E272}),1,0)</f>
        <v>#VALUE!</v>
      </c>
      <c r="AU272" s="436" t="str">
        <f t="array" ref="AU272">IF(X272=DGET(claves!$A$2:$AS423,X$2,{claves!$A$2;$E272}),1,0)</f>
        <v>#VALUE!</v>
      </c>
      <c r="AV272" s="436" t="str">
        <f t="array" ref="AV272">IF(Y272=DGET(claves!$A$2:$AS423,Y$2,{claves!$A$2;$E272}),1,0)</f>
        <v>#VALUE!</v>
      </c>
      <c r="AW272" s="436" t="str">
        <f t="array" ref="AW272">IF(Z272=DGET(claves!$A$2:$AS423,Z$2,{claves!$A$2;$E272}),1,0)</f>
        <v>#VALUE!</v>
      </c>
      <c r="AX272" s="436" t="str">
        <f t="array" ref="AX272">IF(AA272=DGET(claves!$A$2:$AS423,AA$2,{claves!$A$2;$E272}),1,0)</f>
        <v>#VALUE!</v>
      </c>
      <c r="AY272" s="436" t="str">
        <f t="array" ref="AY272">IF(AB272=DGET(claves!$A$2:$AS423,AB$2,{claves!$A$2;$E272}),1,0)</f>
        <v>#VALUE!</v>
      </c>
      <c r="AZ272" s="436" t="str">
        <f t="array" ref="AZ272">IF(AC272=DGET(claves!$A$2:$AS423,AC$2,{claves!$A$2;$E272}),1,0)</f>
        <v>#VALUE!</v>
      </c>
      <c r="BA272" s="436" t="str">
        <f t="array" ref="BA272">IF(AD272=DGET(claves!$A$2:$AS423,AD$2,{claves!$A$2;$E272}),1,0)</f>
        <v>#VALUE!</v>
      </c>
      <c r="BB272" s="436" t="str">
        <f t="array" ref="BB272">IF(AE272=DGET(claves!$A$2:$AS423,AE$2,{claves!$A$2;$E272}),1,0)</f>
        <v>#VALUE!</v>
      </c>
      <c r="BC272" s="436" t="str">
        <f t="array" ref="BC272">IF(AF272=DGET(claves!$A$2:$AS423,AF$2,{claves!$A$2;$E272}),1,0)</f>
        <v>#VALUE!</v>
      </c>
      <c r="BD272" s="437" t="str">
        <f t="shared" si="1"/>
        <v>#VALUE!</v>
      </c>
      <c r="BE272" s="435"/>
      <c r="BF272" s="415"/>
    </row>
    <row r="273" ht="14.25" customHeight="1">
      <c r="A273" s="408">
        <v>271.0</v>
      </c>
      <c r="B273" s="153" t="s">
        <v>1927</v>
      </c>
      <c r="C273" s="153">
        <v>2024.0</v>
      </c>
      <c r="D273" s="77" t="s">
        <v>362</v>
      </c>
      <c r="E273" s="409" t="str">
        <f>IFERROR(__xludf.DUMMYFUNCTION("ARRAYFORMULA(JOIN("""", ARRAYFORMULA(MID(SPLIT(F273, "" ""), 1, 1))))
&amp;""/""&amp;G273"),"MC/4 Primaria")</f>
        <v>MC/4 Primaria</v>
      </c>
      <c r="F273" s="77" t="s">
        <v>1654</v>
      </c>
      <c r="G273" s="432" t="s">
        <v>20</v>
      </c>
      <c r="H273" s="433" t="s">
        <v>1962</v>
      </c>
      <c r="I273" s="433" t="s">
        <v>1771</v>
      </c>
      <c r="J273" s="433" t="s">
        <v>1963</v>
      </c>
      <c r="K273" s="433" t="s">
        <v>1658</v>
      </c>
      <c r="L273" s="415"/>
      <c r="M273" s="434" t="s">
        <v>1689</v>
      </c>
      <c r="N273" s="434" t="s">
        <v>1689</v>
      </c>
      <c r="O273" s="434" t="s">
        <v>1659</v>
      </c>
      <c r="P273" s="434" t="s">
        <v>1659</v>
      </c>
      <c r="Q273" s="434" t="s">
        <v>1661</v>
      </c>
      <c r="R273" s="434" t="s">
        <v>1689</v>
      </c>
      <c r="S273" s="434" t="s">
        <v>1661</v>
      </c>
      <c r="T273" s="434" t="s">
        <v>1660</v>
      </c>
      <c r="U273" s="434" t="s">
        <v>1659</v>
      </c>
      <c r="V273" s="434" t="s">
        <v>1660</v>
      </c>
      <c r="W273" s="434" t="s">
        <v>1689</v>
      </c>
      <c r="X273" s="434" t="s">
        <v>1660</v>
      </c>
      <c r="Y273" s="434" t="s">
        <v>1689</v>
      </c>
      <c r="Z273" s="434" t="s">
        <v>1661</v>
      </c>
      <c r="AA273" s="434" t="s">
        <v>1659</v>
      </c>
      <c r="AB273" s="434" t="s">
        <v>1659</v>
      </c>
      <c r="AC273" s="434" t="s">
        <v>1659</v>
      </c>
      <c r="AD273" s="434" t="s">
        <v>1689</v>
      </c>
      <c r="AE273" s="434" t="s">
        <v>1660</v>
      </c>
      <c r="AF273" s="434" t="s">
        <v>1660</v>
      </c>
      <c r="AG273" s="427">
        <v>6.0</v>
      </c>
      <c r="AH273" s="435" t="s">
        <v>18</v>
      </c>
      <c r="AI273" s="415"/>
      <c r="AJ273" s="436" t="str">
        <f t="array" ref="AJ273">IF(M273=DGET(claves!$A$2:$AS423,M$2,{claves!$A$2;$E273}),1,0)</f>
        <v>#VALUE!</v>
      </c>
      <c r="AK273" s="436" t="str">
        <f t="array" ref="AK273">IF(N273=DGET(claves!$A$2:$AS423,N$2,{claves!$A$2;$E273}),1,0)</f>
        <v>#VALUE!</v>
      </c>
      <c r="AL273" s="436" t="str">
        <f t="array" ref="AL273">IF(O273=DGET(claves!$A$2:$AS423,O$2,{claves!$A$2;$E273}),1,0)</f>
        <v>#VALUE!</v>
      </c>
      <c r="AM273" s="436" t="str">
        <f t="array" ref="AM273">IF(P273=DGET(claves!$A$2:$AS423,P$2,{claves!$A$2;$E273}),1,0)</f>
        <v>#VALUE!</v>
      </c>
      <c r="AN273" s="436" t="str">
        <f t="array" ref="AN273">IF(Q273=DGET(claves!$A$2:$AS423,Q$2,{claves!$A$2;$E273}),1,0)</f>
        <v>#VALUE!</v>
      </c>
      <c r="AO273" s="436" t="str">
        <f t="array" ref="AO273">IF(R273=DGET(claves!$A$2:$AS423,R$2,{claves!$A$2;$E273}),1,0)</f>
        <v>#VALUE!</v>
      </c>
      <c r="AP273" s="436" t="str">
        <f t="array" ref="AP273">IF(S273=DGET(claves!$A$2:$AS423,S$2,{claves!$A$2;$E273}),1,0)</f>
        <v>#VALUE!</v>
      </c>
      <c r="AQ273" s="436" t="str">
        <f t="array" ref="AQ273">IF(T273=DGET(claves!$A$2:$AS423,T$2,{claves!$A$2;$E273}),1,0)</f>
        <v>#VALUE!</v>
      </c>
      <c r="AR273" s="436" t="str">
        <f t="array" ref="AR273">IF(U273=DGET(claves!$A$2:$AS423,U$2,{claves!$A$2;$E273}),1,0)</f>
        <v>#VALUE!</v>
      </c>
      <c r="AS273" s="436" t="str">
        <f t="array" ref="AS273">IF(V273=DGET(claves!$A$2:$AS423,V$2,{claves!$A$2;$E273}),1,0)</f>
        <v>#VALUE!</v>
      </c>
      <c r="AT273" s="436" t="str">
        <f t="array" ref="AT273">IF(W273=DGET(claves!$A$2:$AS423,W$2,{claves!$A$2;$E273}),1,0)</f>
        <v>#VALUE!</v>
      </c>
      <c r="AU273" s="436" t="str">
        <f t="array" ref="AU273">IF(X273=DGET(claves!$A$2:$AS423,X$2,{claves!$A$2;$E273}),1,0)</f>
        <v>#VALUE!</v>
      </c>
      <c r="AV273" s="436" t="str">
        <f t="array" ref="AV273">IF(Y273=DGET(claves!$A$2:$AS423,Y$2,{claves!$A$2;$E273}),1,0)</f>
        <v>#VALUE!</v>
      </c>
      <c r="AW273" s="436" t="str">
        <f t="array" ref="AW273">IF(Z273=DGET(claves!$A$2:$AS423,Z$2,{claves!$A$2;$E273}),1,0)</f>
        <v>#VALUE!</v>
      </c>
      <c r="AX273" s="436" t="str">
        <f t="array" ref="AX273">IF(AA273=DGET(claves!$A$2:$AS423,AA$2,{claves!$A$2;$E273}),1,0)</f>
        <v>#VALUE!</v>
      </c>
      <c r="AY273" s="436" t="str">
        <f t="array" ref="AY273">IF(AB273=DGET(claves!$A$2:$AS423,AB$2,{claves!$A$2;$E273}),1,0)</f>
        <v>#VALUE!</v>
      </c>
      <c r="AZ273" s="436" t="str">
        <f t="array" ref="AZ273">IF(AC273=DGET(claves!$A$2:$AS423,AC$2,{claves!$A$2;$E273}),1,0)</f>
        <v>#VALUE!</v>
      </c>
      <c r="BA273" s="436" t="str">
        <f t="array" ref="BA273">IF(AD273=DGET(claves!$A$2:$AS423,AD$2,{claves!$A$2;$E273}),1,0)</f>
        <v>#VALUE!</v>
      </c>
      <c r="BB273" s="436" t="str">
        <f t="array" ref="BB273">IF(AE273=DGET(claves!$A$2:$AS423,AE$2,{claves!$A$2;$E273}),1,0)</f>
        <v>#VALUE!</v>
      </c>
      <c r="BC273" s="436" t="str">
        <f t="array" ref="BC273">IF(AF273=DGET(claves!$A$2:$AS423,AF$2,{claves!$A$2;$E273}),1,0)</f>
        <v>#VALUE!</v>
      </c>
      <c r="BD273" s="437" t="str">
        <f t="shared" si="1"/>
        <v>#VALUE!</v>
      </c>
      <c r="BE273" s="435" t="s">
        <v>1468</v>
      </c>
      <c r="BF273" s="415"/>
    </row>
    <row r="274" ht="14.25" customHeight="1">
      <c r="A274" s="408">
        <v>272.0</v>
      </c>
      <c r="B274" s="153" t="s">
        <v>1927</v>
      </c>
      <c r="C274" s="153">
        <v>2024.0</v>
      </c>
      <c r="D274" s="77" t="s">
        <v>1817</v>
      </c>
      <c r="E274" s="409" t="str">
        <f>IFERROR(__xludf.DUMMYFUNCTION("ARRAYFORMULA(JOIN("""", ARRAYFORMULA(MID(SPLIT(F274, "" ""), 1, 1))))
&amp;""/""&amp;G274"),"CLC/4 Primaria")</f>
        <v>CLC/4 Primaria</v>
      </c>
      <c r="F274" s="77" t="s">
        <v>1819</v>
      </c>
      <c r="G274" s="432" t="s">
        <v>20</v>
      </c>
      <c r="H274" s="433" t="s">
        <v>1962</v>
      </c>
      <c r="I274" s="433" t="s">
        <v>1771</v>
      </c>
      <c r="J274" s="433" t="s">
        <v>1963</v>
      </c>
      <c r="K274" s="433" t="s">
        <v>1658</v>
      </c>
      <c r="L274" s="415"/>
      <c r="M274" s="434" t="s">
        <v>1659</v>
      </c>
      <c r="N274" s="434" t="s">
        <v>1660</v>
      </c>
      <c r="O274" s="434" t="s">
        <v>1659</v>
      </c>
      <c r="P274" s="434" t="s">
        <v>1660</v>
      </c>
      <c r="Q274" s="434" t="s">
        <v>1661</v>
      </c>
      <c r="R274" s="434" t="s">
        <v>1660</v>
      </c>
      <c r="S274" s="434" t="s">
        <v>1660</v>
      </c>
      <c r="T274" s="434" t="s">
        <v>1661</v>
      </c>
      <c r="U274" s="434" t="s">
        <v>1660</v>
      </c>
      <c r="V274" s="434" t="s">
        <v>1661</v>
      </c>
      <c r="W274" s="434" t="s">
        <v>1659</v>
      </c>
      <c r="X274" s="434" t="s">
        <v>1660</v>
      </c>
      <c r="Y274" s="434" t="s">
        <v>1660</v>
      </c>
      <c r="Z274" s="434" t="s">
        <v>1659</v>
      </c>
      <c r="AA274" s="434" t="s">
        <v>1660</v>
      </c>
      <c r="AB274" s="434" t="s">
        <v>1659</v>
      </c>
      <c r="AC274" s="434" t="s">
        <v>1689</v>
      </c>
      <c r="AD274" s="434" t="s">
        <v>1660</v>
      </c>
      <c r="AE274" s="434" t="s">
        <v>1661</v>
      </c>
      <c r="AF274" s="434" t="s">
        <v>1689</v>
      </c>
      <c r="AG274" s="427">
        <v>7.0</v>
      </c>
      <c r="AH274" s="435" t="s">
        <v>18</v>
      </c>
      <c r="AI274" s="415"/>
      <c r="AJ274" s="436" t="str">
        <f t="array" ref="AJ274">IF(M274=DGET(claves!$A$2:$AS423,M$2,{claves!$A$2;$E274}),1,0)</f>
        <v>#VALUE!</v>
      </c>
      <c r="AK274" s="436" t="str">
        <f t="array" ref="AK274">IF(N274=DGET(claves!$A$2:$AS423,N$2,{claves!$A$2;$E274}),1,0)</f>
        <v>#VALUE!</v>
      </c>
      <c r="AL274" s="436" t="str">
        <f t="array" ref="AL274">IF(O274=DGET(claves!$A$2:$AS423,O$2,{claves!$A$2;$E274}),1,0)</f>
        <v>#VALUE!</v>
      </c>
      <c r="AM274" s="436" t="str">
        <f t="array" ref="AM274">IF(P274=DGET(claves!$A$2:$AS423,P$2,{claves!$A$2;$E274}),1,0)</f>
        <v>#VALUE!</v>
      </c>
      <c r="AN274" s="436" t="str">
        <f t="array" ref="AN274">IF(Q274=DGET(claves!$A$2:$AS423,Q$2,{claves!$A$2;$E274}),1,0)</f>
        <v>#VALUE!</v>
      </c>
      <c r="AO274" s="436" t="str">
        <f t="array" ref="AO274">IF(R274=DGET(claves!$A$2:$AS423,R$2,{claves!$A$2;$E274}),1,0)</f>
        <v>#VALUE!</v>
      </c>
      <c r="AP274" s="436" t="str">
        <f t="array" ref="AP274">IF(S274=DGET(claves!$A$2:$AS423,S$2,{claves!$A$2;$E274}),1,0)</f>
        <v>#VALUE!</v>
      </c>
      <c r="AQ274" s="436" t="str">
        <f t="array" ref="AQ274">IF(T274=DGET(claves!$A$2:$AS423,T$2,{claves!$A$2;$E274}),1,0)</f>
        <v>#VALUE!</v>
      </c>
      <c r="AR274" s="436" t="str">
        <f t="array" ref="AR274">IF(U274=DGET(claves!$A$2:$AS423,U$2,{claves!$A$2;$E274}),1,0)</f>
        <v>#VALUE!</v>
      </c>
      <c r="AS274" s="436" t="str">
        <f t="array" ref="AS274">IF(V274=DGET(claves!$A$2:$AS423,V$2,{claves!$A$2;$E274}),1,0)</f>
        <v>#VALUE!</v>
      </c>
      <c r="AT274" s="436" t="str">
        <f t="array" ref="AT274">IF(W274=DGET(claves!$A$2:$AS423,W$2,{claves!$A$2;$E274}),1,0)</f>
        <v>#VALUE!</v>
      </c>
      <c r="AU274" s="436" t="str">
        <f t="array" ref="AU274">IF(X274=DGET(claves!$A$2:$AS423,X$2,{claves!$A$2;$E274}),1,0)</f>
        <v>#VALUE!</v>
      </c>
      <c r="AV274" s="436" t="str">
        <f t="array" ref="AV274">IF(Y274=DGET(claves!$A$2:$AS423,Y$2,{claves!$A$2;$E274}),1,0)</f>
        <v>#VALUE!</v>
      </c>
      <c r="AW274" s="436" t="str">
        <f t="array" ref="AW274">IF(Z274=DGET(claves!$A$2:$AS423,Z$2,{claves!$A$2;$E274}),1,0)</f>
        <v>#VALUE!</v>
      </c>
      <c r="AX274" s="436" t="str">
        <f t="array" ref="AX274">IF(AA274=DGET(claves!$A$2:$AS423,AA$2,{claves!$A$2;$E274}),1,0)</f>
        <v>#VALUE!</v>
      </c>
      <c r="AY274" s="436" t="str">
        <f t="array" ref="AY274">IF(AB274=DGET(claves!$A$2:$AS423,AB$2,{claves!$A$2;$E274}),1,0)</f>
        <v>#VALUE!</v>
      </c>
      <c r="AZ274" s="436" t="str">
        <f t="array" ref="AZ274">IF(AC274=DGET(claves!$A$2:$AS423,AC$2,{claves!$A$2;$E274}),1,0)</f>
        <v>#VALUE!</v>
      </c>
      <c r="BA274" s="436" t="str">
        <f t="array" ref="BA274">IF(AD274=DGET(claves!$A$2:$AS423,AD$2,{claves!$A$2;$E274}),1,0)</f>
        <v>#VALUE!</v>
      </c>
      <c r="BB274" s="436" t="str">
        <f t="array" ref="BB274">IF(AE274=DGET(claves!$A$2:$AS423,AE$2,{claves!$A$2;$E274}),1,0)</f>
        <v>#VALUE!</v>
      </c>
      <c r="BC274" s="436" t="str">
        <f t="array" ref="BC274">IF(AF274=DGET(claves!$A$2:$AS423,AF$2,{claves!$A$2;$E274}),1,0)</f>
        <v>#VALUE!</v>
      </c>
      <c r="BD274" s="437" t="str">
        <f t="shared" si="1"/>
        <v>#VALUE!</v>
      </c>
      <c r="BE274" s="435"/>
      <c r="BF274" s="415"/>
    </row>
    <row r="275" ht="14.25" customHeight="1">
      <c r="A275" s="408">
        <v>273.0</v>
      </c>
      <c r="B275" s="153" t="s">
        <v>1927</v>
      </c>
      <c r="C275" s="153">
        <v>2024.0</v>
      </c>
      <c r="D275" s="77" t="s">
        <v>362</v>
      </c>
      <c r="E275" s="409" t="str">
        <f>IFERROR(__xludf.DUMMYFUNCTION("ARRAYFORMULA(JOIN("""", ARRAYFORMULA(MID(SPLIT(F275, "" ""), 1, 1))))
&amp;""/""&amp;G275"),"MC/4 Primaria")</f>
        <v>MC/4 Primaria</v>
      </c>
      <c r="F275" s="77" t="s">
        <v>1654</v>
      </c>
      <c r="G275" s="432" t="s">
        <v>20</v>
      </c>
      <c r="H275" s="433" t="s">
        <v>1761</v>
      </c>
      <c r="I275" s="433" t="s">
        <v>1667</v>
      </c>
      <c r="J275" s="433" t="s">
        <v>1964</v>
      </c>
      <c r="K275" s="432" t="s">
        <v>1665</v>
      </c>
      <c r="L275" s="415"/>
      <c r="M275" s="434" t="s">
        <v>1659</v>
      </c>
      <c r="N275" s="434" t="s">
        <v>1661</v>
      </c>
      <c r="O275" s="434" t="s">
        <v>1661</v>
      </c>
      <c r="P275" s="434" t="s">
        <v>1660</v>
      </c>
      <c r="Q275" s="434" t="s">
        <v>1661</v>
      </c>
      <c r="R275" s="434" t="s">
        <v>1689</v>
      </c>
      <c r="S275" s="434" t="s">
        <v>1661</v>
      </c>
      <c r="T275" s="434" t="s">
        <v>1660</v>
      </c>
      <c r="U275" s="434" t="s">
        <v>1689</v>
      </c>
      <c r="V275" s="434" t="s">
        <v>1660</v>
      </c>
      <c r="W275" s="434" t="s">
        <v>1689</v>
      </c>
      <c r="X275" s="434" t="s">
        <v>1660</v>
      </c>
      <c r="Y275" s="434" t="s">
        <v>1661</v>
      </c>
      <c r="Z275" s="434" t="s">
        <v>1660</v>
      </c>
      <c r="AA275" s="434" t="s">
        <v>1659</v>
      </c>
      <c r="AB275" s="434" t="s">
        <v>1659</v>
      </c>
      <c r="AC275" s="434" t="s">
        <v>1689</v>
      </c>
      <c r="AD275" s="434" t="s">
        <v>1689</v>
      </c>
      <c r="AE275" s="434" t="s">
        <v>1660</v>
      </c>
      <c r="AF275" s="434" t="s">
        <v>1659</v>
      </c>
      <c r="AG275" s="427">
        <v>5.0</v>
      </c>
      <c r="AH275" s="435" t="s">
        <v>18</v>
      </c>
      <c r="AI275" s="415"/>
      <c r="AJ275" s="436" t="str">
        <f t="array" ref="AJ275">IF(M275=DGET(claves!$A$2:$AS423,M$2,{claves!$A$2;$E275}),1,0)</f>
        <v>#VALUE!</v>
      </c>
      <c r="AK275" s="436" t="str">
        <f t="array" ref="AK275">IF(N275=DGET(claves!$A$2:$AS423,N$2,{claves!$A$2;$E275}),1,0)</f>
        <v>#VALUE!</v>
      </c>
      <c r="AL275" s="436" t="str">
        <f t="array" ref="AL275">IF(O275=DGET(claves!$A$2:$AS423,O$2,{claves!$A$2;$E275}),1,0)</f>
        <v>#VALUE!</v>
      </c>
      <c r="AM275" s="436" t="str">
        <f t="array" ref="AM275">IF(P275=DGET(claves!$A$2:$AS423,P$2,{claves!$A$2;$E275}),1,0)</f>
        <v>#VALUE!</v>
      </c>
      <c r="AN275" s="436" t="str">
        <f t="array" ref="AN275">IF(Q275=DGET(claves!$A$2:$AS423,Q$2,{claves!$A$2;$E275}),1,0)</f>
        <v>#VALUE!</v>
      </c>
      <c r="AO275" s="436" t="str">
        <f t="array" ref="AO275">IF(R275=DGET(claves!$A$2:$AS423,R$2,{claves!$A$2;$E275}),1,0)</f>
        <v>#VALUE!</v>
      </c>
      <c r="AP275" s="436" t="str">
        <f t="array" ref="AP275">IF(S275=DGET(claves!$A$2:$AS423,S$2,{claves!$A$2;$E275}),1,0)</f>
        <v>#VALUE!</v>
      </c>
      <c r="AQ275" s="436" t="str">
        <f t="array" ref="AQ275">IF(T275=DGET(claves!$A$2:$AS423,T$2,{claves!$A$2;$E275}),1,0)</f>
        <v>#VALUE!</v>
      </c>
      <c r="AR275" s="436" t="str">
        <f t="array" ref="AR275">IF(U275=DGET(claves!$A$2:$AS423,U$2,{claves!$A$2;$E275}),1,0)</f>
        <v>#VALUE!</v>
      </c>
      <c r="AS275" s="436" t="str">
        <f t="array" ref="AS275">IF(V275=DGET(claves!$A$2:$AS423,V$2,{claves!$A$2;$E275}),1,0)</f>
        <v>#VALUE!</v>
      </c>
      <c r="AT275" s="436" t="str">
        <f t="array" ref="AT275">IF(W275=DGET(claves!$A$2:$AS423,W$2,{claves!$A$2;$E275}),1,0)</f>
        <v>#VALUE!</v>
      </c>
      <c r="AU275" s="436" t="str">
        <f t="array" ref="AU275">IF(X275=DGET(claves!$A$2:$AS423,X$2,{claves!$A$2;$E275}),1,0)</f>
        <v>#VALUE!</v>
      </c>
      <c r="AV275" s="436" t="str">
        <f t="array" ref="AV275">IF(Y275=DGET(claves!$A$2:$AS423,Y$2,{claves!$A$2;$E275}),1,0)</f>
        <v>#VALUE!</v>
      </c>
      <c r="AW275" s="436" t="str">
        <f t="array" ref="AW275">IF(Z275=DGET(claves!$A$2:$AS423,Z$2,{claves!$A$2;$E275}),1,0)</f>
        <v>#VALUE!</v>
      </c>
      <c r="AX275" s="436" t="str">
        <f t="array" ref="AX275">IF(AA275=DGET(claves!$A$2:$AS423,AA$2,{claves!$A$2;$E275}),1,0)</f>
        <v>#VALUE!</v>
      </c>
      <c r="AY275" s="436" t="str">
        <f t="array" ref="AY275">IF(AB275=DGET(claves!$A$2:$AS423,AB$2,{claves!$A$2;$E275}),1,0)</f>
        <v>#VALUE!</v>
      </c>
      <c r="AZ275" s="436" t="str">
        <f t="array" ref="AZ275">IF(AC275=DGET(claves!$A$2:$AS423,AC$2,{claves!$A$2;$E275}),1,0)</f>
        <v>#VALUE!</v>
      </c>
      <c r="BA275" s="436" t="str">
        <f t="array" ref="BA275">IF(AD275=DGET(claves!$A$2:$AS423,AD$2,{claves!$A$2;$E275}),1,0)</f>
        <v>#VALUE!</v>
      </c>
      <c r="BB275" s="436" t="str">
        <f t="array" ref="BB275">IF(AE275=DGET(claves!$A$2:$AS423,AE$2,{claves!$A$2;$E275}),1,0)</f>
        <v>#VALUE!</v>
      </c>
      <c r="BC275" s="436" t="str">
        <f t="array" ref="BC275">IF(AF275=DGET(claves!$A$2:$AS423,AF$2,{claves!$A$2;$E275}),1,0)</f>
        <v>#VALUE!</v>
      </c>
      <c r="BD275" s="437" t="str">
        <f t="shared" si="1"/>
        <v>#VALUE!</v>
      </c>
      <c r="BE275" s="435" t="s">
        <v>1468</v>
      </c>
      <c r="BF275" s="415"/>
    </row>
    <row r="276" ht="14.25" customHeight="1">
      <c r="A276" s="408">
        <v>274.0</v>
      </c>
      <c r="B276" s="153" t="s">
        <v>1927</v>
      </c>
      <c r="C276" s="153">
        <v>2024.0</v>
      </c>
      <c r="D276" s="77" t="s">
        <v>1817</v>
      </c>
      <c r="E276" s="409" t="str">
        <f>IFERROR(__xludf.DUMMYFUNCTION("ARRAYFORMULA(JOIN("""", ARRAYFORMULA(MID(SPLIT(F276, "" ""), 1, 1))))
&amp;""/""&amp;G276"),"CLC/4 Primaria")</f>
        <v>CLC/4 Primaria</v>
      </c>
      <c r="F276" s="77" t="s">
        <v>1819</v>
      </c>
      <c r="G276" s="432" t="s">
        <v>20</v>
      </c>
      <c r="H276" s="433" t="s">
        <v>1761</v>
      </c>
      <c r="I276" s="433" t="s">
        <v>1667</v>
      </c>
      <c r="J276" s="433" t="s">
        <v>1964</v>
      </c>
      <c r="K276" s="432" t="s">
        <v>1665</v>
      </c>
      <c r="L276" s="415"/>
      <c r="M276" s="434" t="s">
        <v>1660</v>
      </c>
      <c r="N276" s="434" t="s">
        <v>1660</v>
      </c>
      <c r="O276" s="434" t="s">
        <v>1660</v>
      </c>
      <c r="P276" s="434" t="s">
        <v>1660</v>
      </c>
      <c r="Q276" s="434" t="s">
        <v>1660</v>
      </c>
      <c r="R276" s="434" t="s">
        <v>1659</v>
      </c>
      <c r="S276" s="434" t="s">
        <v>1659</v>
      </c>
      <c r="T276" s="434" t="s">
        <v>1661</v>
      </c>
      <c r="U276" s="434" t="s">
        <v>1661</v>
      </c>
      <c r="V276" s="434" t="s">
        <v>1659</v>
      </c>
      <c r="W276" s="434" t="s">
        <v>1661</v>
      </c>
      <c r="X276" s="434" t="s">
        <v>1660</v>
      </c>
      <c r="Y276" s="434" t="s">
        <v>1660</v>
      </c>
      <c r="Z276" s="434" t="s">
        <v>1661</v>
      </c>
      <c r="AA276" s="434" t="s">
        <v>1659</v>
      </c>
      <c r="AB276" s="434" t="s">
        <v>1660</v>
      </c>
      <c r="AC276" s="434" t="s">
        <v>1660</v>
      </c>
      <c r="AD276" s="434" t="s">
        <v>1659</v>
      </c>
      <c r="AE276" s="434" t="s">
        <v>1689</v>
      </c>
      <c r="AF276" s="434" t="s">
        <v>1659</v>
      </c>
      <c r="AG276" s="427">
        <v>13.0</v>
      </c>
      <c r="AH276" s="435" t="s">
        <v>24</v>
      </c>
      <c r="AI276" s="415"/>
      <c r="AJ276" s="436" t="str">
        <f t="array" ref="AJ276">IF(M276=DGET(claves!$A$2:$AS423,M$2,{claves!$A$2;$E276}),1,0)</f>
        <v>#VALUE!</v>
      </c>
      <c r="AK276" s="436" t="str">
        <f t="array" ref="AK276">IF(N276=DGET(claves!$A$2:$AS423,N$2,{claves!$A$2;$E276}),1,0)</f>
        <v>#VALUE!</v>
      </c>
      <c r="AL276" s="436" t="str">
        <f t="array" ref="AL276">IF(O276=DGET(claves!$A$2:$AS423,O$2,{claves!$A$2;$E276}),1,0)</f>
        <v>#VALUE!</v>
      </c>
      <c r="AM276" s="436" t="str">
        <f t="array" ref="AM276">IF(P276=DGET(claves!$A$2:$AS423,P$2,{claves!$A$2;$E276}),1,0)</f>
        <v>#VALUE!</v>
      </c>
      <c r="AN276" s="436" t="str">
        <f t="array" ref="AN276">IF(Q276=DGET(claves!$A$2:$AS423,Q$2,{claves!$A$2;$E276}),1,0)</f>
        <v>#VALUE!</v>
      </c>
      <c r="AO276" s="436" t="str">
        <f t="array" ref="AO276">IF(R276=DGET(claves!$A$2:$AS423,R$2,{claves!$A$2;$E276}),1,0)</f>
        <v>#VALUE!</v>
      </c>
      <c r="AP276" s="436" t="str">
        <f t="array" ref="AP276">IF(S276=DGET(claves!$A$2:$AS423,S$2,{claves!$A$2;$E276}),1,0)</f>
        <v>#VALUE!</v>
      </c>
      <c r="AQ276" s="436" t="str">
        <f t="array" ref="AQ276">IF(T276=DGET(claves!$A$2:$AS423,T$2,{claves!$A$2;$E276}),1,0)</f>
        <v>#VALUE!</v>
      </c>
      <c r="AR276" s="436" t="str">
        <f t="array" ref="AR276">IF(U276=DGET(claves!$A$2:$AS423,U$2,{claves!$A$2;$E276}),1,0)</f>
        <v>#VALUE!</v>
      </c>
      <c r="AS276" s="436" t="str">
        <f t="array" ref="AS276">IF(V276=DGET(claves!$A$2:$AS423,V$2,{claves!$A$2;$E276}),1,0)</f>
        <v>#VALUE!</v>
      </c>
      <c r="AT276" s="436" t="str">
        <f t="array" ref="AT276">IF(W276=DGET(claves!$A$2:$AS423,W$2,{claves!$A$2;$E276}),1,0)</f>
        <v>#VALUE!</v>
      </c>
      <c r="AU276" s="436" t="str">
        <f t="array" ref="AU276">IF(X276=DGET(claves!$A$2:$AS423,X$2,{claves!$A$2;$E276}),1,0)</f>
        <v>#VALUE!</v>
      </c>
      <c r="AV276" s="436" t="str">
        <f t="array" ref="AV276">IF(Y276=DGET(claves!$A$2:$AS423,Y$2,{claves!$A$2;$E276}),1,0)</f>
        <v>#VALUE!</v>
      </c>
      <c r="AW276" s="436" t="str">
        <f t="array" ref="AW276">IF(Z276=DGET(claves!$A$2:$AS423,Z$2,{claves!$A$2;$E276}),1,0)</f>
        <v>#VALUE!</v>
      </c>
      <c r="AX276" s="436" t="str">
        <f t="array" ref="AX276">IF(AA276=DGET(claves!$A$2:$AS423,AA$2,{claves!$A$2;$E276}),1,0)</f>
        <v>#VALUE!</v>
      </c>
      <c r="AY276" s="436" t="str">
        <f t="array" ref="AY276">IF(AB276=DGET(claves!$A$2:$AS423,AB$2,{claves!$A$2;$E276}),1,0)</f>
        <v>#VALUE!</v>
      </c>
      <c r="AZ276" s="436" t="str">
        <f t="array" ref="AZ276">IF(AC276=DGET(claves!$A$2:$AS423,AC$2,{claves!$A$2;$E276}),1,0)</f>
        <v>#VALUE!</v>
      </c>
      <c r="BA276" s="436" t="str">
        <f t="array" ref="BA276">IF(AD276=DGET(claves!$A$2:$AS423,AD$2,{claves!$A$2;$E276}),1,0)</f>
        <v>#VALUE!</v>
      </c>
      <c r="BB276" s="436" t="str">
        <f t="array" ref="BB276">IF(AE276=DGET(claves!$A$2:$AS423,AE$2,{claves!$A$2;$E276}),1,0)</f>
        <v>#VALUE!</v>
      </c>
      <c r="BC276" s="436" t="str">
        <f t="array" ref="BC276">IF(AF276=DGET(claves!$A$2:$AS423,AF$2,{claves!$A$2;$E276}),1,0)</f>
        <v>#VALUE!</v>
      </c>
      <c r="BD276" s="437" t="str">
        <f t="shared" si="1"/>
        <v>#VALUE!</v>
      </c>
      <c r="BE276" s="435"/>
      <c r="BF276" s="415"/>
    </row>
    <row r="277" ht="14.25" customHeight="1">
      <c r="A277" s="408">
        <v>275.0</v>
      </c>
      <c r="B277" s="153" t="s">
        <v>1927</v>
      </c>
      <c r="C277" s="153">
        <v>2024.0</v>
      </c>
      <c r="D277" s="77" t="s">
        <v>362</v>
      </c>
      <c r="E277" s="409" t="str">
        <f>IFERROR(__xludf.DUMMYFUNCTION("ARRAYFORMULA(JOIN("""", ARRAYFORMULA(MID(SPLIT(F277, "" ""), 1, 1))))
&amp;""/""&amp;G277"),"MC/4 Primaria")</f>
        <v>MC/4 Primaria</v>
      </c>
      <c r="F277" s="77" t="s">
        <v>1654</v>
      </c>
      <c r="G277" s="432" t="s">
        <v>20</v>
      </c>
      <c r="H277" s="433" t="s">
        <v>1965</v>
      </c>
      <c r="I277" s="433" t="s">
        <v>1935</v>
      </c>
      <c r="J277" s="433" t="s">
        <v>1966</v>
      </c>
      <c r="K277" s="433" t="s">
        <v>1658</v>
      </c>
      <c r="L277" s="415"/>
      <c r="M277" s="434" t="s">
        <v>1659</v>
      </c>
      <c r="N277" s="434" t="s">
        <v>1661</v>
      </c>
      <c r="O277" s="434" t="s">
        <v>1689</v>
      </c>
      <c r="P277" s="434" t="s">
        <v>1689</v>
      </c>
      <c r="Q277" s="434" t="s">
        <v>1661</v>
      </c>
      <c r="R277" s="434" t="s">
        <v>1660</v>
      </c>
      <c r="S277" s="434" t="s">
        <v>1659</v>
      </c>
      <c r="T277" s="434" t="s">
        <v>1661</v>
      </c>
      <c r="U277" s="434" t="s">
        <v>1660</v>
      </c>
      <c r="V277" s="434" t="s">
        <v>1660</v>
      </c>
      <c r="W277" s="434" t="s">
        <v>1689</v>
      </c>
      <c r="X277" s="434" t="s">
        <v>1661</v>
      </c>
      <c r="Y277" s="434" t="s">
        <v>1660</v>
      </c>
      <c r="Z277" s="434" t="s">
        <v>1661</v>
      </c>
      <c r="AA277" s="434" t="s">
        <v>1660</v>
      </c>
      <c r="AB277" s="434" t="s">
        <v>1659</v>
      </c>
      <c r="AC277" s="434" t="s">
        <v>1661</v>
      </c>
      <c r="AD277" s="434" t="s">
        <v>1661</v>
      </c>
      <c r="AE277" s="434" t="s">
        <v>1660</v>
      </c>
      <c r="AF277" s="434" t="s">
        <v>1660</v>
      </c>
      <c r="AG277" s="427">
        <v>17.0</v>
      </c>
      <c r="AH277" s="438" t="s">
        <v>32</v>
      </c>
      <c r="AI277" s="415"/>
      <c r="AJ277" s="436" t="str">
        <f t="array" ref="AJ277">IF(M277=DGET(claves!$A$2:$AS423,M$2,{claves!$A$2;$E277}),1,0)</f>
        <v>#VALUE!</v>
      </c>
      <c r="AK277" s="436" t="str">
        <f t="array" ref="AK277">IF(N277=DGET(claves!$A$2:$AS423,N$2,{claves!$A$2;$E277}),1,0)</f>
        <v>#VALUE!</v>
      </c>
      <c r="AL277" s="436" t="str">
        <f t="array" ref="AL277">IF(O277=DGET(claves!$A$2:$AS423,O$2,{claves!$A$2;$E277}),1,0)</f>
        <v>#VALUE!</v>
      </c>
      <c r="AM277" s="436" t="str">
        <f t="array" ref="AM277">IF(P277=DGET(claves!$A$2:$AS423,P$2,{claves!$A$2;$E277}),1,0)</f>
        <v>#VALUE!</v>
      </c>
      <c r="AN277" s="436" t="str">
        <f t="array" ref="AN277">IF(Q277=DGET(claves!$A$2:$AS423,Q$2,{claves!$A$2;$E277}),1,0)</f>
        <v>#VALUE!</v>
      </c>
      <c r="AO277" s="436" t="str">
        <f t="array" ref="AO277">IF(R277=DGET(claves!$A$2:$AS423,R$2,{claves!$A$2;$E277}),1,0)</f>
        <v>#VALUE!</v>
      </c>
      <c r="AP277" s="436" t="str">
        <f t="array" ref="AP277">IF(S277=DGET(claves!$A$2:$AS423,S$2,{claves!$A$2;$E277}),1,0)</f>
        <v>#VALUE!</v>
      </c>
      <c r="AQ277" s="436" t="str">
        <f t="array" ref="AQ277">IF(T277=DGET(claves!$A$2:$AS423,T$2,{claves!$A$2;$E277}),1,0)</f>
        <v>#VALUE!</v>
      </c>
      <c r="AR277" s="436" t="str">
        <f t="array" ref="AR277">IF(U277=DGET(claves!$A$2:$AS423,U$2,{claves!$A$2;$E277}),1,0)</f>
        <v>#VALUE!</v>
      </c>
      <c r="AS277" s="436" t="str">
        <f t="array" ref="AS277">IF(V277=DGET(claves!$A$2:$AS423,V$2,{claves!$A$2;$E277}),1,0)</f>
        <v>#VALUE!</v>
      </c>
      <c r="AT277" s="436" t="str">
        <f t="array" ref="AT277">IF(W277=DGET(claves!$A$2:$AS423,W$2,{claves!$A$2;$E277}),1,0)</f>
        <v>#VALUE!</v>
      </c>
      <c r="AU277" s="436" t="str">
        <f t="array" ref="AU277">IF(X277=DGET(claves!$A$2:$AS423,X$2,{claves!$A$2;$E277}),1,0)</f>
        <v>#VALUE!</v>
      </c>
      <c r="AV277" s="436" t="str">
        <f t="array" ref="AV277">IF(Y277=DGET(claves!$A$2:$AS423,Y$2,{claves!$A$2;$E277}),1,0)</f>
        <v>#VALUE!</v>
      </c>
      <c r="AW277" s="436" t="str">
        <f t="array" ref="AW277">IF(Z277=DGET(claves!$A$2:$AS423,Z$2,{claves!$A$2;$E277}),1,0)</f>
        <v>#VALUE!</v>
      </c>
      <c r="AX277" s="436" t="str">
        <f t="array" ref="AX277">IF(AA277=DGET(claves!$A$2:$AS423,AA$2,{claves!$A$2;$E277}),1,0)</f>
        <v>#VALUE!</v>
      </c>
      <c r="AY277" s="436" t="str">
        <f t="array" ref="AY277">IF(AB277=DGET(claves!$A$2:$AS423,AB$2,{claves!$A$2;$E277}),1,0)</f>
        <v>#VALUE!</v>
      </c>
      <c r="AZ277" s="436" t="str">
        <f t="array" ref="AZ277">IF(AC277=DGET(claves!$A$2:$AS423,AC$2,{claves!$A$2;$E277}),1,0)</f>
        <v>#VALUE!</v>
      </c>
      <c r="BA277" s="436" t="str">
        <f t="array" ref="BA277">IF(AD277=DGET(claves!$A$2:$AS423,AD$2,{claves!$A$2;$E277}),1,0)</f>
        <v>#VALUE!</v>
      </c>
      <c r="BB277" s="436" t="str">
        <f t="array" ref="BB277">IF(AE277=DGET(claves!$A$2:$AS423,AE$2,{claves!$A$2;$E277}),1,0)</f>
        <v>#VALUE!</v>
      </c>
      <c r="BC277" s="436" t="str">
        <f t="array" ref="BC277">IF(AF277=DGET(claves!$A$2:$AS423,AF$2,{claves!$A$2;$E277}),1,0)</f>
        <v>#VALUE!</v>
      </c>
      <c r="BD277" s="437" t="str">
        <f t="shared" si="1"/>
        <v>#VALUE!</v>
      </c>
      <c r="BE277" s="435" t="s">
        <v>1468</v>
      </c>
      <c r="BF277" s="415"/>
    </row>
    <row r="278" ht="14.25" customHeight="1">
      <c r="A278" s="408">
        <v>276.0</v>
      </c>
      <c r="B278" s="153" t="s">
        <v>1927</v>
      </c>
      <c r="C278" s="153">
        <v>2024.0</v>
      </c>
      <c r="D278" s="77" t="s">
        <v>1817</v>
      </c>
      <c r="E278" s="409" t="str">
        <f>IFERROR(__xludf.DUMMYFUNCTION("ARRAYFORMULA(JOIN("""", ARRAYFORMULA(MID(SPLIT(F278, "" ""), 1, 1))))
&amp;""/""&amp;G278"),"CLC/4 Primaria")</f>
        <v>CLC/4 Primaria</v>
      </c>
      <c r="F278" s="77" t="s">
        <v>1819</v>
      </c>
      <c r="G278" s="432" t="s">
        <v>20</v>
      </c>
      <c r="H278" s="433" t="s">
        <v>1965</v>
      </c>
      <c r="I278" s="433" t="s">
        <v>1935</v>
      </c>
      <c r="J278" s="433" t="s">
        <v>1966</v>
      </c>
      <c r="K278" s="433" t="s">
        <v>1658</v>
      </c>
      <c r="L278" s="415"/>
      <c r="M278" s="434" t="s">
        <v>1659</v>
      </c>
      <c r="N278" s="434" t="s">
        <v>1660</v>
      </c>
      <c r="O278" s="434" t="s">
        <v>1659</v>
      </c>
      <c r="P278" s="434" t="s">
        <v>1660</v>
      </c>
      <c r="Q278" s="434" t="s">
        <v>1660</v>
      </c>
      <c r="R278" s="434" t="s">
        <v>1689</v>
      </c>
      <c r="S278" s="434" t="s">
        <v>1659</v>
      </c>
      <c r="T278" s="434" t="s">
        <v>1661</v>
      </c>
      <c r="U278" s="434" t="s">
        <v>1660</v>
      </c>
      <c r="V278" s="434" t="s">
        <v>1659</v>
      </c>
      <c r="W278" s="434" t="s">
        <v>1689</v>
      </c>
      <c r="X278" s="434" t="s">
        <v>1689</v>
      </c>
      <c r="Y278" s="434" t="s">
        <v>1660</v>
      </c>
      <c r="Z278" s="434" t="s">
        <v>1660</v>
      </c>
      <c r="AA278" s="434" t="s">
        <v>1659</v>
      </c>
      <c r="AB278" s="434" t="s">
        <v>1659</v>
      </c>
      <c r="AC278" s="434" t="s">
        <v>1660</v>
      </c>
      <c r="AD278" s="434" t="s">
        <v>1659</v>
      </c>
      <c r="AE278" s="434" t="s">
        <v>1659</v>
      </c>
      <c r="AF278" s="434" t="s">
        <v>1689</v>
      </c>
      <c r="AG278" s="427">
        <v>13.0</v>
      </c>
      <c r="AH278" s="435" t="s">
        <v>24</v>
      </c>
      <c r="AI278" s="415"/>
      <c r="AJ278" s="436" t="str">
        <f t="array" ref="AJ278">IF(M278=DGET(claves!$A$2:$AS423,M$2,{claves!$A$2;$E278}),1,0)</f>
        <v>#VALUE!</v>
      </c>
      <c r="AK278" s="436" t="str">
        <f t="array" ref="AK278">IF(N278=DGET(claves!$A$2:$AS423,N$2,{claves!$A$2;$E278}),1,0)</f>
        <v>#VALUE!</v>
      </c>
      <c r="AL278" s="436" t="str">
        <f t="array" ref="AL278">IF(O278=DGET(claves!$A$2:$AS423,O$2,{claves!$A$2;$E278}),1,0)</f>
        <v>#VALUE!</v>
      </c>
      <c r="AM278" s="436" t="str">
        <f t="array" ref="AM278">IF(P278=DGET(claves!$A$2:$AS423,P$2,{claves!$A$2;$E278}),1,0)</f>
        <v>#VALUE!</v>
      </c>
      <c r="AN278" s="436" t="str">
        <f t="array" ref="AN278">IF(Q278=DGET(claves!$A$2:$AS423,Q$2,{claves!$A$2;$E278}),1,0)</f>
        <v>#VALUE!</v>
      </c>
      <c r="AO278" s="436" t="str">
        <f t="array" ref="AO278">IF(R278=DGET(claves!$A$2:$AS423,R$2,{claves!$A$2;$E278}),1,0)</f>
        <v>#VALUE!</v>
      </c>
      <c r="AP278" s="436" t="str">
        <f t="array" ref="AP278">IF(S278=DGET(claves!$A$2:$AS423,S$2,{claves!$A$2;$E278}),1,0)</f>
        <v>#VALUE!</v>
      </c>
      <c r="AQ278" s="436" t="str">
        <f t="array" ref="AQ278">IF(T278=DGET(claves!$A$2:$AS423,T$2,{claves!$A$2;$E278}),1,0)</f>
        <v>#VALUE!</v>
      </c>
      <c r="AR278" s="436" t="str">
        <f t="array" ref="AR278">IF(U278=DGET(claves!$A$2:$AS423,U$2,{claves!$A$2;$E278}),1,0)</f>
        <v>#VALUE!</v>
      </c>
      <c r="AS278" s="436" t="str">
        <f t="array" ref="AS278">IF(V278=DGET(claves!$A$2:$AS423,V$2,{claves!$A$2;$E278}),1,0)</f>
        <v>#VALUE!</v>
      </c>
      <c r="AT278" s="436" t="str">
        <f t="array" ref="AT278">IF(W278=DGET(claves!$A$2:$AS423,W$2,{claves!$A$2;$E278}),1,0)</f>
        <v>#VALUE!</v>
      </c>
      <c r="AU278" s="436" t="str">
        <f t="array" ref="AU278">IF(X278=DGET(claves!$A$2:$AS423,X$2,{claves!$A$2;$E278}),1,0)</f>
        <v>#VALUE!</v>
      </c>
      <c r="AV278" s="436" t="str">
        <f t="array" ref="AV278">IF(Y278=DGET(claves!$A$2:$AS423,Y$2,{claves!$A$2;$E278}),1,0)</f>
        <v>#VALUE!</v>
      </c>
      <c r="AW278" s="436" t="str">
        <f t="array" ref="AW278">IF(Z278=DGET(claves!$A$2:$AS423,Z$2,{claves!$A$2;$E278}),1,0)</f>
        <v>#VALUE!</v>
      </c>
      <c r="AX278" s="436" t="str">
        <f t="array" ref="AX278">IF(AA278=DGET(claves!$A$2:$AS423,AA$2,{claves!$A$2;$E278}),1,0)</f>
        <v>#VALUE!</v>
      </c>
      <c r="AY278" s="436" t="str">
        <f t="array" ref="AY278">IF(AB278=DGET(claves!$A$2:$AS423,AB$2,{claves!$A$2;$E278}),1,0)</f>
        <v>#VALUE!</v>
      </c>
      <c r="AZ278" s="436" t="str">
        <f t="array" ref="AZ278">IF(AC278=DGET(claves!$A$2:$AS423,AC$2,{claves!$A$2;$E278}),1,0)</f>
        <v>#VALUE!</v>
      </c>
      <c r="BA278" s="436" t="str">
        <f t="array" ref="BA278">IF(AD278=DGET(claves!$A$2:$AS423,AD$2,{claves!$A$2;$E278}),1,0)</f>
        <v>#VALUE!</v>
      </c>
      <c r="BB278" s="436" t="str">
        <f t="array" ref="BB278">IF(AE278=DGET(claves!$A$2:$AS423,AE$2,{claves!$A$2;$E278}),1,0)</f>
        <v>#VALUE!</v>
      </c>
      <c r="BC278" s="436" t="str">
        <f t="array" ref="BC278">IF(AF278=DGET(claves!$A$2:$AS423,AF$2,{claves!$A$2;$E278}),1,0)</f>
        <v>#VALUE!</v>
      </c>
      <c r="BD278" s="437" t="str">
        <f t="shared" si="1"/>
        <v>#VALUE!</v>
      </c>
      <c r="BE278" s="435"/>
      <c r="BF278" s="415"/>
    </row>
    <row r="279" ht="14.25" customHeight="1">
      <c r="A279" s="408">
        <v>277.0</v>
      </c>
      <c r="B279" s="153" t="s">
        <v>1927</v>
      </c>
      <c r="C279" s="153">
        <v>2024.0</v>
      </c>
      <c r="D279" s="77" t="s">
        <v>362</v>
      </c>
      <c r="E279" s="409" t="str">
        <f>IFERROR(__xludf.DUMMYFUNCTION("ARRAYFORMULA(JOIN("""", ARRAYFORMULA(MID(SPLIT(F279, "" ""), 1, 1))))
&amp;""/""&amp;G279"),"MC/4 Primaria")</f>
        <v>MC/4 Primaria</v>
      </c>
      <c r="F279" s="77" t="s">
        <v>1654</v>
      </c>
      <c r="G279" s="432" t="s">
        <v>20</v>
      </c>
      <c r="H279" s="433" t="s">
        <v>1667</v>
      </c>
      <c r="I279" s="433" t="s">
        <v>1771</v>
      </c>
      <c r="J279" s="433" t="s">
        <v>1967</v>
      </c>
      <c r="K279" s="432" t="s">
        <v>1665</v>
      </c>
      <c r="L279" s="415"/>
      <c r="M279" s="434" t="s">
        <v>1689</v>
      </c>
      <c r="N279" s="434" t="s">
        <v>1659</v>
      </c>
      <c r="O279" s="434" t="s">
        <v>1660</v>
      </c>
      <c r="P279" s="434" t="s">
        <v>1689</v>
      </c>
      <c r="Q279" s="434" t="s">
        <v>1661</v>
      </c>
      <c r="R279" s="434" t="s">
        <v>1660</v>
      </c>
      <c r="S279" s="434" t="s">
        <v>1661</v>
      </c>
      <c r="T279" s="434" t="s">
        <v>1661</v>
      </c>
      <c r="U279" s="434" t="s">
        <v>1689</v>
      </c>
      <c r="V279" s="434" t="s">
        <v>1661</v>
      </c>
      <c r="W279" s="434" t="s">
        <v>1659</v>
      </c>
      <c r="X279" s="434" t="s">
        <v>1660</v>
      </c>
      <c r="Y279" s="434" t="s">
        <v>1661</v>
      </c>
      <c r="Z279" s="434" t="s">
        <v>1660</v>
      </c>
      <c r="AA279" s="434" t="s">
        <v>1661</v>
      </c>
      <c r="AB279" s="434" t="s">
        <v>1659</v>
      </c>
      <c r="AC279" s="434" t="s">
        <v>1659</v>
      </c>
      <c r="AD279" s="434" t="s">
        <v>1689</v>
      </c>
      <c r="AE279" s="434" t="s">
        <v>1661</v>
      </c>
      <c r="AF279" s="434" t="s">
        <v>1661</v>
      </c>
      <c r="AG279" s="427">
        <v>6.0</v>
      </c>
      <c r="AH279" s="435" t="s">
        <v>18</v>
      </c>
      <c r="AI279" s="415"/>
      <c r="AJ279" s="436" t="str">
        <f t="array" ref="AJ279">IF(M279=DGET(claves!$A$2:$AS423,M$2,{claves!$A$2;$E279}),1,0)</f>
        <v>#VALUE!</v>
      </c>
      <c r="AK279" s="436" t="str">
        <f t="array" ref="AK279">IF(N279=DGET(claves!$A$2:$AS423,N$2,{claves!$A$2;$E279}),1,0)</f>
        <v>#VALUE!</v>
      </c>
      <c r="AL279" s="436" t="str">
        <f t="array" ref="AL279">IF(O279=DGET(claves!$A$2:$AS423,O$2,{claves!$A$2;$E279}),1,0)</f>
        <v>#VALUE!</v>
      </c>
      <c r="AM279" s="436" t="str">
        <f t="array" ref="AM279">IF(P279=DGET(claves!$A$2:$AS423,P$2,{claves!$A$2;$E279}),1,0)</f>
        <v>#VALUE!</v>
      </c>
      <c r="AN279" s="436" t="str">
        <f t="array" ref="AN279">IF(Q279=DGET(claves!$A$2:$AS423,Q$2,{claves!$A$2;$E279}),1,0)</f>
        <v>#VALUE!</v>
      </c>
      <c r="AO279" s="436" t="str">
        <f t="array" ref="AO279">IF(R279=DGET(claves!$A$2:$AS423,R$2,{claves!$A$2;$E279}),1,0)</f>
        <v>#VALUE!</v>
      </c>
      <c r="AP279" s="436" t="str">
        <f t="array" ref="AP279">IF(S279=DGET(claves!$A$2:$AS423,S$2,{claves!$A$2;$E279}),1,0)</f>
        <v>#VALUE!</v>
      </c>
      <c r="AQ279" s="436" t="str">
        <f t="array" ref="AQ279">IF(T279=DGET(claves!$A$2:$AS423,T$2,{claves!$A$2;$E279}),1,0)</f>
        <v>#VALUE!</v>
      </c>
      <c r="AR279" s="436" t="str">
        <f t="array" ref="AR279">IF(U279=DGET(claves!$A$2:$AS423,U$2,{claves!$A$2;$E279}),1,0)</f>
        <v>#VALUE!</v>
      </c>
      <c r="AS279" s="436" t="str">
        <f t="array" ref="AS279">IF(V279=DGET(claves!$A$2:$AS423,V$2,{claves!$A$2;$E279}),1,0)</f>
        <v>#VALUE!</v>
      </c>
      <c r="AT279" s="436" t="str">
        <f t="array" ref="AT279">IF(W279=DGET(claves!$A$2:$AS423,W$2,{claves!$A$2;$E279}),1,0)</f>
        <v>#VALUE!</v>
      </c>
      <c r="AU279" s="436" t="str">
        <f t="array" ref="AU279">IF(X279=DGET(claves!$A$2:$AS423,X$2,{claves!$A$2;$E279}),1,0)</f>
        <v>#VALUE!</v>
      </c>
      <c r="AV279" s="436" t="str">
        <f t="array" ref="AV279">IF(Y279=DGET(claves!$A$2:$AS423,Y$2,{claves!$A$2;$E279}),1,0)</f>
        <v>#VALUE!</v>
      </c>
      <c r="AW279" s="436" t="str">
        <f t="array" ref="AW279">IF(Z279=DGET(claves!$A$2:$AS423,Z$2,{claves!$A$2;$E279}),1,0)</f>
        <v>#VALUE!</v>
      </c>
      <c r="AX279" s="436" t="str">
        <f t="array" ref="AX279">IF(AA279=DGET(claves!$A$2:$AS423,AA$2,{claves!$A$2;$E279}),1,0)</f>
        <v>#VALUE!</v>
      </c>
      <c r="AY279" s="436" t="str">
        <f t="array" ref="AY279">IF(AB279=DGET(claves!$A$2:$AS423,AB$2,{claves!$A$2;$E279}),1,0)</f>
        <v>#VALUE!</v>
      </c>
      <c r="AZ279" s="436" t="str">
        <f t="array" ref="AZ279">IF(AC279=DGET(claves!$A$2:$AS423,AC$2,{claves!$A$2;$E279}),1,0)</f>
        <v>#VALUE!</v>
      </c>
      <c r="BA279" s="436" t="str">
        <f t="array" ref="BA279">IF(AD279=DGET(claves!$A$2:$AS423,AD$2,{claves!$A$2;$E279}),1,0)</f>
        <v>#VALUE!</v>
      </c>
      <c r="BB279" s="436" t="str">
        <f t="array" ref="BB279">IF(AE279=DGET(claves!$A$2:$AS423,AE$2,{claves!$A$2;$E279}),1,0)</f>
        <v>#VALUE!</v>
      </c>
      <c r="BC279" s="436" t="str">
        <f t="array" ref="BC279">IF(AF279=DGET(claves!$A$2:$AS423,AF$2,{claves!$A$2;$E279}),1,0)</f>
        <v>#VALUE!</v>
      </c>
      <c r="BD279" s="437" t="str">
        <f t="shared" si="1"/>
        <v>#VALUE!</v>
      </c>
      <c r="BE279" s="435" t="s">
        <v>1468</v>
      </c>
      <c r="BF279" s="415"/>
    </row>
    <row r="280" ht="14.25" customHeight="1">
      <c r="A280" s="408">
        <v>278.0</v>
      </c>
      <c r="B280" s="153" t="s">
        <v>1927</v>
      </c>
      <c r="C280" s="153">
        <v>2024.0</v>
      </c>
      <c r="D280" s="77" t="s">
        <v>1817</v>
      </c>
      <c r="E280" s="409" t="str">
        <f>IFERROR(__xludf.DUMMYFUNCTION("ARRAYFORMULA(JOIN("""", ARRAYFORMULA(MID(SPLIT(F280, "" ""), 1, 1))))
&amp;""/""&amp;G280"),"CLC/4 Primaria")</f>
        <v>CLC/4 Primaria</v>
      </c>
      <c r="F280" s="77" t="s">
        <v>1819</v>
      </c>
      <c r="G280" s="432" t="s">
        <v>20</v>
      </c>
      <c r="H280" s="433" t="s">
        <v>1667</v>
      </c>
      <c r="I280" s="433" t="s">
        <v>1771</v>
      </c>
      <c r="J280" s="433" t="s">
        <v>1967</v>
      </c>
      <c r="K280" s="432" t="s">
        <v>1665</v>
      </c>
      <c r="L280" s="415"/>
      <c r="M280" s="434" t="s">
        <v>1659</v>
      </c>
      <c r="N280" s="434" t="s">
        <v>1689</v>
      </c>
      <c r="O280" s="434" t="s">
        <v>1689</v>
      </c>
      <c r="P280" s="434" t="s">
        <v>1660</v>
      </c>
      <c r="Q280" s="434" t="s">
        <v>1661</v>
      </c>
      <c r="R280" s="434" t="s">
        <v>1660</v>
      </c>
      <c r="S280" s="434" t="s">
        <v>1659</v>
      </c>
      <c r="T280" s="434" t="s">
        <v>1661</v>
      </c>
      <c r="U280" s="434" t="s">
        <v>1689</v>
      </c>
      <c r="V280" s="434" t="s">
        <v>1660</v>
      </c>
      <c r="W280" s="434" t="s">
        <v>1659</v>
      </c>
      <c r="X280" s="434" t="s">
        <v>1660</v>
      </c>
      <c r="Y280" s="434" t="s">
        <v>1660</v>
      </c>
      <c r="Z280" s="434" t="s">
        <v>1661</v>
      </c>
      <c r="AA280" s="434" t="s">
        <v>1659</v>
      </c>
      <c r="AB280" s="434" t="s">
        <v>1659</v>
      </c>
      <c r="AC280" s="434" t="s">
        <v>1660</v>
      </c>
      <c r="AD280" s="434" t="s">
        <v>1660</v>
      </c>
      <c r="AE280" s="434" t="s">
        <v>1659</v>
      </c>
      <c r="AF280" s="434" t="s">
        <v>1689</v>
      </c>
      <c r="AG280" s="427">
        <v>9.0</v>
      </c>
      <c r="AH280" s="435" t="s">
        <v>18</v>
      </c>
      <c r="AI280" s="415"/>
      <c r="AJ280" s="436" t="str">
        <f t="array" ref="AJ280">IF(M280=DGET(claves!$A$2:$AS423,M$2,{claves!$A$2;$E280}),1,0)</f>
        <v>#VALUE!</v>
      </c>
      <c r="AK280" s="436" t="str">
        <f t="array" ref="AK280">IF(N280=DGET(claves!$A$2:$AS423,N$2,{claves!$A$2;$E280}),1,0)</f>
        <v>#VALUE!</v>
      </c>
      <c r="AL280" s="436" t="str">
        <f t="array" ref="AL280">IF(O280=DGET(claves!$A$2:$AS423,O$2,{claves!$A$2;$E280}),1,0)</f>
        <v>#VALUE!</v>
      </c>
      <c r="AM280" s="436" t="str">
        <f t="array" ref="AM280">IF(P280=DGET(claves!$A$2:$AS423,P$2,{claves!$A$2;$E280}),1,0)</f>
        <v>#VALUE!</v>
      </c>
      <c r="AN280" s="436" t="str">
        <f t="array" ref="AN280">IF(Q280=DGET(claves!$A$2:$AS423,Q$2,{claves!$A$2;$E280}),1,0)</f>
        <v>#VALUE!</v>
      </c>
      <c r="AO280" s="436" t="str">
        <f t="array" ref="AO280">IF(R280=DGET(claves!$A$2:$AS423,R$2,{claves!$A$2;$E280}),1,0)</f>
        <v>#VALUE!</v>
      </c>
      <c r="AP280" s="436" t="str">
        <f t="array" ref="AP280">IF(S280=DGET(claves!$A$2:$AS423,S$2,{claves!$A$2;$E280}),1,0)</f>
        <v>#VALUE!</v>
      </c>
      <c r="AQ280" s="436" t="str">
        <f t="array" ref="AQ280">IF(T280=DGET(claves!$A$2:$AS423,T$2,{claves!$A$2;$E280}),1,0)</f>
        <v>#VALUE!</v>
      </c>
      <c r="AR280" s="436" t="str">
        <f t="array" ref="AR280">IF(U280=DGET(claves!$A$2:$AS423,U$2,{claves!$A$2;$E280}),1,0)</f>
        <v>#VALUE!</v>
      </c>
      <c r="AS280" s="436" t="str">
        <f t="array" ref="AS280">IF(V280=DGET(claves!$A$2:$AS423,V$2,{claves!$A$2;$E280}),1,0)</f>
        <v>#VALUE!</v>
      </c>
      <c r="AT280" s="436" t="str">
        <f t="array" ref="AT280">IF(W280=DGET(claves!$A$2:$AS423,W$2,{claves!$A$2;$E280}),1,0)</f>
        <v>#VALUE!</v>
      </c>
      <c r="AU280" s="436" t="str">
        <f t="array" ref="AU280">IF(X280=DGET(claves!$A$2:$AS423,X$2,{claves!$A$2;$E280}),1,0)</f>
        <v>#VALUE!</v>
      </c>
      <c r="AV280" s="436" t="str">
        <f t="array" ref="AV280">IF(Y280=DGET(claves!$A$2:$AS423,Y$2,{claves!$A$2;$E280}),1,0)</f>
        <v>#VALUE!</v>
      </c>
      <c r="AW280" s="436" t="str">
        <f t="array" ref="AW280">IF(Z280=DGET(claves!$A$2:$AS423,Z$2,{claves!$A$2;$E280}),1,0)</f>
        <v>#VALUE!</v>
      </c>
      <c r="AX280" s="436" t="str">
        <f t="array" ref="AX280">IF(AA280=DGET(claves!$A$2:$AS423,AA$2,{claves!$A$2;$E280}),1,0)</f>
        <v>#VALUE!</v>
      </c>
      <c r="AY280" s="436" t="str">
        <f t="array" ref="AY280">IF(AB280=DGET(claves!$A$2:$AS423,AB$2,{claves!$A$2;$E280}),1,0)</f>
        <v>#VALUE!</v>
      </c>
      <c r="AZ280" s="436" t="str">
        <f t="array" ref="AZ280">IF(AC280=DGET(claves!$A$2:$AS423,AC$2,{claves!$A$2;$E280}),1,0)</f>
        <v>#VALUE!</v>
      </c>
      <c r="BA280" s="436" t="str">
        <f t="array" ref="BA280">IF(AD280=DGET(claves!$A$2:$AS423,AD$2,{claves!$A$2;$E280}),1,0)</f>
        <v>#VALUE!</v>
      </c>
      <c r="BB280" s="436" t="str">
        <f t="array" ref="BB280">IF(AE280=DGET(claves!$A$2:$AS423,AE$2,{claves!$A$2;$E280}),1,0)</f>
        <v>#VALUE!</v>
      </c>
      <c r="BC280" s="436" t="str">
        <f t="array" ref="BC280">IF(AF280=DGET(claves!$A$2:$AS423,AF$2,{claves!$A$2;$E280}),1,0)</f>
        <v>#VALUE!</v>
      </c>
      <c r="BD280" s="437" t="str">
        <f t="shared" si="1"/>
        <v>#VALUE!</v>
      </c>
      <c r="BE280" s="435"/>
      <c r="BF280" s="415"/>
    </row>
    <row r="281" ht="14.25" customHeight="1">
      <c r="A281" s="408">
        <v>279.0</v>
      </c>
      <c r="B281" s="153" t="s">
        <v>1927</v>
      </c>
      <c r="C281" s="153">
        <v>2024.0</v>
      </c>
      <c r="D281" s="77" t="s">
        <v>362</v>
      </c>
      <c r="E281" s="409" t="str">
        <f>IFERROR(__xludf.DUMMYFUNCTION("ARRAYFORMULA(JOIN("""", ARRAYFORMULA(MID(SPLIT(F281, "" ""), 1, 1))))
&amp;""/""&amp;G281"),"MC/4 Primaria")</f>
        <v>MC/4 Primaria</v>
      </c>
      <c r="F281" s="77" t="s">
        <v>1654</v>
      </c>
      <c r="G281" s="432" t="s">
        <v>20</v>
      </c>
      <c r="H281" s="433" t="s">
        <v>1684</v>
      </c>
      <c r="I281" s="433" t="s">
        <v>1761</v>
      </c>
      <c r="J281" s="433" t="s">
        <v>1968</v>
      </c>
      <c r="K281" s="433" t="s">
        <v>1658</v>
      </c>
      <c r="L281" s="415"/>
      <c r="M281" s="434" t="s">
        <v>1689</v>
      </c>
      <c r="N281" s="434" t="s">
        <v>1661</v>
      </c>
      <c r="O281" s="434" t="s">
        <v>1660</v>
      </c>
      <c r="P281" s="434" t="s">
        <v>1689</v>
      </c>
      <c r="Q281" s="434" t="s">
        <v>1661</v>
      </c>
      <c r="R281" s="434" t="s">
        <v>1660</v>
      </c>
      <c r="S281" s="434" t="s">
        <v>1660</v>
      </c>
      <c r="T281" s="434" t="s">
        <v>1661</v>
      </c>
      <c r="U281" s="434" t="s">
        <v>1660</v>
      </c>
      <c r="V281" s="434" t="s">
        <v>1660</v>
      </c>
      <c r="W281" s="434" t="s">
        <v>1659</v>
      </c>
      <c r="X281" s="434" t="s">
        <v>1661</v>
      </c>
      <c r="Y281" s="434" t="s">
        <v>1660</v>
      </c>
      <c r="Z281" s="434" t="s">
        <v>1689</v>
      </c>
      <c r="AA281" s="434" t="s">
        <v>1660</v>
      </c>
      <c r="AB281" s="434" t="s">
        <v>1659</v>
      </c>
      <c r="AC281" s="434" t="s">
        <v>1661</v>
      </c>
      <c r="AD281" s="434" t="s">
        <v>1661</v>
      </c>
      <c r="AE281" s="434" t="s">
        <v>1660</v>
      </c>
      <c r="AF281" s="434" t="s">
        <v>1660</v>
      </c>
      <c r="AG281" s="427">
        <v>16.0</v>
      </c>
      <c r="AH281" s="435" t="s">
        <v>24</v>
      </c>
      <c r="AI281" s="415"/>
      <c r="AJ281" s="436" t="str">
        <f t="array" ref="AJ281">IF(M281=DGET(claves!$A$2:$AS423,M$2,{claves!$A$2;$E281}),1,0)</f>
        <v>#VALUE!</v>
      </c>
      <c r="AK281" s="436" t="str">
        <f t="array" ref="AK281">IF(N281=DGET(claves!$A$2:$AS423,N$2,{claves!$A$2;$E281}),1,0)</f>
        <v>#VALUE!</v>
      </c>
      <c r="AL281" s="436" t="str">
        <f t="array" ref="AL281">IF(O281=DGET(claves!$A$2:$AS423,O$2,{claves!$A$2;$E281}),1,0)</f>
        <v>#VALUE!</v>
      </c>
      <c r="AM281" s="436" t="str">
        <f t="array" ref="AM281">IF(P281=DGET(claves!$A$2:$AS423,P$2,{claves!$A$2;$E281}),1,0)</f>
        <v>#VALUE!</v>
      </c>
      <c r="AN281" s="436" t="str">
        <f t="array" ref="AN281">IF(Q281=DGET(claves!$A$2:$AS423,Q$2,{claves!$A$2;$E281}),1,0)</f>
        <v>#VALUE!</v>
      </c>
      <c r="AO281" s="436" t="str">
        <f t="array" ref="AO281">IF(R281=DGET(claves!$A$2:$AS423,R$2,{claves!$A$2;$E281}),1,0)</f>
        <v>#VALUE!</v>
      </c>
      <c r="AP281" s="436" t="str">
        <f t="array" ref="AP281">IF(S281=DGET(claves!$A$2:$AS423,S$2,{claves!$A$2;$E281}),1,0)</f>
        <v>#VALUE!</v>
      </c>
      <c r="AQ281" s="436" t="str">
        <f t="array" ref="AQ281">IF(T281=DGET(claves!$A$2:$AS423,T$2,{claves!$A$2;$E281}),1,0)</f>
        <v>#VALUE!</v>
      </c>
      <c r="AR281" s="436" t="str">
        <f t="array" ref="AR281">IF(U281=DGET(claves!$A$2:$AS423,U$2,{claves!$A$2;$E281}),1,0)</f>
        <v>#VALUE!</v>
      </c>
      <c r="AS281" s="436" t="str">
        <f t="array" ref="AS281">IF(V281=DGET(claves!$A$2:$AS423,V$2,{claves!$A$2;$E281}),1,0)</f>
        <v>#VALUE!</v>
      </c>
      <c r="AT281" s="436" t="str">
        <f t="array" ref="AT281">IF(W281=DGET(claves!$A$2:$AS423,W$2,{claves!$A$2;$E281}),1,0)</f>
        <v>#VALUE!</v>
      </c>
      <c r="AU281" s="436" t="str">
        <f t="array" ref="AU281">IF(X281=DGET(claves!$A$2:$AS423,X$2,{claves!$A$2;$E281}),1,0)</f>
        <v>#VALUE!</v>
      </c>
      <c r="AV281" s="436" t="str">
        <f t="array" ref="AV281">IF(Y281=DGET(claves!$A$2:$AS423,Y$2,{claves!$A$2;$E281}),1,0)</f>
        <v>#VALUE!</v>
      </c>
      <c r="AW281" s="436" t="str">
        <f t="array" ref="AW281">IF(Z281=DGET(claves!$A$2:$AS423,Z$2,{claves!$A$2;$E281}),1,0)</f>
        <v>#VALUE!</v>
      </c>
      <c r="AX281" s="436" t="str">
        <f t="array" ref="AX281">IF(AA281=DGET(claves!$A$2:$AS423,AA$2,{claves!$A$2;$E281}),1,0)</f>
        <v>#VALUE!</v>
      </c>
      <c r="AY281" s="436" t="str">
        <f t="array" ref="AY281">IF(AB281=DGET(claves!$A$2:$AS423,AB$2,{claves!$A$2;$E281}),1,0)</f>
        <v>#VALUE!</v>
      </c>
      <c r="AZ281" s="436" t="str">
        <f t="array" ref="AZ281">IF(AC281=DGET(claves!$A$2:$AS423,AC$2,{claves!$A$2;$E281}),1,0)</f>
        <v>#VALUE!</v>
      </c>
      <c r="BA281" s="436" t="str">
        <f t="array" ref="BA281">IF(AD281=DGET(claves!$A$2:$AS423,AD$2,{claves!$A$2;$E281}),1,0)</f>
        <v>#VALUE!</v>
      </c>
      <c r="BB281" s="436" t="str">
        <f t="array" ref="BB281">IF(AE281=DGET(claves!$A$2:$AS423,AE$2,{claves!$A$2;$E281}),1,0)</f>
        <v>#VALUE!</v>
      </c>
      <c r="BC281" s="436" t="str">
        <f t="array" ref="BC281">IF(AF281=DGET(claves!$A$2:$AS423,AF$2,{claves!$A$2;$E281}),1,0)</f>
        <v>#VALUE!</v>
      </c>
      <c r="BD281" s="437" t="str">
        <f t="shared" si="1"/>
        <v>#VALUE!</v>
      </c>
      <c r="BE281" s="435" t="s">
        <v>1468</v>
      </c>
      <c r="BF281" s="415"/>
    </row>
    <row r="282" ht="14.25" customHeight="1">
      <c r="A282" s="408">
        <v>280.0</v>
      </c>
      <c r="B282" s="153" t="s">
        <v>1927</v>
      </c>
      <c r="C282" s="153">
        <v>2024.0</v>
      </c>
      <c r="D282" s="77" t="s">
        <v>1817</v>
      </c>
      <c r="E282" s="409" t="str">
        <f>IFERROR(__xludf.DUMMYFUNCTION("ARRAYFORMULA(JOIN("""", ARRAYFORMULA(MID(SPLIT(F282, "" ""), 1, 1))))
&amp;""/""&amp;G282"),"CLC/4 Primaria")</f>
        <v>CLC/4 Primaria</v>
      </c>
      <c r="F282" s="77" t="s">
        <v>1819</v>
      </c>
      <c r="G282" s="432" t="s">
        <v>20</v>
      </c>
      <c r="H282" s="433" t="s">
        <v>1684</v>
      </c>
      <c r="I282" s="433" t="s">
        <v>1761</v>
      </c>
      <c r="J282" s="433" t="s">
        <v>1968</v>
      </c>
      <c r="K282" s="433" t="s">
        <v>1658</v>
      </c>
      <c r="L282" s="415"/>
      <c r="M282" s="434" t="s">
        <v>1659</v>
      </c>
      <c r="N282" s="434" t="s">
        <v>1660</v>
      </c>
      <c r="O282" s="434" t="s">
        <v>1659</v>
      </c>
      <c r="P282" s="434" t="s">
        <v>1660</v>
      </c>
      <c r="Q282" s="434" t="s">
        <v>1659</v>
      </c>
      <c r="R282" s="434" t="s">
        <v>1660</v>
      </c>
      <c r="S282" s="434" t="s">
        <v>1659</v>
      </c>
      <c r="T282" s="434" t="s">
        <v>1661</v>
      </c>
      <c r="U282" s="434" t="s">
        <v>1660</v>
      </c>
      <c r="V282" s="434" t="s">
        <v>1661</v>
      </c>
      <c r="W282" s="434" t="s">
        <v>1661</v>
      </c>
      <c r="X282" s="434" t="s">
        <v>1689</v>
      </c>
      <c r="Y282" s="434" t="s">
        <v>1660</v>
      </c>
      <c r="Z282" s="434" t="s">
        <v>1661</v>
      </c>
      <c r="AA282" s="434" t="s">
        <v>1659</v>
      </c>
      <c r="AB282" s="434" t="s">
        <v>1660</v>
      </c>
      <c r="AC282" s="434" t="s">
        <v>1660</v>
      </c>
      <c r="AD282" s="434" t="s">
        <v>1689</v>
      </c>
      <c r="AE282" s="434" t="s">
        <v>1659</v>
      </c>
      <c r="AF282" s="434" t="s">
        <v>1689</v>
      </c>
      <c r="AG282" s="427">
        <v>12.0</v>
      </c>
      <c r="AH282" s="435" t="s">
        <v>24</v>
      </c>
      <c r="AI282" s="415"/>
      <c r="AJ282" s="436" t="str">
        <f t="array" ref="AJ282">IF(M282=DGET(claves!$A$2:$AS423,M$2,{claves!$A$2;$E282}),1,0)</f>
        <v>#VALUE!</v>
      </c>
      <c r="AK282" s="436" t="str">
        <f t="array" ref="AK282">IF(N282=DGET(claves!$A$2:$AS423,N$2,{claves!$A$2;$E282}),1,0)</f>
        <v>#VALUE!</v>
      </c>
      <c r="AL282" s="436" t="str">
        <f t="array" ref="AL282">IF(O282=DGET(claves!$A$2:$AS423,O$2,{claves!$A$2;$E282}),1,0)</f>
        <v>#VALUE!</v>
      </c>
      <c r="AM282" s="436" t="str">
        <f t="array" ref="AM282">IF(P282=DGET(claves!$A$2:$AS423,P$2,{claves!$A$2;$E282}),1,0)</f>
        <v>#VALUE!</v>
      </c>
      <c r="AN282" s="436" t="str">
        <f t="array" ref="AN282">IF(Q282=DGET(claves!$A$2:$AS423,Q$2,{claves!$A$2;$E282}),1,0)</f>
        <v>#VALUE!</v>
      </c>
      <c r="AO282" s="436" t="str">
        <f t="array" ref="AO282">IF(R282=DGET(claves!$A$2:$AS423,R$2,{claves!$A$2;$E282}),1,0)</f>
        <v>#VALUE!</v>
      </c>
      <c r="AP282" s="436" t="str">
        <f t="array" ref="AP282">IF(S282=DGET(claves!$A$2:$AS423,S$2,{claves!$A$2;$E282}),1,0)</f>
        <v>#VALUE!</v>
      </c>
      <c r="AQ282" s="436" t="str">
        <f t="array" ref="AQ282">IF(T282=DGET(claves!$A$2:$AS423,T$2,{claves!$A$2;$E282}),1,0)</f>
        <v>#VALUE!</v>
      </c>
      <c r="AR282" s="436" t="str">
        <f t="array" ref="AR282">IF(U282=DGET(claves!$A$2:$AS423,U$2,{claves!$A$2;$E282}),1,0)</f>
        <v>#VALUE!</v>
      </c>
      <c r="AS282" s="436" t="str">
        <f t="array" ref="AS282">IF(V282=DGET(claves!$A$2:$AS423,V$2,{claves!$A$2;$E282}),1,0)</f>
        <v>#VALUE!</v>
      </c>
      <c r="AT282" s="436" t="str">
        <f t="array" ref="AT282">IF(W282=DGET(claves!$A$2:$AS423,W$2,{claves!$A$2;$E282}),1,0)</f>
        <v>#VALUE!</v>
      </c>
      <c r="AU282" s="436" t="str">
        <f t="array" ref="AU282">IF(X282=DGET(claves!$A$2:$AS423,X$2,{claves!$A$2;$E282}),1,0)</f>
        <v>#VALUE!</v>
      </c>
      <c r="AV282" s="436" t="str">
        <f t="array" ref="AV282">IF(Y282=DGET(claves!$A$2:$AS423,Y$2,{claves!$A$2;$E282}),1,0)</f>
        <v>#VALUE!</v>
      </c>
      <c r="AW282" s="436" t="str">
        <f t="array" ref="AW282">IF(Z282=DGET(claves!$A$2:$AS423,Z$2,{claves!$A$2;$E282}),1,0)</f>
        <v>#VALUE!</v>
      </c>
      <c r="AX282" s="436" t="str">
        <f t="array" ref="AX282">IF(AA282=DGET(claves!$A$2:$AS423,AA$2,{claves!$A$2;$E282}),1,0)</f>
        <v>#VALUE!</v>
      </c>
      <c r="AY282" s="436" t="str">
        <f t="array" ref="AY282">IF(AB282=DGET(claves!$A$2:$AS423,AB$2,{claves!$A$2;$E282}),1,0)</f>
        <v>#VALUE!</v>
      </c>
      <c r="AZ282" s="436" t="str">
        <f t="array" ref="AZ282">IF(AC282=DGET(claves!$A$2:$AS423,AC$2,{claves!$A$2;$E282}),1,0)</f>
        <v>#VALUE!</v>
      </c>
      <c r="BA282" s="436" t="str">
        <f t="array" ref="BA282">IF(AD282=DGET(claves!$A$2:$AS423,AD$2,{claves!$A$2;$E282}),1,0)</f>
        <v>#VALUE!</v>
      </c>
      <c r="BB282" s="436" t="str">
        <f t="array" ref="BB282">IF(AE282=DGET(claves!$A$2:$AS423,AE$2,{claves!$A$2;$E282}),1,0)</f>
        <v>#VALUE!</v>
      </c>
      <c r="BC282" s="436" t="str">
        <f t="array" ref="BC282">IF(AF282=DGET(claves!$A$2:$AS423,AF$2,{claves!$A$2;$E282}),1,0)</f>
        <v>#VALUE!</v>
      </c>
      <c r="BD282" s="437" t="str">
        <f t="shared" si="1"/>
        <v>#VALUE!</v>
      </c>
      <c r="BE282" s="435"/>
      <c r="BF282" s="415"/>
    </row>
    <row r="283" ht="14.25" customHeight="1">
      <c r="A283" s="408">
        <v>281.0</v>
      </c>
      <c r="B283" s="153" t="s">
        <v>1927</v>
      </c>
      <c r="C283" s="153">
        <v>2024.0</v>
      </c>
      <c r="D283" s="77" t="s">
        <v>362</v>
      </c>
      <c r="E283" s="409" t="str">
        <f>IFERROR(__xludf.DUMMYFUNCTION("ARRAYFORMULA(JOIN("""", ARRAYFORMULA(MID(SPLIT(F283, "" ""), 1, 1))))
&amp;""/""&amp;G283"),"MC/4 Primaria")</f>
        <v>MC/4 Primaria</v>
      </c>
      <c r="F283" s="77" t="s">
        <v>1654</v>
      </c>
      <c r="G283" s="432" t="s">
        <v>20</v>
      </c>
      <c r="H283" s="433" t="s">
        <v>1684</v>
      </c>
      <c r="I283" s="433" t="s">
        <v>1937</v>
      </c>
      <c r="J283" s="433" t="s">
        <v>1969</v>
      </c>
      <c r="K283" s="432" t="s">
        <v>1665</v>
      </c>
      <c r="L283" s="415"/>
      <c r="M283" s="434" t="s">
        <v>1660</v>
      </c>
      <c r="N283" s="434" t="s">
        <v>1659</v>
      </c>
      <c r="O283" s="434" t="s">
        <v>1660</v>
      </c>
      <c r="P283" s="434" t="s">
        <v>1689</v>
      </c>
      <c r="Q283" s="434" t="s">
        <v>1661</v>
      </c>
      <c r="R283" s="434" t="s">
        <v>1660</v>
      </c>
      <c r="S283" s="434" t="s">
        <v>1661</v>
      </c>
      <c r="T283" s="434" t="s">
        <v>1661</v>
      </c>
      <c r="U283" s="434" t="s">
        <v>1661</v>
      </c>
      <c r="V283" s="434" t="s">
        <v>1659</v>
      </c>
      <c r="W283" s="434" t="s">
        <v>1659</v>
      </c>
      <c r="X283" s="434" t="s">
        <v>1660</v>
      </c>
      <c r="Y283" s="434" t="s">
        <v>1660</v>
      </c>
      <c r="Z283" s="434" t="s">
        <v>1660</v>
      </c>
      <c r="AA283" s="434" t="s">
        <v>1660</v>
      </c>
      <c r="AB283" s="434" t="s">
        <v>1659</v>
      </c>
      <c r="AC283" s="434" t="s">
        <v>1660</v>
      </c>
      <c r="AD283" s="434" t="s">
        <v>1659</v>
      </c>
      <c r="AE283" s="434" t="s">
        <v>1689</v>
      </c>
      <c r="AF283" s="434" t="s">
        <v>1659</v>
      </c>
      <c r="AG283" s="427">
        <v>7.0</v>
      </c>
      <c r="AH283" s="435" t="s">
        <v>18</v>
      </c>
      <c r="AI283" s="415"/>
      <c r="AJ283" s="436" t="str">
        <f t="array" ref="AJ283">IF(M283=DGET(claves!$A$2:$AS423,M$2,{claves!$A$2;$E283}),1,0)</f>
        <v>#VALUE!</v>
      </c>
      <c r="AK283" s="436" t="str">
        <f t="array" ref="AK283">IF(N283=DGET(claves!$A$2:$AS423,N$2,{claves!$A$2;$E283}),1,0)</f>
        <v>#VALUE!</v>
      </c>
      <c r="AL283" s="436" t="str">
        <f t="array" ref="AL283">IF(O283=DGET(claves!$A$2:$AS423,O$2,{claves!$A$2;$E283}),1,0)</f>
        <v>#VALUE!</v>
      </c>
      <c r="AM283" s="436" t="str">
        <f t="array" ref="AM283">IF(P283=DGET(claves!$A$2:$AS423,P$2,{claves!$A$2;$E283}),1,0)</f>
        <v>#VALUE!</v>
      </c>
      <c r="AN283" s="436" t="str">
        <f t="array" ref="AN283">IF(Q283=DGET(claves!$A$2:$AS423,Q$2,{claves!$A$2;$E283}),1,0)</f>
        <v>#VALUE!</v>
      </c>
      <c r="AO283" s="436" t="str">
        <f t="array" ref="AO283">IF(R283=DGET(claves!$A$2:$AS423,R$2,{claves!$A$2;$E283}),1,0)</f>
        <v>#VALUE!</v>
      </c>
      <c r="AP283" s="436" t="str">
        <f t="array" ref="AP283">IF(S283=DGET(claves!$A$2:$AS423,S$2,{claves!$A$2;$E283}),1,0)</f>
        <v>#VALUE!</v>
      </c>
      <c r="AQ283" s="436" t="str">
        <f t="array" ref="AQ283">IF(T283=DGET(claves!$A$2:$AS423,T$2,{claves!$A$2;$E283}),1,0)</f>
        <v>#VALUE!</v>
      </c>
      <c r="AR283" s="436" t="str">
        <f t="array" ref="AR283">IF(U283=DGET(claves!$A$2:$AS423,U$2,{claves!$A$2;$E283}),1,0)</f>
        <v>#VALUE!</v>
      </c>
      <c r="AS283" s="436" t="str">
        <f t="array" ref="AS283">IF(V283=DGET(claves!$A$2:$AS423,V$2,{claves!$A$2;$E283}),1,0)</f>
        <v>#VALUE!</v>
      </c>
      <c r="AT283" s="436" t="str">
        <f t="array" ref="AT283">IF(W283=DGET(claves!$A$2:$AS423,W$2,{claves!$A$2;$E283}),1,0)</f>
        <v>#VALUE!</v>
      </c>
      <c r="AU283" s="436" t="str">
        <f t="array" ref="AU283">IF(X283=DGET(claves!$A$2:$AS423,X$2,{claves!$A$2;$E283}),1,0)</f>
        <v>#VALUE!</v>
      </c>
      <c r="AV283" s="436" t="str">
        <f t="array" ref="AV283">IF(Y283=DGET(claves!$A$2:$AS423,Y$2,{claves!$A$2;$E283}),1,0)</f>
        <v>#VALUE!</v>
      </c>
      <c r="AW283" s="436" t="str">
        <f t="array" ref="AW283">IF(Z283=DGET(claves!$A$2:$AS423,Z$2,{claves!$A$2;$E283}),1,0)</f>
        <v>#VALUE!</v>
      </c>
      <c r="AX283" s="436" t="str">
        <f t="array" ref="AX283">IF(AA283=DGET(claves!$A$2:$AS423,AA$2,{claves!$A$2;$E283}),1,0)</f>
        <v>#VALUE!</v>
      </c>
      <c r="AY283" s="436" t="str">
        <f t="array" ref="AY283">IF(AB283=DGET(claves!$A$2:$AS423,AB$2,{claves!$A$2;$E283}),1,0)</f>
        <v>#VALUE!</v>
      </c>
      <c r="AZ283" s="436" t="str">
        <f t="array" ref="AZ283">IF(AC283=DGET(claves!$A$2:$AS423,AC$2,{claves!$A$2;$E283}),1,0)</f>
        <v>#VALUE!</v>
      </c>
      <c r="BA283" s="436" t="str">
        <f t="array" ref="BA283">IF(AD283=DGET(claves!$A$2:$AS423,AD$2,{claves!$A$2;$E283}),1,0)</f>
        <v>#VALUE!</v>
      </c>
      <c r="BB283" s="436" t="str">
        <f t="array" ref="BB283">IF(AE283=DGET(claves!$A$2:$AS423,AE$2,{claves!$A$2;$E283}),1,0)</f>
        <v>#VALUE!</v>
      </c>
      <c r="BC283" s="436" t="str">
        <f t="array" ref="BC283">IF(AF283=DGET(claves!$A$2:$AS423,AF$2,{claves!$A$2;$E283}),1,0)</f>
        <v>#VALUE!</v>
      </c>
      <c r="BD283" s="437" t="str">
        <f t="shared" si="1"/>
        <v>#VALUE!</v>
      </c>
      <c r="BE283" s="435" t="s">
        <v>1468</v>
      </c>
      <c r="BF283" s="415"/>
    </row>
    <row r="284" ht="14.25" customHeight="1">
      <c r="A284" s="408">
        <v>282.0</v>
      </c>
      <c r="B284" s="153" t="s">
        <v>1927</v>
      </c>
      <c r="C284" s="153">
        <v>2024.0</v>
      </c>
      <c r="D284" s="77" t="s">
        <v>1817</v>
      </c>
      <c r="E284" s="409" t="str">
        <f>IFERROR(__xludf.DUMMYFUNCTION("ARRAYFORMULA(JOIN("""", ARRAYFORMULA(MID(SPLIT(F284, "" ""), 1, 1))))
&amp;""/""&amp;G284"),"CLC/4 Primaria")</f>
        <v>CLC/4 Primaria</v>
      </c>
      <c r="F284" s="77" t="s">
        <v>1819</v>
      </c>
      <c r="G284" s="432" t="s">
        <v>20</v>
      </c>
      <c r="H284" s="433" t="s">
        <v>1684</v>
      </c>
      <c r="I284" s="433" t="s">
        <v>1937</v>
      </c>
      <c r="J284" s="433" t="s">
        <v>1969</v>
      </c>
      <c r="K284" s="432" t="s">
        <v>1665</v>
      </c>
      <c r="L284" s="415"/>
      <c r="M284" s="434" t="s">
        <v>1659</v>
      </c>
      <c r="N284" s="434" t="s">
        <v>1660</v>
      </c>
      <c r="O284" s="434" t="s">
        <v>1660</v>
      </c>
      <c r="P284" s="434" t="s">
        <v>1660</v>
      </c>
      <c r="Q284" s="434" t="s">
        <v>1661</v>
      </c>
      <c r="R284" s="434" t="s">
        <v>1659</v>
      </c>
      <c r="S284" s="434" t="s">
        <v>1659</v>
      </c>
      <c r="T284" s="434" t="s">
        <v>1689</v>
      </c>
      <c r="U284" s="434" t="s">
        <v>1660</v>
      </c>
      <c r="V284" s="434" t="s">
        <v>1659</v>
      </c>
      <c r="W284" s="434" t="s">
        <v>1659</v>
      </c>
      <c r="X284" s="434" t="s">
        <v>1661</v>
      </c>
      <c r="Y284" s="434" t="s">
        <v>1661</v>
      </c>
      <c r="Z284" s="434" t="s">
        <v>1659</v>
      </c>
      <c r="AA284" s="434" t="s">
        <v>1660</v>
      </c>
      <c r="AB284" s="434" t="s">
        <v>1689</v>
      </c>
      <c r="AC284" s="434" t="s">
        <v>1660</v>
      </c>
      <c r="AD284" s="434" t="s">
        <v>1659</v>
      </c>
      <c r="AE284" s="434" t="s">
        <v>1689</v>
      </c>
      <c r="AF284" s="434" t="s">
        <v>1689</v>
      </c>
      <c r="AG284" s="427">
        <v>12.0</v>
      </c>
      <c r="AH284" s="435" t="s">
        <v>24</v>
      </c>
      <c r="AI284" s="415"/>
      <c r="AJ284" s="436" t="str">
        <f t="array" ref="AJ284">IF(M284=DGET(claves!$A$2:$AS423,M$2,{claves!$A$2;$E284}),1,0)</f>
        <v>#VALUE!</v>
      </c>
      <c r="AK284" s="436" t="str">
        <f t="array" ref="AK284">IF(N284=DGET(claves!$A$2:$AS423,N$2,{claves!$A$2;$E284}),1,0)</f>
        <v>#VALUE!</v>
      </c>
      <c r="AL284" s="436" t="str">
        <f t="array" ref="AL284">IF(O284=DGET(claves!$A$2:$AS423,O$2,{claves!$A$2;$E284}),1,0)</f>
        <v>#VALUE!</v>
      </c>
      <c r="AM284" s="436" t="str">
        <f t="array" ref="AM284">IF(P284=DGET(claves!$A$2:$AS423,P$2,{claves!$A$2;$E284}),1,0)</f>
        <v>#VALUE!</v>
      </c>
      <c r="AN284" s="436" t="str">
        <f t="array" ref="AN284">IF(Q284=DGET(claves!$A$2:$AS423,Q$2,{claves!$A$2;$E284}),1,0)</f>
        <v>#VALUE!</v>
      </c>
      <c r="AO284" s="436" t="str">
        <f t="array" ref="AO284">IF(R284=DGET(claves!$A$2:$AS423,R$2,{claves!$A$2;$E284}),1,0)</f>
        <v>#VALUE!</v>
      </c>
      <c r="AP284" s="436" t="str">
        <f t="array" ref="AP284">IF(S284=DGET(claves!$A$2:$AS423,S$2,{claves!$A$2;$E284}),1,0)</f>
        <v>#VALUE!</v>
      </c>
      <c r="AQ284" s="436" t="str">
        <f t="array" ref="AQ284">IF(T284=DGET(claves!$A$2:$AS423,T$2,{claves!$A$2;$E284}),1,0)</f>
        <v>#VALUE!</v>
      </c>
      <c r="AR284" s="436" t="str">
        <f t="array" ref="AR284">IF(U284=DGET(claves!$A$2:$AS423,U$2,{claves!$A$2;$E284}),1,0)</f>
        <v>#VALUE!</v>
      </c>
      <c r="AS284" s="436" t="str">
        <f t="array" ref="AS284">IF(V284=DGET(claves!$A$2:$AS423,V$2,{claves!$A$2;$E284}),1,0)</f>
        <v>#VALUE!</v>
      </c>
      <c r="AT284" s="436" t="str">
        <f t="array" ref="AT284">IF(W284=DGET(claves!$A$2:$AS423,W$2,{claves!$A$2;$E284}),1,0)</f>
        <v>#VALUE!</v>
      </c>
      <c r="AU284" s="436" t="str">
        <f t="array" ref="AU284">IF(X284=DGET(claves!$A$2:$AS423,X$2,{claves!$A$2;$E284}),1,0)</f>
        <v>#VALUE!</v>
      </c>
      <c r="AV284" s="436" t="str">
        <f t="array" ref="AV284">IF(Y284=DGET(claves!$A$2:$AS423,Y$2,{claves!$A$2;$E284}),1,0)</f>
        <v>#VALUE!</v>
      </c>
      <c r="AW284" s="436" t="str">
        <f t="array" ref="AW284">IF(Z284=DGET(claves!$A$2:$AS423,Z$2,{claves!$A$2;$E284}),1,0)</f>
        <v>#VALUE!</v>
      </c>
      <c r="AX284" s="436" t="str">
        <f t="array" ref="AX284">IF(AA284=DGET(claves!$A$2:$AS423,AA$2,{claves!$A$2;$E284}),1,0)</f>
        <v>#VALUE!</v>
      </c>
      <c r="AY284" s="436" t="str">
        <f t="array" ref="AY284">IF(AB284=DGET(claves!$A$2:$AS423,AB$2,{claves!$A$2;$E284}),1,0)</f>
        <v>#VALUE!</v>
      </c>
      <c r="AZ284" s="436" t="str">
        <f t="array" ref="AZ284">IF(AC284=DGET(claves!$A$2:$AS423,AC$2,{claves!$A$2;$E284}),1,0)</f>
        <v>#VALUE!</v>
      </c>
      <c r="BA284" s="436" t="str">
        <f t="array" ref="BA284">IF(AD284=DGET(claves!$A$2:$AS423,AD$2,{claves!$A$2;$E284}),1,0)</f>
        <v>#VALUE!</v>
      </c>
      <c r="BB284" s="436" t="str">
        <f t="array" ref="BB284">IF(AE284=DGET(claves!$A$2:$AS423,AE$2,{claves!$A$2;$E284}),1,0)</f>
        <v>#VALUE!</v>
      </c>
      <c r="BC284" s="436" t="str">
        <f t="array" ref="BC284">IF(AF284=DGET(claves!$A$2:$AS423,AF$2,{claves!$A$2;$E284}),1,0)</f>
        <v>#VALUE!</v>
      </c>
      <c r="BD284" s="437" t="str">
        <f t="shared" si="1"/>
        <v>#VALUE!</v>
      </c>
      <c r="BE284" s="435"/>
      <c r="BF284" s="415"/>
    </row>
    <row r="285" ht="14.25" customHeight="1">
      <c r="A285" s="408">
        <v>283.0</v>
      </c>
      <c r="B285" s="153" t="s">
        <v>1927</v>
      </c>
      <c r="C285" s="153">
        <v>2024.0</v>
      </c>
      <c r="D285" s="77" t="s">
        <v>362</v>
      </c>
      <c r="E285" s="409" t="str">
        <f>IFERROR(__xludf.DUMMYFUNCTION("ARRAYFORMULA(JOIN("""", ARRAYFORMULA(MID(SPLIT(F285, "" ""), 1, 1))))
&amp;""/""&amp;G285"),"MC/4 Primaria")</f>
        <v>MC/4 Primaria</v>
      </c>
      <c r="F285" s="77" t="s">
        <v>1654</v>
      </c>
      <c r="G285" s="432" t="s">
        <v>20</v>
      </c>
      <c r="H285" s="433" t="s">
        <v>1970</v>
      </c>
      <c r="I285" s="433" t="s">
        <v>1955</v>
      </c>
      <c r="J285" s="433" t="s">
        <v>1971</v>
      </c>
      <c r="K285" s="433" t="s">
        <v>1658</v>
      </c>
      <c r="L285" s="415"/>
      <c r="M285" s="434" t="s">
        <v>1689</v>
      </c>
      <c r="N285" s="434" t="s">
        <v>1660</v>
      </c>
      <c r="O285" s="434" t="s">
        <v>1659</v>
      </c>
      <c r="P285" s="434" t="s">
        <v>1659</v>
      </c>
      <c r="Q285" s="434" t="s">
        <v>1661</v>
      </c>
      <c r="R285" s="434" t="s">
        <v>1660</v>
      </c>
      <c r="S285" s="434" t="s">
        <v>1689</v>
      </c>
      <c r="T285" s="434" t="s">
        <v>1689</v>
      </c>
      <c r="U285" s="434" t="s">
        <v>1660</v>
      </c>
      <c r="V285" s="434" t="s">
        <v>1660</v>
      </c>
      <c r="W285" s="434" t="s">
        <v>1660</v>
      </c>
      <c r="X285" s="434" t="s">
        <v>1689</v>
      </c>
      <c r="Y285" s="434" t="s">
        <v>1660</v>
      </c>
      <c r="Z285" s="434" t="s">
        <v>1689</v>
      </c>
      <c r="AA285" s="434" t="s">
        <v>1689</v>
      </c>
      <c r="AB285" s="434" t="s">
        <v>1659</v>
      </c>
      <c r="AC285" s="434" t="s">
        <v>1689</v>
      </c>
      <c r="AD285" s="434" t="s">
        <v>1661</v>
      </c>
      <c r="AE285" s="434" t="s">
        <v>1659</v>
      </c>
      <c r="AF285" s="434" t="s">
        <v>1661</v>
      </c>
      <c r="AG285" s="427">
        <v>10.0</v>
      </c>
      <c r="AH285" s="435" t="s">
        <v>18</v>
      </c>
      <c r="AI285" s="415"/>
      <c r="AJ285" s="436" t="str">
        <f t="array" ref="AJ285">IF(M285=DGET(claves!$A$2:$AS423,M$2,{claves!$A$2;$E285}),1,0)</f>
        <v>#VALUE!</v>
      </c>
      <c r="AK285" s="436" t="str">
        <f t="array" ref="AK285">IF(N285=DGET(claves!$A$2:$AS423,N$2,{claves!$A$2;$E285}),1,0)</f>
        <v>#VALUE!</v>
      </c>
      <c r="AL285" s="436" t="str">
        <f t="array" ref="AL285">IF(O285=DGET(claves!$A$2:$AS423,O$2,{claves!$A$2;$E285}),1,0)</f>
        <v>#VALUE!</v>
      </c>
      <c r="AM285" s="436" t="str">
        <f t="array" ref="AM285">IF(P285=DGET(claves!$A$2:$AS423,P$2,{claves!$A$2;$E285}),1,0)</f>
        <v>#VALUE!</v>
      </c>
      <c r="AN285" s="436" t="str">
        <f t="array" ref="AN285">IF(Q285=DGET(claves!$A$2:$AS423,Q$2,{claves!$A$2;$E285}),1,0)</f>
        <v>#VALUE!</v>
      </c>
      <c r="AO285" s="436" t="str">
        <f t="array" ref="AO285">IF(R285=DGET(claves!$A$2:$AS423,R$2,{claves!$A$2;$E285}),1,0)</f>
        <v>#VALUE!</v>
      </c>
      <c r="AP285" s="436" t="str">
        <f t="array" ref="AP285">IF(S285=DGET(claves!$A$2:$AS423,S$2,{claves!$A$2;$E285}),1,0)</f>
        <v>#VALUE!</v>
      </c>
      <c r="AQ285" s="436" t="str">
        <f t="array" ref="AQ285">IF(T285=DGET(claves!$A$2:$AS423,T$2,{claves!$A$2;$E285}),1,0)</f>
        <v>#VALUE!</v>
      </c>
      <c r="AR285" s="436" t="str">
        <f t="array" ref="AR285">IF(U285=DGET(claves!$A$2:$AS423,U$2,{claves!$A$2;$E285}),1,0)</f>
        <v>#VALUE!</v>
      </c>
      <c r="AS285" s="436" t="str">
        <f t="array" ref="AS285">IF(V285=DGET(claves!$A$2:$AS423,V$2,{claves!$A$2;$E285}),1,0)</f>
        <v>#VALUE!</v>
      </c>
      <c r="AT285" s="436" t="str">
        <f t="array" ref="AT285">IF(W285=DGET(claves!$A$2:$AS423,W$2,{claves!$A$2;$E285}),1,0)</f>
        <v>#VALUE!</v>
      </c>
      <c r="AU285" s="436" t="str">
        <f t="array" ref="AU285">IF(X285=DGET(claves!$A$2:$AS423,X$2,{claves!$A$2;$E285}),1,0)</f>
        <v>#VALUE!</v>
      </c>
      <c r="AV285" s="436" t="str">
        <f t="array" ref="AV285">IF(Y285=DGET(claves!$A$2:$AS423,Y$2,{claves!$A$2;$E285}),1,0)</f>
        <v>#VALUE!</v>
      </c>
      <c r="AW285" s="436" t="str">
        <f t="array" ref="AW285">IF(Z285=DGET(claves!$A$2:$AS423,Z$2,{claves!$A$2;$E285}),1,0)</f>
        <v>#VALUE!</v>
      </c>
      <c r="AX285" s="436" t="str">
        <f t="array" ref="AX285">IF(AA285=DGET(claves!$A$2:$AS423,AA$2,{claves!$A$2;$E285}),1,0)</f>
        <v>#VALUE!</v>
      </c>
      <c r="AY285" s="436" t="str">
        <f t="array" ref="AY285">IF(AB285=DGET(claves!$A$2:$AS423,AB$2,{claves!$A$2;$E285}),1,0)</f>
        <v>#VALUE!</v>
      </c>
      <c r="AZ285" s="436" t="str">
        <f t="array" ref="AZ285">IF(AC285=DGET(claves!$A$2:$AS423,AC$2,{claves!$A$2;$E285}),1,0)</f>
        <v>#VALUE!</v>
      </c>
      <c r="BA285" s="436" t="str">
        <f t="array" ref="BA285">IF(AD285=DGET(claves!$A$2:$AS423,AD$2,{claves!$A$2;$E285}),1,0)</f>
        <v>#VALUE!</v>
      </c>
      <c r="BB285" s="436" t="str">
        <f t="array" ref="BB285">IF(AE285=DGET(claves!$A$2:$AS423,AE$2,{claves!$A$2;$E285}),1,0)</f>
        <v>#VALUE!</v>
      </c>
      <c r="BC285" s="436" t="str">
        <f t="array" ref="BC285">IF(AF285=DGET(claves!$A$2:$AS423,AF$2,{claves!$A$2;$E285}),1,0)</f>
        <v>#VALUE!</v>
      </c>
      <c r="BD285" s="437" t="str">
        <f t="shared" si="1"/>
        <v>#VALUE!</v>
      </c>
      <c r="BE285" s="435" t="s">
        <v>1468</v>
      </c>
      <c r="BF285" s="415"/>
    </row>
    <row r="286" ht="14.25" customHeight="1">
      <c r="A286" s="408">
        <v>284.0</v>
      </c>
      <c r="B286" s="153" t="s">
        <v>1927</v>
      </c>
      <c r="C286" s="153">
        <v>2024.0</v>
      </c>
      <c r="D286" s="77" t="s">
        <v>1817</v>
      </c>
      <c r="E286" s="409" t="str">
        <f>IFERROR(__xludf.DUMMYFUNCTION("ARRAYFORMULA(JOIN("""", ARRAYFORMULA(MID(SPLIT(F286, "" ""), 1, 1))))
&amp;""/""&amp;G286"),"CLC/4 Primaria")</f>
        <v>CLC/4 Primaria</v>
      </c>
      <c r="F286" s="77" t="s">
        <v>1819</v>
      </c>
      <c r="G286" s="432" t="s">
        <v>20</v>
      </c>
      <c r="H286" s="433" t="s">
        <v>1970</v>
      </c>
      <c r="I286" s="433" t="s">
        <v>1955</v>
      </c>
      <c r="J286" s="433" t="s">
        <v>1971</v>
      </c>
      <c r="K286" s="433" t="s">
        <v>1658</v>
      </c>
      <c r="L286" s="415"/>
      <c r="M286" s="434" t="s">
        <v>1659</v>
      </c>
      <c r="N286" s="434" t="s">
        <v>1661</v>
      </c>
      <c r="O286" s="434" t="s">
        <v>1660</v>
      </c>
      <c r="P286" s="434" t="s">
        <v>1660</v>
      </c>
      <c r="Q286" s="434" t="s">
        <v>1689</v>
      </c>
      <c r="R286" s="434" t="s">
        <v>1661</v>
      </c>
      <c r="S286" s="434" t="s">
        <v>1689</v>
      </c>
      <c r="T286" s="434" t="s">
        <v>1661</v>
      </c>
      <c r="U286" s="434" t="s">
        <v>1659</v>
      </c>
      <c r="V286" s="434" t="s">
        <v>1661</v>
      </c>
      <c r="W286" s="434" t="s">
        <v>1661</v>
      </c>
      <c r="X286" s="434" t="s">
        <v>1689</v>
      </c>
      <c r="Y286" s="434" t="s">
        <v>1660</v>
      </c>
      <c r="Z286" s="434" t="s">
        <v>1661</v>
      </c>
      <c r="AA286" s="434" t="s">
        <v>1659</v>
      </c>
      <c r="AB286" s="434" t="s">
        <v>1689</v>
      </c>
      <c r="AC286" s="434" t="s">
        <v>1661</v>
      </c>
      <c r="AD286" s="434" t="s">
        <v>1689</v>
      </c>
      <c r="AE286" s="434" t="s">
        <v>1661</v>
      </c>
      <c r="AF286" s="434" t="s">
        <v>1661</v>
      </c>
      <c r="AG286" s="427">
        <v>9.0</v>
      </c>
      <c r="AH286" s="435" t="s">
        <v>18</v>
      </c>
      <c r="AI286" s="415"/>
      <c r="AJ286" s="436" t="str">
        <f t="array" ref="AJ286">IF(M286=DGET(claves!$A$2:$AS423,M$2,{claves!$A$2;$E286}),1,0)</f>
        <v>#VALUE!</v>
      </c>
      <c r="AK286" s="436" t="str">
        <f t="array" ref="AK286">IF(N286=DGET(claves!$A$2:$AS423,N$2,{claves!$A$2;$E286}),1,0)</f>
        <v>#VALUE!</v>
      </c>
      <c r="AL286" s="436" t="str">
        <f t="array" ref="AL286">IF(O286=DGET(claves!$A$2:$AS423,O$2,{claves!$A$2;$E286}),1,0)</f>
        <v>#VALUE!</v>
      </c>
      <c r="AM286" s="436" t="str">
        <f t="array" ref="AM286">IF(P286=DGET(claves!$A$2:$AS423,P$2,{claves!$A$2;$E286}),1,0)</f>
        <v>#VALUE!</v>
      </c>
      <c r="AN286" s="436" t="str">
        <f t="array" ref="AN286">IF(Q286=DGET(claves!$A$2:$AS423,Q$2,{claves!$A$2;$E286}),1,0)</f>
        <v>#VALUE!</v>
      </c>
      <c r="AO286" s="436" t="str">
        <f t="array" ref="AO286">IF(R286=DGET(claves!$A$2:$AS423,R$2,{claves!$A$2;$E286}),1,0)</f>
        <v>#VALUE!</v>
      </c>
      <c r="AP286" s="436" t="str">
        <f t="array" ref="AP286">IF(S286=DGET(claves!$A$2:$AS423,S$2,{claves!$A$2;$E286}),1,0)</f>
        <v>#VALUE!</v>
      </c>
      <c r="AQ286" s="436" t="str">
        <f t="array" ref="AQ286">IF(T286=DGET(claves!$A$2:$AS423,T$2,{claves!$A$2;$E286}),1,0)</f>
        <v>#VALUE!</v>
      </c>
      <c r="AR286" s="436" t="str">
        <f t="array" ref="AR286">IF(U286=DGET(claves!$A$2:$AS423,U$2,{claves!$A$2;$E286}),1,0)</f>
        <v>#VALUE!</v>
      </c>
      <c r="AS286" s="436" t="str">
        <f t="array" ref="AS286">IF(V286=DGET(claves!$A$2:$AS423,V$2,{claves!$A$2;$E286}),1,0)</f>
        <v>#VALUE!</v>
      </c>
      <c r="AT286" s="436" t="str">
        <f t="array" ref="AT286">IF(W286=DGET(claves!$A$2:$AS423,W$2,{claves!$A$2;$E286}),1,0)</f>
        <v>#VALUE!</v>
      </c>
      <c r="AU286" s="436" t="str">
        <f t="array" ref="AU286">IF(X286=DGET(claves!$A$2:$AS423,X$2,{claves!$A$2;$E286}),1,0)</f>
        <v>#VALUE!</v>
      </c>
      <c r="AV286" s="436" t="str">
        <f t="array" ref="AV286">IF(Y286=DGET(claves!$A$2:$AS423,Y$2,{claves!$A$2;$E286}),1,0)</f>
        <v>#VALUE!</v>
      </c>
      <c r="AW286" s="436" t="str">
        <f t="array" ref="AW286">IF(Z286=DGET(claves!$A$2:$AS423,Z$2,{claves!$A$2;$E286}),1,0)</f>
        <v>#VALUE!</v>
      </c>
      <c r="AX286" s="436" t="str">
        <f t="array" ref="AX286">IF(AA286=DGET(claves!$A$2:$AS423,AA$2,{claves!$A$2;$E286}),1,0)</f>
        <v>#VALUE!</v>
      </c>
      <c r="AY286" s="436" t="str">
        <f t="array" ref="AY286">IF(AB286=DGET(claves!$A$2:$AS423,AB$2,{claves!$A$2;$E286}),1,0)</f>
        <v>#VALUE!</v>
      </c>
      <c r="AZ286" s="436" t="str">
        <f t="array" ref="AZ286">IF(AC286=DGET(claves!$A$2:$AS423,AC$2,{claves!$A$2;$E286}),1,0)</f>
        <v>#VALUE!</v>
      </c>
      <c r="BA286" s="436" t="str">
        <f t="array" ref="BA286">IF(AD286=DGET(claves!$A$2:$AS423,AD$2,{claves!$A$2;$E286}),1,0)</f>
        <v>#VALUE!</v>
      </c>
      <c r="BB286" s="436" t="str">
        <f t="array" ref="BB286">IF(AE286=DGET(claves!$A$2:$AS423,AE$2,{claves!$A$2;$E286}),1,0)</f>
        <v>#VALUE!</v>
      </c>
      <c r="BC286" s="436" t="str">
        <f t="array" ref="BC286">IF(AF286=DGET(claves!$A$2:$AS423,AF$2,{claves!$A$2;$E286}),1,0)</f>
        <v>#VALUE!</v>
      </c>
      <c r="BD286" s="437" t="str">
        <f t="shared" si="1"/>
        <v>#VALUE!</v>
      </c>
      <c r="BE286" s="435"/>
      <c r="BF286" s="415"/>
    </row>
    <row r="287" ht="14.25" customHeight="1">
      <c r="A287" s="408">
        <v>285.0</v>
      </c>
      <c r="B287" s="153" t="s">
        <v>1927</v>
      </c>
      <c r="C287" s="153">
        <v>2024.0</v>
      </c>
      <c r="D287" s="77" t="s">
        <v>362</v>
      </c>
      <c r="E287" s="409" t="str">
        <f>IFERROR(__xludf.DUMMYFUNCTION("ARRAYFORMULA(JOIN("""", ARRAYFORMULA(MID(SPLIT(F287, "" ""), 1, 1))))
&amp;""/""&amp;G287"),"MC/4 Primaria")</f>
        <v>MC/4 Primaria</v>
      </c>
      <c r="F287" s="77" t="s">
        <v>1654</v>
      </c>
      <c r="G287" s="432" t="s">
        <v>20</v>
      </c>
      <c r="H287" s="433" t="s">
        <v>1937</v>
      </c>
      <c r="I287" s="433" t="s">
        <v>1684</v>
      </c>
      <c r="J287" s="433" t="s">
        <v>1972</v>
      </c>
      <c r="K287" s="433" t="s">
        <v>1658</v>
      </c>
      <c r="L287" s="415"/>
      <c r="M287" s="434" t="s">
        <v>1689</v>
      </c>
      <c r="N287" s="434" t="s">
        <v>1661</v>
      </c>
      <c r="O287" s="434" t="s">
        <v>1689</v>
      </c>
      <c r="P287" s="434" t="s">
        <v>1689</v>
      </c>
      <c r="Q287" s="434" t="s">
        <v>1661</v>
      </c>
      <c r="R287" s="434" t="s">
        <v>1660</v>
      </c>
      <c r="S287" s="434" t="s">
        <v>1661</v>
      </c>
      <c r="T287" s="434" t="s">
        <v>1689</v>
      </c>
      <c r="U287" s="434" t="s">
        <v>1660</v>
      </c>
      <c r="V287" s="434" t="s">
        <v>1660</v>
      </c>
      <c r="W287" s="434" t="s">
        <v>1689</v>
      </c>
      <c r="X287" s="434" t="s">
        <v>1660</v>
      </c>
      <c r="Y287" s="434" t="s">
        <v>1660</v>
      </c>
      <c r="Z287" s="434" t="s">
        <v>1661</v>
      </c>
      <c r="AA287" s="434" t="s">
        <v>1660</v>
      </c>
      <c r="AB287" s="434" t="s">
        <v>1659</v>
      </c>
      <c r="AC287" s="434" t="s">
        <v>1661</v>
      </c>
      <c r="AD287" s="434" t="s">
        <v>1661</v>
      </c>
      <c r="AE287" s="434" t="s">
        <v>1660</v>
      </c>
      <c r="AF287" s="434" t="s">
        <v>1660</v>
      </c>
      <c r="AG287" s="427">
        <v>15.0</v>
      </c>
      <c r="AH287" s="435" t="s">
        <v>24</v>
      </c>
      <c r="AI287" s="415"/>
      <c r="AJ287" s="436" t="str">
        <f t="array" ref="AJ287">IF(M287=DGET(claves!$A$2:$AS423,M$2,{claves!$A$2;$E287}),1,0)</f>
        <v>#VALUE!</v>
      </c>
      <c r="AK287" s="436" t="str">
        <f t="array" ref="AK287">IF(N287=DGET(claves!$A$2:$AS423,N$2,{claves!$A$2;$E287}),1,0)</f>
        <v>#VALUE!</v>
      </c>
      <c r="AL287" s="436" t="str">
        <f t="array" ref="AL287">IF(O287=DGET(claves!$A$2:$AS423,O$2,{claves!$A$2;$E287}),1,0)</f>
        <v>#VALUE!</v>
      </c>
      <c r="AM287" s="436" t="str">
        <f t="array" ref="AM287">IF(P287=DGET(claves!$A$2:$AS423,P$2,{claves!$A$2;$E287}),1,0)</f>
        <v>#VALUE!</v>
      </c>
      <c r="AN287" s="436" t="str">
        <f t="array" ref="AN287">IF(Q287=DGET(claves!$A$2:$AS423,Q$2,{claves!$A$2;$E287}),1,0)</f>
        <v>#VALUE!</v>
      </c>
      <c r="AO287" s="436" t="str">
        <f t="array" ref="AO287">IF(R287=DGET(claves!$A$2:$AS423,R$2,{claves!$A$2;$E287}),1,0)</f>
        <v>#VALUE!</v>
      </c>
      <c r="AP287" s="436" t="str">
        <f t="array" ref="AP287">IF(S287=DGET(claves!$A$2:$AS423,S$2,{claves!$A$2;$E287}),1,0)</f>
        <v>#VALUE!</v>
      </c>
      <c r="AQ287" s="436" t="str">
        <f t="array" ref="AQ287">IF(T287=DGET(claves!$A$2:$AS423,T$2,{claves!$A$2;$E287}),1,0)</f>
        <v>#VALUE!</v>
      </c>
      <c r="AR287" s="436" t="str">
        <f t="array" ref="AR287">IF(U287=DGET(claves!$A$2:$AS423,U$2,{claves!$A$2;$E287}),1,0)</f>
        <v>#VALUE!</v>
      </c>
      <c r="AS287" s="436" t="str">
        <f t="array" ref="AS287">IF(V287=DGET(claves!$A$2:$AS423,V$2,{claves!$A$2;$E287}),1,0)</f>
        <v>#VALUE!</v>
      </c>
      <c r="AT287" s="436" t="str">
        <f t="array" ref="AT287">IF(W287=DGET(claves!$A$2:$AS423,W$2,{claves!$A$2;$E287}),1,0)</f>
        <v>#VALUE!</v>
      </c>
      <c r="AU287" s="436" t="str">
        <f t="array" ref="AU287">IF(X287=DGET(claves!$A$2:$AS423,X$2,{claves!$A$2;$E287}),1,0)</f>
        <v>#VALUE!</v>
      </c>
      <c r="AV287" s="436" t="str">
        <f t="array" ref="AV287">IF(Y287=DGET(claves!$A$2:$AS423,Y$2,{claves!$A$2;$E287}),1,0)</f>
        <v>#VALUE!</v>
      </c>
      <c r="AW287" s="436" t="str">
        <f t="array" ref="AW287">IF(Z287=DGET(claves!$A$2:$AS423,Z$2,{claves!$A$2;$E287}),1,0)</f>
        <v>#VALUE!</v>
      </c>
      <c r="AX287" s="436" t="str">
        <f t="array" ref="AX287">IF(AA287=DGET(claves!$A$2:$AS423,AA$2,{claves!$A$2;$E287}),1,0)</f>
        <v>#VALUE!</v>
      </c>
      <c r="AY287" s="436" t="str">
        <f t="array" ref="AY287">IF(AB287=DGET(claves!$A$2:$AS423,AB$2,{claves!$A$2;$E287}),1,0)</f>
        <v>#VALUE!</v>
      </c>
      <c r="AZ287" s="436" t="str">
        <f t="array" ref="AZ287">IF(AC287=DGET(claves!$A$2:$AS423,AC$2,{claves!$A$2;$E287}),1,0)</f>
        <v>#VALUE!</v>
      </c>
      <c r="BA287" s="436" t="str">
        <f t="array" ref="BA287">IF(AD287=DGET(claves!$A$2:$AS423,AD$2,{claves!$A$2;$E287}),1,0)</f>
        <v>#VALUE!</v>
      </c>
      <c r="BB287" s="436" t="str">
        <f t="array" ref="BB287">IF(AE287=DGET(claves!$A$2:$AS423,AE$2,{claves!$A$2;$E287}),1,0)</f>
        <v>#VALUE!</v>
      </c>
      <c r="BC287" s="436" t="str">
        <f t="array" ref="BC287">IF(AF287=DGET(claves!$A$2:$AS423,AF$2,{claves!$A$2;$E287}),1,0)</f>
        <v>#VALUE!</v>
      </c>
      <c r="BD287" s="437" t="str">
        <f t="shared" si="1"/>
        <v>#VALUE!</v>
      </c>
      <c r="BE287" s="435" t="s">
        <v>1468</v>
      </c>
      <c r="BF287" s="415"/>
    </row>
    <row r="288" ht="14.25" customHeight="1">
      <c r="A288" s="408">
        <v>286.0</v>
      </c>
      <c r="B288" s="153" t="s">
        <v>1927</v>
      </c>
      <c r="C288" s="153">
        <v>2024.0</v>
      </c>
      <c r="D288" s="77" t="s">
        <v>1817</v>
      </c>
      <c r="E288" s="409" t="str">
        <f>IFERROR(__xludf.DUMMYFUNCTION("ARRAYFORMULA(JOIN("""", ARRAYFORMULA(MID(SPLIT(F288, "" ""), 1, 1))))
&amp;""/""&amp;G288"),"CLC/4 Primaria")</f>
        <v>CLC/4 Primaria</v>
      </c>
      <c r="F288" s="77" t="s">
        <v>1819</v>
      </c>
      <c r="G288" s="432" t="s">
        <v>20</v>
      </c>
      <c r="H288" s="433" t="s">
        <v>1937</v>
      </c>
      <c r="I288" s="433" t="s">
        <v>1684</v>
      </c>
      <c r="J288" s="433" t="s">
        <v>1972</v>
      </c>
      <c r="K288" s="433" t="s">
        <v>1658</v>
      </c>
      <c r="L288" s="415"/>
      <c r="M288" s="434" t="s">
        <v>1659</v>
      </c>
      <c r="N288" s="434" t="s">
        <v>1689</v>
      </c>
      <c r="O288" s="434" t="s">
        <v>1660</v>
      </c>
      <c r="P288" s="434" t="s">
        <v>1660</v>
      </c>
      <c r="Q288" s="434" t="s">
        <v>1659</v>
      </c>
      <c r="R288" s="434" t="s">
        <v>1689</v>
      </c>
      <c r="S288" s="434" t="s">
        <v>1659</v>
      </c>
      <c r="T288" s="434" t="s">
        <v>1661</v>
      </c>
      <c r="U288" s="434" t="s">
        <v>1660</v>
      </c>
      <c r="V288" s="434" t="s">
        <v>1659</v>
      </c>
      <c r="W288" s="434" t="s">
        <v>1689</v>
      </c>
      <c r="X288" s="434" t="s">
        <v>1660</v>
      </c>
      <c r="Y288" s="434" t="s">
        <v>1660</v>
      </c>
      <c r="Z288" s="434" t="s">
        <v>1660</v>
      </c>
      <c r="AA288" s="434" t="s">
        <v>1659</v>
      </c>
      <c r="AB288" s="434" t="s">
        <v>1661</v>
      </c>
      <c r="AC288" s="434" t="s">
        <v>1660</v>
      </c>
      <c r="AD288" s="434" t="s">
        <v>1659</v>
      </c>
      <c r="AE288" s="434" t="s">
        <v>1661</v>
      </c>
      <c r="AF288" s="434" t="s">
        <v>1689</v>
      </c>
      <c r="AG288" s="427">
        <v>14.0</v>
      </c>
      <c r="AH288" s="435" t="s">
        <v>24</v>
      </c>
      <c r="AI288" s="415"/>
      <c r="AJ288" s="436" t="str">
        <f t="array" ref="AJ288">IF(M288=DGET(claves!$A$2:$AS423,M$2,{claves!$A$2;$E288}),1,0)</f>
        <v>#VALUE!</v>
      </c>
      <c r="AK288" s="436" t="str">
        <f t="array" ref="AK288">IF(N288=DGET(claves!$A$2:$AS423,N$2,{claves!$A$2;$E288}),1,0)</f>
        <v>#VALUE!</v>
      </c>
      <c r="AL288" s="436" t="str">
        <f t="array" ref="AL288">IF(O288=DGET(claves!$A$2:$AS423,O$2,{claves!$A$2;$E288}),1,0)</f>
        <v>#VALUE!</v>
      </c>
      <c r="AM288" s="436" t="str">
        <f t="array" ref="AM288">IF(P288=DGET(claves!$A$2:$AS423,P$2,{claves!$A$2;$E288}),1,0)</f>
        <v>#VALUE!</v>
      </c>
      <c r="AN288" s="436" t="str">
        <f t="array" ref="AN288">IF(Q288=DGET(claves!$A$2:$AS423,Q$2,{claves!$A$2;$E288}),1,0)</f>
        <v>#VALUE!</v>
      </c>
      <c r="AO288" s="436" t="str">
        <f t="array" ref="AO288">IF(R288=DGET(claves!$A$2:$AS423,R$2,{claves!$A$2;$E288}),1,0)</f>
        <v>#VALUE!</v>
      </c>
      <c r="AP288" s="436" t="str">
        <f t="array" ref="AP288">IF(S288=DGET(claves!$A$2:$AS423,S$2,{claves!$A$2;$E288}),1,0)</f>
        <v>#VALUE!</v>
      </c>
      <c r="AQ288" s="436" t="str">
        <f t="array" ref="AQ288">IF(T288=DGET(claves!$A$2:$AS423,T$2,{claves!$A$2;$E288}),1,0)</f>
        <v>#VALUE!</v>
      </c>
      <c r="AR288" s="436" t="str">
        <f t="array" ref="AR288">IF(U288=DGET(claves!$A$2:$AS423,U$2,{claves!$A$2;$E288}),1,0)</f>
        <v>#VALUE!</v>
      </c>
      <c r="AS288" s="436" t="str">
        <f t="array" ref="AS288">IF(V288=DGET(claves!$A$2:$AS423,V$2,{claves!$A$2;$E288}),1,0)</f>
        <v>#VALUE!</v>
      </c>
      <c r="AT288" s="436" t="str">
        <f t="array" ref="AT288">IF(W288=DGET(claves!$A$2:$AS423,W$2,{claves!$A$2;$E288}),1,0)</f>
        <v>#VALUE!</v>
      </c>
      <c r="AU288" s="436" t="str">
        <f t="array" ref="AU288">IF(X288=DGET(claves!$A$2:$AS423,X$2,{claves!$A$2;$E288}),1,0)</f>
        <v>#VALUE!</v>
      </c>
      <c r="AV288" s="436" t="str">
        <f t="array" ref="AV288">IF(Y288=DGET(claves!$A$2:$AS423,Y$2,{claves!$A$2;$E288}),1,0)</f>
        <v>#VALUE!</v>
      </c>
      <c r="AW288" s="436" t="str">
        <f t="array" ref="AW288">IF(Z288=DGET(claves!$A$2:$AS423,Z$2,{claves!$A$2;$E288}),1,0)</f>
        <v>#VALUE!</v>
      </c>
      <c r="AX288" s="436" t="str">
        <f t="array" ref="AX288">IF(AA288=DGET(claves!$A$2:$AS423,AA$2,{claves!$A$2;$E288}),1,0)</f>
        <v>#VALUE!</v>
      </c>
      <c r="AY288" s="436" t="str">
        <f t="array" ref="AY288">IF(AB288=DGET(claves!$A$2:$AS423,AB$2,{claves!$A$2;$E288}),1,0)</f>
        <v>#VALUE!</v>
      </c>
      <c r="AZ288" s="436" t="str">
        <f t="array" ref="AZ288">IF(AC288=DGET(claves!$A$2:$AS423,AC$2,{claves!$A$2;$E288}),1,0)</f>
        <v>#VALUE!</v>
      </c>
      <c r="BA288" s="436" t="str">
        <f t="array" ref="BA288">IF(AD288=DGET(claves!$A$2:$AS423,AD$2,{claves!$A$2;$E288}),1,0)</f>
        <v>#VALUE!</v>
      </c>
      <c r="BB288" s="436" t="str">
        <f t="array" ref="BB288">IF(AE288=DGET(claves!$A$2:$AS423,AE$2,{claves!$A$2;$E288}),1,0)</f>
        <v>#VALUE!</v>
      </c>
      <c r="BC288" s="436" t="str">
        <f t="array" ref="BC288">IF(AF288=DGET(claves!$A$2:$AS423,AF$2,{claves!$A$2;$E288}),1,0)</f>
        <v>#VALUE!</v>
      </c>
      <c r="BD288" s="437" t="str">
        <f t="shared" si="1"/>
        <v>#VALUE!</v>
      </c>
      <c r="BE288" s="435"/>
      <c r="BF288" s="415"/>
    </row>
    <row r="289" ht="14.25" customHeight="1">
      <c r="A289" s="408">
        <v>287.0</v>
      </c>
      <c r="B289" s="153" t="s">
        <v>1927</v>
      </c>
      <c r="C289" s="153">
        <v>2024.0</v>
      </c>
      <c r="D289" s="77" t="s">
        <v>362</v>
      </c>
      <c r="E289" s="409" t="str">
        <f>IFERROR(__xludf.DUMMYFUNCTION("ARRAYFORMULA(JOIN("""", ARRAYFORMULA(MID(SPLIT(F289, "" ""), 1, 1))))
&amp;""/""&amp;G289"),"MC/4 Primaria")</f>
        <v>MC/4 Primaria</v>
      </c>
      <c r="F289" s="77" t="s">
        <v>1654</v>
      </c>
      <c r="G289" s="432" t="s">
        <v>20</v>
      </c>
      <c r="H289" s="433" t="s">
        <v>1945</v>
      </c>
      <c r="I289" s="433" t="s">
        <v>1946</v>
      </c>
      <c r="J289" s="433" t="s">
        <v>1973</v>
      </c>
      <c r="K289" s="432" t="s">
        <v>1665</v>
      </c>
      <c r="L289" s="415"/>
      <c r="M289" s="434" t="s">
        <v>1689</v>
      </c>
      <c r="N289" s="434" t="s">
        <v>1661</v>
      </c>
      <c r="O289" s="434" t="s">
        <v>1689</v>
      </c>
      <c r="P289" s="434" t="s">
        <v>1689</v>
      </c>
      <c r="Q289" s="434" t="s">
        <v>1661</v>
      </c>
      <c r="R289" s="434" t="s">
        <v>1660</v>
      </c>
      <c r="S289" s="434" t="s">
        <v>1659</v>
      </c>
      <c r="T289" s="434" t="s">
        <v>1661</v>
      </c>
      <c r="U289" s="434" t="s">
        <v>1660</v>
      </c>
      <c r="V289" s="434" t="s">
        <v>1660</v>
      </c>
      <c r="W289" s="434" t="s">
        <v>1689</v>
      </c>
      <c r="X289" s="434" t="s">
        <v>1661</v>
      </c>
      <c r="Y289" s="434" t="s">
        <v>1661</v>
      </c>
      <c r="Z289" s="434" t="s">
        <v>1689</v>
      </c>
      <c r="AA289" s="434" t="s">
        <v>1689</v>
      </c>
      <c r="AB289" s="434" t="s">
        <v>1659</v>
      </c>
      <c r="AC289" s="434" t="s">
        <v>1689</v>
      </c>
      <c r="AD289" s="434" t="s">
        <v>1661</v>
      </c>
      <c r="AE289" s="434" t="s">
        <v>1661</v>
      </c>
      <c r="AF289" s="434" t="s">
        <v>1660</v>
      </c>
      <c r="AG289" s="427">
        <v>16.0</v>
      </c>
      <c r="AH289" s="435" t="s">
        <v>24</v>
      </c>
      <c r="AI289" s="415"/>
      <c r="AJ289" s="436" t="str">
        <f t="array" ref="AJ289">IF(M289=DGET(claves!$A$2:$AS423,M$2,{claves!$A$2;$E289}),1,0)</f>
        <v>#VALUE!</v>
      </c>
      <c r="AK289" s="436" t="str">
        <f t="array" ref="AK289">IF(N289=DGET(claves!$A$2:$AS423,N$2,{claves!$A$2;$E289}),1,0)</f>
        <v>#VALUE!</v>
      </c>
      <c r="AL289" s="436" t="str">
        <f t="array" ref="AL289">IF(O289=DGET(claves!$A$2:$AS423,O$2,{claves!$A$2;$E289}),1,0)</f>
        <v>#VALUE!</v>
      </c>
      <c r="AM289" s="436" t="str">
        <f t="array" ref="AM289">IF(P289=DGET(claves!$A$2:$AS423,P$2,{claves!$A$2;$E289}),1,0)</f>
        <v>#VALUE!</v>
      </c>
      <c r="AN289" s="436" t="str">
        <f t="array" ref="AN289">IF(Q289=DGET(claves!$A$2:$AS423,Q$2,{claves!$A$2;$E289}),1,0)</f>
        <v>#VALUE!</v>
      </c>
      <c r="AO289" s="436" t="str">
        <f t="array" ref="AO289">IF(R289=DGET(claves!$A$2:$AS423,R$2,{claves!$A$2;$E289}),1,0)</f>
        <v>#VALUE!</v>
      </c>
      <c r="AP289" s="436" t="str">
        <f t="array" ref="AP289">IF(S289=DGET(claves!$A$2:$AS423,S$2,{claves!$A$2;$E289}),1,0)</f>
        <v>#VALUE!</v>
      </c>
      <c r="AQ289" s="436" t="str">
        <f t="array" ref="AQ289">IF(T289=DGET(claves!$A$2:$AS423,T$2,{claves!$A$2;$E289}),1,0)</f>
        <v>#VALUE!</v>
      </c>
      <c r="AR289" s="436" t="str">
        <f t="array" ref="AR289">IF(U289=DGET(claves!$A$2:$AS423,U$2,{claves!$A$2;$E289}),1,0)</f>
        <v>#VALUE!</v>
      </c>
      <c r="AS289" s="436" t="str">
        <f t="array" ref="AS289">IF(V289=DGET(claves!$A$2:$AS423,V$2,{claves!$A$2;$E289}),1,0)</f>
        <v>#VALUE!</v>
      </c>
      <c r="AT289" s="436" t="str">
        <f t="array" ref="AT289">IF(W289=DGET(claves!$A$2:$AS423,W$2,{claves!$A$2;$E289}),1,0)</f>
        <v>#VALUE!</v>
      </c>
      <c r="AU289" s="436" t="str">
        <f t="array" ref="AU289">IF(X289=DGET(claves!$A$2:$AS423,X$2,{claves!$A$2;$E289}),1,0)</f>
        <v>#VALUE!</v>
      </c>
      <c r="AV289" s="436" t="str">
        <f t="array" ref="AV289">IF(Y289=DGET(claves!$A$2:$AS423,Y$2,{claves!$A$2;$E289}),1,0)</f>
        <v>#VALUE!</v>
      </c>
      <c r="AW289" s="436" t="str">
        <f t="array" ref="AW289">IF(Z289=DGET(claves!$A$2:$AS423,Z$2,{claves!$A$2;$E289}),1,0)</f>
        <v>#VALUE!</v>
      </c>
      <c r="AX289" s="436" t="str">
        <f t="array" ref="AX289">IF(AA289=DGET(claves!$A$2:$AS423,AA$2,{claves!$A$2;$E289}),1,0)</f>
        <v>#VALUE!</v>
      </c>
      <c r="AY289" s="436" t="str">
        <f t="array" ref="AY289">IF(AB289=DGET(claves!$A$2:$AS423,AB$2,{claves!$A$2;$E289}),1,0)</f>
        <v>#VALUE!</v>
      </c>
      <c r="AZ289" s="436" t="str">
        <f t="array" ref="AZ289">IF(AC289=DGET(claves!$A$2:$AS423,AC$2,{claves!$A$2;$E289}),1,0)</f>
        <v>#VALUE!</v>
      </c>
      <c r="BA289" s="436" t="str">
        <f t="array" ref="BA289">IF(AD289=DGET(claves!$A$2:$AS423,AD$2,{claves!$A$2;$E289}),1,0)</f>
        <v>#VALUE!</v>
      </c>
      <c r="BB289" s="436" t="str">
        <f t="array" ref="BB289">IF(AE289=DGET(claves!$A$2:$AS423,AE$2,{claves!$A$2;$E289}),1,0)</f>
        <v>#VALUE!</v>
      </c>
      <c r="BC289" s="436" t="str">
        <f t="array" ref="BC289">IF(AF289=DGET(claves!$A$2:$AS423,AF$2,{claves!$A$2;$E289}),1,0)</f>
        <v>#VALUE!</v>
      </c>
      <c r="BD289" s="437" t="str">
        <f t="shared" si="1"/>
        <v>#VALUE!</v>
      </c>
      <c r="BE289" s="435" t="s">
        <v>1468</v>
      </c>
      <c r="BF289" s="415"/>
    </row>
    <row r="290" ht="14.25" customHeight="1">
      <c r="A290" s="408">
        <v>288.0</v>
      </c>
      <c r="B290" s="153" t="s">
        <v>1927</v>
      </c>
      <c r="C290" s="153">
        <v>2024.0</v>
      </c>
      <c r="D290" s="77" t="s">
        <v>1817</v>
      </c>
      <c r="E290" s="409" t="str">
        <f>IFERROR(__xludf.DUMMYFUNCTION("ARRAYFORMULA(JOIN("""", ARRAYFORMULA(MID(SPLIT(F290, "" ""), 1, 1))))
&amp;""/""&amp;G290"),"CLC/4 Primaria")</f>
        <v>CLC/4 Primaria</v>
      </c>
      <c r="F290" s="77" t="s">
        <v>1819</v>
      </c>
      <c r="G290" s="432" t="s">
        <v>20</v>
      </c>
      <c r="H290" s="433" t="s">
        <v>1945</v>
      </c>
      <c r="I290" s="433" t="s">
        <v>1946</v>
      </c>
      <c r="J290" s="433" t="s">
        <v>1973</v>
      </c>
      <c r="K290" s="432" t="s">
        <v>1665</v>
      </c>
      <c r="L290" s="415"/>
      <c r="M290" s="434" t="s">
        <v>1659</v>
      </c>
      <c r="N290" s="434" t="s">
        <v>1660</v>
      </c>
      <c r="O290" s="434" t="s">
        <v>1660</v>
      </c>
      <c r="P290" s="434" t="s">
        <v>1660</v>
      </c>
      <c r="Q290" s="434" t="s">
        <v>1661</v>
      </c>
      <c r="R290" s="434" t="s">
        <v>1660</v>
      </c>
      <c r="S290" s="434" t="s">
        <v>1659</v>
      </c>
      <c r="T290" s="434" t="s">
        <v>1661</v>
      </c>
      <c r="U290" s="434" t="s">
        <v>1660</v>
      </c>
      <c r="V290" s="434" t="s">
        <v>1659</v>
      </c>
      <c r="W290" s="434" t="s">
        <v>1661</v>
      </c>
      <c r="X290" s="434" t="s">
        <v>1661</v>
      </c>
      <c r="Y290" s="434" t="s">
        <v>1660</v>
      </c>
      <c r="Z290" s="434" t="s">
        <v>1661</v>
      </c>
      <c r="AA290" s="434" t="s">
        <v>1659</v>
      </c>
      <c r="AB290" s="434" t="s">
        <v>1661</v>
      </c>
      <c r="AC290" s="434" t="s">
        <v>1660</v>
      </c>
      <c r="AD290" s="434" t="s">
        <v>1659</v>
      </c>
      <c r="AE290" s="434" t="s">
        <v>1661</v>
      </c>
      <c r="AF290" s="434" t="s">
        <v>1689</v>
      </c>
      <c r="AG290" s="427">
        <v>17.0</v>
      </c>
      <c r="AH290" s="438" t="s">
        <v>32</v>
      </c>
      <c r="AI290" s="415"/>
      <c r="AJ290" s="436" t="str">
        <f t="array" ref="AJ290">IF(M290=DGET(claves!$A$2:$AS423,M$2,{claves!$A$2;$E290}),1,0)</f>
        <v>#VALUE!</v>
      </c>
      <c r="AK290" s="436" t="str">
        <f t="array" ref="AK290">IF(N290=DGET(claves!$A$2:$AS423,N$2,{claves!$A$2;$E290}),1,0)</f>
        <v>#VALUE!</v>
      </c>
      <c r="AL290" s="436" t="str">
        <f t="array" ref="AL290">IF(O290=DGET(claves!$A$2:$AS423,O$2,{claves!$A$2;$E290}),1,0)</f>
        <v>#VALUE!</v>
      </c>
      <c r="AM290" s="436" t="str">
        <f t="array" ref="AM290">IF(P290=DGET(claves!$A$2:$AS423,P$2,{claves!$A$2;$E290}),1,0)</f>
        <v>#VALUE!</v>
      </c>
      <c r="AN290" s="436" t="str">
        <f t="array" ref="AN290">IF(Q290=DGET(claves!$A$2:$AS423,Q$2,{claves!$A$2;$E290}),1,0)</f>
        <v>#VALUE!</v>
      </c>
      <c r="AO290" s="436" t="str">
        <f t="array" ref="AO290">IF(R290=DGET(claves!$A$2:$AS423,R$2,{claves!$A$2;$E290}),1,0)</f>
        <v>#VALUE!</v>
      </c>
      <c r="AP290" s="436" t="str">
        <f t="array" ref="AP290">IF(S290=DGET(claves!$A$2:$AS423,S$2,{claves!$A$2;$E290}),1,0)</f>
        <v>#VALUE!</v>
      </c>
      <c r="AQ290" s="436" t="str">
        <f t="array" ref="AQ290">IF(T290=DGET(claves!$A$2:$AS423,T$2,{claves!$A$2;$E290}),1,0)</f>
        <v>#VALUE!</v>
      </c>
      <c r="AR290" s="436" t="str">
        <f t="array" ref="AR290">IF(U290=DGET(claves!$A$2:$AS423,U$2,{claves!$A$2;$E290}),1,0)</f>
        <v>#VALUE!</v>
      </c>
      <c r="AS290" s="436" t="str">
        <f t="array" ref="AS290">IF(V290=DGET(claves!$A$2:$AS423,V$2,{claves!$A$2;$E290}),1,0)</f>
        <v>#VALUE!</v>
      </c>
      <c r="AT290" s="436" t="str">
        <f t="array" ref="AT290">IF(W290=DGET(claves!$A$2:$AS423,W$2,{claves!$A$2;$E290}),1,0)</f>
        <v>#VALUE!</v>
      </c>
      <c r="AU290" s="436" t="str">
        <f t="array" ref="AU290">IF(X290=DGET(claves!$A$2:$AS423,X$2,{claves!$A$2;$E290}),1,0)</f>
        <v>#VALUE!</v>
      </c>
      <c r="AV290" s="436" t="str">
        <f t="array" ref="AV290">IF(Y290=DGET(claves!$A$2:$AS423,Y$2,{claves!$A$2;$E290}),1,0)</f>
        <v>#VALUE!</v>
      </c>
      <c r="AW290" s="436" t="str">
        <f t="array" ref="AW290">IF(Z290=DGET(claves!$A$2:$AS423,Z$2,{claves!$A$2;$E290}),1,0)</f>
        <v>#VALUE!</v>
      </c>
      <c r="AX290" s="436" t="str">
        <f t="array" ref="AX290">IF(AA290=DGET(claves!$A$2:$AS423,AA$2,{claves!$A$2;$E290}),1,0)</f>
        <v>#VALUE!</v>
      </c>
      <c r="AY290" s="436" t="str">
        <f t="array" ref="AY290">IF(AB290=DGET(claves!$A$2:$AS423,AB$2,{claves!$A$2;$E290}),1,0)</f>
        <v>#VALUE!</v>
      </c>
      <c r="AZ290" s="436" t="str">
        <f t="array" ref="AZ290">IF(AC290=DGET(claves!$A$2:$AS423,AC$2,{claves!$A$2;$E290}),1,0)</f>
        <v>#VALUE!</v>
      </c>
      <c r="BA290" s="436" t="str">
        <f t="array" ref="BA290">IF(AD290=DGET(claves!$A$2:$AS423,AD$2,{claves!$A$2;$E290}),1,0)</f>
        <v>#VALUE!</v>
      </c>
      <c r="BB290" s="436" t="str">
        <f t="array" ref="BB290">IF(AE290=DGET(claves!$A$2:$AS423,AE$2,{claves!$A$2;$E290}),1,0)</f>
        <v>#VALUE!</v>
      </c>
      <c r="BC290" s="436" t="str">
        <f t="array" ref="BC290">IF(AF290=DGET(claves!$A$2:$AS423,AF$2,{claves!$A$2;$E290}),1,0)</f>
        <v>#VALUE!</v>
      </c>
      <c r="BD290" s="437" t="str">
        <f t="shared" si="1"/>
        <v>#VALUE!</v>
      </c>
      <c r="BE290" s="435"/>
      <c r="BF290" s="415"/>
    </row>
    <row r="291" ht="14.25" customHeight="1">
      <c r="A291" s="408">
        <v>289.0</v>
      </c>
      <c r="B291" s="153" t="s">
        <v>1927</v>
      </c>
      <c r="C291" s="153">
        <v>2024.0</v>
      </c>
      <c r="D291" s="77" t="s">
        <v>362</v>
      </c>
      <c r="E291" s="409" t="str">
        <f>IFERROR(__xludf.DUMMYFUNCTION("ARRAYFORMULA(JOIN("""", ARRAYFORMULA(MID(SPLIT(F291, "" ""), 1, 1))))
&amp;""/""&amp;G291"),"MC/4 Primaria")</f>
        <v>MC/4 Primaria</v>
      </c>
      <c r="F291" s="77" t="s">
        <v>1654</v>
      </c>
      <c r="G291" s="432" t="s">
        <v>20</v>
      </c>
      <c r="H291" s="433" t="s">
        <v>1771</v>
      </c>
      <c r="I291" s="433" t="s">
        <v>1935</v>
      </c>
      <c r="J291" s="433" t="s">
        <v>1974</v>
      </c>
      <c r="K291" s="432" t="s">
        <v>1665</v>
      </c>
      <c r="L291" s="415"/>
      <c r="M291" s="434" t="s">
        <v>1689</v>
      </c>
      <c r="N291" s="434" t="s">
        <v>1661</v>
      </c>
      <c r="O291" s="434" t="s">
        <v>1659</v>
      </c>
      <c r="P291" s="434" t="s">
        <v>1689</v>
      </c>
      <c r="Q291" s="434" t="s">
        <v>1661</v>
      </c>
      <c r="R291" s="434" t="s">
        <v>1660</v>
      </c>
      <c r="S291" s="434" t="s">
        <v>1659</v>
      </c>
      <c r="T291" s="434" t="s">
        <v>1661</v>
      </c>
      <c r="U291" s="434" t="s">
        <v>1659</v>
      </c>
      <c r="V291" s="434" t="s">
        <v>1660</v>
      </c>
      <c r="W291" s="434"/>
      <c r="X291" s="434" t="s">
        <v>1661</v>
      </c>
      <c r="Y291" s="434" t="s">
        <v>1660</v>
      </c>
      <c r="Z291" s="434" t="s">
        <v>1689</v>
      </c>
      <c r="AA291" s="434" t="s">
        <v>1660</v>
      </c>
      <c r="AB291" s="434" t="s">
        <v>1659</v>
      </c>
      <c r="AC291" s="434" t="s">
        <v>1689</v>
      </c>
      <c r="AD291" s="434" t="s">
        <v>1661</v>
      </c>
      <c r="AE291" s="434" t="s">
        <v>1661</v>
      </c>
      <c r="AF291" s="434" t="s">
        <v>1660</v>
      </c>
      <c r="AG291" s="427">
        <v>15.0</v>
      </c>
      <c r="AH291" s="435" t="s">
        <v>24</v>
      </c>
      <c r="AI291" s="415"/>
      <c r="AJ291" s="436" t="str">
        <f t="array" ref="AJ291">IF(M291=DGET(claves!$A$2:$AS423,M$2,{claves!$A$2;$E291}),1,0)</f>
        <v>#VALUE!</v>
      </c>
      <c r="AK291" s="436" t="str">
        <f t="array" ref="AK291">IF(N291=DGET(claves!$A$2:$AS423,N$2,{claves!$A$2;$E291}),1,0)</f>
        <v>#VALUE!</v>
      </c>
      <c r="AL291" s="436" t="str">
        <f t="array" ref="AL291">IF(O291=DGET(claves!$A$2:$AS423,O$2,{claves!$A$2;$E291}),1,0)</f>
        <v>#VALUE!</v>
      </c>
      <c r="AM291" s="436" t="str">
        <f t="array" ref="AM291">IF(P291=DGET(claves!$A$2:$AS423,P$2,{claves!$A$2;$E291}),1,0)</f>
        <v>#VALUE!</v>
      </c>
      <c r="AN291" s="436" t="str">
        <f t="array" ref="AN291">IF(Q291=DGET(claves!$A$2:$AS423,Q$2,{claves!$A$2;$E291}),1,0)</f>
        <v>#VALUE!</v>
      </c>
      <c r="AO291" s="436" t="str">
        <f t="array" ref="AO291">IF(R291=DGET(claves!$A$2:$AS423,R$2,{claves!$A$2;$E291}),1,0)</f>
        <v>#VALUE!</v>
      </c>
      <c r="AP291" s="436" t="str">
        <f t="array" ref="AP291">IF(S291=DGET(claves!$A$2:$AS423,S$2,{claves!$A$2;$E291}),1,0)</f>
        <v>#VALUE!</v>
      </c>
      <c r="AQ291" s="436" t="str">
        <f t="array" ref="AQ291">IF(T291=DGET(claves!$A$2:$AS423,T$2,{claves!$A$2;$E291}),1,0)</f>
        <v>#VALUE!</v>
      </c>
      <c r="AR291" s="436" t="str">
        <f t="array" ref="AR291">IF(U291=DGET(claves!$A$2:$AS423,U$2,{claves!$A$2;$E291}),1,0)</f>
        <v>#VALUE!</v>
      </c>
      <c r="AS291" s="436" t="str">
        <f t="array" ref="AS291">IF(V291=DGET(claves!$A$2:$AS423,V$2,{claves!$A$2;$E291}),1,0)</f>
        <v>#VALUE!</v>
      </c>
      <c r="AT291" s="436" t="str">
        <f t="array" ref="AT291">IF(W291=DGET(claves!$A$2:$AS423,W$2,{claves!$A$2;$E291}),1,0)</f>
        <v>#VALUE!</v>
      </c>
      <c r="AU291" s="436" t="str">
        <f t="array" ref="AU291">IF(X291=DGET(claves!$A$2:$AS423,X$2,{claves!$A$2;$E291}),1,0)</f>
        <v>#VALUE!</v>
      </c>
      <c r="AV291" s="436" t="str">
        <f t="array" ref="AV291">IF(Y291=DGET(claves!$A$2:$AS423,Y$2,{claves!$A$2;$E291}),1,0)</f>
        <v>#VALUE!</v>
      </c>
      <c r="AW291" s="436" t="str">
        <f t="array" ref="AW291">IF(Z291=DGET(claves!$A$2:$AS423,Z$2,{claves!$A$2;$E291}),1,0)</f>
        <v>#VALUE!</v>
      </c>
      <c r="AX291" s="436" t="str">
        <f t="array" ref="AX291">IF(AA291=DGET(claves!$A$2:$AS423,AA$2,{claves!$A$2;$E291}),1,0)</f>
        <v>#VALUE!</v>
      </c>
      <c r="AY291" s="436" t="str">
        <f t="array" ref="AY291">IF(AB291=DGET(claves!$A$2:$AS423,AB$2,{claves!$A$2;$E291}),1,0)</f>
        <v>#VALUE!</v>
      </c>
      <c r="AZ291" s="436" t="str">
        <f t="array" ref="AZ291">IF(AC291=DGET(claves!$A$2:$AS423,AC$2,{claves!$A$2;$E291}),1,0)</f>
        <v>#VALUE!</v>
      </c>
      <c r="BA291" s="436" t="str">
        <f t="array" ref="BA291">IF(AD291=DGET(claves!$A$2:$AS423,AD$2,{claves!$A$2;$E291}),1,0)</f>
        <v>#VALUE!</v>
      </c>
      <c r="BB291" s="436" t="str">
        <f t="array" ref="BB291">IF(AE291=DGET(claves!$A$2:$AS423,AE$2,{claves!$A$2;$E291}),1,0)</f>
        <v>#VALUE!</v>
      </c>
      <c r="BC291" s="436" t="str">
        <f t="array" ref="BC291">IF(AF291=DGET(claves!$A$2:$AS423,AF$2,{claves!$A$2;$E291}),1,0)</f>
        <v>#VALUE!</v>
      </c>
      <c r="BD291" s="437" t="str">
        <f t="shared" si="1"/>
        <v>#VALUE!</v>
      </c>
      <c r="BE291" s="435" t="s">
        <v>1468</v>
      </c>
      <c r="BF291" s="415"/>
    </row>
    <row r="292" ht="14.25" customHeight="1">
      <c r="A292" s="408">
        <v>290.0</v>
      </c>
      <c r="B292" s="153" t="s">
        <v>1927</v>
      </c>
      <c r="C292" s="153">
        <v>2024.0</v>
      </c>
      <c r="D292" s="77" t="s">
        <v>1817</v>
      </c>
      <c r="E292" s="409" t="str">
        <f>IFERROR(__xludf.DUMMYFUNCTION("ARRAYFORMULA(JOIN("""", ARRAYFORMULA(MID(SPLIT(F292, "" ""), 1, 1))))
&amp;""/""&amp;G292"),"CLC/4 Primaria")</f>
        <v>CLC/4 Primaria</v>
      </c>
      <c r="F292" s="77" t="s">
        <v>1819</v>
      </c>
      <c r="G292" s="432" t="s">
        <v>20</v>
      </c>
      <c r="H292" s="433" t="s">
        <v>1771</v>
      </c>
      <c r="I292" s="433" t="s">
        <v>1935</v>
      </c>
      <c r="J292" s="433" t="s">
        <v>1974</v>
      </c>
      <c r="K292" s="432" t="s">
        <v>1665</v>
      </c>
      <c r="L292" s="415"/>
      <c r="M292" s="434" t="s">
        <v>1659</v>
      </c>
      <c r="N292" s="434" t="s">
        <v>1660</v>
      </c>
      <c r="O292" s="434" t="s">
        <v>1660</v>
      </c>
      <c r="P292" s="434" t="s">
        <v>1660</v>
      </c>
      <c r="Q292" s="434" t="s">
        <v>1661</v>
      </c>
      <c r="R292" s="434" t="s">
        <v>1660</v>
      </c>
      <c r="S292" s="434" t="s">
        <v>1659</v>
      </c>
      <c r="T292" s="434" t="s">
        <v>1661</v>
      </c>
      <c r="U292" s="434" t="s">
        <v>1660</v>
      </c>
      <c r="V292" s="434" t="s">
        <v>1659</v>
      </c>
      <c r="W292" s="434" t="s">
        <v>1661</v>
      </c>
      <c r="X292" s="434" t="s">
        <v>1661</v>
      </c>
      <c r="Y292" s="434" t="s">
        <v>1660</v>
      </c>
      <c r="Z292" s="434" t="s">
        <v>1661</v>
      </c>
      <c r="AA292" s="434" t="s">
        <v>1659</v>
      </c>
      <c r="AB292" s="434" t="s">
        <v>1661</v>
      </c>
      <c r="AC292" s="434" t="s">
        <v>1660</v>
      </c>
      <c r="AD292" s="434" t="s">
        <v>1659</v>
      </c>
      <c r="AE292" s="434" t="s">
        <v>1661</v>
      </c>
      <c r="AF292" s="434" t="s">
        <v>1661</v>
      </c>
      <c r="AG292" s="427">
        <v>16.0</v>
      </c>
      <c r="AH292" s="435" t="s">
        <v>24</v>
      </c>
      <c r="AI292" s="415"/>
      <c r="AJ292" s="436" t="str">
        <f t="array" ref="AJ292">IF(M292=DGET(claves!$A$2:$AS423,M$2,{claves!$A$2;$E292}),1,0)</f>
        <v>#VALUE!</v>
      </c>
      <c r="AK292" s="436" t="str">
        <f t="array" ref="AK292">IF(N292=DGET(claves!$A$2:$AS423,N$2,{claves!$A$2;$E292}),1,0)</f>
        <v>#VALUE!</v>
      </c>
      <c r="AL292" s="436" t="str">
        <f t="array" ref="AL292">IF(O292=DGET(claves!$A$2:$AS423,O$2,{claves!$A$2;$E292}),1,0)</f>
        <v>#VALUE!</v>
      </c>
      <c r="AM292" s="436" t="str">
        <f t="array" ref="AM292">IF(P292=DGET(claves!$A$2:$AS423,P$2,{claves!$A$2;$E292}),1,0)</f>
        <v>#VALUE!</v>
      </c>
      <c r="AN292" s="436" t="str">
        <f t="array" ref="AN292">IF(Q292=DGET(claves!$A$2:$AS423,Q$2,{claves!$A$2;$E292}),1,0)</f>
        <v>#VALUE!</v>
      </c>
      <c r="AO292" s="436" t="str">
        <f t="array" ref="AO292">IF(R292=DGET(claves!$A$2:$AS423,R$2,{claves!$A$2;$E292}),1,0)</f>
        <v>#VALUE!</v>
      </c>
      <c r="AP292" s="436" t="str">
        <f t="array" ref="AP292">IF(S292=DGET(claves!$A$2:$AS423,S$2,{claves!$A$2;$E292}),1,0)</f>
        <v>#VALUE!</v>
      </c>
      <c r="AQ292" s="436" t="str">
        <f t="array" ref="AQ292">IF(T292=DGET(claves!$A$2:$AS423,T$2,{claves!$A$2;$E292}),1,0)</f>
        <v>#VALUE!</v>
      </c>
      <c r="AR292" s="436" t="str">
        <f t="array" ref="AR292">IF(U292=DGET(claves!$A$2:$AS423,U$2,{claves!$A$2;$E292}),1,0)</f>
        <v>#VALUE!</v>
      </c>
      <c r="AS292" s="436" t="str">
        <f t="array" ref="AS292">IF(V292=DGET(claves!$A$2:$AS423,V$2,{claves!$A$2;$E292}),1,0)</f>
        <v>#VALUE!</v>
      </c>
      <c r="AT292" s="436" t="str">
        <f t="array" ref="AT292">IF(W292=DGET(claves!$A$2:$AS423,W$2,{claves!$A$2;$E292}),1,0)</f>
        <v>#VALUE!</v>
      </c>
      <c r="AU292" s="436" t="str">
        <f t="array" ref="AU292">IF(X292=DGET(claves!$A$2:$AS423,X$2,{claves!$A$2;$E292}),1,0)</f>
        <v>#VALUE!</v>
      </c>
      <c r="AV292" s="436" t="str">
        <f t="array" ref="AV292">IF(Y292=DGET(claves!$A$2:$AS423,Y$2,{claves!$A$2;$E292}),1,0)</f>
        <v>#VALUE!</v>
      </c>
      <c r="AW292" s="436" t="str">
        <f t="array" ref="AW292">IF(Z292=DGET(claves!$A$2:$AS423,Z$2,{claves!$A$2;$E292}),1,0)</f>
        <v>#VALUE!</v>
      </c>
      <c r="AX292" s="436" t="str">
        <f t="array" ref="AX292">IF(AA292=DGET(claves!$A$2:$AS423,AA$2,{claves!$A$2;$E292}),1,0)</f>
        <v>#VALUE!</v>
      </c>
      <c r="AY292" s="436" t="str">
        <f t="array" ref="AY292">IF(AB292=DGET(claves!$A$2:$AS423,AB$2,{claves!$A$2;$E292}),1,0)</f>
        <v>#VALUE!</v>
      </c>
      <c r="AZ292" s="436" t="str">
        <f t="array" ref="AZ292">IF(AC292=DGET(claves!$A$2:$AS423,AC$2,{claves!$A$2;$E292}),1,0)</f>
        <v>#VALUE!</v>
      </c>
      <c r="BA292" s="436" t="str">
        <f t="array" ref="BA292">IF(AD292=DGET(claves!$A$2:$AS423,AD$2,{claves!$A$2;$E292}),1,0)</f>
        <v>#VALUE!</v>
      </c>
      <c r="BB292" s="436" t="str">
        <f t="array" ref="BB292">IF(AE292=DGET(claves!$A$2:$AS423,AE$2,{claves!$A$2;$E292}),1,0)</f>
        <v>#VALUE!</v>
      </c>
      <c r="BC292" s="436" t="str">
        <f t="array" ref="BC292">IF(AF292=DGET(claves!$A$2:$AS423,AF$2,{claves!$A$2;$E292}),1,0)</f>
        <v>#VALUE!</v>
      </c>
      <c r="BD292" s="437" t="str">
        <f t="shared" si="1"/>
        <v>#VALUE!</v>
      </c>
      <c r="BE292" s="435"/>
      <c r="BF292" s="415"/>
    </row>
    <row r="293" ht="14.25" customHeight="1">
      <c r="A293" s="408">
        <v>291.0</v>
      </c>
      <c r="B293" s="153" t="s">
        <v>1927</v>
      </c>
      <c r="C293" s="153">
        <v>2024.0</v>
      </c>
      <c r="D293" s="77" t="s">
        <v>362</v>
      </c>
      <c r="E293" s="409" t="str">
        <f>IFERROR(__xludf.DUMMYFUNCTION("ARRAYFORMULA(JOIN("""", ARRAYFORMULA(MID(SPLIT(F293, "" ""), 1, 1))))
&amp;""/""&amp;G293"),"MC/4 Primaria")</f>
        <v>MC/4 Primaria</v>
      </c>
      <c r="F293" s="77" t="s">
        <v>1654</v>
      </c>
      <c r="G293" s="432" t="s">
        <v>20</v>
      </c>
      <c r="H293" s="433" t="s">
        <v>1744</v>
      </c>
      <c r="I293" s="433" t="s">
        <v>1744</v>
      </c>
      <c r="J293" s="433" t="s">
        <v>1975</v>
      </c>
      <c r="K293" s="433" t="s">
        <v>1658</v>
      </c>
      <c r="L293" s="415"/>
      <c r="M293" s="434" t="s">
        <v>1689</v>
      </c>
      <c r="N293" s="434" t="s">
        <v>1659</v>
      </c>
      <c r="O293" s="434" t="s">
        <v>1659</v>
      </c>
      <c r="P293" s="434" t="s">
        <v>1689</v>
      </c>
      <c r="Q293" s="434" t="s">
        <v>1661</v>
      </c>
      <c r="R293" s="434" t="s">
        <v>1660</v>
      </c>
      <c r="S293" s="434" t="s">
        <v>1660</v>
      </c>
      <c r="T293" s="434" t="s">
        <v>1661</v>
      </c>
      <c r="U293" s="434" t="s">
        <v>1660</v>
      </c>
      <c r="V293" s="434" t="s">
        <v>1660</v>
      </c>
      <c r="W293" s="434" t="s">
        <v>1659</v>
      </c>
      <c r="X293" s="434" t="s">
        <v>1689</v>
      </c>
      <c r="Y293" s="434" t="s">
        <v>1661</v>
      </c>
      <c r="Z293" s="434" t="s">
        <v>1689</v>
      </c>
      <c r="AA293" s="434" t="s">
        <v>1659</v>
      </c>
      <c r="AB293" s="434" t="s">
        <v>1689</v>
      </c>
      <c r="AC293" s="434" t="s">
        <v>1689</v>
      </c>
      <c r="AD293" s="434" t="s">
        <v>1661</v>
      </c>
      <c r="AE293" s="434" t="s">
        <v>1661</v>
      </c>
      <c r="AF293" s="434" t="s">
        <v>1660</v>
      </c>
      <c r="AG293" s="427">
        <v>10.0</v>
      </c>
      <c r="AH293" s="435" t="s">
        <v>18</v>
      </c>
      <c r="AI293" s="415"/>
      <c r="AJ293" s="436" t="str">
        <f t="array" ref="AJ293">IF(M293=DGET(claves!$A$2:$AS423,M$2,{claves!$A$2;$E293}),1,0)</f>
        <v>#VALUE!</v>
      </c>
      <c r="AK293" s="436" t="str">
        <f t="array" ref="AK293">IF(N293=DGET(claves!$A$2:$AS423,N$2,{claves!$A$2;$E293}),1,0)</f>
        <v>#VALUE!</v>
      </c>
      <c r="AL293" s="436" t="str">
        <f t="array" ref="AL293">IF(O293=DGET(claves!$A$2:$AS423,O$2,{claves!$A$2;$E293}),1,0)</f>
        <v>#VALUE!</v>
      </c>
      <c r="AM293" s="436" t="str">
        <f t="array" ref="AM293">IF(P293=DGET(claves!$A$2:$AS423,P$2,{claves!$A$2;$E293}),1,0)</f>
        <v>#VALUE!</v>
      </c>
      <c r="AN293" s="436" t="str">
        <f t="array" ref="AN293">IF(Q293=DGET(claves!$A$2:$AS423,Q$2,{claves!$A$2;$E293}),1,0)</f>
        <v>#VALUE!</v>
      </c>
      <c r="AO293" s="436" t="str">
        <f t="array" ref="AO293">IF(R293=DGET(claves!$A$2:$AS423,R$2,{claves!$A$2;$E293}),1,0)</f>
        <v>#VALUE!</v>
      </c>
      <c r="AP293" s="436" t="str">
        <f t="array" ref="AP293">IF(S293=DGET(claves!$A$2:$AS423,S$2,{claves!$A$2;$E293}),1,0)</f>
        <v>#VALUE!</v>
      </c>
      <c r="AQ293" s="436" t="str">
        <f t="array" ref="AQ293">IF(T293=DGET(claves!$A$2:$AS423,T$2,{claves!$A$2;$E293}),1,0)</f>
        <v>#VALUE!</v>
      </c>
      <c r="AR293" s="436" t="str">
        <f t="array" ref="AR293">IF(U293=DGET(claves!$A$2:$AS423,U$2,{claves!$A$2;$E293}),1,0)</f>
        <v>#VALUE!</v>
      </c>
      <c r="AS293" s="436" t="str">
        <f t="array" ref="AS293">IF(V293=DGET(claves!$A$2:$AS423,V$2,{claves!$A$2;$E293}),1,0)</f>
        <v>#VALUE!</v>
      </c>
      <c r="AT293" s="436" t="str">
        <f t="array" ref="AT293">IF(W293=DGET(claves!$A$2:$AS423,W$2,{claves!$A$2;$E293}),1,0)</f>
        <v>#VALUE!</v>
      </c>
      <c r="AU293" s="436" t="str">
        <f t="array" ref="AU293">IF(X293=DGET(claves!$A$2:$AS423,X$2,{claves!$A$2;$E293}),1,0)</f>
        <v>#VALUE!</v>
      </c>
      <c r="AV293" s="436" t="str">
        <f t="array" ref="AV293">IF(Y293=DGET(claves!$A$2:$AS423,Y$2,{claves!$A$2;$E293}),1,0)</f>
        <v>#VALUE!</v>
      </c>
      <c r="AW293" s="436" t="str">
        <f t="array" ref="AW293">IF(Z293=DGET(claves!$A$2:$AS423,Z$2,{claves!$A$2;$E293}),1,0)</f>
        <v>#VALUE!</v>
      </c>
      <c r="AX293" s="436" t="str">
        <f t="array" ref="AX293">IF(AA293=DGET(claves!$A$2:$AS423,AA$2,{claves!$A$2;$E293}),1,0)</f>
        <v>#VALUE!</v>
      </c>
      <c r="AY293" s="436" t="str">
        <f t="array" ref="AY293">IF(AB293=DGET(claves!$A$2:$AS423,AB$2,{claves!$A$2;$E293}),1,0)</f>
        <v>#VALUE!</v>
      </c>
      <c r="AZ293" s="436" t="str">
        <f t="array" ref="AZ293">IF(AC293=DGET(claves!$A$2:$AS423,AC$2,{claves!$A$2;$E293}),1,0)</f>
        <v>#VALUE!</v>
      </c>
      <c r="BA293" s="436" t="str">
        <f t="array" ref="BA293">IF(AD293=DGET(claves!$A$2:$AS423,AD$2,{claves!$A$2;$E293}),1,0)</f>
        <v>#VALUE!</v>
      </c>
      <c r="BB293" s="436" t="str">
        <f t="array" ref="BB293">IF(AE293=DGET(claves!$A$2:$AS423,AE$2,{claves!$A$2;$E293}),1,0)</f>
        <v>#VALUE!</v>
      </c>
      <c r="BC293" s="436" t="str">
        <f t="array" ref="BC293">IF(AF293=DGET(claves!$A$2:$AS423,AF$2,{claves!$A$2;$E293}),1,0)</f>
        <v>#VALUE!</v>
      </c>
      <c r="BD293" s="437" t="str">
        <f t="shared" si="1"/>
        <v>#VALUE!</v>
      </c>
      <c r="BE293" s="435" t="s">
        <v>1468</v>
      </c>
      <c r="BF293" s="415"/>
    </row>
    <row r="294" ht="14.25" customHeight="1">
      <c r="A294" s="408">
        <v>292.0</v>
      </c>
      <c r="B294" s="153" t="s">
        <v>1927</v>
      </c>
      <c r="C294" s="153">
        <v>2024.0</v>
      </c>
      <c r="D294" s="77" t="s">
        <v>1817</v>
      </c>
      <c r="E294" s="409" t="str">
        <f>IFERROR(__xludf.DUMMYFUNCTION("ARRAYFORMULA(JOIN("""", ARRAYFORMULA(MID(SPLIT(F294, "" ""), 1, 1))))
&amp;""/""&amp;G294"),"CLC/4 Primaria")</f>
        <v>CLC/4 Primaria</v>
      </c>
      <c r="F294" s="77" t="s">
        <v>1819</v>
      </c>
      <c r="G294" s="432" t="s">
        <v>20</v>
      </c>
      <c r="H294" s="433" t="s">
        <v>1744</v>
      </c>
      <c r="I294" s="433" t="s">
        <v>1744</v>
      </c>
      <c r="J294" s="433" t="s">
        <v>1975</v>
      </c>
      <c r="K294" s="433" t="s">
        <v>1658</v>
      </c>
      <c r="L294" s="415"/>
      <c r="M294" s="434" t="s">
        <v>1659</v>
      </c>
      <c r="N294" s="434" t="s">
        <v>1660</v>
      </c>
      <c r="O294" s="434" t="s">
        <v>1660</v>
      </c>
      <c r="P294" s="434" t="s">
        <v>1660</v>
      </c>
      <c r="Q294" s="434" t="s">
        <v>1661</v>
      </c>
      <c r="R294" s="434" t="s">
        <v>1660</v>
      </c>
      <c r="S294" s="434" t="s">
        <v>1689</v>
      </c>
      <c r="T294" s="434" t="s">
        <v>1661</v>
      </c>
      <c r="U294" s="434" t="s">
        <v>1659</v>
      </c>
      <c r="V294" s="434" t="s">
        <v>1689</v>
      </c>
      <c r="W294" s="434" t="s">
        <v>1661</v>
      </c>
      <c r="X294" s="434" t="s">
        <v>1661</v>
      </c>
      <c r="Y294" s="434" t="s">
        <v>1659</v>
      </c>
      <c r="Z294" s="434" t="s">
        <v>1661</v>
      </c>
      <c r="AA294" s="434" t="s">
        <v>1661</v>
      </c>
      <c r="AB294" s="434" t="s">
        <v>1660</v>
      </c>
      <c r="AC294" s="434" t="s">
        <v>1660</v>
      </c>
      <c r="AD294" s="434" t="s">
        <v>1661</v>
      </c>
      <c r="AE294" s="434" t="s">
        <v>1660</v>
      </c>
      <c r="AF294" s="434" t="s">
        <v>1661</v>
      </c>
      <c r="AG294" s="427">
        <v>9.0</v>
      </c>
      <c r="AH294" s="435" t="s">
        <v>18</v>
      </c>
      <c r="AI294" s="415"/>
      <c r="AJ294" s="436" t="str">
        <f t="array" ref="AJ294">IF(M294=DGET(claves!$A$2:$AS423,M$2,{claves!$A$2;$E294}),1,0)</f>
        <v>#VALUE!</v>
      </c>
      <c r="AK294" s="436" t="str">
        <f t="array" ref="AK294">IF(N294=DGET(claves!$A$2:$AS423,N$2,{claves!$A$2;$E294}),1,0)</f>
        <v>#VALUE!</v>
      </c>
      <c r="AL294" s="436" t="str">
        <f t="array" ref="AL294">IF(O294=DGET(claves!$A$2:$AS423,O$2,{claves!$A$2;$E294}),1,0)</f>
        <v>#VALUE!</v>
      </c>
      <c r="AM294" s="436" t="str">
        <f t="array" ref="AM294">IF(P294=DGET(claves!$A$2:$AS423,P$2,{claves!$A$2;$E294}),1,0)</f>
        <v>#VALUE!</v>
      </c>
      <c r="AN294" s="436" t="str">
        <f t="array" ref="AN294">IF(Q294=DGET(claves!$A$2:$AS423,Q$2,{claves!$A$2;$E294}),1,0)</f>
        <v>#VALUE!</v>
      </c>
      <c r="AO294" s="436" t="str">
        <f t="array" ref="AO294">IF(R294=DGET(claves!$A$2:$AS423,R$2,{claves!$A$2;$E294}),1,0)</f>
        <v>#VALUE!</v>
      </c>
      <c r="AP294" s="436" t="str">
        <f t="array" ref="AP294">IF(S294=DGET(claves!$A$2:$AS423,S$2,{claves!$A$2;$E294}),1,0)</f>
        <v>#VALUE!</v>
      </c>
      <c r="AQ294" s="436" t="str">
        <f t="array" ref="AQ294">IF(T294=DGET(claves!$A$2:$AS423,T$2,{claves!$A$2;$E294}),1,0)</f>
        <v>#VALUE!</v>
      </c>
      <c r="AR294" s="436" t="str">
        <f t="array" ref="AR294">IF(U294=DGET(claves!$A$2:$AS423,U$2,{claves!$A$2;$E294}),1,0)</f>
        <v>#VALUE!</v>
      </c>
      <c r="AS294" s="436" t="str">
        <f t="array" ref="AS294">IF(V294=DGET(claves!$A$2:$AS423,V$2,{claves!$A$2;$E294}),1,0)</f>
        <v>#VALUE!</v>
      </c>
      <c r="AT294" s="436" t="str">
        <f t="array" ref="AT294">IF(W294=DGET(claves!$A$2:$AS423,W$2,{claves!$A$2;$E294}),1,0)</f>
        <v>#VALUE!</v>
      </c>
      <c r="AU294" s="436" t="str">
        <f t="array" ref="AU294">IF(X294=DGET(claves!$A$2:$AS423,X$2,{claves!$A$2;$E294}),1,0)</f>
        <v>#VALUE!</v>
      </c>
      <c r="AV294" s="436" t="str">
        <f t="array" ref="AV294">IF(Y294=DGET(claves!$A$2:$AS423,Y$2,{claves!$A$2;$E294}),1,0)</f>
        <v>#VALUE!</v>
      </c>
      <c r="AW294" s="436" t="str">
        <f t="array" ref="AW294">IF(Z294=DGET(claves!$A$2:$AS423,Z$2,{claves!$A$2;$E294}),1,0)</f>
        <v>#VALUE!</v>
      </c>
      <c r="AX294" s="436" t="str">
        <f t="array" ref="AX294">IF(AA294=DGET(claves!$A$2:$AS423,AA$2,{claves!$A$2;$E294}),1,0)</f>
        <v>#VALUE!</v>
      </c>
      <c r="AY294" s="436" t="str">
        <f t="array" ref="AY294">IF(AB294=DGET(claves!$A$2:$AS423,AB$2,{claves!$A$2;$E294}),1,0)</f>
        <v>#VALUE!</v>
      </c>
      <c r="AZ294" s="436" t="str">
        <f t="array" ref="AZ294">IF(AC294=DGET(claves!$A$2:$AS423,AC$2,{claves!$A$2;$E294}),1,0)</f>
        <v>#VALUE!</v>
      </c>
      <c r="BA294" s="436" t="str">
        <f t="array" ref="BA294">IF(AD294=DGET(claves!$A$2:$AS423,AD$2,{claves!$A$2;$E294}),1,0)</f>
        <v>#VALUE!</v>
      </c>
      <c r="BB294" s="436" t="str">
        <f t="array" ref="BB294">IF(AE294=DGET(claves!$A$2:$AS423,AE$2,{claves!$A$2;$E294}),1,0)</f>
        <v>#VALUE!</v>
      </c>
      <c r="BC294" s="436" t="str">
        <f t="array" ref="BC294">IF(AF294=DGET(claves!$A$2:$AS423,AF$2,{claves!$A$2;$E294}),1,0)</f>
        <v>#VALUE!</v>
      </c>
      <c r="BD294" s="437" t="str">
        <f t="shared" si="1"/>
        <v>#VALUE!</v>
      </c>
      <c r="BE294" s="435"/>
      <c r="BF294" s="415"/>
    </row>
    <row r="295" ht="14.25" customHeight="1">
      <c r="A295" s="408">
        <v>293.0</v>
      </c>
      <c r="B295" s="153" t="s">
        <v>1927</v>
      </c>
      <c r="C295" s="153">
        <v>2024.0</v>
      </c>
      <c r="D295" s="77" t="s">
        <v>362</v>
      </c>
      <c r="E295" s="409" t="str">
        <f>IFERROR(__xludf.DUMMYFUNCTION("ARRAYFORMULA(JOIN("""", ARRAYFORMULA(MID(SPLIT(F295, "" ""), 1, 1))))
&amp;""/""&amp;G295"),"MC/4 Primaria")</f>
        <v>MC/4 Primaria</v>
      </c>
      <c r="F295" s="77" t="s">
        <v>1654</v>
      </c>
      <c r="G295" s="432" t="s">
        <v>20</v>
      </c>
      <c r="H295" s="433" t="s">
        <v>1976</v>
      </c>
      <c r="I295" s="433" t="s">
        <v>1771</v>
      </c>
      <c r="J295" s="433" t="s">
        <v>1977</v>
      </c>
      <c r="K295" s="432" t="s">
        <v>1665</v>
      </c>
      <c r="L295" s="415"/>
      <c r="M295" s="434" t="s">
        <v>1689</v>
      </c>
      <c r="N295" s="434" t="s">
        <v>1661</v>
      </c>
      <c r="O295" s="434" t="s">
        <v>1689</v>
      </c>
      <c r="P295" s="434" t="s">
        <v>1689</v>
      </c>
      <c r="Q295" s="434" t="s">
        <v>1661</v>
      </c>
      <c r="R295" s="434" t="s">
        <v>1660</v>
      </c>
      <c r="S295" s="434" t="s">
        <v>1659</v>
      </c>
      <c r="T295" s="434" t="s">
        <v>1661</v>
      </c>
      <c r="U295" s="434" t="s">
        <v>1659</v>
      </c>
      <c r="V295" s="434" t="s">
        <v>1660</v>
      </c>
      <c r="W295" s="434" t="s">
        <v>1689</v>
      </c>
      <c r="X295" s="434" t="s">
        <v>1661</v>
      </c>
      <c r="Y295" s="434" t="s">
        <v>1660</v>
      </c>
      <c r="Z295" s="434" t="s">
        <v>1689</v>
      </c>
      <c r="AA295" s="434" t="s">
        <v>1660</v>
      </c>
      <c r="AB295" s="434" t="s">
        <v>1659</v>
      </c>
      <c r="AC295" s="434" t="s">
        <v>1661</v>
      </c>
      <c r="AD295" s="434" t="s">
        <v>1661</v>
      </c>
      <c r="AE295" s="434" t="s">
        <v>1661</v>
      </c>
      <c r="AF295" s="434" t="s">
        <v>1660</v>
      </c>
      <c r="AG295" s="427">
        <v>18.0</v>
      </c>
      <c r="AH295" s="438" t="s">
        <v>32</v>
      </c>
      <c r="AI295" s="415"/>
      <c r="AJ295" s="436" t="str">
        <f t="array" ref="AJ295">IF(M295=DGET(claves!$A$2:$AS423,M$2,{claves!$A$2;$E295}),1,0)</f>
        <v>#VALUE!</v>
      </c>
      <c r="AK295" s="436" t="str">
        <f t="array" ref="AK295">IF(N295=DGET(claves!$A$2:$AS423,N$2,{claves!$A$2;$E295}),1,0)</f>
        <v>#VALUE!</v>
      </c>
      <c r="AL295" s="436" t="str">
        <f t="array" ref="AL295">IF(O295=DGET(claves!$A$2:$AS423,O$2,{claves!$A$2;$E295}),1,0)</f>
        <v>#VALUE!</v>
      </c>
      <c r="AM295" s="436" t="str">
        <f t="array" ref="AM295">IF(P295=DGET(claves!$A$2:$AS423,P$2,{claves!$A$2;$E295}),1,0)</f>
        <v>#VALUE!</v>
      </c>
      <c r="AN295" s="436" t="str">
        <f t="array" ref="AN295">IF(Q295=DGET(claves!$A$2:$AS423,Q$2,{claves!$A$2;$E295}),1,0)</f>
        <v>#VALUE!</v>
      </c>
      <c r="AO295" s="436" t="str">
        <f t="array" ref="AO295">IF(R295=DGET(claves!$A$2:$AS423,R$2,{claves!$A$2;$E295}),1,0)</f>
        <v>#VALUE!</v>
      </c>
      <c r="AP295" s="436" t="str">
        <f t="array" ref="AP295">IF(S295=DGET(claves!$A$2:$AS423,S$2,{claves!$A$2;$E295}),1,0)</f>
        <v>#VALUE!</v>
      </c>
      <c r="AQ295" s="436" t="str">
        <f t="array" ref="AQ295">IF(T295=DGET(claves!$A$2:$AS423,T$2,{claves!$A$2;$E295}),1,0)</f>
        <v>#VALUE!</v>
      </c>
      <c r="AR295" s="436" t="str">
        <f t="array" ref="AR295">IF(U295=DGET(claves!$A$2:$AS423,U$2,{claves!$A$2;$E295}),1,0)</f>
        <v>#VALUE!</v>
      </c>
      <c r="AS295" s="436" t="str">
        <f t="array" ref="AS295">IF(V295=DGET(claves!$A$2:$AS423,V$2,{claves!$A$2;$E295}),1,0)</f>
        <v>#VALUE!</v>
      </c>
      <c r="AT295" s="436" t="str">
        <f t="array" ref="AT295">IF(W295=DGET(claves!$A$2:$AS423,W$2,{claves!$A$2;$E295}),1,0)</f>
        <v>#VALUE!</v>
      </c>
      <c r="AU295" s="436" t="str">
        <f t="array" ref="AU295">IF(X295=DGET(claves!$A$2:$AS423,X$2,{claves!$A$2;$E295}),1,0)</f>
        <v>#VALUE!</v>
      </c>
      <c r="AV295" s="436" t="str">
        <f t="array" ref="AV295">IF(Y295=DGET(claves!$A$2:$AS423,Y$2,{claves!$A$2;$E295}),1,0)</f>
        <v>#VALUE!</v>
      </c>
      <c r="AW295" s="436" t="str">
        <f t="array" ref="AW295">IF(Z295=DGET(claves!$A$2:$AS423,Z$2,{claves!$A$2;$E295}),1,0)</f>
        <v>#VALUE!</v>
      </c>
      <c r="AX295" s="436" t="str">
        <f t="array" ref="AX295">IF(AA295=DGET(claves!$A$2:$AS423,AA$2,{claves!$A$2;$E295}),1,0)</f>
        <v>#VALUE!</v>
      </c>
      <c r="AY295" s="436" t="str">
        <f t="array" ref="AY295">IF(AB295=DGET(claves!$A$2:$AS423,AB$2,{claves!$A$2;$E295}),1,0)</f>
        <v>#VALUE!</v>
      </c>
      <c r="AZ295" s="436" t="str">
        <f t="array" ref="AZ295">IF(AC295=DGET(claves!$A$2:$AS423,AC$2,{claves!$A$2;$E295}),1,0)</f>
        <v>#VALUE!</v>
      </c>
      <c r="BA295" s="436" t="str">
        <f t="array" ref="BA295">IF(AD295=DGET(claves!$A$2:$AS423,AD$2,{claves!$A$2;$E295}),1,0)</f>
        <v>#VALUE!</v>
      </c>
      <c r="BB295" s="436" t="str">
        <f t="array" ref="BB295">IF(AE295=DGET(claves!$A$2:$AS423,AE$2,{claves!$A$2;$E295}),1,0)</f>
        <v>#VALUE!</v>
      </c>
      <c r="BC295" s="436" t="str">
        <f t="array" ref="BC295">IF(AF295=DGET(claves!$A$2:$AS423,AF$2,{claves!$A$2;$E295}),1,0)</f>
        <v>#VALUE!</v>
      </c>
      <c r="BD295" s="437" t="str">
        <f t="shared" si="1"/>
        <v>#VALUE!</v>
      </c>
      <c r="BE295" s="435" t="s">
        <v>1468</v>
      </c>
      <c r="BF295" s="415"/>
    </row>
    <row r="296" ht="14.25" customHeight="1">
      <c r="A296" s="408">
        <v>294.0</v>
      </c>
      <c r="B296" s="153" t="s">
        <v>1927</v>
      </c>
      <c r="C296" s="153">
        <v>2024.0</v>
      </c>
      <c r="D296" s="77" t="s">
        <v>1817</v>
      </c>
      <c r="E296" s="409" t="str">
        <f>IFERROR(__xludf.DUMMYFUNCTION("ARRAYFORMULA(JOIN("""", ARRAYFORMULA(MID(SPLIT(F296, "" ""), 1, 1))))
&amp;""/""&amp;G296"),"CLC/4 Primaria")</f>
        <v>CLC/4 Primaria</v>
      </c>
      <c r="F296" s="77" t="s">
        <v>1819</v>
      </c>
      <c r="G296" s="432" t="s">
        <v>20</v>
      </c>
      <c r="H296" s="433" t="s">
        <v>1976</v>
      </c>
      <c r="I296" s="433" t="s">
        <v>1771</v>
      </c>
      <c r="J296" s="433" t="s">
        <v>1977</v>
      </c>
      <c r="K296" s="432" t="s">
        <v>1665</v>
      </c>
      <c r="L296" s="415"/>
      <c r="M296" s="434" t="s">
        <v>1659</v>
      </c>
      <c r="N296" s="434" t="s">
        <v>1660</v>
      </c>
      <c r="O296" s="434" t="s">
        <v>1660</v>
      </c>
      <c r="P296" s="434" t="s">
        <v>1660</v>
      </c>
      <c r="Q296" s="434" t="s">
        <v>1661</v>
      </c>
      <c r="R296" s="434" t="s">
        <v>1660</v>
      </c>
      <c r="S296" s="434" t="s">
        <v>1659</v>
      </c>
      <c r="T296" s="434" t="s">
        <v>1659</v>
      </c>
      <c r="U296" s="434" t="s">
        <v>1660</v>
      </c>
      <c r="V296" s="434" t="s">
        <v>1659</v>
      </c>
      <c r="W296" s="434" t="s">
        <v>1661</v>
      </c>
      <c r="X296" s="434" t="s">
        <v>1661</v>
      </c>
      <c r="Y296" s="434" t="s">
        <v>1660</v>
      </c>
      <c r="Z296" s="434" t="s">
        <v>1661</v>
      </c>
      <c r="AA296" s="434" t="s">
        <v>1659</v>
      </c>
      <c r="AB296" s="434" t="s">
        <v>1661</v>
      </c>
      <c r="AC296" s="434" t="s">
        <v>1660</v>
      </c>
      <c r="AD296" s="434" t="s">
        <v>1659</v>
      </c>
      <c r="AE296" s="434" t="s">
        <v>1661</v>
      </c>
      <c r="AF296" s="434" t="s">
        <v>1661</v>
      </c>
      <c r="AG296" s="427">
        <v>15.0</v>
      </c>
      <c r="AH296" s="435" t="s">
        <v>24</v>
      </c>
      <c r="AI296" s="415"/>
      <c r="AJ296" s="436" t="str">
        <f t="array" ref="AJ296">IF(M296=DGET(claves!$A$2:$AS423,M$2,{claves!$A$2;$E296}),1,0)</f>
        <v>#VALUE!</v>
      </c>
      <c r="AK296" s="436" t="str">
        <f t="array" ref="AK296">IF(N296=DGET(claves!$A$2:$AS423,N$2,{claves!$A$2;$E296}),1,0)</f>
        <v>#VALUE!</v>
      </c>
      <c r="AL296" s="436" t="str">
        <f t="array" ref="AL296">IF(O296=DGET(claves!$A$2:$AS423,O$2,{claves!$A$2;$E296}),1,0)</f>
        <v>#VALUE!</v>
      </c>
      <c r="AM296" s="436" t="str">
        <f t="array" ref="AM296">IF(P296=DGET(claves!$A$2:$AS423,P$2,{claves!$A$2;$E296}),1,0)</f>
        <v>#VALUE!</v>
      </c>
      <c r="AN296" s="436" t="str">
        <f t="array" ref="AN296">IF(Q296=DGET(claves!$A$2:$AS423,Q$2,{claves!$A$2;$E296}),1,0)</f>
        <v>#VALUE!</v>
      </c>
      <c r="AO296" s="436" t="str">
        <f t="array" ref="AO296">IF(R296=DGET(claves!$A$2:$AS423,R$2,{claves!$A$2;$E296}),1,0)</f>
        <v>#VALUE!</v>
      </c>
      <c r="AP296" s="436" t="str">
        <f t="array" ref="AP296">IF(S296=DGET(claves!$A$2:$AS423,S$2,{claves!$A$2;$E296}),1,0)</f>
        <v>#VALUE!</v>
      </c>
      <c r="AQ296" s="436" t="str">
        <f t="array" ref="AQ296">IF(T296=DGET(claves!$A$2:$AS423,T$2,{claves!$A$2;$E296}),1,0)</f>
        <v>#VALUE!</v>
      </c>
      <c r="AR296" s="436" t="str">
        <f t="array" ref="AR296">IF(U296=DGET(claves!$A$2:$AS423,U$2,{claves!$A$2;$E296}),1,0)</f>
        <v>#VALUE!</v>
      </c>
      <c r="AS296" s="436" t="str">
        <f t="array" ref="AS296">IF(V296=DGET(claves!$A$2:$AS423,V$2,{claves!$A$2;$E296}),1,0)</f>
        <v>#VALUE!</v>
      </c>
      <c r="AT296" s="436" t="str">
        <f t="array" ref="AT296">IF(W296=DGET(claves!$A$2:$AS423,W$2,{claves!$A$2;$E296}),1,0)</f>
        <v>#VALUE!</v>
      </c>
      <c r="AU296" s="436" t="str">
        <f t="array" ref="AU296">IF(X296=DGET(claves!$A$2:$AS423,X$2,{claves!$A$2;$E296}),1,0)</f>
        <v>#VALUE!</v>
      </c>
      <c r="AV296" s="436" t="str">
        <f t="array" ref="AV296">IF(Y296=DGET(claves!$A$2:$AS423,Y$2,{claves!$A$2;$E296}),1,0)</f>
        <v>#VALUE!</v>
      </c>
      <c r="AW296" s="436" t="str">
        <f t="array" ref="AW296">IF(Z296=DGET(claves!$A$2:$AS423,Z$2,{claves!$A$2;$E296}),1,0)</f>
        <v>#VALUE!</v>
      </c>
      <c r="AX296" s="436" t="str">
        <f t="array" ref="AX296">IF(AA296=DGET(claves!$A$2:$AS423,AA$2,{claves!$A$2;$E296}),1,0)</f>
        <v>#VALUE!</v>
      </c>
      <c r="AY296" s="436" t="str">
        <f t="array" ref="AY296">IF(AB296=DGET(claves!$A$2:$AS423,AB$2,{claves!$A$2;$E296}),1,0)</f>
        <v>#VALUE!</v>
      </c>
      <c r="AZ296" s="436" t="str">
        <f t="array" ref="AZ296">IF(AC296=DGET(claves!$A$2:$AS423,AC$2,{claves!$A$2;$E296}),1,0)</f>
        <v>#VALUE!</v>
      </c>
      <c r="BA296" s="436" t="str">
        <f t="array" ref="BA296">IF(AD296=DGET(claves!$A$2:$AS423,AD$2,{claves!$A$2;$E296}),1,0)</f>
        <v>#VALUE!</v>
      </c>
      <c r="BB296" s="436" t="str">
        <f t="array" ref="BB296">IF(AE296=DGET(claves!$A$2:$AS423,AE$2,{claves!$A$2;$E296}),1,0)</f>
        <v>#VALUE!</v>
      </c>
      <c r="BC296" s="436" t="str">
        <f t="array" ref="BC296">IF(AF296=DGET(claves!$A$2:$AS423,AF$2,{claves!$A$2;$E296}),1,0)</f>
        <v>#VALUE!</v>
      </c>
      <c r="BD296" s="437" t="str">
        <f t="shared" si="1"/>
        <v>#VALUE!</v>
      </c>
      <c r="BE296" s="435"/>
      <c r="BF296" s="415"/>
    </row>
    <row r="297" ht="14.25" customHeight="1">
      <c r="A297" s="408">
        <v>295.0</v>
      </c>
      <c r="B297" s="153" t="s">
        <v>1927</v>
      </c>
      <c r="C297" s="153">
        <v>2024.0</v>
      </c>
      <c r="D297" s="77" t="s">
        <v>362</v>
      </c>
      <c r="E297" s="409" t="str">
        <f>IFERROR(__xludf.DUMMYFUNCTION("ARRAYFORMULA(JOIN("""", ARRAYFORMULA(MID(SPLIT(F297, "" ""), 1, 1))))
&amp;""/""&amp;G297"),"MC/4 Primaria")</f>
        <v>MC/4 Primaria</v>
      </c>
      <c r="F297" s="77" t="s">
        <v>1654</v>
      </c>
      <c r="G297" s="432" t="s">
        <v>20</v>
      </c>
      <c r="H297" s="433" t="s">
        <v>1728</v>
      </c>
      <c r="I297" s="433" t="s">
        <v>1667</v>
      </c>
      <c r="J297" s="433" t="s">
        <v>1978</v>
      </c>
      <c r="K297" s="432" t="s">
        <v>1665</v>
      </c>
      <c r="L297" s="415"/>
      <c r="M297" s="434" t="s">
        <v>1689</v>
      </c>
      <c r="N297" s="434" t="s">
        <v>1661</v>
      </c>
      <c r="O297" s="434" t="s">
        <v>1689</v>
      </c>
      <c r="P297" s="434" t="s">
        <v>1689</v>
      </c>
      <c r="Q297" s="434" t="s">
        <v>1661</v>
      </c>
      <c r="R297" s="434" t="s">
        <v>1660</v>
      </c>
      <c r="S297" s="434" t="s">
        <v>1659</v>
      </c>
      <c r="T297" s="434" t="s">
        <v>1661</v>
      </c>
      <c r="U297" s="434" t="s">
        <v>1660</v>
      </c>
      <c r="V297" s="434" t="s">
        <v>1660</v>
      </c>
      <c r="W297" s="434" t="s">
        <v>1689</v>
      </c>
      <c r="X297" s="434" t="s">
        <v>1661</v>
      </c>
      <c r="Y297" s="434" t="s">
        <v>1660</v>
      </c>
      <c r="Z297" s="434" t="s">
        <v>1660</v>
      </c>
      <c r="AA297" s="434" t="s">
        <v>1660</v>
      </c>
      <c r="AB297" s="434" t="s">
        <v>1659</v>
      </c>
      <c r="AC297" s="434" t="s">
        <v>1689</v>
      </c>
      <c r="AD297" s="434" t="s">
        <v>1661</v>
      </c>
      <c r="AE297" s="434" t="s">
        <v>1661</v>
      </c>
      <c r="AF297" s="434" t="s">
        <v>1660</v>
      </c>
      <c r="AG297" s="427">
        <v>17.0</v>
      </c>
      <c r="AH297" s="438" t="s">
        <v>32</v>
      </c>
      <c r="AI297" s="415"/>
      <c r="AJ297" s="436" t="str">
        <f t="array" ref="AJ297">IF(M297=DGET(claves!$A$2:$AS423,M$2,{claves!$A$2;$E297}),1,0)</f>
        <v>#VALUE!</v>
      </c>
      <c r="AK297" s="436" t="str">
        <f t="array" ref="AK297">IF(N297=DGET(claves!$A$2:$AS423,N$2,{claves!$A$2;$E297}),1,0)</f>
        <v>#VALUE!</v>
      </c>
      <c r="AL297" s="436" t="str">
        <f t="array" ref="AL297">IF(O297=DGET(claves!$A$2:$AS423,O$2,{claves!$A$2;$E297}),1,0)</f>
        <v>#VALUE!</v>
      </c>
      <c r="AM297" s="436" t="str">
        <f t="array" ref="AM297">IF(P297=DGET(claves!$A$2:$AS423,P$2,{claves!$A$2;$E297}),1,0)</f>
        <v>#VALUE!</v>
      </c>
      <c r="AN297" s="436" t="str">
        <f t="array" ref="AN297">IF(Q297=DGET(claves!$A$2:$AS423,Q$2,{claves!$A$2;$E297}),1,0)</f>
        <v>#VALUE!</v>
      </c>
      <c r="AO297" s="436" t="str">
        <f t="array" ref="AO297">IF(R297=DGET(claves!$A$2:$AS423,R$2,{claves!$A$2;$E297}),1,0)</f>
        <v>#VALUE!</v>
      </c>
      <c r="AP297" s="436" t="str">
        <f t="array" ref="AP297">IF(S297=DGET(claves!$A$2:$AS423,S$2,{claves!$A$2;$E297}),1,0)</f>
        <v>#VALUE!</v>
      </c>
      <c r="AQ297" s="436" t="str">
        <f t="array" ref="AQ297">IF(T297=DGET(claves!$A$2:$AS423,T$2,{claves!$A$2;$E297}),1,0)</f>
        <v>#VALUE!</v>
      </c>
      <c r="AR297" s="436" t="str">
        <f t="array" ref="AR297">IF(U297=DGET(claves!$A$2:$AS423,U$2,{claves!$A$2;$E297}),1,0)</f>
        <v>#VALUE!</v>
      </c>
      <c r="AS297" s="436" t="str">
        <f t="array" ref="AS297">IF(V297=DGET(claves!$A$2:$AS423,V$2,{claves!$A$2;$E297}),1,0)</f>
        <v>#VALUE!</v>
      </c>
      <c r="AT297" s="436" t="str">
        <f t="array" ref="AT297">IF(W297=DGET(claves!$A$2:$AS423,W$2,{claves!$A$2;$E297}),1,0)</f>
        <v>#VALUE!</v>
      </c>
      <c r="AU297" s="436" t="str">
        <f t="array" ref="AU297">IF(X297=DGET(claves!$A$2:$AS423,X$2,{claves!$A$2;$E297}),1,0)</f>
        <v>#VALUE!</v>
      </c>
      <c r="AV297" s="436" t="str">
        <f t="array" ref="AV297">IF(Y297=DGET(claves!$A$2:$AS423,Y$2,{claves!$A$2;$E297}),1,0)</f>
        <v>#VALUE!</v>
      </c>
      <c r="AW297" s="436" t="str">
        <f t="array" ref="AW297">IF(Z297=DGET(claves!$A$2:$AS423,Z$2,{claves!$A$2;$E297}),1,0)</f>
        <v>#VALUE!</v>
      </c>
      <c r="AX297" s="436" t="str">
        <f t="array" ref="AX297">IF(AA297=DGET(claves!$A$2:$AS423,AA$2,{claves!$A$2;$E297}),1,0)</f>
        <v>#VALUE!</v>
      </c>
      <c r="AY297" s="436" t="str">
        <f t="array" ref="AY297">IF(AB297=DGET(claves!$A$2:$AS423,AB$2,{claves!$A$2;$E297}),1,0)</f>
        <v>#VALUE!</v>
      </c>
      <c r="AZ297" s="436" t="str">
        <f t="array" ref="AZ297">IF(AC297=DGET(claves!$A$2:$AS423,AC$2,{claves!$A$2;$E297}),1,0)</f>
        <v>#VALUE!</v>
      </c>
      <c r="BA297" s="436" t="str">
        <f t="array" ref="BA297">IF(AD297=DGET(claves!$A$2:$AS423,AD$2,{claves!$A$2;$E297}),1,0)</f>
        <v>#VALUE!</v>
      </c>
      <c r="BB297" s="436" t="str">
        <f t="array" ref="BB297">IF(AE297=DGET(claves!$A$2:$AS423,AE$2,{claves!$A$2;$E297}),1,0)</f>
        <v>#VALUE!</v>
      </c>
      <c r="BC297" s="436" t="str">
        <f t="array" ref="BC297">IF(AF297=DGET(claves!$A$2:$AS423,AF$2,{claves!$A$2;$E297}),1,0)</f>
        <v>#VALUE!</v>
      </c>
      <c r="BD297" s="437" t="str">
        <f t="shared" si="1"/>
        <v>#VALUE!</v>
      </c>
      <c r="BE297" s="435" t="s">
        <v>1468</v>
      </c>
      <c r="BF297" s="415"/>
    </row>
    <row r="298" ht="14.25" customHeight="1">
      <c r="A298" s="408">
        <v>296.0</v>
      </c>
      <c r="B298" s="153" t="s">
        <v>1927</v>
      </c>
      <c r="C298" s="153">
        <v>2024.0</v>
      </c>
      <c r="D298" s="77" t="s">
        <v>1817</v>
      </c>
      <c r="E298" s="409" t="str">
        <f>IFERROR(__xludf.DUMMYFUNCTION("ARRAYFORMULA(JOIN("""", ARRAYFORMULA(MID(SPLIT(F298, "" ""), 1, 1))))
&amp;""/""&amp;G298"),"CLC/4 Primaria")</f>
        <v>CLC/4 Primaria</v>
      </c>
      <c r="F298" s="77" t="s">
        <v>1819</v>
      </c>
      <c r="G298" s="432" t="s">
        <v>20</v>
      </c>
      <c r="H298" s="433" t="s">
        <v>1728</v>
      </c>
      <c r="I298" s="433" t="s">
        <v>1667</v>
      </c>
      <c r="J298" s="433" t="s">
        <v>1978</v>
      </c>
      <c r="K298" s="432" t="s">
        <v>1665</v>
      </c>
      <c r="L298" s="415"/>
      <c r="M298" s="434" t="s">
        <v>1659</v>
      </c>
      <c r="N298" s="434" t="s">
        <v>1660</v>
      </c>
      <c r="O298" s="434" t="s">
        <v>1660</v>
      </c>
      <c r="P298" s="434" t="s">
        <v>1660</v>
      </c>
      <c r="Q298" s="434" t="s">
        <v>1661</v>
      </c>
      <c r="R298" s="434" t="s">
        <v>1661</v>
      </c>
      <c r="S298" s="434" t="s">
        <v>1659</v>
      </c>
      <c r="T298" s="434" t="s">
        <v>1661</v>
      </c>
      <c r="U298" s="434" t="s">
        <v>1660</v>
      </c>
      <c r="V298" s="434"/>
      <c r="W298" s="434" t="s">
        <v>1661</v>
      </c>
      <c r="X298" s="434" t="s">
        <v>1661</v>
      </c>
      <c r="Y298" s="434" t="s">
        <v>1660</v>
      </c>
      <c r="Z298" s="434" t="s">
        <v>1660</v>
      </c>
      <c r="AA298" s="434" t="s">
        <v>1659</v>
      </c>
      <c r="AB298" s="434" t="s">
        <v>1661</v>
      </c>
      <c r="AC298" s="434" t="s">
        <v>1660</v>
      </c>
      <c r="AD298" s="434" t="s">
        <v>1689</v>
      </c>
      <c r="AE298" s="434" t="s">
        <v>1659</v>
      </c>
      <c r="AF298" s="434" t="s">
        <v>1661</v>
      </c>
      <c r="AG298" s="427">
        <v>13.0</v>
      </c>
      <c r="AH298" s="435" t="s">
        <v>24</v>
      </c>
      <c r="AI298" s="415"/>
      <c r="AJ298" s="436" t="str">
        <f t="array" ref="AJ298">IF(M298=DGET(claves!$A$2:$AS423,M$2,{claves!$A$2;$E298}),1,0)</f>
        <v>#VALUE!</v>
      </c>
      <c r="AK298" s="436" t="str">
        <f t="array" ref="AK298">IF(N298=DGET(claves!$A$2:$AS423,N$2,{claves!$A$2;$E298}),1,0)</f>
        <v>#VALUE!</v>
      </c>
      <c r="AL298" s="436" t="str">
        <f t="array" ref="AL298">IF(O298=DGET(claves!$A$2:$AS423,O$2,{claves!$A$2;$E298}),1,0)</f>
        <v>#VALUE!</v>
      </c>
      <c r="AM298" s="436" t="str">
        <f t="array" ref="AM298">IF(P298=DGET(claves!$A$2:$AS423,P$2,{claves!$A$2;$E298}),1,0)</f>
        <v>#VALUE!</v>
      </c>
      <c r="AN298" s="436" t="str">
        <f t="array" ref="AN298">IF(Q298=DGET(claves!$A$2:$AS423,Q$2,{claves!$A$2;$E298}),1,0)</f>
        <v>#VALUE!</v>
      </c>
      <c r="AO298" s="436" t="str">
        <f t="array" ref="AO298">IF(R298=DGET(claves!$A$2:$AS423,R$2,{claves!$A$2;$E298}),1,0)</f>
        <v>#VALUE!</v>
      </c>
      <c r="AP298" s="436" t="str">
        <f t="array" ref="AP298">IF(S298=DGET(claves!$A$2:$AS423,S$2,{claves!$A$2;$E298}),1,0)</f>
        <v>#VALUE!</v>
      </c>
      <c r="AQ298" s="436" t="str">
        <f t="array" ref="AQ298">IF(T298=DGET(claves!$A$2:$AS423,T$2,{claves!$A$2;$E298}),1,0)</f>
        <v>#VALUE!</v>
      </c>
      <c r="AR298" s="436" t="str">
        <f t="array" ref="AR298">IF(U298=DGET(claves!$A$2:$AS423,U$2,{claves!$A$2;$E298}),1,0)</f>
        <v>#VALUE!</v>
      </c>
      <c r="AS298" s="436" t="str">
        <f t="array" ref="AS298">IF(V298=DGET(claves!$A$2:$AS423,V$2,{claves!$A$2;$E298}),1,0)</f>
        <v>#VALUE!</v>
      </c>
      <c r="AT298" s="436" t="str">
        <f t="array" ref="AT298">IF(W298=DGET(claves!$A$2:$AS423,W$2,{claves!$A$2;$E298}),1,0)</f>
        <v>#VALUE!</v>
      </c>
      <c r="AU298" s="436" t="str">
        <f t="array" ref="AU298">IF(X298=DGET(claves!$A$2:$AS423,X$2,{claves!$A$2;$E298}),1,0)</f>
        <v>#VALUE!</v>
      </c>
      <c r="AV298" s="436" t="str">
        <f t="array" ref="AV298">IF(Y298=DGET(claves!$A$2:$AS423,Y$2,{claves!$A$2;$E298}),1,0)</f>
        <v>#VALUE!</v>
      </c>
      <c r="AW298" s="436" t="str">
        <f t="array" ref="AW298">IF(Z298=DGET(claves!$A$2:$AS423,Z$2,{claves!$A$2;$E298}),1,0)</f>
        <v>#VALUE!</v>
      </c>
      <c r="AX298" s="436" t="str">
        <f t="array" ref="AX298">IF(AA298=DGET(claves!$A$2:$AS423,AA$2,{claves!$A$2;$E298}),1,0)</f>
        <v>#VALUE!</v>
      </c>
      <c r="AY298" s="436" t="str">
        <f t="array" ref="AY298">IF(AB298=DGET(claves!$A$2:$AS423,AB$2,{claves!$A$2;$E298}),1,0)</f>
        <v>#VALUE!</v>
      </c>
      <c r="AZ298" s="436" t="str">
        <f t="array" ref="AZ298">IF(AC298=DGET(claves!$A$2:$AS423,AC$2,{claves!$A$2;$E298}),1,0)</f>
        <v>#VALUE!</v>
      </c>
      <c r="BA298" s="436" t="str">
        <f t="array" ref="BA298">IF(AD298=DGET(claves!$A$2:$AS423,AD$2,{claves!$A$2;$E298}),1,0)</f>
        <v>#VALUE!</v>
      </c>
      <c r="BB298" s="436" t="str">
        <f t="array" ref="BB298">IF(AE298=DGET(claves!$A$2:$AS423,AE$2,{claves!$A$2;$E298}),1,0)</f>
        <v>#VALUE!</v>
      </c>
      <c r="BC298" s="436" t="str">
        <f t="array" ref="BC298">IF(AF298=DGET(claves!$A$2:$AS423,AF$2,{claves!$A$2;$E298}),1,0)</f>
        <v>#VALUE!</v>
      </c>
      <c r="BD298" s="437" t="str">
        <f t="shared" si="1"/>
        <v>#VALUE!</v>
      </c>
      <c r="BE298" s="435"/>
      <c r="BF298" s="415"/>
    </row>
    <row r="299" ht="14.25" customHeight="1">
      <c r="A299" s="408">
        <v>297.0</v>
      </c>
      <c r="B299" s="153" t="s">
        <v>1927</v>
      </c>
      <c r="C299" s="153">
        <v>2024.0</v>
      </c>
      <c r="D299" s="77" t="s">
        <v>362</v>
      </c>
      <c r="E299" s="409" t="str">
        <f>IFERROR(__xludf.DUMMYFUNCTION("ARRAYFORMULA(JOIN("""", ARRAYFORMULA(MID(SPLIT(F299, "" ""), 1, 1))))
&amp;""/""&amp;G299"),"MC/4 Primaria")</f>
        <v>MC/4 Primaria</v>
      </c>
      <c r="F299" s="77" t="s">
        <v>1654</v>
      </c>
      <c r="G299" s="432" t="s">
        <v>20</v>
      </c>
      <c r="H299" s="433" t="s">
        <v>1837</v>
      </c>
      <c r="I299" s="433" t="s">
        <v>1937</v>
      </c>
      <c r="J299" s="433" t="s">
        <v>1979</v>
      </c>
      <c r="K299" s="432" t="s">
        <v>1665</v>
      </c>
      <c r="L299" s="415"/>
      <c r="M299" s="434" t="s">
        <v>1659</v>
      </c>
      <c r="N299" s="434" t="s">
        <v>1661</v>
      </c>
      <c r="O299" s="434" t="s">
        <v>1689</v>
      </c>
      <c r="P299" s="434" t="s">
        <v>1659</v>
      </c>
      <c r="Q299" s="434" t="s">
        <v>1661</v>
      </c>
      <c r="R299" s="434" t="s">
        <v>1661</v>
      </c>
      <c r="S299" s="434" t="s">
        <v>1661</v>
      </c>
      <c r="T299" s="434" t="s">
        <v>1689</v>
      </c>
      <c r="U299" s="434" t="s">
        <v>1659</v>
      </c>
      <c r="V299" s="434" t="s">
        <v>1660</v>
      </c>
      <c r="W299" s="434" t="s">
        <v>1689</v>
      </c>
      <c r="X299" s="434" t="s">
        <v>1661</v>
      </c>
      <c r="Y299" s="434" t="s">
        <v>1660</v>
      </c>
      <c r="Z299" s="434" t="s">
        <v>1661</v>
      </c>
      <c r="AA299" s="434" t="s">
        <v>1661</v>
      </c>
      <c r="AB299" s="434" t="s">
        <v>1660</v>
      </c>
      <c r="AC299" s="434" t="s">
        <v>1659</v>
      </c>
      <c r="AD299" s="434" t="s">
        <v>1661</v>
      </c>
      <c r="AE299" s="434" t="s">
        <v>1661</v>
      </c>
      <c r="AF299" s="434" t="s">
        <v>1660</v>
      </c>
      <c r="AG299" s="427">
        <v>9.0</v>
      </c>
      <c r="AH299" s="435" t="s">
        <v>18</v>
      </c>
      <c r="AI299" s="415"/>
      <c r="AJ299" s="436" t="str">
        <f t="array" ref="AJ299">IF(M299=DGET(claves!$A$2:$AS423,M$2,{claves!$A$2;$E299}),1,0)</f>
        <v>#VALUE!</v>
      </c>
      <c r="AK299" s="436" t="str">
        <f t="array" ref="AK299">IF(N299=DGET(claves!$A$2:$AS423,N$2,{claves!$A$2;$E299}),1,0)</f>
        <v>#VALUE!</v>
      </c>
      <c r="AL299" s="436" t="str">
        <f t="array" ref="AL299">IF(O299=DGET(claves!$A$2:$AS423,O$2,{claves!$A$2;$E299}),1,0)</f>
        <v>#VALUE!</v>
      </c>
      <c r="AM299" s="436" t="str">
        <f t="array" ref="AM299">IF(P299=DGET(claves!$A$2:$AS423,P$2,{claves!$A$2;$E299}),1,0)</f>
        <v>#VALUE!</v>
      </c>
      <c r="AN299" s="436" t="str">
        <f t="array" ref="AN299">IF(Q299=DGET(claves!$A$2:$AS423,Q$2,{claves!$A$2;$E299}),1,0)</f>
        <v>#VALUE!</v>
      </c>
      <c r="AO299" s="436" t="str">
        <f t="array" ref="AO299">IF(R299=DGET(claves!$A$2:$AS423,R$2,{claves!$A$2;$E299}),1,0)</f>
        <v>#VALUE!</v>
      </c>
      <c r="AP299" s="436" t="str">
        <f t="array" ref="AP299">IF(S299=DGET(claves!$A$2:$AS423,S$2,{claves!$A$2;$E299}),1,0)</f>
        <v>#VALUE!</v>
      </c>
      <c r="AQ299" s="436" t="str">
        <f t="array" ref="AQ299">IF(T299=DGET(claves!$A$2:$AS423,T$2,{claves!$A$2;$E299}),1,0)</f>
        <v>#VALUE!</v>
      </c>
      <c r="AR299" s="436" t="str">
        <f t="array" ref="AR299">IF(U299=DGET(claves!$A$2:$AS423,U$2,{claves!$A$2;$E299}),1,0)</f>
        <v>#VALUE!</v>
      </c>
      <c r="AS299" s="436" t="str">
        <f t="array" ref="AS299">IF(V299=DGET(claves!$A$2:$AS423,V$2,{claves!$A$2;$E299}),1,0)</f>
        <v>#VALUE!</v>
      </c>
      <c r="AT299" s="436" t="str">
        <f t="array" ref="AT299">IF(W299=DGET(claves!$A$2:$AS423,W$2,{claves!$A$2;$E299}),1,0)</f>
        <v>#VALUE!</v>
      </c>
      <c r="AU299" s="436" t="str">
        <f t="array" ref="AU299">IF(X299=DGET(claves!$A$2:$AS423,X$2,{claves!$A$2;$E299}),1,0)</f>
        <v>#VALUE!</v>
      </c>
      <c r="AV299" s="436" t="str">
        <f t="array" ref="AV299">IF(Y299=DGET(claves!$A$2:$AS423,Y$2,{claves!$A$2;$E299}),1,0)</f>
        <v>#VALUE!</v>
      </c>
      <c r="AW299" s="436" t="str">
        <f t="array" ref="AW299">IF(Z299=DGET(claves!$A$2:$AS423,Z$2,{claves!$A$2;$E299}),1,0)</f>
        <v>#VALUE!</v>
      </c>
      <c r="AX299" s="436" t="str">
        <f t="array" ref="AX299">IF(AA299=DGET(claves!$A$2:$AS423,AA$2,{claves!$A$2;$E299}),1,0)</f>
        <v>#VALUE!</v>
      </c>
      <c r="AY299" s="436" t="str">
        <f t="array" ref="AY299">IF(AB299=DGET(claves!$A$2:$AS423,AB$2,{claves!$A$2;$E299}),1,0)</f>
        <v>#VALUE!</v>
      </c>
      <c r="AZ299" s="436" t="str">
        <f t="array" ref="AZ299">IF(AC299=DGET(claves!$A$2:$AS423,AC$2,{claves!$A$2;$E299}),1,0)</f>
        <v>#VALUE!</v>
      </c>
      <c r="BA299" s="436" t="str">
        <f t="array" ref="BA299">IF(AD299=DGET(claves!$A$2:$AS423,AD$2,{claves!$A$2;$E299}),1,0)</f>
        <v>#VALUE!</v>
      </c>
      <c r="BB299" s="436" t="str">
        <f t="array" ref="BB299">IF(AE299=DGET(claves!$A$2:$AS423,AE$2,{claves!$A$2;$E299}),1,0)</f>
        <v>#VALUE!</v>
      </c>
      <c r="BC299" s="436" t="str">
        <f t="array" ref="BC299">IF(AF299=DGET(claves!$A$2:$AS423,AF$2,{claves!$A$2;$E299}),1,0)</f>
        <v>#VALUE!</v>
      </c>
      <c r="BD299" s="437" t="str">
        <f t="shared" si="1"/>
        <v>#VALUE!</v>
      </c>
      <c r="BE299" s="435" t="s">
        <v>1468</v>
      </c>
      <c r="BF299" s="415"/>
    </row>
    <row r="300" ht="14.25" customHeight="1">
      <c r="A300" s="408">
        <v>298.0</v>
      </c>
      <c r="B300" s="153" t="s">
        <v>1927</v>
      </c>
      <c r="C300" s="153">
        <v>2024.0</v>
      </c>
      <c r="D300" s="77" t="s">
        <v>1817</v>
      </c>
      <c r="E300" s="409" t="str">
        <f>IFERROR(__xludf.DUMMYFUNCTION("ARRAYFORMULA(JOIN("""", ARRAYFORMULA(MID(SPLIT(F300, "" ""), 1, 1))))
&amp;""/""&amp;G300"),"CLC/4 Primaria")</f>
        <v>CLC/4 Primaria</v>
      </c>
      <c r="F300" s="77" t="s">
        <v>1819</v>
      </c>
      <c r="G300" s="432" t="s">
        <v>20</v>
      </c>
      <c r="H300" s="433" t="s">
        <v>1837</v>
      </c>
      <c r="I300" s="433" t="s">
        <v>1937</v>
      </c>
      <c r="J300" s="433" t="s">
        <v>1979</v>
      </c>
      <c r="K300" s="432" t="s">
        <v>1665</v>
      </c>
      <c r="L300" s="415"/>
      <c r="M300" s="434" t="s">
        <v>1659</v>
      </c>
      <c r="N300" s="434" t="s">
        <v>1660</v>
      </c>
      <c r="O300" s="434" t="s">
        <v>1660</v>
      </c>
      <c r="P300" s="434" t="s">
        <v>1660</v>
      </c>
      <c r="Q300" s="434" t="s">
        <v>1661</v>
      </c>
      <c r="R300" s="434" t="s">
        <v>1659</v>
      </c>
      <c r="S300" s="434" t="s">
        <v>1659</v>
      </c>
      <c r="T300" s="434" t="s">
        <v>1661</v>
      </c>
      <c r="U300" s="434" t="s">
        <v>1660</v>
      </c>
      <c r="V300" s="434" t="s">
        <v>1661</v>
      </c>
      <c r="W300" s="434" t="s">
        <v>1661</v>
      </c>
      <c r="X300" s="434" t="s">
        <v>1661</v>
      </c>
      <c r="Y300" s="434" t="s">
        <v>1660</v>
      </c>
      <c r="Z300" s="434" t="s">
        <v>1661</v>
      </c>
      <c r="AA300" s="434" t="s">
        <v>1659</v>
      </c>
      <c r="AB300" s="434" t="s">
        <v>1661</v>
      </c>
      <c r="AC300" s="434" t="s">
        <v>1660</v>
      </c>
      <c r="AD300" s="434" t="s">
        <v>1689</v>
      </c>
      <c r="AE300" s="434" t="s">
        <v>1689</v>
      </c>
      <c r="AF300" s="434" t="s">
        <v>1659</v>
      </c>
      <c r="AG300" s="427">
        <v>15.0</v>
      </c>
      <c r="AH300" s="435" t="s">
        <v>24</v>
      </c>
      <c r="AI300" s="415"/>
      <c r="AJ300" s="436" t="str">
        <f t="array" ref="AJ300">IF(M300=DGET(claves!$A$2:$AS423,M$2,{claves!$A$2;$E300}),1,0)</f>
        <v>#VALUE!</v>
      </c>
      <c r="AK300" s="436" t="str">
        <f t="array" ref="AK300">IF(N300=DGET(claves!$A$2:$AS423,N$2,{claves!$A$2;$E300}),1,0)</f>
        <v>#VALUE!</v>
      </c>
      <c r="AL300" s="436" t="str">
        <f t="array" ref="AL300">IF(O300=DGET(claves!$A$2:$AS423,O$2,{claves!$A$2;$E300}),1,0)</f>
        <v>#VALUE!</v>
      </c>
      <c r="AM300" s="436" t="str">
        <f t="array" ref="AM300">IF(P300=DGET(claves!$A$2:$AS423,P$2,{claves!$A$2;$E300}),1,0)</f>
        <v>#VALUE!</v>
      </c>
      <c r="AN300" s="436" t="str">
        <f t="array" ref="AN300">IF(Q300=DGET(claves!$A$2:$AS423,Q$2,{claves!$A$2;$E300}),1,0)</f>
        <v>#VALUE!</v>
      </c>
      <c r="AO300" s="436" t="str">
        <f t="array" ref="AO300">IF(R300=DGET(claves!$A$2:$AS423,R$2,{claves!$A$2;$E300}),1,0)</f>
        <v>#VALUE!</v>
      </c>
      <c r="AP300" s="436" t="str">
        <f t="array" ref="AP300">IF(S300=DGET(claves!$A$2:$AS423,S$2,{claves!$A$2;$E300}),1,0)</f>
        <v>#VALUE!</v>
      </c>
      <c r="AQ300" s="436" t="str">
        <f t="array" ref="AQ300">IF(T300=DGET(claves!$A$2:$AS423,T$2,{claves!$A$2;$E300}),1,0)</f>
        <v>#VALUE!</v>
      </c>
      <c r="AR300" s="436" t="str">
        <f t="array" ref="AR300">IF(U300=DGET(claves!$A$2:$AS423,U$2,{claves!$A$2;$E300}),1,0)</f>
        <v>#VALUE!</v>
      </c>
      <c r="AS300" s="436" t="str">
        <f t="array" ref="AS300">IF(V300=DGET(claves!$A$2:$AS423,V$2,{claves!$A$2;$E300}),1,0)</f>
        <v>#VALUE!</v>
      </c>
      <c r="AT300" s="436" t="str">
        <f t="array" ref="AT300">IF(W300=DGET(claves!$A$2:$AS423,W$2,{claves!$A$2;$E300}),1,0)</f>
        <v>#VALUE!</v>
      </c>
      <c r="AU300" s="436" t="str">
        <f t="array" ref="AU300">IF(X300=DGET(claves!$A$2:$AS423,X$2,{claves!$A$2;$E300}),1,0)</f>
        <v>#VALUE!</v>
      </c>
      <c r="AV300" s="436" t="str">
        <f t="array" ref="AV300">IF(Y300=DGET(claves!$A$2:$AS423,Y$2,{claves!$A$2;$E300}),1,0)</f>
        <v>#VALUE!</v>
      </c>
      <c r="AW300" s="436" t="str">
        <f t="array" ref="AW300">IF(Z300=DGET(claves!$A$2:$AS423,Z$2,{claves!$A$2;$E300}),1,0)</f>
        <v>#VALUE!</v>
      </c>
      <c r="AX300" s="436" t="str">
        <f t="array" ref="AX300">IF(AA300=DGET(claves!$A$2:$AS423,AA$2,{claves!$A$2;$E300}),1,0)</f>
        <v>#VALUE!</v>
      </c>
      <c r="AY300" s="436" t="str">
        <f t="array" ref="AY300">IF(AB300=DGET(claves!$A$2:$AS423,AB$2,{claves!$A$2;$E300}),1,0)</f>
        <v>#VALUE!</v>
      </c>
      <c r="AZ300" s="436" t="str">
        <f t="array" ref="AZ300">IF(AC300=DGET(claves!$A$2:$AS423,AC$2,{claves!$A$2;$E300}),1,0)</f>
        <v>#VALUE!</v>
      </c>
      <c r="BA300" s="436" t="str">
        <f t="array" ref="BA300">IF(AD300=DGET(claves!$A$2:$AS423,AD$2,{claves!$A$2;$E300}),1,0)</f>
        <v>#VALUE!</v>
      </c>
      <c r="BB300" s="436" t="str">
        <f t="array" ref="BB300">IF(AE300=DGET(claves!$A$2:$AS423,AE$2,{claves!$A$2;$E300}),1,0)</f>
        <v>#VALUE!</v>
      </c>
      <c r="BC300" s="436" t="str">
        <f t="array" ref="BC300">IF(AF300=DGET(claves!$A$2:$AS423,AF$2,{claves!$A$2;$E300}),1,0)</f>
        <v>#VALUE!</v>
      </c>
      <c r="BD300" s="437" t="str">
        <f t="shared" si="1"/>
        <v>#VALUE!</v>
      </c>
      <c r="BE300" s="435"/>
      <c r="BF300" s="415"/>
    </row>
    <row r="301" ht="14.25" customHeight="1">
      <c r="A301" s="408">
        <v>299.0</v>
      </c>
      <c r="B301" s="153" t="s">
        <v>1927</v>
      </c>
      <c r="C301" s="153">
        <v>2024.0</v>
      </c>
      <c r="D301" s="77" t="s">
        <v>362</v>
      </c>
      <c r="E301" s="409" t="str">
        <f>IFERROR(__xludf.DUMMYFUNCTION("ARRAYFORMULA(JOIN("""", ARRAYFORMULA(MID(SPLIT(F301, "" ""), 1, 1))))
&amp;""/""&amp;G301"),"MC/4 Primaria")</f>
        <v>MC/4 Primaria</v>
      </c>
      <c r="F301" s="77" t="s">
        <v>1654</v>
      </c>
      <c r="G301" s="432" t="s">
        <v>20</v>
      </c>
      <c r="H301" s="433" t="s">
        <v>1684</v>
      </c>
      <c r="I301" s="433" t="s">
        <v>1837</v>
      </c>
      <c r="J301" s="433" t="s">
        <v>1980</v>
      </c>
      <c r="K301" s="432" t="s">
        <v>1665</v>
      </c>
      <c r="L301" s="415"/>
      <c r="M301" s="434" t="s">
        <v>1689</v>
      </c>
      <c r="N301" s="434" t="s">
        <v>1660</v>
      </c>
      <c r="O301" s="434" t="s">
        <v>1659</v>
      </c>
      <c r="P301" s="434" t="s">
        <v>1659</v>
      </c>
      <c r="Q301" s="434" t="s">
        <v>1661</v>
      </c>
      <c r="R301" s="434" t="s">
        <v>1689</v>
      </c>
      <c r="S301" s="434" t="s">
        <v>1659</v>
      </c>
      <c r="T301" s="434" t="s">
        <v>1661</v>
      </c>
      <c r="U301" s="434" t="s">
        <v>1661</v>
      </c>
      <c r="V301" s="434" t="s">
        <v>1661</v>
      </c>
      <c r="W301" s="434" t="s">
        <v>1659</v>
      </c>
      <c r="X301" s="434" t="s">
        <v>1661</v>
      </c>
      <c r="Y301" s="434" t="s">
        <v>1661</v>
      </c>
      <c r="Z301" s="434" t="s">
        <v>1661</v>
      </c>
      <c r="AA301" s="434" t="s">
        <v>1659</v>
      </c>
      <c r="AB301" s="434" t="s">
        <v>1659</v>
      </c>
      <c r="AC301" s="434" t="s">
        <v>1689</v>
      </c>
      <c r="AD301" s="434" t="s">
        <v>1661</v>
      </c>
      <c r="AE301" s="434" t="s">
        <v>1661</v>
      </c>
      <c r="AF301" s="434" t="s">
        <v>1660</v>
      </c>
      <c r="AG301" s="427">
        <v>8.0</v>
      </c>
      <c r="AH301" s="435" t="s">
        <v>18</v>
      </c>
      <c r="AI301" s="415"/>
      <c r="AJ301" s="436" t="str">
        <f t="array" ref="AJ301">IF(M301=DGET(claves!$A$2:$AS423,M$2,{claves!$A$2;$E301}),1,0)</f>
        <v>#VALUE!</v>
      </c>
      <c r="AK301" s="436" t="str">
        <f t="array" ref="AK301">IF(N301=DGET(claves!$A$2:$AS423,N$2,{claves!$A$2;$E301}),1,0)</f>
        <v>#VALUE!</v>
      </c>
      <c r="AL301" s="436" t="str">
        <f t="array" ref="AL301">IF(O301=DGET(claves!$A$2:$AS423,O$2,{claves!$A$2;$E301}),1,0)</f>
        <v>#VALUE!</v>
      </c>
      <c r="AM301" s="436" t="str">
        <f t="array" ref="AM301">IF(P301=DGET(claves!$A$2:$AS423,P$2,{claves!$A$2;$E301}),1,0)</f>
        <v>#VALUE!</v>
      </c>
      <c r="AN301" s="436" t="str">
        <f t="array" ref="AN301">IF(Q301=DGET(claves!$A$2:$AS423,Q$2,{claves!$A$2;$E301}),1,0)</f>
        <v>#VALUE!</v>
      </c>
      <c r="AO301" s="436" t="str">
        <f t="array" ref="AO301">IF(R301=DGET(claves!$A$2:$AS423,R$2,{claves!$A$2;$E301}),1,0)</f>
        <v>#VALUE!</v>
      </c>
      <c r="AP301" s="436" t="str">
        <f t="array" ref="AP301">IF(S301=DGET(claves!$A$2:$AS423,S$2,{claves!$A$2;$E301}),1,0)</f>
        <v>#VALUE!</v>
      </c>
      <c r="AQ301" s="436" t="str">
        <f t="array" ref="AQ301">IF(T301=DGET(claves!$A$2:$AS423,T$2,{claves!$A$2;$E301}),1,0)</f>
        <v>#VALUE!</v>
      </c>
      <c r="AR301" s="436" t="str">
        <f t="array" ref="AR301">IF(U301=DGET(claves!$A$2:$AS423,U$2,{claves!$A$2;$E301}),1,0)</f>
        <v>#VALUE!</v>
      </c>
      <c r="AS301" s="436" t="str">
        <f t="array" ref="AS301">IF(V301=DGET(claves!$A$2:$AS423,V$2,{claves!$A$2;$E301}),1,0)</f>
        <v>#VALUE!</v>
      </c>
      <c r="AT301" s="436" t="str">
        <f t="array" ref="AT301">IF(W301=DGET(claves!$A$2:$AS423,W$2,{claves!$A$2;$E301}),1,0)</f>
        <v>#VALUE!</v>
      </c>
      <c r="AU301" s="436" t="str">
        <f t="array" ref="AU301">IF(X301=DGET(claves!$A$2:$AS423,X$2,{claves!$A$2;$E301}),1,0)</f>
        <v>#VALUE!</v>
      </c>
      <c r="AV301" s="436" t="str">
        <f t="array" ref="AV301">IF(Y301=DGET(claves!$A$2:$AS423,Y$2,{claves!$A$2;$E301}),1,0)</f>
        <v>#VALUE!</v>
      </c>
      <c r="AW301" s="436" t="str">
        <f t="array" ref="AW301">IF(Z301=DGET(claves!$A$2:$AS423,Z$2,{claves!$A$2;$E301}),1,0)</f>
        <v>#VALUE!</v>
      </c>
      <c r="AX301" s="436" t="str">
        <f t="array" ref="AX301">IF(AA301=DGET(claves!$A$2:$AS423,AA$2,{claves!$A$2;$E301}),1,0)</f>
        <v>#VALUE!</v>
      </c>
      <c r="AY301" s="436" t="str">
        <f t="array" ref="AY301">IF(AB301=DGET(claves!$A$2:$AS423,AB$2,{claves!$A$2;$E301}),1,0)</f>
        <v>#VALUE!</v>
      </c>
      <c r="AZ301" s="436" t="str">
        <f t="array" ref="AZ301">IF(AC301=DGET(claves!$A$2:$AS423,AC$2,{claves!$A$2;$E301}),1,0)</f>
        <v>#VALUE!</v>
      </c>
      <c r="BA301" s="436" t="str">
        <f t="array" ref="BA301">IF(AD301=DGET(claves!$A$2:$AS423,AD$2,{claves!$A$2;$E301}),1,0)</f>
        <v>#VALUE!</v>
      </c>
      <c r="BB301" s="436" t="str">
        <f t="array" ref="BB301">IF(AE301=DGET(claves!$A$2:$AS423,AE$2,{claves!$A$2;$E301}),1,0)</f>
        <v>#VALUE!</v>
      </c>
      <c r="BC301" s="436" t="str">
        <f t="array" ref="BC301">IF(AF301=DGET(claves!$A$2:$AS423,AF$2,{claves!$A$2;$E301}),1,0)</f>
        <v>#VALUE!</v>
      </c>
      <c r="BD301" s="437" t="str">
        <f t="shared" si="1"/>
        <v>#VALUE!</v>
      </c>
      <c r="BE301" s="435" t="s">
        <v>1468</v>
      </c>
      <c r="BF301" s="415"/>
    </row>
    <row r="302" ht="14.25" customHeight="1">
      <c r="A302" s="408">
        <v>300.0</v>
      </c>
      <c r="B302" s="153" t="s">
        <v>1927</v>
      </c>
      <c r="C302" s="153">
        <v>2024.0</v>
      </c>
      <c r="D302" s="77" t="s">
        <v>1817</v>
      </c>
      <c r="E302" s="409" t="str">
        <f>IFERROR(__xludf.DUMMYFUNCTION("ARRAYFORMULA(JOIN("""", ARRAYFORMULA(MID(SPLIT(F302, "" ""), 1, 1))))
&amp;""/""&amp;G302"),"CLC/4 Primaria")</f>
        <v>CLC/4 Primaria</v>
      </c>
      <c r="F302" s="77" t="s">
        <v>1819</v>
      </c>
      <c r="G302" s="432" t="s">
        <v>20</v>
      </c>
      <c r="H302" s="433" t="s">
        <v>1684</v>
      </c>
      <c r="I302" s="433" t="s">
        <v>1837</v>
      </c>
      <c r="J302" s="433" t="s">
        <v>1980</v>
      </c>
      <c r="K302" s="432" t="s">
        <v>1665</v>
      </c>
      <c r="L302" s="415"/>
      <c r="M302" s="434" t="s">
        <v>1659</v>
      </c>
      <c r="N302" s="434" t="s">
        <v>1660</v>
      </c>
      <c r="O302" s="434" t="s">
        <v>1660</v>
      </c>
      <c r="P302" s="434" t="s">
        <v>1660</v>
      </c>
      <c r="Q302" s="434" t="s">
        <v>1661</v>
      </c>
      <c r="R302" s="434" t="s">
        <v>1661</v>
      </c>
      <c r="S302" s="434" t="s">
        <v>1661</v>
      </c>
      <c r="T302" s="434" t="s">
        <v>1661</v>
      </c>
      <c r="U302" s="434" t="s">
        <v>1661</v>
      </c>
      <c r="V302" s="434" t="s">
        <v>1659</v>
      </c>
      <c r="W302" s="434" t="s">
        <v>1660</v>
      </c>
      <c r="X302" s="434" t="s">
        <v>1659</v>
      </c>
      <c r="Y302" s="434" t="s">
        <v>1659</v>
      </c>
      <c r="Z302" s="434" t="s">
        <v>1661</v>
      </c>
      <c r="AA302" s="434" t="s">
        <v>1659</v>
      </c>
      <c r="AB302" s="434" t="s">
        <v>1661</v>
      </c>
      <c r="AC302" s="434" t="s">
        <v>1660</v>
      </c>
      <c r="AD302" s="434" t="s">
        <v>1659</v>
      </c>
      <c r="AE302" s="434" t="s">
        <v>1659</v>
      </c>
      <c r="AF302" s="434" t="s">
        <v>1659</v>
      </c>
      <c r="AG302" s="427">
        <v>11.0</v>
      </c>
      <c r="AH302" s="435" t="s">
        <v>24</v>
      </c>
      <c r="AI302" s="415"/>
      <c r="AJ302" s="436" t="str">
        <f t="array" ref="AJ302">IF(M302=DGET(claves!$A$2:$AS423,M$2,{claves!$A$2;$E302}),1,0)</f>
        <v>#VALUE!</v>
      </c>
      <c r="AK302" s="436" t="str">
        <f t="array" ref="AK302">IF(N302=DGET(claves!$A$2:$AS423,N$2,{claves!$A$2;$E302}),1,0)</f>
        <v>#VALUE!</v>
      </c>
      <c r="AL302" s="436" t="str">
        <f t="array" ref="AL302">IF(O302=DGET(claves!$A$2:$AS423,O$2,{claves!$A$2;$E302}),1,0)</f>
        <v>#VALUE!</v>
      </c>
      <c r="AM302" s="436" t="str">
        <f t="array" ref="AM302">IF(P302=DGET(claves!$A$2:$AS423,P$2,{claves!$A$2;$E302}),1,0)</f>
        <v>#VALUE!</v>
      </c>
      <c r="AN302" s="436" t="str">
        <f t="array" ref="AN302">IF(Q302=DGET(claves!$A$2:$AS423,Q$2,{claves!$A$2;$E302}),1,0)</f>
        <v>#VALUE!</v>
      </c>
      <c r="AO302" s="436" t="str">
        <f t="array" ref="AO302">IF(R302=DGET(claves!$A$2:$AS423,R$2,{claves!$A$2;$E302}),1,0)</f>
        <v>#VALUE!</v>
      </c>
      <c r="AP302" s="436" t="str">
        <f t="array" ref="AP302">IF(S302=DGET(claves!$A$2:$AS423,S$2,{claves!$A$2;$E302}),1,0)</f>
        <v>#VALUE!</v>
      </c>
      <c r="AQ302" s="436" t="str">
        <f t="array" ref="AQ302">IF(T302=DGET(claves!$A$2:$AS423,T$2,{claves!$A$2;$E302}),1,0)</f>
        <v>#VALUE!</v>
      </c>
      <c r="AR302" s="436" t="str">
        <f t="array" ref="AR302">IF(U302=DGET(claves!$A$2:$AS423,U$2,{claves!$A$2;$E302}),1,0)</f>
        <v>#VALUE!</v>
      </c>
      <c r="AS302" s="436" t="str">
        <f t="array" ref="AS302">IF(V302=DGET(claves!$A$2:$AS423,V$2,{claves!$A$2;$E302}),1,0)</f>
        <v>#VALUE!</v>
      </c>
      <c r="AT302" s="436" t="str">
        <f t="array" ref="AT302">IF(W302=DGET(claves!$A$2:$AS423,W$2,{claves!$A$2;$E302}),1,0)</f>
        <v>#VALUE!</v>
      </c>
      <c r="AU302" s="436" t="str">
        <f t="array" ref="AU302">IF(X302=DGET(claves!$A$2:$AS423,X$2,{claves!$A$2;$E302}),1,0)</f>
        <v>#VALUE!</v>
      </c>
      <c r="AV302" s="436" t="str">
        <f t="array" ref="AV302">IF(Y302=DGET(claves!$A$2:$AS423,Y$2,{claves!$A$2;$E302}),1,0)</f>
        <v>#VALUE!</v>
      </c>
      <c r="AW302" s="436" t="str">
        <f t="array" ref="AW302">IF(Z302=DGET(claves!$A$2:$AS423,Z$2,{claves!$A$2;$E302}),1,0)</f>
        <v>#VALUE!</v>
      </c>
      <c r="AX302" s="436" t="str">
        <f t="array" ref="AX302">IF(AA302=DGET(claves!$A$2:$AS423,AA$2,{claves!$A$2;$E302}),1,0)</f>
        <v>#VALUE!</v>
      </c>
      <c r="AY302" s="436" t="str">
        <f t="array" ref="AY302">IF(AB302=DGET(claves!$A$2:$AS423,AB$2,{claves!$A$2;$E302}),1,0)</f>
        <v>#VALUE!</v>
      </c>
      <c r="AZ302" s="436" t="str">
        <f t="array" ref="AZ302">IF(AC302=DGET(claves!$A$2:$AS423,AC$2,{claves!$A$2;$E302}),1,0)</f>
        <v>#VALUE!</v>
      </c>
      <c r="BA302" s="436" t="str">
        <f t="array" ref="BA302">IF(AD302=DGET(claves!$A$2:$AS423,AD$2,{claves!$A$2;$E302}),1,0)</f>
        <v>#VALUE!</v>
      </c>
      <c r="BB302" s="436" t="str">
        <f t="array" ref="BB302">IF(AE302=DGET(claves!$A$2:$AS423,AE$2,{claves!$A$2;$E302}),1,0)</f>
        <v>#VALUE!</v>
      </c>
      <c r="BC302" s="436" t="str">
        <f t="array" ref="BC302">IF(AF302=DGET(claves!$A$2:$AS423,AF$2,{claves!$A$2;$E302}),1,0)</f>
        <v>#VALUE!</v>
      </c>
      <c r="BD302" s="437" t="str">
        <f t="shared" si="1"/>
        <v>#VALUE!</v>
      </c>
      <c r="BE302" s="435"/>
      <c r="BF302" s="415"/>
    </row>
    <row r="303" ht="14.25" customHeight="1">
      <c r="A303" s="408">
        <v>301.0</v>
      </c>
      <c r="B303" s="153" t="s">
        <v>1927</v>
      </c>
      <c r="C303" s="153">
        <v>2024.0</v>
      </c>
      <c r="D303" s="77" t="s">
        <v>362</v>
      </c>
      <c r="E303" s="409" t="str">
        <f>IFERROR(__xludf.DUMMYFUNCTION("ARRAYFORMULA(JOIN("""", ARRAYFORMULA(MID(SPLIT(F303, "" ""), 1, 1))))
&amp;""/""&amp;G303"),"MC/6 Primaria")</f>
        <v>MC/6 Primaria</v>
      </c>
      <c r="F303" s="77" t="s">
        <v>1654</v>
      </c>
      <c r="G303" s="432" t="s">
        <v>22</v>
      </c>
      <c r="H303" s="433" t="s">
        <v>1703</v>
      </c>
      <c r="I303" s="433" t="s">
        <v>1981</v>
      </c>
      <c r="J303" s="433" t="s">
        <v>1982</v>
      </c>
      <c r="K303" s="433" t="s">
        <v>1658</v>
      </c>
      <c r="L303" s="415"/>
      <c r="M303" s="434" t="s">
        <v>1660</v>
      </c>
      <c r="N303" s="434" t="s">
        <v>1689</v>
      </c>
      <c r="O303" s="434" t="s">
        <v>1661</v>
      </c>
      <c r="P303" s="434" t="s">
        <v>1689</v>
      </c>
      <c r="Q303" s="434" t="s">
        <v>1659</v>
      </c>
      <c r="R303" s="434" t="s">
        <v>1689</v>
      </c>
      <c r="S303" s="434" t="s">
        <v>1659</v>
      </c>
      <c r="T303" s="434" t="s">
        <v>1689</v>
      </c>
      <c r="U303" s="434" t="s">
        <v>1689</v>
      </c>
      <c r="V303" s="434" t="s">
        <v>1660</v>
      </c>
      <c r="W303" s="434" t="s">
        <v>1661</v>
      </c>
      <c r="X303" s="434" t="s">
        <v>1689</v>
      </c>
      <c r="Y303" s="434" t="s">
        <v>1660</v>
      </c>
      <c r="Z303" s="434" t="s">
        <v>1661</v>
      </c>
      <c r="AA303" s="434" t="s">
        <v>1661</v>
      </c>
      <c r="AB303" s="434" t="s">
        <v>1689</v>
      </c>
      <c r="AC303" s="434" t="s">
        <v>1660</v>
      </c>
      <c r="AD303" s="434" t="s">
        <v>1659</v>
      </c>
      <c r="AE303" s="434" t="s">
        <v>1689</v>
      </c>
      <c r="AF303" s="434" t="s">
        <v>1661</v>
      </c>
      <c r="AG303" s="427">
        <v>15.0</v>
      </c>
      <c r="AH303" s="435" t="s">
        <v>24</v>
      </c>
      <c r="AI303" s="415"/>
      <c r="AJ303" s="436" t="str">
        <f t="array" ref="AJ303">IF(M303=DGET(claves!$A$2:$AS423,M$2,{claves!$A$2;$E303}),1,0)</f>
        <v>#VALUE!</v>
      </c>
      <c r="AK303" s="436" t="str">
        <f t="array" ref="AK303">IF(N303=DGET(claves!$A$2:$AS423,N$2,{claves!$A$2;$E303}),1,0)</f>
        <v>#VALUE!</v>
      </c>
      <c r="AL303" s="436" t="str">
        <f t="array" ref="AL303">IF(O303=DGET(claves!$A$2:$AS423,O$2,{claves!$A$2;$E303}),1,0)</f>
        <v>#VALUE!</v>
      </c>
      <c r="AM303" s="436" t="str">
        <f t="array" ref="AM303">IF(P303=DGET(claves!$A$2:$AS423,P$2,{claves!$A$2;$E303}),1,0)</f>
        <v>#VALUE!</v>
      </c>
      <c r="AN303" s="436" t="str">
        <f t="array" ref="AN303">IF(Q303=DGET(claves!$A$2:$AS423,Q$2,{claves!$A$2;$E303}),1,0)</f>
        <v>#VALUE!</v>
      </c>
      <c r="AO303" s="436" t="str">
        <f t="array" ref="AO303">IF(R303=DGET(claves!$A$2:$AS423,R$2,{claves!$A$2;$E303}),1,0)</f>
        <v>#VALUE!</v>
      </c>
      <c r="AP303" s="436" t="str">
        <f t="array" ref="AP303">IF(S303=DGET(claves!$A$2:$AS423,S$2,{claves!$A$2;$E303}),1,0)</f>
        <v>#VALUE!</v>
      </c>
      <c r="AQ303" s="436" t="str">
        <f t="array" ref="AQ303">IF(T303=DGET(claves!$A$2:$AS423,T$2,{claves!$A$2;$E303}),1,0)</f>
        <v>#VALUE!</v>
      </c>
      <c r="AR303" s="436" t="str">
        <f t="array" ref="AR303">IF(U303=DGET(claves!$A$2:$AS423,U$2,{claves!$A$2;$E303}),1,0)</f>
        <v>#VALUE!</v>
      </c>
      <c r="AS303" s="436" t="str">
        <f t="array" ref="AS303">IF(V303=DGET(claves!$A$2:$AS423,V$2,{claves!$A$2;$E303}),1,0)</f>
        <v>#VALUE!</v>
      </c>
      <c r="AT303" s="436" t="str">
        <f t="array" ref="AT303">IF(W303=DGET(claves!$A$2:$AS423,W$2,{claves!$A$2;$E303}),1,0)</f>
        <v>#VALUE!</v>
      </c>
      <c r="AU303" s="436" t="str">
        <f t="array" ref="AU303">IF(X303=DGET(claves!$A$2:$AS423,X$2,{claves!$A$2;$E303}),1,0)</f>
        <v>#VALUE!</v>
      </c>
      <c r="AV303" s="436" t="str">
        <f t="array" ref="AV303">IF(Y303=DGET(claves!$A$2:$AS423,Y$2,{claves!$A$2;$E303}),1,0)</f>
        <v>#VALUE!</v>
      </c>
      <c r="AW303" s="436" t="str">
        <f t="array" ref="AW303">IF(Z303=DGET(claves!$A$2:$AS423,Z$2,{claves!$A$2;$E303}),1,0)</f>
        <v>#VALUE!</v>
      </c>
      <c r="AX303" s="436" t="str">
        <f t="array" ref="AX303">IF(AA303=DGET(claves!$A$2:$AS423,AA$2,{claves!$A$2;$E303}),1,0)</f>
        <v>#VALUE!</v>
      </c>
      <c r="AY303" s="436" t="str">
        <f t="array" ref="AY303">IF(AB303=DGET(claves!$A$2:$AS423,AB$2,{claves!$A$2;$E303}),1,0)</f>
        <v>#VALUE!</v>
      </c>
      <c r="AZ303" s="436" t="str">
        <f t="array" ref="AZ303">IF(AC303=DGET(claves!$A$2:$AS423,AC$2,{claves!$A$2;$E303}),1,0)</f>
        <v>#VALUE!</v>
      </c>
      <c r="BA303" s="436" t="str">
        <f t="array" ref="BA303">IF(AD303=DGET(claves!$A$2:$AS423,AD$2,{claves!$A$2;$E303}),1,0)</f>
        <v>#VALUE!</v>
      </c>
      <c r="BB303" s="436" t="str">
        <f t="array" ref="BB303">IF(AE303=DGET(claves!$A$2:$AS423,AE$2,{claves!$A$2;$E303}),1,0)</f>
        <v>#VALUE!</v>
      </c>
      <c r="BC303" s="436" t="str">
        <f t="array" ref="BC303">IF(AF303=DGET(claves!$A$2:$AS423,AF$2,{claves!$A$2;$E303}),1,0)</f>
        <v>#VALUE!</v>
      </c>
      <c r="BD303" s="437" t="str">
        <f t="shared" si="1"/>
        <v>#VALUE!</v>
      </c>
      <c r="BE303" s="435" t="s">
        <v>1468</v>
      </c>
      <c r="BF303" s="415"/>
    </row>
    <row r="304" ht="14.25" customHeight="1">
      <c r="A304" s="408">
        <v>302.0</v>
      </c>
      <c r="B304" s="153" t="s">
        <v>1927</v>
      </c>
      <c r="C304" s="153">
        <v>2024.0</v>
      </c>
      <c r="D304" s="77" t="s">
        <v>1817</v>
      </c>
      <c r="E304" s="409" t="str">
        <f>IFERROR(__xludf.DUMMYFUNCTION("ARRAYFORMULA(JOIN("""", ARRAYFORMULA(MID(SPLIT(F304, "" ""), 1, 1))))
&amp;""/""&amp;G304"),"CLC/6 Primaria")</f>
        <v>CLC/6 Primaria</v>
      </c>
      <c r="F304" s="77" t="s">
        <v>1819</v>
      </c>
      <c r="G304" s="432" t="s">
        <v>22</v>
      </c>
      <c r="H304" s="433" t="s">
        <v>1703</v>
      </c>
      <c r="I304" s="433" t="s">
        <v>1981</v>
      </c>
      <c r="J304" s="433" t="s">
        <v>1982</v>
      </c>
      <c r="K304" s="433" t="s">
        <v>1658</v>
      </c>
      <c r="L304" s="415"/>
      <c r="M304" s="434" t="s">
        <v>1661</v>
      </c>
      <c r="N304" s="434" t="s">
        <v>1661</v>
      </c>
      <c r="O304" s="434" t="s">
        <v>1689</v>
      </c>
      <c r="P304" s="434" t="s">
        <v>1659</v>
      </c>
      <c r="Q304" s="434" t="s">
        <v>1689</v>
      </c>
      <c r="R304" s="434" t="s">
        <v>1689</v>
      </c>
      <c r="S304" s="434" t="s">
        <v>1659</v>
      </c>
      <c r="T304" s="434" t="s">
        <v>1661</v>
      </c>
      <c r="U304" s="434" t="s">
        <v>1689</v>
      </c>
      <c r="V304" s="434" t="s">
        <v>1661</v>
      </c>
      <c r="W304" s="434" t="s">
        <v>1689</v>
      </c>
      <c r="X304" s="434" t="s">
        <v>1659</v>
      </c>
      <c r="Y304" s="434" t="s">
        <v>1660</v>
      </c>
      <c r="Z304" s="434" t="s">
        <v>1689</v>
      </c>
      <c r="AA304" s="434" t="s">
        <v>1660</v>
      </c>
      <c r="AB304" s="434" t="s">
        <v>1659</v>
      </c>
      <c r="AC304" s="434" t="s">
        <v>1661</v>
      </c>
      <c r="AD304" s="434" t="s">
        <v>1659</v>
      </c>
      <c r="AE304" s="434" t="s">
        <v>1661</v>
      </c>
      <c r="AF304" s="434" t="s">
        <v>1689</v>
      </c>
      <c r="AG304" s="427">
        <v>12.0</v>
      </c>
      <c r="AH304" s="435" t="s">
        <v>24</v>
      </c>
      <c r="AI304" s="415"/>
      <c r="AJ304" s="436" t="str">
        <f t="array" ref="AJ304">IF(M304=DGET(claves!$A$2:$AS423,M$2,{claves!$A$2;$E304}),1,0)</f>
        <v>#VALUE!</v>
      </c>
      <c r="AK304" s="436" t="str">
        <f t="array" ref="AK304">IF(N304=DGET(claves!$A$2:$AS423,N$2,{claves!$A$2;$E304}),1,0)</f>
        <v>#VALUE!</v>
      </c>
      <c r="AL304" s="436" t="str">
        <f t="array" ref="AL304">IF(O304=DGET(claves!$A$2:$AS423,O$2,{claves!$A$2;$E304}),1,0)</f>
        <v>#VALUE!</v>
      </c>
      <c r="AM304" s="436" t="str">
        <f t="array" ref="AM304">IF(P304=DGET(claves!$A$2:$AS423,P$2,{claves!$A$2;$E304}),1,0)</f>
        <v>#VALUE!</v>
      </c>
      <c r="AN304" s="436" t="str">
        <f t="array" ref="AN304">IF(Q304=DGET(claves!$A$2:$AS423,Q$2,{claves!$A$2;$E304}),1,0)</f>
        <v>#VALUE!</v>
      </c>
      <c r="AO304" s="436" t="str">
        <f t="array" ref="AO304">IF(R304=DGET(claves!$A$2:$AS423,R$2,{claves!$A$2;$E304}),1,0)</f>
        <v>#VALUE!</v>
      </c>
      <c r="AP304" s="436" t="str">
        <f t="array" ref="AP304">IF(S304=DGET(claves!$A$2:$AS423,S$2,{claves!$A$2;$E304}),1,0)</f>
        <v>#VALUE!</v>
      </c>
      <c r="AQ304" s="436" t="str">
        <f t="array" ref="AQ304">IF(T304=DGET(claves!$A$2:$AS423,T$2,{claves!$A$2;$E304}),1,0)</f>
        <v>#VALUE!</v>
      </c>
      <c r="AR304" s="436" t="str">
        <f t="array" ref="AR304">IF(U304=DGET(claves!$A$2:$AS423,U$2,{claves!$A$2;$E304}),1,0)</f>
        <v>#VALUE!</v>
      </c>
      <c r="AS304" s="436" t="str">
        <f t="array" ref="AS304">IF(V304=DGET(claves!$A$2:$AS423,V$2,{claves!$A$2;$E304}),1,0)</f>
        <v>#VALUE!</v>
      </c>
      <c r="AT304" s="436" t="str">
        <f t="array" ref="AT304">IF(W304=DGET(claves!$A$2:$AS423,W$2,{claves!$A$2;$E304}),1,0)</f>
        <v>#VALUE!</v>
      </c>
      <c r="AU304" s="436" t="str">
        <f t="array" ref="AU304">IF(X304=DGET(claves!$A$2:$AS423,X$2,{claves!$A$2;$E304}),1,0)</f>
        <v>#VALUE!</v>
      </c>
      <c r="AV304" s="436" t="str">
        <f t="array" ref="AV304">IF(Y304=DGET(claves!$A$2:$AS423,Y$2,{claves!$A$2;$E304}),1,0)</f>
        <v>#VALUE!</v>
      </c>
      <c r="AW304" s="436" t="str">
        <f t="array" ref="AW304">IF(Z304=DGET(claves!$A$2:$AS423,Z$2,{claves!$A$2;$E304}),1,0)</f>
        <v>#VALUE!</v>
      </c>
      <c r="AX304" s="436" t="str">
        <f t="array" ref="AX304">IF(AA304=DGET(claves!$A$2:$AS423,AA$2,{claves!$A$2;$E304}),1,0)</f>
        <v>#VALUE!</v>
      </c>
      <c r="AY304" s="436" t="str">
        <f t="array" ref="AY304">IF(AB304=DGET(claves!$A$2:$AS423,AB$2,{claves!$A$2;$E304}),1,0)</f>
        <v>#VALUE!</v>
      </c>
      <c r="AZ304" s="436" t="str">
        <f t="array" ref="AZ304">IF(AC304=DGET(claves!$A$2:$AS423,AC$2,{claves!$A$2;$E304}),1,0)</f>
        <v>#VALUE!</v>
      </c>
      <c r="BA304" s="436" t="str">
        <f t="array" ref="BA304">IF(AD304=DGET(claves!$A$2:$AS423,AD$2,{claves!$A$2;$E304}),1,0)</f>
        <v>#VALUE!</v>
      </c>
      <c r="BB304" s="436" t="str">
        <f t="array" ref="BB304">IF(AE304=DGET(claves!$A$2:$AS423,AE$2,{claves!$A$2;$E304}),1,0)</f>
        <v>#VALUE!</v>
      </c>
      <c r="BC304" s="436" t="str">
        <f t="array" ref="BC304">IF(AF304=DGET(claves!$A$2:$AS423,AF$2,{claves!$A$2;$E304}),1,0)</f>
        <v>#VALUE!</v>
      </c>
      <c r="BD304" s="437" t="str">
        <f t="shared" si="1"/>
        <v>#VALUE!</v>
      </c>
      <c r="BE304" s="435"/>
      <c r="BF304" s="415"/>
    </row>
    <row r="305" ht="14.25" customHeight="1">
      <c r="A305" s="408">
        <v>303.0</v>
      </c>
      <c r="B305" s="153" t="s">
        <v>1927</v>
      </c>
      <c r="C305" s="153">
        <v>2024.0</v>
      </c>
      <c r="D305" s="77" t="s">
        <v>362</v>
      </c>
      <c r="E305" s="409" t="str">
        <f>IFERROR(__xludf.DUMMYFUNCTION("ARRAYFORMULA(JOIN("""", ARRAYFORMULA(MID(SPLIT(F305, "" ""), 1, 1))))
&amp;""/""&amp;G305"),"MC/6 Primaria")</f>
        <v>MC/6 Primaria</v>
      </c>
      <c r="F305" s="77" t="s">
        <v>1654</v>
      </c>
      <c r="G305" s="432" t="s">
        <v>22</v>
      </c>
      <c r="H305" s="433" t="s">
        <v>1771</v>
      </c>
      <c r="I305" s="433" t="s">
        <v>1708</v>
      </c>
      <c r="J305" s="433" t="s">
        <v>1983</v>
      </c>
      <c r="K305" s="433" t="s">
        <v>1658</v>
      </c>
      <c r="L305" s="415"/>
      <c r="M305" s="434" t="s">
        <v>1661</v>
      </c>
      <c r="N305" s="434" t="s">
        <v>1689</v>
      </c>
      <c r="O305" s="434" t="s">
        <v>1661</v>
      </c>
      <c r="P305" s="434" t="s">
        <v>1689</v>
      </c>
      <c r="Q305" s="434" t="s">
        <v>1659</v>
      </c>
      <c r="R305" s="434" t="s">
        <v>1659</v>
      </c>
      <c r="S305" s="434" t="s">
        <v>1660</v>
      </c>
      <c r="T305" s="434" t="s">
        <v>1689</v>
      </c>
      <c r="U305" s="434" t="s">
        <v>1659</v>
      </c>
      <c r="V305" s="434" t="s">
        <v>1689</v>
      </c>
      <c r="W305" s="434" t="s">
        <v>1661</v>
      </c>
      <c r="X305" s="434" t="s">
        <v>1689</v>
      </c>
      <c r="Y305" s="434" t="s">
        <v>1660</v>
      </c>
      <c r="Z305" s="434" t="s">
        <v>1661</v>
      </c>
      <c r="AA305" s="434" t="s">
        <v>1659</v>
      </c>
      <c r="AB305" s="434" t="s">
        <v>1689</v>
      </c>
      <c r="AC305" s="434" t="s">
        <v>1660</v>
      </c>
      <c r="AD305" s="434" t="s">
        <v>1689</v>
      </c>
      <c r="AE305" s="434" t="s">
        <v>1689</v>
      </c>
      <c r="AF305" s="434" t="s">
        <v>1660</v>
      </c>
      <c r="AG305" s="427">
        <v>15.0</v>
      </c>
      <c r="AH305" s="435" t="s">
        <v>24</v>
      </c>
      <c r="AI305" s="415"/>
      <c r="AJ305" s="436" t="str">
        <f t="array" ref="AJ305">IF(M305=DGET(claves!$A$2:$AS423,M$2,{claves!$A$2;$E305}),1,0)</f>
        <v>#VALUE!</v>
      </c>
      <c r="AK305" s="436" t="str">
        <f t="array" ref="AK305">IF(N305=DGET(claves!$A$2:$AS423,N$2,{claves!$A$2;$E305}),1,0)</f>
        <v>#VALUE!</v>
      </c>
      <c r="AL305" s="436" t="str">
        <f t="array" ref="AL305">IF(O305=DGET(claves!$A$2:$AS423,O$2,{claves!$A$2;$E305}),1,0)</f>
        <v>#VALUE!</v>
      </c>
      <c r="AM305" s="436" t="str">
        <f t="array" ref="AM305">IF(P305=DGET(claves!$A$2:$AS423,P$2,{claves!$A$2;$E305}),1,0)</f>
        <v>#VALUE!</v>
      </c>
      <c r="AN305" s="436" t="str">
        <f t="array" ref="AN305">IF(Q305=DGET(claves!$A$2:$AS423,Q$2,{claves!$A$2;$E305}),1,0)</f>
        <v>#VALUE!</v>
      </c>
      <c r="AO305" s="436" t="str">
        <f t="array" ref="AO305">IF(R305=DGET(claves!$A$2:$AS423,R$2,{claves!$A$2;$E305}),1,0)</f>
        <v>#VALUE!</v>
      </c>
      <c r="AP305" s="436" t="str">
        <f t="array" ref="AP305">IF(S305=DGET(claves!$A$2:$AS423,S$2,{claves!$A$2;$E305}),1,0)</f>
        <v>#VALUE!</v>
      </c>
      <c r="AQ305" s="436" t="str">
        <f t="array" ref="AQ305">IF(T305=DGET(claves!$A$2:$AS423,T$2,{claves!$A$2;$E305}),1,0)</f>
        <v>#VALUE!</v>
      </c>
      <c r="AR305" s="436" t="str">
        <f t="array" ref="AR305">IF(U305=DGET(claves!$A$2:$AS423,U$2,{claves!$A$2;$E305}),1,0)</f>
        <v>#VALUE!</v>
      </c>
      <c r="AS305" s="436" t="str">
        <f t="array" ref="AS305">IF(V305=DGET(claves!$A$2:$AS423,V$2,{claves!$A$2;$E305}),1,0)</f>
        <v>#VALUE!</v>
      </c>
      <c r="AT305" s="436" t="str">
        <f t="array" ref="AT305">IF(W305=DGET(claves!$A$2:$AS423,W$2,{claves!$A$2;$E305}),1,0)</f>
        <v>#VALUE!</v>
      </c>
      <c r="AU305" s="436" t="str">
        <f t="array" ref="AU305">IF(X305=DGET(claves!$A$2:$AS423,X$2,{claves!$A$2;$E305}),1,0)</f>
        <v>#VALUE!</v>
      </c>
      <c r="AV305" s="436" t="str">
        <f t="array" ref="AV305">IF(Y305=DGET(claves!$A$2:$AS423,Y$2,{claves!$A$2;$E305}),1,0)</f>
        <v>#VALUE!</v>
      </c>
      <c r="AW305" s="436" t="str">
        <f t="array" ref="AW305">IF(Z305=DGET(claves!$A$2:$AS423,Z$2,{claves!$A$2;$E305}),1,0)</f>
        <v>#VALUE!</v>
      </c>
      <c r="AX305" s="436" t="str">
        <f t="array" ref="AX305">IF(AA305=DGET(claves!$A$2:$AS423,AA$2,{claves!$A$2;$E305}),1,0)</f>
        <v>#VALUE!</v>
      </c>
      <c r="AY305" s="436" t="str">
        <f t="array" ref="AY305">IF(AB305=DGET(claves!$A$2:$AS423,AB$2,{claves!$A$2;$E305}),1,0)</f>
        <v>#VALUE!</v>
      </c>
      <c r="AZ305" s="436" t="str">
        <f t="array" ref="AZ305">IF(AC305=DGET(claves!$A$2:$AS423,AC$2,{claves!$A$2;$E305}),1,0)</f>
        <v>#VALUE!</v>
      </c>
      <c r="BA305" s="436" t="str">
        <f t="array" ref="BA305">IF(AD305=DGET(claves!$A$2:$AS423,AD$2,{claves!$A$2;$E305}),1,0)</f>
        <v>#VALUE!</v>
      </c>
      <c r="BB305" s="436" t="str">
        <f t="array" ref="BB305">IF(AE305=DGET(claves!$A$2:$AS423,AE$2,{claves!$A$2;$E305}),1,0)</f>
        <v>#VALUE!</v>
      </c>
      <c r="BC305" s="436" t="str">
        <f t="array" ref="BC305">IF(AF305=DGET(claves!$A$2:$AS423,AF$2,{claves!$A$2;$E305}),1,0)</f>
        <v>#VALUE!</v>
      </c>
      <c r="BD305" s="437" t="str">
        <f t="shared" si="1"/>
        <v>#VALUE!</v>
      </c>
      <c r="BE305" s="435" t="s">
        <v>1468</v>
      </c>
      <c r="BF305" s="415"/>
    </row>
    <row r="306" ht="14.25" customHeight="1">
      <c r="A306" s="408">
        <v>304.0</v>
      </c>
      <c r="B306" s="153" t="s">
        <v>1927</v>
      </c>
      <c r="C306" s="153">
        <v>2024.0</v>
      </c>
      <c r="D306" s="77" t="s">
        <v>1817</v>
      </c>
      <c r="E306" s="409" t="str">
        <f>IFERROR(__xludf.DUMMYFUNCTION("ARRAYFORMULA(JOIN("""", ARRAYFORMULA(MID(SPLIT(F306, "" ""), 1, 1))))
&amp;""/""&amp;G306"),"CLC/6 Primaria")</f>
        <v>CLC/6 Primaria</v>
      </c>
      <c r="F306" s="77" t="s">
        <v>1819</v>
      </c>
      <c r="G306" s="432" t="s">
        <v>22</v>
      </c>
      <c r="H306" s="433" t="s">
        <v>1771</v>
      </c>
      <c r="I306" s="433" t="s">
        <v>1708</v>
      </c>
      <c r="J306" s="433" t="s">
        <v>1983</v>
      </c>
      <c r="K306" s="433" t="s">
        <v>1658</v>
      </c>
      <c r="L306" s="415"/>
      <c r="M306" s="434" t="s">
        <v>1661</v>
      </c>
      <c r="N306" s="434" t="s">
        <v>1661</v>
      </c>
      <c r="O306" s="434" t="s">
        <v>1689</v>
      </c>
      <c r="P306" s="434" t="s">
        <v>1659</v>
      </c>
      <c r="Q306" s="434" t="s">
        <v>1659</v>
      </c>
      <c r="R306" s="434" t="s">
        <v>1689</v>
      </c>
      <c r="S306" s="434" t="s">
        <v>1661</v>
      </c>
      <c r="T306" s="434" t="s">
        <v>1661</v>
      </c>
      <c r="U306" s="434" t="s">
        <v>1689</v>
      </c>
      <c r="V306" s="434" t="s">
        <v>1661</v>
      </c>
      <c r="W306" s="434" t="s">
        <v>1659</v>
      </c>
      <c r="X306" s="434" t="s">
        <v>1659</v>
      </c>
      <c r="Y306" s="434" t="s">
        <v>1659</v>
      </c>
      <c r="Z306" s="434" t="s">
        <v>1660</v>
      </c>
      <c r="AA306" s="434" t="s">
        <v>1659</v>
      </c>
      <c r="AB306" s="434" t="s">
        <v>1661</v>
      </c>
      <c r="AC306" s="434" t="s">
        <v>1659</v>
      </c>
      <c r="AD306" s="434" t="s">
        <v>1660</v>
      </c>
      <c r="AE306" s="434" t="s">
        <v>1661</v>
      </c>
      <c r="AF306" s="434" t="s">
        <v>1659</v>
      </c>
      <c r="AG306" s="427">
        <v>11.0</v>
      </c>
      <c r="AH306" s="435" t="s">
        <v>24</v>
      </c>
      <c r="AI306" s="415"/>
      <c r="AJ306" s="436" t="str">
        <f t="array" ref="AJ306">IF(M306=DGET(claves!$A$2:$AS423,M$2,{claves!$A$2;$E306}),1,0)</f>
        <v>#VALUE!</v>
      </c>
      <c r="AK306" s="436" t="str">
        <f t="array" ref="AK306">IF(N306=DGET(claves!$A$2:$AS423,N$2,{claves!$A$2;$E306}),1,0)</f>
        <v>#VALUE!</v>
      </c>
      <c r="AL306" s="436" t="str">
        <f t="array" ref="AL306">IF(O306=DGET(claves!$A$2:$AS423,O$2,{claves!$A$2;$E306}),1,0)</f>
        <v>#VALUE!</v>
      </c>
      <c r="AM306" s="436" t="str">
        <f t="array" ref="AM306">IF(P306=DGET(claves!$A$2:$AS423,P$2,{claves!$A$2;$E306}),1,0)</f>
        <v>#VALUE!</v>
      </c>
      <c r="AN306" s="436" t="str">
        <f t="array" ref="AN306">IF(Q306=DGET(claves!$A$2:$AS423,Q$2,{claves!$A$2;$E306}),1,0)</f>
        <v>#VALUE!</v>
      </c>
      <c r="AO306" s="436" t="str">
        <f t="array" ref="AO306">IF(R306=DGET(claves!$A$2:$AS423,R$2,{claves!$A$2;$E306}),1,0)</f>
        <v>#VALUE!</v>
      </c>
      <c r="AP306" s="436" t="str">
        <f t="array" ref="AP306">IF(S306=DGET(claves!$A$2:$AS423,S$2,{claves!$A$2;$E306}),1,0)</f>
        <v>#VALUE!</v>
      </c>
      <c r="AQ306" s="436" t="str">
        <f t="array" ref="AQ306">IF(T306=DGET(claves!$A$2:$AS423,T$2,{claves!$A$2;$E306}),1,0)</f>
        <v>#VALUE!</v>
      </c>
      <c r="AR306" s="436" t="str">
        <f t="array" ref="AR306">IF(U306=DGET(claves!$A$2:$AS423,U$2,{claves!$A$2;$E306}),1,0)</f>
        <v>#VALUE!</v>
      </c>
      <c r="AS306" s="436" t="str">
        <f t="array" ref="AS306">IF(V306=DGET(claves!$A$2:$AS423,V$2,{claves!$A$2;$E306}),1,0)</f>
        <v>#VALUE!</v>
      </c>
      <c r="AT306" s="436" t="str">
        <f t="array" ref="AT306">IF(W306=DGET(claves!$A$2:$AS423,W$2,{claves!$A$2;$E306}),1,0)</f>
        <v>#VALUE!</v>
      </c>
      <c r="AU306" s="436" t="str">
        <f t="array" ref="AU306">IF(X306=DGET(claves!$A$2:$AS423,X$2,{claves!$A$2;$E306}),1,0)</f>
        <v>#VALUE!</v>
      </c>
      <c r="AV306" s="436" t="str">
        <f t="array" ref="AV306">IF(Y306=DGET(claves!$A$2:$AS423,Y$2,{claves!$A$2;$E306}),1,0)</f>
        <v>#VALUE!</v>
      </c>
      <c r="AW306" s="436" t="str">
        <f t="array" ref="AW306">IF(Z306=DGET(claves!$A$2:$AS423,Z$2,{claves!$A$2;$E306}),1,0)</f>
        <v>#VALUE!</v>
      </c>
      <c r="AX306" s="436" t="str">
        <f t="array" ref="AX306">IF(AA306=DGET(claves!$A$2:$AS423,AA$2,{claves!$A$2;$E306}),1,0)</f>
        <v>#VALUE!</v>
      </c>
      <c r="AY306" s="436" t="str">
        <f t="array" ref="AY306">IF(AB306=DGET(claves!$A$2:$AS423,AB$2,{claves!$A$2;$E306}),1,0)</f>
        <v>#VALUE!</v>
      </c>
      <c r="AZ306" s="436" t="str">
        <f t="array" ref="AZ306">IF(AC306=DGET(claves!$A$2:$AS423,AC$2,{claves!$A$2;$E306}),1,0)</f>
        <v>#VALUE!</v>
      </c>
      <c r="BA306" s="436" t="str">
        <f t="array" ref="BA306">IF(AD306=DGET(claves!$A$2:$AS423,AD$2,{claves!$A$2;$E306}),1,0)</f>
        <v>#VALUE!</v>
      </c>
      <c r="BB306" s="436" t="str">
        <f t="array" ref="BB306">IF(AE306=DGET(claves!$A$2:$AS423,AE$2,{claves!$A$2;$E306}),1,0)</f>
        <v>#VALUE!</v>
      </c>
      <c r="BC306" s="436" t="str">
        <f t="array" ref="BC306">IF(AF306=DGET(claves!$A$2:$AS423,AF$2,{claves!$A$2;$E306}),1,0)</f>
        <v>#VALUE!</v>
      </c>
      <c r="BD306" s="437" t="str">
        <f t="shared" si="1"/>
        <v>#VALUE!</v>
      </c>
      <c r="BE306" s="435"/>
      <c r="BF306" s="415"/>
    </row>
    <row r="307" ht="14.25" customHeight="1">
      <c r="A307" s="408">
        <v>305.0</v>
      </c>
      <c r="B307" s="153" t="s">
        <v>1927</v>
      </c>
      <c r="C307" s="153">
        <v>2024.0</v>
      </c>
      <c r="D307" s="77" t="s">
        <v>362</v>
      </c>
      <c r="E307" s="409" t="str">
        <f>IFERROR(__xludf.DUMMYFUNCTION("ARRAYFORMULA(JOIN("""", ARRAYFORMULA(MID(SPLIT(F307, "" ""), 1, 1))))
&amp;""/""&amp;G307"),"MC/6 Primaria")</f>
        <v>MC/6 Primaria</v>
      </c>
      <c r="F307" s="77" t="s">
        <v>1654</v>
      </c>
      <c r="G307" s="432" t="s">
        <v>22</v>
      </c>
      <c r="H307" s="433" t="s">
        <v>1744</v>
      </c>
      <c r="I307" s="433" t="s">
        <v>1684</v>
      </c>
      <c r="J307" s="433" t="s">
        <v>1984</v>
      </c>
      <c r="K307" s="432" t="s">
        <v>1665</v>
      </c>
      <c r="L307" s="415"/>
      <c r="M307" s="434" t="s">
        <v>1661</v>
      </c>
      <c r="N307" s="434" t="s">
        <v>1689</v>
      </c>
      <c r="O307" s="434" t="s">
        <v>1659</v>
      </c>
      <c r="P307" s="434" t="s">
        <v>1659</v>
      </c>
      <c r="Q307" s="434" t="s">
        <v>1660</v>
      </c>
      <c r="R307" s="434" t="s">
        <v>1659</v>
      </c>
      <c r="S307" s="434" t="s">
        <v>1659</v>
      </c>
      <c r="T307" s="434" t="s">
        <v>1660</v>
      </c>
      <c r="U307" s="434" t="s">
        <v>1689</v>
      </c>
      <c r="V307" s="434" t="s">
        <v>1689</v>
      </c>
      <c r="W307" s="434" t="s">
        <v>1661</v>
      </c>
      <c r="X307" s="434" t="s">
        <v>1689</v>
      </c>
      <c r="Y307" s="434" t="s">
        <v>1661</v>
      </c>
      <c r="Z307" s="434" t="s">
        <v>1661</v>
      </c>
      <c r="AA307" s="434" t="s">
        <v>1661</v>
      </c>
      <c r="AB307" s="434" t="s">
        <v>1689</v>
      </c>
      <c r="AC307" s="434" t="s">
        <v>1660</v>
      </c>
      <c r="AD307" s="434" t="s">
        <v>1659</v>
      </c>
      <c r="AE307" s="434" t="s">
        <v>1659</v>
      </c>
      <c r="AF307" s="434" t="s">
        <v>1660</v>
      </c>
      <c r="AG307" s="427">
        <v>10.0</v>
      </c>
      <c r="AH307" s="435" t="s">
        <v>18</v>
      </c>
      <c r="AI307" s="415"/>
      <c r="AJ307" s="436" t="str">
        <f t="array" ref="AJ307">IF(M307=DGET(claves!$A$2:$AS423,M$2,{claves!$A$2;$E307}),1,0)</f>
        <v>#VALUE!</v>
      </c>
      <c r="AK307" s="436" t="str">
        <f t="array" ref="AK307">IF(N307=DGET(claves!$A$2:$AS423,N$2,{claves!$A$2;$E307}),1,0)</f>
        <v>#VALUE!</v>
      </c>
      <c r="AL307" s="436" t="str">
        <f t="array" ref="AL307">IF(O307=DGET(claves!$A$2:$AS423,O$2,{claves!$A$2;$E307}),1,0)</f>
        <v>#VALUE!</v>
      </c>
      <c r="AM307" s="436" t="str">
        <f t="array" ref="AM307">IF(P307=DGET(claves!$A$2:$AS423,P$2,{claves!$A$2;$E307}),1,0)</f>
        <v>#VALUE!</v>
      </c>
      <c r="AN307" s="436" t="str">
        <f t="array" ref="AN307">IF(Q307=DGET(claves!$A$2:$AS423,Q$2,{claves!$A$2;$E307}),1,0)</f>
        <v>#VALUE!</v>
      </c>
      <c r="AO307" s="436" t="str">
        <f t="array" ref="AO307">IF(R307=DGET(claves!$A$2:$AS423,R$2,{claves!$A$2;$E307}),1,0)</f>
        <v>#VALUE!</v>
      </c>
      <c r="AP307" s="436" t="str">
        <f t="array" ref="AP307">IF(S307=DGET(claves!$A$2:$AS423,S$2,{claves!$A$2;$E307}),1,0)</f>
        <v>#VALUE!</v>
      </c>
      <c r="AQ307" s="436" t="str">
        <f t="array" ref="AQ307">IF(T307=DGET(claves!$A$2:$AS423,T$2,{claves!$A$2;$E307}),1,0)</f>
        <v>#VALUE!</v>
      </c>
      <c r="AR307" s="436" t="str">
        <f t="array" ref="AR307">IF(U307=DGET(claves!$A$2:$AS423,U$2,{claves!$A$2;$E307}),1,0)</f>
        <v>#VALUE!</v>
      </c>
      <c r="AS307" s="436" t="str">
        <f t="array" ref="AS307">IF(V307=DGET(claves!$A$2:$AS423,V$2,{claves!$A$2;$E307}),1,0)</f>
        <v>#VALUE!</v>
      </c>
      <c r="AT307" s="436" t="str">
        <f t="array" ref="AT307">IF(W307=DGET(claves!$A$2:$AS423,W$2,{claves!$A$2;$E307}),1,0)</f>
        <v>#VALUE!</v>
      </c>
      <c r="AU307" s="436" t="str">
        <f t="array" ref="AU307">IF(X307=DGET(claves!$A$2:$AS423,X$2,{claves!$A$2;$E307}),1,0)</f>
        <v>#VALUE!</v>
      </c>
      <c r="AV307" s="436" t="str">
        <f t="array" ref="AV307">IF(Y307=DGET(claves!$A$2:$AS423,Y$2,{claves!$A$2;$E307}),1,0)</f>
        <v>#VALUE!</v>
      </c>
      <c r="AW307" s="436" t="str">
        <f t="array" ref="AW307">IF(Z307=DGET(claves!$A$2:$AS423,Z$2,{claves!$A$2;$E307}),1,0)</f>
        <v>#VALUE!</v>
      </c>
      <c r="AX307" s="436" t="str">
        <f t="array" ref="AX307">IF(AA307=DGET(claves!$A$2:$AS423,AA$2,{claves!$A$2;$E307}),1,0)</f>
        <v>#VALUE!</v>
      </c>
      <c r="AY307" s="436" t="str">
        <f t="array" ref="AY307">IF(AB307=DGET(claves!$A$2:$AS423,AB$2,{claves!$A$2;$E307}),1,0)</f>
        <v>#VALUE!</v>
      </c>
      <c r="AZ307" s="436" t="str">
        <f t="array" ref="AZ307">IF(AC307=DGET(claves!$A$2:$AS423,AC$2,{claves!$A$2;$E307}),1,0)</f>
        <v>#VALUE!</v>
      </c>
      <c r="BA307" s="436" t="str">
        <f t="array" ref="BA307">IF(AD307=DGET(claves!$A$2:$AS423,AD$2,{claves!$A$2;$E307}),1,0)</f>
        <v>#VALUE!</v>
      </c>
      <c r="BB307" s="436" t="str">
        <f t="array" ref="BB307">IF(AE307=DGET(claves!$A$2:$AS423,AE$2,{claves!$A$2;$E307}),1,0)</f>
        <v>#VALUE!</v>
      </c>
      <c r="BC307" s="436" t="str">
        <f t="array" ref="BC307">IF(AF307=DGET(claves!$A$2:$AS423,AF$2,{claves!$A$2;$E307}),1,0)</f>
        <v>#VALUE!</v>
      </c>
      <c r="BD307" s="437" t="str">
        <f t="shared" si="1"/>
        <v>#VALUE!</v>
      </c>
      <c r="BE307" s="435" t="s">
        <v>1468</v>
      </c>
      <c r="BF307" s="415"/>
    </row>
    <row r="308" ht="14.25" customHeight="1">
      <c r="A308" s="408">
        <v>306.0</v>
      </c>
      <c r="B308" s="153" t="s">
        <v>1927</v>
      </c>
      <c r="C308" s="153">
        <v>2024.0</v>
      </c>
      <c r="D308" s="77" t="s">
        <v>1817</v>
      </c>
      <c r="E308" s="409" t="str">
        <f>IFERROR(__xludf.DUMMYFUNCTION("ARRAYFORMULA(JOIN("""", ARRAYFORMULA(MID(SPLIT(F308, "" ""), 1, 1))))
&amp;""/""&amp;G308"),"CLC/6 Primaria")</f>
        <v>CLC/6 Primaria</v>
      </c>
      <c r="F308" s="77" t="s">
        <v>1819</v>
      </c>
      <c r="G308" s="432" t="s">
        <v>22</v>
      </c>
      <c r="H308" s="433" t="s">
        <v>1744</v>
      </c>
      <c r="I308" s="433" t="s">
        <v>1684</v>
      </c>
      <c r="J308" s="433" t="s">
        <v>1984</v>
      </c>
      <c r="K308" s="432" t="s">
        <v>1665</v>
      </c>
      <c r="L308" s="415"/>
      <c r="M308" s="434" t="s">
        <v>1661</v>
      </c>
      <c r="N308" s="434" t="s">
        <v>1661</v>
      </c>
      <c r="O308" s="434" t="s">
        <v>1661</v>
      </c>
      <c r="P308" s="434" t="s">
        <v>1689</v>
      </c>
      <c r="Q308" s="434" t="s">
        <v>1689</v>
      </c>
      <c r="R308" s="434" t="s">
        <v>1689</v>
      </c>
      <c r="S308" s="434" t="s">
        <v>1661</v>
      </c>
      <c r="T308" s="434" t="s">
        <v>1659</v>
      </c>
      <c r="U308" s="434" t="s">
        <v>1689</v>
      </c>
      <c r="V308" s="434" t="s">
        <v>1661</v>
      </c>
      <c r="W308" s="434" t="s">
        <v>1660</v>
      </c>
      <c r="X308" s="434" t="s">
        <v>1661</v>
      </c>
      <c r="Y308" s="434" t="s">
        <v>1659</v>
      </c>
      <c r="Z308" s="434" t="s">
        <v>1661</v>
      </c>
      <c r="AA308" s="434" t="s">
        <v>1659</v>
      </c>
      <c r="AB308" s="434" t="s">
        <v>1661</v>
      </c>
      <c r="AC308" s="434" t="s">
        <v>1660</v>
      </c>
      <c r="AD308" s="434" t="s">
        <v>1660</v>
      </c>
      <c r="AE308" s="434" t="s">
        <v>1661</v>
      </c>
      <c r="AF308" s="434" t="s">
        <v>1661</v>
      </c>
      <c r="AG308" s="427">
        <v>9.0</v>
      </c>
      <c r="AH308" s="435" t="s">
        <v>18</v>
      </c>
      <c r="AI308" s="415"/>
      <c r="AJ308" s="436" t="str">
        <f t="array" ref="AJ308">IF(M308=DGET(claves!$A$2:$AS423,M$2,{claves!$A$2;$E308}),1,0)</f>
        <v>#VALUE!</v>
      </c>
      <c r="AK308" s="436" t="str">
        <f t="array" ref="AK308">IF(N308=DGET(claves!$A$2:$AS423,N$2,{claves!$A$2;$E308}),1,0)</f>
        <v>#VALUE!</v>
      </c>
      <c r="AL308" s="436" t="str">
        <f t="array" ref="AL308">IF(O308=DGET(claves!$A$2:$AS423,O$2,{claves!$A$2;$E308}),1,0)</f>
        <v>#VALUE!</v>
      </c>
      <c r="AM308" s="436" t="str">
        <f t="array" ref="AM308">IF(P308=DGET(claves!$A$2:$AS423,P$2,{claves!$A$2;$E308}),1,0)</f>
        <v>#VALUE!</v>
      </c>
      <c r="AN308" s="436" t="str">
        <f t="array" ref="AN308">IF(Q308=DGET(claves!$A$2:$AS423,Q$2,{claves!$A$2;$E308}),1,0)</f>
        <v>#VALUE!</v>
      </c>
      <c r="AO308" s="436" t="str">
        <f t="array" ref="AO308">IF(R308=DGET(claves!$A$2:$AS423,R$2,{claves!$A$2;$E308}),1,0)</f>
        <v>#VALUE!</v>
      </c>
      <c r="AP308" s="436" t="str">
        <f t="array" ref="AP308">IF(S308=DGET(claves!$A$2:$AS423,S$2,{claves!$A$2;$E308}),1,0)</f>
        <v>#VALUE!</v>
      </c>
      <c r="AQ308" s="436" t="str">
        <f t="array" ref="AQ308">IF(T308=DGET(claves!$A$2:$AS423,T$2,{claves!$A$2;$E308}),1,0)</f>
        <v>#VALUE!</v>
      </c>
      <c r="AR308" s="436" t="str">
        <f t="array" ref="AR308">IF(U308=DGET(claves!$A$2:$AS423,U$2,{claves!$A$2;$E308}),1,0)</f>
        <v>#VALUE!</v>
      </c>
      <c r="AS308" s="436" t="str">
        <f t="array" ref="AS308">IF(V308=DGET(claves!$A$2:$AS423,V$2,{claves!$A$2;$E308}),1,0)</f>
        <v>#VALUE!</v>
      </c>
      <c r="AT308" s="436" t="str">
        <f t="array" ref="AT308">IF(W308=DGET(claves!$A$2:$AS423,W$2,{claves!$A$2;$E308}),1,0)</f>
        <v>#VALUE!</v>
      </c>
      <c r="AU308" s="436" t="str">
        <f t="array" ref="AU308">IF(X308=DGET(claves!$A$2:$AS423,X$2,{claves!$A$2;$E308}),1,0)</f>
        <v>#VALUE!</v>
      </c>
      <c r="AV308" s="436" t="str">
        <f t="array" ref="AV308">IF(Y308=DGET(claves!$A$2:$AS423,Y$2,{claves!$A$2;$E308}),1,0)</f>
        <v>#VALUE!</v>
      </c>
      <c r="AW308" s="436" t="str">
        <f t="array" ref="AW308">IF(Z308=DGET(claves!$A$2:$AS423,Z$2,{claves!$A$2;$E308}),1,0)</f>
        <v>#VALUE!</v>
      </c>
      <c r="AX308" s="436" t="str">
        <f t="array" ref="AX308">IF(AA308=DGET(claves!$A$2:$AS423,AA$2,{claves!$A$2;$E308}),1,0)</f>
        <v>#VALUE!</v>
      </c>
      <c r="AY308" s="436" t="str">
        <f t="array" ref="AY308">IF(AB308=DGET(claves!$A$2:$AS423,AB$2,{claves!$A$2;$E308}),1,0)</f>
        <v>#VALUE!</v>
      </c>
      <c r="AZ308" s="436" t="str">
        <f t="array" ref="AZ308">IF(AC308=DGET(claves!$A$2:$AS423,AC$2,{claves!$A$2;$E308}),1,0)</f>
        <v>#VALUE!</v>
      </c>
      <c r="BA308" s="436" t="str">
        <f t="array" ref="BA308">IF(AD308=DGET(claves!$A$2:$AS423,AD$2,{claves!$A$2;$E308}),1,0)</f>
        <v>#VALUE!</v>
      </c>
      <c r="BB308" s="436" t="str">
        <f t="array" ref="BB308">IF(AE308=DGET(claves!$A$2:$AS423,AE$2,{claves!$A$2;$E308}),1,0)</f>
        <v>#VALUE!</v>
      </c>
      <c r="BC308" s="436" t="str">
        <f t="array" ref="BC308">IF(AF308=DGET(claves!$A$2:$AS423,AF$2,{claves!$A$2;$E308}),1,0)</f>
        <v>#VALUE!</v>
      </c>
      <c r="BD308" s="437" t="str">
        <f t="shared" si="1"/>
        <v>#VALUE!</v>
      </c>
      <c r="BE308" s="435"/>
      <c r="BF308" s="415"/>
    </row>
    <row r="309" ht="14.25" customHeight="1">
      <c r="A309" s="408">
        <v>307.0</v>
      </c>
      <c r="B309" s="153" t="s">
        <v>1927</v>
      </c>
      <c r="C309" s="153">
        <v>2024.0</v>
      </c>
      <c r="D309" s="77" t="s">
        <v>362</v>
      </c>
      <c r="E309" s="409" t="str">
        <f>IFERROR(__xludf.DUMMYFUNCTION("ARRAYFORMULA(JOIN("""", ARRAYFORMULA(MID(SPLIT(F309, "" ""), 1, 1))))
&amp;""/""&amp;G309"),"MC/6 Primaria")</f>
        <v>MC/6 Primaria</v>
      </c>
      <c r="F309" s="77" t="s">
        <v>1654</v>
      </c>
      <c r="G309" s="432" t="s">
        <v>22</v>
      </c>
      <c r="H309" s="433" t="s">
        <v>1744</v>
      </c>
      <c r="I309" s="433" t="s">
        <v>1769</v>
      </c>
      <c r="J309" s="433" t="s">
        <v>1985</v>
      </c>
      <c r="K309" s="433" t="s">
        <v>1658</v>
      </c>
      <c r="L309" s="415"/>
      <c r="M309" s="434" t="s">
        <v>1661</v>
      </c>
      <c r="N309" s="434" t="s">
        <v>1689</v>
      </c>
      <c r="O309" s="434" t="s">
        <v>1661</v>
      </c>
      <c r="P309" s="434" t="s">
        <v>1689</v>
      </c>
      <c r="Q309" s="434" t="s">
        <v>1659</v>
      </c>
      <c r="R309" s="434" t="s">
        <v>1659</v>
      </c>
      <c r="S309" s="434" t="s">
        <v>1659</v>
      </c>
      <c r="T309" s="434" t="s">
        <v>1660</v>
      </c>
      <c r="U309" s="434" t="s">
        <v>1689</v>
      </c>
      <c r="V309" s="434" t="s">
        <v>1660</v>
      </c>
      <c r="W309" s="434" t="s">
        <v>1661</v>
      </c>
      <c r="X309" s="434" t="s">
        <v>1689</v>
      </c>
      <c r="Y309" s="434" t="s">
        <v>1660</v>
      </c>
      <c r="Z309" s="434" t="s">
        <v>1689</v>
      </c>
      <c r="AA309" s="434" t="s">
        <v>1659</v>
      </c>
      <c r="AB309" s="434" t="s">
        <v>1689</v>
      </c>
      <c r="AC309" s="434" t="s">
        <v>1660</v>
      </c>
      <c r="AD309" s="434" t="s">
        <v>1659</v>
      </c>
      <c r="AE309" s="434" t="s">
        <v>1689</v>
      </c>
      <c r="AF309" s="434" t="s">
        <v>1660</v>
      </c>
      <c r="AG309" s="427">
        <v>14.0</v>
      </c>
      <c r="AH309" s="435" t="s">
        <v>24</v>
      </c>
      <c r="AI309" s="415"/>
      <c r="AJ309" s="436" t="str">
        <f t="array" ref="AJ309">IF(M309=DGET(claves!$A$2:$AS423,M$2,{claves!$A$2;$E309}),1,0)</f>
        <v>#VALUE!</v>
      </c>
      <c r="AK309" s="436" t="str">
        <f t="array" ref="AK309">IF(N309=DGET(claves!$A$2:$AS423,N$2,{claves!$A$2;$E309}),1,0)</f>
        <v>#VALUE!</v>
      </c>
      <c r="AL309" s="436" t="str">
        <f t="array" ref="AL309">IF(O309=DGET(claves!$A$2:$AS423,O$2,{claves!$A$2;$E309}),1,0)</f>
        <v>#VALUE!</v>
      </c>
      <c r="AM309" s="436" t="str">
        <f t="array" ref="AM309">IF(P309=DGET(claves!$A$2:$AS423,P$2,{claves!$A$2;$E309}),1,0)</f>
        <v>#VALUE!</v>
      </c>
      <c r="AN309" s="436" t="str">
        <f t="array" ref="AN309">IF(Q309=DGET(claves!$A$2:$AS423,Q$2,{claves!$A$2;$E309}),1,0)</f>
        <v>#VALUE!</v>
      </c>
      <c r="AO309" s="436" t="str">
        <f t="array" ref="AO309">IF(R309=DGET(claves!$A$2:$AS423,R$2,{claves!$A$2;$E309}),1,0)</f>
        <v>#VALUE!</v>
      </c>
      <c r="AP309" s="436" t="str">
        <f t="array" ref="AP309">IF(S309=DGET(claves!$A$2:$AS423,S$2,{claves!$A$2;$E309}),1,0)</f>
        <v>#VALUE!</v>
      </c>
      <c r="AQ309" s="436" t="str">
        <f t="array" ref="AQ309">IF(T309=DGET(claves!$A$2:$AS423,T$2,{claves!$A$2;$E309}),1,0)</f>
        <v>#VALUE!</v>
      </c>
      <c r="AR309" s="436" t="str">
        <f t="array" ref="AR309">IF(U309=DGET(claves!$A$2:$AS423,U$2,{claves!$A$2;$E309}),1,0)</f>
        <v>#VALUE!</v>
      </c>
      <c r="AS309" s="436" t="str">
        <f t="array" ref="AS309">IF(V309=DGET(claves!$A$2:$AS423,V$2,{claves!$A$2;$E309}),1,0)</f>
        <v>#VALUE!</v>
      </c>
      <c r="AT309" s="436" t="str">
        <f t="array" ref="AT309">IF(W309=DGET(claves!$A$2:$AS423,W$2,{claves!$A$2;$E309}),1,0)</f>
        <v>#VALUE!</v>
      </c>
      <c r="AU309" s="436" t="str">
        <f t="array" ref="AU309">IF(X309=DGET(claves!$A$2:$AS423,X$2,{claves!$A$2;$E309}),1,0)</f>
        <v>#VALUE!</v>
      </c>
      <c r="AV309" s="436" t="str">
        <f t="array" ref="AV309">IF(Y309=DGET(claves!$A$2:$AS423,Y$2,{claves!$A$2;$E309}),1,0)</f>
        <v>#VALUE!</v>
      </c>
      <c r="AW309" s="436" t="str">
        <f t="array" ref="AW309">IF(Z309=DGET(claves!$A$2:$AS423,Z$2,{claves!$A$2;$E309}),1,0)</f>
        <v>#VALUE!</v>
      </c>
      <c r="AX309" s="436" t="str">
        <f t="array" ref="AX309">IF(AA309=DGET(claves!$A$2:$AS423,AA$2,{claves!$A$2;$E309}),1,0)</f>
        <v>#VALUE!</v>
      </c>
      <c r="AY309" s="436" t="str">
        <f t="array" ref="AY309">IF(AB309=DGET(claves!$A$2:$AS423,AB$2,{claves!$A$2;$E309}),1,0)</f>
        <v>#VALUE!</v>
      </c>
      <c r="AZ309" s="436" t="str">
        <f t="array" ref="AZ309">IF(AC309=DGET(claves!$A$2:$AS423,AC$2,{claves!$A$2;$E309}),1,0)</f>
        <v>#VALUE!</v>
      </c>
      <c r="BA309" s="436" t="str">
        <f t="array" ref="BA309">IF(AD309=DGET(claves!$A$2:$AS423,AD$2,{claves!$A$2;$E309}),1,0)</f>
        <v>#VALUE!</v>
      </c>
      <c r="BB309" s="436" t="str">
        <f t="array" ref="BB309">IF(AE309=DGET(claves!$A$2:$AS423,AE$2,{claves!$A$2;$E309}),1,0)</f>
        <v>#VALUE!</v>
      </c>
      <c r="BC309" s="436" t="str">
        <f t="array" ref="BC309">IF(AF309=DGET(claves!$A$2:$AS423,AF$2,{claves!$A$2;$E309}),1,0)</f>
        <v>#VALUE!</v>
      </c>
      <c r="BD309" s="437" t="str">
        <f t="shared" si="1"/>
        <v>#VALUE!</v>
      </c>
      <c r="BE309" s="435" t="s">
        <v>1468</v>
      </c>
      <c r="BF309" s="415"/>
    </row>
    <row r="310" ht="14.25" customHeight="1">
      <c r="A310" s="408">
        <v>308.0</v>
      </c>
      <c r="B310" s="153" t="s">
        <v>1927</v>
      </c>
      <c r="C310" s="153">
        <v>2024.0</v>
      </c>
      <c r="D310" s="77" t="s">
        <v>1817</v>
      </c>
      <c r="E310" s="409" t="str">
        <f>IFERROR(__xludf.DUMMYFUNCTION("ARRAYFORMULA(JOIN("""", ARRAYFORMULA(MID(SPLIT(F310, "" ""), 1, 1))))
&amp;""/""&amp;G310"),"CLC/6 Primaria")</f>
        <v>CLC/6 Primaria</v>
      </c>
      <c r="F310" s="77" t="s">
        <v>1819</v>
      </c>
      <c r="G310" s="432" t="s">
        <v>22</v>
      </c>
      <c r="H310" s="433" t="s">
        <v>1744</v>
      </c>
      <c r="I310" s="433" t="s">
        <v>1769</v>
      </c>
      <c r="J310" s="433" t="s">
        <v>1985</v>
      </c>
      <c r="K310" s="433" t="s">
        <v>1658</v>
      </c>
      <c r="L310" s="415"/>
      <c r="M310" s="434" t="s">
        <v>1661</v>
      </c>
      <c r="N310" s="434" t="s">
        <v>1689</v>
      </c>
      <c r="O310" s="434" t="s">
        <v>1661</v>
      </c>
      <c r="P310" s="434" t="s">
        <v>1659</v>
      </c>
      <c r="Q310" s="434" t="s">
        <v>1659</v>
      </c>
      <c r="R310" s="434" t="s">
        <v>1689</v>
      </c>
      <c r="S310" s="434" t="s">
        <v>1689</v>
      </c>
      <c r="T310" s="434" t="s">
        <v>1661</v>
      </c>
      <c r="U310" s="434" t="s">
        <v>1689</v>
      </c>
      <c r="V310" s="434" t="s">
        <v>1659</v>
      </c>
      <c r="W310" s="434" t="s">
        <v>1660</v>
      </c>
      <c r="X310" s="434" t="s">
        <v>1689</v>
      </c>
      <c r="Y310" s="434" t="s">
        <v>1689</v>
      </c>
      <c r="Z310" s="434" t="s">
        <v>1689</v>
      </c>
      <c r="AA310" s="434" t="s">
        <v>1660</v>
      </c>
      <c r="AB310" s="434" t="s">
        <v>1689</v>
      </c>
      <c r="AC310" s="434" t="s">
        <v>1659</v>
      </c>
      <c r="AD310" s="434" t="s">
        <v>1659</v>
      </c>
      <c r="AE310" s="434" t="s">
        <v>1661</v>
      </c>
      <c r="AF310" s="434" t="s">
        <v>1660</v>
      </c>
      <c r="AG310" s="427">
        <v>12.0</v>
      </c>
      <c r="AH310" s="435" t="s">
        <v>24</v>
      </c>
      <c r="AI310" s="415"/>
      <c r="AJ310" s="436" t="str">
        <f t="array" ref="AJ310">IF(M310=DGET(claves!$A$2:$AS423,M$2,{claves!$A$2;$E310}),1,0)</f>
        <v>#VALUE!</v>
      </c>
      <c r="AK310" s="436" t="str">
        <f t="array" ref="AK310">IF(N310=DGET(claves!$A$2:$AS423,N$2,{claves!$A$2;$E310}),1,0)</f>
        <v>#VALUE!</v>
      </c>
      <c r="AL310" s="436" t="str">
        <f t="array" ref="AL310">IF(O310=DGET(claves!$A$2:$AS423,O$2,{claves!$A$2;$E310}),1,0)</f>
        <v>#VALUE!</v>
      </c>
      <c r="AM310" s="436" t="str">
        <f t="array" ref="AM310">IF(P310=DGET(claves!$A$2:$AS423,P$2,{claves!$A$2;$E310}),1,0)</f>
        <v>#VALUE!</v>
      </c>
      <c r="AN310" s="436" t="str">
        <f t="array" ref="AN310">IF(Q310=DGET(claves!$A$2:$AS423,Q$2,{claves!$A$2;$E310}),1,0)</f>
        <v>#VALUE!</v>
      </c>
      <c r="AO310" s="436" t="str">
        <f t="array" ref="AO310">IF(R310=DGET(claves!$A$2:$AS423,R$2,{claves!$A$2;$E310}),1,0)</f>
        <v>#VALUE!</v>
      </c>
      <c r="AP310" s="436" t="str">
        <f t="array" ref="AP310">IF(S310=DGET(claves!$A$2:$AS423,S$2,{claves!$A$2;$E310}),1,0)</f>
        <v>#VALUE!</v>
      </c>
      <c r="AQ310" s="436" t="str">
        <f t="array" ref="AQ310">IF(T310=DGET(claves!$A$2:$AS423,T$2,{claves!$A$2;$E310}),1,0)</f>
        <v>#VALUE!</v>
      </c>
      <c r="AR310" s="436" t="str">
        <f t="array" ref="AR310">IF(U310=DGET(claves!$A$2:$AS423,U$2,{claves!$A$2;$E310}),1,0)</f>
        <v>#VALUE!</v>
      </c>
      <c r="AS310" s="436" t="str">
        <f t="array" ref="AS310">IF(V310=DGET(claves!$A$2:$AS423,V$2,{claves!$A$2;$E310}),1,0)</f>
        <v>#VALUE!</v>
      </c>
      <c r="AT310" s="436" t="str">
        <f t="array" ref="AT310">IF(W310=DGET(claves!$A$2:$AS423,W$2,{claves!$A$2;$E310}),1,0)</f>
        <v>#VALUE!</v>
      </c>
      <c r="AU310" s="436" t="str">
        <f t="array" ref="AU310">IF(X310=DGET(claves!$A$2:$AS423,X$2,{claves!$A$2;$E310}),1,0)</f>
        <v>#VALUE!</v>
      </c>
      <c r="AV310" s="436" t="str">
        <f t="array" ref="AV310">IF(Y310=DGET(claves!$A$2:$AS423,Y$2,{claves!$A$2;$E310}),1,0)</f>
        <v>#VALUE!</v>
      </c>
      <c r="AW310" s="436" t="str">
        <f t="array" ref="AW310">IF(Z310=DGET(claves!$A$2:$AS423,Z$2,{claves!$A$2;$E310}),1,0)</f>
        <v>#VALUE!</v>
      </c>
      <c r="AX310" s="436" t="str">
        <f t="array" ref="AX310">IF(AA310=DGET(claves!$A$2:$AS423,AA$2,{claves!$A$2;$E310}),1,0)</f>
        <v>#VALUE!</v>
      </c>
      <c r="AY310" s="436" t="str">
        <f t="array" ref="AY310">IF(AB310=DGET(claves!$A$2:$AS423,AB$2,{claves!$A$2;$E310}),1,0)</f>
        <v>#VALUE!</v>
      </c>
      <c r="AZ310" s="436" t="str">
        <f t="array" ref="AZ310">IF(AC310=DGET(claves!$A$2:$AS423,AC$2,{claves!$A$2;$E310}),1,0)</f>
        <v>#VALUE!</v>
      </c>
      <c r="BA310" s="436" t="str">
        <f t="array" ref="BA310">IF(AD310=DGET(claves!$A$2:$AS423,AD$2,{claves!$A$2;$E310}),1,0)</f>
        <v>#VALUE!</v>
      </c>
      <c r="BB310" s="436" t="str">
        <f t="array" ref="BB310">IF(AE310=DGET(claves!$A$2:$AS423,AE$2,{claves!$A$2;$E310}),1,0)</f>
        <v>#VALUE!</v>
      </c>
      <c r="BC310" s="436" t="str">
        <f t="array" ref="BC310">IF(AF310=DGET(claves!$A$2:$AS423,AF$2,{claves!$A$2;$E310}),1,0)</f>
        <v>#VALUE!</v>
      </c>
      <c r="BD310" s="437" t="str">
        <f t="shared" si="1"/>
        <v>#VALUE!</v>
      </c>
      <c r="BE310" s="435"/>
      <c r="BF310" s="415"/>
    </row>
    <row r="311" ht="14.25" customHeight="1">
      <c r="A311" s="408">
        <v>309.0</v>
      </c>
      <c r="B311" s="153" t="s">
        <v>1927</v>
      </c>
      <c r="C311" s="153">
        <v>2024.0</v>
      </c>
      <c r="D311" s="77" t="s">
        <v>362</v>
      </c>
      <c r="E311" s="409" t="str">
        <f>IFERROR(__xludf.DUMMYFUNCTION("ARRAYFORMULA(JOIN("""", ARRAYFORMULA(MID(SPLIT(F311, "" ""), 1, 1))))
&amp;""/""&amp;G311"),"MC/6 Primaria")</f>
        <v>MC/6 Primaria</v>
      </c>
      <c r="F311" s="77" t="s">
        <v>1654</v>
      </c>
      <c r="G311" s="432" t="s">
        <v>22</v>
      </c>
      <c r="H311" s="433" t="s">
        <v>1761</v>
      </c>
      <c r="I311" s="433" t="s">
        <v>1744</v>
      </c>
      <c r="J311" s="433" t="s">
        <v>1986</v>
      </c>
      <c r="K311" s="433" t="s">
        <v>1658</v>
      </c>
      <c r="L311" s="415"/>
      <c r="M311" s="434" t="s">
        <v>1661</v>
      </c>
      <c r="N311" s="434" t="s">
        <v>1689</v>
      </c>
      <c r="O311" s="434" t="s">
        <v>1659</v>
      </c>
      <c r="P311" s="434" t="s">
        <v>1689</v>
      </c>
      <c r="Q311" s="434" t="s">
        <v>1659</v>
      </c>
      <c r="R311" s="434" t="s">
        <v>1659</v>
      </c>
      <c r="S311" s="434" t="s">
        <v>1659</v>
      </c>
      <c r="T311" s="434" t="s">
        <v>1659</v>
      </c>
      <c r="U311" s="434" t="s">
        <v>1659</v>
      </c>
      <c r="V311" s="434" t="s">
        <v>1689</v>
      </c>
      <c r="W311" s="434" t="s">
        <v>1661</v>
      </c>
      <c r="X311" s="434" t="s">
        <v>1689</v>
      </c>
      <c r="Y311" s="434" t="s">
        <v>1660</v>
      </c>
      <c r="Z311" s="434" t="s">
        <v>1661</v>
      </c>
      <c r="AA311" s="434" t="s">
        <v>1659</v>
      </c>
      <c r="AB311" s="434" t="s">
        <v>1689</v>
      </c>
      <c r="AC311" s="434" t="s">
        <v>1660</v>
      </c>
      <c r="AD311" s="434" t="s">
        <v>1659</v>
      </c>
      <c r="AE311" s="434" t="s">
        <v>1689</v>
      </c>
      <c r="AF311" s="434" t="s">
        <v>1660</v>
      </c>
      <c r="AG311" s="427">
        <v>17.0</v>
      </c>
      <c r="AH311" s="438" t="s">
        <v>32</v>
      </c>
      <c r="AI311" s="415"/>
      <c r="AJ311" s="436" t="str">
        <f t="array" ref="AJ311">IF(M311=DGET(claves!$A$2:$AS423,M$2,{claves!$A$2;$E311}),1,0)</f>
        <v>#VALUE!</v>
      </c>
      <c r="AK311" s="436" t="str">
        <f t="array" ref="AK311">IF(N311=DGET(claves!$A$2:$AS423,N$2,{claves!$A$2;$E311}),1,0)</f>
        <v>#VALUE!</v>
      </c>
      <c r="AL311" s="436" t="str">
        <f t="array" ref="AL311">IF(O311=DGET(claves!$A$2:$AS423,O$2,{claves!$A$2;$E311}),1,0)</f>
        <v>#VALUE!</v>
      </c>
      <c r="AM311" s="436" t="str">
        <f t="array" ref="AM311">IF(P311=DGET(claves!$A$2:$AS423,P$2,{claves!$A$2;$E311}),1,0)</f>
        <v>#VALUE!</v>
      </c>
      <c r="AN311" s="436" t="str">
        <f t="array" ref="AN311">IF(Q311=DGET(claves!$A$2:$AS423,Q$2,{claves!$A$2;$E311}),1,0)</f>
        <v>#VALUE!</v>
      </c>
      <c r="AO311" s="436" t="str">
        <f t="array" ref="AO311">IF(R311=DGET(claves!$A$2:$AS423,R$2,{claves!$A$2;$E311}),1,0)</f>
        <v>#VALUE!</v>
      </c>
      <c r="AP311" s="436" t="str">
        <f t="array" ref="AP311">IF(S311=DGET(claves!$A$2:$AS423,S$2,{claves!$A$2;$E311}),1,0)</f>
        <v>#VALUE!</v>
      </c>
      <c r="AQ311" s="436" t="str">
        <f t="array" ref="AQ311">IF(T311=DGET(claves!$A$2:$AS423,T$2,{claves!$A$2;$E311}),1,0)</f>
        <v>#VALUE!</v>
      </c>
      <c r="AR311" s="436" t="str">
        <f t="array" ref="AR311">IF(U311=DGET(claves!$A$2:$AS423,U$2,{claves!$A$2;$E311}),1,0)</f>
        <v>#VALUE!</v>
      </c>
      <c r="AS311" s="436" t="str">
        <f t="array" ref="AS311">IF(V311=DGET(claves!$A$2:$AS423,V$2,{claves!$A$2;$E311}),1,0)</f>
        <v>#VALUE!</v>
      </c>
      <c r="AT311" s="436" t="str">
        <f t="array" ref="AT311">IF(W311=DGET(claves!$A$2:$AS423,W$2,{claves!$A$2;$E311}),1,0)</f>
        <v>#VALUE!</v>
      </c>
      <c r="AU311" s="436" t="str">
        <f t="array" ref="AU311">IF(X311=DGET(claves!$A$2:$AS423,X$2,{claves!$A$2;$E311}),1,0)</f>
        <v>#VALUE!</v>
      </c>
      <c r="AV311" s="436" t="str">
        <f t="array" ref="AV311">IF(Y311=DGET(claves!$A$2:$AS423,Y$2,{claves!$A$2;$E311}),1,0)</f>
        <v>#VALUE!</v>
      </c>
      <c r="AW311" s="436" t="str">
        <f t="array" ref="AW311">IF(Z311=DGET(claves!$A$2:$AS423,Z$2,{claves!$A$2;$E311}),1,0)</f>
        <v>#VALUE!</v>
      </c>
      <c r="AX311" s="436" t="str">
        <f t="array" ref="AX311">IF(AA311=DGET(claves!$A$2:$AS423,AA$2,{claves!$A$2;$E311}),1,0)</f>
        <v>#VALUE!</v>
      </c>
      <c r="AY311" s="436" t="str">
        <f t="array" ref="AY311">IF(AB311=DGET(claves!$A$2:$AS423,AB$2,{claves!$A$2;$E311}),1,0)</f>
        <v>#VALUE!</v>
      </c>
      <c r="AZ311" s="436" t="str">
        <f t="array" ref="AZ311">IF(AC311=DGET(claves!$A$2:$AS423,AC$2,{claves!$A$2;$E311}),1,0)</f>
        <v>#VALUE!</v>
      </c>
      <c r="BA311" s="436" t="str">
        <f t="array" ref="BA311">IF(AD311=DGET(claves!$A$2:$AS423,AD$2,{claves!$A$2;$E311}),1,0)</f>
        <v>#VALUE!</v>
      </c>
      <c r="BB311" s="436" t="str">
        <f t="array" ref="BB311">IF(AE311=DGET(claves!$A$2:$AS423,AE$2,{claves!$A$2;$E311}),1,0)</f>
        <v>#VALUE!</v>
      </c>
      <c r="BC311" s="436" t="str">
        <f t="array" ref="BC311">IF(AF311=DGET(claves!$A$2:$AS423,AF$2,{claves!$A$2;$E311}),1,0)</f>
        <v>#VALUE!</v>
      </c>
      <c r="BD311" s="437" t="str">
        <f t="shared" si="1"/>
        <v>#VALUE!</v>
      </c>
      <c r="BE311" s="435" t="s">
        <v>1468</v>
      </c>
      <c r="BF311" s="415"/>
    </row>
    <row r="312" ht="14.25" customHeight="1">
      <c r="A312" s="408">
        <v>310.0</v>
      </c>
      <c r="B312" s="153" t="s">
        <v>1927</v>
      </c>
      <c r="C312" s="153">
        <v>2024.0</v>
      </c>
      <c r="D312" s="77" t="s">
        <v>1817</v>
      </c>
      <c r="E312" s="409" t="str">
        <f>IFERROR(__xludf.DUMMYFUNCTION("ARRAYFORMULA(JOIN("""", ARRAYFORMULA(MID(SPLIT(F312, "" ""), 1, 1))))
&amp;""/""&amp;G312"),"CLC/6 Primaria")</f>
        <v>CLC/6 Primaria</v>
      </c>
      <c r="F312" s="77" t="s">
        <v>1819</v>
      </c>
      <c r="G312" s="432" t="s">
        <v>22</v>
      </c>
      <c r="H312" s="433" t="s">
        <v>1761</v>
      </c>
      <c r="I312" s="433" t="s">
        <v>1744</v>
      </c>
      <c r="J312" s="433" t="s">
        <v>1986</v>
      </c>
      <c r="K312" s="433" t="s">
        <v>1658</v>
      </c>
      <c r="L312" s="415"/>
      <c r="M312" s="434" t="s">
        <v>1661</v>
      </c>
      <c r="N312" s="434" t="s">
        <v>1661</v>
      </c>
      <c r="O312" s="434" t="s">
        <v>1689</v>
      </c>
      <c r="P312" s="434" t="s">
        <v>1659</v>
      </c>
      <c r="Q312" s="434" t="s">
        <v>1659</v>
      </c>
      <c r="R312" s="434" t="s">
        <v>1689</v>
      </c>
      <c r="S312" s="434" t="s">
        <v>1661</v>
      </c>
      <c r="T312" s="434" t="s">
        <v>1661</v>
      </c>
      <c r="U312" s="434" t="s">
        <v>1689</v>
      </c>
      <c r="V312" s="434" t="s">
        <v>1659</v>
      </c>
      <c r="W312" s="434" t="s">
        <v>1689</v>
      </c>
      <c r="X312" s="434" t="s">
        <v>1689</v>
      </c>
      <c r="Y312" s="434" t="s">
        <v>1689</v>
      </c>
      <c r="Z312" s="434" t="s">
        <v>1661</v>
      </c>
      <c r="AA312" s="434" t="s">
        <v>1660</v>
      </c>
      <c r="AB312" s="434" t="s">
        <v>1689</v>
      </c>
      <c r="AC312" s="434" t="s">
        <v>1659</v>
      </c>
      <c r="AD312" s="434" t="s">
        <v>1660</v>
      </c>
      <c r="AE312" s="434" t="s">
        <v>1661</v>
      </c>
      <c r="AF312" s="434" t="s">
        <v>1689</v>
      </c>
      <c r="AG312" s="427">
        <v>19.0</v>
      </c>
      <c r="AH312" s="438" t="s">
        <v>32</v>
      </c>
      <c r="AI312" s="415"/>
      <c r="AJ312" s="436" t="str">
        <f t="array" ref="AJ312">IF(M312=DGET(claves!$A$2:$AS423,M$2,{claves!$A$2;$E312}),1,0)</f>
        <v>#VALUE!</v>
      </c>
      <c r="AK312" s="436" t="str">
        <f t="array" ref="AK312">IF(N312=DGET(claves!$A$2:$AS423,N$2,{claves!$A$2;$E312}),1,0)</f>
        <v>#VALUE!</v>
      </c>
      <c r="AL312" s="436" t="str">
        <f t="array" ref="AL312">IF(O312=DGET(claves!$A$2:$AS423,O$2,{claves!$A$2;$E312}),1,0)</f>
        <v>#VALUE!</v>
      </c>
      <c r="AM312" s="436" t="str">
        <f t="array" ref="AM312">IF(P312=DGET(claves!$A$2:$AS423,P$2,{claves!$A$2;$E312}),1,0)</f>
        <v>#VALUE!</v>
      </c>
      <c r="AN312" s="436" t="str">
        <f t="array" ref="AN312">IF(Q312=DGET(claves!$A$2:$AS423,Q$2,{claves!$A$2;$E312}),1,0)</f>
        <v>#VALUE!</v>
      </c>
      <c r="AO312" s="436" t="str">
        <f t="array" ref="AO312">IF(R312=DGET(claves!$A$2:$AS423,R$2,{claves!$A$2;$E312}),1,0)</f>
        <v>#VALUE!</v>
      </c>
      <c r="AP312" s="436" t="str">
        <f t="array" ref="AP312">IF(S312=DGET(claves!$A$2:$AS423,S$2,{claves!$A$2;$E312}),1,0)</f>
        <v>#VALUE!</v>
      </c>
      <c r="AQ312" s="436" t="str">
        <f t="array" ref="AQ312">IF(T312=DGET(claves!$A$2:$AS423,T$2,{claves!$A$2;$E312}),1,0)</f>
        <v>#VALUE!</v>
      </c>
      <c r="AR312" s="436" t="str">
        <f t="array" ref="AR312">IF(U312=DGET(claves!$A$2:$AS423,U$2,{claves!$A$2;$E312}),1,0)</f>
        <v>#VALUE!</v>
      </c>
      <c r="AS312" s="436" t="str">
        <f t="array" ref="AS312">IF(V312=DGET(claves!$A$2:$AS423,V$2,{claves!$A$2;$E312}),1,0)</f>
        <v>#VALUE!</v>
      </c>
      <c r="AT312" s="436" t="str">
        <f t="array" ref="AT312">IF(W312=DGET(claves!$A$2:$AS423,W$2,{claves!$A$2;$E312}),1,0)</f>
        <v>#VALUE!</v>
      </c>
      <c r="AU312" s="436" t="str">
        <f t="array" ref="AU312">IF(X312=DGET(claves!$A$2:$AS423,X$2,{claves!$A$2;$E312}),1,0)</f>
        <v>#VALUE!</v>
      </c>
      <c r="AV312" s="436" t="str">
        <f t="array" ref="AV312">IF(Y312=DGET(claves!$A$2:$AS423,Y$2,{claves!$A$2;$E312}),1,0)</f>
        <v>#VALUE!</v>
      </c>
      <c r="AW312" s="436" t="str">
        <f t="array" ref="AW312">IF(Z312=DGET(claves!$A$2:$AS423,Z$2,{claves!$A$2;$E312}),1,0)</f>
        <v>#VALUE!</v>
      </c>
      <c r="AX312" s="436" t="str">
        <f t="array" ref="AX312">IF(AA312=DGET(claves!$A$2:$AS423,AA$2,{claves!$A$2;$E312}),1,0)</f>
        <v>#VALUE!</v>
      </c>
      <c r="AY312" s="436" t="str">
        <f t="array" ref="AY312">IF(AB312=DGET(claves!$A$2:$AS423,AB$2,{claves!$A$2;$E312}),1,0)</f>
        <v>#VALUE!</v>
      </c>
      <c r="AZ312" s="436" t="str">
        <f t="array" ref="AZ312">IF(AC312=DGET(claves!$A$2:$AS423,AC$2,{claves!$A$2;$E312}),1,0)</f>
        <v>#VALUE!</v>
      </c>
      <c r="BA312" s="436" t="str">
        <f t="array" ref="BA312">IF(AD312=DGET(claves!$A$2:$AS423,AD$2,{claves!$A$2;$E312}),1,0)</f>
        <v>#VALUE!</v>
      </c>
      <c r="BB312" s="436" t="str">
        <f t="array" ref="BB312">IF(AE312=DGET(claves!$A$2:$AS423,AE$2,{claves!$A$2;$E312}),1,0)</f>
        <v>#VALUE!</v>
      </c>
      <c r="BC312" s="436" t="str">
        <f t="array" ref="BC312">IF(AF312=DGET(claves!$A$2:$AS423,AF$2,{claves!$A$2;$E312}),1,0)</f>
        <v>#VALUE!</v>
      </c>
      <c r="BD312" s="437" t="str">
        <f t="shared" si="1"/>
        <v>#VALUE!</v>
      </c>
      <c r="BE312" s="435"/>
      <c r="BF312" s="415"/>
    </row>
    <row r="313" ht="14.25" customHeight="1">
      <c r="A313" s="408">
        <v>311.0</v>
      </c>
      <c r="B313" s="153" t="s">
        <v>1927</v>
      </c>
      <c r="C313" s="153">
        <v>2024.0</v>
      </c>
      <c r="D313" s="77" t="s">
        <v>362</v>
      </c>
      <c r="E313" s="409" t="str">
        <f>IFERROR(__xludf.DUMMYFUNCTION("ARRAYFORMULA(JOIN("""", ARRAYFORMULA(MID(SPLIT(F313, "" ""), 1, 1))))
&amp;""/""&amp;G313"),"MC/6 Primaria")</f>
        <v>MC/6 Primaria</v>
      </c>
      <c r="F313" s="77" t="s">
        <v>1654</v>
      </c>
      <c r="G313" s="432" t="s">
        <v>22</v>
      </c>
      <c r="H313" s="433" t="s">
        <v>1935</v>
      </c>
      <c r="I313" s="433" t="s">
        <v>1744</v>
      </c>
      <c r="J313" s="433" t="s">
        <v>1987</v>
      </c>
      <c r="K313" s="432" t="s">
        <v>1665</v>
      </c>
      <c r="L313" s="415"/>
      <c r="M313" s="434" t="s">
        <v>1660</v>
      </c>
      <c r="N313" s="434" t="s">
        <v>1689</v>
      </c>
      <c r="O313" s="434" t="s">
        <v>1689</v>
      </c>
      <c r="P313" s="434" t="s">
        <v>1689</v>
      </c>
      <c r="Q313" s="434" t="s">
        <v>1659</v>
      </c>
      <c r="R313" s="434" t="s">
        <v>1661</v>
      </c>
      <c r="S313" s="434" t="s">
        <v>1659</v>
      </c>
      <c r="T313" s="434" t="s">
        <v>1659</v>
      </c>
      <c r="U313" s="434" t="s">
        <v>1659</v>
      </c>
      <c r="V313" s="434" t="s">
        <v>1689</v>
      </c>
      <c r="W313" s="434" t="s">
        <v>1661</v>
      </c>
      <c r="X313" s="434" t="s">
        <v>1689</v>
      </c>
      <c r="Y313" s="434" t="s">
        <v>1659</v>
      </c>
      <c r="Z313" s="434" t="s">
        <v>1661</v>
      </c>
      <c r="AA313" s="434" t="s">
        <v>1661</v>
      </c>
      <c r="AB313" s="434" t="s">
        <v>1689</v>
      </c>
      <c r="AC313" s="434" t="s">
        <v>1660</v>
      </c>
      <c r="AD313" s="434" t="s">
        <v>1661</v>
      </c>
      <c r="AE313" s="434" t="s">
        <v>1689</v>
      </c>
      <c r="AF313" s="434" t="s">
        <v>1660</v>
      </c>
      <c r="AG313" s="427">
        <v>14.0</v>
      </c>
      <c r="AH313" s="435" t="s">
        <v>24</v>
      </c>
      <c r="AI313" s="415"/>
      <c r="AJ313" s="436" t="str">
        <f t="array" ref="AJ313">IF(M313=DGET(claves!$A$2:$AS423,M$2,{claves!$A$2;$E313}),1,0)</f>
        <v>#VALUE!</v>
      </c>
      <c r="AK313" s="436" t="str">
        <f t="array" ref="AK313">IF(N313=DGET(claves!$A$2:$AS423,N$2,{claves!$A$2;$E313}),1,0)</f>
        <v>#VALUE!</v>
      </c>
      <c r="AL313" s="436" t="str">
        <f t="array" ref="AL313">IF(O313=DGET(claves!$A$2:$AS423,O$2,{claves!$A$2;$E313}),1,0)</f>
        <v>#VALUE!</v>
      </c>
      <c r="AM313" s="436" t="str">
        <f t="array" ref="AM313">IF(P313=DGET(claves!$A$2:$AS423,P$2,{claves!$A$2;$E313}),1,0)</f>
        <v>#VALUE!</v>
      </c>
      <c r="AN313" s="436" t="str">
        <f t="array" ref="AN313">IF(Q313=DGET(claves!$A$2:$AS423,Q$2,{claves!$A$2;$E313}),1,0)</f>
        <v>#VALUE!</v>
      </c>
      <c r="AO313" s="436" t="str">
        <f t="array" ref="AO313">IF(R313=DGET(claves!$A$2:$AS423,R$2,{claves!$A$2;$E313}),1,0)</f>
        <v>#VALUE!</v>
      </c>
      <c r="AP313" s="436" t="str">
        <f t="array" ref="AP313">IF(S313=DGET(claves!$A$2:$AS423,S$2,{claves!$A$2;$E313}),1,0)</f>
        <v>#VALUE!</v>
      </c>
      <c r="AQ313" s="436" t="str">
        <f t="array" ref="AQ313">IF(T313=DGET(claves!$A$2:$AS423,T$2,{claves!$A$2;$E313}),1,0)</f>
        <v>#VALUE!</v>
      </c>
      <c r="AR313" s="436" t="str">
        <f t="array" ref="AR313">IF(U313=DGET(claves!$A$2:$AS423,U$2,{claves!$A$2;$E313}),1,0)</f>
        <v>#VALUE!</v>
      </c>
      <c r="AS313" s="436" t="str">
        <f t="array" ref="AS313">IF(V313=DGET(claves!$A$2:$AS423,V$2,{claves!$A$2;$E313}),1,0)</f>
        <v>#VALUE!</v>
      </c>
      <c r="AT313" s="436" t="str">
        <f t="array" ref="AT313">IF(W313=DGET(claves!$A$2:$AS423,W$2,{claves!$A$2;$E313}),1,0)</f>
        <v>#VALUE!</v>
      </c>
      <c r="AU313" s="436" t="str">
        <f t="array" ref="AU313">IF(X313=DGET(claves!$A$2:$AS423,X$2,{claves!$A$2;$E313}),1,0)</f>
        <v>#VALUE!</v>
      </c>
      <c r="AV313" s="436" t="str">
        <f t="array" ref="AV313">IF(Y313=DGET(claves!$A$2:$AS423,Y$2,{claves!$A$2;$E313}),1,0)</f>
        <v>#VALUE!</v>
      </c>
      <c r="AW313" s="436" t="str">
        <f t="array" ref="AW313">IF(Z313=DGET(claves!$A$2:$AS423,Z$2,{claves!$A$2;$E313}),1,0)</f>
        <v>#VALUE!</v>
      </c>
      <c r="AX313" s="436" t="str">
        <f t="array" ref="AX313">IF(AA313=DGET(claves!$A$2:$AS423,AA$2,{claves!$A$2;$E313}),1,0)</f>
        <v>#VALUE!</v>
      </c>
      <c r="AY313" s="436" t="str">
        <f t="array" ref="AY313">IF(AB313=DGET(claves!$A$2:$AS423,AB$2,{claves!$A$2;$E313}),1,0)</f>
        <v>#VALUE!</v>
      </c>
      <c r="AZ313" s="436" t="str">
        <f t="array" ref="AZ313">IF(AC313=DGET(claves!$A$2:$AS423,AC$2,{claves!$A$2;$E313}),1,0)</f>
        <v>#VALUE!</v>
      </c>
      <c r="BA313" s="436" t="str">
        <f t="array" ref="BA313">IF(AD313=DGET(claves!$A$2:$AS423,AD$2,{claves!$A$2;$E313}),1,0)</f>
        <v>#VALUE!</v>
      </c>
      <c r="BB313" s="436" t="str">
        <f t="array" ref="BB313">IF(AE313=DGET(claves!$A$2:$AS423,AE$2,{claves!$A$2;$E313}),1,0)</f>
        <v>#VALUE!</v>
      </c>
      <c r="BC313" s="436" t="str">
        <f t="array" ref="BC313">IF(AF313=DGET(claves!$A$2:$AS423,AF$2,{claves!$A$2;$E313}),1,0)</f>
        <v>#VALUE!</v>
      </c>
      <c r="BD313" s="437" t="str">
        <f t="shared" si="1"/>
        <v>#VALUE!</v>
      </c>
      <c r="BE313" s="435" t="s">
        <v>1468</v>
      </c>
      <c r="BF313" s="415"/>
    </row>
    <row r="314" ht="14.25" customHeight="1">
      <c r="A314" s="408">
        <v>312.0</v>
      </c>
      <c r="B314" s="153" t="s">
        <v>1927</v>
      </c>
      <c r="C314" s="153">
        <v>2024.0</v>
      </c>
      <c r="D314" s="77" t="s">
        <v>1817</v>
      </c>
      <c r="E314" s="409" t="str">
        <f>IFERROR(__xludf.DUMMYFUNCTION("ARRAYFORMULA(JOIN("""", ARRAYFORMULA(MID(SPLIT(F314, "" ""), 1, 1))))
&amp;""/""&amp;G314"),"CLC/6 Primaria")</f>
        <v>CLC/6 Primaria</v>
      </c>
      <c r="F314" s="77" t="s">
        <v>1819</v>
      </c>
      <c r="G314" s="432" t="s">
        <v>22</v>
      </c>
      <c r="H314" s="433" t="s">
        <v>1935</v>
      </c>
      <c r="I314" s="433" t="s">
        <v>1744</v>
      </c>
      <c r="J314" s="433" t="s">
        <v>1987</v>
      </c>
      <c r="K314" s="432" t="s">
        <v>1665</v>
      </c>
      <c r="L314" s="415"/>
      <c r="M314" s="434" t="s">
        <v>1661</v>
      </c>
      <c r="N314" s="434" t="s">
        <v>1661</v>
      </c>
      <c r="O314" s="434" t="s">
        <v>1689</v>
      </c>
      <c r="P314" s="434" t="s">
        <v>1659</v>
      </c>
      <c r="Q314" s="434" t="s">
        <v>1660</v>
      </c>
      <c r="R314" s="434" t="s">
        <v>1689</v>
      </c>
      <c r="S314" s="434" t="s">
        <v>1659</v>
      </c>
      <c r="T314" s="434" t="s">
        <v>1661</v>
      </c>
      <c r="U314" s="434" t="s">
        <v>1689</v>
      </c>
      <c r="V314" s="434" t="s">
        <v>1660</v>
      </c>
      <c r="W314" s="434" t="s">
        <v>1660</v>
      </c>
      <c r="X314" s="434" t="s">
        <v>1689</v>
      </c>
      <c r="Y314" s="434" t="s">
        <v>1689</v>
      </c>
      <c r="Z314" s="434" t="s">
        <v>1661</v>
      </c>
      <c r="AA314" s="434" t="s">
        <v>1661</v>
      </c>
      <c r="AB314" s="434" t="s">
        <v>1660</v>
      </c>
      <c r="AC314" s="434" t="s">
        <v>1659</v>
      </c>
      <c r="AD314" s="434" t="s">
        <v>1660</v>
      </c>
      <c r="AE314" s="434" t="s">
        <v>1661</v>
      </c>
      <c r="AF314" s="434" t="s">
        <v>1660</v>
      </c>
      <c r="AG314" s="427">
        <v>13.0</v>
      </c>
      <c r="AH314" s="435" t="s">
        <v>24</v>
      </c>
      <c r="AI314" s="415"/>
      <c r="AJ314" s="436" t="str">
        <f t="array" ref="AJ314">IF(M314=DGET(claves!$A$2:$AS423,M$2,{claves!$A$2;$E314}),1,0)</f>
        <v>#VALUE!</v>
      </c>
      <c r="AK314" s="436" t="str">
        <f t="array" ref="AK314">IF(N314=DGET(claves!$A$2:$AS423,N$2,{claves!$A$2;$E314}),1,0)</f>
        <v>#VALUE!</v>
      </c>
      <c r="AL314" s="436" t="str">
        <f t="array" ref="AL314">IF(O314=DGET(claves!$A$2:$AS423,O$2,{claves!$A$2;$E314}),1,0)</f>
        <v>#VALUE!</v>
      </c>
      <c r="AM314" s="436" t="str">
        <f t="array" ref="AM314">IF(P314=DGET(claves!$A$2:$AS423,P$2,{claves!$A$2;$E314}),1,0)</f>
        <v>#VALUE!</v>
      </c>
      <c r="AN314" s="436" t="str">
        <f t="array" ref="AN314">IF(Q314=DGET(claves!$A$2:$AS423,Q$2,{claves!$A$2;$E314}),1,0)</f>
        <v>#VALUE!</v>
      </c>
      <c r="AO314" s="436" t="str">
        <f t="array" ref="AO314">IF(R314=DGET(claves!$A$2:$AS423,R$2,{claves!$A$2;$E314}),1,0)</f>
        <v>#VALUE!</v>
      </c>
      <c r="AP314" s="436" t="str">
        <f t="array" ref="AP314">IF(S314=DGET(claves!$A$2:$AS423,S$2,{claves!$A$2;$E314}),1,0)</f>
        <v>#VALUE!</v>
      </c>
      <c r="AQ314" s="436" t="str">
        <f t="array" ref="AQ314">IF(T314=DGET(claves!$A$2:$AS423,T$2,{claves!$A$2;$E314}),1,0)</f>
        <v>#VALUE!</v>
      </c>
      <c r="AR314" s="436" t="str">
        <f t="array" ref="AR314">IF(U314=DGET(claves!$A$2:$AS423,U$2,{claves!$A$2;$E314}),1,0)</f>
        <v>#VALUE!</v>
      </c>
      <c r="AS314" s="436" t="str">
        <f t="array" ref="AS314">IF(V314=DGET(claves!$A$2:$AS423,V$2,{claves!$A$2;$E314}),1,0)</f>
        <v>#VALUE!</v>
      </c>
      <c r="AT314" s="436" t="str">
        <f t="array" ref="AT314">IF(W314=DGET(claves!$A$2:$AS423,W$2,{claves!$A$2;$E314}),1,0)</f>
        <v>#VALUE!</v>
      </c>
      <c r="AU314" s="436" t="str">
        <f t="array" ref="AU314">IF(X314=DGET(claves!$A$2:$AS423,X$2,{claves!$A$2;$E314}),1,0)</f>
        <v>#VALUE!</v>
      </c>
      <c r="AV314" s="436" t="str">
        <f t="array" ref="AV314">IF(Y314=DGET(claves!$A$2:$AS423,Y$2,{claves!$A$2;$E314}),1,0)</f>
        <v>#VALUE!</v>
      </c>
      <c r="AW314" s="436" t="str">
        <f t="array" ref="AW314">IF(Z314=DGET(claves!$A$2:$AS423,Z$2,{claves!$A$2;$E314}),1,0)</f>
        <v>#VALUE!</v>
      </c>
      <c r="AX314" s="436" t="str">
        <f t="array" ref="AX314">IF(AA314=DGET(claves!$A$2:$AS423,AA$2,{claves!$A$2;$E314}),1,0)</f>
        <v>#VALUE!</v>
      </c>
      <c r="AY314" s="436" t="str">
        <f t="array" ref="AY314">IF(AB314=DGET(claves!$A$2:$AS423,AB$2,{claves!$A$2;$E314}),1,0)</f>
        <v>#VALUE!</v>
      </c>
      <c r="AZ314" s="436" t="str">
        <f t="array" ref="AZ314">IF(AC314=DGET(claves!$A$2:$AS423,AC$2,{claves!$A$2;$E314}),1,0)</f>
        <v>#VALUE!</v>
      </c>
      <c r="BA314" s="436" t="str">
        <f t="array" ref="BA314">IF(AD314=DGET(claves!$A$2:$AS423,AD$2,{claves!$A$2;$E314}),1,0)</f>
        <v>#VALUE!</v>
      </c>
      <c r="BB314" s="436" t="str">
        <f t="array" ref="BB314">IF(AE314=DGET(claves!$A$2:$AS423,AE$2,{claves!$A$2;$E314}),1,0)</f>
        <v>#VALUE!</v>
      </c>
      <c r="BC314" s="436" t="str">
        <f t="array" ref="BC314">IF(AF314=DGET(claves!$A$2:$AS423,AF$2,{claves!$A$2;$E314}),1,0)</f>
        <v>#VALUE!</v>
      </c>
      <c r="BD314" s="437" t="str">
        <f t="shared" si="1"/>
        <v>#VALUE!</v>
      </c>
      <c r="BE314" s="435"/>
      <c r="BF314" s="415"/>
    </row>
    <row r="315" ht="14.25" customHeight="1">
      <c r="A315" s="408">
        <v>313.0</v>
      </c>
      <c r="B315" s="153" t="s">
        <v>1927</v>
      </c>
      <c r="C315" s="153">
        <v>2024.0</v>
      </c>
      <c r="D315" s="77" t="s">
        <v>362</v>
      </c>
      <c r="E315" s="409" t="str">
        <f>IFERROR(__xludf.DUMMYFUNCTION("ARRAYFORMULA(JOIN("""", ARRAYFORMULA(MID(SPLIT(F315, "" ""), 1, 1))))
&amp;""/""&amp;G315"),"MC/6 Primaria")</f>
        <v>MC/6 Primaria</v>
      </c>
      <c r="F315" s="77" t="s">
        <v>1654</v>
      </c>
      <c r="G315" s="432" t="s">
        <v>22</v>
      </c>
      <c r="H315" s="433" t="s">
        <v>1988</v>
      </c>
      <c r="I315" s="433" t="s">
        <v>1989</v>
      </c>
      <c r="J315" s="433" t="s">
        <v>1990</v>
      </c>
      <c r="K315" s="433" t="s">
        <v>1658</v>
      </c>
      <c r="L315" s="415"/>
      <c r="M315" s="434" t="s">
        <v>1661</v>
      </c>
      <c r="N315" s="434" t="s">
        <v>1689</v>
      </c>
      <c r="O315" s="434" t="s">
        <v>1661</v>
      </c>
      <c r="P315" s="434" t="s">
        <v>1661</v>
      </c>
      <c r="Q315" s="434" t="s">
        <v>1659</v>
      </c>
      <c r="R315" s="434" t="s">
        <v>1689</v>
      </c>
      <c r="S315" s="434" t="s">
        <v>1659</v>
      </c>
      <c r="T315" s="434" t="s">
        <v>1660</v>
      </c>
      <c r="U315" s="434" t="s">
        <v>1659</v>
      </c>
      <c r="V315" s="434" t="s">
        <v>1659</v>
      </c>
      <c r="W315" s="434" t="s">
        <v>1661</v>
      </c>
      <c r="X315" s="434" t="s">
        <v>1689</v>
      </c>
      <c r="Y315" s="434" t="s">
        <v>1661</v>
      </c>
      <c r="Z315" s="434" t="s">
        <v>1661</v>
      </c>
      <c r="AA315" s="434" t="s">
        <v>1689</v>
      </c>
      <c r="AB315" s="434" t="s">
        <v>1661</v>
      </c>
      <c r="AC315" s="434" t="s">
        <v>1660</v>
      </c>
      <c r="AD315" s="434" t="s">
        <v>1659</v>
      </c>
      <c r="AE315" s="434" t="s">
        <v>1689</v>
      </c>
      <c r="AF315" s="434" t="s">
        <v>1659</v>
      </c>
      <c r="AG315" s="427">
        <v>11.0</v>
      </c>
      <c r="AH315" s="435" t="s">
        <v>24</v>
      </c>
      <c r="AI315" s="415"/>
      <c r="AJ315" s="436" t="str">
        <f t="array" ref="AJ315">IF(M315=DGET(claves!$A$2:$AS423,M$2,{claves!$A$2;$E315}),1,0)</f>
        <v>#VALUE!</v>
      </c>
      <c r="AK315" s="436" t="str">
        <f t="array" ref="AK315">IF(N315=DGET(claves!$A$2:$AS423,N$2,{claves!$A$2;$E315}),1,0)</f>
        <v>#VALUE!</v>
      </c>
      <c r="AL315" s="436" t="str">
        <f t="array" ref="AL315">IF(O315=DGET(claves!$A$2:$AS423,O$2,{claves!$A$2;$E315}),1,0)</f>
        <v>#VALUE!</v>
      </c>
      <c r="AM315" s="436" t="str">
        <f t="array" ref="AM315">IF(P315=DGET(claves!$A$2:$AS423,P$2,{claves!$A$2;$E315}),1,0)</f>
        <v>#VALUE!</v>
      </c>
      <c r="AN315" s="436" t="str">
        <f t="array" ref="AN315">IF(Q315=DGET(claves!$A$2:$AS423,Q$2,{claves!$A$2;$E315}),1,0)</f>
        <v>#VALUE!</v>
      </c>
      <c r="AO315" s="436" t="str">
        <f t="array" ref="AO315">IF(R315=DGET(claves!$A$2:$AS423,R$2,{claves!$A$2;$E315}),1,0)</f>
        <v>#VALUE!</v>
      </c>
      <c r="AP315" s="436" t="str">
        <f t="array" ref="AP315">IF(S315=DGET(claves!$A$2:$AS423,S$2,{claves!$A$2;$E315}),1,0)</f>
        <v>#VALUE!</v>
      </c>
      <c r="AQ315" s="436" t="str">
        <f t="array" ref="AQ315">IF(T315=DGET(claves!$A$2:$AS423,T$2,{claves!$A$2;$E315}),1,0)</f>
        <v>#VALUE!</v>
      </c>
      <c r="AR315" s="436" t="str">
        <f t="array" ref="AR315">IF(U315=DGET(claves!$A$2:$AS423,U$2,{claves!$A$2;$E315}),1,0)</f>
        <v>#VALUE!</v>
      </c>
      <c r="AS315" s="436" t="str">
        <f t="array" ref="AS315">IF(V315=DGET(claves!$A$2:$AS423,V$2,{claves!$A$2;$E315}),1,0)</f>
        <v>#VALUE!</v>
      </c>
      <c r="AT315" s="436" t="str">
        <f t="array" ref="AT315">IF(W315=DGET(claves!$A$2:$AS423,W$2,{claves!$A$2;$E315}),1,0)</f>
        <v>#VALUE!</v>
      </c>
      <c r="AU315" s="436" t="str">
        <f t="array" ref="AU315">IF(X315=DGET(claves!$A$2:$AS423,X$2,{claves!$A$2;$E315}),1,0)</f>
        <v>#VALUE!</v>
      </c>
      <c r="AV315" s="436" t="str">
        <f t="array" ref="AV315">IF(Y315=DGET(claves!$A$2:$AS423,Y$2,{claves!$A$2;$E315}),1,0)</f>
        <v>#VALUE!</v>
      </c>
      <c r="AW315" s="436" t="str">
        <f t="array" ref="AW315">IF(Z315=DGET(claves!$A$2:$AS423,Z$2,{claves!$A$2;$E315}),1,0)</f>
        <v>#VALUE!</v>
      </c>
      <c r="AX315" s="436" t="str">
        <f t="array" ref="AX315">IF(AA315=DGET(claves!$A$2:$AS423,AA$2,{claves!$A$2;$E315}),1,0)</f>
        <v>#VALUE!</v>
      </c>
      <c r="AY315" s="436" t="str">
        <f t="array" ref="AY315">IF(AB315=DGET(claves!$A$2:$AS423,AB$2,{claves!$A$2;$E315}),1,0)</f>
        <v>#VALUE!</v>
      </c>
      <c r="AZ315" s="436" t="str">
        <f t="array" ref="AZ315">IF(AC315=DGET(claves!$A$2:$AS423,AC$2,{claves!$A$2;$E315}),1,0)</f>
        <v>#VALUE!</v>
      </c>
      <c r="BA315" s="436" t="str">
        <f t="array" ref="BA315">IF(AD315=DGET(claves!$A$2:$AS423,AD$2,{claves!$A$2;$E315}),1,0)</f>
        <v>#VALUE!</v>
      </c>
      <c r="BB315" s="436" t="str">
        <f t="array" ref="BB315">IF(AE315=DGET(claves!$A$2:$AS423,AE$2,{claves!$A$2;$E315}),1,0)</f>
        <v>#VALUE!</v>
      </c>
      <c r="BC315" s="436" t="str">
        <f t="array" ref="BC315">IF(AF315=DGET(claves!$A$2:$AS423,AF$2,{claves!$A$2;$E315}),1,0)</f>
        <v>#VALUE!</v>
      </c>
      <c r="BD315" s="437" t="str">
        <f t="shared" si="1"/>
        <v>#VALUE!</v>
      </c>
      <c r="BE315" s="435" t="s">
        <v>1468</v>
      </c>
      <c r="BF315" s="415"/>
    </row>
    <row r="316" ht="14.25" customHeight="1">
      <c r="A316" s="408">
        <v>314.0</v>
      </c>
      <c r="B316" s="153" t="s">
        <v>1927</v>
      </c>
      <c r="C316" s="153">
        <v>2024.0</v>
      </c>
      <c r="D316" s="77" t="s">
        <v>1817</v>
      </c>
      <c r="E316" s="409" t="str">
        <f>IFERROR(__xludf.DUMMYFUNCTION("ARRAYFORMULA(JOIN("""", ARRAYFORMULA(MID(SPLIT(F316, "" ""), 1, 1))))
&amp;""/""&amp;G316"),"CLC/6 Primaria")</f>
        <v>CLC/6 Primaria</v>
      </c>
      <c r="F316" s="77" t="s">
        <v>1819</v>
      </c>
      <c r="G316" s="432" t="s">
        <v>22</v>
      </c>
      <c r="H316" s="433" t="s">
        <v>1988</v>
      </c>
      <c r="I316" s="433" t="s">
        <v>1989</v>
      </c>
      <c r="J316" s="433" t="s">
        <v>1990</v>
      </c>
      <c r="K316" s="433" t="s">
        <v>1658</v>
      </c>
      <c r="L316" s="415"/>
      <c r="M316" s="434" t="s">
        <v>1689</v>
      </c>
      <c r="N316" s="434" t="s">
        <v>1659</v>
      </c>
      <c r="O316" s="434" t="s">
        <v>1689</v>
      </c>
      <c r="P316" s="434" t="s">
        <v>1659</v>
      </c>
      <c r="Q316" s="434" t="s">
        <v>1689</v>
      </c>
      <c r="R316" s="434" t="s">
        <v>1659</v>
      </c>
      <c r="S316" s="434" t="s">
        <v>1689</v>
      </c>
      <c r="T316" s="434" t="s">
        <v>1661</v>
      </c>
      <c r="U316" s="434" t="s">
        <v>1689</v>
      </c>
      <c r="V316" s="434" t="s">
        <v>1659</v>
      </c>
      <c r="W316" s="434" t="s">
        <v>1659</v>
      </c>
      <c r="X316" s="434" t="s">
        <v>1659</v>
      </c>
      <c r="Y316" s="434" t="s">
        <v>1659</v>
      </c>
      <c r="Z316" s="434"/>
      <c r="AA316" s="434" t="s">
        <v>1661</v>
      </c>
      <c r="AB316" s="434" t="s">
        <v>1689</v>
      </c>
      <c r="AC316" s="434" t="s">
        <v>1660</v>
      </c>
      <c r="AD316" s="434" t="s">
        <v>1660</v>
      </c>
      <c r="AE316" s="434" t="s">
        <v>1661</v>
      </c>
      <c r="AF316" s="434"/>
      <c r="AG316" s="427">
        <v>9.0</v>
      </c>
      <c r="AH316" s="435" t="s">
        <v>18</v>
      </c>
      <c r="AI316" s="415"/>
      <c r="AJ316" s="436" t="str">
        <f t="array" ref="AJ316">IF(M316=DGET(claves!$A$2:$AS423,M$2,{claves!$A$2;$E316}),1,0)</f>
        <v>#VALUE!</v>
      </c>
      <c r="AK316" s="436" t="str">
        <f t="array" ref="AK316">IF(N316=DGET(claves!$A$2:$AS423,N$2,{claves!$A$2;$E316}),1,0)</f>
        <v>#VALUE!</v>
      </c>
      <c r="AL316" s="436" t="str">
        <f t="array" ref="AL316">IF(O316=DGET(claves!$A$2:$AS423,O$2,{claves!$A$2;$E316}),1,0)</f>
        <v>#VALUE!</v>
      </c>
      <c r="AM316" s="436" t="str">
        <f t="array" ref="AM316">IF(P316=DGET(claves!$A$2:$AS423,P$2,{claves!$A$2;$E316}),1,0)</f>
        <v>#VALUE!</v>
      </c>
      <c r="AN316" s="436" t="str">
        <f t="array" ref="AN316">IF(Q316=DGET(claves!$A$2:$AS423,Q$2,{claves!$A$2;$E316}),1,0)</f>
        <v>#VALUE!</v>
      </c>
      <c r="AO316" s="436" t="str">
        <f t="array" ref="AO316">IF(R316=DGET(claves!$A$2:$AS423,R$2,{claves!$A$2;$E316}),1,0)</f>
        <v>#VALUE!</v>
      </c>
      <c r="AP316" s="436" t="str">
        <f t="array" ref="AP316">IF(S316=DGET(claves!$A$2:$AS423,S$2,{claves!$A$2;$E316}),1,0)</f>
        <v>#VALUE!</v>
      </c>
      <c r="AQ316" s="436" t="str">
        <f t="array" ref="AQ316">IF(T316=DGET(claves!$A$2:$AS423,T$2,{claves!$A$2;$E316}),1,0)</f>
        <v>#VALUE!</v>
      </c>
      <c r="AR316" s="436" t="str">
        <f t="array" ref="AR316">IF(U316=DGET(claves!$A$2:$AS423,U$2,{claves!$A$2;$E316}),1,0)</f>
        <v>#VALUE!</v>
      </c>
      <c r="AS316" s="436" t="str">
        <f t="array" ref="AS316">IF(V316=DGET(claves!$A$2:$AS423,V$2,{claves!$A$2;$E316}),1,0)</f>
        <v>#VALUE!</v>
      </c>
      <c r="AT316" s="436" t="str">
        <f t="array" ref="AT316">IF(W316=DGET(claves!$A$2:$AS423,W$2,{claves!$A$2;$E316}),1,0)</f>
        <v>#VALUE!</v>
      </c>
      <c r="AU316" s="436" t="str">
        <f t="array" ref="AU316">IF(X316=DGET(claves!$A$2:$AS423,X$2,{claves!$A$2;$E316}),1,0)</f>
        <v>#VALUE!</v>
      </c>
      <c r="AV316" s="436" t="str">
        <f t="array" ref="AV316">IF(Y316=DGET(claves!$A$2:$AS423,Y$2,{claves!$A$2;$E316}),1,0)</f>
        <v>#VALUE!</v>
      </c>
      <c r="AW316" s="436" t="str">
        <f t="array" ref="AW316">IF(Z316=DGET(claves!$A$2:$AS423,Z$2,{claves!$A$2;$E316}),1,0)</f>
        <v>#VALUE!</v>
      </c>
      <c r="AX316" s="436" t="str">
        <f t="array" ref="AX316">IF(AA316=DGET(claves!$A$2:$AS423,AA$2,{claves!$A$2;$E316}),1,0)</f>
        <v>#VALUE!</v>
      </c>
      <c r="AY316" s="436" t="str">
        <f t="array" ref="AY316">IF(AB316=DGET(claves!$A$2:$AS423,AB$2,{claves!$A$2;$E316}),1,0)</f>
        <v>#VALUE!</v>
      </c>
      <c r="AZ316" s="436" t="str">
        <f t="array" ref="AZ316">IF(AC316=DGET(claves!$A$2:$AS423,AC$2,{claves!$A$2;$E316}),1,0)</f>
        <v>#VALUE!</v>
      </c>
      <c r="BA316" s="436" t="str">
        <f t="array" ref="BA316">IF(AD316=DGET(claves!$A$2:$AS423,AD$2,{claves!$A$2;$E316}),1,0)</f>
        <v>#VALUE!</v>
      </c>
      <c r="BB316" s="436" t="str">
        <f t="array" ref="BB316">IF(AE316=DGET(claves!$A$2:$AS423,AE$2,{claves!$A$2;$E316}),1,0)</f>
        <v>#VALUE!</v>
      </c>
      <c r="BC316" s="436" t="str">
        <f t="array" ref="BC316">IF(AF316=DGET(claves!$A$2:$AS423,AF$2,{claves!$A$2;$E316}),1,0)</f>
        <v>#VALUE!</v>
      </c>
      <c r="BD316" s="437" t="str">
        <f t="shared" si="1"/>
        <v>#VALUE!</v>
      </c>
      <c r="BE316" s="435"/>
      <c r="BF316" s="415"/>
    </row>
    <row r="317" ht="14.25" customHeight="1">
      <c r="A317" s="408">
        <v>315.0</v>
      </c>
      <c r="B317" s="153" t="s">
        <v>1927</v>
      </c>
      <c r="C317" s="153">
        <v>2024.0</v>
      </c>
      <c r="D317" s="77" t="s">
        <v>362</v>
      </c>
      <c r="E317" s="409" t="str">
        <f>IFERROR(__xludf.DUMMYFUNCTION("ARRAYFORMULA(JOIN("""", ARRAYFORMULA(MID(SPLIT(F317, "" ""), 1, 1))))
&amp;""/""&amp;G317"),"MC/6 Primaria")</f>
        <v>MC/6 Primaria</v>
      </c>
      <c r="F317" s="77" t="s">
        <v>1654</v>
      </c>
      <c r="G317" s="432" t="s">
        <v>22</v>
      </c>
      <c r="H317" s="433" t="s">
        <v>1904</v>
      </c>
      <c r="I317" s="433" t="s">
        <v>1991</v>
      </c>
      <c r="J317" s="433" t="s">
        <v>1992</v>
      </c>
      <c r="K317" s="432" t="s">
        <v>1665</v>
      </c>
      <c r="L317" s="415"/>
      <c r="M317" s="434"/>
      <c r="N317" s="434"/>
      <c r="O317" s="434"/>
      <c r="P317" s="434"/>
      <c r="Q317" s="434"/>
      <c r="R317" s="434"/>
      <c r="S317" s="434"/>
      <c r="T317" s="434"/>
      <c r="U317" s="434"/>
      <c r="V317" s="434"/>
      <c r="W317" s="434"/>
      <c r="X317" s="434"/>
      <c r="Y317" s="434"/>
      <c r="Z317" s="434"/>
      <c r="AA317" s="434"/>
      <c r="AB317" s="434"/>
      <c r="AC317" s="434"/>
      <c r="AD317" s="434"/>
      <c r="AE317" s="434"/>
      <c r="AF317" s="434"/>
      <c r="AG317" s="427">
        <v>0.0</v>
      </c>
      <c r="AH317" s="435" t="s">
        <v>1468</v>
      </c>
      <c r="AI317" s="415"/>
      <c r="AJ317" s="436" t="str">
        <f t="array" ref="AJ317">IF(M317=DGET(claves!$A$2:$AS423,M$2,{claves!$A$2;$E317}),1,0)</f>
        <v>#VALUE!</v>
      </c>
      <c r="AK317" s="436" t="str">
        <f t="array" ref="AK317">IF(N317=DGET(claves!$A$2:$AS423,N$2,{claves!$A$2;$E317}),1,0)</f>
        <v>#VALUE!</v>
      </c>
      <c r="AL317" s="436" t="str">
        <f t="array" ref="AL317">IF(O317=DGET(claves!$A$2:$AS423,O$2,{claves!$A$2;$E317}),1,0)</f>
        <v>#VALUE!</v>
      </c>
      <c r="AM317" s="436" t="str">
        <f t="array" ref="AM317">IF(P317=DGET(claves!$A$2:$AS423,P$2,{claves!$A$2;$E317}),1,0)</f>
        <v>#VALUE!</v>
      </c>
      <c r="AN317" s="436" t="str">
        <f t="array" ref="AN317">IF(Q317=DGET(claves!$A$2:$AS423,Q$2,{claves!$A$2;$E317}),1,0)</f>
        <v>#VALUE!</v>
      </c>
      <c r="AO317" s="436" t="str">
        <f t="array" ref="AO317">IF(R317=DGET(claves!$A$2:$AS423,R$2,{claves!$A$2;$E317}),1,0)</f>
        <v>#VALUE!</v>
      </c>
      <c r="AP317" s="436" t="str">
        <f t="array" ref="AP317">IF(S317=DGET(claves!$A$2:$AS423,S$2,{claves!$A$2;$E317}),1,0)</f>
        <v>#VALUE!</v>
      </c>
      <c r="AQ317" s="436" t="str">
        <f t="array" ref="AQ317">IF(T317=DGET(claves!$A$2:$AS423,T$2,{claves!$A$2;$E317}),1,0)</f>
        <v>#VALUE!</v>
      </c>
      <c r="AR317" s="436" t="str">
        <f t="array" ref="AR317">IF(U317=DGET(claves!$A$2:$AS423,U$2,{claves!$A$2;$E317}),1,0)</f>
        <v>#VALUE!</v>
      </c>
      <c r="AS317" s="436" t="str">
        <f t="array" ref="AS317">IF(V317=DGET(claves!$A$2:$AS423,V$2,{claves!$A$2;$E317}),1,0)</f>
        <v>#VALUE!</v>
      </c>
      <c r="AT317" s="436" t="str">
        <f t="array" ref="AT317">IF(W317=DGET(claves!$A$2:$AS423,W$2,{claves!$A$2;$E317}),1,0)</f>
        <v>#VALUE!</v>
      </c>
      <c r="AU317" s="436" t="str">
        <f t="array" ref="AU317">IF(X317=DGET(claves!$A$2:$AS423,X$2,{claves!$A$2;$E317}),1,0)</f>
        <v>#VALUE!</v>
      </c>
      <c r="AV317" s="436" t="str">
        <f t="array" ref="AV317">IF(Y317=DGET(claves!$A$2:$AS423,Y$2,{claves!$A$2;$E317}),1,0)</f>
        <v>#VALUE!</v>
      </c>
      <c r="AW317" s="436" t="str">
        <f t="array" ref="AW317">IF(Z317=DGET(claves!$A$2:$AS423,Z$2,{claves!$A$2;$E317}),1,0)</f>
        <v>#VALUE!</v>
      </c>
      <c r="AX317" s="436" t="str">
        <f t="array" ref="AX317">IF(AA317=DGET(claves!$A$2:$AS423,AA$2,{claves!$A$2;$E317}),1,0)</f>
        <v>#VALUE!</v>
      </c>
      <c r="AY317" s="436" t="str">
        <f t="array" ref="AY317">IF(AB317=DGET(claves!$A$2:$AS423,AB$2,{claves!$A$2;$E317}),1,0)</f>
        <v>#VALUE!</v>
      </c>
      <c r="AZ317" s="436" t="str">
        <f t="array" ref="AZ317">IF(AC317=DGET(claves!$A$2:$AS423,AC$2,{claves!$A$2;$E317}),1,0)</f>
        <v>#VALUE!</v>
      </c>
      <c r="BA317" s="436" t="str">
        <f t="array" ref="BA317">IF(AD317=DGET(claves!$A$2:$AS423,AD$2,{claves!$A$2;$E317}),1,0)</f>
        <v>#VALUE!</v>
      </c>
      <c r="BB317" s="436" t="str">
        <f t="array" ref="BB317">IF(AE317=DGET(claves!$A$2:$AS423,AE$2,{claves!$A$2;$E317}),1,0)</f>
        <v>#VALUE!</v>
      </c>
      <c r="BC317" s="436" t="str">
        <f t="array" ref="BC317">IF(AF317=DGET(claves!$A$2:$AS423,AF$2,{claves!$A$2;$E317}),1,0)</f>
        <v>#VALUE!</v>
      </c>
      <c r="BD317" s="437" t="str">
        <f t="shared" si="1"/>
        <v>#VALUE!</v>
      </c>
      <c r="BE317" s="435" t="s">
        <v>1468</v>
      </c>
      <c r="BF317" s="415"/>
    </row>
    <row r="318" ht="14.25" customHeight="1">
      <c r="A318" s="408">
        <v>316.0</v>
      </c>
      <c r="B318" s="153" t="s">
        <v>1927</v>
      </c>
      <c r="C318" s="153">
        <v>2024.0</v>
      </c>
      <c r="D318" s="77" t="s">
        <v>1817</v>
      </c>
      <c r="E318" s="409" t="str">
        <f>IFERROR(__xludf.DUMMYFUNCTION("ARRAYFORMULA(JOIN("""", ARRAYFORMULA(MID(SPLIT(F318, "" ""), 1, 1))))
&amp;""/""&amp;G318"),"CLC/6 Primaria")</f>
        <v>CLC/6 Primaria</v>
      </c>
      <c r="F318" s="77" t="s">
        <v>1819</v>
      </c>
      <c r="G318" s="432" t="s">
        <v>22</v>
      </c>
      <c r="H318" s="433" t="s">
        <v>1904</v>
      </c>
      <c r="I318" s="433" t="s">
        <v>1991</v>
      </c>
      <c r="J318" s="433" t="s">
        <v>1992</v>
      </c>
      <c r="K318" s="432" t="s">
        <v>1665</v>
      </c>
      <c r="L318" s="415"/>
      <c r="M318" s="434"/>
      <c r="N318" s="434"/>
      <c r="O318" s="434"/>
      <c r="P318" s="434"/>
      <c r="Q318" s="434"/>
      <c r="R318" s="434"/>
      <c r="S318" s="434"/>
      <c r="T318" s="434"/>
      <c r="U318" s="434"/>
      <c r="V318" s="434"/>
      <c r="W318" s="434"/>
      <c r="X318" s="434"/>
      <c r="Y318" s="434"/>
      <c r="Z318" s="434"/>
      <c r="AA318" s="434"/>
      <c r="AB318" s="434"/>
      <c r="AC318" s="434"/>
      <c r="AD318" s="434"/>
      <c r="AE318" s="434"/>
      <c r="AF318" s="434"/>
      <c r="AG318" s="427">
        <v>0.0</v>
      </c>
      <c r="AH318" s="435" t="s">
        <v>1468</v>
      </c>
      <c r="AI318" s="415"/>
      <c r="AJ318" s="436" t="str">
        <f t="array" ref="AJ318">IF(M318=DGET(claves!$A$2:$AS423,M$2,{claves!$A$2;$E318}),1,0)</f>
        <v>#VALUE!</v>
      </c>
      <c r="AK318" s="436" t="str">
        <f t="array" ref="AK318">IF(N318=DGET(claves!$A$2:$AS423,N$2,{claves!$A$2;$E318}),1,0)</f>
        <v>#VALUE!</v>
      </c>
      <c r="AL318" s="436" t="str">
        <f t="array" ref="AL318">IF(O318=DGET(claves!$A$2:$AS423,O$2,{claves!$A$2;$E318}),1,0)</f>
        <v>#VALUE!</v>
      </c>
      <c r="AM318" s="436" t="str">
        <f t="array" ref="AM318">IF(P318=DGET(claves!$A$2:$AS423,P$2,{claves!$A$2;$E318}),1,0)</f>
        <v>#VALUE!</v>
      </c>
      <c r="AN318" s="436" t="str">
        <f t="array" ref="AN318">IF(Q318=DGET(claves!$A$2:$AS423,Q$2,{claves!$A$2;$E318}),1,0)</f>
        <v>#VALUE!</v>
      </c>
      <c r="AO318" s="436" t="str">
        <f t="array" ref="AO318">IF(R318=DGET(claves!$A$2:$AS423,R$2,{claves!$A$2;$E318}),1,0)</f>
        <v>#VALUE!</v>
      </c>
      <c r="AP318" s="436" t="str">
        <f t="array" ref="AP318">IF(S318=DGET(claves!$A$2:$AS423,S$2,{claves!$A$2;$E318}),1,0)</f>
        <v>#VALUE!</v>
      </c>
      <c r="AQ318" s="436" t="str">
        <f t="array" ref="AQ318">IF(T318=DGET(claves!$A$2:$AS423,T$2,{claves!$A$2;$E318}),1,0)</f>
        <v>#VALUE!</v>
      </c>
      <c r="AR318" s="436" t="str">
        <f t="array" ref="AR318">IF(U318=DGET(claves!$A$2:$AS423,U$2,{claves!$A$2;$E318}),1,0)</f>
        <v>#VALUE!</v>
      </c>
      <c r="AS318" s="436" t="str">
        <f t="array" ref="AS318">IF(V318=DGET(claves!$A$2:$AS423,V$2,{claves!$A$2;$E318}),1,0)</f>
        <v>#VALUE!</v>
      </c>
      <c r="AT318" s="436" t="str">
        <f t="array" ref="AT318">IF(W318=DGET(claves!$A$2:$AS423,W$2,{claves!$A$2;$E318}),1,0)</f>
        <v>#VALUE!</v>
      </c>
      <c r="AU318" s="436" t="str">
        <f t="array" ref="AU318">IF(X318=DGET(claves!$A$2:$AS423,X$2,{claves!$A$2;$E318}),1,0)</f>
        <v>#VALUE!</v>
      </c>
      <c r="AV318" s="436" t="str">
        <f t="array" ref="AV318">IF(Y318=DGET(claves!$A$2:$AS423,Y$2,{claves!$A$2;$E318}),1,0)</f>
        <v>#VALUE!</v>
      </c>
      <c r="AW318" s="436" t="str">
        <f t="array" ref="AW318">IF(Z318=DGET(claves!$A$2:$AS423,Z$2,{claves!$A$2;$E318}),1,0)</f>
        <v>#VALUE!</v>
      </c>
      <c r="AX318" s="436" t="str">
        <f t="array" ref="AX318">IF(AA318=DGET(claves!$A$2:$AS423,AA$2,{claves!$A$2;$E318}),1,0)</f>
        <v>#VALUE!</v>
      </c>
      <c r="AY318" s="436" t="str">
        <f t="array" ref="AY318">IF(AB318=DGET(claves!$A$2:$AS423,AB$2,{claves!$A$2;$E318}),1,0)</f>
        <v>#VALUE!</v>
      </c>
      <c r="AZ318" s="436" t="str">
        <f t="array" ref="AZ318">IF(AC318=DGET(claves!$A$2:$AS423,AC$2,{claves!$A$2;$E318}),1,0)</f>
        <v>#VALUE!</v>
      </c>
      <c r="BA318" s="436" t="str">
        <f t="array" ref="BA318">IF(AD318=DGET(claves!$A$2:$AS423,AD$2,{claves!$A$2;$E318}),1,0)</f>
        <v>#VALUE!</v>
      </c>
      <c r="BB318" s="436" t="str">
        <f t="array" ref="BB318">IF(AE318=DGET(claves!$A$2:$AS423,AE$2,{claves!$A$2;$E318}),1,0)</f>
        <v>#VALUE!</v>
      </c>
      <c r="BC318" s="436" t="str">
        <f t="array" ref="BC318">IF(AF318=DGET(claves!$A$2:$AS423,AF$2,{claves!$A$2;$E318}),1,0)</f>
        <v>#VALUE!</v>
      </c>
      <c r="BD318" s="437" t="str">
        <f t="shared" si="1"/>
        <v>#VALUE!</v>
      </c>
      <c r="BE318" s="435"/>
      <c r="BF318" s="415"/>
    </row>
    <row r="319" ht="14.25" customHeight="1">
      <c r="A319" s="408">
        <v>317.0</v>
      </c>
      <c r="B319" s="153" t="s">
        <v>1927</v>
      </c>
      <c r="C319" s="153">
        <v>2024.0</v>
      </c>
      <c r="D319" s="77" t="s">
        <v>362</v>
      </c>
      <c r="E319" s="409" t="str">
        <f>IFERROR(__xludf.DUMMYFUNCTION("ARRAYFORMULA(JOIN("""", ARRAYFORMULA(MID(SPLIT(F319, "" ""), 1, 1))))
&amp;""/""&amp;G319"),"MC/6 Primaria")</f>
        <v>MC/6 Primaria</v>
      </c>
      <c r="F319" s="77" t="s">
        <v>1654</v>
      </c>
      <c r="G319" s="432" t="s">
        <v>22</v>
      </c>
      <c r="H319" s="433" t="s">
        <v>1769</v>
      </c>
      <c r="I319" s="433" t="s">
        <v>1667</v>
      </c>
      <c r="J319" s="433" t="s">
        <v>1993</v>
      </c>
      <c r="K319" s="432" t="s">
        <v>1665</v>
      </c>
      <c r="L319" s="415"/>
      <c r="M319" s="434" t="s">
        <v>1660</v>
      </c>
      <c r="N319" s="434" t="s">
        <v>1689</v>
      </c>
      <c r="O319" s="434" t="s">
        <v>1661</v>
      </c>
      <c r="P319" s="434" t="s">
        <v>1689</v>
      </c>
      <c r="Q319" s="434" t="s">
        <v>1659</v>
      </c>
      <c r="R319" s="434" t="s">
        <v>1659</v>
      </c>
      <c r="S319" s="434" t="s">
        <v>1659</v>
      </c>
      <c r="T319" s="434" t="s">
        <v>1661</v>
      </c>
      <c r="U319" s="434" t="s">
        <v>1659</v>
      </c>
      <c r="V319" s="434" t="s">
        <v>1689</v>
      </c>
      <c r="W319" s="434" t="s">
        <v>1661</v>
      </c>
      <c r="X319" s="434" t="s">
        <v>1689</v>
      </c>
      <c r="Y319" s="434" t="s">
        <v>1661</v>
      </c>
      <c r="Z319" s="434" t="s">
        <v>1661</v>
      </c>
      <c r="AA319" s="434" t="s">
        <v>1689</v>
      </c>
      <c r="AB319" s="434" t="s">
        <v>1689</v>
      </c>
      <c r="AC319" s="434" t="s">
        <v>1661</v>
      </c>
      <c r="AD319" s="434" t="s">
        <v>1659</v>
      </c>
      <c r="AE319" s="434" t="s">
        <v>1689</v>
      </c>
      <c r="AF319" s="434" t="s">
        <v>1660</v>
      </c>
      <c r="AG319" s="427">
        <v>15.0</v>
      </c>
      <c r="AH319" s="435" t="s">
        <v>24</v>
      </c>
      <c r="AI319" s="415"/>
      <c r="AJ319" s="436" t="str">
        <f t="array" ref="AJ319">IF(M319=DGET(claves!$A$2:$AS423,M$2,{claves!$A$2;$E319}),1,0)</f>
        <v>#VALUE!</v>
      </c>
      <c r="AK319" s="436" t="str">
        <f t="array" ref="AK319">IF(N319=DGET(claves!$A$2:$AS423,N$2,{claves!$A$2;$E319}),1,0)</f>
        <v>#VALUE!</v>
      </c>
      <c r="AL319" s="436" t="str">
        <f t="array" ref="AL319">IF(O319=DGET(claves!$A$2:$AS423,O$2,{claves!$A$2;$E319}),1,0)</f>
        <v>#VALUE!</v>
      </c>
      <c r="AM319" s="436" t="str">
        <f t="array" ref="AM319">IF(P319=DGET(claves!$A$2:$AS423,P$2,{claves!$A$2;$E319}),1,0)</f>
        <v>#VALUE!</v>
      </c>
      <c r="AN319" s="436" t="str">
        <f t="array" ref="AN319">IF(Q319=DGET(claves!$A$2:$AS423,Q$2,{claves!$A$2;$E319}),1,0)</f>
        <v>#VALUE!</v>
      </c>
      <c r="AO319" s="436" t="str">
        <f t="array" ref="AO319">IF(R319=DGET(claves!$A$2:$AS423,R$2,{claves!$A$2;$E319}),1,0)</f>
        <v>#VALUE!</v>
      </c>
      <c r="AP319" s="436" t="str">
        <f t="array" ref="AP319">IF(S319=DGET(claves!$A$2:$AS423,S$2,{claves!$A$2;$E319}),1,0)</f>
        <v>#VALUE!</v>
      </c>
      <c r="AQ319" s="436" t="str">
        <f t="array" ref="AQ319">IF(T319=DGET(claves!$A$2:$AS423,T$2,{claves!$A$2;$E319}),1,0)</f>
        <v>#VALUE!</v>
      </c>
      <c r="AR319" s="436" t="str">
        <f t="array" ref="AR319">IF(U319=DGET(claves!$A$2:$AS423,U$2,{claves!$A$2;$E319}),1,0)</f>
        <v>#VALUE!</v>
      </c>
      <c r="AS319" s="436" t="str">
        <f t="array" ref="AS319">IF(V319=DGET(claves!$A$2:$AS423,V$2,{claves!$A$2;$E319}),1,0)</f>
        <v>#VALUE!</v>
      </c>
      <c r="AT319" s="436" t="str">
        <f t="array" ref="AT319">IF(W319=DGET(claves!$A$2:$AS423,W$2,{claves!$A$2;$E319}),1,0)</f>
        <v>#VALUE!</v>
      </c>
      <c r="AU319" s="436" t="str">
        <f t="array" ref="AU319">IF(X319=DGET(claves!$A$2:$AS423,X$2,{claves!$A$2;$E319}),1,0)</f>
        <v>#VALUE!</v>
      </c>
      <c r="AV319" s="436" t="str">
        <f t="array" ref="AV319">IF(Y319=DGET(claves!$A$2:$AS423,Y$2,{claves!$A$2;$E319}),1,0)</f>
        <v>#VALUE!</v>
      </c>
      <c r="AW319" s="436" t="str">
        <f t="array" ref="AW319">IF(Z319=DGET(claves!$A$2:$AS423,Z$2,{claves!$A$2;$E319}),1,0)</f>
        <v>#VALUE!</v>
      </c>
      <c r="AX319" s="436" t="str">
        <f t="array" ref="AX319">IF(AA319=DGET(claves!$A$2:$AS423,AA$2,{claves!$A$2;$E319}),1,0)</f>
        <v>#VALUE!</v>
      </c>
      <c r="AY319" s="436" t="str">
        <f t="array" ref="AY319">IF(AB319=DGET(claves!$A$2:$AS423,AB$2,{claves!$A$2;$E319}),1,0)</f>
        <v>#VALUE!</v>
      </c>
      <c r="AZ319" s="436" t="str">
        <f t="array" ref="AZ319">IF(AC319=DGET(claves!$A$2:$AS423,AC$2,{claves!$A$2;$E319}),1,0)</f>
        <v>#VALUE!</v>
      </c>
      <c r="BA319" s="436" t="str">
        <f t="array" ref="BA319">IF(AD319=DGET(claves!$A$2:$AS423,AD$2,{claves!$A$2;$E319}),1,0)</f>
        <v>#VALUE!</v>
      </c>
      <c r="BB319" s="436" t="str">
        <f t="array" ref="BB319">IF(AE319=DGET(claves!$A$2:$AS423,AE$2,{claves!$A$2;$E319}),1,0)</f>
        <v>#VALUE!</v>
      </c>
      <c r="BC319" s="436" t="str">
        <f t="array" ref="BC319">IF(AF319=DGET(claves!$A$2:$AS423,AF$2,{claves!$A$2;$E319}),1,0)</f>
        <v>#VALUE!</v>
      </c>
      <c r="BD319" s="437" t="str">
        <f t="shared" si="1"/>
        <v>#VALUE!</v>
      </c>
      <c r="BE319" s="435" t="s">
        <v>1468</v>
      </c>
      <c r="BF319" s="415"/>
    </row>
    <row r="320" ht="14.25" customHeight="1">
      <c r="A320" s="408">
        <v>318.0</v>
      </c>
      <c r="B320" s="153" t="s">
        <v>1927</v>
      </c>
      <c r="C320" s="153">
        <v>2024.0</v>
      </c>
      <c r="D320" s="77" t="s">
        <v>1817</v>
      </c>
      <c r="E320" s="409" t="str">
        <f>IFERROR(__xludf.DUMMYFUNCTION("ARRAYFORMULA(JOIN("""", ARRAYFORMULA(MID(SPLIT(F320, "" ""), 1, 1))))
&amp;""/""&amp;G320"),"CLC/6 Primaria")</f>
        <v>CLC/6 Primaria</v>
      </c>
      <c r="F320" s="77" t="s">
        <v>1819</v>
      </c>
      <c r="G320" s="432" t="s">
        <v>22</v>
      </c>
      <c r="H320" s="433" t="s">
        <v>1769</v>
      </c>
      <c r="I320" s="433" t="s">
        <v>1667</v>
      </c>
      <c r="J320" s="433" t="s">
        <v>1993</v>
      </c>
      <c r="K320" s="432" t="s">
        <v>1665</v>
      </c>
      <c r="L320" s="415"/>
      <c r="M320" s="434" t="s">
        <v>1661</v>
      </c>
      <c r="N320" s="434" t="s">
        <v>1661</v>
      </c>
      <c r="O320" s="434" t="s">
        <v>1689</v>
      </c>
      <c r="P320" s="434" t="s">
        <v>1659</v>
      </c>
      <c r="Q320" s="434" t="s">
        <v>1689</v>
      </c>
      <c r="R320" s="434" t="s">
        <v>1689</v>
      </c>
      <c r="S320" s="434" t="s">
        <v>1661</v>
      </c>
      <c r="T320" s="434" t="s">
        <v>1661</v>
      </c>
      <c r="U320" s="434" t="s">
        <v>1689</v>
      </c>
      <c r="V320" s="434" t="s">
        <v>1689</v>
      </c>
      <c r="W320" s="434" t="s">
        <v>1689</v>
      </c>
      <c r="X320" s="434" t="s">
        <v>1689</v>
      </c>
      <c r="Y320" s="434" t="s">
        <v>1689</v>
      </c>
      <c r="Z320" s="434" t="s">
        <v>1689</v>
      </c>
      <c r="AA320" s="434" t="s">
        <v>1661</v>
      </c>
      <c r="AB320" s="434" t="s">
        <v>1689</v>
      </c>
      <c r="AC320" s="434" t="s">
        <v>1659</v>
      </c>
      <c r="AD320" s="434" t="s">
        <v>1660</v>
      </c>
      <c r="AE320" s="434" t="s">
        <v>1659</v>
      </c>
      <c r="AF320" s="434" t="s">
        <v>1689</v>
      </c>
      <c r="AG320" s="427">
        <v>16.0</v>
      </c>
      <c r="AH320" s="435" t="s">
        <v>24</v>
      </c>
      <c r="AI320" s="415"/>
      <c r="AJ320" s="436" t="str">
        <f t="array" ref="AJ320">IF(M320=DGET(claves!$A$2:$AS423,M$2,{claves!$A$2;$E320}),1,0)</f>
        <v>#VALUE!</v>
      </c>
      <c r="AK320" s="436" t="str">
        <f t="array" ref="AK320">IF(N320=DGET(claves!$A$2:$AS423,N$2,{claves!$A$2;$E320}),1,0)</f>
        <v>#VALUE!</v>
      </c>
      <c r="AL320" s="436" t="str">
        <f t="array" ref="AL320">IF(O320=DGET(claves!$A$2:$AS423,O$2,{claves!$A$2;$E320}),1,0)</f>
        <v>#VALUE!</v>
      </c>
      <c r="AM320" s="436" t="str">
        <f t="array" ref="AM320">IF(P320=DGET(claves!$A$2:$AS423,P$2,{claves!$A$2;$E320}),1,0)</f>
        <v>#VALUE!</v>
      </c>
      <c r="AN320" s="436" t="str">
        <f t="array" ref="AN320">IF(Q320=DGET(claves!$A$2:$AS423,Q$2,{claves!$A$2;$E320}),1,0)</f>
        <v>#VALUE!</v>
      </c>
      <c r="AO320" s="436" t="str">
        <f t="array" ref="AO320">IF(R320=DGET(claves!$A$2:$AS423,R$2,{claves!$A$2;$E320}),1,0)</f>
        <v>#VALUE!</v>
      </c>
      <c r="AP320" s="436" t="str">
        <f t="array" ref="AP320">IF(S320=DGET(claves!$A$2:$AS423,S$2,{claves!$A$2;$E320}),1,0)</f>
        <v>#VALUE!</v>
      </c>
      <c r="AQ320" s="436" t="str">
        <f t="array" ref="AQ320">IF(T320=DGET(claves!$A$2:$AS423,T$2,{claves!$A$2;$E320}),1,0)</f>
        <v>#VALUE!</v>
      </c>
      <c r="AR320" s="436" t="str">
        <f t="array" ref="AR320">IF(U320=DGET(claves!$A$2:$AS423,U$2,{claves!$A$2;$E320}),1,0)</f>
        <v>#VALUE!</v>
      </c>
      <c r="AS320" s="436" t="str">
        <f t="array" ref="AS320">IF(V320=DGET(claves!$A$2:$AS423,V$2,{claves!$A$2;$E320}),1,0)</f>
        <v>#VALUE!</v>
      </c>
      <c r="AT320" s="436" t="str">
        <f t="array" ref="AT320">IF(W320=DGET(claves!$A$2:$AS423,W$2,{claves!$A$2;$E320}),1,0)</f>
        <v>#VALUE!</v>
      </c>
      <c r="AU320" s="436" t="str">
        <f t="array" ref="AU320">IF(X320=DGET(claves!$A$2:$AS423,X$2,{claves!$A$2;$E320}),1,0)</f>
        <v>#VALUE!</v>
      </c>
      <c r="AV320" s="436" t="str">
        <f t="array" ref="AV320">IF(Y320=DGET(claves!$A$2:$AS423,Y$2,{claves!$A$2;$E320}),1,0)</f>
        <v>#VALUE!</v>
      </c>
      <c r="AW320" s="436" t="str">
        <f t="array" ref="AW320">IF(Z320=DGET(claves!$A$2:$AS423,Z$2,{claves!$A$2;$E320}),1,0)</f>
        <v>#VALUE!</v>
      </c>
      <c r="AX320" s="436" t="str">
        <f t="array" ref="AX320">IF(AA320=DGET(claves!$A$2:$AS423,AA$2,{claves!$A$2;$E320}),1,0)</f>
        <v>#VALUE!</v>
      </c>
      <c r="AY320" s="436" t="str">
        <f t="array" ref="AY320">IF(AB320=DGET(claves!$A$2:$AS423,AB$2,{claves!$A$2;$E320}),1,0)</f>
        <v>#VALUE!</v>
      </c>
      <c r="AZ320" s="436" t="str">
        <f t="array" ref="AZ320">IF(AC320=DGET(claves!$A$2:$AS423,AC$2,{claves!$A$2;$E320}),1,0)</f>
        <v>#VALUE!</v>
      </c>
      <c r="BA320" s="436" t="str">
        <f t="array" ref="BA320">IF(AD320=DGET(claves!$A$2:$AS423,AD$2,{claves!$A$2;$E320}),1,0)</f>
        <v>#VALUE!</v>
      </c>
      <c r="BB320" s="436" t="str">
        <f t="array" ref="BB320">IF(AE320=DGET(claves!$A$2:$AS423,AE$2,{claves!$A$2;$E320}),1,0)</f>
        <v>#VALUE!</v>
      </c>
      <c r="BC320" s="436" t="str">
        <f t="array" ref="BC320">IF(AF320=DGET(claves!$A$2:$AS423,AF$2,{claves!$A$2;$E320}),1,0)</f>
        <v>#VALUE!</v>
      </c>
      <c r="BD320" s="437" t="str">
        <f t="shared" si="1"/>
        <v>#VALUE!</v>
      </c>
      <c r="BE320" s="435"/>
      <c r="BF320" s="415"/>
    </row>
    <row r="321" ht="14.25" customHeight="1">
      <c r="A321" s="408">
        <v>319.0</v>
      </c>
      <c r="B321" s="153" t="s">
        <v>1927</v>
      </c>
      <c r="C321" s="153">
        <v>2024.0</v>
      </c>
      <c r="D321" s="77" t="s">
        <v>362</v>
      </c>
      <c r="E321" s="409" t="str">
        <f>IFERROR(__xludf.DUMMYFUNCTION("ARRAYFORMULA(JOIN("""", ARRAYFORMULA(MID(SPLIT(F321, "" ""), 1, 1))))
&amp;""/""&amp;G321"),"MC/6 Primaria")</f>
        <v>MC/6 Primaria</v>
      </c>
      <c r="F321" s="77" t="s">
        <v>1654</v>
      </c>
      <c r="G321" s="432" t="s">
        <v>22</v>
      </c>
      <c r="H321" s="433" t="s">
        <v>1994</v>
      </c>
      <c r="I321" s="433" t="s">
        <v>1935</v>
      </c>
      <c r="J321" s="433" t="s">
        <v>1995</v>
      </c>
      <c r="K321" s="433" t="s">
        <v>1658</v>
      </c>
      <c r="L321" s="415"/>
      <c r="M321" s="434" t="s">
        <v>1660</v>
      </c>
      <c r="N321" s="434" t="s">
        <v>1689</v>
      </c>
      <c r="O321" s="434" t="s">
        <v>1661</v>
      </c>
      <c r="P321" s="434" t="s">
        <v>1689</v>
      </c>
      <c r="Q321" s="434" t="s">
        <v>1659</v>
      </c>
      <c r="R321" s="434" t="s">
        <v>1659</v>
      </c>
      <c r="S321" s="434" t="s">
        <v>1659</v>
      </c>
      <c r="T321" s="434" t="s">
        <v>1659</v>
      </c>
      <c r="U321" s="434" t="s">
        <v>1659</v>
      </c>
      <c r="V321" s="434" t="s">
        <v>1689</v>
      </c>
      <c r="W321" s="434" t="s">
        <v>1661</v>
      </c>
      <c r="X321" s="434" t="s">
        <v>1689</v>
      </c>
      <c r="Y321" s="434" t="s">
        <v>1660</v>
      </c>
      <c r="Z321" s="434" t="s">
        <v>1661</v>
      </c>
      <c r="AA321" s="434" t="s">
        <v>1659</v>
      </c>
      <c r="AB321" s="434" t="s">
        <v>1661</v>
      </c>
      <c r="AC321" s="434" t="s">
        <v>1660</v>
      </c>
      <c r="AD321" s="434" t="s">
        <v>1659</v>
      </c>
      <c r="AE321" s="434" t="s">
        <v>1689</v>
      </c>
      <c r="AF321" s="434" t="s">
        <v>1661</v>
      </c>
      <c r="AG321" s="427">
        <v>19.0</v>
      </c>
      <c r="AH321" s="438" t="s">
        <v>32</v>
      </c>
      <c r="AI321" s="415"/>
      <c r="AJ321" s="436" t="str">
        <f t="array" ref="AJ321">IF(M321=DGET(claves!$A$2:$AS423,M$2,{claves!$A$2;$E321}),1,0)</f>
        <v>#VALUE!</v>
      </c>
      <c r="AK321" s="436" t="str">
        <f t="array" ref="AK321">IF(N321=DGET(claves!$A$2:$AS423,N$2,{claves!$A$2;$E321}),1,0)</f>
        <v>#VALUE!</v>
      </c>
      <c r="AL321" s="436" t="str">
        <f t="array" ref="AL321">IF(O321=DGET(claves!$A$2:$AS423,O$2,{claves!$A$2;$E321}),1,0)</f>
        <v>#VALUE!</v>
      </c>
      <c r="AM321" s="436" t="str">
        <f t="array" ref="AM321">IF(P321=DGET(claves!$A$2:$AS423,P$2,{claves!$A$2;$E321}),1,0)</f>
        <v>#VALUE!</v>
      </c>
      <c r="AN321" s="436" t="str">
        <f t="array" ref="AN321">IF(Q321=DGET(claves!$A$2:$AS423,Q$2,{claves!$A$2;$E321}),1,0)</f>
        <v>#VALUE!</v>
      </c>
      <c r="AO321" s="436" t="str">
        <f t="array" ref="AO321">IF(R321=DGET(claves!$A$2:$AS423,R$2,{claves!$A$2;$E321}),1,0)</f>
        <v>#VALUE!</v>
      </c>
      <c r="AP321" s="436" t="str">
        <f t="array" ref="AP321">IF(S321=DGET(claves!$A$2:$AS423,S$2,{claves!$A$2;$E321}),1,0)</f>
        <v>#VALUE!</v>
      </c>
      <c r="AQ321" s="436" t="str">
        <f t="array" ref="AQ321">IF(T321=DGET(claves!$A$2:$AS423,T$2,{claves!$A$2;$E321}),1,0)</f>
        <v>#VALUE!</v>
      </c>
      <c r="AR321" s="436" t="str">
        <f t="array" ref="AR321">IF(U321=DGET(claves!$A$2:$AS423,U$2,{claves!$A$2;$E321}),1,0)</f>
        <v>#VALUE!</v>
      </c>
      <c r="AS321" s="436" t="str">
        <f t="array" ref="AS321">IF(V321=DGET(claves!$A$2:$AS423,V$2,{claves!$A$2;$E321}),1,0)</f>
        <v>#VALUE!</v>
      </c>
      <c r="AT321" s="436" t="str">
        <f t="array" ref="AT321">IF(W321=DGET(claves!$A$2:$AS423,W$2,{claves!$A$2;$E321}),1,0)</f>
        <v>#VALUE!</v>
      </c>
      <c r="AU321" s="436" t="str">
        <f t="array" ref="AU321">IF(X321=DGET(claves!$A$2:$AS423,X$2,{claves!$A$2;$E321}),1,0)</f>
        <v>#VALUE!</v>
      </c>
      <c r="AV321" s="436" t="str">
        <f t="array" ref="AV321">IF(Y321=DGET(claves!$A$2:$AS423,Y$2,{claves!$A$2;$E321}),1,0)</f>
        <v>#VALUE!</v>
      </c>
      <c r="AW321" s="436" t="str">
        <f t="array" ref="AW321">IF(Z321=DGET(claves!$A$2:$AS423,Z$2,{claves!$A$2;$E321}),1,0)</f>
        <v>#VALUE!</v>
      </c>
      <c r="AX321" s="436" t="str">
        <f t="array" ref="AX321">IF(AA321=DGET(claves!$A$2:$AS423,AA$2,{claves!$A$2;$E321}),1,0)</f>
        <v>#VALUE!</v>
      </c>
      <c r="AY321" s="436" t="str">
        <f t="array" ref="AY321">IF(AB321=DGET(claves!$A$2:$AS423,AB$2,{claves!$A$2;$E321}),1,0)</f>
        <v>#VALUE!</v>
      </c>
      <c r="AZ321" s="436" t="str">
        <f t="array" ref="AZ321">IF(AC321=DGET(claves!$A$2:$AS423,AC$2,{claves!$A$2;$E321}),1,0)</f>
        <v>#VALUE!</v>
      </c>
      <c r="BA321" s="436" t="str">
        <f t="array" ref="BA321">IF(AD321=DGET(claves!$A$2:$AS423,AD$2,{claves!$A$2;$E321}),1,0)</f>
        <v>#VALUE!</v>
      </c>
      <c r="BB321" s="436" t="str">
        <f t="array" ref="BB321">IF(AE321=DGET(claves!$A$2:$AS423,AE$2,{claves!$A$2;$E321}),1,0)</f>
        <v>#VALUE!</v>
      </c>
      <c r="BC321" s="436" t="str">
        <f t="array" ref="BC321">IF(AF321=DGET(claves!$A$2:$AS423,AF$2,{claves!$A$2;$E321}),1,0)</f>
        <v>#VALUE!</v>
      </c>
      <c r="BD321" s="437" t="str">
        <f t="shared" si="1"/>
        <v>#VALUE!</v>
      </c>
      <c r="BE321" s="435" t="s">
        <v>1468</v>
      </c>
      <c r="BF321" s="415"/>
    </row>
    <row r="322" ht="14.25" customHeight="1">
      <c r="A322" s="408">
        <v>320.0</v>
      </c>
      <c r="B322" s="153" t="s">
        <v>1927</v>
      </c>
      <c r="C322" s="153">
        <v>2024.0</v>
      </c>
      <c r="D322" s="77" t="s">
        <v>1817</v>
      </c>
      <c r="E322" s="409" t="str">
        <f>IFERROR(__xludf.DUMMYFUNCTION("ARRAYFORMULA(JOIN("""", ARRAYFORMULA(MID(SPLIT(F322, "" ""), 1, 1))))
&amp;""/""&amp;G322"),"CLC/6 Primaria")</f>
        <v>CLC/6 Primaria</v>
      </c>
      <c r="F322" s="77" t="s">
        <v>1819</v>
      </c>
      <c r="G322" s="432" t="s">
        <v>22</v>
      </c>
      <c r="H322" s="433" t="s">
        <v>1994</v>
      </c>
      <c r="I322" s="433" t="s">
        <v>1935</v>
      </c>
      <c r="J322" s="433" t="s">
        <v>1995</v>
      </c>
      <c r="K322" s="433" t="s">
        <v>1658</v>
      </c>
      <c r="L322" s="415"/>
      <c r="M322" s="434" t="s">
        <v>1661</v>
      </c>
      <c r="N322" s="434" t="s">
        <v>1661</v>
      </c>
      <c r="O322" s="434" t="s">
        <v>1689</v>
      </c>
      <c r="P322" s="434" t="s">
        <v>1689</v>
      </c>
      <c r="Q322" s="434" t="s">
        <v>1660</v>
      </c>
      <c r="R322" s="434" t="s">
        <v>1689</v>
      </c>
      <c r="S322" s="434" t="s">
        <v>1661</v>
      </c>
      <c r="T322" s="434" t="s">
        <v>1661</v>
      </c>
      <c r="U322" s="434" t="s">
        <v>1661</v>
      </c>
      <c r="V322" s="434" t="s">
        <v>1660</v>
      </c>
      <c r="W322" s="434" t="s">
        <v>1689</v>
      </c>
      <c r="X322" s="434" t="s">
        <v>1661</v>
      </c>
      <c r="Y322" s="434" t="s">
        <v>1661</v>
      </c>
      <c r="Z322" s="434" t="s">
        <v>1661</v>
      </c>
      <c r="AA322" s="434" t="s">
        <v>1660</v>
      </c>
      <c r="AB322" s="434" t="s">
        <v>1689</v>
      </c>
      <c r="AC322" s="434" t="s">
        <v>1659</v>
      </c>
      <c r="AD322" s="434" t="s">
        <v>1660</v>
      </c>
      <c r="AE322" s="434" t="s">
        <v>1661</v>
      </c>
      <c r="AF322" s="434" t="s">
        <v>1689</v>
      </c>
      <c r="AG322" s="427">
        <v>14.0</v>
      </c>
      <c r="AH322" s="435" t="s">
        <v>24</v>
      </c>
      <c r="AI322" s="415"/>
      <c r="AJ322" s="436" t="str">
        <f t="array" ref="AJ322">IF(M322=DGET(claves!$A$2:$AS423,M$2,{claves!$A$2;$E322}),1,0)</f>
        <v>#VALUE!</v>
      </c>
      <c r="AK322" s="436" t="str">
        <f t="array" ref="AK322">IF(N322=DGET(claves!$A$2:$AS423,N$2,{claves!$A$2;$E322}),1,0)</f>
        <v>#VALUE!</v>
      </c>
      <c r="AL322" s="436" t="str">
        <f t="array" ref="AL322">IF(O322=DGET(claves!$A$2:$AS423,O$2,{claves!$A$2;$E322}),1,0)</f>
        <v>#VALUE!</v>
      </c>
      <c r="AM322" s="436" t="str">
        <f t="array" ref="AM322">IF(P322=DGET(claves!$A$2:$AS423,P$2,{claves!$A$2;$E322}),1,0)</f>
        <v>#VALUE!</v>
      </c>
      <c r="AN322" s="436" t="str">
        <f t="array" ref="AN322">IF(Q322=DGET(claves!$A$2:$AS423,Q$2,{claves!$A$2;$E322}),1,0)</f>
        <v>#VALUE!</v>
      </c>
      <c r="AO322" s="436" t="str">
        <f t="array" ref="AO322">IF(R322=DGET(claves!$A$2:$AS423,R$2,{claves!$A$2;$E322}),1,0)</f>
        <v>#VALUE!</v>
      </c>
      <c r="AP322" s="436" t="str">
        <f t="array" ref="AP322">IF(S322=DGET(claves!$A$2:$AS423,S$2,{claves!$A$2;$E322}),1,0)</f>
        <v>#VALUE!</v>
      </c>
      <c r="AQ322" s="436" t="str">
        <f t="array" ref="AQ322">IF(T322=DGET(claves!$A$2:$AS423,T$2,{claves!$A$2;$E322}),1,0)</f>
        <v>#VALUE!</v>
      </c>
      <c r="AR322" s="436" t="str">
        <f t="array" ref="AR322">IF(U322=DGET(claves!$A$2:$AS423,U$2,{claves!$A$2;$E322}),1,0)</f>
        <v>#VALUE!</v>
      </c>
      <c r="AS322" s="436" t="str">
        <f t="array" ref="AS322">IF(V322=DGET(claves!$A$2:$AS423,V$2,{claves!$A$2;$E322}),1,0)</f>
        <v>#VALUE!</v>
      </c>
      <c r="AT322" s="436" t="str">
        <f t="array" ref="AT322">IF(W322=DGET(claves!$A$2:$AS423,W$2,{claves!$A$2;$E322}),1,0)</f>
        <v>#VALUE!</v>
      </c>
      <c r="AU322" s="436" t="str">
        <f t="array" ref="AU322">IF(X322=DGET(claves!$A$2:$AS423,X$2,{claves!$A$2;$E322}),1,0)</f>
        <v>#VALUE!</v>
      </c>
      <c r="AV322" s="436" t="str">
        <f t="array" ref="AV322">IF(Y322=DGET(claves!$A$2:$AS423,Y$2,{claves!$A$2;$E322}),1,0)</f>
        <v>#VALUE!</v>
      </c>
      <c r="AW322" s="436" t="str">
        <f t="array" ref="AW322">IF(Z322=DGET(claves!$A$2:$AS423,Z$2,{claves!$A$2;$E322}),1,0)</f>
        <v>#VALUE!</v>
      </c>
      <c r="AX322" s="436" t="str">
        <f t="array" ref="AX322">IF(AA322=DGET(claves!$A$2:$AS423,AA$2,{claves!$A$2;$E322}),1,0)</f>
        <v>#VALUE!</v>
      </c>
      <c r="AY322" s="436" t="str">
        <f t="array" ref="AY322">IF(AB322=DGET(claves!$A$2:$AS423,AB$2,{claves!$A$2;$E322}),1,0)</f>
        <v>#VALUE!</v>
      </c>
      <c r="AZ322" s="436" t="str">
        <f t="array" ref="AZ322">IF(AC322=DGET(claves!$A$2:$AS423,AC$2,{claves!$A$2;$E322}),1,0)</f>
        <v>#VALUE!</v>
      </c>
      <c r="BA322" s="436" t="str">
        <f t="array" ref="BA322">IF(AD322=DGET(claves!$A$2:$AS423,AD$2,{claves!$A$2;$E322}),1,0)</f>
        <v>#VALUE!</v>
      </c>
      <c r="BB322" s="436" t="str">
        <f t="array" ref="BB322">IF(AE322=DGET(claves!$A$2:$AS423,AE$2,{claves!$A$2;$E322}),1,0)</f>
        <v>#VALUE!</v>
      </c>
      <c r="BC322" s="436" t="str">
        <f t="array" ref="BC322">IF(AF322=DGET(claves!$A$2:$AS423,AF$2,{claves!$A$2;$E322}),1,0)</f>
        <v>#VALUE!</v>
      </c>
      <c r="BD322" s="437" t="str">
        <f t="shared" si="1"/>
        <v>#VALUE!</v>
      </c>
      <c r="BE322" s="435"/>
      <c r="BF322" s="415"/>
    </row>
    <row r="323" ht="14.25" customHeight="1">
      <c r="A323" s="408">
        <v>321.0</v>
      </c>
      <c r="B323" s="153" t="s">
        <v>1927</v>
      </c>
      <c r="C323" s="153">
        <v>2024.0</v>
      </c>
      <c r="D323" s="77" t="s">
        <v>362</v>
      </c>
      <c r="E323" s="409" t="str">
        <f>IFERROR(__xludf.DUMMYFUNCTION("ARRAYFORMULA(JOIN("""", ARRAYFORMULA(MID(SPLIT(F323, "" ""), 1, 1))))
&amp;""/""&amp;G323"),"MC/6 Primaria")</f>
        <v>MC/6 Primaria</v>
      </c>
      <c r="F323" s="77" t="s">
        <v>1654</v>
      </c>
      <c r="G323" s="432" t="s">
        <v>22</v>
      </c>
      <c r="H323" s="433" t="s">
        <v>1996</v>
      </c>
      <c r="I323" s="433" t="s">
        <v>1989</v>
      </c>
      <c r="J323" s="433" t="s">
        <v>1997</v>
      </c>
      <c r="K323" s="433" t="s">
        <v>1658</v>
      </c>
      <c r="L323" s="415"/>
      <c r="M323" s="434" t="s">
        <v>1660</v>
      </c>
      <c r="N323" s="434" t="s">
        <v>1689</v>
      </c>
      <c r="O323" s="434" t="s">
        <v>1661</v>
      </c>
      <c r="P323" s="434" t="s">
        <v>1689</v>
      </c>
      <c r="Q323" s="434" t="s">
        <v>1659</v>
      </c>
      <c r="R323" s="434" t="s">
        <v>1659</v>
      </c>
      <c r="S323" s="434" t="s">
        <v>1659</v>
      </c>
      <c r="T323" s="434" t="s">
        <v>1659</v>
      </c>
      <c r="U323" s="434" t="s">
        <v>1659</v>
      </c>
      <c r="V323" s="434" t="s">
        <v>1689</v>
      </c>
      <c r="W323" s="434" t="s">
        <v>1661</v>
      </c>
      <c r="X323" s="434" t="s">
        <v>1689</v>
      </c>
      <c r="Y323" s="434" t="s">
        <v>1660</v>
      </c>
      <c r="Z323" s="434" t="s">
        <v>1661</v>
      </c>
      <c r="AA323" s="434" t="s">
        <v>1659</v>
      </c>
      <c r="AB323" s="434" t="s">
        <v>1689</v>
      </c>
      <c r="AC323" s="434" t="s">
        <v>1660</v>
      </c>
      <c r="AD323" s="434" t="s">
        <v>1659</v>
      </c>
      <c r="AE323" s="434" t="s">
        <v>1689</v>
      </c>
      <c r="AF323" s="434" t="s">
        <v>1661</v>
      </c>
      <c r="AG323" s="427">
        <v>20.0</v>
      </c>
      <c r="AH323" s="438" t="s">
        <v>32</v>
      </c>
      <c r="AI323" s="415"/>
      <c r="AJ323" s="436" t="str">
        <f t="array" ref="AJ323">IF(M323=DGET(claves!$A$2:$AS423,M$2,{claves!$A$2;$E323}),1,0)</f>
        <v>#VALUE!</v>
      </c>
      <c r="AK323" s="436" t="str">
        <f t="array" ref="AK323">IF(N323=DGET(claves!$A$2:$AS423,N$2,{claves!$A$2;$E323}),1,0)</f>
        <v>#VALUE!</v>
      </c>
      <c r="AL323" s="436" t="str">
        <f t="array" ref="AL323">IF(O323=DGET(claves!$A$2:$AS423,O$2,{claves!$A$2;$E323}),1,0)</f>
        <v>#VALUE!</v>
      </c>
      <c r="AM323" s="436" t="str">
        <f t="array" ref="AM323">IF(P323=DGET(claves!$A$2:$AS423,P$2,{claves!$A$2;$E323}),1,0)</f>
        <v>#VALUE!</v>
      </c>
      <c r="AN323" s="436" t="str">
        <f t="array" ref="AN323">IF(Q323=DGET(claves!$A$2:$AS423,Q$2,{claves!$A$2;$E323}),1,0)</f>
        <v>#VALUE!</v>
      </c>
      <c r="AO323" s="436" t="str">
        <f t="array" ref="AO323">IF(R323=DGET(claves!$A$2:$AS423,R$2,{claves!$A$2;$E323}),1,0)</f>
        <v>#VALUE!</v>
      </c>
      <c r="AP323" s="436" t="str">
        <f t="array" ref="AP323">IF(S323=DGET(claves!$A$2:$AS423,S$2,{claves!$A$2;$E323}),1,0)</f>
        <v>#VALUE!</v>
      </c>
      <c r="AQ323" s="436" t="str">
        <f t="array" ref="AQ323">IF(T323=DGET(claves!$A$2:$AS423,T$2,{claves!$A$2;$E323}),1,0)</f>
        <v>#VALUE!</v>
      </c>
      <c r="AR323" s="436" t="str">
        <f t="array" ref="AR323">IF(U323=DGET(claves!$A$2:$AS423,U$2,{claves!$A$2;$E323}),1,0)</f>
        <v>#VALUE!</v>
      </c>
      <c r="AS323" s="436" t="str">
        <f t="array" ref="AS323">IF(V323=DGET(claves!$A$2:$AS423,V$2,{claves!$A$2;$E323}),1,0)</f>
        <v>#VALUE!</v>
      </c>
      <c r="AT323" s="436" t="str">
        <f t="array" ref="AT323">IF(W323=DGET(claves!$A$2:$AS423,W$2,{claves!$A$2;$E323}),1,0)</f>
        <v>#VALUE!</v>
      </c>
      <c r="AU323" s="436" t="str">
        <f t="array" ref="AU323">IF(X323=DGET(claves!$A$2:$AS423,X$2,{claves!$A$2;$E323}),1,0)</f>
        <v>#VALUE!</v>
      </c>
      <c r="AV323" s="436" t="str">
        <f t="array" ref="AV323">IF(Y323=DGET(claves!$A$2:$AS423,Y$2,{claves!$A$2;$E323}),1,0)</f>
        <v>#VALUE!</v>
      </c>
      <c r="AW323" s="436" t="str">
        <f t="array" ref="AW323">IF(Z323=DGET(claves!$A$2:$AS423,Z$2,{claves!$A$2;$E323}),1,0)</f>
        <v>#VALUE!</v>
      </c>
      <c r="AX323" s="436" t="str">
        <f t="array" ref="AX323">IF(AA323=DGET(claves!$A$2:$AS423,AA$2,{claves!$A$2;$E323}),1,0)</f>
        <v>#VALUE!</v>
      </c>
      <c r="AY323" s="436" t="str">
        <f t="array" ref="AY323">IF(AB323=DGET(claves!$A$2:$AS423,AB$2,{claves!$A$2;$E323}),1,0)</f>
        <v>#VALUE!</v>
      </c>
      <c r="AZ323" s="436" t="str">
        <f t="array" ref="AZ323">IF(AC323=DGET(claves!$A$2:$AS423,AC$2,{claves!$A$2;$E323}),1,0)</f>
        <v>#VALUE!</v>
      </c>
      <c r="BA323" s="436" t="str">
        <f t="array" ref="BA323">IF(AD323=DGET(claves!$A$2:$AS423,AD$2,{claves!$A$2;$E323}),1,0)</f>
        <v>#VALUE!</v>
      </c>
      <c r="BB323" s="436" t="str">
        <f t="array" ref="BB323">IF(AE323=DGET(claves!$A$2:$AS423,AE$2,{claves!$A$2;$E323}),1,0)</f>
        <v>#VALUE!</v>
      </c>
      <c r="BC323" s="436" t="str">
        <f t="array" ref="BC323">IF(AF323=DGET(claves!$A$2:$AS423,AF$2,{claves!$A$2;$E323}),1,0)</f>
        <v>#VALUE!</v>
      </c>
      <c r="BD323" s="437" t="str">
        <f t="shared" si="1"/>
        <v>#VALUE!</v>
      </c>
      <c r="BE323" s="435" t="s">
        <v>1468</v>
      </c>
      <c r="BF323" s="415"/>
    </row>
    <row r="324" ht="14.25" customHeight="1">
      <c r="A324" s="408">
        <v>322.0</v>
      </c>
      <c r="B324" s="153" t="s">
        <v>1927</v>
      </c>
      <c r="C324" s="153">
        <v>2024.0</v>
      </c>
      <c r="D324" s="77" t="s">
        <v>1817</v>
      </c>
      <c r="E324" s="409" t="str">
        <f>IFERROR(__xludf.DUMMYFUNCTION("ARRAYFORMULA(JOIN("""", ARRAYFORMULA(MID(SPLIT(F324, "" ""), 1, 1))))
&amp;""/""&amp;G324"),"CLC/6 Primaria")</f>
        <v>CLC/6 Primaria</v>
      </c>
      <c r="F324" s="77" t="s">
        <v>1819</v>
      </c>
      <c r="G324" s="432" t="s">
        <v>22</v>
      </c>
      <c r="H324" s="433" t="s">
        <v>1996</v>
      </c>
      <c r="I324" s="433" t="s">
        <v>1989</v>
      </c>
      <c r="J324" s="433" t="s">
        <v>1997</v>
      </c>
      <c r="K324" s="433" t="s">
        <v>1658</v>
      </c>
      <c r="L324" s="415"/>
      <c r="M324" s="434" t="s">
        <v>1661</v>
      </c>
      <c r="N324" s="434" t="s">
        <v>1661</v>
      </c>
      <c r="O324" s="434" t="s">
        <v>1689</v>
      </c>
      <c r="P324" s="434" t="s">
        <v>1659</v>
      </c>
      <c r="Q324" s="434" t="s">
        <v>1689</v>
      </c>
      <c r="R324" s="434" t="s">
        <v>1689</v>
      </c>
      <c r="S324" s="434" t="s">
        <v>1661</v>
      </c>
      <c r="T324" s="434" t="s">
        <v>1661</v>
      </c>
      <c r="U324" s="434" t="s">
        <v>1661</v>
      </c>
      <c r="V324" s="434" t="s">
        <v>1659</v>
      </c>
      <c r="W324" s="434" t="s">
        <v>1660</v>
      </c>
      <c r="X324" s="434" t="s">
        <v>1689</v>
      </c>
      <c r="Y324" s="434" t="s">
        <v>1689</v>
      </c>
      <c r="Z324" s="434" t="s">
        <v>1661</v>
      </c>
      <c r="AA324" s="434" t="s">
        <v>1660</v>
      </c>
      <c r="AB324" s="434" t="s">
        <v>1689</v>
      </c>
      <c r="AC324" s="434" t="s">
        <v>1689</v>
      </c>
      <c r="AD324" s="434" t="s">
        <v>1660</v>
      </c>
      <c r="AE324" s="434" t="s">
        <v>1661</v>
      </c>
      <c r="AF324" s="434" t="s">
        <v>1689</v>
      </c>
      <c r="AG324" s="427">
        <v>17.0</v>
      </c>
      <c r="AH324" s="438" t="s">
        <v>32</v>
      </c>
      <c r="AI324" s="415"/>
      <c r="AJ324" s="436" t="str">
        <f t="array" ref="AJ324">IF(M324=DGET(claves!$A$2:$AS423,M$2,{claves!$A$2;$E324}),1,0)</f>
        <v>#VALUE!</v>
      </c>
      <c r="AK324" s="436" t="str">
        <f t="array" ref="AK324">IF(N324=DGET(claves!$A$2:$AS423,N$2,{claves!$A$2;$E324}),1,0)</f>
        <v>#VALUE!</v>
      </c>
      <c r="AL324" s="436" t="str">
        <f t="array" ref="AL324">IF(O324=DGET(claves!$A$2:$AS423,O$2,{claves!$A$2;$E324}),1,0)</f>
        <v>#VALUE!</v>
      </c>
      <c r="AM324" s="436" t="str">
        <f t="array" ref="AM324">IF(P324=DGET(claves!$A$2:$AS423,P$2,{claves!$A$2;$E324}),1,0)</f>
        <v>#VALUE!</v>
      </c>
      <c r="AN324" s="436" t="str">
        <f t="array" ref="AN324">IF(Q324=DGET(claves!$A$2:$AS423,Q$2,{claves!$A$2;$E324}),1,0)</f>
        <v>#VALUE!</v>
      </c>
      <c r="AO324" s="436" t="str">
        <f t="array" ref="AO324">IF(R324=DGET(claves!$A$2:$AS423,R$2,{claves!$A$2;$E324}),1,0)</f>
        <v>#VALUE!</v>
      </c>
      <c r="AP324" s="436" t="str">
        <f t="array" ref="AP324">IF(S324=DGET(claves!$A$2:$AS423,S$2,{claves!$A$2;$E324}),1,0)</f>
        <v>#VALUE!</v>
      </c>
      <c r="AQ324" s="436" t="str">
        <f t="array" ref="AQ324">IF(T324=DGET(claves!$A$2:$AS423,T$2,{claves!$A$2;$E324}),1,0)</f>
        <v>#VALUE!</v>
      </c>
      <c r="AR324" s="436" t="str">
        <f t="array" ref="AR324">IF(U324=DGET(claves!$A$2:$AS423,U$2,{claves!$A$2;$E324}),1,0)</f>
        <v>#VALUE!</v>
      </c>
      <c r="AS324" s="436" t="str">
        <f t="array" ref="AS324">IF(V324=DGET(claves!$A$2:$AS423,V$2,{claves!$A$2;$E324}),1,0)</f>
        <v>#VALUE!</v>
      </c>
      <c r="AT324" s="436" t="str">
        <f t="array" ref="AT324">IF(W324=DGET(claves!$A$2:$AS423,W$2,{claves!$A$2;$E324}),1,0)</f>
        <v>#VALUE!</v>
      </c>
      <c r="AU324" s="436" t="str">
        <f t="array" ref="AU324">IF(X324=DGET(claves!$A$2:$AS423,X$2,{claves!$A$2;$E324}),1,0)</f>
        <v>#VALUE!</v>
      </c>
      <c r="AV324" s="436" t="str">
        <f t="array" ref="AV324">IF(Y324=DGET(claves!$A$2:$AS423,Y$2,{claves!$A$2;$E324}),1,0)</f>
        <v>#VALUE!</v>
      </c>
      <c r="AW324" s="436" t="str">
        <f t="array" ref="AW324">IF(Z324=DGET(claves!$A$2:$AS423,Z$2,{claves!$A$2;$E324}),1,0)</f>
        <v>#VALUE!</v>
      </c>
      <c r="AX324" s="436" t="str">
        <f t="array" ref="AX324">IF(AA324=DGET(claves!$A$2:$AS423,AA$2,{claves!$A$2;$E324}),1,0)</f>
        <v>#VALUE!</v>
      </c>
      <c r="AY324" s="436" t="str">
        <f t="array" ref="AY324">IF(AB324=DGET(claves!$A$2:$AS423,AB$2,{claves!$A$2;$E324}),1,0)</f>
        <v>#VALUE!</v>
      </c>
      <c r="AZ324" s="436" t="str">
        <f t="array" ref="AZ324">IF(AC324=DGET(claves!$A$2:$AS423,AC$2,{claves!$A$2;$E324}),1,0)</f>
        <v>#VALUE!</v>
      </c>
      <c r="BA324" s="436" t="str">
        <f t="array" ref="BA324">IF(AD324=DGET(claves!$A$2:$AS423,AD$2,{claves!$A$2;$E324}),1,0)</f>
        <v>#VALUE!</v>
      </c>
      <c r="BB324" s="436" t="str">
        <f t="array" ref="BB324">IF(AE324=DGET(claves!$A$2:$AS423,AE$2,{claves!$A$2;$E324}),1,0)</f>
        <v>#VALUE!</v>
      </c>
      <c r="BC324" s="436" t="str">
        <f t="array" ref="BC324">IF(AF324=DGET(claves!$A$2:$AS423,AF$2,{claves!$A$2;$E324}),1,0)</f>
        <v>#VALUE!</v>
      </c>
      <c r="BD324" s="437" t="str">
        <f t="shared" si="1"/>
        <v>#VALUE!</v>
      </c>
      <c r="BE324" s="435"/>
      <c r="BF324" s="415"/>
    </row>
    <row r="325" ht="14.25" customHeight="1">
      <c r="A325" s="408">
        <v>323.0</v>
      </c>
      <c r="B325" s="153" t="s">
        <v>1927</v>
      </c>
      <c r="C325" s="153">
        <v>2024.0</v>
      </c>
      <c r="D325" s="77" t="s">
        <v>362</v>
      </c>
      <c r="E325" s="409" t="str">
        <f>IFERROR(__xludf.DUMMYFUNCTION("ARRAYFORMULA(JOIN("""", ARRAYFORMULA(MID(SPLIT(F325, "" ""), 1, 1))))
&amp;""/""&amp;G325"),"MC/6 Primaria")</f>
        <v>MC/6 Primaria</v>
      </c>
      <c r="F325" s="77" t="s">
        <v>1654</v>
      </c>
      <c r="G325" s="432" t="s">
        <v>22</v>
      </c>
      <c r="H325" s="433" t="s">
        <v>1761</v>
      </c>
      <c r="I325" s="433" t="s">
        <v>1737</v>
      </c>
      <c r="J325" s="433" t="s">
        <v>1998</v>
      </c>
      <c r="K325" s="433" t="s">
        <v>1658</v>
      </c>
      <c r="L325" s="415"/>
      <c r="M325" s="434" t="s">
        <v>1660</v>
      </c>
      <c r="N325" s="434" t="s">
        <v>1661</v>
      </c>
      <c r="O325" s="434" t="s">
        <v>1661</v>
      </c>
      <c r="P325" s="434" t="s">
        <v>1659</v>
      </c>
      <c r="Q325" s="434" t="s">
        <v>1659</v>
      </c>
      <c r="R325" s="434" t="s">
        <v>1659</v>
      </c>
      <c r="S325" s="434" t="s">
        <v>1659</v>
      </c>
      <c r="T325" s="434" t="s">
        <v>1659</v>
      </c>
      <c r="U325" s="434" t="s">
        <v>1659</v>
      </c>
      <c r="V325" s="434" t="s">
        <v>1689</v>
      </c>
      <c r="W325" s="434" t="s">
        <v>1661</v>
      </c>
      <c r="X325" s="434" t="s">
        <v>1689</v>
      </c>
      <c r="Y325" s="434" t="s">
        <v>1660</v>
      </c>
      <c r="Z325" s="434" t="s">
        <v>1661</v>
      </c>
      <c r="AA325" s="434" t="s">
        <v>1659</v>
      </c>
      <c r="AB325" s="434" t="s">
        <v>1689</v>
      </c>
      <c r="AC325" s="434" t="s">
        <v>1661</v>
      </c>
      <c r="AD325" s="434" t="s">
        <v>1659</v>
      </c>
      <c r="AE325" s="434" t="s">
        <v>1689</v>
      </c>
      <c r="AF325" s="434" t="s">
        <v>1661</v>
      </c>
      <c r="AG325" s="427">
        <v>17.0</v>
      </c>
      <c r="AH325" s="438" t="s">
        <v>32</v>
      </c>
      <c r="AI325" s="415"/>
      <c r="AJ325" s="436" t="str">
        <f t="array" ref="AJ325">IF(M325=DGET(claves!$A$2:$AS423,M$2,{claves!$A$2;$E325}),1,0)</f>
        <v>#VALUE!</v>
      </c>
      <c r="AK325" s="436" t="str">
        <f t="array" ref="AK325">IF(N325=DGET(claves!$A$2:$AS423,N$2,{claves!$A$2;$E325}),1,0)</f>
        <v>#VALUE!</v>
      </c>
      <c r="AL325" s="436" t="str">
        <f t="array" ref="AL325">IF(O325=DGET(claves!$A$2:$AS423,O$2,{claves!$A$2;$E325}),1,0)</f>
        <v>#VALUE!</v>
      </c>
      <c r="AM325" s="436" t="str">
        <f t="array" ref="AM325">IF(P325=DGET(claves!$A$2:$AS423,P$2,{claves!$A$2;$E325}),1,0)</f>
        <v>#VALUE!</v>
      </c>
      <c r="AN325" s="436" t="str">
        <f t="array" ref="AN325">IF(Q325=DGET(claves!$A$2:$AS423,Q$2,{claves!$A$2;$E325}),1,0)</f>
        <v>#VALUE!</v>
      </c>
      <c r="AO325" s="436" t="str">
        <f t="array" ref="AO325">IF(R325=DGET(claves!$A$2:$AS423,R$2,{claves!$A$2;$E325}),1,0)</f>
        <v>#VALUE!</v>
      </c>
      <c r="AP325" s="436" t="str">
        <f t="array" ref="AP325">IF(S325=DGET(claves!$A$2:$AS423,S$2,{claves!$A$2;$E325}),1,0)</f>
        <v>#VALUE!</v>
      </c>
      <c r="AQ325" s="436" t="str">
        <f t="array" ref="AQ325">IF(T325=DGET(claves!$A$2:$AS423,T$2,{claves!$A$2;$E325}),1,0)</f>
        <v>#VALUE!</v>
      </c>
      <c r="AR325" s="436" t="str">
        <f t="array" ref="AR325">IF(U325=DGET(claves!$A$2:$AS423,U$2,{claves!$A$2;$E325}),1,0)</f>
        <v>#VALUE!</v>
      </c>
      <c r="AS325" s="436" t="str">
        <f t="array" ref="AS325">IF(V325=DGET(claves!$A$2:$AS423,V$2,{claves!$A$2;$E325}),1,0)</f>
        <v>#VALUE!</v>
      </c>
      <c r="AT325" s="436" t="str">
        <f t="array" ref="AT325">IF(W325=DGET(claves!$A$2:$AS423,W$2,{claves!$A$2;$E325}),1,0)</f>
        <v>#VALUE!</v>
      </c>
      <c r="AU325" s="436" t="str">
        <f t="array" ref="AU325">IF(X325=DGET(claves!$A$2:$AS423,X$2,{claves!$A$2;$E325}),1,0)</f>
        <v>#VALUE!</v>
      </c>
      <c r="AV325" s="436" t="str">
        <f t="array" ref="AV325">IF(Y325=DGET(claves!$A$2:$AS423,Y$2,{claves!$A$2;$E325}),1,0)</f>
        <v>#VALUE!</v>
      </c>
      <c r="AW325" s="436" t="str">
        <f t="array" ref="AW325">IF(Z325=DGET(claves!$A$2:$AS423,Z$2,{claves!$A$2;$E325}),1,0)</f>
        <v>#VALUE!</v>
      </c>
      <c r="AX325" s="436" t="str">
        <f t="array" ref="AX325">IF(AA325=DGET(claves!$A$2:$AS423,AA$2,{claves!$A$2;$E325}),1,0)</f>
        <v>#VALUE!</v>
      </c>
      <c r="AY325" s="436" t="str">
        <f t="array" ref="AY325">IF(AB325=DGET(claves!$A$2:$AS423,AB$2,{claves!$A$2;$E325}),1,0)</f>
        <v>#VALUE!</v>
      </c>
      <c r="AZ325" s="436" t="str">
        <f t="array" ref="AZ325">IF(AC325=DGET(claves!$A$2:$AS423,AC$2,{claves!$A$2;$E325}),1,0)</f>
        <v>#VALUE!</v>
      </c>
      <c r="BA325" s="436" t="str">
        <f t="array" ref="BA325">IF(AD325=DGET(claves!$A$2:$AS423,AD$2,{claves!$A$2;$E325}),1,0)</f>
        <v>#VALUE!</v>
      </c>
      <c r="BB325" s="436" t="str">
        <f t="array" ref="BB325">IF(AE325=DGET(claves!$A$2:$AS423,AE$2,{claves!$A$2;$E325}),1,0)</f>
        <v>#VALUE!</v>
      </c>
      <c r="BC325" s="436" t="str">
        <f t="array" ref="BC325">IF(AF325=DGET(claves!$A$2:$AS423,AF$2,{claves!$A$2;$E325}),1,0)</f>
        <v>#VALUE!</v>
      </c>
      <c r="BD325" s="437" t="str">
        <f t="shared" si="1"/>
        <v>#VALUE!</v>
      </c>
      <c r="BE325" s="435" t="s">
        <v>1468</v>
      </c>
      <c r="BF325" s="415"/>
    </row>
    <row r="326" ht="14.25" customHeight="1">
      <c r="A326" s="408">
        <v>324.0</v>
      </c>
      <c r="B326" s="153" t="s">
        <v>1927</v>
      </c>
      <c r="C326" s="153">
        <v>2024.0</v>
      </c>
      <c r="D326" s="77" t="s">
        <v>1817</v>
      </c>
      <c r="E326" s="409" t="str">
        <f>IFERROR(__xludf.DUMMYFUNCTION("ARRAYFORMULA(JOIN("""", ARRAYFORMULA(MID(SPLIT(F326, "" ""), 1, 1))))
&amp;""/""&amp;G326"),"CLC/6 Primaria")</f>
        <v>CLC/6 Primaria</v>
      </c>
      <c r="F326" s="77" t="s">
        <v>1819</v>
      </c>
      <c r="G326" s="432" t="s">
        <v>22</v>
      </c>
      <c r="H326" s="433" t="s">
        <v>1761</v>
      </c>
      <c r="I326" s="433" t="s">
        <v>1737</v>
      </c>
      <c r="J326" s="433" t="s">
        <v>1998</v>
      </c>
      <c r="K326" s="433" t="s">
        <v>1658</v>
      </c>
      <c r="L326" s="415"/>
      <c r="M326" s="434" t="s">
        <v>1661</v>
      </c>
      <c r="N326" s="434" t="s">
        <v>1660</v>
      </c>
      <c r="O326" s="434" t="s">
        <v>1659</v>
      </c>
      <c r="P326" s="434" t="s">
        <v>1659</v>
      </c>
      <c r="Q326" s="434" t="s">
        <v>1689</v>
      </c>
      <c r="R326" s="434" t="s">
        <v>1689</v>
      </c>
      <c r="S326" s="434" t="s">
        <v>1661</v>
      </c>
      <c r="T326" s="434" t="s">
        <v>1661</v>
      </c>
      <c r="U326" s="434" t="s">
        <v>1689</v>
      </c>
      <c r="V326" s="434" t="s">
        <v>1689</v>
      </c>
      <c r="W326" s="434" t="s">
        <v>1660</v>
      </c>
      <c r="X326" s="434" t="s">
        <v>1689</v>
      </c>
      <c r="Y326" s="434" t="s">
        <v>1689</v>
      </c>
      <c r="Z326" s="434" t="s">
        <v>1689</v>
      </c>
      <c r="AA326" s="434" t="s">
        <v>1660</v>
      </c>
      <c r="AB326" s="434" t="s">
        <v>1689</v>
      </c>
      <c r="AC326" s="434" t="s">
        <v>1659</v>
      </c>
      <c r="AD326" s="434" t="s">
        <v>1659</v>
      </c>
      <c r="AE326" s="434" t="s">
        <v>1661</v>
      </c>
      <c r="AF326" s="434" t="s">
        <v>1689</v>
      </c>
      <c r="AG326" s="427">
        <v>14.0</v>
      </c>
      <c r="AH326" s="435" t="s">
        <v>24</v>
      </c>
      <c r="AI326" s="415"/>
      <c r="AJ326" s="436" t="str">
        <f t="array" ref="AJ326">IF(M326=DGET(claves!$A$2:$AS423,M$2,{claves!$A$2;$E326}),1,0)</f>
        <v>#VALUE!</v>
      </c>
      <c r="AK326" s="436" t="str">
        <f t="array" ref="AK326">IF(N326=DGET(claves!$A$2:$AS423,N$2,{claves!$A$2;$E326}),1,0)</f>
        <v>#VALUE!</v>
      </c>
      <c r="AL326" s="436" t="str">
        <f t="array" ref="AL326">IF(O326=DGET(claves!$A$2:$AS423,O$2,{claves!$A$2;$E326}),1,0)</f>
        <v>#VALUE!</v>
      </c>
      <c r="AM326" s="436" t="str">
        <f t="array" ref="AM326">IF(P326=DGET(claves!$A$2:$AS423,P$2,{claves!$A$2;$E326}),1,0)</f>
        <v>#VALUE!</v>
      </c>
      <c r="AN326" s="436" t="str">
        <f t="array" ref="AN326">IF(Q326=DGET(claves!$A$2:$AS423,Q$2,{claves!$A$2;$E326}),1,0)</f>
        <v>#VALUE!</v>
      </c>
      <c r="AO326" s="436" t="str">
        <f t="array" ref="AO326">IF(R326=DGET(claves!$A$2:$AS423,R$2,{claves!$A$2;$E326}),1,0)</f>
        <v>#VALUE!</v>
      </c>
      <c r="AP326" s="436" t="str">
        <f t="array" ref="AP326">IF(S326=DGET(claves!$A$2:$AS423,S$2,{claves!$A$2;$E326}),1,0)</f>
        <v>#VALUE!</v>
      </c>
      <c r="AQ326" s="436" t="str">
        <f t="array" ref="AQ326">IF(T326=DGET(claves!$A$2:$AS423,T$2,{claves!$A$2;$E326}),1,0)</f>
        <v>#VALUE!</v>
      </c>
      <c r="AR326" s="436" t="str">
        <f t="array" ref="AR326">IF(U326=DGET(claves!$A$2:$AS423,U$2,{claves!$A$2;$E326}),1,0)</f>
        <v>#VALUE!</v>
      </c>
      <c r="AS326" s="436" t="str">
        <f t="array" ref="AS326">IF(V326=DGET(claves!$A$2:$AS423,V$2,{claves!$A$2;$E326}),1,0)</f>
        <v>#VALUE!</v>
      </c>
      <c r="AT326" s="436" t="str">
        <f t="array" ref="AT326">IF(W326=DGET(claves!$A$2:$AS423,W$2,{claves!$A$2;$E326}),1,0)</f>
        <v>#VALUE!</v>
      </c>
      <c r="AU326" s="436" t="str">
        <f t="array" ref="AU326">IF(X326=DGET(claves!$A$2:$AS423,X$2,{claves!$A$2;$E326}),1,0)</f>
        <v>#VALUE!</v>
      </c>
      <c r="AV326" s="436" t="str">
        <f t="array" ref="AV326">IF(Y326=DGET(claves!$A$2:$AS423,Y$2,{claves!$A$2;$E326}),1,0)</f>
        <v>#VALUE!</v>
      </c>
      <c r="AW326" s="436" t="str">
        <f t="array" ref="AW326">IF(Z326=DGET(claves!$A$2:$AS423,Z$2,{claves!$A$2;$E326}),1,0)</f>
        <v>#VALUE!</v>
      </c>
      <c r="AX326" s="436" t="str">
        <f t="array" ref="AX326">IF(AA326=DGET(claves!$A$2:$AS423,AA$2,{claves!$A$2;$E326}),1,0)</f>
        <v>#VALUE!</v>
      </c>
      <c r="AY326" s="436" t="str">
        <f t="array" ref="AY326">IF(AB326=DGET(claves!$A$2:$AS423,AB$2,{claves!$A$2;$E326}),1,0)</f>
        <v>#VALUE!</v>
      </c>
      <c r="AZ326" s="436" t="str">
        <f t="array" ref="AZ326">IF(AC326=DGET(claves!$A$2:$AS423,AC$2,{claves!$A$2;$E326}),1,0)</f>
        <v>#VALUE!</v>
      </c>
      <c r="BA326" s="436" t="str">
        <f t="array" ref="BA326">IF(AD326=DGET(claves!$A$2:$AS423,AD$2,{claves!$A$2;$E326}),1,0)</f>
        <v>#VALUE!</v>
      </c>
      <c r="BB326" s="436" t="str">
        <f t="array" ref="BB326">IF(AE326=DGET(claves!$A$2:$AS423,AE$2,{claves!$A$2;$E326}),1,0)</f>
        <v>#VALUE!</v>
      </c>
      <c r="BC326" s="436" t="str">
        <f t="array" ref="BC326">IF(AF326=DGET(claves!$A$2:$AS423,AF$2,{claves!$A$2;$E326}),1,0)</f>
        <v>#VALUE!</v>
      </c>
      <c r="BD326" s="437" t="str">
        <f t="shared" si="1"/>
        <v>#VALUE!</v>
      </c>
      <c r="BE326" s="435"/>
      <c r="BF326" s="415"/>
    </row>
    <row r="327" ht="14.25" customHeight="1">
      <c r="A327" s="408">
        <v>325.0</v>
      </c>
      <c r="B327" s="153" t="s">
        <v>1927</v>
      </c>
      <c r="C327" s="153">
        <v>2024.0</v>
      </c>
      <c r="D327" s="77" t="s">
        <v>362</v>
      </c>
      <c r="E327" s="409" t="str">
        <f>IFERROR(__xludf.DUMMYFUNCTION("ARRAYFORMULA(JOIN("""", ARRAYFORMULA(MID(SPLIT(F327, "" ""), 1, 1))))
&amp;""/""&amp;G327"),"MC/6 Primaria")</f>
        <v>MC/6 Primaria</v>
      </c>
      <c r="F327" s="77" t="s">
        <v>1654</v>
      </c>
      <c r="G327" s="432" t="s">
        <v>22</v>
      </c>
      <c r="H327" s="433" t="s">
        <v>1965</v>
      </c>
      <c r="I327" s="433" t="s">
        <v>1935</v>
      </c>
      <c r="J327" s="433" t="s">
        <v>1999</v>
      </c>
      <c r="K327" s="432" t="s">
        <v>1665</v>
      </c>
      <c r="L327" s="415"/>
      <c r="M327" s="434" t="s">
        <v>1661</v>
      </c>
      <c r="N327" s="434" t="s">
        <v>1689</v>
      </c>
      <c r="O327" s="434" t="s">
        <v>1660</v>
      </c>
      <c r="P327" s="434" t="s">
        <v>1661</v>
      </c>
      <c r="Q327" s="434" t="s">
        <v>1659</v>
      </c>
      <c r="R327" s="434" t="s">
        <v>1689</v>
      </c>
      <c r="S327" s="434" t="s">
        <v>1659</v>
      </c>
      <c r="T327" s="434" t="s">
        <v>1659</v>
      </c>
      <c r="U327" s="434" t="s">
        <v>1659</v>
      </c>
      <c r="V327" s="434" t="s">
        <v>1689</v>
      </c>
      <c r="W327" s="434" t="s">
        <v>1659</v>
      </c>
      <c r="X327" s="434" t="s">
        <v>1661</v>
      </c>
      <c r="Y327" s="434" t="s">
        <v>1660</v>
      </c>
      <c r="Z327" s="434" t="s">
        <v>1661</v>
      </c>
      <c r="AA327" s="434" t="s">
        <v>1661</v>
      </c>
      <c r="AB327" s="434" t="s">
        <v>1689</v>
      </c>
      <c r="AC327" s="434" t="s">
        <v>1660</v>
      </c>
      <c r="AD327" s="434" t="s">
        <v>1661</v>
      </c>
      <c r="AE327" s="434" t="s">
        <v>1689</v>
      </c>
      <c r="AF327" s="434" t="s">
        <v>1661</v>
      </c>
      <c r="AG327" s="427">
        <v>12.0</v>
      </c>
      <c r="AH327" s="435" t="s">
        <v>24</v>
      </c>
      <c r="AI327" s="415"/>
      <c r="AJ327" s="436" t="str">
        <f t="array" ref="AJ327">IF(M327=DGET(claves!$A$2:$AS423,M$2,{claves!$A$2;$E327}),1,0)</f>
        <v>#VALUE!</v>
      </c>
      <c r="AK327" s="436" t="str">
        <f t="array" ref="AK327">IF(N327=DGET(claves!$A$2:$AS423,N$2,{claves!$A$2;$E327}),1,0)</f>
        <v>#VALUE!</v>
      </c>
      <c r="AL327" s="436" t="str">
        <f t="array" ref="AL327">IF(O327=DGET(claves!$A$2:$AS423,O$2,{claves!$A$2;$E327}),1,0)</f>
        <v>#VALUE!</v>
      </c>
      <c r="AM327" s="436" t="str">
        <f t="array" ref="AM327">IF(P327=DGET(claves!$A$2:$AS423,P$2,{claves!$A$2;$E327}),1,0)</f>
        <v>#VALUE!</v>
      </c>
      <c r="AN327" s="436" t="str">
        <f t="array" ref="AN327">IF(Q327=DGET(claves!$A$2:$AS423,Q$2,{claves!$A$2;$E327}),1,0)</f>
        <v>#VALUE!</v>
      </c>
      <c r="AO327" s="436" t="str">
        <f t="array" ref="AO327">IF(R327=DGET(claves!$A$2:$AS423,R$2,{claves!$A$2;$E327}),1,0)</f>
        <v>#VALUE!</v>
      </c>
      <c r="AP327" s="436" t="str">
        <f t="array" ref="AP327">IF(S327=DGET(claves!$A$2:$AS423,S$2,{claves!$A$2;$E327}),1,0)</f>
        <v>#VALUE!</v>
      </c>
      <c r="AQ327" s="436" t="str">
        <f t="array" ref="AQ327">IF(T327=DGET(claves!$A$2:$AS423,T$2,{claves!$A$2;$E327}),1,0)</f>
        <v>#VALUE!</v>
      </c>
      <c r="AR327" s="436" t="str">
        <f t="array" ref="AR327">IF(U327=DGET(claves!$A$2:$AS423,U$2,{claves!$A$2;$E327}),1,0)</f>
        <v>#VALUE!</v>
      </c>
      <c r="AS327" s="436" t="str">
        <f t="array" ref="AS327">IF(V327=DGET(claves!$A$2:$AS423,V$2,{claves!$A$2;$E327}),1,0)</f>
        <v>#VALUE!</v>
      </c>
      <c r="AT327" s="436" t="str">
        <f t="array" ref="AT327">IF(W327=DGET(claves!$A$2:$AS423,W$2,{claves!$A$2;$E327}),1,0)</f>
        <v>#VALUE!</v>
      </c>
      <c r="AU327" s="436" t="str">
        <f t="array" ref="AU327">IF(X327=DGET(claves!$A$2:$AS423,X$2,{claves!$A$2;$E327}),1,0)</f>
        <v>#VALUE!</v>
      </c>
      <c r="AV327" s="436" t="str">
        <f t="array" ref="AV327">IF(Y327=DGET(claves!$A$2:$AS423,Y$2,{claves!$A$2;$E327}),1,0)</f>
        <v>#VALUE!</v>
      </c>
      <c r="AW327" s="436" t="str">
        <f t="array" ref="AW327">IF(Z327=DGET(claves!$A$2:$AS423,Z$2,{claves!$A$2;$E327}),1,0)</f>
        <v>#VALUE!</v>
      </c>
      <c r="AX327" s="436" t="str">
        <f t="array" ref="AX327">IF(AA327=DGET(claves!$A$2:$AS423,AA$2,{claves!$A$2;$E327}),1,0)</f>
        <v>#VALUE!</v>
      </c>
      <c r="AY327" s="436" t="str">
        <f t="array" ref="AY327">IF(AB327=DGET(claves!$A$2:$AS423,AB$2,{claves!$A$2;$E327}),1,0)</f>
        <v>#VALUE!</v>
      </c>
      <c r="AZ327" s="436" t="str">
        <f t="array" ref="AZ327">IF(AC327=DGET(claves!$A$2:$AS423,AC$2,{claves!$A$2;$E327}),1,0)</f>
        <v>#VALUE!</v>
      </c>
      <c r="BA327" s="436" t="str">
        <f t="array" ref="BA327">IF(AD327=DGET(claves!$A$2:$AS423,AD$2,{claves!$A$2;$E327}),1,0)</f>
        <v>#VALUE!</v>
      </c>
      <c r="BB327" s="436" t="str">
        <f t="array" ref="BB327">IF(AE327=DGET(claves!$A$2:$AS423,AE$2,{claves!$A$2;$E327}),1,0)</f>
        <v>#VALUE!</v>
      </c>
      <c r="BC327" s="436" t="str">
        <f t="array" ref="BC327">IF(AF327=DGET(claves!$A$2:$AS423,AF$2,{claves!$A$2;$E327}),1,0)</f>
        <v>#VALUE!</v>
      </c>
      <c r="BD327" s="437" t="str">
        <f t="shared" si="1"/>
        <v>#VALUE!</v>
      </c>
      <c r="BE327" s="435" t="s">
        <v>1468</v>
      </c>
      <c r="BF327" s="415"/>
    </row>
    <row r="328" ht="14.25" customHeight="1">
      <c r="A328" s="408">
        <v>326.0</v>
      </c>
      <c r="B328" s="153" t="s">
        <v>1927</v>
      </c>
      <c r="C328" s="153">
        <v>2024.0</v>
      </c>
      <c r="D328" s="77" t="s">
        <v>1817</v>
      </c>
      <c r="E328" s="409" t="str">
        <f>IFERROR(__xludf.DUMMYFUNCTION("ARRAYFORMULA(JOIN("""", ARRAYFORMULA(MID(SPLIT(F328, "" ""), 1, 1))))
&amp;""/""&amp;G328"),"CLC/6 Primaria")</f>
        <v>CLC/6 Primaria</v>
      </c>
      <c r="F328" s="77" t="s">
        <v>1819</v>
      </c>
      <c r="G328" s="432" t="s">
        <v>22</v>
      </c>
      <c r="H328" s="433" t="s">
        <v>1965</v>
      </c>
      <c r="I328" s="433" t="s">
        <v>1935</v>
      </c>
      <c r="J328" s="433" t="s">
        <v>1999</v>
      </c>
      <c r="K328" s="432" t="s">
        <v>1665</v>
      </c>
      <c r="L328" s="415"/>
      <c r="M328" s="434" t="s">
        <v>1661</v>
      </c>
      <c r="N328" s="434" t="s">
        <v>1661</v>
      </c>
      <c r="O328" s="434" t="s">
        <v>1661</v>
      </c>
      <c r="P328" s="434" t="s">
        <v>1689</v>
      </c>
      <c r="Q328" s="434" t="s">
        <v>1660</v>
      </c>
      <c r="R328" s="434" t="s">
        <v>1689</v>
      </c>
      <c r="S328" s="434" t="s">
        <v>1659</v>
      </c>
      <c r="T328" s="434" t="s">
        <v>1661</v>
      </c>
      <c r="U328" s="434" t="s">
        <v>1660</v>
      </c>
      <c r="V328" s="434" t="s">
        <v>1661</v>
      </c>
      <c r="W328" s="434" t="s">
        <v>1660</v>
      </c>
      <c r="X328" s="434" t="s">
        <v>1661</v>
      </c>
      <c r="Y328" s="434" t="s">
        <v>1659</v>
      </c>
      <c r="Z328" s="434" t="s">
        <v>1661</v>
      </c>
      <c r="AA328" s="434" t="s">
        <v>1661</v>
      </c>
      <c r="AB328" s="434" t="s">
        <v>1659</v>
      </c>
      <c r="AC328" s="434" t="s">
        <v>1689</v>
      </c>
      <c r="AD328" s="434" t="s">
        <v>1660</v>
      </c>
      <c r="AE328" s="434" t="s">
        <v>1661</v>
      </c>
      <c r="AF328" s="434" t="s">
        <v>1689</v>
      </c>
      <c r="AG328" s="427">
        <v>8.0</v>
      </c>
      <c r="AH328" s="435" t="s">
        <v>18</v>
      </c>
      <c r="AI328" s="415"/>
      <c r="AJ328" s="436" t="str">
        <f t="array" ref="AJ328">IF(M328=DGET(claves!$A$2:$AS423,M$2,{claves!$A$2;$E328}),1,0)</f>
        <v>#VALUE!</v>
      </c>
      <c r="AK328" s="436" t="str">
        <f t="array" ref="AK328">IF(N328=DGET(claves!$A$2:$AS423,N$2,{claves!$A$2;$E328}),1,0)</f>
        <v>#VALUE!</v>
      </c>
      <c r="AL328" s="436" t="str">
        <f t="array" ref="AL328">IF(O328=DGET(claves!$A$2:$AS423,O$2,{claves!$A$2;$E328}),1,0)</f>
        <v>#VALUE!</v>
      </c>
      <c r="AM328" s="436" t="str">
        <f t="array" ref="AM328">IF(P328=DGET(claves!$A$2:$AS423,P$2,{claves!$A$2;$E328}),1,0)</f>
        <v>#VALUE!</v>
      </c>
      <c r="AN328" s="436" t="str">
        <f t="array" ref="AN328">IF(Q328=DGET(claves!$A$2:$AS423,Q$2,{claves!$A$2;$E328}),1,0)</f>
        <v>#VALUE!</v>
      </c>
      <c r="AO328" s="436" t="str">
        <f t="array" ref="AO328">IF(R328=DGET(claves!$A$2:$AS423,R$2,{claves!$A$2;$E328}),1,0)</f>
        <v>#VALUE!</v>
      </c>
      <c r="AP328" s="436" t="str">
        <f t="array" ref="AP328">IF(S328=DGET(claves!$A$2:$AS423,S$2,{claves!$A$2;$E328}),1,0)</f>
        <v>#VALUE!</v>
      </c>
      <c r="AQ328" s="436" t="str">
        <f t="array" ref="AQ328">IF(T328=DGET(claves!$A$2:$AS423,T$2,{claves!$A$2;$E328}),1,0)</f>
        <v>#VALUE!</v>
      </c>
      <c r="AR328" s="436" t="str">
        <f t="array" ref="AR328">IF(U328=DGET(claves!$A$2:$AS423,U$2,{claves!$A$2;$E328}),1,0)</f>
        <v>#VALUE!</v>
      </c>
      <c r="AS328" s="436" t="str">
        <f t="array" ref="AS328">IF(V328=DGET(claves!$A$2:$AS423,V$2,{claves!$A$2;$E328}),1,0)</f>
        <v>#VALUE!</v>
      </c>
      <c r="AT328" s="436" t="str">
        <f t="array" ref="AT328">IF(W328=DGET(claves!$A$2:$AS423,W$2,{claves!$A$2;$E328}),1,0)</f>
        <v>#VALUE!</v>
      </c>
      <c r="AU328" s="436" t="str">
        <f t="array" ref="AU328">IF(X328=DGET(claves!$A$2:$AS423,X$2,{claves!$A$2;$E328}),1,0)</f>
        <v>#VALUE!</v>
      </c>
      <c r="AV328" s="436" t="str">
        <f t="array" ref="AV328">IF(Y328=DGET(claves!$A$2:$AS423,Y$2,{claves!$A$2;$E328}),1,0)</f>
        <v>#VALUE!</v>
      </c>
      <c r="AW328" s="436" t="str">
        <f t="array" ref="AW328">IF(Z328=DGET(claves!$A$2:$AS423,Z$2,{claves!$A$2;$E328}),1,0)</f>
        <v>#VALUE!</v>
      </c>
      <c r="AX328" s="436" t="str">
        <f t="array" ref="AX328">IF(AA328=DGET(claves!$A$2:$AS423,AA$2,{claves!$A$2;$E328}),1,0)</f>
        <v>#VALUE!</v>
      </c>
      <c r="AY328" s="436" t="str">
        <f t="array" ref="AY328">IF(AB328=DGET(claves!$A$2:$AS423,AB$2,{claves!$A$2;$E328}),1,0)</f>
        <v>#VALUE!</v>
      </c>
      <c r="AZ328" s="436" t="str">
        <f t="array" ref="AZ328">IF(AC328=DGET(claves!$A$2:$AS423,AC$2,{claves!$A$2;$E328}),1,0)</f>
        <v>#VALUE!</v>
      </c>
      <c r="BA328" s="436" t="str">
        <f t="array" ref="BA328">IF(AD328=DGET(claves!$A$2:$AS423,AD$2,{claves!$A$2;$E328}),1,0)</f>
        <v>#VALUE!</v>
      </c>
      <c r="BB328" s="436" t="str">
        <f t="array" ref="BB328">IF(AE328=DGET(claves!$A$2:$AS423,AE$2,{claves!$A$2;$E328}),1,0)</f>
        <v>#VALUE!</v>
      </c>
      <c r="BC328" s="436" t="str">
        <f t="array" ref="BC328">IF(AF328=DGET(claves!$A$2:$AS423,AF$2,{claves!$A$2;$E328}),1,0)</f>
        <v>#VALUE!</v>
      </c>
      <c r="BD328" s="437" t="str">
        <f t="shared" si="1"/>
        <v>#VALUE!</v>
      </c>
      <c r="BE328" s="435"/>
      <c r="BF328" s="415"/>
    </row>
    <row r="329" ht="14.25" customHeight="1">
      <c r="A329" s="408">
        <v>327.0</v>
      </c>
      <c r="B329" s="153" t="s">
        <v>1927</v>
      </c>
      <c r="C329" s="153">
        <v>2024.0</v>
      </c>
      <c r="D329" s="77" t="s">
        <v>362</v>
      </c>
      <c r="E329" s="409" t="str">
        <f>IFERROR(__xludf.DUMMYFUNCTION("ARRAYFORMULA(JOIN("""", ARRAYFORMULA(MID(SPLIT(F329, "" ""), 1, 1))))
&amp;""/""&amp;G329"),"MC/6 Primaria")</f>
        <v>MC/6 Primaria</v>
      </c>
      <c r="F329" s="77" t="s">
        <v>1654</v>
      </c>
      <c r="G329" s="432" t="s">
        <v>22</v>
      </c>
      <c r="H329" s="433" t="s">
        <v>2000</v>
      </c>
      <c r="I329" s="433" t="s">
        <v>1771</v>
      </c>
      <c r="J329" s="433" t="s">
        <v>2001</v>
      </c>
      <c r="K329" s="433" t="s">
        <v>1658</v>
      </c>
      <c r="L329" s="415"/>
      <c r="M329" s="434" t="s">
        <v>1660</v>
      </c>
      <c r="N329" s="434" t="s">
        <v>1689</v>
      </c>
      <c r="O329" s="434" t="s">
        <v>1661</v>
      </c>
      <c r="P329" s="434" t="s">
        <v>1689</v>
      </c>
      <c r="Q329" s="434" t="s">
        <v>1659</v>
      </c>
      <c r="R329" s="434" t="s">
        <v>1659</v>
      </c>
      <c r="S329" s="434" t="s">
        <v>1659</v>
      </c>
      <c r="T329" s="434" t="s">
        <v>1659</v>
      </c>
      <c r="U329" s="434" t="s">
        <v>1659</v>
      </c>
      <c r="V329" s="434" t="s">
        <v>1689</v>
      </c>
      <c r="W329" s="434" t="s">
        <v>1661</v>
      </c>
      <c r="X329" s="434" t="s">
        <v>1689</v>
      </c>
      <c r="Y329" s="434" t="s">
        <v>1660</v>
      </c>
      <c r="Z329" s="434" t="s">
        <v>1661</v>
      </c>
      <c r="AA329" s="434" t="s">
        <v>1659</v>
      </c>
      <c r="AB329" s="434" t="s">
        <v>1689</v>
      </c>
      <c r="AC329" s="434" t="s">
        <v>1660</v>
      </c>
      <c r="AD329" s="434" t="s">
        <v>1659</v>
      </c>
      <c r="AE329" s="434" t="s">
        <v>1689</v>
      </c>
      <c r="AF329" s="434" t="s">
        <v>1660</v>
      </c>
      <c r="AG329" s="427">
        <v>19.0</v>
      </c>
      <c r="AH329" s="438" t="s">
        <v>32</v>
      </c>
      <c r="AI329" s="415"/>
      <c r="AJ329" s="436" t="str">
        <f t="array" ref="AJ329">IF(M329=DGET(claves!$A$2:$AS423,M$2,{claves!$A$2;$E329}),1,0)</f>
        <v>#VALUE!</v>
      </c>
      <c r="AK329" s="436" t="str">
        <f t="array" ref="AK329">IF(N329=DGET(claves!$A$2:$AS423,N$2,{claves!$A$2;$E329}),1,0)</f>
        <v>#VALUE!</v>
      </c>
      <c r="AL329" s="436" t="str">
        <f t="array" ref="AL329">IF(O329=DGET(claves!$A$2:$AS423,O$2,{claves!$A$2;$E329}),1,0)</f>
        <v>#VALUE!</v>
      </c>
      <c r="AM329" s="436" t="str">
        <f t="array" ref="AM329">IF(P329=DGET(claves!$A$2:$AS423,P$2,{claves!$A$2;$E329}),1,0)</f>
        <v>#VALUE!</v>
      </c>
      <c r="AN329" s="436" t="str">
        <f t="array" ref="AN329">IF(Q329=DGET(claves!$A$2:$AS423,Q$2,{claves!$A$2;$E329}),1,0)</f>
        <v>#VALUE!</v>
      </c>
      <c r="AO329" s="436" t="str">
        <f t="array" ref="AO329">IF(R329=DGET(claves!$A$2:$AS423,R$2,{claves!$A$2;$E329}),1,0)</f>
        <v>#VALUE!</v>
      </c>
      <c r="AP329" s="436" t="str">
        <f t="array" ref="AP329">IF(S329=DGET(claves!$A$2:$AS423,S$2,{claves!$A$2;$E329}),1,0)</f>
        <v>#VALUE!</v>
      </c>
      <c r="AQ329" s="436" t="str">
        <f t="array" ref="AQ329">IF(T329=DGET(claves!$A$2:$AS423,T$2,{claves!$A$2;$E329}),1,0)</f>
        <v>#VALUE!</v>
      </c>
      <c r="AR329" s="436" t="str">
        <f t="array" ref="AR329">IF(U329=DGET(claves!$A$2:$AS423,U$2,{claves!$A$2;$E329}),1,0)</f>
        <v>#VALUE!</v>
      </c>
      <c r="AS329" s="436" t="str">
        <f t="array" ref="AS329">IF(V329=DGET(claves!$A$2:$AS423,V$2,{claves!$A$2;$E329}),1,0)</f>
        <v>#VALUE!</v>
      </c>
      <c r="AT329" s="436" t="str">
        <f t="array" ref="AT329">IF(W329=DGET(claves!$A$2:$AS423,W$2,{claves!$A$2;$E329}),1,0)</f>
        <v>#VALUE!</v>
      </c>
      <c r="AU329" s="436" t="str">
        <f t="array" ref="AU329">IF(X329=DGET(claves!$A$2:$AS423,X$2,{claves!$A$2;$E329}),1,0)</f>
        <v>#VALUE!</v>
      </c>
      <c r="AV329" s="436" t="str">
        <f t="array" ref="AV329">IF(Y329=DGET(claves!$A$2:$AS423,Y$2,{claves!$A$2;$E329}),1,0)</f>
        <v>#VALUE!</v>
      </c>
      <c r="AW329" s="436" t="str">
        <f t="array" ref="AW329">IF(Z329=DGET(claves!$A$2:$AS423,Z$2,{claves!$A$2;$E329}),1,0)</f>
        <v>#VALUE!</v>
      </c>
      <c r="AX329" s="436" t="str">
        <f t="array" ref="AX329">IF(AA329=DGET(claves!$A$2:$AS423,AA$2,{claves!$A$2;$E329}),1,0)</f>
        <v>#VALUE!</v>
      </c>
      <c r="AY329" s="436" t="str">
        <f t="array" ref="AY329">IF(AB329=DGET(claves!$A$2:$AS423,AB$2,{claves!$A$2;$E329}),1,0)</f>
        <v>#VALUE!</v>
      </c>
      <c r="AZ329" s="436" t="str">
        <f t="array" ref="AZ329">IF(AC329=DGET(claves!$A$2:$AS423,AC$2,{claves!$A$2;$E329}),1,0)</f>
        <v>#VALUE!</v>
      </c>
      <c r="BA329" s="436" t="str">
        <f t="array" ref="BA329">IF(AD329=DGET(claves!$A$2:$AS423,AD$2,{claves!$A$2;$E329}),1,0)</f>
        <v>#VALUE!</v>
      </c>
      <c r="BB329" s="436" t="str">
        <f t="array" ref="BB329">IF(AE329=DGET(claves!$A$2:$AS423,AE$2,{claves!$A$2;$E329}),1,0)</f>
        <v>#VALUE!</v>
      </c>
      <c r="BC329" s="436" t="str">
        <f t="array" ref="BC329">IF(AF329=DGET(claves!$A$2:$AS423,AF$2,{claves!$A$2;$E329}),1,0)</f>
        <v>#VALUE!</v>
      </c>
      <c r="BD329" s="437" t="str">
        <f t="shared" si="1"/>
        <v>#VALUE!</v>
      </c>
      <c r="BE329" s="435" t="s">
        <v>1468</v>
      </c>
      <c r="BF329" s="415"/>
    </row>
    <row r="330" ht="14.25" customHeight="1">
      <c r="A330" s="408">
        <v>328.0</v>
      </c>
      <c r="B330" s="153" t="s">
        <v>1927</v>
      </c>
      <c r="C330" s="153">
        <v>2024.0</v>
      </c>
      <c r="D330" s="77" t="s">
        <v>1817</v>
      </c>
      <c r="E330" s="409" t="str">
        <f>IFERROR(__xludf.DUMMYFUNCTION("ARRAYFORMULA(JOIN("""", ARRAYFORMULA(MID(SPLIT(F330, "" ""), 1, 1))))
&amp;""/""&amp;G330"),"CLC/6 Primaria")</f>
        <v>CLC/6 Primaria</v>
      </c>
      <c r="F330" s="77" t="s">
        <v>1819</v>
      </c>
      <c r="G330" s="432" t="s">
        <v>22</v>
      </c>
      <c r="H330" s="433" t="s">
        <v>2000</v>
      </c>
      <c r="I330" s="433" t="s">
        <v>1771</v>
      </c>
      <c r="J330" s="433" t="s">
        <v>2001</v>
      </c>
      <c r="K330" s="433" t="s">
        <v>1658</v>
      </c>
      <c r="L330" s="415"/>
      <c r="M330" s="434" t="s">
        <v>1661</v>
      </c>
      <c r="N330" s="434" t="s">
        <v>1659</v>
      </c>
      <c r="O330" s="434" t="s">
        <v>1659</v>
      </c>
      <c r="P330" s="434" t="s">
        <v>1689</v>
      </c>
      <c r="Q330" s="434" t="s">
        <v>1689</v>
      </c>
      <c r="R330" s="434" t="s">
        <v>1661</v>
      </c>
      <c r="S330" s="434" t="s">
        <v>1660</v>
      </c>
      <c r="T330" s="434" t="s">
        <v>1660</v>
      </c>
      <c r="U330" s="434" t="s">
        <v>1689</v>
      </c>
      <c r="V330" s="434" t="s">
        <v>1661</v>
      </c>
      <c r="W330" s="434" t="s">
        <v>1689</v>
      </c>
      <c r="X330" s="434" t="s">
        <v>1689</v>
      </c>
      <c r="Y330" s="434" t="s">
        <v>1689</v>
      </c>
      <c r="Z330" s="434" t="s">
        <v>1661</v>
      </c>
      <c r="AA330" s="434" t="s">
        <v>1660</v>
      </c>
      <c r="AB330" s="434" t="s">
        <v>1689</v>
      </c>
      <c r="AC330" s="434" t="s">
        <v>1659</v>
      </c>
      <c r="AD330" s="434" t="s">
        <v>1660</v>
      </c>
      <c r="AE330" s="434" t="s">
        <v>1660</v>
      </c>
      <c r="AF330" s="434" t="s">
        <v>1689</v>
      </c>
      <c r="AG330" s="427">
        <v>12.0</v>
      </c>
      <c r="AH330" s="435" t="s">
        <v>24</v>
      </c>
      <c r="AI330" s="415"/>
      <c r="AJ330" s="436" t="str">
        <f t="array" ref="AJ330">IF(M330=DGET(claves!$A$2:$AS423,M$2,{claves!$A$2;$E330}),1,0)</f>
        <v>#VALUE!</v>
      </c>
      <c r="AK330" s="436" t="str">
        <f t="array" ref="AK330">IF(N330=DGET(claves!$A$2:$AS423,N$2,{claves!$A$2;$E330}),1,0)</f>
        <v>#VALUE!</v>
      </c>
      <c r="AL330" s="436" t="str">
        <f t="array" ref="AL330">IF(O330=DGET(claves!$A$2:$AS423,O$2,{claves!$A$2;$E330}),1,0)</f>
        <v>#VALUE!</v>
      </c>
      <c r="AM330" s="436" t="str">
        <f t="array" ref="AM330">IF(P330=DGET(claves!$A$2:$AS423,P$2,{claves!$A$2;$E330}),1,0)</f>
        <v>#VALUE!</v>
      </c>
      <c r="AN330" s="436" t="str">
        <f t="array" ref="AN330">IF(Q330=DGET(claves!$A$2:$AS423,Q$2,{claves!$A$2;$E330}),1,0)</f>
        <v>#VALUE!</v>
      </c>
      <c r="AO330" s="436" t="str">
        <f t="array" ref="AO330">IF(R330=DGET(claves!$A$2:$AS423,R$2,{claves!$A$2;$E330}),1,0)</f>
        <v>#VALUE!</v>
      </c>
      <c r="AP330" s="436" t="str">
        <f t="array" ref="AP330">IF(S330=DGET(claves!$A$2:$AS423,S$2,{claves!$A$2;$E330}),1,0)</f>
        <v>#VALUE!</v>
      </c>
      <c r="AQ330" s="436" t="str">
        <f t="array" ref="AQ330">IF(T330=DGET(claves!$A$2:$AS423,T$2,{claves!$A$2;$E330}),1,0)</f>
        <v>#VALUE!</v>
      </c>
      <c r="AR330" s="436" t="str">
        <f t="array" ref="AR330">IF(U330=DGET(claves!$A$2:$AS423,U$2,{claves!$A$2;$E330}),1,0)</f>
        <v>#VALUE!</v>
      </c>
      <c r="AS330" s="436" t="str">
        <f t="array" ref="AS330">IF(V330=DGET(claves!$A$2:$AS423,V$2,{claves!$A$2;$E330}),1,0)</f>
        <v>#VALUE!</v>
      </c>
      <c r="AT330" s="436" t="str">
        <f t="array" ref="AT330">IF(W330=DGET(claves!$A$2:$AS423,W$2,{claves!$A$2;$E330}),1,0)</f>
        <v>#VALUE!</v>
      </c>
      <c r="AU330" s="436" t="str">
        <f t="array" ref="AU330">IF(X330=DGET(claves!$A$2:$AS423,X$2,{claves!$A$2;$E330}),1,0)</f>
        <v>#VALUE!</v>
      </c>
      <c r="AV330" s="436" t="str">
        <f t="array" ref="AV330">IF(Y330=DGET(claves!$A$2:$AS423,Y$2,{claves!$A$2;$E330}),1,0)</f>
        <v>#VALUE!</v>
      </c>
      <c r="AW330" s="436" t="str">
        <f t="array" ref="AW330">IF(Z330=DGET(claves!$A$2:$AS423,Z$2,{claves!$A$2;$E330}),1,0)</f>
        <v>#VALUE!</v>
      </c>
      <c r="AX330" s="436" t="str">
        <f t="array" ref="AX330">IF(AA330=DGET(claves!$A$2:$AS423,AA$2,{claves!$A$2;$E330}),1,0)</f>
        <v>#VALUE!</v>
      </c>
      <c r="AY330" s="436" t="str">
        <f t="array" ref="AY330">IF(AB330=DGET(claves!$A$2:$AS423,AB$2,{claves!$A$2;$E330}),1,0)</f>
        <v>#VALUE!</v>
      </c>
      <c r="AZ330" s="436" t="str">
        <f t="array" ref="AZ330">IF(AC330=DGET(claves!$A$2:$AS423,AC$2,{claves!$A$2;$E330}),1,0)</f>
        <v>#VALUE!</v>
      </c>
      <c r="BA330" s="436" t="str">
        <f t="array" ref="BA330">IF(AD330=DGET(claves!$A$2:$AS423,AD$2,{claves!$A$2;$E330}),1,0)</f>
        <v>#VALUE!</v>
      </c>
      <c r="BB330" s="436" t="str">
        <f t="array" ref="BB330">IF(AE330=DGET(claves!$A$2:$AS423,AE$2,{claves!$A$2;$E330}),1,0)</f>
        <v>#VALUE!</v>
      </c>
      <c r="BC330" s="436" t="str">
        <f t="array" ref="BC330">IF(AF330=DGET(claves!$A$2:$AS423,AF$2,{claves!$A$2;$E330}),1,0)</f>
        <v>#VALUE!</v>
      </c>
      <c r="BD330" s="437" t="str">
        <f t="shared" si="1"/>
        <v>#VALUE!</v>
      </c>
      <c r="BE330" s="435"/>
      <c r="BF330" s="415"/>
    </row>
    <row r="331" ht="14.25" customHeight="1">
      <c r="A331" s="408">
        <v>329.0</v>
      </c>
      <c r="B331" s="153" t="s">
        <v>2002</v>
      </c>
      <c r="C331" s="153">
        <v>2024.0</v>
      </c>
      <c r="D331" s="77" t="s">
        <v>362</v>
      </c>
      <c r="E331" s="409" t="str">
        <f>IFERROR(__xludf.DUMMYFUNCTION("ARRAYFORMULA(JOIN("""", ARRAYFORMULA(MID(SPLIT(F331, "" ""), 1, 1))))
&amp;""/""&amp;G331"),"MQ/2 Primaria")</f>
        <v>MQ/2 Primaria</v>
      </c>
      <c r="F331" s="77" t="s">
        <v>1823</v>
      </c>
      <c r="G331" s="432" t="s">
        <v>15</v>
      </c>
      <c r="H331" s="433" t="s">
        <v>1746</v>
      </c>
      <c r="I331" s="433" t="s">
        <v>1697</v>
      </c>
      <c r="J331" s="433" t="s">
        <v>2003</v>
      </c>
      <c r="K331" s="432" t="s">
        <v>1665</v>
      </c>
      <c r="L331" s="415"/>
      <c r="M331" s="434" t="s">
        <v>1825</v>
      </c>
      <c r="N331" s="434" t="s">
        <v>1825</v>
      </c>
      <c r="O331" s="434" t="s">
        <v>1660</v>
      </c>
      <c r="P331" s="434" t="s">
        <v>1825</v>
      </c>
      <c r="Q331" s="434" t="s">
        <v>1826</v>
      </c>
      <c r="R331" s="434" t="s">
        <v>1826</v>
      </c>
      <c r="S331" s="434" t="s">
        <v>1826</v>
      </c>
      <c r="T331" s="434" t="s">
        <v>1660</v>
      </c>
      <c r="U331" s="434" t="s">
        <v>1826</v>
      </c>
      <c r="V331" s="434"/>
      <c r="W331" s="434" t="s">
        <v>1826</v>
      </c>
      <c r="X331" s="434" t="s">
        <v>1826</v>
      </c>
      <c r="Y331" s="434" t="s">
        <v>1825</v>
      </c>
      <c r="Z331" s="434" t="s">
        <v>1825</v>
      </c>
      <c r="AA331" s="434" t="s">
        <v>1660</v>
      </c>
      <c r="AB331" s="434" t="s">
        <v>1825</v>
      </c>
      <c r="AC331" s="434" t="s">
        <v>1660</v>
      </c>
      <c r="AD331" s="434" t="s">
        <v>1825</v>
      </c>
      <c r="AE331" s="434" t="s">
        <v>1825</v>
      </c>
      <c r="AF331" s="434" t="s">
        <v>1825</v>
      </c>
      <c r="AG331" s="427">
        <v>11.0</v>
      </c>
      <c r="AH331" s="435" t="s">
        <v>24</v>
      </c>
      <c r="AI331" s="415"/>
      <c r="AJ331" s="436" t="str">
        <f t="array" ref="AJ331">IF(M331=DGET(claves!$A$2:$AS423,M$2,{claves!$A$2;$E331}),1,0)</f>
        <v>#VALUE!</v>
      </c>
      <c r="AK331" s="436" t="str">
        <f t="array" ref="AK331">IF(N331=DGET(claves!$A$2:$AS423,N$2,{claves!$A$2;$E331}),1,0)</f>
        <v>#VALUE!</v>
      </c>
      <c r="AL331" s="436" t="str">
        <f t="array" ref="AL331">IF(O331=DGET(claves!$A$2:$AS423,O$2,{claves!$A$2;$E331}),1,0)</f>
        <v>#VALUE!</v>
      </c>
      <c r="AM331" s="436" t="str">
        <f t="array" ref="AM331">IF(P331=DGET(claves!$A$2:$AS423,P$2,{claves!$A$2;$E331}),1,0)</f>
        <v>#VALUE!</v>
      </c>
      <c r="AN331" s="436" t="str">
        <f t="array" ref="AN331">IF(Q331=DGET(claves!$A$2:$AS423,Q$2,{claves!$A$2;$E331}),1,0)</f>
        <v>#VALUE!</v>
      </c>
      <c r="AO331" s="436" t="str">
        <f t="array" ref="AO331">IF(R331=DGET(claves!$A$2:$AS423,R$2,{claves!$A$2;$E331}),1,0)</f>
        <v>#VALUE!</v>
      </c>
      <c r="AP331" s="436" t="str">
        <f t="array" ref="AP331">IF(S331=DGET(claves!$A$2:$AS423,S$2,{claves!$A$2;$E331}),1,0)</f>
        <v>#VALUE!</v>
      </c>
      <c r="AQ331" s="436" t="str">
        <f t="array" ref="AQ331">IF(T331=DGET(claves!$A$2:$AS423,T$2,{claves!$A$2;$E331}),1,0)</f>
        <v>#VALUE!</v>
      </c>
      <c r="AR331" s="436" t="str">
        <f t="array" ref="AR331">IF(U331=DGET(claves!$A$2:$AS423,U$2,{claves!$A$2;$E331}),1,0)</f>
        <v>#VALUE!</v>
      </c>
      <c r="AS331" s="436" t="str">
        <f t="array" ref="AS331">IF(V331=DGET(claves!$A$2:$AS423,V$2,{claves!$A$2;$E331}),1,0)</f>
        <v>#VALUE!</v>
      </c>
      <c r="AT331" s="436" t="str">
        <f t="array" ref="AT331">IF(W331=DGET(claves!$A$2:$AS423,W$2,{claves!$A$2;$E331}),1,0)</f>
        <v>#VALUE!</v>
      </c>
      <c r="AU331" s="436" t="str">
        <f t="array" ref="AU331">IF(X331=DGET(claves!$A$2:$AS423,X$2,{claves!$A$2;$E331}),1,0)</f>
        <v>#VALUE!</v>
      </c>
      <c r="AV331" s="436" t="str">
        <f t="array" ref="AV331">IF(Y331=DGET(claves!$A$2:$AS423,Y$2,{claves!$A$2;$E331}),1,0)</f>
        <v>#VALUE!</v>
      </c>
      <c r="AW331" s="436" t="str">
        <f t="array" ref="AW331">IF(Z331=DGET(claves!$A$2:$AS423,Z$2,{claves!$A$2;$E331}),1,0)</f>
        <v>#VALUE!</v>
      </c>
      <c r="AX331" s="436" t="str">
        <f t="array" ref="AX331">IF(AA331=DGET(claves!$A$2:$AS423,AA$2,{claves!$A$2;$E331}),1,0)</f>
        <v>#VALUE!</v>
      </c>
      <c r="AY331" s="436" t="str">
        <f t="array" ref="AY331">IF(AB331=DGET(claves!$A$2:$AS423,AB$2,{claves!$A$2;$E331}),1,0)</f>
        <v>#VALUE!</v>
      </c>
      <c r="AZ331" s="436" t="str">
        <f t="array" ref="AZ331">IF(AC331=DGET(claves!$A$2:$AS423,AC$2,{claves!$A$2;$E331}),1,0)</f>
        <v>#VALUE!</v>
      </c>
      <c r="BA331" s="436" t="str">
        <f t="array" ref="BA331">IF(AD331=DGET(claves!$A$2:$AS423,AD$2,{claves!$A$2;$E331}),1,0)</f>
        <v>#VALUE!</v>
      </c>
      <c r="BB331" s="436" t="str">
        <f t="array" ref="BB331">IF(AE331=DGET(claves!$A$2:$AS423,AE$2,{claves!$A$2;$E331}),1,0)</f>
        <v>#VALUE!</v>
      </c>
      <c r="BC331" s="436" t="str">
        <f t="array" ref="BC331">IF(AF331=DGET(claves!$A$2:$AS423,AF$2,{claves!$A$2;$E331}),1,0)</f>
        <v>#VALUE!</v>
      </c>
      <c r="BD331" s="437" t="str">
        <f t="shared" si="1"/>
        <v>#VALUE!</v>
      </c>
      <c r="BE331" s="435"/>
      <c r="BF331" s="415"/>
    </row>
    <row r="332" ht="14.25" customHeight="1">
      <c r="A332" s="408">
        <v>330.0</v>
      </c>
      <c r="B332" s="153" t="s">
        <v>2002</v>
      </c>
      <c r="C332" s="153">
        <v>2024.0</v>
      </c>
      <c r="D332" s="77" t="s">
        <v>1817</v>
      </c>
      <c r="E332" s="409" t="str">
        <f>IFERROR(__xludf.DUMMYFUNCTION("ARRAYFORMULA(JOIN("""", ARRAYFORMULA(MID(SPLIT(F332, "" ""), 1, 1))))
&amp;""/""&amp;G332"),"CLQ/2 Primaria")</f>
        <v>CLQ/2 Primaria</v>
      </c>
      <c r="F332" s="77" t="s">
        <v>1827</v>
      </c>
      <c r="G332" s="432" t="s">
        <v>15</v>
      </c>
      <c r="H332" s="433" t="s">
        <v>1746</v>
      </c>
      <c r="I332" s="433" t="s">
        <v>1697</v>
      </c>
      <c r="J332" s="433" t="s">
        <v>2003</v>
      </c>
      <c r="K332" s="432" t="s">
        <v>1665</v>
      </c>
      <c r="L332" s="415"/>
      <c r="M332" s="434" t="s">
        <v>1825</v>
      </c>
      <c r="N332" s="434" t="s">
        <v>1826</v>
      </c>
      <c r="O332" s="434" t="s">
        <v>1660</v>
      </c>
      <c r="P332" s="434" t="s">
        <v>1660</v>
      </c>
      <c r="Q332" s="434" t="s">
        <v>1825</v>
      </c>
      <c r="R332" s="434" t="s">
        <v>1660</v>
      </c>
      <c r="S332" s="434" t="s">
        <v>1826</v>
      </c>
      <c r="T332" s="434" t="s">
        <v>1826</v>
      </c>
      <c r="U332" s="434" t="s">
        <v>1826</v>
      </c>
      <c r="V332" s="434" t="s">
        <v>1660</v>
      </c>
      <c r="W332" s="434" t="s">
        <v>1825</v>
      </c>
      <c r="X332" s="434" t="s">
        <v>1660</v>
      </c>
      <c r="Y332" s="434" t="s">
        <v>1826</v>
      </c>
      <c r="Z332" s="434" t="s">
        <v>1660</v>
      </c>
      <c r="AA332" s="434" t="s">
        <v>1825</v>
      </c>
      <c r="AB332" s="434" t="s">
        <v>1826</v>
      </c>
      <c r="AC332" s="434" t="s">
        <v>1825</v>
      </c>
      <c r="AD332" s="434" t="s">
        <v>1825</v>
      </c>
      <c r="AE332" s="434" t="s">
        <v>1660</v>
      </c>
      <c r="AF332" s="434" t="s">
        <v>1825</v>
      </c>
      <c r="AG332" s="427">
        <v>11.0</v>
      </c>
      <c r="AH332" s="435" t="s">
        <v>24</v>
      </c>
      <c r="AI332" s="415"/>
      <c r="AJ332" s="436" t="str">
        <f t="array" ref="AJ332">IF(M332=DGET(claves!$A$2:$AS423,M$2,{claves!$A$2;$E332}),1,0)</f>
        <v>#VALUE!</v>
      </c>
      <c r="AK332" s="436" t="str">
        <f t="array" ref="AK332">IF(N332=DGET(claves!$A$2:$AS423,N$2,{claves!$A$2;$E332}),1,0)</f>
        <v>#VALUE!</v>
      </c>
      <c r="AL332" s="436" t="str">
        <f t="array" ref="AL332">IF(O332=DGET(claves!$A$2:$AS423,O$2,{claves!$A$2;$E332}),1,0)</f>
        <v>#VALUE!</v>
      </c>
      <c r="AM332" s="436" t="str">
        <f t="array" ref="AM332">IF(P332=DGET(claves!$A$2:$AS423,P$2,{claves!$A$2;$E332}),1,0)</f>
        <v>#VALUE!</v>
      </c>
      <c r="AN332" s="436" t="str">
        <f t="array" ref="AN332">IF(Q332=DGET(claves!$A$2:$AS423,Q$2,{claves!$A$2;$E332}),1,0)</f>
        <v>#VALUE!</v>
      </c>
      <c r="AO332" s="436" t="str">
        <f t="array" ref="AO332">IF(R332=DGET(claves!$A$2:$AS423,R$2,{claves!$A$2;$E332}),1,0)</f>
        <v>#VALUE!</v>
      </c>
      <c r="AP332" s="436" t="str">
        <f t="array" ref="AP332">IF(S332=DGET(claves!$A$2:$AS423,S$2,{claves!$A$2;$E332}),1,0)</f>
        <v>#VALUE!</v>
      </c>
      <c r="AQ332" s="436" t="str">
        <f t="array" ref="AQ332">IF(T332=DGET(claves!$A$2:$AS423,T$2,{claves!$A$2;$E332}),1,0)</f>
        <v>#VALUE!</v>
      </c>
      <c r="AR332" s="436" t="str">
        <f t="array" ref="AR332">IF(U332=DGET(claves!$A$2:$AS423,U$2,{claves!$A$2;$E332}),1,0)</f>
        <v>#VALUE!</v>
      </c>
      <c r="AS332" s="436" t="str">
        <f t="array" ref="AS332">IF(V332=DGET(claves!$A$2:$AS423,V$2,{claves!$A$2;$E332}),1,0)</f>
        <v>#VALUE!</v>
      </c>
      <c r="AT332" s="436" t="str">
        <f t="array" ref="AT332">IF(W332=DGET(claves!$A$2:$AS423,W$2,{claves!$A$2;$E332}),1,0)</f>
        <v>#VALUE!</v>
      </c>
      <c r="AU332" s="436" t="str">
        <f t="array" ref="AU332">IF(X332=DGET(claves!$A$2:$AS423,X$2,{claves!$A$2;$E332}),1,0)</f>
        <v>#VALUE!</v>
      </c>
      <c r="AV332" s="436" t="str">
        <f t="array" ref="AV332">IF(Y332=DGET(claves!$A$2:$AS423,Y$2,{claves!$A$2;$E332}),1,0)</f>
        <v>#VALUE!</v>
      </c>
      <c r="AW332" s="436" t="str">
        <f t="array" ref="AW332">IF(Z332=DGET(claves!$A$2:$AS423,Z$2,{claves!$A$2;$E332}),1,0)</f>
        <v>#VALUE!</v>
      </c>
      <c r="AX332" s="436" t="str">
        <f t="array" ref="AX332">IF(AA332=DGET(claves!$A$2:$AS423,AA$2,{claves!$A$2;$E332}),1,0)</f>
        <v>#VALUE!</v>
      </c>
      <c r="AY332" s="436" t="str">
        <f t="array" ref="AY332">IF(AB332=DGET(claves!$A$2:$AS423,AB$2,{claves!$A$2;$E332}),1,0)</f>
        <v>#VALUE!</v>
      </c>
      <c r="AZ332" s="436" t="str">
        <f t="array" ref="AZ332">IF(AC332=DGET(claves!$A$2:$AS423,AC$2,{claves!$A$2;$E332}),1,0)</f>
        <v>#VALUE!</v>
      </c>
      <c r="BA332" s="436" t="str">
        <f t="array" ref="BA332">IF(AD332=DGET(claves!$A$2:$AS423,AD$2,{claves!$A$2;$E332}),1,0)</f>
        <v>#VALUE!</v>
      </c>
      <c r="BB332" s="436" t="str">
        <f t="array" ref="BB332">IF(AE332=DGET(claves!$A$2:$AS423,AE$2,{claves!$A$2;$E332}),1,0)</f>
        <v>#VALUE!</v>
      </c>
      <c r="BC332" s="436" t="str">
        <f t="array" ref="BC332">IF(AF332=DGET(claves!$A$2:$AS423,AF$2,{claves!$A$2;$E332}),1,0)</f>
        <v>#VALUE!</v>
      </c>
      <c r="BD332" s="437" t="str">
        <f t="shared" si="1"/>
        <v>#VALUE!</v>
      </c>
      <c r="BE332" s="435"/>
      <c r="BF332" s="415"/>
    </row>
    <row r="333" ht="14.25" customHeight="1">
      <c r="A333" s="408">
        <v>331.0</v>
      </c>
      <c r="B333" s="153" t="s">
        <v>2002</v>
      </c>
      <c r="C333" s="153">
        <v>2024.0</v>
      </c>
      <c r="D333" s="77" t="s">
        <v>362</v>
      </c>
      <c r="E333" s="409" t="str">
        <f>IFERROR(__xludf.DUMMYFUNCTION("ARRAYFORMULA(JOIN("""", ARRAYFORMULA(MID(SPLIT(F333, "" ""), 1, 1))))
&amp;""/""&amp;G333"),"MQ/4 Primaria")</f>
        <v>MQ/4 Primaria</v>
      </c>
      <c r="F333" s="77" t="s">
        <v>1823</v>
      </c>
      <c r="G333" s="432" t="s">
        <v>20</v>
      </c>
      <c r="H333" s="433" t="s">
        <v>2004</v>
      </c>
      <c r="I333" s="433" t="s">
        <v>2005</v>
      </c>
      <c r="J333" s="433" t="s">
        <v>2006</v>
      </c>
      <c r="K333" s="432" t="s">
        <v>1665</v>
      </c>
      <c r="L333" s="415"/>
      <c r="M333" s="434" t="s">
        <v>1689</v>
      </c>
      <c r="N333" s="434" t="s">
        <v>1661</v>
      </c>
      <c r="O333" s="434" t="s">
        <v>1659</v>
      </c>
      <c r="P333" s="434" t="s">
        <v>1689</v>
      </c>
      <c r="Q333" s="434" t="s">
        <v>1661</v>
      </c>
      <c r="R333" s="434" t="s">
        <v>1660</v>
      </c>
      <c r="S333" s="434" t="s">
        <v>1659</v>
      </c>
      <c r="T333" s="434" t="s">
        <v>1661</v>
      </c>
      <c r="U333" s="434" t="s">
        <v>1659</v>
      </c>
      <c r="V333" s="434" t="s">
        <v>1660</v>
      </c>
      <c r="W333" s="434" t="s">
        <v>1689</v>
      </c>
      <c r="X333" s="434" t="s">
        <v>1660</v>
      </c>
      <c r="Y333" s="434" t="s">
        <v>1660</v>
      </c>
      <c r="Z333" s="434" t="s">
        <v>1661</v>
      </c>
      <c r="AA333" s="434" t="s">
        <v>1660</v>
      </c>
      <c r="AB333" s="434" t="s">
        <v>1659</v>
      </c>
      <c r="AC333" s="434" t="s">
        <v>1689</v>
      </c>
      <c r="AD333" s="434" t="s">
        <v>1661</v>
      </c>
      <c r="AE333" s="434" t="s">
        <v>1660</v>
      </c>
      <c r="AF333" s="434" t="s">
        <v>1660</v>
      </c>
      <c r="AG333" s="427">
        <v>14.0</v>
      </c>
      <c r="AH333" s="435" t="s">
        <v>24</v>
      </c>
      <c r="AI333" s="415"/>
      <c r="AJ333" s="436" t="str">
        <f t="array" ref="AJ333">IF(M333=DGET(claves!$A$2:$AS423,M$2,{claves!$A$2;$E333}),1,0)</f>
        <v>#VALUE!</v>
      </c>
      <c r="AK333" s="436" t="str">
        <f t="array" ref="AK333">IF(N333=DGET(claves!$A$2:$AS423,N$2,{claves!$A$2;$E333}),1,0)</f>
        <v>#VALUE!</v>
      </c>
      <c r="AL333" s="436" t="str">
        <f t="array" ref="AL333">IF(O333=DGET(claves!$A$2:$AS423,O$2,{claves!$A$2;$E333}),1,0)</f>
        <v>#VALUE!</v>
      </c>
      <c r="AM333" s="436" t="str">
        <f t="array" ref="AM333">IF(P333=DGET(claves!$A$2:$AS423,P$2,{claves!$A$2;$E333}),1,0)</f>
        <v>#VALUE!</v>
      </c>
      <c r="AN333" s="436" t="str">
        <f t="array" ref="AN333">IF(Q333=DGET(claves!$A$2:$AS423,Q$2,{claves!$A$2;$E333}),1,0)</f>
        <v>#VALUE!</v>
      </c>
      <c r="AO333" s="436" t="str">
        <f t="array" ref="AO333">IF(R333=DGET(claves!$A$2:$AS423,R$2,{claves!$A$2;$E333}),1,0)</f>
        <v>#VALUE!</v>
      </c>
      <c r="AP333" s="436" t="str">
        <f t="array" ref="AP333">IF(S333=DGET(claves!$A$2:$AS423,S$2,{claves!$A$2;$E333}),1,0)</f>
        <v>#VALUE!</v>
      </c>
      <c r="AQ333" s="436" t="str">
        <f t="array" ref="AQ333">IF(T333=DGET(claves!$A$2:$AS423,T$2,{claves!$A$2;$E333}),1,0)</f>
        <v>#VALUE!</v>
      </c>
      <c r="AR333" s="436" t="str">
        <f t="array" ref="AR333">IF(U333=DGET(claves!$A$2:$AS423,U$2,{claves!$A$2;$E333}),1,0)</f>
        <v>#VALUE!</v>
      </c>
      <c r="AS333" s="436" t="str">
        <f t="array" ref="AS333">IF(V333=DGET(claves!$A$2:$AS423,V$2,{claves!$A$2;$E333}),1,0)</f>
        <v>#VALUE!</v>
      </c>
      <c r="AT333" s="436" t="str">
        <f t="array" ref="AT333">IF(W333=DGET(claves!$A$2:$AS423,W$2,{claves!$A$2;$E333}),1,0)</f>
        <v>#VALUE!</v>
      </c>
      <c r="AU333" s="436" t="str">
        <f t="array" ref="AU333">IF(X333=DGET(claves!$A$2:$AS423,X$2,{claves!$A$2;$E333}),1,0)</f>
        <v>#VALUE!</v>
      </c>
      <c r="AV333" s="436" t="str">
        <f t="array" ref="AV333">IF(Y333=DGET(claves!$A$2:$AS423,Y$2,{claves!$A$2;$E333}),1,0)</f>
        <v>#VALUE!</v>
      </c>
      <c r="AW333" s="436" t="str">
        <f t="array" ref="AW333">IF(Z333=DGET(claves!$A$2:$AS423,Z$2,{claves!$A$2;$E333}),1,0)</f>
        <v>#VALUE!</v>
      </c>
      <c r="AX333" s="436" t="str">
        <f t="array" ref="AX333">IF(AA333=DGET(claves!$A$2:$AS423,AA$2,{claves!$A$2;$E333}),1,0)</f>
        <v>#VALUE!</v>
      </c>
      <c r="AY333" s="436" t="str">
        <f t="array" ref="AY333">IF(AB333=DGET(claves!$A$2:$AS423,AB$2,{claves!$A$2;$E333}),1,0)</f>
        <v>#VALUE!</v>
      </c>
      <c r="AZ333" s="436" t="str">
        <f t="array" ref="AZ333">IF(AC333=DGET(claves!$A$2:$AS423,AC$2,{claves!$A$2;$E333}),1,0)</f>
        <v>#VALUE!</v>
      </c>
      <c r="BA333" s="436" t="str">
        <f t="array" ref="BA333">IF(AD333=DGET(claves!$A$2:$AS423,AD$2,{claves!$A$2;$E333}),1,0)</f>
        <v>#VALUE!</v>
      </c>
      <c r="BB333" s="436" t="str">
        <f t="array" ref="BB333">IF(AE333=DGET(claves!$A$2:$AS423,AE$2,{claves!$A$2;$E333}),1,0)</f>
        <v>#VALUE!</v>
      </c>
      <c r="BC333" s="436" t="str">
        <f t="array" ref="BC333">IF(AF333=DGET(claves!$A$2:$AS423,AF$2,{claves!$A$2;$E333}),1,0)</f>
        <v>#VALUE!</v>
      </c>
      <c r="BD333" s="437" t="str">
        <f t="shared" si="1"/>
        <v>#VALUE!</v>
      </c>
      <c r="BE333" s="435"/>
      <c r="BF333" s="415"/>
    </row>
    <row r="334" ht="14.25" customHeight="1">
      <c r="A334" s="408">
        <v>332.0</v>
      </c>
      <c r="B334" s="153" t="s">
        <v>2002</v>
      </c>
      <c r="C334" s="153">
        <v>2024.0</v>
      </c>
      <c r="D334" s="77" t="s">
        <v>1817</v>
      </c>
      <c r="E334" s="409" t="str">
        <f>IFERROR(__xludf.DUMMYFUNCTION("ARRAYFORMULA(JOIN("""", ARRAYFORMULA(MID(SPLIT(F334, "" ""), 1, 1))))
&amp;""/""&amp;G334"),"CLQ/4 Primaria")</f>
        <v>CLQ/4 Primaria</v>
      </c>
      <c r="F334" s="77" t="s">
        <v>1827</v>
      </c>
      <c r="G334" s="432" t="s">
        <v>20</v>
      </c>
      <c r="H334" s="433" t="s">
        <v>2004</v>
      </c>
      <c r="I334" s="433" t="s">
        <v>2005</v>
      </c>
      <c r="J334" s="433" t="s">
        <v>2006</v>
      </c>
      <c r="K334" s="432" t="s">
        <v>1665</v>
      </c>
      <c r="L334" s="415"/>
      <c r="M334" s="434" t="s">
        <v>1659</v>
      </c>
      <c r="N334" s="434" t="s">
        <v>1660</v>
      </c>
      <c r="O334" s="434" t="s">
        <v>1659</v>
      </c>
      <c r="P334" s="434" t="s">
        <v>1659</v>
      </c>
      <c r="Q334" s="434" t="s">
        <v>1661</v>
      </c>
      <c r="R334" s="434" t="s">
        <v>1661</v>
      </c>
      <c r="S334" s="434" t="s">
        <v>1660</v>
      </c>
      <c r="T334" s="434" t="s">
        <v>1661</v>
      </c>
      <c r="U334" s="434" t="s">
        <v>1689</v>
      </c>
      <c r="V334" s="434" t="s">
        <v>1661</v>
      </c>
      <c r="W334" s="434" t="s">
        <v>1689</v>
      </c>
      <c r="X334" s="434" t="s">
        <v>1660</v>
      </c>
      <c r="Y334" s="434" t="s">
        <v>1659</v>
      </c>
      <c r="Z334" s="434" t="s">
        <v>1659</v>
      </c>
      <c r="AA334" s="434" t="s">
        <v>1661</v>
      </c>
      <c r="AB334" s="434" t="s">
        <v>1661</v>
      </c>
      <c r="AC334" s="434" t="s">
        <v>1661</v>
      </c>
      <c r="AD334" s="434" t="s">
        <v>1689</v>
      </c>
      <c r="AE334" s="434" t="s">
        <v>1659</v>
      </c>
      <c r="AF334" s="434" t="s">
        <v>1689</v>
      </c>
      <c r="AG334" s="427">
        <v>18.0</v>
      </c>
      <c r="AH334" s="438" t="s">
        <v>32</v>
      </c>
      <c r="AI334" s="415"/>
      <c r="AJ334" s="436" t="str">
        <f t="array" ref="AJ334">IF(M334=DGET(claves!$A$2:$AS423,M$2,{claves!$A$2;$E334}),1,0)</f>
        <v>#VALUE!</v>
      </c>
      <c r="AK334" s="436" t="str">
        <f t="array" ref="AK334">IF(N334=DGET(claves!$A$2:$AS423,N$2,{claves!$A$2;$E334}),1,0)</f>
        <v>#VALUE!</v>
      </c>
      <c r="AL334" s="436" t="str">
        <f t="array" ref="AL334">IF(O334=DGET(claves!$A$2:$AS423,O$2,{claves!$A$2;$E334}),1,0)</f>
        <v>#VALUE!</v>
      </c>
      <c r="AM334" s="436" t="str">
        <f t="array" ref="AM334">IF(P334=DGET(claves!$A$2:$AS423,P$2,{claves!$A$2;$E334}),1,0)</f>
        <v>#VALUE!</v>
      </c>
      <c r="AN334" s="436" t="str">
        <f t="array" ref="AN334">IF(Q334=DGET(claves!$A$2:$AS423,Q$2,{claves!$A$2;$E334}),1,0)</f>
        <v>#VALUE!</v>
      </c>
      <c r="AO334" s="436" t="str">
        <f t="array" ref="AO334">IF(R334=DGET(claves!$A$2:$AS423,R$2,{claves!$A$2;$E334}),1,0)</f>
        <v>#VALUE!</v>
      </c>
      <c r="AP334" s="436" t="str">
        <f t="array" ref="AP334">IF(S334=DGET(claves!$A$2:$AS423,S$2,{claves!$A$2;$E334}),1,0)</f>
        <v>#VALUE!</v>
      </c>
      <c r="AQ334" s="436" t="str">
        <f t="array" ref="AQ334">IF(T334=DGET(claves!$A$2:$AS423,T$2,{claves!$A$2;$E334}),1,0)</f>
        <v>#VALUE!</v>
      </c>
      <c r="AR334" s="436" t="str">
        <f t="array" ref="AR334">IF(U334=DGET(claves!$A$2:$AS423,U$2,{claves!$A$2;$E334}),1,0)</f>
        <v>#VALUE!</v>
      </c>
      <c r="AS334" s="436" t="str">
        <f t="array" ref="AS334">IF(V334=DGET(claves!$A$2:$AS423,V$2,{claves!$A$2;$E334}),1,0)</f>
        <v>#VALUE!</v>
      </c>
      <c r="AT334" s="436" t="str">
        <f t="array" ref="AT334">IF(W334=DGET(claves!$A$2:$AS423,W$2,{claves!$A$2;$E334}),1,0)</f>
        <v>#VALUE!</v>
      </c>
      <c r="AU334" s="436" t="str">
        <f t="array" ref="AU334">IF(X334=DGET(claves!$A$2:$AS423,X$2,{claves!$A$2;$E334}),1,0)</f>
        <v>#VALUE!</v>
      </c>
      <c r="AV334" s="436" t="str">
        <f t="array" ref="AV334">IF(Y334=DGET(claves!$A$2:$AS423,Y$2,{claves!$A$2;$E334}),1,0)</f>
        <v>#VALUE!</v>
      </c>
      <c r="AW334" s="436" t="str">
        <f t="array" ref="AW334">IF(Z334=DGET(claves!$A$2:$AS423,Z$2,{claves!$A$2;$E334}),1,0)</f>
        <v>#VALUE!</v>
      </c>
      <c r="AX334" s="436" t="str">
        <f t="array" ref="AX334">IF(AA334=DGET(claves!$A$2:$AS423,AA$2,{claves!$A$2;$E334}),1,0)</f>
        <v>#VALUE!</v>
      </c>
      <c r="AY334" s="436" t="str">
        <f t="array" ref="AY334">IF(AB334=DGET(claves!$A$2:$AS423,AB$2,{claves!$A$2;$E334}),1,0)</f>
        <v>#VALUE!</v>
      </c>
      <c r="AZ334" s="436" t="str">
        <f t="array" ref="AZ334">IF(AC334=DGET(claves!$A$2:$AS423,AC$2,{claves!$A$2;$E334}),1,0)</f>
        <v>#VALUE!</v>
      </c>
      <c r="BA334" s="436" t="str">
        <f t="array" ref="BA334">IF(AD334=DGET(claves!$A$2:$AS423,AD$2,{claves!$A$2;$E334}),1,0)</f>
        <v>#VALUE!</v>
      </c>
      <c r="BB334" s="436" t="str">
        <f t="array" ref="BB334">IF(AE334=DGET(claves!$A$2:$AS423,AE$2,{claves!$A$2;$E334}),1,0)</f>
        <v>#VALUE!</v>
      </c>
      <c r="BC334" s="436" t="str">
        <f t="array" ref="BC334">IF(AF334=DGET(claves!$A$2:$AS423,AF$2,{claves!$A$2;$E334}),1,0)</f>
        <v>#VALUE!</v>
      </c>
      <c r="BD334" s="437" t="str">
        <f t="shared" si="1"/>
        <v>#VALUE!</v>
      </c>
      <c r="BE334" s="435"/>
      <c r="BF334" s="415"/>
    </row>
    <row r="335" ht="14.25" customHeight="1">
      <c r="A335" s="408">
        <v>333.0</v>
      </c>
      <c r="B335" s="153" t="s">
        <v>2002</v>
      </c>
      <c r="C335" s="153">
        <v>2024.0</v>
      </c>
      <c r="D335" s="77" t="s">
        <v>362</v>
      </c>
      <c r="E335" s="409" t="str">
        <f>IFERROR(__xludf.DUMMYFUNCTION("ARRAYFORMULA(JOIN("""", ARRAYFORMULA(MID(SPLIT(F335, "" ""), 1, 1))))
&amp;""/""&amp;G335"),"MQ/4 Primaria")</f>
        <v>MQ/4 Primaria</v>
      </c>
      <c r="F335" s="77" t="s">
        <v>1823</v>
      </c>
      <c r="G335" s="432" t="s">
        <v>20</v>
      </c>
      <c r="H335" s="433" t="s">
        <v>2004</v>
      </c>
      <c r="I335" s="433" t="s">
        <v>1937</v>
      </c>
      <c r="J335" s="433" t="s">
        <v>2007</v>
      </c>
      <c r="K335" s="433" t="s">
        <v>1658</v>
      </c>
      <c r="L335" s="415"/>
      <c r="M335" s="434" t="s">
        <v>1689</v>
      </c>
      <c r="N335" s="434" t="s">
        <v>1660</v>
      </c>
      <c r="O335" s="434" t="s">
        <v>1660</v>
      </c>
      <c r="P335" s="434" t="s">
        <v>1661</v>
      </c>
      <c r="Q335" s="434" t="s">
        <v>1661</v>
      </c>
      <c r="R335" s="434" t="s">
        <v>1660</v>
      </c>
      <c r="S335" s="434" t="s">
        <v>1661</v>
      </c>
      <c r="T335" s="434" t="s">
        <v>1661</v>
      </c>
      <c r="U335" s="434" t="s">
        <v>1659</v>
      </c>
      <c r="V335" s="434" t="s">
        <v>1659</v>
      </c>
      <c r="W335" s="434" t="s">
        <v>1659</v>
      </c>
      <c r="X335" s="434" t="s">
        <v>1661</v>
      </c>
      <c r="Y335" s="434" t="s">
        <v>1659</v>
      </c>
      <c r="Z335" s="434" t="s">
        <v>1661</v>
      </c>
      <c r="AA335" s="434" t="s">
        <v>1659</v>
      </c>
      <c r="AB335" s="434" t="s">
        <v>1660</v>
      </c>
      <c r="AC335" s="434" t="s">
        <v>1661</v>
      </c>
      <c r="AD335" s="434" t="s">
        <v>1661</v>
      </c>
      <c r="AE335" s="434" t="s">
        <v>1660</v>
      </c>
      <c r="AF335" s="434" t="s">
        <v>1660</v>
      </c>
      <c r="AG335" s="427">
        <v>8.0</v>
      </c>
      <c r="AH335" s="435" t="s">
        <v>18</v>
      </c>
      <c r="AI335" s="415"/>
      <c r="AJ335" s="436" t="str">
        <f t="array" ref="AJ335">IF(M335=DGET(claves!$A$2:$AS423,M$2,{claves!$A$2;$E335}),1,0)</f>
        <v>#VALUE!</v>
      </c>
      <c r="AK335" s="436" t="str">
        <f t="array" ref="AK335">IF(N335=DGET(claves!$A$2:$AS423,N$2,{claves!$A$2;$E335}),1,0)</f>
        <v>#VALUE!</v>
      </c>
      <c r="AL335" s="436" t="str">
        <f t="array" ref="AL335">IF(O335=DGET(claves!$A$2:$AS423,O$2,{claves!$A$2;$E335}),1,0)</f>
        <v>#VALUE!</v>
      </c>
      <c r="AM335" s="436" t="str">
        <f t="array" ref="AM335">IF(P335=DGET(claves!$A$2:$AS423,P$2,{claves!$A$2;$E335}),1,0)</f>
        <v>#VALUE!</v>
      </c>
      <c r="AN335" s="436" t="str">
        <f t="array" ref="AN335">IF(Q335=DGET(claves!$A$2:$AS423,Q$2,{claves!$A$2;$E335}),1,0)</f>
        <v>#VALUE!</v>
      </c>
      <c r="AO335" s="436" t="str">
        <f t="array" ref="AO335">IF(R335=DGET(claves!$A$2:$AS423,R$2,{claves!$A$2;$E335}),1,0)</f>
        <v>#VALUE!</v>
      </c>
      <c r="AP335" s="436" t="str">
        <f t="array" ref="AP335">IF(S335=DGET(claves!$A$2:$AS423,S$2,{claves!$A$2;$E335}),1,0)</f>
        <v>#VALUE!</v>
      </c>
      <c r="AQ335" s="436" t="str">
        <f t="array" ref="AQ335">IF(T335=DGET(claves!$A$2:$AS423,T$2,{claves!$A$2;$E335}),1,0)</f>
        <v>#VALUE!</v>
      </c>
      <c r="AR335" s="436" t="str">
        <f t="array" ref="AR335">IF(U335=DGET(claves!$A$2:$AS423,U$2,{claves!$A$2;$E335}),1,0)</f>
        <v>#VALUE!</v>
      </c>
      <c r="AS335" s="436" t="str">
        <f t="array" ref="AS335">IF(V335=DGET(claves!$A$2:$AS423,V$2,{claves!$A$2;$E335}),1,0)</f>
        <v>#VALUE!</v>
      </c>
      <c r="AT335" s="436" t="str">
        <f t="array" ref="AT335">IF(W335=DGET(claves!$A$2:$AS423,W$2,{claves!$A$2;$E335}),1,0)</f>
        <v>#VALUE!</v>
      </c>
      <c r="AU335" s="436" t="str">
        <f t="array" ref="AU335">IF(X335=DGET(claves!$A$2:$AS423,X$2,{claves!$A$2;$E335}),1,0)</f>
        <v>#VALUE!</v>
      </c>
      <c r="AV335" s="436" t="str">
        <f t="array" ref="AV335">IF(Y335=DGET(claves!$A$2:$AS423,Y$2,{claves!$A$2;$E335}),1,0)</f>
        <v>#VALUE!</v>
      </c>
      <c r="AW335" s="436" t="str">
        <f t="array" ref="AW335">IF(Z335=DGET(claves!$A$2:$AS423,Z$2,{claves!$A$2;$E335}),1,0)</f>
        <v>#VALUE!</v>
      </c>
      <c r="AX335" s="436" t="str">
        <f t="array" ref="AX335">IF(AA335=DGET(claves!$A$2:$AS423,AA$2,{claves!$A$2;$E335}),1,0)</f>
        <v>#VALUE!</v>
      </c>
      <c r="AY335" s="436" t="str">
        <f t="array" ref="AY335">IF(AB335=DGET(claves!$A$2:$AS423,AB$2,{claves!$A$2;$E335}),1,0)</f>
        <v>#VALUE!</v>
      </c>
      <c r="AZ335" s="436" t="str">
        <f t="array" ref="AZ335">IF(AC335=DGET(claves!$A$2:$AS423,AC$2,{claves!$A$2;$E335}),1,0)</f>
        <v>#VALUE!</v>
      </c>
      <c r="BA335" s="436" t="str">
        <f t="array" ref="BA335">IF(AD335=DGET(claves!$A$2:$AS423,AD$2,{claves!$A$2;$E335}),1,0)</f>
        <v>#VALUE!</v>
      </c>
      <c r="BB335" s="436" t="str">
        <f t="array" ref="BB335">IF(AE335=DGET(claves!$A$2:$AS423,AE$2,{claves!$A$2;$E335}),1,0)</f>
        <v>#VALUE!</v>
      </c>
      <c r="BC335" s="436" t="str">
        <f t="array" ref="BC335">IF(AF335=DGET(claves!$A$2:$AS423,AF$2,{claves!$A$2;$E335}),1,0)</f>
        <v>#VALUE!</v>
      </c>
      <c r="BD335" s="437" t="str">
        <f t="shared" si="1"/>
        <v>#VALUE!</v>
      </c>
      <c r="BE335" s="435"/>
      <c r="BF335" s="415"/>
    </row>
    <row r="336" ht="14.25" customHeight="1">
      <c r="A336" s="408">
        <v>334.0</v>
      </c>
      <c r="B336" s="153" t="s">
        <v>2002</v>
      </c>
      <c r="C336" s="153">
        <v>2024.0</v>
      </c>
      <c r="D336" s="77" t="s">
        <v>1817</v>
      </c>
      <c r="E336" s="409" t="str">
        <f>IFERROR(__xludf.DUMMYFUNCTION("ARRAYFORMULA(JOIN("""", ARRAYFORMULA(MID(SPLIT(F336, "" ""), 1, 1))))
&amp;""/""&amp;G336"),"CLQ/4 Primaria")</f>
        <v>CLQ/4 Primaria</v>
      </c>
      <c r="F336" s="77" t="s">
        <v>1827</v>
      </c>
      <c r="G336" s="432" t="s">
        <v>20</v>
      </c>
      <c r="H336" s="433" t="s">
        <v>2004</v>
      </c>
      <c r="I336" s="433" t="s">
        <v>1937</v>
      </c>
      <c r="J336" s="433" t="s">
        <v>2007</v>
      </c>
      <c r="K336" s="433" t="s">
        <v>1658</v>
      </c>
      <c r="L336" s="415"/>
      <c r="M336" s="434" t="s">
        <v>1660</v>
      </c>
      <c r="N336" s="434" t="s">
        <v>1660</v>
      </c>
      <c r="O336" s="434" t="s">
        <v>1661</v>
      </c>
      <c r="P336" s="434" t="s">
        <v>1659</v>
      </c>
      <c r="Q336" s="434" t="s">
        <v>1661</v>
      </c>
      <c r="R336" s="434" t="s">
        <v>1659</v>
      </c>
      <c r="S336" s="434" t="s">
        <v>1660</v>
      </c>
      <c r="T336" s="434" t="s">
        <v>1661</v>
      </c>
      <c r="U336" s="434" t="s">
        <v>1689</v>
      </c>
      <c r="V336" s="434" t="s">
        <v>1661</v>
      </c>
      <c r="W336" s="434" t="s">
        <v>1689</v>
      </c>
      <c r="X336" s="434" t="s">
        <v>1661</v>
      </c>
      <c r="Y336" s="434" t="s">
        <v>1659</v>
      </c>
      <c r="Z336" s="434" t="s">
        <v>1659</v>
      </c>
      <c r="AA336" s="434" t="s">
        <v>1661</v>
      </c>
      <c r="AB336" s="434" t="s">
        <v>1689</v>
      </c>
      <c r="AC336" s="434" t="s">
        <v>1661</v>
      </c>
      <c r="AD336" s="434" t="s">
        <v>1689</v>
      </c>
      <c r="AE336" s="434" t="s">
        <v>1659</v>
      </c>
      <c r="AF336" s="434" t="s">
        <v>1689</v>
      </c>
      <c r="AG336" s="427">
        <v>16.0</v>
      </c>
      <c r="AH336" s="435" t="s">
        <v>24</v>
      </c>
      <c r="AI336" s="415"/>
      <c r="AJ336" s="436" t="str">
        <f t="array" ref="AJ336">IF(M336=DGET(claves!$A$2:$AS423,M$2,{claves!$A$2;$E336}),1,0)</f>
        <v>#VALUE!</v>
      </c>
      <c r="AK336" s="436" t="str">
        <f t="array" ref="AK336">IF(N336=DGET(claves!$A$2:$AS423,N$2,{claves!$A$2;$E336}),1,0)</f>
        <v>#VALUE!</v>
      </c>
      <c r="AL336" s="436" t="str">
        <f t="array" ref="AL336">IF(O336=DGET(claves!$A$2:$AS423,O$2,{claves!$A$2;$E336}),1,0)</f>
        <v>#VALUE!</v>
      </c>
      <c r="AM336" s="436" t="str">
        <f t="array" ref="AM336">IF(P336=DGET(claves!$A$2:$AS423,P$2,{claves!$A$2;$E336}),1,0)</f>
        <v>#VALUE!</v>
      </c>
      <c r="AN336" s="436" t="str">
        <f t="array" ref="AN336">IF(Q336=DGET(claves!$A$2:$AS423,Q$2,{claves!$A$2;$E336}),1,0)</f>
        <v>#VALUE!</v>
      </c>
      <c r="AO336" s="436" t="str">
        <f t="array" ref="AO336">IF(R336=DGET(claves!$A$2:$AS423,R$2,{claves!$A$2;$E336}),1,0)</f>
        <v>#VALUE!</v>
      </c>
      <c r="AP336" s="436" t="str">
        <f t="array" ref="AP336">IF(S336=DGET(claves!$A$2:$AS423,S$2,{claves!$A$2;$E336}),1,0)</f>
        <v>#VALUE!</v>
      </c>
      <c r="AQ336" s="436" t="str">
        <f t="array" ref="AQ336">IF(T336=DGET(claves!$A$2:$AS423,T$2,{claves!$A$2;$E336}),1,0)</f>
        <v>#VALUE!</v>
      </c>
      <c r="AR336" s="436" t="str">
        <f t="array" ref="AR336">IF(U336=DGET(claves!$A$2:$AS423,U$2,{claves!$A$2;$E336}),1,0)</f>
        <v>#VALUE!</v>
      </c>
      <c r="AS336" s="436" t="str">
        <f t="array" ref="AS336">IF(V336=DGET(claves!$A$2:$AS423,V$2,{claves!$A$2;$E336}),1,0)</f>
        <v>#VALUE!</v>
      </c>
      <c r="AT336" s="436" t="str">
        <f t="array" ref="AT336">IF(W336=DGET(claves!$A$2:$AS423,W$2,{claves!$A$2;$E336}),1,0)</f>
        <v>#VALUE!</v>
      </c>
      <c r="AU336" s="436" t="str">
        <f t="array" ref="AU336">IF(X336=DGET(claves!$A$2:$AS423,X$2,{claves!$A$2;$E336}),1,0)</f>
        <v>#VALUE!</v>
      </c>
      <c r="AV336" s="436" t="str">
        <f t="array" ref="AV336">IF(Y336=DGET(claves!$A$2:$AS423,Y$2,{claves!$A$2;$E336}),1,0)</f>
        <v>#VALUE!</v>
      </c>
      <c r="AW336" s="436" t="str">
        <f t="array" ref="AW336">IF(Z336=DGET(claves!$A$2:$AS423,Z$2,{claves!$A$2;$E336}),1,0)</f>
        <v>#VALUE!</v>
      </c>
      <c r="AX336" s="436" t="str">
        <f t="array" ref="AX336">IF(AA336=DGET(claves!$A$2:$AS423,AA$2,{claves!$A$2;$E336}),1,0)</f>
        <v>#VALUE!</v>
      </c>
      <c r="AY336" s="436" t="str">
        <f t="array" ref="AY336">IF(AB336=DGET(claves!$A$2:$AS423,AB$2,{claves!$A$2;$E336}),1,0)</f>
        <v>#VALUE!</v>
      </c>
      <c r="AZ336" s="436" t="str">
        <f t="array" ref="AZ336">IF(AC336=DGET(claves!$A$2:$AS423,AC$2,{claves!$A$2;$E336}),1,0)</f>
        <v>#VALUE!</v>
      </c>
      <c r="BA336" s="436" t="str">
        <f t="array" ref="BA336">IF(AD336=DGET(claves!$A$2:$AS423,AD$2,{claves!$A$2;$E336}),1,0)</f>
        <v>#VALUE!</v>
      </c>
      <c r="BB336" s="436" t="str">
        <f t="array" ref="BB336">IF(AE336=DGET(claves!$A$2:$AS423,AE$2,{claves!$A$2;$E336}),1,0)</f>
        <v>#VALUE!</v>
      </c>
      <c r="BC336" s="436" t="str">
        <f t="array" ref="BC336">IF(AF336=DGET(claves!$A$2:$AS423,AF$2,{claves!$A$2;$E336}),1,0)</f>
        <v>#VALUE!</v>
      </c>
      <c r="BD336" s="437" t="str">
        <f t="shared" si="1"/>
        <v>#VALUE!</v>
      </c>
      <c r="BE336" s="435"/>
      <c r="BF336" s="415"/>
    </row>
    <row r="337" ht="14.25" customHeight="1">
      <c r="A337" s="408">
        <v>335.0</v>
      </c>
      <c r="B337" s="153" t="s">
        <v>2002</v>
      </c>
      <c r="C337" s="153">
        <v>2024.0</v>
      </c>
      <c r="D337" s="77" t="s">
        <v>362</v>
      </c>
      <c r="E337" s="409" t="str">
        <f>IFERROR(__xludf.DUMMYFUNCTION("ARRAYFORMULA(JOIN("""", ARRAYFORMULA(MID(SPLIT(F337, "" ""), 1, 1))))
&amp;""/""&amp;G337"),"MQ/6 Primaria")</f>
        <v>MQ/6 Primaria</v>
      </c>
      <c r="F337" s="77" t="s">
        <v>1823</v>
      </c>
      <c r="G337" s="432" t="s">
        <v>22</v>
      </c>
      <c r="H337" s="433" t="s">
        <v>2008</v>
      </c>
      <c r="I337" s="433" t="s">
        <v>1833</v>
      </c>
      <c r="J337" s="433" t="s">
        <v>2009</v>
      </c>
      <c r="K337" s="432" t="s">
        <v>1665</v>
      </c>
      <c r="L337" s="415"/>
      <c r="M337" s="434" t="s">
        <v>1660</v>
      </c>
      <c r="N337" s="434" t="s">
        <v>1689</v>
      </c>
      <c r="O337" s="434" t="s">
        <v>1659</v>
      </c>
      <c r="P337" s="434" t="s">
        <v>1659</v>
      </c>
      <c r="Q337" s="434" t="s">
        <v>1660</v>
      </c>
      <c r="R337" s="434" t="s">
        <v>1659</v>
      </c>
      <c r="S337" s="434" t="s">
        <v>1659</v>
      </c>
      <c r="T337" s="434" t="s">
        <v>1660</v>
      </c>
      <c r="U337" s="434" t="s">
        <v>1689</v>
      </c>
      <c r="V337" s="434" t="s">
        <v>1689</v>
      </c>
      <c r="W337" s="434" t="s">
        <v>1689</v>
      </c>
      <c r="X337" s="434" t="s">
        <v>1689</v>
      </c>
      <c r="Y337" s="434" t="s">
        <v>1661</v>
      </c>
      <c r="Z337" s="434" t="s">
        <v>1661</v>
      </c>
      <c r="AA337" s="434" t="s">
        <v>1659</v>
      </c>
      <c r="AB337" s="434" t="s">
        <v>1660</v>
      </c>
      <c r="AC337" s="434" t="s">
        <v>1660</v>
      </c>
      <c r="AD337" s="434" t="s">
        <v>1661</v>
      </c>
      <c r="AE337" s="434" t="s">
        <v>1689</v>
      </c>
      <c r="AF337" s="434" t="s">
        <v>1660</v>
      </c>
      <c r="AG337" s="427">
        <v>10.0</v>
      </c>
      <c r="AH337" s="435" t="s">
        <v>18</v>
      </c>
      <c r="AI337" s="415"/>
      <c r="AJ337" s="436" t="str">
        <f t="array" ref="AJ337">IF(M337=DGET(claves!$A$2:$AS423,M$2,{claves!$A$2;$E337}),1,0)</f>
        <v>#VALUE!</v>
      </c>
      <c r="AK337" s="436" t="str">
        <f t="array" ref="AK337">IF(N337=DGET(claves!$A$2:$AS423,N$2,{claves!$A$2;$E337}),1,0)</f>
        <v>#VALUE!</v>
      </c>
      <c r="AL337" s="436" t="str">
        <f t="array" ref="AL337">IF(O337=DGET(claves!$A$2:$AS423,O$2,{claves!$A$2;$E337}),1,0)</f>
        <v>#VALUE!</v>
      </c>
      <c r="AM337" s="436" t="str">
        <f t="array" ref="AM337">IF(P337=DGET(claves!$A$2:$AS423,P$2,{claves!$A$2;$E337}),1,0)</f>
        <v>#VALUE!</v>
      </c>
      <c r="AN337" s="436" t="str">
        <f t="array" ref="AN337">IF(Q337=DGET(claves!$A$2:$AS423,Q$2,{claves!$A$2;$E337}),1,0)</f>
        <v>#VALUE!</v>
      </c>
      <c r="AO337" s="436" t="str">
        <f t="array" ref="AO337">IF(R337=DGET(claves!$A$2:$AS423,R$2,{claves!$A$2;$E337}),1,0)</f>
        <v>#VALUE!</v>
      </c>
      <c r="AP337" s="436" t="str">
        <f t="array" ref="AP337">IF(S337=DGET(claves!$A$2:$AS423,S$2,{claves!$A$2;$E337}),1,0)</f>
        <v>#VALUE!</v>
      </c>
      <c r="AQ337" s="436" t="str">
        <f t="array" ref="AQ337">IF(T337=DGET(claves!$A$2:$AS423,T$2,{claves!$A$2;$E337}),1,0)</f>
        <v>#VALUE!</v>
      </c>
      <c r="AR337" s="436" t="str">
        <f t="array" ref="AR337">IF(U337=DGET(claves!$A$2:$AS423,U$2,{claves!$A$2;$E337}),1,0)</f>
        <v>#VALUE!</v>
      </c>
      <c r="AS337" s="436" t="str">
        <f t="array" ref="AS337">IF(V337=DGET(claves!$A$2:$AS423,V$2,{claves!$A$2;$E337}),1,0)</f>
        <v>#VALUE!</v>
      </c>
      <c r="AT337" s="436" t="str">
        <f t="array" ref="AT337">IF(W337=DGET(claves!$A$2:$AS423,W$2,{claves!$A$2;$E337}),1,0)</f>
        <v>#VALUE!</v>
      </c>
      <c r="AU337" s="436" t="str">
        <f t="array" ref="AU337">IF(X337=DGET(claves!$A$2:$AS423,X$2,{claves!$A$2;$E337}),1,0)</f>
        <v>#VALUE!</v>
      </c>
      <c r="AV337" s="436" t="str">
        <f t="array" ref="AV337">IF(Y337=DGET(claves!$A$2:$AS423,Y$2,{claves!$A$2;$E337}),1,0)</f>
        <v>#VALUE!</v>
      </c>
      <c r="AW337" s="436" t="str">
        <f t="array" ref="AW337">IF(Z337=DGET(claves!$A$2:$AS423,Z$2,{claves!$A$2;$E337}),1,0)</f>
        <v>#VALUE!</v>
      </c>
      <c r="AX337" s="436" t="str">
        <f t="array" ref="AX337">IF(AA337=DGET(claves!$A$2:$AS423,AA$2,{claves!$A$2;$E337}),1,0)</f>
        <v>#VALUE!</v>
      </c>
      <c r="AY337" s="436" t="str">
        <f t="array" ref="AY337">IF(AB337=DGET(claves!$A$2:$AS423,AB$2,{claves!$A$2;$E337}),1,0)</f>
        <v>#VALUE!</v>
      </c>
      <c r="AZ337" s="436" t="str">
        <f t="array" ref="AZ337">IF(AC337=DGET(claves!$A$2:$AS423,AC$2,{claves!$A$2;$E337}),1,0)</f>
        <v>#VALUE!</v>
      </c>
      <c r="BA337" s="436" t="str">
        <f t="array" ref="BA337">IF(AD337=DGET(claves!$A$2:$AS423,AD$2,{claves!$A$2;$E337}),1,0)</f>
        <v>#VALUE!</v>
      </c>
      <c r="BB337" s="436" t="str">
        <f t="array" ref="BB337">IF(AE337=DGET(claves!$A$2:$AS423,AE$2,{claves!$A$2;$E337}),1,0)</f>
        <v>#VALUE!</v>
      </c>
      <c r="BC337" s="436" t="str">
        <f t="array" ref="BC337">IF(AF337=DGET(claves!$A$2:$AS423,AF$2,{claves!$A$2;$E337}),1,0)</f>
        <v>#VALUE!</v>
      </c>
      <c r="BD337" s="437" t="str">
        <f t="shared" si="1"/>
        <v>#VALUE!</v>
      </c>
      <c r="BE337" s="435"/>
      <c r="BF337" s="415"/>
    </row>
    <row r="338" ht="14.25" customHeight="1">
      <c r="A338" s="408">
        <v>336.0</v>
      </c>
      <c r="B338" s="153" t="s">
        <v>2002</v>
      </c>
      <c r="C338" s="153">
        <v>2024.0</v>
      </c>
      <c r="D338" s="77" t="s">
        <v>1817</v>
      </c>
      <c r="E338" s="409" t="str">
        <f>IFERROR(__xludf.DUMMYFUNCTION("ARRAYFORMULA(JOIN("""", ARRAYFORMULA(MID(SPLIT(F338, "" ""), 1, 1))))
&amp;""/""&amp;G338"),"CLQ/6 Primaria")</f>
        <v>CLQ/6 Primaria</v>
      </c>
      <c r="F338" s="77" t="s">
        <v>1827</v>
      </c>
      <c r="G338" s="432" t="s">
        <v>22</v>
      </c>
      <c r="H338" s="433" t="s">
        <v>2008</v>
      </c>
      <c r="I338" s="433" t="s">
        <v>1833</v>
      </c>
      <c r="J338" s="433" t="s">
        <v>2009</v>
      </c>
      <c r="K338" s="432" t="s">
        <v>1665</v>
      </c>
      <c r="L338" s="415"/>
      <c r="M338" s="434" t="s">
        <v>1661</v>
      </c>
      <c r="N338" s="434" t="s">
        <v>1661</v>
      </c>
      <c r="O338" s="434" t="s">
        <v>1689</v>
      </c>
      <c r="P338" s="434" t="s">
        <v>1659</v>
      </c>
      <c r="Q338" s="434" t="s">
        <v>1660</v>
      </c>
      <c r="R338" s="434" t="s">
        <v>1689</v>
      </c>
      <c r="S338" s="434" t="s">
        <v>1659</v>
      </c>
      <c r="T338" s="434" t="s">
        <v>1661</v>
      </c>
      <c r="U338" s="434" t="s">
        <v>1689</v>
      </c>
      <c r="V338" s="434" t="s">
        <v>1661</v>
      </c>
      <c r="W338" s="434" t="s">
        <v>1660</v>
      </c>
      <c r="X338" s="434" t="s">
        <v>1659</v>
      </c>
      <c r="Y338" s="434" t="s">
        <v>1689</v>
      </c>
      <c r="Z338" s="434" t="s">
        <v>1661</v>
      </c>
      <c r="AA338" s="434" t="s">
        <v>1660</v>
      </c>
      <c r="AB338" s="434" t="s">
        <v>1689</v>
      </c>
      <c r="AC338" s="434" t="s">
        <v>1659</v>
      </c>
      <c r="AD338" s="434" t="s">
        <v>1659</v>
      </c>
      <c r="AE338" s="434" t="s">
        <v>1659</v>
      </c>
      <c r="AF338" s="434" t="s">
        <v>1659</v>
      </c>
      <c r="AG338" s="427">
        <v>12.0</v>
      </c>
      <c r="AH338" s="435" t="s">
        <v>24</v>
      </c>
      <c r="AI338" s="415"/>
      <c r="AJ338" s="436" t="str">
        <f t="array" ref="AJ338">IF(M338=DGET(claves!$A$2:$AS423,M$2,{claves!$A$2;$E338}),1,0)</f>
        <v>#VALUE!</v>
      </c>
      <c r="AK338" s="436" t="str">
        <f t="array" ref="AK338">IF(N338=DGET(claves!$A$2:$AS423,N$2,{claves!$A$2;$E338}),1,0)</f>
        <v>#VALUE!</v>
      </c>
      <c r="AL338" s="436" t="str">
        <f t="array" ref="AL338">IF(O338=DGET(claves!$A$2:$AS423,O$2,{claves!$A$2;$E338}),1,0)</f>
        <v>#VALUE!</v>
      </c>
      <c r="AM338" s="436" t="str">
        <f t="array" ref="AM338">IF(P338=DGET(claves!$A$2:$AS423,P$2,{claves!$A$2;$E338}),1,0)</f>
        <v>#VALUE!</v>
      </c>
      <c r="AN338" s="436" t="str">
        <f t="array" ref="AN338">IF(Q338=DGET(claves!$A$2:$AS423,Q$2,{claves!$A$2;$E338}),1,0)</f>
        <v>#VALUE!</v>
      </c>
      <c r="AO338" s="436" t="str">
        <f t="array" ref="AO338">IF(R338=DGET(claves!$A$2:$AS423,R$2,{claves!$A$2;$E338}),1,0)</f>
        <v>#VALUE!</v>
      </c>
      <c r="AP338" s="436" t="str">
        <f t="array" ref="AP338">IF(S338=DGET(claves!$A$2:$AS423,S$2,{claves!$A$2;$E338}),1,0)</f>
        <v>#VALUE!</v>
      </c>
      <c r="AQ338" s="436" t="str">
        <f t="array" ref="AQ338">IF(T338=DGET(claves!$A$2:$AS423,T$2,{claves!$A$2;$E338}),1,0)</f>
        <v>#VALUE!</v>
      </c>
      <c r="AR338" s="436" t="str">
        <f t="array" ref="AR338">IF(U338=DGET(claves!$A$2:$AS423,U$2,{claves!$A$2;$E338}),1,0)</f>
        <v>#VALUE!</v>
      </c>
      <c r="AS338" s="436" t="str">
        <f t="array" ref="AS338">IF(V338=DGET(claves!$A$2:$AS423,V$2,{claves!$A$2;$E338}),1,0)</f>
        <v>#VALUE!</v>
      </c>
      <c r="AT338" s="436" t="str">
        <f t="array" ref="AT338">IF(W338=DGET(claves!$A$2:$AS423,W$2,{claves!$A$2;$E338}),1,0)</f>
        <v>#VALUE!</v>
      </c>
      <c r="AU338" s="436" t="str">
        <f t="array" ref="AU338">IF(X338=DGET(claves!$A$2:$AS423,X$2,{claves!$A$2;$E338}),1,0)</f>
        <v>#VALUE!</v>
      </c>
      <c r="AV338" s="436" t="str">
        <f t="array" ref="AV338">IF(Y338=DGET(claves!$A$2:$AS423,Y$2,{claves!$A$2;$E338}),1,0)</f>
        <v>#VALUE!</v>
      </c>
      <c r="AW338" s="436" t="str">
        <f t="array" ref="AW338">IF(Z338=DGET(claves!$A$2:$AS423,Z$2,{claves!$A$2;$E338}),1,0)</f>
        <v>#VALUE!</v>
      </c>
      <c r="AX338" s="436" t="str">
        <f t="array" ref="AX338">IF(AA338=DGET(claves!$A$2:$AS423,AA$2,{claves!$A$2;$E338}),1,0)</f>
        <v>#VALUE!</v>
      </c>
      <c r="AY338" s="436" t="str">
        <f t="array" ref="AY338">IF(AB338=DGET(claves!$A$2:$AS423,AB$2,{claves!$A$2;$E338}),1,0)</f>
        <v>#VALUE!</v>
      </c>
      <c r="AZ338" s="436" t="str">
        <f t="array" ref="AZ338">IF(AC338=DGET(claves!$A$2:$AS423,AC$2,{claves!$A$2;$E338}),1,0)</f>
        <v>#VALUE!</v>
      </c>
      <c r="BA338" s="436" t="str">
        <f t="array" ref="BA338">IF(AD338=DGET(claves!$A$2:$AS423,AD$2,{claves!$A$2;$E338}),1,0)</f>
        <v>#VALUE!</v>
      </c>
      <c r="BB338" s="436" t="str">
        <f t="array" ref="BB338">IF(AE338=DGET(claves!$A$2:$AS423,AE$2,{claves!$A$2;$E338}),1,0)</f>
        <v>#VALUE!</v>
      </c>
      <c r="BC338" s="436" t="str">
        <f t="array" ref="BC338">IF(AF338=DGET(claves!$A$2:$AS423,AF$2,{claves!$A$2;$E338}),1,0)</f>
        <v>#VALUE!</v>
      </c>
      <c r="BD338" s="437" t="str">
        <f t="shared" si="1"/>
        <v>#VALUE!</v>
      </c>
      <c r="BE338" s="435"/>
      <c r="BF338" s="415"/>
    </row>
    <row r="339" ht="14.25" customHeight="1">
      <c r="A339" s="408">
        <v>337.0</v>
      </c>
      <c r="B339" s="153" t="s">
        <v>2002</v>
      </c>
      <c r="C339" s="153">
        <v>2024.0</v>
      </c>
      <c r="D339" s="77" t="s">
        <v>362</v>
      </c>
      <c r="E339" s="409" t="str">
        <f>IFERROR(__xludf.DUMMYFUNCTION("ARRAYFORMULA(JOIN("""", ARRAYFORMULA(MID(SPLIT(F339, "" ""), 1, 1))))
&amp;""/""&amp;G339"),"MQ/6 Primaria")</f>
        <v>MQ/6 Primaria</v>
      </c>
      <c r="F339" s="77" t="s">
        <v>1823</v>
      </c>
      <c r="G339" s="432" t="s">
        <v>22</v>
      </c>
      <c r="H339" s="433" t="s">
        <v>2010</v>
      </c>
      <c r="I339" s="433" t="s">
        <v>1746</v>
      </c>
      <c r="J339" s="433" t="s">
        <v>2011</v>
      </c>
      <c r="K339" s="433" t="s">
        <v>1658</v>
      </c>
      <c r="L339" s="415"/>
      <c r="M339" s="434" t="s">
        <v>1660</v>
      </c>
      <c r="N339" s="434" t="s">
        <v>1661</v>
      </c>
      <c r="O339" s="434" t="s">
        <v>1661</v>
      </c>
      <c r="P339" s="434" t="s">
        <v>1659</v>
      </c>
      <c r="Q339" s="434" t="s">
        <v>1659</v>
      </c>
      <c r="R339" s="434" t="s">
        <v>1659</v>
      </c>
      <c r="S339" s="434" t="s">
        <v>1659</v>
      </c>
      <c r="T339" s="434" t="s">
        <v>1660</v>
      </c>
      <c r="U339" s="434" t="s">
        <v>1689</v>
      </c>
      <c r="V339" s="434" t="s">
        <v>1689</v>
      </c>
      <c r="W339" s="434" t="s">
        <v>1689</v>
      </c>
      <c r="X339" s="434" t="s">
        <v>1689</v>
      </c>
      <c r="Y339" s="434" t="s">
        <v>1659</v>
      </c>
      <c r="Z339" s="434" t="s">
        <v>1661</v>
      </c>
      <c r="AA339" s="434" t="s">
        <v>1659</v>
      </c>
      <c r="AB339" s="434" t="s">
        <v>1659</v>
      </c>
      <c r="AC339" s="434" t="s">
        <v>1660</v>
      </c>
      <c r="AD339" s="434" t="s">
        <v>1659</v>
      </c>
      <c r="AE339" s="434" t="s">
        <v>1689</v>
      </c>
      <c r="AF339" s="434" t="s">
        <v>1660</v>
      </c>
      <c r="AG339" s="427">
        <v>12.0</v>
      </c>
      <c r="AH339" s="435" t="s">
        <v>24</v>
      </c>
      <c r="AI339" s="415"/>
      <c r="AJ339" s="436" t="str">
        <f t="array" ref="AJ339">IF(M339=DGET(claves!$A$2:$AS423,M$2,{claves!$A$2;$E339}),1,0)</f>
        <v>#VALUE!</v>
      </c>
      <c r="AK339" s="436" t="str">
        <f t="array" ref="AK339">IF(N339=DGET(claves!$A$2:$AS423,N$2,{claves!$A$2;$E339}),1,0)</f>
        <v>#VALUE!</v>
      </c>
      <c r="AL339" s="436" t="str">
        <f t="array" ref="AL339">IF(O339=DGET(claves!$A$2:$AS423,O$2,{claves!$A$2;$E339}),1,0)</f>
        <v>#VALUE!</v>
      </c>
      <c r="AM339" s="436" t="str">
        <f t="array" ref="AM339">IF(P339=DGET(claves!$A$2:$AS423,P$2,{claves!$A$2;$E339}),1,0)</f>
        <v>#VALUE!</v>
      </c>
      <c r="AN339" s="436" t="str">
        <f t="array" ref="AN339">IF(Q339=DGET(claves!$A$2:$AS423,Q$2,{claves!$A$2;$E339}),1,0)</f>
        <v>#VALUE!</v>
      </c>
      <c r="AO339" s="436" t="str">
        <f t="array" ref="AO339">IF(R339=DGET(claves!$A$2:$AS423,R$2,{claves!$A$2;$E339}),1,0)</f>
        <v>#VALUE!</v>
      </c>
      <c r="AP339" s="436" t="str">
        <f t="array" ref="AP339">IF(S339=DGET(claves!$A$2:$AS423,S$2,{claves!$A$2;$E339}),1,0)</f>
        <v>#VALUE!</v>
      </c>
      <c r="AQ339" s="436" t="str">
        <f t="array" ref="AQ339">IF(T339=DGET(claves!$A$2:$AS423,T$2,{claves!$A$2;$E339}),1,0)</f>
        <v>#VALUE!</v>
      </c>
      <c r="AR339" s="436" t="str">
        <f t="array" ref="AR339">IF(U339=DGET(claves!$A$2:$AS423,U$2,{claves!$A$2;$E339}),1,0)</f>
        <v>#VALUE!</v>
      </c>
      <c r="AS339" s="436" t="str">
        <f t="array" ref="AS339">IF(V339=DGET(claves!$A$2:$AS423,V$2,{claves!$A$2;$E339}),1,0)</f>
        <v>#VALUE!</v>
      </c>
      <c r="AT339" s="436" t="str">
        <f t="array" ref="AT339">IF(W339=DGET(claves!$A$2:$AS423,W$2,{claves!$A$2;$E339}),1,0)</f>
        <v>#VALUE!</v>
      </c>
      <c r="AU339" s="436" t="str">
        <f t="array" ref="AU339">IF(X339=DGET(claves!$A$2:$AS423,X$2,{claves!$A$2;$E339}),1,0)</f>
        <v>#VALUE!</v>
      </c>
      <c r="AV339" s="436" t="str">
        <f t="array" ref="AV339">IF(Y339=DGET(claves!$A$2:$AS423,Y$2,{claves!$A$2;$E339}),1,0)</f>
        <v>#VALUE!</v>
      </c>
      <c r="AW339" s="436" t="str">
        <f t="array" ref="AW339">IF(Z339=DGET(claves!$A$2:$AS423,Z$2,{claves!$A$2;$E339}),1,0)</f>
        <v>#VALUE!</v>
      </c>
      <c r="AX339" s="436" t="str">
        <f t="array" ref="AX339">IF(AA339=DGET(claves!$A$2:$AS423,AA$2,{claves!$A$2;$E339}),1,0)</f>
        <v>#VALUE!</v>
      </c>
      <c r="AY339" s="436" t="str">
        <f t="array" ref="AY339">IF(AB339=DGET(claves!$A$2:$AS423,AB$2,{claves!$A$2;$E339}),1,0)</f>
        <v>#VALUE!</v>
      </c>
      <c r="AZ339" s="436" t="str">
        <f t="array" ref="AZ339">IF(AC339=DGET(claves!$A$2:$AS423,AC$2,{claves!$A$2;$E339}),1,0)</f>
        <v>#VALUE!</v>
      </c>
      <c r="BA339" s="436" t="str">
        <f t="array" ref="BA339">IF(AD339=DGET(claves!$A$2:$AS423,AD$2,{claves!$A$2;$E339}),1,0)</f>
        <v>#VALUE!</v>
      </c>
      <c r="BB339" s="436" t="str">
        <f t="array" ref="BB339">IF(AE339=DGET(claves!$A$2:$AS423,AE$2,{claves!$A$2;$E339}),1,0)</f>
        <v>#VALUE!</v>
      </c>
      <c r="BC339" s="436" t="str">
        <f t="array" ref="BC339">IF(AF339=DGET(claves!$A$2:$AS423,AF$2,{claves!$A$2;$E339}),1,0)</f>
        <v>#VALUE!</v>
      </c>
      <c r="BD339" s="437" t="str">
        <f t="shared" si="1"/>
        <v>#VALUE!</v>
      </c>
      <c r="BE339" s="435"/>
      <c r="BF339" s="415"/>
    </row>
    <row r="340" ht="14.25" customHeight="1">
      <c r="A340" s="408">
        <v>338.0</v>
      </c>
      <c r="B340" s="153" t="s">
        <v>2002</v>
      </c>
      <c r="C340" s="153">
        <v>2024.0</v>
      </c>
      <c r="D340" s="77" t="s">
        <v>1817</v>
      </c>
      <c r="E340" s="409" t="str">
        <f>IFERROR(__xludf.DUMMYFUNCTION("ARRAYFORMULA(JOIN("""", ARRAYFORMULA(MID(SPLIT(F340, "" ""), 1, 1))))
&amp;""/""&amp;G340"),"CLQ/6 Primaria")</f>
        <v>CLQ/6 Primaria</v>
      </c>
      <c r="F340" s="77" t="s">
        <v>1827</v>
      </c>
      <c r="G340" s="432" t="s">
        <v>22</v>
      </c>
      <c r="H340" s="433" t="s">
        <v>2010</v>
      </c>
      <c r="I340" s="433" t="s">
        <v>1746</v>
      </c>
      <c r="J340" s="433" t="s">
        <v>2011</v>
      </c>
      <c r="K340" s="433" t="s">
        <v>1658</v>
      </c>
      <c r="L340" s="415"/>
      <c r="M340" s="434" t="s">
        <v>1661</v>
      </c>
      <c r="N340" s="434" t="s">
        <v>1661</v>
      </c>
      <c r="O340" s="434" t="s">
        <v>1689</v>
      </c>
      <c r="P340" s="434" t="s">
        <v>1659</v>
      </c>
      <c r="Q340" s="434" t="s">
        <v>1689</v>
      </c>
      <c r="R340" s="434" t="s">
        <v>1689</v>
      </c>
      <c r="S340" s="434" t="s">
        <v>1661</v>
      </c>
      <c r="T340" s="434" t="s">
        <v>1661</v>
      </c>
      <c r="U340" s="434" t="s">
        <v>1689</v>
      </c>
      <c r="V340" s="434" t="s">
        <v>1659</v>
      </c>
      <c r="W340" s="434" t="s">
        <v>1689</v>
      </c>
      <c r="X340" s="434" t="s">
        <v>1689</v>
      </c>
      <c r="Y340" s="434" t="s">
        <v>1689</v>
      </c>
      <c r="Z340" s="434" t="s">
        <v>1661</v>
      </c>
      <c r="AA340" s="434" t="s">
        <v>1689</v>
      </c>
      <c r="AB340" s="434" t="s">
        <v>1689</v>
      </c>
      <c r="AC340" s="434" t="s">
        <v>1659</v>
      </c>
      <c r="AD340" s="434" t="s">
        <v>1660</v>
      </c>
      <c r="AE340" s="434" t="s">
        <v>1661</v>
      </c>
      <c r="AF340" s="434" t="s">
        <v>1689</v>
      </c>
      <c r="AG340" s="427">
        <v>19.0</v>
      </c>
      <c r="AH340" s="438" t="s">
        <v>32</v>
      </c>
      <c r="AI340" s="415"/>
      <c r="AJ340" s="436" t="str">
        <f t="array" ref="AJ340">IF(M340=DGET(claves!$A$2:$AS423,M$2,{claves!$A$2;$E340}),1,0)</f>
        <v>#VALUE!</v>
      </c>
      <c r="AK340" s="436" t="str">
        <f t="array" ref="AK340">IF(N340=DGET(claves!$A$2:$AS423,N$2,{claves!$A$2;$E340}),1,0)</f>
        <v>#VALUE!</v>
      </c>
      <c r="AL340" s="436" t="str">
        <f t="array" ref="AL340">IF(O340=DGET(claves!$A$2:$AS423,O$2,{claves!$A$2;$E340}),1,0)</f>
        <v>#VALUE!</v>
      </c>
      <c r="AM340" s="436" t="str">
        <f t="array" ref="AM340">IF(P340=DGET(claves!$A$2:$AS423,P$2,{claves!$A$2;$E340}),1,0)</f>
        <v>#VALUE!</v>
      </c>
      <c r="AN340" s="436" t="str">
        <f t="array" ref="AN340">IF(Q340=DGET(claves!$A$2:$AS423,Q$2,{claves!$A$2;$E340}),1,0)</f>
        <v>#VALUE!</v>
      </c>
      <c r="AO340" s="436" t="str">
        <f t="array" ref="AO340">IF(R340=DGET(claves!$A$2:$AS423,R$2,{claves!$A$2;$E340}),1,0)</f>
        <v>#VALUE!</v>
      </c>
      <c r="AP340" s="436" t="str">
        <f t="array" ref="AP340">IF(S340=DGET(claves!$A$2:$AS423,S$2,{claves!$A$2;$E340}),1,0)</f>
        <v>#VALUE!</v>
      </c>
      <c r="AQ340" s="436" t="str">
        <f t="array" ref="AQ340">IF(T340=DGET(claves!$A$2:$AS423,T$2,{claves!$A$2;$E340}),1,0)</f>
        <v>#VALUE!</v>
      </c>
      <c r="AR340" s="436" t="str">
        <f t="array" ref="AR340">IF(U340=DGET(claves!$A$2:$AS423,U$2,{claves!$A$2;$E340}),1,0)</f>
        <v>#VALUE!</v>
      </c>
      <c r="AS340" s="436" t="str">
        <f t="array" ref="AS340">IF(V340=DGET(claves!$A$2:$AS423,V$2,{claves!$A$2;$E340}),1,0)</f>
        <v>#VALUE!</v>
      </c>
      <c r="AT340" s="436" t="str">
        <f t="array" ref="AT340">IF(W340=DGET(claves!$A$2:$AS423,W$2,{claves!$A$2;$E340}),1,0)</f>
        <v>#VALUE!</v>
      </c>
      <c r="AU340" s="436" t="str">
        <f t="array" ref="AU340">IF(X340=DGET(claves!$A$2:$AS423,X$2,{claves!$A$2;$E340}),1,0)</f>
        <v>#VALUE!</v>
      </c>
      <c r="AV340" s="436" t="str">
        <f t="array" ref="AV340">IF(Y340=DGET(claves!$A$2:$AS423,Y$2,{claves!$A$2;$E340}),1,0)</f>
        <v>#VALUE!</v>
      </c>
      <c r="AW340" s="436" t="str">
        <f t="array" ref="AW340">IF(Z340=DGET(claves!$A$2:$AS423,Z$2,{claves!$A$2;$E340}),1,0)</f>
        <v>#VALUE!</v>
      </c>
      <c r="AX340" s="436" t="str">
        <f t="array" ref="AX340">IF(AA340=DGET(claves!$A$2:$AS423,AA$2,{claves!$A$2;$E340}),1,0)</f>
        <v>#VALUE!</v>
      </c>
      <c r="AY340" s="436" t="str">
        <f t="array" ref="AY340">IF(AB340=DGET(claves!$A$2:$AS423,AB$2,{claves!$A$2;$E340}),1,0)</f>
        <v>#VALUE!</v>
      </c>
      <c r="AZ340" s="436" t="str">
        <f t="array" ref="AZ340">IF(AC340=DGET(claves!$A$2:$AS423,AC$2,{claves!$A$2;$E340}),1,0)</f>
        <v>#VALUE!</v>
      </c>
      <c r="BA340" s="436" t="str">
        <f t="array" ref="BA340">IF(AD340=DGET(claves!$A$2:$AS423,AD$2,{claves!$A$2;$E340}),1,0)</f>
        <v>#VALUE!</v>
      </c>
      <c r="BB340" s="436" t="str">
        <f t="array" ref="BB340">IF(AE340=DGET(claves!$A$2:$AS423,AE$2,{claves!$A$2;$E340}),1,0)</f>
        <v>#VALUE!</v>
      </c>
      <c r="BC340" s="436" t="str">
        <f t="array" ref="BC340">IF(AF340=DGET(claves!$A$2:$AS423,AF$2,{claves!$A$2;$E340}),1,0)</f>
        <v>#VALUE!</v>
      </c>
      <c r="BD340" s="437" t="str">
        <f t="shared" si="1"/>
        <v>#VALUE!</v>
      </c>
      <c r="BE340" s="435"/>
      <c r="BF340" s="415"/>
    </row>
    <row r="341" ht="14.25" customHeight="1">
      <c r="A341" s="408">
        <v>339.0</v>
      </c>
      <c r="B341" s="153" t="s">
        <v>102</v>
      </c>
      <c r="C341" s="153">
        <v>2024.0</v>
      </c>
      <c r="D341" s="77" t="s">
        <v>362</v>
      </c>
      <c r="E341" s="409" t="str">
        <f>IFERROR(__xludf.DUMMYFUNCTION("ARRAYFORMULA(JOIN("""", ARRAYFORMULA(MID(SPLIT(F341, "" ""), 1, 1))))
&amp;""/""&amp;G341"),"MQ/2 Primaria")</f>
        <v>MQ/2 Primaria</v>
      </c>
      <c r="F341" s="77" t="s">
        <v>1823</v>
      </c>
      <c r="G341" s="432" t="s">
        <v>15</v>
      </c>
      <c r="H341" s="433" t="s">
        <v>1989</v>
      </c>
      <c r="I341" s="433" t="s">
        <v>2012</v>
      </c>
      <c r="J341" s="433" t="s">
        <v>2013</v>
      </c>
      <c r="K341" s="432" t="s">
        <v>1665</v>
      </c>
      <c r="L341" s="415"/>
      <c r="M341" s="434" t="s">
        <v>1825</v>
      </c>
      <c r="N341" s="434"/>
      <c r="O341" s="434" t="s">
        <v>1660</v>
      </c>
      <c r="P341" s="434" t="s">
        <v>1826</v>
      </c>
      <c r="Q341" s="434" t="s">
        <v>1826</v>
      </c>
      <c r="R341" s="434" t="s">
        <v>1660</v>
      </c>
      <c r="S341" s="434" t="s">
        <v>1826</v>
      </c>
      <c r="T341" s="434" t="s">
        <v>1660</v>
      </c>
      <c r="U341" s="434" t="s">
        <v>1826</v>
      </c>
      <c r="V341" s="434" t="s">
        <v>1825</v>
      </c>
      <c r="W341" s="434" t="s">
        <v>1660</v>
      </c>
      <c r="X341" s="434" t="s">
        <v>1826</v>
      </c>
      <c r="Y341" s="434" t="s">
        <v>1825</v>
      </c>
      <c r="Z341" s="434" t="s">
        <v>1825</v>
      </c>
      <c r="AA341" s="434" t="s">
        <v>1826</v>
      </c>
      <c r="AB341" s="434" t="s">
        <v>1825</v>
      </c>
      <c r="AC341" s="434" t="s">
        <v>1660</v>
      </c>
      <c r="AD341" s="434" t="s">
        <v>1826</v>
      </c>
      <c r="AE341" s="434"/>
      <c r="AF341" s="434" t="s">
        <v>1660</v>
      </c>
      <c r="AG341" s="427">
        <v>13.0</v>
      </c>
      <c r="AH341" s="435" t="s">
        <v>24</v>
      </c>
      <c r="AI341" s="415"/>
      <c r="AJ341" s="436" t="str">
        <f t="array" ref="AJ341">IF(M341=DGET(claves!$A$2:$AS423,M$2,{claves!$A$2;$E341}),1,0)</f>
        <v>#VALUE!</v>
      </c>
      <c r="AK341" s="436" t="str">
        <f t="array" ref="AK341">IF(N341=DGET(claves!$A$2:$AS423,N$2,{claves!$A$2;$E341}),1,0)</f>
        <v>#VALUE!</v>
      </c>
      <c r="AL341" s="436" t="str">
        <f t="array" ref="AL341">IF(O341=DGET(claves!$A$2:$AS423,O$2,{claves!$A$2;$E341}),1,0)</f>
        <v>#VALUE!</v>
      </c>
      <c r="AM341" s="436" t="str">
        <f t="array" ref="AM341">IF(P341=DGET(claves!$A$2:$AS423,P$2,{claves!$A$2;$E341}),1,0)</f>
        <v>#VALUE!</v>
      </c>
      <c r="AN341" s="436" t="str">
        <f t="array" ref="AN341">IF(Q341=DGET(claves!$A$2:$AS423,Q$2,{claves!$A$2;$E341}),1,0)</f>
        <v>#VALUE!</v>
      </c>
      <c r="AO341" s="436" t="str">
        <f t="array" ref="AO341">IF(R341=DGET(claves!$A$2:$AS423,R$2,{claves!$A$2;$E341}),1,0)</f>
        <v>#VALUE!</v>
      </c>
      <c r="AP341" s="436" t="str">
        <f t="array" ref="AP341">IF(S341=DGET(claves!$A$2:$AS423,S$2,{claves!$A$2;$E341}),1,0)</f>
        <v>#VALUE!</v>
      </c>
      <c r="AQ341" s="436" t="str">
        <f t="array" ref="AQ341">IF(T341=DGET(claves!$A$2:$AS423,T$2,{claves!$A$2;$E341}),1,0)</f>
        <v>#VALUE!</v>
      </c>
      <c r="AR341" s="436" t="str">
        <f t="array" ref="AR341">IF(U341=DGET(claves!$A$2:$AS423,U$2,{claves!$A$2;$E341}),1,0)</f>
        <v>#VALUE!</v>
      </c>
      <c r="AS341" s="436" t="str">
        <f t="array" ref="AS341">IF(V341=DGET(claves!$A$2:$AS423,V$2,{claves!$A$2;$E341}),1,0)</f>
        <v>#VALUE!</v>
      </c>
      <c r="AT341" s="436" t="str">
        <f t="array" ref="AT341">IF(W341=DGET(claves!$A$2:$AS423,W$2,{claves!$A$2;$E341}),1,0)</f>
        <v>#VALUE!</v>
      </c>
      <c r="AU341" s="436" t="str">
        <f t="array" ref="AU341">IF(X341=DGET(claves!$A$2:$AS423,X$2,{claves!$A$2;$E341}),1,0)</f>
        <v>#VALUE!</v>
      </c>
      <c r="AV341" s="436" t="str">
        <f t="array" ref="AV341">IF(Y341=DGET(claves!$A$2:$AS423,Y$2,{claves!$A$2;$E341}),1,0)</f>
        <v>#VALUE!</v>
      </c>
      <c r="AW341" s="436" t="str">
        <f t="array" ref="AW341">IF(Z341=DGET(claves!$A$2:$AS423,Z$2,{claves!$A$2;$E341}),1,0)</f>
        <v>#VALUE!</v>
      </c>
      <c r="AX341" s="436" t="str">
        <f t="array" ref="AX341">IF(AA341=DGET(claves!$A$2:$AS423,AA$2,{claves!$A$2;$E341}),1,0)</f>
        <v>#VALUE!</v>
      </c>
      <c r="AY341" s="436" t="str">
        <f t="array" ref="AY341">IF(AB341=DGET(claves!$A$2:$AS423,AB$2,{claves!$A$2;$E341}),1,0)</f>
        <v>#VALUE!</v>
      </c>
      <c r="AZ341" s="436" t="str">
        <f t="array" ref="AZ341">IF(AC341=DGET(claves!$A$2:$AS423,AC$2,{claves!$A$2;$E341}),1,0)</f>
        <v>#VALUE!</v>
      </c>
      <c r="BA341" s="436" t="str">
        <f t="array" ref="BA341">IF(AD341=DGET(claves!$A$2:$AS423,AD$2,{claves!$A$2;$E341}),1,0)</f>
        <v>#VALUE!</v>
      </c>
      <c r="BB341" s="436" t="str">
        <f t="array" ref="BB341">IF(AE341=DGET(claves!$A$2:$AS423,AE$2,{claves!$A$2;$E341}),1,0)</f>
        <v>#VALUE!</v>
      </c>
      <c r="BC341" s="436" t="str">
        <f t="array" ref="BC341">IF(AF341=DGET(claves!$A$2:$AS423,AF$2,{claves!$A$2;$E341}),1,0)</f>
        <v>#VALUE!</v>
      </c>
      <c r="BD341" s="437" t="str">
        <f t="shared" si="1"/>
        <v>#VALUE!</v>
      </c>
      <c r="BE341" s="435"/>
      <c r="BF341" s="415"/>
    </row>
    <row r="342" ht="14.25" customHeight="1">
      <c r="A342" s="408">
        <v>340.0</v>
      </c>
      <c r="B342" s="153" t="s">
        <v>102</v>
      </c>
      <c r="C342" s="153">
        <v>2024.0</v>
      </c>
      <c r="D342" s="77" t="s">
        <v>1817</v>
      </c>
      <c r="E342" s="409" t="str">
        <f>IFERROR(__xludf.DUMMYFUNCTION("ARRAYFORMULA(JOIN("""", ARRAYFORMULA(MID(SPLIT(F342, "" ""), 1, 1))))
&amp;""/""&amp;G342"),"CLQ/2 Primaria")</f>
        <v>CLQ/2 Primaria</v>
      </c>
      <c r="F342" s="77" t="s">
        <v>1827</v>
      </c>
      <c r="G342" s="432" t="s">
        <v>15</v>
      </c>
      <c r="H342" s="433" t="s">
        <v>1989</v>
      </c>
      <c r="I342" s="433" t="s">
        <v>2012</v>
      </c>
      <c r="J342" s="433" t="s">
        <v>2013</v>
      </c>
      <c r="K342" s="432" t="s">
        <v>1665</v>
      </c>
      <c r="L342" s="415"/>
      <c r="M342" s="434" t="s">
        <v>1825</v>
      </c>
      <c r="N342" s="434" t="s">
        <v>1660</v>
      </c>
      <c r="O342" s="434" t="s">
        <v>1826</v>
      </c>
      <c r="P342" s="434" t="s">
        <v>1825</v>
      </c>
      <c r="Q342" s="434" t="s">
        <v>1826</v>
      </c>
      <c r="R342" s="434" t="s">
        <v>1826</v>
      </c>
      <c r="S342" s="434" t="s">
        <v>1826</v>
      </c>
      <c r="T342" s="434" t="s">
        <v>1660</v>
      </c>
      <c r="U342" s="434" t="s">
        <v>1825</v>
      </c>
      <c r="V342" s="434" t="s">
        <v>1825</v>
      </c>
      <c r="W342" s="434" t="s">
        <v>1660</v>
      </c>
      <c r="X342" s="434" t="s">
        <v>1825</v>
      </c>
      <c r="Y342" s="434" t="s">
        <v>1826</v>
      </c>
      <c r="Z342" s="434" t="s">
        <v>1660</v>
      </c>
      <c r="AA342" s="434" t="s">
        <v>1825</v>
      </c>
      <c r="AB342" s="434" t="s">
        <v>1826</v>
      </c>
      <c r="AC342" s="434" t="s">
        <v>1826</v>
      </c>
      <c r="AD342" s="434" t="s">
        <v>1660</v>
      </c>
      <c r="AE342" s="434" t="s">
        <v>1826</v>
      </c>
      <c r="AF342" s="434" t="s">
        <v>1825</v>
      </c>
      <c r="AG342" s="427">
        <v>12.0</v>
      </c>
      <c r="AH342" s="435" t="s">
        <v>24</v>
      </c>
      <c r="AI342" s="415"/>
      <c r="AJ342" s="436" t="str">
        <f t="array" ref="AJ342">IF(M342=DGET(claves!$A$2:$AS423,M$2,{claves!$A$2;$E342}),1,0)</f>
        <v>#VALUE!</v>
      </c>
      <c r="AK342" s="436" t="str">
        <f t="array" ref="AK342">IF(N342=DGET(claves!$A$2:$AS423,N$2,{claves!$A$2;$E342}),1,0)</f>
        <v>#VALUE!</v>
      </c>
      <c r="AL342" s="436" t="str">
        <f t="array" ref="AL342">IF(O342=DGET(claves!$A$2:$AS423,O$2,{claves!$A$2;$E342}),1,0)</f>
        <v>#VALUE!</v>
      </c>
      <c r="AM342" s="436" t="str">
        <f t="array" ref="AM342">IF(P342=DGET(claves!$A$2:$AS423,P$2,{claves!$A$2;$E342}),1,0)</f>
        <v>#VALUE!</v>
      </c>
      <c r="AN342" s="436" t="str">
        <f t="array" ref="AN342">IF(Q342=DGET(claves!$A$2:$AS423,Q$2,{claves!$A$2;$E342}),1,0)</f>
        <v>#VALUE!</v>
      </c>
      <c r="AO342" s="436" t="str">
        <f t="array" ref="AO342">IF(R342=DGET(claves!$A$2:$AS423,R$2,{claves!$A$2;$E342}),1,0)</f>
        <v>#VALUE!</v>
      </c>
      <c r="AP342" s="436" t="str">
        <f t="array" ref="AP342">IF(S342=DGET(claves!$A$2:$AS423,S$2,{claves!$A$2;$E342}),1,0)</f>
        <v>#VALUE!</v>
      </c>
      <c r="AQ342" s="436" t="str">
        <f t="array" ref="AQ342">IF(T342=DGET(claves!$A$2:$AS423,T$2,{claves!$A$2;$E342}),1,0)</f>
        <v>#VALUE!</v>
      </c>
      <c r="AR342" s="436" t="str">
        <f t="array" ref="AR342">IF(U342=DGET(claves!$A$2:$AS423,U$2,{claves!$A$2;$E342}),1,0)</f>
        <v>#VALUE!</v>
      </c>
      <c r="AS342" s="436" t="str">
        <f t="array" ref="AS342">IF(V342=DGET(claves!$A$2:$AS423,V$2,{claves!$A$2;$E342}),1,0)</f>
        <v>#VALUE!</v>
      </c>
      <c r="AT342" s="436" t="str">
        <f t="array" ref="AT342">IF(W342=DGET(claves!$A$2:$AS423,W$2,{claves!$A$2;$E342}),1,0)</f>
        <v>#VALUE!</v>
      </c>
      <c r="AU342" s="436" t="str">
        <f t="array" ref="AU342">IF(X342=DGET(claves!$A$2:$AS423,X$2,{claves!$A$2;$E342}),1,0)</f>
        <v>#VALUE!</v>
      </c>
      <c r="AV342" s="436" t="str">
        <f t="array" ref="AV342">IF(Y342=DGET(claves!$A$2:$AS423,Y$2,{claves!$A$2;$E342}),1,0)</f>
        <v>#VALUE!</v>
      </c>
      <c r="AW342" s="436" t="str">
        <f t="array" ref="AW342">IF(Z342=DGET(claves!$A$2:$AS423,Z$2,{claves!$A$2;$E342}),1,0)</f>
        <v>#VALUE!</v>
      </c>
      <c r="AX342" s="436" t="str">
        <f t="array" ref="AX342">IF(AA342=DGET(claves!$A$2:$AS423,AA$2,{claves!$A$2;$E342}),1,0)</f>
        <v>#VALUE!</v>
      </c>
      <c r="AY342" s="436" t="str">
        <f t="array" ref="AY342">IF(AB342=DGET(claves!$A$2:$AS423,AB$2,{claves!$A$2;$E342}),1,0)</f>
        <v>#VALUE!</v>
      </c>
      <c r="AZ342" s="436" t="str">
        <f t="array" ref="AZ342">IF(AC342=DGET(claves!$A$2:$AS423,AC$2,{claves!$A$2;$E342}),1,0)</f>
        <v>#VALUE!</v>
      </c>
      <c r="BA342" s="436" t="str">
        <f t="array" ref="BA342">IF(AD342=DGET(claves!$A$2:$AS423,AD$2,{claves!$A$2;$E342}),1,0)</f>
        <v>#VALUE!</v>
      </c>
      <c r="BB342" s="436" t="str">
        <f t="array" ref="BB342">IF(AE342=DGET(claves!$A$2:$AS423,AE$2,{claves!$A$2;$E342}),1,0)</f>
        <v>#VALUE!</v>
      </c>
      <c r="BC342" s="436" t="str">
        <f t="array" ref="BC342">IF(AF342=DGET(claves!$A$2:$AS423,AF$2,{claves!$A$2;$E342}),1,0)</f>
        <v>#VALUE!</v>
      </c>
      <c r="BD342" s="437" t="str">
        <f t="shared" si="1"/>
        <v>#VALUE!</v>
      </c>
      <c r="BE342" s="435"/>
      <c r="BF342" s="415"/>
    </row>
    <row r="343" ht="14.25" customHeight="1">
      <c r="A343" s="408">
        <v>341.0</v>
      </c>
      <c r="B343" s="153" t="s">
        <v>102</v>
      </c>
      <c r="C343" s="153">
        <v>2024.0</v>
      </c>
      <c r="D343" s="77" t="s">
        <v>362</v>
      </c>
      <c r="E343" s="409" t="str">
        <f>IFERROR(__xludf.DUMMYFUNCTION("ARRAYFORMULA(JOIN("""", ARRAYFORMULA(MID(SPLIT(F343, "" ""), 1, 1))))
&amp;""/""&amp;G343"),"MQ/2 Primaria")</f>
        <v>MQ/2 Primaria</v>
      </c>
      <c r="F343" s="77" t="s">
        <v>1823</v>
      </c>
      <c r="G343" s="432" t="s">
        <v>15</v>
      </c>
      <c r="H343" s="433" t="s">
        <v>1684</v>
      </c>
      <c r="I343" s="433" t="s">
        <v>1684</v>
      </c>
      <c r="J343" s="433" t="s">
        <v>2014</v>
      </c>
      <c r="K343" s="433" t="s">
        <v>1658</v>
      </c>
      <c r="L343" s="415"/>
      <c r="M343" s="434" t="s">
        <v>1825</v>
      </c>
      <c r="N343" s="434" t="s">
        <v>1825</v>
      </c>
      <c r="O343" s="434" t="s">
        <v>1660</v>
      </c>
      <c r="P343" s="434" t="s">
        <v>1826</v>
      </c>
      <c r="Q343" s="434" t="s">
        <v>1826</v>
      </c>
      <c r="R343" s="434" t="s">
        <v>1660</v>
      </c>
      <c r="S343" s="434" t="s">
        <v>1826</v>
      </c>
      <c r="T343" s="434" t="s">
        <v>1660</v>
      </c>
      <c r="U343" s="434" t="s">
        <v>1826</v>
      </c>
      <c r="V343" s="434" t="s">
        <v>1825</v>
      </c>
      <c r="W343" s="434" t="s">
        <v>1660</v>
      </c>
      <c r="X343" s="434" t="s">
        <v>1826</v>
      </c>
      <c r="Y343" s="434" t="s">
        <v>1660</v>
      </c>
      <c r="Z343" s="434" t="s">
        <v>1825</v>
      </c>
      <c r="AA343" s="434" t="s">
        <v>1825</v>
      </c>
      <c r="AB343" s="434" t="s">
        <v>1825</v>
      </c>
      <c r="AC343" s="434" t="s">
        <v>1660</v>
      </c>
      <c r="AD343" s="434" t="s">
        <v>1826</v>
      </c>
      <c r="AE343" s="434" t="s">
        <v>1825</v>
      </c>
      <c r="AF343" s="434" t="s">
        <v>1825</v>
      </c>
      <c r="AG343" s="427">
        <v>15.0</v>
      </c>
      <c r="AH343" s="435" t="s">
        <v>24</v>
      </c>
      <c r="AI343" s="415"/>
      <c r="AJ343" s="436" t="str">
        <f t="array" ref="AJ343">IF(M343=DGET(claves!$A$2:$AS423,M$2,{claves!$A$2;$E343}),1,0)</f>
        <v>#VALUE!</v>
      </c>
      <c r="AK343" s="436" t="str">
        <f t="array" ref="AK343">IF(N343=DGET(claves!$A$2:$AS423,N$2,{claves!$A$2;$E343}),1,0)</f>
        <v>#VALUE!</v>
      </c>
      <c r="AL343" s="436" t="str">
        <f t="array" ref="AL343">IF(O343=DGET(claves!$A$2:$AS423,O$2,{claves!$A$2;$E343}),1,0)</f>
        <v>#VALUE!</v>
      </c>
      <c r="AM343" s="436" t="str">
        <f t="array" ref="AM343">IF(P343=DGET(claves!$A$2:$AS423,P$2,{claves!$A$2;$E343}),1,0)</f>
        <v>#VALUE!</v>
      </c>
      <c r="AN343" s="436" t="str">
        <f t="array" ref="AN343">IF(Q343=DGET(claves!$A$2:$AS423,Q$2,{claves!$A$2;$E343}),1,0)</f>
        <v>#VALUE!</v>
      </c>
      <c r="AO343" s="436" t="str">
        <f t="array" ref="AO343">IF(R343=DGET(claves!$A$2:$AS423,R$2,{claves!$A$2;$E343}),1,0)</f>
        <v>#VALUE!</v>
      </c>
      <c r="AP343" s="436" t="str">
        <f t="array" ref="AP343">IF(S343=DGET(claves!$A$2:$AS423,S$2,{claves!$A$2;$E343}),1,0)</f>
        <v>#VALUE!</v>
      </c>
      <c r="AQ343" s="436" t="str">
        <f t="array" ref="AQ343">IF(T343=DGET(claves!$A$2:$AS423,T$2,{claves!$A$2;$E343}),1,0)</f>
        <v>#VALUE!</v>
      </c>
      <c r="AR343" s="436" t="str">
        <f t="array" ref="AR343">IF(U343=DGET(claves!$A$2:$AS423,U$2,{claves!$A$2;$E343}),1,0)</f>
        <v>#VALUE!</v>
      </c>
      <c r="AS343" s="436" t="str">
        <f t="array" ref="AS343">IF(V343=DGET(claves!$A$2:$AS423,V$2,{claves!$A$2;$E343}),1,0)</f>
        <v>#VALUE!</v>
      </c>
      <c r="AT343" s="436" t="str">
        <f t="array" ref="AT343">IF(W343=DGET(claves!$A$2:$AS423,W$2,{claves!$A$2;$E343}),1,0)</f>
        <v>#VALUE!</v>
      </c>
      <c r="AU343" s="436" t="str">
        <f t="array" ref="AU343">IF(X343=DGET(claves!$A$2:$AS423,X$2,{claves!$A$2;$E343}),1,0)</f>
        <v>#VALUE!</v>
      </c>
      <c r="AV343" s="436" t="str">
        <f t="array" ref="AV343">IF(Y343=DGET(claves!$A$2:$AS423,Y$2,{claves!$A$2;$E343}),1,0)</f>
        <v>#VALUE!</v>
      </c>
      <c r="AW343" s="436" t="str">
        <f t="array" ref="AW343">IF(Z343=DGET(claves!$A$2:$AS423,Z$2,{claves!$A$2;$E343}),1,0)</f>
        <v>#VALUE!</v>
      </c>
      <c r="AX343" s="436" t="str">
        <f t="array" ref="AX343">IF(AA343=DGET(claves!$A$2:$AS423,AA$2,{claves!$A$2;$E343}),1,0)</f>
        <v>#VALUE!</v>
      </c>
      <c r="AY343" s="436" t="str">
        <f t="array" ref="AY343">IF(AB343=DGET(claves!$A$2:$AS423,AB$2,{claves!$A$2;$E343}),1,0)</f>
        <v>#VALUE!</v>
      </c>
      <c r="AZ343" s="436" t="str">
        <f t="array" ref="AZ343">IF(AC343=DGET(claves!$A$2:$AS423,AC$2,{claves!$A$2;$E343}),1,0)</f>
        <v>#VALUE!</v>
      </c>
      <c r="BA343" s="436" t="str">
        <f t="array" ref="BA343">IF(AD343=DGET(claves!$A$2:$AS423,AD$2,{claves!$A$2;$E343}),1,0)</f>
        <v>#VALUE!</v>
      </c>
      <c r="BB343" s="436" t="str">
        <f t="array" ref="BB343">IF(AE343=DGET(claves!$A$2:$AS423,AE$2,{claves!$A$2;$E343}),1,0)</f>
        <v>#VALUE!</v>
      </c>
      <c r="BC343" s="436" t="str">
        <f t="array" ref="BC343">IF(AF343=DGET(claves!$A$2:$AS423,AF$2,{claves!$A$2;$E343}),1,0)</f>
        <v>#VALUE!</v>
      </c>
      <c r="BD343" s="437" t="str">
        <f t="shared" si="1"/>
        <v>#VALUE!</v>
      </c>
      <c r="BE343" s="435"/>
      <c r="BF343" s="415"/>
    </row>
    <row r="344" ht="14.25" customHeight="1">
      <c r="A344" s="408">
        <v>342.0</v>
      </c>
      <c r="B344" s="153" t="s">
        <v>102</v>
      </c>
      <c r="C344" s="153">
        <v>2024.0</v>
      </c>
      <c r="D344" s="77" t="s">
        <v>1817</v>
      </c>
      <c r="E344" s="409" t="str">
        <f>IFERROR(__xludf.DUMMYFUNCTION("ARRAYFORMULA(JOIN("""", ARRAYFORMULA(MID(SPLIT(F344, "" ""), 1, 1))))
&amp;""/""&amp;G344"),"CLQ/2 Primaria")</f>
        <v>CLQ/2 Primaria</v>
      </c>
      <c r="F344" s="77" t="s">
        <v>1827</v>
      </c>
      <c r="G344" s="432" t="s">
        <v>15</v>
      </c>
      <c r="H344" s="433" t="s">
        <v>1684</v>
      </c>
      <c r="I344" s="433" t="s">
        <v>1684</v>
      </c>
      <c r="J344" s="433" t="s">
        <v>2014</v>
      </c>
      <c r="K344" s="433" t="s">
        <v>1658</v>
      </c>
      <c r="L344" s="415"/>
      <c r="M344" s="434" t="s">
        <v>1825</v>
      </c>
      <c r="N344" s="434" t="s">
        <v>1825</v>
      </c>
      <c r="O344" s="434" t="s">
        <v>1660</v>
      </c>
      <c r="P344" s="434" t="s">
        <v>1825</v>
      </c>
      <c r="Q344" s="434" t="s">
        <v>1825</v>
      </c>
      <c r="R344" s="434" t="s">
        <v>1660</v>
      </c>
      <c r="S344" s="434" t="s">
        <v>1660</v>
      </c>
      <c r="T344" s="434" t="s">
        <v>1826</v>
      </c>
      <c r="U344" s="434" t="s">
        <v>1660</v>
      </c>
      <c r="V344" s="434" t="s">
        <v>1825</v>
      </c>
      <c r="W344" s="434" t="s">
        <v>1825</v>
      </c>
      <c r="X344" s="434" t="s">
        <v>1826</v>
      </c>
      <c r="Y344" s="434" t="s">
        <v>1660</v>
      </c>
      <c r="Z344" s="434" t="s">
        <v>1826</v>
      </c>
      <c r="AA344" s="434" t="s">
        <v>1825</v>
      </c>
      <c r="AB344" s="434" t="s">
        <v>1660</v>
      </c>
      <c r="AC344" s="434" t="s">
        <v>1826</v>
      </c>
      <c r="AD344" s="434" t="s">
        <v>1825</v>
      </c>
      <c r="AE344" s="434" t="s">
        <v>1826</v>
      </c>
      <c r="AF344" s="434" t="s">
        <v>1825</v>
      </c>
      <c r="AG344" s="427">
        <v>5.0</v>
      </c>
      <c r="AH344" s="435" t="s">
        <v>18</v>
      </c>
      <c r="AI344" s="415"/>
      <c r="AJ344" s="436" t="str">
        <f t="array" ref="AJ344">IF(M344=DGET(claves!$A$2:$AS423,M$2,{claves!$A$2;$E344}),1,0)</f>
        <v>#VALUE!</v>
      </c>
      <c r="AK344" s="436" t="str">
        <f t="array" ref="AK344">IF(N344=DGET(claves!$A$2:$AS423,N$2,{claves!$A$2;$E344}),1,0)</f>
        <v>#VALUE!</v>
      </c>
      <c r="AL344" s="436" t="str">
        <f t="array" ref="AL344">IF(O344=DGET(claves!$A$2:$AS423,O$2,{claves!$A$2;$E344}),1,0)</f>
        <v>#VALUE!</v>
      </c>
      <c r="AM344" s="436" t="str">
        <f t="array" ref="AM344">IF(P344=DGET(claves!$A$2:$AS423,P$2,{claves!$A$2;$E344}),1,0)</f>
        <v>#VALUE!</v>
      </c>
      <c r="AN344" s="436" t="str">
        <f t="array" ref="AN344">IF(Q344=DGET(claves!$A$2:$AS423,Q$2,{claves!$A$2;$E344}),1,0)</f>
        <v>#VALUE!</v>
      </c>
      <c r="AO344" s="436" t="str">
        <f t="array" ref="AO344">IF(R344=DGET(claves!$A$2:$AS423,R$2,{claves!$A$2;$E344}),1,0)</f>
        <v>#VALUE!</v>
      </c>
      <c r="AP344" s="436" t="str">
        <f t="array" ref="AP344">IF(S344=DGET(claves!$A$2:$AS423,S$2,{claves!$A$2;$E344}),1,0)</f>
        <v>#VALUE!</v>
      </c>
      <c r="AQ344" s="436" t="str">
        <f t="array" ref="AQ344">IF(T344=DGET(claves!$A$2:$AS423,T$2,{claves!$A$2;$E344}),1,0)</f>
        <v>#VALUE!</v>
      </c>
      <c r="AR344" s="436" t="str">
        <f t="array" ref="AR344">IF(U344=DGET(claves!$A$2:$AS423,U$2,{claves!$A$2;$E344}),1,0)</f>
        <v>#VALUE!</v>
      </c>
      <c r="AS344" s="436" t="str">
        <f t="array" ref="AS344">IF(V344=DGET(claves!$A$2:$AS423,V$2,{claves!$A$2;$E344}),1,0)</f>
        <v>#VALUE!</v>
      </c>
      <c r="AT344" s="436" t="str">
        <f t="array" ref="AT344">IF(W344=DGET(claves!$A$2:$AS423,W$2,{claves!$A$2;$E344}),1,0)</f>
        <v>#VALUE!</v>
      </c>
      <c r="AU344" s="436" t="str">
        <f t="array" ref="AU344">IF(X344=DGET(claves!$A$2:$AS423,X$2,{claves!$A$2;$E344}),1,0)</f>
        <v>#VALUE!</v>
      </c>
      <c r="AV344" s="436" t="str">
        <f t="array" ref="AV344">IF(Y344=DGET(claves!$A$2:$AS423,Y$2,{claves!$A$2;$E344}),1,0)</f>
        <v>#VALUE!</v>
      </c>
      <c r="AW344" s="436" t="str">
        <f t="array" ref="AW344">IF(Z344=DGET(claves!$A$2:$AS423,Z$2,{claves!$A$2;$E344}),1,0)</f>
        <v>#VALUE!</v>
      </c>
      <c r="AX344" s="436" t="str">
        <f t="array" ref="AX344">IF(AA344=DGET(claves!$A$2:$AS423,AA$2,{claves!$A$2;$E344}),1,0)</f>
        <v>#VALUE!</v>
      </c>
      <c r="AY344" s="436" t="str">
        <f t="array" ref="AY344">IF(AB344=DGET(claves!$A$2:$AS423,AB$2,{claves!$A$2;$E344}),1,0)</f>
        <v>#VALUE!</v>
      </c>
      <c r="AZ344" s="436" t="str">
        <f t="array" ref="AZ344">IF(AC344=DGET(claves!$A$2:$AS423,AC$2,{claves!$A$2;$E344}),1,0)</f>
        <v>#VALUE!</v>
      </c>
      <c r="BA344" s="436" t="str">
        <f t="array" ref="BA344">IF(AD344=DGET(claves!$A$2:$AS423,AD$2,{claves!$A$2;$E344}),1,0)</f>
        <v>#VALUE!</v>
      </c>
      <c r="BB344" s="436" t="str">
        <f t="array" ref="BB344">IF(AE344=DGET(claves!$A$2:$AS423,AE$2,{claves!$A$2;$E344}),1,0)</f>
        <v>#VALUE!</v>
      </c>
      <c r="BC344" s="436" t="str">
        <f t="array" ref="BC344">IF(AF344=DGET(claves!$A$2:$AS423,AF$2,{claves!$A$2;$E344}),1,0)</f>
        <v>#VALUE!</v>
      </c>
      <c r="BD344" s="437" t="str">
        <f t="shared" si="1"/>
        <v>#VALUE!</v>
      </c>
      <c r="BE344" s="435"/>
      <c r="BF344" s="415"/>
    </row>
    <row r="345" ht="14.25" customHeight="1">
      <c r="A345" s="408">
        <v>343.0</v>
      </c>
      <c r="B345" s="153" t="s">
        <v>102</v>
      </c>
      <c r="C345" s="153">
        <v>2024.0</v>
      </c>
      <c r="D345" s="77" t="s">
        <v>362</v>
      </c>
      <c r="E345" s="409" t="str">
        <f>IFERROR(__xludf.DUMMYFUNCTION("ARRAYFORMULA(JOIN("""", ARRAYFORMULA(MID(SPLIT(F345, "" ""), 1, 1))))
&amp;""/""&amp;G345"),"MQ/4 Primaria")</f>
        <v>MQ/4 Primaria</v>
      </c>
      <c r="F345" s="77" t="s">
        <v>1823</v>
      </c>
      <c r="G345" s="432" t="s">
        <v>20</v>
      </c>
      <c r="H345" s="433" t="s">
        <v>1761</v>
      </c>
      <c r="I345" s="433" t="s">
        <v>2015</v>
      </c>
      <c r="J345" s="433" t="s">
        <v>2016</v>
      </c>
      <c r="K345" s="433" t="s">
        <v>1658</v>
      </c>
      <c r="L345" s="415"/>
      <c r="M345" s="434" t="s">
        <v>1659</v>
      </c>
      <c r="N345" s="434" t="s">
        <v>1689</v>
      </c>
      <c r="O345" s="434" t="s">
        <v>1661</v>
      </c>
      <c r="P345" s="434" t="s">
        <v>1659</v>
      </c>
      <c r="Q345" s="434" t="s">
        <v>1661</v>
      </c>
      <c r="R345" s="434" t="s">
        <v>1661</v>
      </c>
      <c r="S345" s="434" t="s">
        <v>1661</v>
      </c>
      <c r="T345" s="434" t="s">
        <v>1661</v>
      </c>
      <c r="U345" s="434" t="s">
        <v>1659</v>
      </c>
      <c r="V345" s="434" t="s">
        <v>1660</v>
      </c>
      <c r="W345" s="434" t="s">
        <v>1661</v>
      </c>
      <c r="X345" s="434" t="s">
        <v>1659</v>
      </c>
      <c r="Y345" s="434" t="s">
        <v>1661</v>
      </c>
      <c r="Z345" s="434" t="s">
        <v>1661</v>
      </c>
      <c r="AA345" s="434" t="s">
        <v>1659</v>
      </c>
      <c r="AB345" s="434" t="s">
        <v>1661</v>
      </c>
      <c r="AC345" s="434" t="s">
        <v>1661</v>
      </c>
      <c r="AD345" s="434" t="s">
        <v>1661</v>
      </c>
      <c r="AE345" s="434" t="s">
        <v>1659</v>
      </c>
      <c r="AF345" s="434" t="s">
        <v>1660</v>
      </c>
      <c r="AG345" s="427">
        <v>7.0</v>
      </c>
      <c r="AH345" s="435" t="s">
        <v>18</v>
      </c>
      <c r="AI345" s="415"/>
      <c r="AJ345" s="436" t="str">
        <f t="array" ref="AJ345">IF(M345=DGET(claves!$A$2:$AS423,M$2,{claves!$A$2;$E345}),1,0)</f>
        <v>#VALUE!</v>
      </c>
      <c r="AK345" s="436" t="str">
        <f t="array" ref="AK345">IF(N345=DGET(claves!$A$2:$AS423,N$2,{claves!$A$2;$E345}),1,0)</f>
        <v>#VALUE!</v>
      </c>
      <c r="AL345" s="436" t="str">
        <f t="array" ref="AL345">IF(O345=DGET(claves!$A$2:$AS423,O$2,{claves!$A$2;$E345}),1,0)</f>
        <v>#VALUE!</v>
      </c>
      <c r="AM345" s="436" t="str">
        <f t="array" ref="AM345">IF(P345=DGET(claves!$A$2:$AS423,P$2,{claves!$A$2;$E345}),1,0)</f>
        <v>#VALUE!</v>
      </c>
      <c r="AN345" s="436" t="str">
        <f t="array" ref="AN345">IF(Q345=DGET(claves!$A$2:$AS423,Q$2,{claves!$A$2;$E345}),1,0)</f>
        <v>#VALUE!</v>
      </c>
      <c r="AO345" s="436" t="str">
        <f t="array" ref="AO345">IF(R345=DGET(claves!$A$2:$AS423,R$2,{claves!$A$2;$E345}),1,0)</f>
        <v>#VALUE!</v>
      </c>
      <c r="AP345" s="436" t="str">
        <f t="array" ref="AP345">IF(S345=DGET(claves!$A$2:$AS423,S$2,{claves!$A$2;$E345}),1,0)</f>
        <v>#VALUE!</v>
      </c>
      <c r="AQ345" s="436" t="str">
        <f t="array" ref="AQ345">IF(T345=DGET(claves!$A$2:$AS423,T$2,{claves!$A$2;$E345}),1,0)</f>
        <v>#VALUE!</v>
      </c>
      <c r="AR345" s="436" t="str">
        <f t="array" ref="AR345">IF(U345=DGET(claves!$A$2:$AS423,U$2,{claves!$A$2;$E345}),1,0)</f>
        <v>#VALUE!</v>
      </c>
      <c r="AS345" s="436" t="str">
        <f t="array" ref="AS345">IF(V345=DGET(claves!$A$2:$AS423,V$2,{claves!$A$2;$E345}),1,0)</f>
        <v>#VALUE!</v>
      </c>
      <c r="AT345" s="436" t="str">
        <f t="array" ref="AT345">IF(W345=DGET(claves!$A$2:$AS423,W$2,{claves!$A$2;$E345}),1,0)</f>
        <v>#VALUE!</v>
      </c>
      <c r="AU345" s="436" t="str">
        <f t="array" ref="AU345">IF(X345=DGET(claves!$A$2:$AS423,X$2,{claves!$A$2;$E345}),1,0)</f>
        <v>#VALUE!</v>
      </c>
      <c r="AV345" s="436" t="str">
        <f t="array" ref="AV345">IF(Y345=DGET(claves!$A$2:$AS423,Y$2,{claves!$A$2;$E345}),1,0)</f>
        <v>#VALUE!</v>
      </c>
      <c r="AW345" s="436" t="str">
        <f t="array" ref="AW345">IF(Z345=DGET(claves!$A$2:$AS423,Z$2,{claves!$A$2;$E345}),1,0)</f>
        <v>#VALUE!</v>
      </c>
      <c r="AX345" s="436" t="str">
        <f t="array" ref="AX345">IF(AA345=DGET(claves!$A$2:$AS423,AA$2,{claves!$A$2;$E345}),1,0)</f>
        <v>#VALUE!</v>
      </c>
      <c r="AY345" s="436" t="str">
        <f t="array" ref="AY345">IF(AB345=DGET(claves!$A$2:$AS423,AB$2,{claves!$A$2;$E345}),1,0)</f>
        <v>#VALUE!</v>
      </c>
      <c r="AZ345" s="436" t="str">
        <f t="array" ref="AZ345">IF(AC345=DGET(claves!$A$2:$AS423,AC$2,{claves!$A$2;$E345}),1,0)</f>
        <v>#VALUE!</v>
      </c>
      <c r="BA345" s="436" t="str">
        <f t="array" ref="BA345">IF(AD345=DGET(claves!$A$2:$AS423,AD$2,{claves!$A$2;$E345}),1,0)</f>
        <v>#VALUE!</v>
      </c>
      <c r="BB345" s="436" t="str">
        <f t="array" ref="BB345">IF(AE345=DGET(claves!$A$2:$AS423,AE$2,{claves!$A$2;$E345}),1,0)</f>
        <v>#VALUE!</v>
      </c>
      <c r="BC345" s="436" t="str">
        <f t="array" ref="BC345">IF(AF345=DGET(claves!$A$2:$AS423,AF$2,{claves!$A$2;$E345}),1,0)</f>
        <v>#VALUE!</v>
      </c>
      <c r="BD345" s="437" t="str">
        <f t="shared" si="1"/>
        <v>#VALUE!</v>
      </c>
      <c r="BE345" s="435"/>
      <c r="BF345" s="415"/>
    </row>
    <row r="346" ht="14.25" customHeight="1">
      <c r="A346" s="408">
        <v>344.0</v>
      </c>
      <c r="B346" s="153" t="s">
        <v>102</v>
      </c>
      <c r="C346" s="153">
        <v>2024.0</v>
      </c>
      <c r="D346" s="77" t="s">
        <v>1817</v>
      </c>
      <c r="E346" s="409" t="str">
        <f>IFERROR(__xludf.DUMMYFUNCTION("ARRAYFORMULA(JOIN("""", ARRAYFORMULA(MID(SPLIT(F346, "" ""), 1, 1))))
&amp;""/""&amp;G346"),"CLQ/4 Primaria")</f>
        <v>CLQ/4 Primaria</v>
      </c>
      <c r="F346" s="77" t="s">
        <v>1827</v>
      </c>
      <c r="G346" s="432" t="s">
        <v>20</v>
      </c>
      <c r="H346" s="433" t="s">
        <v>1761</v>
      </c>
      <c r="I346" s="433" t="s">
        <v>2015</v>
      </c>
      <c r="J346" s="433" t="s">
        <v>2016</v>
      </c>
      <c r="K346" s="433" t="s">
        <v>1658</v>
      </c>
      <c r="L346" s="415"/>
      <c r="M346" s="434" t="s">
        <v>1659</v>
      </c>
      <c r="N346" s="434" t="s">
        <v>1661</v>
      </c>
      <c r="O346" s="434" t="s">
        <v>1660</v>
      </c>
      <c r="P346" s="434" t="s">
        <v>1659</v>
      </c>
      <c r="Q346" s="434" t="s">
        <v>1661</v>
      </c>
      <c r="R346" s="434" t="s">
        <v>1660</v>
      </c>
      <c r="S346" s="434" t="s">
        <v>1660</v>
      </c>
      <c r="T346" s="434" t="s">
        <v>1660</v>
      </c>
      <c r="U346" s="434" t="s">
        <v>1689</v>
      </c>
      <c r="V346" s="434" t="s">
        <v>1661</v>
      </c>
      <c r="W346" s="434" t="s">
        <v>1660</v>
      </c>
      <c r="X346" s="434" t="s">
        <v>1660</v>
      </c>
      <c r="Y346" s="434" t="s">
        <v>1660</v>
      </c>
      <c r="Z346" s="434" t="s">
        <v>1659</v>
      </c>
      <c r="AA346" s="434" t="s">
        <v>1660</v>
      </c>
      <c r="AB346" s="434" t="s">
        <v>1661</v>
      </c>
      <c r="AC346" s="434" t="s">
        <v>1661</v>
      </c>
      <c r="AD346" s="434" t="s">
        <v>1660</v>
      </c>
      <c r="AE346" s="434" t="s">
        <v>1660</v>
      </c>
      <c r="AF346" s="434" t="s">
        <v>1660</v>
      </c>
      <c r="AG346" s="427">
        <v>11.0</v>
      </c>
      <c r="AH346" s="435" t="s">
        <v>24</v>
      </c>
      <c r="AI346" s="415"/>
      <c r="AJ346" s="436" t="str">
        <f t="array" ref="AJ346">IF(M346=DGET(claves!$A$2:$AS423,M$2,{claves!$A$2;$E346}),1,0)</f>
        <v>#VALUE!</v>
      </c>
      <c r="AK346" s="436" t="str">
        <f t="array" ref="AK346">IF(N346=DGET(claves!$A$2:$AS423,N$2,{claves!$A$2;$E346}),1,0)</f>
        <v>#VALUE!</v>
      </c>
      <c r="AL346" s="436" t="str">
        <f t="array" ref="AL346">IF(O346=DGET(claves!$A$2:$AS423,O$2,{claves!$A$2;$E346}),1,0)</f>
        <v>#VALUE!</v>
      </c>
      <c r="AM346" s="436" t="str">
        <f t="array" ref="AM346">IF(P346=DGET(claves!$A$2:$AS423,P$2,{claves!$A$2;$E346}),1,0)</f>
        <v>#VALUE!</v>
      </c>
      <c r="AN346" s="436" t="str">
        <f t="array" ref="AN346">IF(Q346=DGET(claves!$A$2:$AS423,Q$2,{claves!$A$2;$E346}),1,0)</f>
        <v>#VALUE!</v>
      </c>
      <c r="AO346" s="436" t="str">
        <f t="array" ref="AO346">IF(R346=DGET(claves!$A$2:$AS423,R$2,{claves!$A$2;$E346}),1,0)</f>
        <v>#VALUE!</v>
      </c>
      <c r="AP346" s="436" t="str">
        <f t="array" ref="AP346">IF(S346=DGET(claves!$A$2:$AS423,S$2,{claves!$A$2;$E346}),1,0)</f>
        <v>#VALUE!</v>
      </c>
      <c r="AQ346" s="436" t="str">
        <f t="array" ref="AQ346">IF(T346=DGET(claves!$A$2:$AS423,T$2,{claves!$A$2;$E346}),1,0)</f>
        <v>#VALUE!</v>
      </c>
      <c r="AR346" s="436" t="str">
        <f t="array" ref="AR346">IF(U346=DGET(claves!$A$2:$AS423,U$2,{claves!$A$2;$E346}),1,0)</f>
        <v>#VALUE!</v>
      </c>
      <c r="AS346" s="436" t="str">
        <f t="array" ref="AS346">IF(V346=DGET(claves!$A$2:$AS423,V$2,{claves!$A$2;$E346}),1,0)</f>
        <v>#VALUE!</v>
      </c>
      <c r="AT346" s="436" t="str">
        <f t="array" ref="AT346">IF(W346=DGET(claves!$A$2:$AS423,W$2,{claves!$A$2;$E346}),1,0)</f>
        <v>#VALUE!</v>
      </c>
      <c r="AU346" s="436" t="str">
        <f t="array" ref="AU346">IF(X346=DGET(claves!$A$2:$AS423,X$2,{claves!$A$2;$E346}),1,0)</f>
        <v>#VALUE!</v>
      </c>
      <c r="AV346" s="436" t="str">
        <f t="array" ref="AV346">IF(Y346=DGET(claves!$A$2:$AS423,Y$2,{claves!$A$2;$E346}),1,0)</f>
        <v>#VALUE!</v>
      </c>
      <c r="AW346" s="436" t="str">
        <f t="array" ref="AW346">IF(Z346=DGET(claves!$A$2:$AS423,Z$2,{claves!$A$2;$E346}),1,0)</f>
        <v>#VALUE!</v>
      </c>
      <c r="AX346" s="436" t="str">
        <f t="array" ref="AX346">IF(AA346=DGET(claves!$A$2:$AS423,AA$2,{claves!$A$2;$E346}),1,0)</f>
        <v>#VALUE!</v>
      </c>
      <c r="AY346" s="436" t="str">
        <f t="array" ref="AY346">IF(AB346=DGET(claves!$A$2:$AS423,AB$2,{claves!$A$2;$E346}),1,0)</f>
        <v>#VALUE!</v>
      </c>
      <c r="AZ346" s="436" t="str">
        <f t="array" ref="AZ346">IF(AC346=DGET(claves!$A$2:$AS423,AC$2,{claves!$A$2;$E346}),1,0)</f>
        <v>#VALUE!</v>
      </c>
      <c r="BA346" s="436" t="str">
        <f t="array" ref="BA346">IF(AD346=DGET(claves!$A$2:$AS423,AD$2,{claves!$A$2;$E346}),1,0)</f>
        <v>#VALUE!</v>
      </c>
      <c r="BB346" s="436" t="str">
        <f t="array" ref="BB346">IF(AE346=DGET(claves!$A$2:$AS423,AE$2,{claves!$A$2;$E346}),1,0)</f>
        <v>#VALUE!</v>
      </c>
      <c r="BC346" s="436" t="str">
        <f t="array" ref="BC346">IF(AF346=DGET(claves!$A$2:$AS423,AF$2,{claves!$A$2;$E346}),1,0)</f>
        <v>#VALUE!</v>
      </c>
      <c r="BD346" s="437" t="str">
        <f t="shared" si="1"/>
        <v>#VALUE!</v>
      </c>
      <c r="BE346" s="435"/>
      <c r="BF346" s="415"/>
    </row>
    <row r="347" ht="14.25" customHeight="1">
      <c r="A347" s="408">
        <v>345.0</v>
      </c>
      <c r="B347" s="153" t="s">
        <v>102</v>
      </c>
      <c r="C347" s="153">
        <v>2024.0</v>
      </c>
      <c r="D347" s="77" t="s">
        <v>362</v>
      </c>
      <c r="E347" s="409" t="str">
        <f>IFERROR(__xludf.DUMMYFUNCTION("ARRAYFORMULA(JOIN("""", ARRAYFORMULA(MID(SPLIT(F347, "" ""), 1, 1))))
&amp;""/""&amp;G347"),"MQ/4 Primaria")</f>
        <v>MQ/4 Primaria</v>
      </c>
      <c r="F347" s="77" t="s">
        <v>1823</v>
      </c>
      <c r="G347" s="432" t="s">
        <v>20</v>
      </c>
      <c r="H347" s="433" t="s">
        <v>1676</v>
      </c>
      <c r="I347" s="433" t="s">
        <v>1719</v>
      </c>
      <c r="J347" s="433" t="s">
        <v>2017</v>
      </c>
      <c r="K347" s="433" t="s">
        <v>1658</v>
      </c>
      <c r="L347" s="415"/>
      <c r="M347" s="434" t="s">
        <v>1659</v>
      </c>
      <c r="N347" s="434" t="s">
        <v>1661</v>
      </c>
      <c r="O347" s="434" t="s">
        <v>1659</v>
      </c>
      <c r="P347" s="434" t="s">
        <v>1659</v>
      </c>
      <c r="Q347" s="434" t="s">
        <v>1689</v>
      </c>
      <c r="R347" s="434" t="s">
        <v>1689</v>
      </c>
      <c r="S347" s="434" t="s">
        <v>1659</v>
      </c>
      <c r="T347" s="434" t="s">
        <v>1660</v>
      </c>
      <c r="U347" s="434" t="s">
        <v>1661</v>
      </c>
      <c r="V347" s="434" t="s">
        <v>1689</v>
      </c>
      <c r="W347" s="434" t="s">
        <v>1659</v>
      </c>
      <c r="X347" s="434" t="s">
        <v>1660</v>
      </c>
      <c r="Y347" s="434" t="s">
        <v>1660</v>
      </c>
      <c r="Z347" s="434" t="s">
        <v>1689</v>
      </c>
      <c r="AA347" s="434" t="s">
        <v>1660</v>
      </c>
      <c r="AB347" s="434" t="s">
        <v>1661</v>
      </c>
      <c r="AC347" s="434" t="s">
        <v>1659</v>
      </c>
      <c r="AD347" s="434" t="s">
        <v>1661</v>
      </c>
      <c r="AE347" s="434" t="s">
        <v>1659</v>
      </c>
      <c r="AF347" s="434" t="s">
        <v>1659</v>
      </c>
      <c r="AG347" s="427">
        <v>7.0</v>
      </c>
      <c r="AH347" s="435" t="s">
        <v>18</v>
      </c>
      <c r="AI347" s="415"/>
      <c r="AJ347" s="436" t="str">
        <f t="array" ref="AJ347">IF(M347=DGET(claves!$A$2:$AS423,M$2,{claves!$A$2;$E347}),1,0)</f>
        <v>#VALUE!</v>
      </c>
      <c r="AK347" s="436" t="str">
        <f t="array" ref="AK347">IF(N347=DGET(claves!$A$2:$AS423,N$2,{claves!$A$2;$E347}),1,0)</f>
        <v>#VALUE!</v>
      </c>
      <c r="AL347" s="436" t="str">
        <f t="array" ref="AL347">IF(O347=DGET(claves!$A$2:$AS423,O$2,{claves!$A$2;$E347}),1,0)</f>
        <v>#VALUE!</v>
      </c>
      <c r="AM347" s="436" t="str">
        <f t="array" ref="AM347">IF(P347=DGET(claves!$A$2:$AS423,P$2,{claves!$A$2;$E347}),1,0)</f>
        <v>#VALUE!</v>
      </c>
      <c r="AN347" s="436" t="str">
        <f t="array" ref="AN347">IF(Q347=DGET(claves!$A$2:$AS423,Q$2,{claves!$A$2;$E347}),1,0)</f>
        <v>#VALUE!</v>
      </c>
      <c r="AO347" s="436" t="str">
        <f t="array" ref="AO347">IF(R347=DGET(claves!$A$2:$AS423,R$2,{claves!$A$2;$E347}),1,0)</f>
        <v>#VALUE!</v>
      </c>
      <c r="AP347" s="436" t="str">
        <f t="array" ref="AP347">IF(S347=DGET(claves!$A$2:$AS423,S$2,{claves!$A$2;$E347}),1,0)</f>
        <v>#VALUE!</v>
      </c>
      <c r="AQ347" s="436" t="str">
        <f t="array" ref="AQ347">IF(T347=DGET(claves!$A$2:$AS423,T$2,{claves!$A$2;$E347}),1,0)</f>
        <v>#VALUE!</v>
      </c>
      <c r="AR347" s="436" t="str">
        <f t="array" ref="AR347">IF(U347=DGET(claves!$A$2:$AS423,U$2,{claves!$A$2;$E347}),1,0)</f>
        <v>#VALUE!</v>
      </c>
      <c r="AS347" s="436" t="str">
        <f t="array" ref="AS347">IF(V347=DGET(claves!$A$2:$AS423,V$2,{claves!$A$2;$E347}),1,0)</f>
        <v>#VALUE!</v>
      </c>
      <c r="AT347" s="436" t="str">
        <f t="array" ref="AT347">IF(W347=DGET(claves!$A$2:$AS423,W$2,{claves!$A$2;$E347}),1,0)</f>
        <v>#VALUE!</v>
      </c>
      <c r="AU347" s="436" t="str">
        <f t="array" ref="AU347">IF(X347=DGET(claves!$A$2:$AS423,X$2,{claves!$A$2;$E347}),1,0)</f>
        <v>#VALUE!</v>
      </c>
      <c r="AV347" s="436" t="str">
        <f t="array" ref="AV347">IF(Y347=DGET(claves!$A$2:$AS423,Y$2,{claves!$A$2;$E347}),1,0)</f>
        <v>#VALUE!</v>
      </c>
      <c r="AW347" s="436" t="str">
        <f t="array" ref="AW347">IF(Z347=DGET(claves!$A$2:$AS423,Z$2,{claves!$A$2;$E347}),1,0)</f>
        <v>#VALUE!</v>
      </c>
      <c r="AX347" s="436" t="str">
        <f t="array" ref="AX347">IF(AA347=DGET(claves!$A$2:$AS423,AA$2,{claves!$A$2;$E347}),1,0)</f>
        <v>#VALUE!</v>
      </c>
      <c r="AY347" s="436" t="str">
        <f t="array" ref="AY347">IF(AB347=DGET(claves!$A$2:$AS423,AB$2,{claves!$A$2;$E347}),1,0)</f>
        <v>#VALUE!</v>
      </c>
      <c r="AZ347" s="436" t="str">
        <f t="array" ref="AZ347">IF(AC347=DGET(claves!$A$2:$AS423,AC$2,{claves!$A$2;$E347}),1,0)</f>
        <v>#VALUE!</v>
      </c>
      <c r="BA347" s="436" t="str">
        <f t="array" ref="BA347">IF(AD347=DGET(claves!$A$2:$AS423,AD$2,{claves!$A$2;$E347}),1,0)</f>
        <v>#VALUE!</v>
      </c>
      <c r="BB347" s="436" t="str">
        <f t="array" ref="BB347">IF(AE347=DGET(claves!$A$2:$AS423,AE$2,{claves!$A$2;$E347}),1,0)</f>
        <v>#VALUE!</v>
      </c>
      <c r="BC347" s="436" t="str">
        <f t="array" ref="BC347">IF(AF347=DGET(claves!$A$2:$AS423,AF$2,{claves!$A$2;$E347}),1,0)</f>
        <v>#VALUE!</v>
      </c>
      <c r="BD347" s="437" t="str">
        <f t="shared" si="1"/>
        <v>#VALUE!</v>
      </c>
      <c r="BE347" s="435"/>
      <c r="BF347" s="415"/>
    </row>
    <row r="348" ht="14.25" customHeight="1">
      <c r="A348" s="408">
        <v>346.0</v>
      </c>
      <c r="B348" s="153" t="s">
        <v>102</v>
      </c>
      <c r="C348" s="153">
        <v>2024.0</v>
      </c>
      <c r="D348" s="77" t="s">
        <v>1817</v>
      </c>
      <c r="E348" s="409" t="str">
        <f>IFERROR(__xludf.DUMMYFUNCTION("ARRAYFORMULA(JOIN("""", ARRAYFORMULA(MID(SPLIT(F348, "" ""), 1, 1))))
&amp;""/""&amp;G348"),"CLQ/4 Primaria")</f>
        <v>CLQ/4 Primaria</v>
      </c>
      <c r="F348" s="77" t="s">
        <v>1827</v>
      </c>
      <c r="G348" s="432" t="s">
        <v>20</v>
      </c>
      <c r="H348" s="433" t="s">
        <v>1676</v>
      </c>
      <c r="I348" s="433" t="s">
        <v>1719</v>
      </c>
      <c r="J348" s="433" t="s">
        <v>2017</v>
      </c>
      <c r="K348" s="433" t="s">
        <v>1658</v>
      </c>
      <c r="L348" s="415"/>
      <c r="M348" s="434" t="s">
        <v>1659</v>
      </c>
      <c r="N348" s="434" t="s">
        <v>1660</v>
      </c>
      <c r="O348" s="434" t="s">
        <v>1659</v>
      </c>
      <c r="P348" s="434" t="s">
        <v>1661</v>
      </c>
      <c r="Q348" s="434" t="s">
        <v>1660</v>
      </c>
      <c r="R348" s="434" t="s">
        <v>1659</v>
      </c>
      <c r="S348" s="434" t="s">
        <v>1660</v>
      </c>
      <c r="T348" s="434" t="s">
        <v>1660</v>
      </c>
      <c r="U348" s="434" t="s">
        <v>1689</v>
      </c>
      <c r="V348" s="434" t="s">
        <v>1661</v>
      </c>
      <c r="W348" s="434" t="s">
        <v>1659</v>
      </c>
      <c r="X348" s="434" t="s">
        <v>1660</v>
      </c>
      <c r="Y348" s="434" t="s">
        <v>1659</v>
      </c>
      <c r="Z348" s="434" t="s">
        <v>1661</v>
      </c>
      <c r="AA348" s="434" t="s">
        <v>1660</v>
      </c>
      <c r="AB348" s="434" t="s">
        <v>1659</v>
      </c>
      <c r="AC348" s="434" t="s">
        <v>1661</v>
      </c>
      <c r="AD348" s="434" t="s">
        <v>1689</v>
      </c>
      <c r="AE348" s="434" t="s">
        <v>1661</v>
      </c>
      <c r="AF348" s="434" t="s">
        <v>1661</v>
      </c>
      <c r="AG348" s="427">
        <v>9.0</v>
      </c>
      <c r="AH348" s="435" t="s">
        <v>18</v>
      </c>
      <c r="AI348" s="415"/>
      <c r="AJ348" s="436" t="str">
        <f t="array" ref="AJ348">IF(M348=DGET(claves!$A$2:$AS423,M$2,{claves!$A$2;$E348}),1,0)</f>
        <v>#VALUE!</v>
      </c>
      <c r="AK348" s="436" t="str">
        <f t="array" ref="AK348">IF(N348=DGET(claves!$A$2:$AS423,N$2,{claves!$A$2;$E348}),1,0)</f>
        <v>#VALUE!</v>
      </c>
      <c r="AL348" s="436" t="str">
        <f t="array" ref="AL348">IF(O348=DGET(claves!$A$2:$AS423,O$2,{claves!$A$2;$E348}),1,0)</f>
        <v>#VALUE!</v>
      </c>
      <c r="AM348" s="436" t="str">
        <f t="array" ref="AM348">IF(P348=DGET(claves!$A$2:$AS423,P$2,{claves!$A$2;$E348}),1,0)</f>
        <v>#VALUE!</v>
      </c>
      <c r="AN348" s="436" t="str">
        <f t="array" ref="AN348">IF(Q348=DGET(claves!$A$2:$AS423,Q$2,{claves!$A$2;$E348}),1,0)</f>
        <v>#VALUE!</v>
      </c>
      <c r="AO348" s="436" t="str">
        <f t="array" ref="AO348">IF(R348=DGET(claves!$A$2:$AS423,R$2,{claves!$A$2;$E348}),1,0)</f>
        <v>#VALUE!</v>
      </c>
      <c r="AP348" s="436" t="str">
        <f t="array" ref="AP348">IF(S348=DGET(claves!$A$2:$AS423,S$2,{claves!$A$2;$E348}),1,0)</f>
        <v>#VALUE!</v>
      </c>
      <c r="AQ348" s="436" t="str">
        <f t="array" ref="AQ348">IF(T348=DGET(claves!$A$2:$AS423,T$2,{claves!$A$2;$E348}),1,0)</f>
        <v>#VALUE!</v>
      </c>
      <c r="AR348" s="436" t="str">
        <f t="array" ref="AR348">IF(U348=DGET(claves!$A$2:$AS423,U$2,{claves!$A$2;$E348}),1,0)</f>
        <v>#VALUE!</v>
      </c>
      <c r="AS348" s="436" t="str">
        <f t="array" ref="AS348">IF(V348=DGET(claves!$A$2:$AS423,V$2,{claves!$A$2;$E348}),1,0)</f>
        <v>#VALUE!</v>
      </c>
      <c r="AT348" s="436" t="str">
        <f t="array" ref="AT348">IF(W348=DGET(claves!$A$2:$AS423,W$2,{claves!$A$2;$E348}),1,0)</f>
        <v>#VALUE!</v>
      </c>
      <c r="AU348" s="436" t="str">
        <f t="array" ref="AU348">IF(X348=DGET(claves!$A$2:$AS423,X$2,{claves!$A$2;$E348}),1,0)</f>
        <v>#VALUE!</v>
      </c>
      <c r="AV348" s="436" t="str">
        <f t="array" ref="AV348">IF(Y348=DGET(claves!$A$2:$AS423,Y$2,{claves!$A$2;$E348}),1,0)</f>
        <v>#VALUE!</v>
      </c>
      <c r="AW348" s="436" t="str">
        <f t="array" ref="AW348">IF(Z348=DGET(claves!$A$2:$AS423,Z$2,{claves!$A$2;$E348}),1,0)</f>
        <v>#VALUE!</v>
      </c>
      <c r="AX348" s="436" t="str">
        <f t="array" ref="AX348">IF(AA348=DGET(claves!$A$2:$AS423,AA$2,{claves!$A$2;$E348}),1,0)</f>
        <v>#VALUE!</v>
      </c>
      <c r="AY348" s="436" t="str">
        <f t="array" ref="AY348">IF(AB348=DGET(claves!$A$2:$AS423,AB$2,{claves!$A$2;$E348}),1,0)</f>
        <v>#VALUE!</v>
      </c>
      <c r="AZ348" s="436" t="str">
        <f t="array" ref="AZ348">IF(AC348=DGET(claves!$A$2:$AS423,AC$2,{claves!$A$2;$E348}),1,0)</f>
        <v>#VALUE!</v>
      </c>
      <c r="BA348" s="436" t="str">
        <f t="array" ref="BA348">IF(AD348=DGET(claves!$A$2:$AS423,AD$2,{claves!$A$2;$E348}),1,0)</f>
        <v>#VALUE!</v>
      </c>
      <c r="BB348" s="436" t="str">
        <f t="array" ref="BB348">IF(AE348=DGET(claves!$A$2:$AS423,AE$2,{claves!$A$2;$E348}),1,0)</f>
        <v>#VALUE!</v>
      </c>
      <c r="BC348" s="436" t="str">
        <f t="array" ref="BC348">IF(AF348=DGET(claves!$A$2:$AS423,AF$2,{claves!$A$2;$E348}),1,0)</f>
        <v>#VALUE!</v>
      </c>
      <c r="BD348" s="437" t="str">
        <f t="shared" si="1"/>
        <v>#VALUE!</v>
      </c>
      <c r="BE348" s="435"/>
      <c r="BF348" s="415"/>
    </row>
    <row r="349" ht="14.25" customHeight="1">
      <c r="A349" s="408">
        <v>347.0</v>
      </c>
      <c r="B349" s="153" t="s">
        <v>102</v>
      </c>
      <c r="C349" s="153">
        <v>2024.0</v>
      </c>
      <c r="D349" s="77" t="s">
        <v>362</v>
      </c>
      <c r="E349" s="409" t="str">
        <f>IFERROR(__xludf.DUMMYFUNCTION("ARRAYFORMULA(JOIN("""", ARRAYFORMULA(MID(SPLIT(F349, "" ""), 1, 1))))
&amp;""/""&amp;G349"),"MQ/6 Primaria")</f>
        <v>MQ/6 Primaria</v>
      </c>
      <c r="F349" s="77" t="s">
        <v>1823</v>
      </c>
      <c r="G349" s="432" t="s">
        <v>22</v>
      </c>
      <c r="H349" s="433" t="s">
        <v>1883</v>
      </c>
      <c r="I349" s="433" t="s">
        <v>1737</v>
      </c>
      <c r="J349" s="433" t="s">
        <v>2018</v>
      </c>
      <c r="K349" s="433" t="s">
        <v>1658</v>
      </c>
      <c r="L349" s="415"/>
      <c r="M349" s="434" t="s">
        <v>1659</v>
      </c>
      <c r="N349" s="434" t="s">
        <v>1661</v>
      </c>
      <c r="O349" s="434" t="s">
        <v>1661</v>
      </c>
      <c r="P349" s="434" t="s">
        <v>1660</v>
      </c>
      <c r="Q349" s="434" t="s">
        <v>1659</v>
      </c>
      <c r="R349" s="434" t="s">
        <v>1659</v>
      </c>
      <c r="S349" s="434" t="s">
        <v>1659</v>
      </c>
      <c r="T349" s="434" t="s">
        <v>1659</v>
      </c>
      <c r="U349" s="434" t="s">
        <v>1659</v>
      </c>
      <c r="V349" s="434" t="s">
        <v>1661</v>
      </c>
      <c r="W349" s="434" t="s">
        <v>1659</v>
      </c>
      <c r="X349" s="434" t="s">
        <v>1689</v>
      </c>
      <c r="Y349" s="434" t="s">
        <v>1660</v>
      </c>
      <c r="Z349" s="434" t="s">
        <v>1689</v>
      </c>
      <c r="AA349" s="434" t="s">
        <v>1660</v>
      </c>
      <c r="AB349" s="434" t="s">
        <v>1689</v>
      </c>
      <c r="AC349" s="434" t="s">
        <v>1689</v>
      </c>
      <c r="AD349" s="434" t="s">
        <v>1660</v>
      </c>
      <c r="AE349" s="434" t="s">
        <v>1689</v>
      </c>
      <c r="AF349" s="434" t="s">
        <v>1660</v>
      </c>
      <c r="AG349" s="427">
        <v>10.0</v>
      </c>
      <c r="AH349" s="435" t="s">
        <v>18</v>
      </c>
      <c r="AI349" s="415"/>
      <c r="AJ349" s="436" t="str">
        <f t="array" ref="AJ349">IF(M349=DGET(claves!$A$2:$AS423,M$2,{claves!$A$2;$E349}),1,0)</f>
        <v>#VALUE!</v>
      </c>
      <c r="AK349" s="436" t="str">
        <f t="array" ref="AK349">IF(N349=DGET(claves!$A$2:$AS423,N$2,{claves!$A$2;$E349}),1,0)</f>
        <v>#VALUE!</v>
      </c>
      <c r="AL349" s="436" t="str">
        <f t="array" ref="AL349">IF(O349=DGET(claves!$A$2:$AS423,O$2,{claves!$A$2;$E349}),1,0)</f>
        <v>#VALUE!</v>
      </c>
      <c r="AM349" s="436" t="str">
        <f t="array" ref="AM349">IF(P349=DGET(claves!$A$2:$AS423,P$2,{claves!$A$2;$E349}),1,0)</f>
        <v>#VALUE!</v>
      </c>
      <c r="AN349" s="436" t="str">
        <f t="array" ref="AN349">IF(Q349=DGET(claves!$A$2:$AS423,Q$2,{claves!$A$2;$E349}),1,0)</f>
        <v>#VALUE!</v>
      </c>
      <c r="AO349" s="436" t="str">
        <f t="array" ref="AO349">IF(R349=DGET(claves!$A$2:$AS423,R$2,{claves!$A$2;$E349}),1,0)</f>
        <v>#VALUE!</v>
      </c>
      <c r="AP349" s="436" t="str">
        <f t="array" ref="AP349">IF(S349=DGET(claves!$A$2:$AS423,S$2,{claves!$A$2;$E349}),1,0)</f>
        <v>#VALUE!</v>
      </c>
      <c r="AQ349" s="436" t="str">
        <f t="array" ref="AQ349">IF(T349=DGET(claves!$A$2:$AS423,T$2,{claves!$A$2;$E349}),1,0)</f>
        <v>#VALUE!</v>
      </c>
      <c r="AR349" s="436" t="str">
        <f t="array" ref="AR349">IF(U349=DGET(claves!$A$2:$AS423,U$2,{claves!$A$2;$E349}),1,0)</f>
        <v>#VALUE!</v>
      </c>
      <c r="AS349" s="436" t="str">
        <f t="array" ref="AS349">IF(V349=DGET(claves!$A$2:$AS423,V$2,{claves!$A$2;$E349}),1,0)</f>
        <v>#VALUE!</v>
      </c>
      <c r="AT349" s="436" t="str">
        <f t="array" ref="AT349">IF(W349=DGET(claves!$A$2:$AS423,W$2,{claves!$A$2;$E349}),1,0)</f>
        <v>#VALUE!</v>
      </c>
      <c r="AU349" s="436" t="str">
        <f t="array" ref="AU349">IF(X349=DGET(claves!$A$2:$AS423,X$2,{claves!$A$2;$E349}),1,0)</f>
        <v>#VALUE!</v>
      </c>
      <c r="AV349" s="436" t="str">
        <f t="array" ref="AV349">IF(Y349=DGET(claves!$A$2:$AS423,Y$2,{claves!$A$2;$E349}),1,0)</f>
        <v>#VALUE!</v>
      </c>
      <c r="AW349" s="436" t="str">
        <f t="array" ref="AW349">IF(Z349=DGET(claves!$A$2:$AS423,Z$2,{claves!$A$2;$E349}),1,0)</f>
        <v>#VALUE!</v>
      </c>
      <c r="AX349" s="436" t="str">
        <f t="array" ref="AX349">IF(AA349=DGET(claves!$A$2:$AS423,AA$2,{claves!$A$2;$E349}),1,0)</f>
        <v>#VALUE!</v>
      </c>
      <c r="AY349" s="436" t="str">
        <f t="array" ref="AY349">IF(AB349=DGET(claves!$A$2:$AS423,AB$2,{claves!$A$2;$E349}),1,0)</f>
        <v>#VALUE!</v>
      </c>
      <c r="AZ349" s="436" t="str">
        <f t="array" ref="AZ349">IF(AC349=DGET(claves!$A$2:$AS423,AC$2,{claves!$A$2;$E349}),1,0)</f>
        <v>#VALUE!</v>
      </c>
      <c r="BA349" s="436" t="str">
        <f t="array" ref="BA349">IF(AD349=DGET(claves!$A$2:$AS423,AD$2,{claves!$A$2;$E349}),1,0)</f>
        <v>#VALUE!</v>
      </c>
      <c r="BB349" s="436" t="str">
        <f t="array" ref="BB349">IF(AE349=DGET(claves!$A$2:$AS423,AE$2,{claves!$A$2;$E349}),1,0)</f>
        <v>#VALUE!</v>
      </c>
      <c r="BC349" s="436" t="str">
        <f t="array" ref="BC349">IF(AF349=DGET(claves!$A$2:$AS423,AF$2,{claves!$A$2;$E349}),1,0)</f>
        <v>#VALUE!</v>
      </c>
      <c r="BD349" s="437" t="str">
        <f t="shared" si="1"/>
        <v>#VALUE!</v>
      </c>
      <c r="BE349" s="435"/>
      <c r="BF349" s="415"/>
    </row>
    <row r="350" ht="14.25" customHeight="1">
      <c r="A350" s="408">
        <v>348.0</v>
      </c>
      <c r="B350" s="153" t="s">
        <v>102</v>
      </c>
      <c r="C350" s="153">
        <v>2024.0</v>
      </c>
      <c r="D350" s="77" t="s">
        <v>1817</v>
      </c>
      <c r="E350" s="409" t="str">
        <f>IFERROR(__xludf.DUMMYFUNCTION("ARRAYFORMULA(JOIN("""", ARRAYFORMULA(MID(SPLIT(F350, "" ""), 1, 1))))
&amp;""/""&amp;G350"),"CLQ/6 Primaria")</f>
        <v>CLQ/6 Primaria</v>
      </c>
      <c r="F350" s="77" t="s">
        <v>1827</v>
      </c>
      <c r="G350" s="432" t="s">
        <v>22</v>
      </c>
      <c r="H350" s="433" t="s">
        <v>1883</v>
      </c>
      <c r="I350" s="433" t="s">
        <v>1737</v>
      </c>
      <c r="J350" s="433" t="s">
        <v>2018</v>
      </c>
      <c r="K350" s="433" t="s">
        <v>1658</v>
      </c>
      <c r="L350" s="415"/>
      <c r="M350" s="434" t="s">
        <v>1659</v>
      </c>
      <c r="N350" s="434" t="s">
        <v>1661</v>
      </c>
      <c r="O350" s="434" t="s">
        <v>1689</v>
      </c>
      <c r="P350" s="434" t="s">
        <v>1659</v>
      </c>
      <c r="Q350" s="434" t="s">
        <v>1660</v>
      </c>
      <c r="R350" s="434" t="s">
        <v>1661</v>
      </c>
      <c r="S350" s="434" t="s">
        <v>1661</v>
      </c>
      <c r="T350" s="434" t="s">
        <v>1661</v>
      </c>
      <c r="U350" s="434" t="s">
        <v>1689</v>
      </c>
      <c r="V350" s="434" t="s">
        <v>1661</v>
      </c>
      <c r="W350" s="434" t="s">
        <v>1689</v>
      </c>
      <c r="X350" s="434" t="s">
        <v>1659</v>
      </c>
      <c r="Y350" s="434" t="s">
        <v>1660</v>
      </c>
      <c r="Z350" s="434" t="s">
        <v>1660</v>
      </c>
      <c r="AA350" s="434" t="s">
        <v>1660</v>
      </c>
      <c r="AB350" s="434" t="s">
        <v>1689</v>
      </c>
      <c r="AC350" s="434" t="s">
        <v>1689</v>
      </c>
      <c r="AD350" s="434" t="s">
        <v>1660</v>
      </c>
      <c r="AE350" s="434" t="s">
        <v>1661</v>
      </c>
      <c r="AF350" s="434" t="s">
        <v>1660</v>
      </c>
      <c r="AG350" s="427">
        <v>11.0</v>
      </c>
      <c r="AH350" s="435" t="s">
        <v>24</v>
      </c>
      <c r="AI350" s="415"/>
      <c r="AJ350" s="436" t="str">
        <f t="array" ref="AJ350">IF(M350=DGET(claves!$A$2:$AS423,M$2,{claves!$A$2;$E350}),1,0)</f>
        <v>#VALUE!</v>
      </c>
      <c r="AK350" s="436" t="str">
        <f t="array" ref="AK350">IF(N350=DGET(claves!$A$2:$AS423,N$2,{claves!$A$2;$E350}),1,0)</f>
        <v>#VALUE!</v>
      </c>
      <c r="AL350" s="436" t="str">
        <f t="array" ref="AL350">IF(O350=DGET(claves!$A$2:$AS423,O$2,{claves!$A$2;$E350}),1,0)</f>
        <v>#VALUE!</v>
      </c>
      <c r="AM350" s="436" t="str">
        <f t="array" ref="AM350">IF(P350=DGET(claves!$A$2:$AS423,P$2,{claves!$A$2;$E350}),1,0)</f>
        <v>#VALUE!</v>
      </c>
      <c r="AN350" s="436" t="str">
        <f t="array" ref="AN350">IF(Q350=DGET(claves!$A$2:$AS423,Q$2,{claves!$A$2;$E350}),1,0)</f>
        <v>#VALUE!</v>
      </c>
      <c r="AO350" s="436" t="str">
        <f t="array" ref="AO350">IF(R350=DGET(claves!$A$2:$AS423,R$2,{claves!$A$2;$E350}),1,0)</f>
        <v>#VALUE!</v>
      </c>
      <c r="AP350" s="436" t="str">
        <f t="array" ref="AP350">IF(S350=DGET(claves!$A$2:$AS423,S$2,{claves!$A$2;$E350}),1,0)</f>
        <v>#VALUE!</v>
      </c>
      <c r="AQ350" s="436" t="str">
        <f t="array" ref="AQ350">IF(T350=DGET(claves!$A$2:$AS423,T$2,{claves!$A$2;$E350}),1,0)</f>
        <v>#VALUE!</v>
      </c>
      <c r="AR350" s="436" t="str">
        <f t="array" ref="AR350">IF(U350=DGET(claves!$A$2:$AS423,U$2,{claves!$A$2;$E350}),1,0)</f>
        <v>#VALUE!</v>
      </c>
      <c r="AS350" s="436" t="str">
        <f t="array" ref="AS350">IF(V350=DGET(claves!$A$2:$AS423,V$2,{claves!$A$2;$E350}),1,0)</f>
        <v>#VALUE!</v>
      </c>
      <c r="AT350" s="436" t="str">
        <f t="array" ref="AT350">IF(W350=DGET(claves!$A$2:$AS423,W$2,{claves!$A$2;$E350}),1,0)</f>
        <v>#VALUE!</v>
      </c>
      <c r="AU350" s="436" t="str">
        <f t="array" ref="AU350">IF(X350=DGET(claves!$A$2:$AS423,X$2,{claves!$A$2;$E350}),1,0)</f>
        <v>#VALUE!</v>
      </c>
      <c r="AV350" s="436" t="str">
        <f t="array" ref="AV350">IF(Y350=DGET(claves!$A$2:$AS423,Y$2,{claves!$A$2;$E350}),1,0)</f>
        <v>#VALUE!</v>
      </c>
      <c r="AW350" s="436" t="str">
        <f t="array" ref="AW350">IF(Z350=DGET(claves!$A$2:$AS423,Z$2,{claves!$A$2;$E350}),1,0)</f>
        <v>#VALUE!</v>
      </c>
      <c r="AX350" s="436" t="str">
        <f t="array" ref="AX350">IF(AA350=DGET(claves!$A$2:$AS423,AA$2,{claves!$A$2;$E350}),1,0)</f>
        <v>#VALUE!</v>
      </c>
      <c r="AY350" s="436" t="str">
        <f t="array" ref="AY350">IF(AB350=DGET(claves!$A$2:$AS423,AB$2,{claves!$A$2;$E350}),1,0)</f>
        <v>#VALUE!</v>
      </c>
      <c r="AZ350" s="436" t="str">
        <f t="array" ref="AZ350">IF(AC350=DGET(claves!$A$2:$AS423,AC$2,{claves!$A$2;$E350}),1,0)</f>
        <v>#VALUE!</v>
      </c>
      <c r="BA350" s="436" t="str">
        <f t="array" ref="BA350">IF(AD350=DGET(claves!$A$2:$AS423,AD$2,{claves!$A$2;$E350}),1,0)</f>
        <v>#VALUE!</v>
      </c>
      <c r="BB350" s="436" t="str">
        <f t="array" ref="BB350">IF(AE350=DGET(claves!$A$2:$AS423,AE$2,{claves!$A$2;$E350}),1,0)</f>
        <v>#VALUE!</v>
      </c>
      <c r="BC350" s="436" t="str">
        <f t="array" ref="BC350">IF(AF350=DGET(claves!$A$2:$AS423,AF$2,{claves!$A$2;$E350}),1,0)</f>
        <v>#VALUE!</v>
      </c>
      <c r="BD350" s="437" t="str">
        <f t="shared" si="1"/>
        <v>#VALUE!</v>
      </c>
      <c r="BE350" s="435"/>
      <c r="BF350" s="415"/>
    </row>
    <row r="351" ht="14.25" customHeight="1">
      <c r="A351" s="408">
        <v>349.0</v>
      </c>
      <c r="B351" s="153" t="s">
        <v>102</v>
      </c>
      <c r="C351" s="153">
        <v>2024.0</v>
      </c>
      <c r="D351" s="77" t="s">
        <v>362</v>
      </c>
      <c r="E351" s="409" t="str">
        <f>IFERROR(__xludf.DUMMYFUNCTION("ARRAYFORMULA(JOIN("""", ARRAYFORMULA(MID(SPLIT(F351, "" ""), 1, 1))))
&amp;""/""&amp;G351"),"MQ/6 Primaria")</f>
        <v>MQ/6 Primaria</v>
      </c>
      <c r="F351" s="77" t="s">
        <v>1823</v>
      </c>
      <c r="G351" s="432" t="s">
        <v>22</v>
      </c>
      <c r="H351" s="433" t="s">
        <v>1708</v>
      </c>
      <c r="I351" s="433" t="s">
        <v>1746</v>
      </c>
      <c r="J351" s="433" t="s">
        <v>2019</v>
      </c>
      <c r="K351" s="432" t="s">
        <v>1665</v>
      </c>
      <c r="L351" s="415"/>
      <c r="M351" s="434" t="s">
        <v>1660</v>
      </c>
      <c r="N351" s="434" t="s">
        <v>1689</v>
      </c>
      <c r="O351" s="434" t="s">
        <v>1689</v>
      </c>
      <c r="P351" s="434" t="s">
        <v>1659</v>
      </c>
      <c r="Q351" s="434" t="s">
        <v>1660</v>
      </c>
      <c r="R351" s="434" t="s">
        <v>1689</v>
      </c>
      <c r="S351" s="434" t="s">
        <v>1659</v>
      </c>
      <c r="T351" s="434" t="s">
        <v>1659</v>
      </c>
      <c r="U351" s="434" t="s">
        <v>1659</v>
      </c>
      <c r="V351" s="434" t="s">
        <v>1661</v>
      </c>
      <c r="W351" s="434" t="s">
        <v>1661</v>
      </c>
      <c r="X351" s="434" t="s">
        <v>1661</v>
      </c>
      <c r="Y351" s="434" t="s">
        <v>1659</v>
      </c>
      <c r="Z351" s="434" t="s">
        <v>1661</v>
      </c>
      <c r="AA351" s="434" t="s">
        <v>1689</v>
      </c>
      <c r="AB351" s="434" t="s">
        <v>1689</v>
      </c>
      <c r="AC351" s="434" t="s">
        <v>1661</v>
      </c>
      <c r="AD351" s="434" t="s">
        <v>1661</v>
      </c>
      <c r="AE351" s="434" t="s">
        <v>1689</v>
      </c>
      <c r="AF351" s="434" t="s">
        <v>1660</v>
      </c>
      <c r="AG351" s="427">
        <v>9.0</v>
      </c>
      <c r="AH351" s="435" t="s">
        <v>18</v>
      </c>
      <c r="AI351" s="415"/>
      <c r="AJ351" s="436" t="str">
        <f t="array" ref="AJ351">IF(M351=DGET(claves!$A$2:$AS423,M$2,{claves!$A$2;$E351}),1,0)</f>
        <v>#VALUE!</v>
      </c>
      <c r="AK351" s="436" t="str">
        <f t="array" ref="AK351">IF(N351=DGET(claves!$A$2:$AS423,N$2,{claves!$A$2;$E351}),1,0)</f>
        <v>#VALUE!</v>
      </c>
      <c r="AL351" s="436" t="str">
        <f t="array" ref="AL351">IF(O351=DGET(claves!$A$2:$AS423,O$2,{claves!$A$2;$E351}),1,0)</f>
        <v>#VALUE!</v>
      </c>
      <c r="AM351" s="436" t="str">
        <f t="array" ref="AM351">IF(P351=DGET(claves!$A$2:$AS423,P$2,{claves!$A$2;$E351}),1,0)</f>
        <v>#VALUE!</v>
      </c>
      <c r="AN351" s="436" t="str">
        <f t="array" ref="AN351">IF(Q351=DGET(claves!$A$2:$AS423,Q$2,{claves!$A$2;$E351}),1,0)</f>
        <v>#VALUE!</v>
      </c>
      <c r="AO351" s="436" t="str">
        <f t="array" ref="AO351">IF(R351=DGET(claves!$A$2:$AS423,R$2,{claves!$A$2;$E351}),1,0)</f>
        <v>#VALUE!</v>
      </c>
      <c r="AP351" s="436" t="str">
        <f t="array" ref="AP351">IF(S351=DGET(claves!$A$2:$AS423,S$2,{claves!$A$2;$E351}),1,0)</f>
        <v>#VALUE!</v>
      </c>
      <c r="AQ351" s="436" t="str">
        <f t="array" ref="AQ351">IF(T351=DGET(claves!$A$2:$AS423,T$2,{claves!$A$2;$E351}),1,0)</f>
        <v>#VALUE!</v>
      </c>
      <c r="AR351" s="436" t="str">
        <f t="array" ref="AR351">IF(U351=DGET(claves!$A$2:$AS423,U$2,{claves!$A$2;$E351}),1,0)</f>
        <v>#VALUE!</v>
      </c>
      <c r="AS351" s="436" t="str">
        <f t="array" ref="AS351">IF(V351=DGET(claves!$A$2:$AS423,V$2,{claves!$A$2;$E351}),1,0)</f>
        <v>#VALUE!</v>
      </c>
      <c r="AT351" s="436" t="str">
        <f t="array" ref="AT351">IF(W351=DGET(claves!$A$2:$AS423,W$2,{claves!$A$2;$E351}),1,0)</f>
        <v>#VALUE!</v>
      </c>
      <c r="AU351" s="436" t="str">
        <f t="array" ref="AU351">IF(X351=DGET(claves!$A$2:$AS423,X$2,{claves!$A$2;$E351}),1,0)</f>
        <v>#VALUE!</v>
      </c>
      <c r="AV351" s="436" t="str">
        <f t="array" ref="AV351">IF(Y351=DGET(claves!$A$2:$AS423,Y$2,{claves!$A$2;$E351}),1,0)</f>
        <v>#VALUE!</v>
      </c>
      <c r="AW351" s="436" t="str">
        <f t="array" ref="AW351">IF(Z351=DGET(claves!$A$2:$AS423,Z$2,{claves!$A$2;$E351}),1,0)</f>
        <v>#VALUE!</v>
      </c>
      <c r="AX351" s="436" t="str">
        <f t="array" ref="AX351">IF(AA351=DGET(claves!$A$2:$AS423,AA$2,{claves!$A$2;$E351}),1,0)</f>
        <v>#VALUE!</v>
      </c>
      <c r="AY351" s="436" t="str">
        <f t="array" ref="AY351">IF(AB351=DGET(claves!$A$2:$AS423,AB$2,{claves!$A$2;$E351}),1,0)</f>
        <v>#VALUE!</v>
      </c>
      <c r="AZ351" s="436" t="str">
        <f t="array" ref="AZ351">IF(AC351=DGET(claves!$A$2:$AS423,AC$2,{claves!$A$2;$E351}),1,0)</f>
        <v>#VALUE!</v>
      </c>
      <c r="BA351" s="436" t="str">
        <f t="array" ref="BA351">IF(AD351=DGET(claves!$A$2:$AS423,AD$2,{claves!$A$2;$E351}),1,0)</f>
        <v>#VALUE!</v>
      </c>
      <c r="BB351" s="436" t="str">
        <f t="array" ref="BB351">IF(AE351=DGET(claves!$A$2:$AS423,AE$2,{claves!$A$2;$E351}),1,0)</f>
        <v>#VALUE!</v>
      </c>
      <c r="BC351" s="436" t="str">
        <f t="array" ref="BC351">IF(AF351=DGET(claves!$A$2:$AS423,AF$2,{claves!$A$2;$E351}),1,0)</f>
        <v>#VALUE!</v>
      </c>
      <c r="BD351" s="437" t="str">
        <f t="shared" si="1"/>
        <v>#VALUE!</v>
      </c>
      <c r="BE351" s="435"/>
      <c r="BF351" s="415"/>
    </row>
    <row r="352" ht="14.25" customHeight="1">
      <c r="A352" s="408">
        <v>350.0</v>
      </c>
      <c r="B352" s="153" t="s">
        <v>102</v>
      </c>
      <c r="C352" s="153">
        <v>2024.0</v>
      </c>
      <c r="D352" s="77" t="s">
        <v>1817</v>
      </c>
      <c r="E352" s="409" t="str">
        <f>IFERROR(__xludf.DUMMYFUNCTION("ARRAYFORMULA(JOIN("""", ARRAYFORMULA(MID(SPLIT(F352, "" ""), 1, 1))))
&amp;""/""&amp;G352"),"CLQ/6 Primaria")</f>
        <v>CLQ/6 Primaria</v>
      </c>
      <c r="F352" s="77" t="s">
        <v>1827</v>
      </c>
      <c r="G352" s="432" t="s">
        <v>22</v>
      </c>
      <c r="H352" s="433" t="s">
        <v>1708</v>
      </c>
      <c r="I352" s="433" t="s">
        <v>1746</v>
      </c>
      <c r="J352" s="433" t="s">
        <v>2019</v>
      </c>
      <c r="K352" s="432" t="s">
        <v>1665</v>
      </c>
      <c r="L352" s="415"/>
      <c r="M352" s="434" t="s">
        <v>1659</v>
      </c>
      <c r="N352" s="434" t="s">
        <v>1661</v>
      </c>
      <c r="O352" s="434" t="s">
        <v>1660</v>
      </c>
      <c r="P352" s="434" t="s">
        <v>1689</v>
      </c>
      <c r="Q352" s="434" t="s">
        <v>1689</v>
      </c>
      <c r="R352" s="434" t="s">
        <v>1659</v>
      </c>
      <c r="S352" s="434" t="s">
        <v>1660</v>
      </c>
      <c r="T352" s="434" t="s">
        <v>1661</v>
      </c>
      <c r="U352" s="434" t="s">
        <v>1661</v>
      </c>
      <c r="V352" s="434" t="s">
        <v>1661</v>
      </c>
      <c r="W352" s="434" t="s">
        <v>1660</v>
      </c>
      <c r="X352" s="434" t="s">
        <v>1659</v>
      </c>
      <c r="Y352" s="434" t="s">
        <v>1659</v>
      </c>
      <c r="Z352" s="434" t="s">
        <v>1660</v>
      </c>
      <c r="AA352" s="434" t="s">
        <v>1661</v>
      </c>
      <c r="AB352" s="434" t="s">
        <v>1689</v>
      </c>
      <c r="AC352" s="434" t="s">
        <v>1661</v>
      </c>
      <c r="AD352" s="434" t="s">
        <v>1660</v>
      </c>
      <c r="AE352" s="434" t="s">
        <v>1661</v>
      </c>
      <c r="AF352" s="434" t="s">
        <v>1689</v>
      </c>
      <c r="AG352" s="427">
        <v>7.0</v>
      </c>
      <c r="AH352" s="435" t="s">
        <v>18</v>
      </c>
      <c r="AI352" s="415"/>
      <c r="AJ352" s="436" t="str">
        <f t="array" ref="AJ352">IF(M352=DGET(claves!$A$2:$AS423,M$2,{claves!$A$2;$E352}),1,0)</f>
        <v>#VALUE!</v>
      </c>
      <c r="AK352" s="436" t="str">
        <f t="array" ref="AK352">IF(N352=DGET(claves!$A$2:$AS423,N$2,{claves!$A$2;$E352}),1,0)</f>
        <v>#VALUE!</v>
      </c>
      <c r="AL352" s="436" t="str">
        <f t="array" ref="AL352">IF(O352=DGET(claves!$A$2:$AS423,O$2,{claves!$A$2;$E352}),1,0)</f>
        <v>#VALUE!</v>
      </c>
      <c r="AM352" s="436" t="str">
        <f t="array" ref="AM352">IF(P352=DGET(claves!$A$2:$AS423,P$2,{claves!$A$2;$E352}),1,0)</f>
        <v>#VALUE!</v>
      </c>
      <c r="AN352" s="436" t="str">
        <f t="array" ref="AN352">IF(Q352=DGET(claves!$A$2:$AS423,Q$2,{claves!$A$2;$E352}),1,0)</f>
        <v>#VALUE!</v>
      </c>
      <c r="AO352" s="436" t="str">
        <f t="array" ref="AO352">IF(R352=DGET(claves!$A$2:$AS423,R$2,{claves!$A$2;$E352}),1,0)</f>
        <v>#VALUE!</v>
      </c>
      <c r="AP352" s="436" t="str">
        <f t="array" ref="AP352">IF(S352=DGET(claves!$A$2:$AS423,S$2,{claves!$A$2;$E352}),1,0)</f>
        <v>#VALUE!</v>
      </c>
      <c r="AQ352" s="436" t="str">
        <f t="array" ref="AQ352">IF(T352=DGET(claves!$A$2:$AS423,T$2,{claves!$A$2;$E352}),1,0)</f>
        <v>#VALUE!</v>
      </c>
      <c r="AR352" s="436" t="str">
        <f t="array" ref="AR352">IF(U352=DGET(claves!$A$2:$AS423,U$2,{claves!$A$2;$E352}),1,0)</f>
        <v>#VALUE!</v>
      </c>
      <c r="AS352" s="436" t="str">
        <f t="array" ref="AS352">IF(V352=DGET(claves!$A$2:$AS423,V$2,{claves!$A$2;$E352}),1,0)</f>
        <v>#VALUE!</v>
      </c>
      <c r="AT352" s="436" t="str">
        <f t="array" ref="AT352">IF(W352=DGET(claves!$A$2:$AS423,W$2,{claves!$A$2;$E352}),1,0)</f>
        <v>#VALUE!</v>
      </c>
      <c r="AU352" s="436" t="str">
        <f t="array" ref="AU352">IF(X352=DGET(claves!$A$2:$AS423,X$2,{claves!$A$2;$E352}),1,0)</f>
        <v>#VALUE!</v>
      </c>
      <c r="AV352" s="436" t="str">
        <f t="array" ref="AV352">IF(Y352=DGET(claves!$A$2:$AS423,Y$2,{claves!$A$2;$E352}),1,0)</f>
        <v>#VALUE!</v>
      </c>
      <c r="AW352" s="436" t="str">
        <f t="array" ref="AW352">IF(Z352=DGET(claves!$A$2:$AS423,Z$2,{claves!$A$2;$E352}),1,0)</f>
        <v>#VALUE!</v>
      </c>
      <c r="AX352" s="436" t="str">
        <f t="array" ref="AX352">IF(AA352=DGET(claves!$A$2:$AS423,AA$2,{claves!$A$2;$E352}),1,0)</f>
        <v>#VALUE!</v>
      </c>
      <c r="AY352" s="436" t="str">
        <f t="array" ref="AY352">IF(AB352=DGET(claves!$A$2:$AS423,AB$2,{claves!$A$2;$E352}),1,0)</f>
        <v>#VALUE!</v>
      </c>
      <c r="AZ352" s="436" t="str">
        <f t="array" ref="AZ352">IF(AC352=DGET(claves!$A$2:$AS423,AC$2,{claves!$A$2;$E352}),1,0)</f>
        <v>#VALUE!</v>
      </c>
      <c r="BA352" s="436" t="str">
        <f t="array" ref="BA352">IF(AD352=DGET(claves!$A$2:$AS423,AD$2,{claves!$A$2;$E352}),1,0)</f>
        <v>#VALUE!</v>
      </c>
      <c r="BB352" s="436" t="str">
        <f t="array" ref="BB352">IF(AE352=DGET(claves!$A$2:$AS423,AE$2,{claves!$A$2;$E352}),1,0)</f>
        <v>#VALUE!</v>
      </c>
      <c r="BC352" s="436" t="str">
        <f t="array" ref="BC352">IF(AF352=DGET(claves!$A$2:$AS423,AF$2,{claves!$A$2;$E352}),1,0)</f>
        <v>#VALUE!</v>
      </c>
      <c r="BD352" s="437" t="str">
        <f t="shared" si="1"/>
        <v>#VALUE!</v>
      </c>
      <c r="BE352" s="435"/>
      <c r="BF352" s="415"/>
    </row>
    <row r="353" ht="14.25" customHeight="1">
      <c r="A353" s="408">
        <v>351.0</v>
      </c>
      <c r="B353" s="153" t="s">
        <v>102</v>
      </c>
      <c r="C353" s="153">
        <v>2024.0</v>
      </c>
      <c r="D353" s="77" t="s">
        <v>362</v>
      </c>
      <c r="E353" s="409" t="str">
        <f>IFERROR(__xludf.DUMMYFUNCTION("ARRAYFORMULA(JOIN("""", ARRAYFORMULA(MID(SPLIT(F353, "" ""), 1, 1))))
&amp;""/""&amp;G353"),"MQ/6 Primaria")</f>
        <v>MQ/6 Primaria</v>
      </c>
      <c r="F353" s="77" t="s">
        <v>1823</v>
      </c>
      <c r="G353" s="432" t="s">
        <v>22</v>
      </c>
      <c r="H353" s="433" t="s">
        <v>1667</v>
      </c>
      <c r="I353" s="433" t="s">
        <v>2020</v>
      </c>
      <c r="J353" s="433" t="s">
        <v>2021</v>
      </c>
      <c r="K353" s="433" t="s">
        <v>1658</v>
      </c>
      <c r="L353" s="415"/>
      <c r="M353" s="434"/>
      <c r="N353" s="434" t="s">
        <v>1689</v>
      </c>
      <c r="O353" s="434" t="s">
        <v>1661</v>
      </c>
      <c r="P353" s="434" t="s">
        <v>1659</v>
      </c>
      <c r="Q353" s="434" t="s">
        <v>1689</v>
      </c>
      <c r="R353" s="434" t="s">
        <v>1660</v>
      </c>
      <c r="S353" s="434" t="s">
        <v>1659</v>
      </c>
      <c r="T353" s="434" t="s">
        <v>1659</v>
      </c>
      <c r="U353" s="434" t="s">
        <v>1661</v>
      </c>
      <c r="V353" s="434"/>
      <c r="W353" s="434" t="s">
        <v>1661</v>
      </c>
      <c r="X353" s="434" t="s">
        <v>1661</v>
      </c>
      <c r="Y353" s="434" t="s">
        <v>1659</v>
      </c>
      <c r="Z353" s="434" t="s">
        <v>1661</v>
      </c>
      <c r="AA353" s="434" t="s">
        <v>1659</v>
      </c>
      <c r="AB353" s="434" t="s">
        <v>1689</v>
      </c>
      <c r="AC353" s="434" t="s">
        <v>1661</v>
      </c>
      <c r="AD353" s="434" t="s">
        <v>1661</v>
      </c>
      <c r="AE353" s="434" t="s">
        <v>1689</v>
      </c>
      <c r="AF353" s="434" t="s">
        <v>1660</v>
      </c>
      <c r="AG353" s="427">
        <v>9.0</v>
      </c>
      <c r="AH353" s="435" t="s">
        <v>18</v>
      </c>
      <c r="AI353" s="415"/>
      <c r="AJ353" s="436" t="str">
        <f t="array" ref="AJ353">IF(M353=DGET(claves!$A$2:$AS423,M$2,{claves!$A$2;$E353}),1,0)</f>
        <v>#VALUE!</v>
      </c>
      <c r="AK353" s="436" t="str">
        <f t="array" ref="AK353">IF(N353=DGET(claves!$A$2:$AS423,N$2,{claves!$A$2;$E353}),1,0)</f>
        <v>#VALUE!</v>
      </c>
      <c r="AL353" s="436" t="str">
        <f t="array" ref="AL353">IF(O353=DGET(claves!$A$2:$AS423,O$2,{claves!$A$2;$E353}),1,0)</f>
        <v>#VALUE!</v>
      </c>
      <c r="AM353" s="436" t="str">
        <f t="array" ref="AM353">IF(P353=DGET(claves!$A$2:$AS423,P$2,{claves!$A$2;$E353}),1,0)</f>
        <v>#VALUE!</v>
      </c>
      <c r="AN353" s="436" t="str">
        <f t="array" ref="AN353">IF(Q353=DGET(claves!$A$2:$AS423,Q$2,{claves!$A$2;$E353}),1,0)</f>
        <v>#VALUE!</v>
      </c>
      <c r="AO353" s="436" t="str">
        <f t="array" ref="AO353">IF(R353=DGET(claves!$A$2:$AS423,R$2,{claves!$A$2;$E353}),1,0)</f>
        <v>#VALUE!</v>
      </c>
      <c r="AP353" s="436" t="str">
        <f t="array" ref="AP353">IF(S353=DGET(claves!$A$2:$AS423,S$2,{claves!$A$2;$E353}),1,0)</f>
        <v>#VALUE!</v>
      </c>
      <c r="AQ353" s="436" t="str">
        <f t="array" ref="AQ353">IF(T353=DGET(claves!$A$2:$AS423,T$2,{claves!$A$2;$E353}),1,0)</f>
        <v>#VALUE!</v>
      </c>
      <c r="AR353" s="436" t="str">
        <f t="array" ref="AR353">IF(U353=DGET(claves!$A$2:$AS423,U$2,{claves!$A$2;$E353}),1,0)</f>
        <v>#VALUE!</v>
      </c>
      <c r="AS353" s="436" t="str">
        <f t="array" ref="AS353">IF(V353=DGET(claves!$A$2:$AS423,V$2,{claves!$A$2;$E353}),1,0)</f>
        <v>#VALUE!</v>
      </c>
      <c r="AT353" s="436" t="str">
        <f t="array" ref="AT353">IF(W353=DGET(claves!$A$2:$AS423,W$2,{claves!$A$2;$E353}),1,0)</f>
        <v>#VALUE!</v>
      </c>
      <c r="AU353" s="436" t="str">
        <f t="array" ref="AU353">IF(X353=DGET(claves!$A$2:$AS423,X$2,{claves!$A$2;$E353}),1,0)</f>
        <v>#VALUE!</v>
      </c>
      <c r="AV353" s="436" t="str">
        <f t="array" ref="AV353">IF(Y353=DGET(claves!$A$2:$AS423,Y$2,{claves!$A$2;$E353}),1,0)</f>
        <v>#VALUE!</v>
      </c>
      <c r="AW353" s="436" t="str">
        <f t="array" ref="AW353">IF(Z353=DGET(claves!$A$2:$AS423,Z$2,{claves!$A$2;$E353}),1,0)</f>
        <v>#VALUE!</v>
      </c>
      <c r="AX353" s="436" t="str">
        <f t="array" ref="AX353">IF(AA353=DGET(claves!$A$2:$AS423,AA$2,{claves!$A$2;$E353}),1,0)</f>
        <v>#VALUE!</v>
      </c>
      <c r="AY353" s="436" t="str">
        <f t="array" ref="AY353">IF(AB353=DGET(claves!$A$2:$AS423,AB$2,{claves!$A$2;$E353}),1,0)</f>
        <v>#VALUE!</v>
      </c>
      <c r="AZ353" s="436" t="str">
        <f t="array" ref="AZ353">IF(AC353=DGET(claves!$A$2:$AS423,AC$2,{claves!$A$2;$E353}),1,0)</f>
        <v>#VALUE!</v>
      </c>
      <c r="BA353" s="436" t="str">
        <f t="array" ref="BA353">IF(AD353=DGET(claves!$A$2:$AS423,AD$2,{claves!$A$2;$E353}),1,0)</f>
        <v>#VALUE!</v>
      </c>
      <c r="BB353" s="436" t="str">
        <f t="array" ref="BB353">IF(AE353=DGET(claves!$A$2:$AS423,AE$2,{claves!$A$2;$E353}),1,0)</f>
        <v>#VALUE!</v>
      </c>
      <c r="BC353" s="436" t="str">
        <f t="array" ref="BC353">IF(AF353=DGET(claves!$A$2:$AS423,AF$2,{claves!$A$2;$E353}),1,0)</f>
        <v>#VALUE!</v>
      </c>
      <c r="BD353" s="437" t="str">
        <f t="shared" si="1"/>
        <v>#VALUE!</v>
      </c>
      <c r="BE353" s="435"/>
      <c r="BF353" s="415"/>
    </row>
    <row r="354" ht="14.25" customHeight="1">
      <c r="A354" s="408">
        <v>352.0</v>
      </c>
      <c r="B354" s="153" t="s">
        <v>102</v>
      </c>
      <c r="C354" s="153">
        <v>2024.0</v>
      </c>
      <c r="D354" s="77" t="s">
        <v>1817</v>
      </c>
      <c r="E354" s="409" t="str">
        <f>IFERROR(__xludf.DUMMYFUNCTION("ARRAYFORMULA(JOIN("""", ARRAYFORMULA(MID(SPLIT(F354, "" ""), 1, 1))))
&amp;""/""&amp;G354"),"CLQ/6 Primaria")</f>
        <v>CLQ/6 Primaria</v>
      </c>
      <c r="F354" s="77" t="s">
        <v>1827</v>
      </c>
      <c r="G354" s="432" t="s">
        <v>22</v>
      </c>
      <c r="H354" s="433" t="s">
        <v>1667</v>
      </c>
      <c r="I354" s="433" t="s">
        <v>2020</v>
      </c>
      <c r="J354" s="433" t="s">
        <v>2021</v>
      </c>
      <c r="K354" s="433" t="s">
        <v>1658</v>
      </c>
      <c r="L354" s="415"/>
      <c r="M354" s="434" t="s">
        <v>1661</v>
      </c>
      <c r="N354" s="434" t="s">
        <v>1661</v>
      </c>
      <c r="O354" s="434" t="s">
        <v>1661</v>
      </c>
      <c r="P354" s="434" t="s">
        <v>1659</v>
      </c>
      <c r="Q354" s="434" t="s">
        <v>1689</v>
      </c>
      <c r="R354" s="434" t="s">
        <v>1689</v>
      </c>
      <c r="S354" s="434" t="s">
        <v>1659</v>
      </c>
      <c r="T354" s="434" t="s">
        <v>1660</v>
      </c>
      <c r="U354" s="434" t="s">
        <v>1660</v>
      </c>
      <c r="V354" s="434" t="s">
        <v>1661</v>
      </c>
      <c r="W354" s="434" t="s">
        <v>1660</v>
      </c>
      <c r="X354" s="434" t="s">
        <v>1659</v>
      </c>
      <c r="Y354" s="434" t="s">
        <v>1689</v>
      </c>
      <c r="Z354" s="434" t="s">
        <v>1661</v>
      </c>
      <c r="AA354" s="434" t="s">
        <v>1659</v>
      </c>
      <c r="AB354" s="434" t="s">
        <v>1660</v>
      </c>
      <c r="AC354" s="434" t="s">
        <v>1689</v>
      </c>
      <c r="AD354" s="434" t="s">
        <v>1689</v>
      </c>
      <c r="AE354" s="434" t="s">
        <v>1661</v>
      </c>
      <c r="AF354" s="434" t="s">
        <v>1661</v>
      </c>
      <c r="AG354" s="427">
        <v>8.0</v>
      </c>
      <c r="AH354" s="435" t="s">
        <v>18</v>
      </c>
      <c r="AI354" s="415"/>
      <c r="AJ354" s="436" t="str">
        <f t="array" ref="AJ354">IF(M354=DGET(claves!$A$2:$AS423,M$2,{claves!$A$2;$E354}),1,0)</f>
        <v>#VALUE!</v>
      </c>
      <c r="AK354" s="436" t="str">
        <f t="array" ref="AK354">IF(N354=DGET(claves!$A$2:$AS423,N$2,{claves!$A$2;$E354}),1,0)</f>
        <v>#VALUE!</v>
      </c>
      <c r="AL354" s="436" t="str">
        <f t="array" ref="AL354">IF(O354=DGET(claves!$A$2:$AS423,O$2,{claves!$A$2;$E354}),1,0)</f>
        <v>#VALUE!</v>
      </c>
      <c r="AM354" s="436" t="str">
        <f t="array" ref="AM354">IF(P354=DGET(claves!$A$2:$AS423,P$2,{claves!$A$2;$E354}),1,0)</f>
        <v>#VALUE!</v>
      </c>
      <c r="AN354" s="436" t="str">
        <f t="array" ref="AN354">IF(Q354=DGET(claves!$A$2:$AS423,Q$2,{claves!$A$2;$E354}),1,0)</f>
        <v>#VALUE!</v>
      </c>
      <c r="AO354" s="436" t="str">
        <f t="array" ref="AO354">IF(R354=DGET(claves!$A$2:$AS423,R$2,{claves!$A$2;$E354}),1,0)</f>
        <v>#VALUE!</v>
      </c>
      <c r="AP354" s="436" t="str">
        <f t="array" ref="AP354">IF(S354=DGET(claves!$A$2:$AS423,S$2,{claves!$A$2;$E354}),1,0)</f>
        <v>#VALUE!</v>
      </c>
      <c r="AQ354" s="436" t="str">
        <f t="array" ref="AQ354">IF(T354=DGET(claves!$A$2:$AS423,T$2,{claves!$A$2;$E354}),1,0)</f>
        <v>#VALUE!</v>
      </c>
      <c r="AR354" s="436" t="str">
        <f t="array" ref="AR354">IF(U354=DGET(claves!$A$2:$AS423,U$2,{claves!$A$2;$E354}),1,0)</f>
        <v>#VALUE!</v>
      </c>
      <c r="AS354" s="436" t="str">
        <f t="array" ref="AS354">IF(V354=DGET(claves!$A$2:$AS423,V$2,{claves!$A$2;$E354}),1,0)</f>
        <v>#VALUE!</v>
      </c>
      <c r="AT354" s="436" t="str">
        <f t="array" ref="AT354">IF(W354=DGET(claves!$A$2:$AS423,W$2,{claves!$A$2;$E354}),1,0)</f>
        <v>#VALUE!</v>
      </c>
      <c r="AU354" s="436" t="str">
        <f t="array" ref="AU354">IF(X354=DGET(claves!$A$2:$AS423,X$2,{claves!$A$2;$E354}),1,0)</f>
        <v>#VALUE!</v>
      </c>
      <c r="AV354" s="436" t="str">
        <f t="array" ref="AV354">IF(Y354=DGET(claves!$A$2:$AS423,Y$2,{claves!$A$2;$E354}),1,0)</f>
        <v>#VALUE!</v>
      </c>
      <c r="AW354" s="436" t="str">
        <f t="array" ref="AW354">IF(Z354=DGET(claves!$A$2:$AS423,Z$2,{claves!$A$2;$E354}),1,0)</f>
        <v>#VALUE!</v>
      </c>
      <c r="AX354" s="436" t="str">
        <f t="array" ref="AX354">IF(AA354=DGET(claves!$A$2:$AS423,AA$2,{claves!$A$2;$E354}),1,0)</f>
        <v>#VALUE!</v>
      </c>
      <c r="AY354" s="436" t="str">
        <f t="array" ref="AY354">IF(AB354=DGET(claves!$A$2:$AS423,AB$2,{claves!$A$2;$E354}),1,0)</f>
        <v>#VALUE!</v>
      </c>
      <c r="AZ354" s="436" t="str">
        <f t="array" ref="AZ354">IF(AC354=DGET(claves!$A$2:$AS423,AC$2,{claves!$A$2;$E354}),1,0)</f>
        <v>#VALUE!</v>
      </c>
      <c r="BA354" s="436" t="str">
        <f t="array" ref="BA354">IF(AD354=DGET(claves!$A$2:$AS423,AD$2,{claves!$A$2;$E354}),1,0)</f>
        <v>#VALUE!</v>
      </c>
      <c r="BB354" s="436" t="str">
        <f t="array" ref="BB354">IF(AE354=DGET(claves!$A$2:$AS423,AE$2,{claves!$A$2;$E354}),1,0)</f>
        <v>#VALUE!</v>
      </c>
      <c r="BC354" s="436" t="str">
        <f t="array" ref="BC354">IF(AF354=DGET(claves!$A$2:$AS423,AF$2,{claves!$A$2;$E354}),1,0)</f>
        <v>#VALUE!</v>
      </c>
      <c r="BD354" s="437" t="str">
        <f t="shared" si="1"/>
        <v>#VALUE!</v>
      </c>
      <c r="BE354" s="435"/>
      <c r="BF354" s="415"/>
    </row>
    <row r="355" ht="14.25" customHeight="1">
      <c r="A355" s="408">
        <v>353.0</v>
      </c>
      <c r="B355" s="153" t="s">
        <v>102</v>
      </c>
      <c r="C355" s="153">
        <v>2024.0</v>
      </c>
      <c r="D355" s="77" t="s">
        <v>362</v>
      </c>
      <c r="E355" s="409" t="str">
        <f>IFERROR(__xludf.DUMMYFUNCTION("ARRAYFORMULA(JOIN("""", ARRAYFORMULA(MID(SPLIT(F355, "" ""), 1, 1))))
&amp;""/""&amp;G355"),"MQ/6 Primaria")</f>
        <v>MQ/6 Primaria</v>
      </c>
      <c r="F355" s="77" t="s">
        <v>1823</v>
      </c>
      <c r="G355" s="432" t="s">
        <v>22</v>
      </c>
      <c r="H355" s="433" t="s">
        <v>2022</v>
      </c>
      <c r="I355" s="433" t="s">
        <v>1935</v>
      </c>
      <c r="J355" s="433" t="s">
        <v>2023</v>
      </c>
      <c r="K355" s="432" t="s">
        <v>1665</v>
      </c>
      <c r="L355" s="415"/>
      <c r="M355" s="434" t="s">
        <v>1659</v>
      </c>
      <c r="N355" s="434" t="s">
        <v>1689</v>
      </c>
      <c r="O355" s="434" t="s">
        <v>1661</v>
      </c>
      <c r="P355" s="434" t="s">
        <v>1661</v>
      </c>
      <c r="Q355" s="434" t="s">
        <v>1660</v>
      </c>
      <c r="R355" s="434" t="s">
        <v>1689</v>
      </c>
      <c r="S355" s="434" t="s">
        <v>1660</v>
      </c>
      <c r="T355" s="434" t="s">
        <v>1659</v>
      </c>
      <c r="U355" s="434" t="s">
        <v>1660</v>
      </c>
      <c r="V355" s="434" t="s">
        <v>1689</v>
      </c>
      <c r="W355" s="434" t="s">
        <v>1689</v>
      </c>
      <c r="X355" s="434" t="s">
        <v>1689</v>
      </c>
      <c r="Y355" s="434" t="s">
        <v>1689</v>
      </c>
      <c r="Z355" s="434" t="s">
        <v>1689</v>
      </c>
      <c r="AA355" s="434" t="s">
        <v>1660</v>
      </c>
      <c r="AB355" s="434" t="s">
        <v>1689</v>
      </c>
      <c r="AC355" s="434" t="s">
        <v>1659</v>
      </c>
      <c r="AD355" s="434" t="s">
        <v>1661</v>
      </c>
      <c r="AE355" s="434" t="s">
        <v>1659</v>
      </c>
      <c r="AF355" s="434" t="s">
        <v>1661</v>
      </c>
      <c r="AG355" s="427">
        <v>7.0</v>
      </c>
      <c r="AH355" s="435" t="s">
        <v>18</v>
      </c>
      <c r="AI355" s="415"/>
      <c r="AJ355" s="436" t="str">
        <f t="array" ref="AJ355">IF(M355=DGET(claves!$A$2:$AS423,M$2,{claves!$A$2;$E355}),1,0)</f>
        <v>#VALUE!</v>
      </c>
      <c r="AK355" s="436" t="str">
        <f t="array" ref="AK355">IF(N355=DGET(claves!$A$2:$AS423,N$2,{claves!$A$2;$E355}),1,0)</f>
        <v>#VALUE!</v>
      </c>
      <c r="AL355" s="436" t="str">
        <f t="array" ref="AL355">IF(O355=DGET(claves!$A$2:$AS423,O$2,{claves!$A$2;$E355}),1,0)</f>
        <v>#VALUE!</v>
      </c>
      <c r="AM355" s="436" t="str">
        <f t="array" ref="AM355">IF(P355=DGET(claves!$A$2:$AS423,P$2,{claves!$A$2;$E355}),1,0)</f>
        <v>#VALUE!</v>
      </c>
      <c r="AN355" s="436" t="str">
        <f t="array" ref="AN355">IF(Q355=DGET(claves!$A$2:$AS423,Q$2,{claves!$A$2;$E355}),1,0)</f>
        <v>#VALUE!</v>
      </c>
      <c r="AO355" s="436" t="str">
        <f t="array" ref="AO355">IF(R355=DGET(claves!$A$2:$AS423,R$2,{claves!$A$2;$E355}),1,0)</f>
        <v>#VALUE!</v>
      </c>
      <c r="AP355" s="436" t="str">
        <f t="array" ref="AP355">IF(S355=DGET(claves!$A$2:$AS423,S$2,{claves!$A$2;$E355}),1,0)</f>
        <v>#VALUE!</v>
      </c>
      <c r="AQ355" s="436" t="str">
        <f t="array" ref="AQ355">IF(T355=DGET(claves!$A$2:$AS423,T$2,{claves!$A$2;$E355}),1,0)</f>
        <v>#VALUE!</v>
      </c>
      <c r="AR355" s="436" t="str">
        <f t="array" ref="AR355">IF(U355=DGET(claves!$A$2:$AS423,U$2,{claves!$A$2;$E355}),1,0)</f>
        <v>#VALUE!</v>
      </c>
      <c r="AS355" s="436" t="str">
        <f t="array" ref="AS355">IF(V355=DGET(claves!$A$2:$AS423,V$2,{claves!$A$2;$E355}),1,0)</f>
        <v>#VALUE!</v>
      </c>
      <c r="AT355" s="436" t="str">
        <f t="array" ref="AT355">IF(W355=DGET(claves!$A$2:$AS423,W$2,{claves!$A$2;$E355}),1,0)</f>
        <v>#VALUE!</v>
      </c>
      <c r="AU355" s="436" t="str">
        <f t="array" ref="AU355">IF(X355=DGET(claves!$A$2:$AS423,X$2,{claves!$A$2;$E355}),1,0)</f>
        <v>#VALUE!</v>
      </c>
      <c r="AV355" s="436" t="str">
        <f t="array" ref="AV355">IF(Y355=DGET(claves!$A$2:$AS423,Y$2,{claves!$A$2;$E355}),1,0)</f>
        <v>#VALUE!</v>
      </c>
      <c r="AW355" s="436" t="str">
        <f t="array" ref="AW355">IF(Z355=DGET(claves!$A$2:$AS423,Z$2,{claves!$A$2;$E355}),1,0)</f>
        <v>#VALUE!</v>
      </c>
      <c r="AX355" s="436" t="str">
        <f t="array" ref="AX355">IF(AA355=DGET(claves!$A$2:$AS423,AA$2,{claves!$A$2;$E355}),1,0)</f>
        <v>#VALUE!</v>
      </c>
      <c r="AY355" s="436" t="str">
        <f t="array" ref="AY355">IF(AB355=DGET(claves!$A$2:$AS423,AB$2,{claves!$A$2;$E355}),1,0)</f>
        <v>#VALUE!</v>
      </c>
      <c r="AZ355" s="436" t="str">
        <f t="array" ref="AZ355">IF(AC355=DGET(claves!$A$2:$AS423,AC$2,{claves!$A$2;$E355}),1,0)</f>
        <v>#VALUE!</v>
      </c>
      <c r="BA355" s="436" t="str">
        <f t="array" ref="BA355">IF(AD355=DGET(claves!$A$2:$AS423,AD$2,{claves!$A$2;$E355}),1,0)</f>
        <v>#VALUE!</v>
      </c>
      <c r="BB355" s="436" t="str">
        <f t="array" ref="BB355">IF(AE355=DGET(claves!$A$2:$AS423,AE$2,{claves!$A$2;$E355}),1,0)</f>
        <v>#VALUE!</v>
      </c>
      <c r="BC355" s="436" t="str">
        <f t="array" ref="BC355">IF(AF355=DGET(claves!$A$2:$AS423,AF$2,{claves!$A$2;$E355}),1,0)</f>
        <v>#VALUE!</v>
      </c>
      <c r="BD355" s="437" t="str">
        <f t="shared" si="1"/>
        <v>#VALUE!</v>
      </c>
      <c r="BE355" s="435"/>
      <c r="BF355" s="415"/>
    </row>
    <row r="356" ht="14.25" customHeight="1">
      <c r="A356" s="408">
        <v>354.0</v>
      </c>
      <c r="B356" s="153" t="s">
        <v>102</v>
      </c>
      <c r="C356" s="153">
        <v>2024.0</v>
      </c>
      <c r="D356" s="77" t="s">
        <v>1817</v>
      </c>
      <c r="E356" s="409" t="str">
        <f>IFERROR(__xludf.DUMMYFUNCTION("ARRAYFORMULA(JOIN("""", ARRAYFORMULA(MID(SPLIT(F356, "" ""), 1, 1))))
&amp;""/""&amp;G356"),"CLQ/6 Primaria")</f>
        <v>CLQ/6 Primaria</v>
      </c>
      <c r="F356" s="77" t="s">
        <v>1827</v>
      </c>
      <c r="G356" s="432" t="s">
        <v>22</v>
      </c>
      <c r="H356" s="433" t="s">
        <v>2022</v>
      </c>
      <c r="I356" s="433" t="s">
        <v>1935</v>
      </c>
      <c r="J356" s="433" t="s">
        <v>2023</v>
      </c>
      <c r="K356" s="432" t="s">
        <v>1665</v>
      </c>
      <c r="L356" s="415"/>
      <c r="M356" s="434" t="s">
        <v>1661</v>
      </c>
      <c r="N356" s="434" t="s">
        <v>1661</v>
      </c>
      <c r="O356" s="434" t="s">
        <v>1689</v>
      </c>
      <c r="P356" s="434" t="s">
        <v>1659</v>
      </c>
      <c r="Q356" s="434" t="s">
        <v>1689</v>
      </c>
      <c r="R356" s="434" t="s">
        <v>1661</v>
      </c>
      <c r="S356" s="434" t="s">
        <v>1661</v>
      </c>
      <c r="T356" s="434" t="s">
        <v>1661</v>
      </c>
      <c r="U356" s="434" t="s">
        <v>1689</v>
      </c>
      <c r="V356" s="434" t="s">
        <v>1689</v>
      </c>
      <c r="W356" s="434" t="s">
        <v>1660</v>
      </c>
      <c r="X356" s="434" t="s">
        <v>1689</v>
      </c>
      <c r="Y356" s="434" t="s">
        <v>1689</v>
      </c>
      <c r="Z356" s="434" t="s">
        <v>1661</v>
      </c>
      <c r="AA356" s="434" t="s">
        <v>1660</v>
      </c>
      <c r="AB356" s="434" t="s">
        <v>1661</v>
      </c>
      <c r="AC356" s="434" t="s">
        <v>1689</v>
      </c>
      <c r="AD356" s="434" t="s">
        <v>1661</v>
      </c>
      <c r="AE356" s="434" t="s">
        <v>1660</v>
      </c>
      <c r="AF356" s="434" t="s">
        <v>1661</v>
      </c>
      <c r="AG356" s="427">
        <v>12.0</v>
      </c>
      <c r="AH356" s="435" t="s">
        <v>24</v>
      </c>
      <c r="AI356" s="415"/>
      <c r="AJ356" s="436" t="str">
        <f t="array" ref="AJ356">IF(M356=DGET(claves!$A$2:$AS423,M$2,{claves!$A$2;$E356}),1,0)</f>
        <v>#VALUE!</v>
      </c>
      <c r="AK356" s="436" t="str">
        <f t="array" ref="AK356">IF(N356=DGET(claves!$A$2:$AS423,N$2,{claves!$A$2;$E356}),1,0)</f>
        <v>#VALUE!</v>
      </c>
      <c r="AL356" s="436" t="str">
        <f t="array" ref="AL356">IF(O356=DGET(claves!$A$2:$AS423,O$2,{claves!$A$2;$E356}),1,0)</f>
        <v>#VALUE!</v>
      </c>
      <c r="AM356" s="436" t="str">
        <f t="array" ref="AM356">IF(P356=DGET(claves!$A$2:$AS423,P$2,{claves!$A$2;$E356}),1,0)</f>
        <v>#VALUE!</v>
      </c>
      <c r="AN356" s="436" t="str">
        <f t="array" ref="AN356">IF(Q356=DGET(claves!$A$2:$AS423,Q$2,{claves!$A$2;$E356}),1,0)</f>
        <v>#VALUE!</v>
      </c>
      <c r="AO356" s="436" t="str">
        <f t="array" ref="AO356">IF(R356=DGET(claves!$A$2:$AS423,R$2,{claves!$A$2;$E356}),1,0)</f>
        <v>#VALUE!</v>
      </c>
      <c r="AP356" s="436" t="str">
        <f t="array" ref="AP356">IF(S356=DGET(claves!$A$2:$AS423,S$2,{claves!$A$2;$E356}),1,0)</f>
        <v>#VALUE!</v>
      </c>
      <c r="AQ356" s="436" t="str">
        <f t="array" ref="AQ356">IF(T356=DGET(claves!$A$2:$AS423,T$2,{claves!$A$2;$E356}),1,0)</f>
        <v>#VALUE!</v>
      </c>
      <c r="AR356" s="436" t="str">
        <f t="array" ref="AR356">IF(U356=DGET(claves!$A$2:$AS423,U$2,{claves!$A$2;$E356}),1,0)</f>
        <v>#VALUE!</v>
      </c>
      <c r="AS356" s="436" t="str">
        <f t="array" ref="AS356">IF(V356=DGET(claves!$A$2:$AS423,V$2,{claves!$A$2;$E356}),1,0)</f>
        <v>#VALUE!</v>
      </c>
      <c r="AT356" s="436" t="str">
        <f t="array" ref="AT356">IF(W356=DGET(claves!$A$2:$AS423,W$2,{claves!$A$2;$E356}),1,0)</f>
        <v>#VALUE!</v>
      </c>
      <c r="AU356" s="436" t="str">
        <f t="array" ref="AU356">IF(X356=DGET(claves!$A$2:$AS423,X$2,{claves!$A$2;$E356}),1,0)</f>
        <v>#VALUE!</v>
      </c>
      <c r="AV356" s="436" t="str">
        <f t="array" ref="AV356">IF(Y356=DGET(claves!$A$2:$AS423,Y$2,{claves!$A$2;$E356}),1,0)</f>
        <v>#VALUE!</v>
      </c>
      <c r="AW356" s="436" t="str">
        <f t="array" ref="AW356">IF(Z356=DGET(claves!$A$2:$AS423,Z$2,{claves!$A$2;$E356}),1,0)</f>
        <v>#VALUE!</v>
      </c>
      <c r="AX356" s="436" t="str">
        <f t="array" ref="AX356">IF(AA356=DGET(claves!$A$2:$AS423,AA$2,{claves!$A$2;$E356}),1,0)</f>
        <v>#VALUE!</v>
      </c>
      <c r="AY356" s="436" t="str">
        <f t="array" ref="AY356">IF(AB356=DGET(claves!$A$2:$AS423,AB$2,{claves!$A$2;$E356}),1,0)</f>
        <v>#VALUE!</v>
      </c>
      <c r="AZ356" s="436" t="str">
        <f t="array" ref="AZ356">IF(AC356=DGET(claves!$A$2:$AS423,AC$2,{claves!$A$2;$E356}),1,0)</f>
        <v>#VALUE!</v>
      </c>
      <c r="BA356" s="436" t="str">
        <f t="array" ref="BA356">IF(AD356=DGET(claves!$A$2:$AS423,AD$2,{claves!$A$2;$E356}),1,0)</f>
        <v>#VALUE!</v>
      </c>
      <c r="BB356" s="436" t="str">
        <f t="array" ref="BB356">IF(AE356=DGET(claves!$A$2:$AS423,AE$2,{claves!$A$2;$E356}),1,0)</f>
        <v>#VALUE!</v>
      </c>
      <c r="BC356" s="436" t="str">
        <f t="array" ref="BC356">IF(AF356=DGET(claves!$A$2:$AS423,AF$2,{claves!$A$2;$E356}),1,0)</f>
        <v>#VALUE!</v>
      </c>
      <c r="BD356" s="437" t="str">
        <f t="shared" si="1"/>
        <v>#VALUE!</v>
      </c>
      <c r="BE356" s="435"/>
      <c r="BF356" s="415"/>
    </row>
    <row r="357" ht="14.25" customHeight="1">
      <c r="A357" s="408">
        <v>355.0</v>
      </c>
      <c r="B357" s="153" t="s">
        <v>2024</v>
      </c>
      <c r="C357" s="153">
        <v>2024.0</v>
      </c>
      <c r="D357" s="77" t="s">
        <v>362</v>
      </c>
      <c r="E357" s="409" t="str">
        <f>IFERROR(__xludf.DUMMYFUNCTION("ARRAYFORMULA(JOIN("""", ARRAYFORMULA(MID(SPLIT(F357, "" ""), 1, 1))))
&amp;""/""&amp;G357"),"MQ/2 Primaria")</f>
        <v>MQ/2 Primaria</v>
      </c>
      <c r="F357" s="77" t="s">
        <v>1823</v>
      </c>
      <c r="G357" s="432" t="s">
        <v>15</v>
      </c>
      <c r="H357" s="433" t="s">
        <v>1880</v>
      </c>
      <c r="I357" s="433" t="s">
        <v>1733</v>
      </c>
      <c r="J357" s="433" t="s">
        <v>2025</v>
      </c>
      <c r="K357" s="433" t="s">
        <v>1658</v>
      </c>
      <c r="L357" s="415"/>
      <c r="M357" s="434" t="s">
        <v>1825</v>
      </c>
      <c r="N357" s="434" t="s">
        <v>1826</v>
      </c>
      <c r="O357" s="434" t="s">
        <v>1660</v>
      </c>
      <c r="P357" s="434" t="s">
        <v>1826</v>
      </c>
      <c r="Q357" s="434" t="s">
        <v>1826</v>
      </c>
      <c r="R357" s="434" t="s">
        <v>1660</v>
      </c>
      <c r="S357" s="434" t="s">
        <v>1826</v>
      </c>
      <c r="T357" s="434" t="s">
        <v>1660</v>
      </c>
      <c r="U357" s="434" t="s">
        <v>1826</v>
      </c>
      <c r="V357" s="434" t="s">
        <v>1825</v>
      </c>
      <c r="W357" s="434"/>
      <c r="X357" s="434" t="s">
        <v>1826</v>
      </c>
      <c r="Y357" s="434" t="s">
        <v>1825</v>
      </c>
      <c r="Z357" s="434" t="s">
        <v>1660</v>
      </c>
      <c r="AA357" s="434" t="s">
        <v>1826</v>
      </c>
      <c r="AB357" s="434" t="s">
        <v>1825</v>
      </c>
      <c r="AC357" s="434" t="s">
        <v>1660</v>
      </c>
      <c r="AD357" s="434" t="s">
        <v>1825</v>
      </c>
      <c r="AE357" s="434" t="s">
        <v>1660</v>
      </c>
      <c r="AF357" s="434" t="s">
        <v>1825</v>
      </c>
      <c r="AG357" s="427">
        <v>13.0</v>
      </c>
      <c r="AH357" s="435" t="s">
        <v>24</v>
      </c>
      <c r="AI357" s="415"/>
      <c r="AJ357" s="436" t="str">
        <f t="array" ref="AJ357">IF(M357=DGET(claves!$A$2:$AS423,M$2,{claves!$A$2;$E357}),1,0)</f>
        <v>#VALUE!</v>
      </c>
      <c r="AK357" s="436" t="str">
        <f t="array" ref="AK357">IF(N357=DGET(claves!$A$2:$AS423,N$2,{claves!$A$2;$E357}),1,0)</f>
        <v>#VALUE!</v>
      </c>
      <c r="AL357" s="436" t="str">
        <f t="array" ref="AL357">IF(O357=DGET(claves!$A$2:$AS423,O$2,{claves!$A$2;$E357}),1,0)</f>
        <v>#VALUE!</v>
      </c>
      <c r="AM357" s="436" t="str">
        <f t="array" ref="AM357">IF(P357=DGET(claves!$A$2:$AS423,P$2,{claves!$A$2;$E357}),1,0)</f>
        <v>#VALUE!</v>
      </c>
      <c r="AN357" s="436" t="str">
        <f t="array" ref="AN357">IF(Q357=DGET(claves!$A$2:$AS423,Q$2,{claves!$A$2;$E357}),1,0)</f>
        <v>#VALUE!</v>
      </c>
      <c r="AO357" s="436" t="str">
        <f t="array" ref="AO357">IF(R357=DGET(claves!$A$2:$AS423,R$2,{claves!$A$2;$E357}),1,0)</f>
        <v>#VALUE!</v>
      </c>
      <c r="AP357" s="436" t="str">
        <f t="array" ref="AP357">IF(S357=DGET(claves!$A$2:$AS423,S$2,{claves!$A$2;$E357}),1,0)</f>
        <v>#VALUE!</v>
      </c>
      <c r="AQ357" s="436" t="str">
        <f t="array" ref="AQ357">IF(T357=DGET(claves!$A$2:$AS423,T$2,{claves!$A$2;$E357}),1,0)</f>
        <v>#VALUE!</v>
      </c>
      <c r="AR357" s="436" t="str">
        <f t="array" ref="AR357">IF(U357=DGET(claves!$A$2:$AS423,U$2,{claves!$A$2;$E357}),1,0)</f>
        <v>#VALUE!</v>
      </c>
      <c r="AS357" s="436" t="str">
        <f t="array" ref="AS357">IF(V357=DGET(claves!$A$2:$AS423,V$2,{claves!$A$2;$E357}),1,0)</f>
        <v>#VALUE!</v>
      </c>
      <c r="AT357" s="436" t="str">
        <f t="array" ref="AT357">IF(W357=DGET(claves!$A$2:$AS423,W$2,{claves!$A$2;$E357}),1,0)</f>
        <v>#VALUE!</v>
      </c>
      <c r="AU357" s="436" t="str">
        <f t="array" ref="AU357">IF(X357=DGET(claves!$A$2:$AS423,X$2,{claves!$A$2;$E357}),1,0)</f>
        <v>#VALUE!</v>
      </c>
      <c r="AV357" s="436" t="str">
        <f t="array" ref="AV357">IF(Y357=DGET(claves!$A$2:$AS423,Y$2,{claves!$A$2;$E357}),1,0)</f>
        <v>#VALUE!</v>
      </c>
      <c r="AW357" s="436" t="str">
        <f t="array" ref="AW357">IF(Z357=DGET(claves!$A$2:$AS423,Z$2,{claves!$A$2;$E357}),1,0)</f>
        <v>#VALUE!</v>
      </c>
      <c r="AX357" s="436" t="str">
        <f t="array" ref="AX357">IF(AA357=DGET(claves!$A$2:$AS423,AA$2,{claves!$A$2;$E357}),1,0)</f>
        <v>#VALUE!</v>
      </c>
      <c r="AY357" s="436" t="str">
        <f t="array" ref="AY357">IF(AB357=DGET(claves!$A$2:$AS423,AB$2,{claves!$A$2;$E357}),1,0)</f>
        <v>#VALUE!</v>
      </c>
      <c r="AZ357" s="436" t="str">
        <f t="array" ref="AZ357">IF(AC357=DGET(claves!$A$2:$AS423,AC$2,{claves!$A$2;$E357}),1,0)</f>
        <v>#VALUE!</v>
      </c>
      <c r="BA357" s="436" t="str">
        <f t="array" ref="BA357">IF(AD357=DGET(claves!$A$2:$AS423,AD$2,{claves!$A$2;$E357}),1,0)</f>
        <v>#VALUE!</v>
      </c>
      <c r="BB357" s="436" t="str">
        <f t="array" ref="BB357">IF(AE357=DGET(claves!$A$2:$AS423,AE$2,{claves!$A$2;$E357}),1,0)</f>
        <v>#VALUE!</v>
      </c>
      <c r="BC357" s="436" t="str">
        <f t="array" ref="BC357">IF(AF357=DGET(claves!$A$2:$AS423,AF$2,{claves!$A$2;$E357}),1,0)</f>
        <v>#VALUE!</v>
      </c>
      <c r="BD357" s="437" t="str">
        <f t="shared" si="1"/>
        <v>#VALUE!</v>
      </c>
      <c r="BE357" s="435"/>
      <c r="BF357" s="415"/>
    </row>
    <row r="358" ht="14.25" customHeight="1">
      <c r="A358" s="408">
        <v>356.0</v>
      </c>
      <c r="B358" s="153" t="s">
        <v>2024</v>
      </c>
      <c r="C358" s="153">
        <v>2024.0</v>
      </c>
      <c r="D358" s="77" t="s">
        <v>1817</v>
      </c>
      <c r="E358" s="409" t="str">
        <f>IFERROR(__xludf.DUMMYFUNCTION("ARRAYFORMULA(JOIN("""", ARRAYFORMULA(MID(SPLIT(F358, "" ""), 1, 1))))
&amp;""/""&amp;G358"),"CLQ/2 Primaria")</f>
        <v>CLQ/2 Primaria</v>
      </c>
      <c r="F358" s="77" t="s">
        <v>1827</v>
      </c>
      <c r="G358" s="432" t="s">
        <v>15</v>
      </c>
      <c r="H358" s="433" t="s">
        <v>1880</v>
      </c>
      <c r="I358" s="433" t="s">
        <v>1733</v>
      </c>
      <c r="J358" s="433" t="s">
        <v>2025</v>
      </c>
      <c r="K358" s="433" t="s">
        <v>1658</v>
      </c>
      <c r="L358" s="415"/>
      <c r="M358" s="434" t="s">
        <v>1825</v>
      </c>
      <c r="N358" s="434" t="s">
        <v>1825</v>
      </c>
      <c r="O358" s="434" t="s">
        <v>1826</v>
      </c>
      <c r="P358" s="434" t="s">
        <v>1825</v>
      </c>
      <c r="Q358" s="434" t="s">
        <v>1825</v>
      </c>
      <c r="R358" s="434" t="s">
        <v>1660</v>
      </c>
      <c r="S358" s="434" t="s">
        <v>1826</v>
      </c>
      <c r="T358" s="434" t="s">
        <v>1660</v>
      </c>
      <c r="U358" s="434" t="s">
        <v>1825</v>
      </c>
      <c r="V358" s="434" t="s">
        <v>1660</v>
      </c>
      <c r="W358" s="434" t="s">
        <v>1660</v>
      </c>
      <c r="X358" s="434" t="s">
        <v>1825</v>
      </c>
      <c r="Y358" s="434" t="s">
        <v>1826</v>
      </c>
      <c r="Z358" s="434" t="s">
        <v>1660</v>
      </c>
      <c r="AA358" s="434" t="s">
        <v>1660</v>
      </c>
      <c r="AB358" s="434" t="s">
        <v>1825</v>
      </c>
      <c r="AC358" s="434" t="s">
        <v>1660</v>
      </c>
      <c r="AD358" s="434" t="s">
        <v>1660</v>
      </c>
      <c r="AE358" s="434" t="s">
        <v>1826</v>
      </c>
      <c r="AF358" s="434" t="s">
        <v>1825</v>
      </c>
      <c r="AG358" s="427">
        <v>16.0</v>
      </c>
      <c r="AH358" s="435" t="s">
        <v>24</v>
      </c>
      <c r="AI358" s="415"/>
      <c r="AJ358" s="436" t="str">
        <f t="array" ref="AJ358">IF(M358=DGET(claves!$A$2:$AS423,M$2,{claves!$A$2;$E358}),1,0)</f>
        <v>#VALUE!</v>
      </c>
      <c r="AK358" s="436" t="str">
        <f t="array" ref="AK358">IF(N358=DGET(claves!$A$2:$AS423,N$2,{claves!$A$2;$E358}),1,0)</f>
        <v>#VALUE!</v>
      </c>
      <c r="AL358" s="436" t="str">
        <f t="array" ref="AL358">IF(O358=DGET(claves!$A$2:$AS423,O$2,{claves!$A$2;$E358}),1,0)</f>
        <v>#VALUE!</v>
      </c>
      <c r="AM358" s="436" t="str">
        <f t="array" ref="AM358">IF(P358=DGET(claves!$A$2:$AS423,P$2,{claves!$A$2;$E358}),1,0)</f>
        <v>#VALUE!</v>
      </c>
      <c r="AN358" s="436" t="str">
        <f t="array" ref="AN358">IF(Q358=DGET(claves!$A$2:$AS423,Q$2,{claves!$A$2;$E358}),1,0)</f>
        <v>#VALUE!</v>
      </c>
      <c r="AO358" s="436" t="str">
        <f t="array" ref="AO358">IF(R358=DGET(claves!$A$2:$AS423,R$2,{claves!$A$2;$E358}),1,0)</f>
        <v>#VALUE!</v>
      </c>
      <c r="AP358" s="436" t="str">
        <f t="array" ref="AP358">IF(S358=DGET(claves!$A$2:$AS423,S$2,{claves!$A$2;$E358}),1,0)</f>
        <v>#VALUE!</v>
      </c>
      <c r="AQ358" s="436" t="str">
        <f t="array" ref="AQ358">IF(T358=DGET(claves!$A$2:$AS423,T$2,{claves!$A$2;$E358}),1,0)</f>
        <v>#VALUE!</v>
      </c>
      <c r="AR358" s="436" t="str">
        <f t="array" ref="AR358">IF(U358=DGET(claves!$A$2:$AS423,U$2,{claves!$A$2;$E358}),1,0)</f>
        <v>#VALUE!</v>
      </c>
      <c r="AS358" s="436" t="str">
        <f t="array" ref="AS358">IF(V358=DGET(claves!$A$2:$AS423,V$2,{claves!$A$2;$E358}),1,0)</f>
        <v>#VALUE!</v>
      </c>
      <c r="AT358" s="436" t="str">
        <f t="array" ref="AT358">IF(W358=DGET(claves!$A$2:$AS423,W$2,{claves!$A$2;$E358}),1,0)</f>
        <v>#VALUE!</v>
      </c>
      <c r="AU358" s="436" t="str">
        <f t="array" ref="AU358">IF(X358=DGET(claves!$A$2:$AS423,X$2,{claves!$A$2;$E358}),1,0)</f>
        <v>#VALUE!</v>
      </c>
      <c r="AV358" s="436" t="str">
        <f t="array" ref="AV358">IF(Y358=DGET(claves!$A$2:$AS423,Y$2,{claves!$A$2;$E358}),1,0)</f>
        <v>#VALUE!</v>
      </c>
      <c r="AW358" s="436" t="str">
        <f t="array" ref="AW358">IF(Z358=DGET(claves!$A$2:$AS423,Z$2,{claves!$A$2;$E358}),1,0)</f>
        <v>#VALUE!</v>
      </c>
      <c r="AX358" s="436" t="str">
        <f t="array" ref="AX358">IF(AA358=DGET(claves!$A$2:$AS423,AA$2,{claves!$A$2;$E358}),1,0)</f>
        <v>#VALUE!</v>
      </c>
      <c r="AY358" s="436" t="str">
        <f t="array" ref="AY358">IF(AB358=DGET(claves!$A$2:$AS423,AB$2,{claves!$A$2;$E358}),1,0)</f>
        <v>#VALUE!</v>
      </c>
      <c r="AZ358" s="436" t="str">
        <f t="array" ref="AZ358">IF(AC358=DGET(claves!$A$2:$AS423,AC$2,{claves!$A$2;$E358}),1,0)</f>
        <v>#VALUE!</v>
      </c>
      <c r="BA358" s="436" t="str">
        <f t="array" ref="BA358">IF(AD358=DGET(claves!$A$2:$AS423,AD$2,{claves!$A$2;$E358}),1,0)</f>
        <v>#VALUE!</v>
      </c>
      <c r="BB358" s="436" t="str">
        <f t="array" ref="BB358">IF(AE358=DGET(claves!$A$2:$AS423,AE$2,{claves!$A$2;$E358}),1,0)</f>
        <v>#VALUE!</v>
      </c>
      <c r="BC358" s="436" t="str">
        <f t="array" ref="BC358">IF(AF358=DGET(claves!$A$2:$AS423,AF$2,{claves!$A$2;$E358}),1,0)</f>
        <v>#VALUE!</v>
      </c>
      <c r="BD358" s="437" t="str">
        <f t="shared" si="1"/>
        <v>#VALUE!</v>
      </c>
      <c r="BE358" s="435"/>
      <c r="BF358" s="415"/>
    </row>
    <row r="359" ht="14.25" customHeight="1">
      <c r="A359" s="408">
        <v>357.0</v>
      </c>
      <c r="B359" s="153" t="s">
        <v>2024</v>
      </c>
      <c r="C359" s="153">
        <v>2024.0</v>
      </c>
      <c r="D359" s="77" t="s">
        <v>362</v>
      </c>
      <c r="E359" s="409" t="str">
        <f>IFERROR(__xludf.DUMMYFUNCTION("ARRAYFORMULA(JOIN("""", ARRAYFORMULA(MID(SPLIT(F359, "" ""), 1, 1))))
&amp;""/""&amp;G359"),"MQ/4 Primaria")</f>
        <v>MQ/4 Primaria</v>
      </c>
      <c r="F359" s="77" t="s">
        <v>1823</v>
      </c>
      <c r="G359" s="432" t="s">
        <v>20</v>
      </c>
      <c r="H359" s="433" t="s">
        <v>2026</v>
      </c>
      <c r="I359" s="433" t="s">
        <v>1684</v>
      </c>
      <c r="J359" s="433" t="s">
        <v>2027</v>
      </c>
      <c r="K359" s="432" t="s">
        <v>1665</v>
      </c>
      <c r="L359" s="415"/>
      <c r="M359" s="434" t="s">
        <v>1689</v>
      </c>
      <c r="N359" s="434" t="s">
        <v>1661</v>
      </c>
      <c r="O359" s="434" t="s">
        <v>1660</v>
      </c>
      <c r="P359" s="434" t="s">
        <v>1660</v>
      </c>
      <c r="Q359" s="434" t="s">
        <v>1661</v>
      </c>
      <c r="R359" s="434" t="s">
        <v>1660</v>
      </c>
      <c r="S359" s="434" t="s">
        <v>1659</v>
      </c>
      <c r="T359" s="434" t="s">
        <v>1661</v>
      </c>
      <c r="U359" s="434" t="s">
        <v>1659</v>
      </c>
      <c r="V359" s="434" t="s">
        <v>1660</v>
      </c>
      <c r="W359" s="434" t="s">
        <v>1689</v>
      </c>
      <c r="X359" s="434" t="s">
        <v>1689</v>
      </c>
      <c r="Y359" s="434" t="s">
        <v>1689</v>
      </c>
      <c r="Z359" s="434" t="s">
        <v>1660</v>
      </c>
      <c r="AA359" s="434" t="s">
        <v>1660</v>
      </c>
      <c r="AB359" s="434" t="s">
        <v>1660</v>
      </c>
      <c r="AC359" s="434" t="s">
        <v>1660</v>
      </c>
      <c r="AD359" s="434" t="s">
        <v>1661</v>
      </c>
      <c r="AE359" s="434" t="s">
        <v>1660</v>
      </c>
      <c r="AF359" s="434" t="s">
        <v>1660</v>
      </c>
      <c r="AG359" s="427">
        <v>11.0</v>
      </c>
      <c r="AH359" s="435" t="s">
        <v>24</v>
      </c>
      <c r="AI359" s="415"/>
      <c r="AJ359" s="436" t="str">
        <f t="array" ref="AJ359">IF(M359=DGET(claves!$A$2:$AS423,M$2,{claves!$A$2;$E359}),1,0)</f>
        <v>#VALUE!</v>
      </c>
      <c r="AK359" s="436" t="str">
        <f t="array" ref="AK359">IF(N359=DGET(claves!$A$2:$AS423,N$2,{claves!$A$2;$E359}),1,0)</f>
        <v>#VALUE!</v>
      </c>
      <c r="AL359" s="436" t="str">
        <f t="array" ref="AL359">IF(O359=DGET(claves!$A$2:$AS423,O$2,{claves!$A$2;$E359}),1,0)</f>
        <v>#VALUE!</v>
      </c>
      <c r="AM359" s="436" t="str">
        <f t="array" ref="AM359">IF(P359=DGET(claves!$A$2:$AS423,P$2,{claves!$A$2;$E359}),1,0)</f>
        <v>#VALUE!</v>
      </c>
      <c r="AN359" s="436" t="str">
        <f t="array" ref="AN359">IF(Q359=DGET(claves!$A$2:$AS423,Q$2,{claves!$A$2;$E359}),1,0)</f>
        <v>#VALUE!</v>
      </c>
      <c r="AO359" s="436" t="str">
        <f t="array" ref="AO359">IF(R359=DGET(claves!$A$2:$AS423,R$2,{claves!$A$2;$E359}),1,0)</f>
        <v>#VALUE!</v>
      </c>
      <c r="AP359" s="436" t="str">
        <f t="array" ref="AP359">IF(S359=DGET(claves!$A$2:$AS423,S$2,{claves!$A$2;$E359}),1,0)</f>
        <v>#VALUE!</v>
      </c>
      <c r="AQ359" s="436" t="str">
        <f t="array" ref="AQ359">IF(T359=DGET(claves!$A$2:$AS423,T$2,{claves!$A$2;$E359}),1,0)</f>
        <v>#VALUE!</v>
      </c>
      <c r="AR359" s="436" t="str">
        <f t="array" ref="AR359">IF(U359=DGET(claves!$A$2:$AS423,U$2,{claves!$A$2;$E359}),1,0)</f>
        <v>#VALUE!</v>
      </c>
      <c r="AS359" s="436" t="str">
        <f t="array" ref="AS359">IF(V359=DGET(claves!$A$2:$AS423,V$2,{claves!$A$2;$E359}),1,0)</f>
        <v>#VALUE!</v>
      </c>
      <c r="AT359" s="436" t="str">
        <f t="array" ref="AT359">IF(W359=DGET(claves!$A$2:$AS423,W$2,{claves!$A$2;$E359}),1,0)</f>
        <v>#VALUE!</v>
      </c>
      <c r="AU359" s="436" t="str">
        <f t="array" ref="AU359">IF(X359=DGET(claves!$A$2:$AS423,X$2,{claves!$A$2;$E359}),1,0)</f>
        <v>#VALUE!</v>
      </c>
      <c r="AV359" s="436" t="str">
        <f t="array" ref="AV359">IF(Y359=DGET(claves!$A$2:$AS423,Y$2,{claves!$A$2;$E359}),1,0)</f>
        <v>#VALUE!</v>
      </c>
      <c r="AW359" s="436" t="str">
        <f t="array" ref="AW359">IF(Z359=DGET(claves!$A$2:$AS423,Z$2,{claves!$A$2;$E359}),1,0)</f>
        <v>#VALUE!</v>
      </c>
      <c r="AX359" s="436" t="str">
        <f t="array" ref="AX359">IF(AA359=DGET(claves!$A$2:$AS423,AA$2,{claves!$A$2;$E359}),1,0)</f>
        <v>#VALUE!</v>
      </c>
      <c r="AY359" s="436" t="str">
        <f t="array" ref="AY359">IF(AB359=DGET(claves!$A$2:$AS423,AB$2,{claves!$A$2;$E359}),1,0)</f>
        <v>#VALUE!</v>
      </c>
      <c r="AZ359" s="436" t="str">
        <f t="array" ref="AZ359">IF(AC359=DGET(claves!$A$2:$AS423,AC$2,{claves!$A$2;$E359}),1,0)</f>
        <v>#VALUE!</v>
      </c>
      <c r="BA359" s="436" t="str">
        <f t="array" ref="BA359">IF(AD359=DGET(claves!$A$2:$AS423,AD$2,{claves!$A$2;$E359}),1,0)</f>
        <v>#VALUE!</v>
      </c>
      <c r="BB359" s="436" t="str">
        <f t="array" ref="BB359">IF(AE359=DGET(claves!$A$2:$AS423,AE$2,{claves!$A$2;$E359}),1,0)</f>
        <v>#VALUE!</v>
      </c>
      <c r="BC359" s="436" t="str">
        <f t="array" ref="BC359">IF(AF359=DGET(claves!$A$2:$AS423,AF$2,{claves!$A$2;$E359}),1,0)</f>
        <v>#VALUE!</v>
      </c>
      <c r="BD359" s="437" t="str">
        <f t="shared" si="1"/>
        <v>#VALUE!</v>
      </c>
      <c r="BE359" s="435"/>
      <c r="BF359" s="415"/>
    </row>
    <row r="360" ht="14.25" customHeight="1">
      <c r="A360" s="408">
        <v>358.0</v>
      </c>
      <c r="B360" s="153" t="s">
        <v>2024</v>
      </c>
      <c r="C360" s="153">
        <v>2024.0</v>
      </c>
      <c r="D360" s="77" t="s">
        <v>1817</v>
      </c>
      <c r="E360" s="409" t="str">
        <f>IFERROR(__xludf.DUMMYFUNCTION("ARRAYFORMULA(JOIN("""", ARRAYFORMULA(MID(SPLIT(F360, "" ""), 1, 1))))
&amp;""/""&amp;G360"),"CLQ/4 Primaria")</f>
        <v>CLQ/4 Primaria</v>
      </c>
      <c r="F360" s="77" t="s">
        <v>1827</v>
      </c>
      <c r="G360" s="432" t="s">
        <v>20</v>
      </c>
      <c r="H360" s="433" t="s">
        <v>2026</v>
      </c>
      <c r="I360" s="433" t="s">
        <v>1684</v>
      </c>
      <c r="J360" s="433" t="s">
        <v>2027</v>
      </c>
      <c r="K360" s="432" t="s">
        <v>1665</v>
      </c>
      <c r="L360" s="415"/>
      <c r="M360" s="434" t="s">
        <v>1659</v>
      </c>
      <c r="N360" s="434" t="s">
        <v>1660</v>
      </c>
      <c r="O360" s="434" t="s">
        <v>1660</v>
      </c>
      <c r="P360" s="434" t="s">
        <v>1689</v>
      </c>
      <c r="Q360" s="434" t="s">
        <v>1689</v>
      </c>
      <c r="R360" s="434" t="s">
        <v>1660</v>
      </c>
      <c r="S360" s="434" t="s">
        <v>1660</v>
      </c>
      <c r="T360" s="434" t="s">
        <v>1661</v>
      </c>
      <c r="U360" s="434" t="s">
        <v>1689</v>
      </c>
      <c r="V360" s="434" t="s">
        <v>1661</v>
      </c>
      <c r="W360" s="434" t="s">
        <v>1661</v>
      </c>
      <c r="X360" s="434" t="s">
        <v>1661</v>
      </c>
      <c r="Y360" s="434" t="s">
        <v>1689</v>
      </c>
      <c r="Z360" s="434" t="s">
        <v>1661</v>
      </c>
      <c r="AA360" s="434" t="s">
        <v>1660</v>
      </c>
      <c r="AB360" s="434" t="s">
        <v>1689</v>
      </c>
      <c r="AC360" s="434" t="s">
        <v>1661</v>
      </c>
      <c r="AD360" s="434" t="s">
        <v>1660</v>
      </c>
      <c r="AE360" s="434" t="s">
        <v>1661</v>
      </c>
      <c r="AF360" s="434" t="s">
        <v>1659</v>
      </c>
      <c r="AG360" s="427">
        <v>8.0</v>
      </c>
      <c r="AH360" s="435" t="s">
        <v>18</v>
      </c>
      <c r="AI360" s="415"/>
      <c r="AJ360" s="436" t="str">
        <f t="array" ref="AJ360">IF(M360=DGET(claves!$A$2:$AS423,M$2,{claves!$A$2;$E360}),1,0)</f>
        <v>#VALUE!</v>
      </c>
      <c r="AK360" s="436" t="str">
        <f t="array" ref="AK360">IF(N360=DGET(claves!$A$2:$AS423,N$2,{claves!$A$2;$E360}),1,0)</f>
        <v>#VALUE!</v>
      </c>
      <c r="AL360" s="436" t="str">
        <f t="array" ref="AL360">IF(O360=DGET(claves!$A$2:$AS423,O$2,{claves!$A$2;$E360}),1,0)</f>
        <v>#VALUE!</v>
      </c>
      <c r="AM360" s="436" t="str">
        <f t="array" ref="AM360">IF(P360=DGET(claves!$A$2:$AS423,P$2,{claves!$A$2;$E360}),1,0)</f>
        <v>#VALUE!</v>
      </c>
      <c r="AN360" s="436" t="str">
        <f t="array" ref="AN360">IF(Q360=DGET(claves!$A$2:$AS423,Q$2,{claves!$A$2;$E360}),1,0)</f>
        <v>#VALUE!</v>
      </c>
      <c r="AO360" s="436" t="str">
        <f t="array" ref="AO360">IF(R360=DGET(claves!$A$2:$AS423,R$2,{claves!$A$2;$E360}),1,0)</f>
        <v>#VALUE!</v>
      </c>
      <c r="AP360" s="436" t="str">
        <f t="array" ref="AP360">IF(S360=DGET(claves!$A$2:$AS423,S$2,{claves!$A$2;$E360}),1,0)</f>
        <v>#VALUE!</v>
      </c>
      <c r="AQ360" s="436" t="str">
        <f t="array" ref="AQ360">IF(T360=DGET(claves!$A$2:$AS423,T$2,{claves!$A$2;$E360}),1,0)</f>
        <v>#VALUE!</v>
      </c>
      <c r="AR360" s="436" t="str">
        <f t="array" ref="AR360">IF(U360=DGET(claves!$A$2:$AS423,U$2,{claves!$A$2;$E360}),1,0)</f>
        <v>#VALUE!</v>
      </c>
      <c r="AS360" s="436" t="str">
        <f t="array" ref="AS360">IF(V360=DGET(claves!$A$2:$AS423,V$2,{claves!$A$2;$E360}),1,0)</f>
        <v>#VALUE!</v>
      </c>
      <c r="AT360" s="436" t="str">
        <f t="array" ref="AT360">IF(W360=DGET(claves!$A$2:$AS423,W$2,{claves!$A$2;$E360}),1,0)</f>
        <v>#VALUE!</v>
      </c>
      <c r="AU360" s="436" t="str">
        <f t="array" ref="AU360">IF(X360=DGET(claves!$A$2:$AS423,X$2,{claves!$A$2;$E360}),1,0)</f>
        <v>#VALUE!</v>
      </c>
      <c r="AV360" s="436" t="str">
        <f t="array" ref="AV360">IF(Y360=DGET(claves!$A$2:$AS423,Y$2,{claves!$A$2;$E360}),1,0)</f>
        <v>#VALUE!</v>
      </c>
      <c r="AW360" s="436" t="str">
        <f t="array" ref="AW360">IF(Z360=DGET(claves!$A$2:$AS423,Z$2,{claves!$A$2;$E360}),1,0)</f>
        <v>#VALUE!</v>
      </c>
      <c r="AX360" s="436" t="str">
        <f t="array" ref="AX360">IF(AA360=DGET(claves!$A$2:$AS423,AA$2,{claves!$A$2;$E360}),1,0)</f>
        <v>#VALUE!</v>
      </c>
      <c r="AY360" s="436" t="str">
        <f t="array" ref="AY360">IF(AB360=DGET(claves!$A$2:$AS423,AB$2,{claves!$A$2;$E360}),1,0)</f>
        <v>#VALUE!</v>
      </c>
      <c r="AZ360" s="436" t="str">
        <f t="array" ref="AZ360">IF(AC360=DGET(claves!$A$2:$AS423,AC$2,{claves!$A$2;$E360}),1,0)</f>
        <v>#VALUE!</v>
      </c>
      <c r="BA360" s="436" t="str">
        <f t="array" ref="BA360">IF(AD360=DGET(claves!$A$2:$AS423,AD$2,{claves!$A$2;$E360}),1,0)</f>
        <v>#VALUE!</v>
      </c>
      <c r="BB360" s="436" t="str">
        <f t="array" ref="BB360">IF(AE360=DGET(claves!$A$2:$AS423,AE$2,{claves!$A$2;$E360}),1,0)</f>
        <v>#VALUE!</v>
      </c>
      <c r="BC360" s="436" t="str">
        <f t="array" ref="BC360">IF(AF360=DGET(claves!$A$2:$AS423,AF$2,{claves!$A$2;$E360}),1,0)</f>
        <v>#VALUE!</v>
      </c>
      <c r="BD360" s="437" t="str">
        <f t="shared" si="1"/>
        <v>#VALUE!</v>
      </c>
      <c r="BE360" s="435"/>
      <c r="BF360" s="415"/>
    </row>
    <row r="361" ht="14.25" customHeight="1">
      <c r="A361" s="408">
        <v>359.0</v>
      </c>
      <c r="B361" s="153" t="s">
        <v>2024</v>
      </c>
      <c r="C361" s="153">
        <v>2024.0</v>
      </c>
      <c r="D361" s="77" t="s">
        <v>362</v>
      </c>
      <c r="E361" s="409" t="str">
        <f>IFERROR(__xludf.DUMMYFUNCTION("ARRAYFORMULA(JOIN("""", ARRAYFORMULA(MID(SPLIT(F361, "" ""), 1, 1))))
&amp;""/""&amp;G361"),"MQ/6 Primaria")</f>
        <v>MQ/6 Primaria</v>
      </c>
      <c r="F361" s="77" t="s">
        <v>1823</v>
      </c>
      <c r="G361" s="432" t="s">
        <v>22</v>
      </c>
      <c r="H361" s="433" t="s">
        <v>1684</v>
      </c>
      <c r="I361" s="433" t="s">
        <v>1684</v>
      </c>
      <c r="J361" s="433" t="s">
        <v>2028</v>
      </c>
      <c r="K361" s="433" t="s">
        <v>1658</v>
      </c>
      <c r="L361" s="415"/>
      <c r="M361" s="434" t="s">
        <v>1660</v>
      </c>
      <c r="N361" s="434" t="s">
        <v>1689</v>
      </c>
      <c r="O361" s="434" t="s">
        <v>1661</v>
      </c>
      <c r="P361" s="434" t="s">
        <v>1689</v>
      </c>
      <c r="Q361" s="434" t="s">
        <v>1659</v>
      </c>
      <c r="R361" s="434" t="s">
        <v>1659</v>
      </c>
      <c r="S361" s="434" t="s">
        <v>1659</v>
      </c>
      <c r="T361" s="434" t="s">
        <v>1659</v>
      </c>
      <c r="U361" s="434" t="s">
        <v>1659</v>
      </c>
      <c r="V361" s="434" t="s">
        <v>1689</v>
      </c>
      <c r="W361" s="434" t="s">
        <v>1661</v>
      </c>
      <c r="X361" s="434" t="s">
        <v>1689</v>
      </c>
      <c r="Y361" s="434" t="s">
        <v>1660</v>
      </c>
      <c r="Z361" s="434" t="s">
        <v>1661</v>
      </c>
      <c r="AA361" s="434" t="s">
        <v>1659</v>
      </c>
      <c r="AB361" s="434" t="s">
        <v>1689</v>
      </c>
      <c r="AC361" s="434" t="s">
        <v>1660</v>
      </c>
      <c r="AD361" s="434" t="s">
        <v>1659</v>
      </c>
      <c r="AE361" s="434" t="s">
        <v>1689</v>
      </c>
      <c r="AF361" s="434" t="s">
        <v>1661</v>
      </c>
      <c r="AG361" s="427">
        <v>20.0</v>
      </c>
      <c r="AH361" s="438" t="s">
        <v>32</v>
      </c>
      <c r="AI361" s="415"/>
      <c r="AJ361" s="436" t="str">
        <f t="array" ref="AJ361">IF(M361=DGET(claves!$A$2:$AS423,M$2,{claves!$A$2;$E361}),1,0)</f>
        <v>#VALUE!</v>
      </c>
      <c r="AK361" s="436" t="str">
        <f t="array" ref="AK361">IF(N361=DGET(claves!$A$2:$AS423,N$2,{claves!$A$2;$E361}),1,0)</f>
        <v>#VALUE!</v>
      </c>
      <c r="AL361" s="436" t="str">
        <f t="array" ref="AL361">IF(O361=DGET(claves!$A$2:$AS423,O$2,{claves!$A$2;$E361}),1,0)</f>
        <v>#VALUE!</v>
      </c>
      <c r="AM361" s="436" t="str">
        <f t="array" ref="AM361">IF(P361=DGET(claves!$A$2:$AS423,P$2,{claves!$A$2;$E361}),1,0)</f>
        <v>#VALUE!</v>
      </c>
      <c r="AN361" s="436" t="str">
        <f t="array" ref="AN361">IF(Q361=DGET(claves!$A$2:$AS423,Q$2,{claves!$A$2;$E361}),1,0)</f>
        <v>#VALUE!</v>
      </c>
      <c r="AO361" s="436" t="str">
        <f t="array" ref="AO361">IF(R361=DGET(claves!$A$2:$AS423,R$2,{claves!$A$2;$E361}),1,0)</f>
        <v>#VALUE!</v>
      </c>
      <c r="AP361" s="436" t="str">
        <f t="array" ref="AP361">IF(S361=DGET(claves!$A$2:$AS423,S$2,{claves!$A$2;$E361}),1,0)</f>
        <v>#VALUE!</v>
      </c>
      <c r="AQ361" s="436" t="str">
        <f t="array" ref="AQ361">IF(T361=DGET(claves!$A$2:$AS423,T$2,{claves!$A$2;$E361}),1,0)</f>
        <v>#VALUE!</v>
      </c>
      <c r="AR361" s="436" t="str">
        <f t="array" ref="AR361">IF(U361=DGET(claves!$A$2:$AS423,U$2,{claves!$A$2;$E361}),1,0)</f>
        <v>#VALUE!</v>
      </c>
      <c r="AS361" s="436" t="str">
        <f t="array" ref="AS361">IF(V361=DGET(claves!$A$2:$AS423,V$2,{claves!$A$2;$E361}),1,0)</f>
        <v>#VALUE!</v>
      </c>
      <c r="AT361" s="436" t="str">
        <f t="array" ref="AT361">IF(W361=DGET(claves!$A$2:$AS423,W$2,{claves!$A$2;$E361}),1,0)</f>
        <v>#VALUE!</v>
      </c>
      <c r="AU361" s="436" t="str">
        <f t="array" ref="AU361">IF(X361=DGET(claves!$A$2:$AS423,X$2,{claves!$A$2;$E361}),1,0)</f>
        <v>#VALUE!</v>
      </c>
      <c r="AV361" s="436" t="str">
        <f t="array" ref="AV361">IF(Y361=DGET(claves!$A$2:$AS423,Y$2,{claves!$A$2;$E361}),1,0)</f>
        <v>#VALUE!</v>
      </c>
      <c r="AW361" s="436" t="str">
        <f t="array" ref="AW361">IF(Z361=DGET(claves!$A$2:$AS423,Z$2,{claves!$A$2;$E361}),1,0)</f>
        <v>#VALUE!</v>
      </c>
      <c r="AX361" s="436" t="str">
        <f t="array" ref="AX361">IF(AA361=DGET(claves!$A$2:$AS423,AA$2,{claves!$A$2;$E361}),1,0)</f>
        <v>#VALUE!</v>
      </c>
      <c r="AY361" s="436" t="str">
        <f t="array" ref="AY361">IF(AB361=DGET(claves!$A$2:$AS423,AB$2,{claves!$A$2;$E361}),1,0)</f>
        <v>#VALUE!</v>
      </c>
      <c r="AZ361" s="436" t="str">
        <f t="array" ref="AZ361">IF(AC361=DGET(claves!$A$2:$AS423,AC$2,{claves!$A$2;$E361}),1,0)</f>
        <v>#VALUE!</v>
      </c>
      <c r="BA361" s="436" t="str">
        <f t="array" ref="BA361">IF(AD361=DGET(claves!$A$2:$AS423,AD$2,{claves!$A$2;$E361}),1,0)</f>
        <v>#VALUE!</v>
      </c>
      <c r="BB361" s="436" t="str">
        <f t="array" ref="BB361">IF(AE361=DGET(claves!$A$2:$AS423,AE$2,{claves!$A$2;$E361}),1,0)</f>
        <v>#VALUE!</v>
      </c>
      <c r="BC361" s="436" t="str">
        <f t="array" ref="BC361">IF(AF361=DGET(claves!$A$2:$AS423,AF$2,{claves!$A$2;$E361}),1,0)</f>
        <v>#VALUE!</v>
      </c>
      <c r="BD361" s="437" t="str">
        <f t="shared" si="1"/>
        <v>#VALUE!</v>
      </c>
      <c r="BE361" s="435"/>
      <c r="BF361" s="415"/>
    </row>
    <row r="362" ht="14.25" customHeight="1">
      <c r="A362" s="408">
        <v>360.0</v>
      </c>
      <c r="B362" s="153" t="s">
        <v>2024</v>
      </c>
      <c r="C362" s="153">
        <v>2024.0</v>
      </c>
      <c r="D362" s="77" t="s">
        <v>1817</v>
      </c>
      <c r="E362" s="409" t="str">
        <f>IFERROR(__xludf.DUMMYFUNCTION("ARRAYFORMULA(JOIN("""", ARRAYFORMULA(MID(SPLIT(F362, "" ""), 1, 1))))
&amp;""/""&amp;G362"),"CLQ/6 Primaria")</f>
        <v>CLQ/6 Primaria</v>
      </c>
      <c r="F362" s="77" t="s">
        <v>1827</v>
      </c>
      <c r="G362" s="432" t="s">
        <v>22</v>
      </c>
      <c r="H362" s="433" t="s">
        <v>1684</v>
      </c>
      <c r="I362" s="433" t="s">
        <v>1684</v>
      </c>
      <c r="J362" s="433" t="s">
        <v>2028</v>
      </c>
      <c r="K362" s="433" t="s">
        <v>1658</v>
      </c>
      <c r="L362" s="415"/>
      <c r="M362" s="434" t="s">
        <v>1661</v>
      </c>
      <c r="N362" s="434" t="s">
        <v>1661</v>
      </c>
      <c r="O362" s="434" t="s">
        <v>1689</v>
      </c>
      <c r="P362" s="434" t="s">
        <v>1659</v>
      </c>
      <c r="Q362" s="434" t="s">
        <v>1689</v>
      </c>
      <c r="R362" s="434" t="s">
        <v>1659</v>
      </c>
      <c r="S362" s="434" t="s">
        <v>1689</v>
      </c>
      <c r="T362" s="434" t="s">
        <v>1661</v>
      </c>
      <c r="U362" s="434" t="s">
        <v>1689</v>
      </c>
      <c r="V362" s="434" t="s">
        <v>1689</v>
      </c>
      <c r="W362" s="434" t="s">
        <v>1689</v>
      </c>
      <c r="X362" s="434" t="s">
        <v>1661</v>
      </c>
      <c r="Y362" s="434" t="s">
        <v>1689</v>
      </c>
      <c r="Z362" s="434" t="s">
        <v>1661</v>
      </c>
      <c r="AA362" s="434" t="s">
        <v>1660</v>
      </c>
      <c r="AB362" s="434" t="s">
        <v>1689</v>
      </c>
      <c r="AC362" s="434" t="s">
        <v>1659</v>
      </c>
      <c r="AD362" s="434" t="s">
        <v>1660</v>
      </c>
      <c r="AE362" s="434" t="s">
        <v>1661</v>
      </c>
      <c r="AF362" s="434" t="s">
        <v>1689</v>
      </c>
      <c r="AG362" s="427">
        <v>16.0</v>
      </c>
      <c r="AH362" s="435" t="s">
        <v>24</v>
      </c>
      <c r="AI362" s="415"/>
      <c r="AJ362" s="436" t="str">
        <f t="array" ref="AJ362">IF(M362=DGET(claves!$A$2:$AS423,M$2,{claves!$A$2;$E362}),1,0)</f>
        <v>#VALUE!</v>
      </c>
      <c r="AK362" s="436" t="str">
        <f t="array" ref="AK362">IF(N362=DGET(claves!$A$2:$AS423,N$2,{claves!$A$2;$E362}),1,0)</f>
        <v>#VALUE!</v>
      </c>
      <c r="AL362" s="436" t="str">
        <f t="array" ref="AL362">IF(O362=DGET(claves!$A$2:$AS423,O$2,{claves!$A$2;$E362}),1,0)</f>
        <v>#VALUE!</v>
      </c>
      <c r="AM362" s="436" t="str">
        <f t="array" ref="AM362">IF(P362=DGET(claves!$A$2:$AS423,P$2,{claves!$A$2;$E362}),1,0)</f>
        <v>#VALUE!</v>
      </c>
      <c r="AN362" s="436" t="str">
        <f t="array" ref="AN362">IF(Q362=DGET(claves!$A$2:$AS423,Q$2,{claves!$A$2;$E362}),1,0)</f>
        <v>#VALUE!</v>
      </c>
      <c r="AO362" s="436" t="str">
        <f t="array" ref="AO362">IF(R362=DGET(claves!$A$2:$AS423,R$2,{claves!$A$2;$E362}),1,0)</f>
        <v>#VALUE!</v>
      </c>
      <c r="AP362" s="436" t="str">
        <f t="array" ref="AP362">IF(S362=DGET(claves!$A$2:$AS423,S$2,{claves!$A$2;$E362}),1,0)</f>
        <v>#VALUE!</v>
      </c>
      <c r="AQ362" s="436" t="str">
        <f t="array" ref="AQ362">IF(T362=DGET(claves!$A$2:$AS423,T$2,{claves!$A$2;$E362}),1,0)</f>
        <v>#VALUE!</v>
      </c>
      <c r="AR362" s="436" t="str">
        <f t="array" ref="AR362">IF(U362=DGET(claves!$A$2:$AS423,U$2,{claves!$A$2;$E362}),1,0)</f>
        <v>#VALUE!</v>
      </c>
      <c r="AS362" s="436" t="str">
        <f t="array" ref="AS362">IF(V362=DGET(claves!$A$2:$AS423,V$2,{claves!$A$2;$E362}),1,0)</f>
        <v>#VALUE!</v>
      </c>
      <c r="AT362" s="436" t="str">
        <f t="array" ref="AT362">IF(W362=DGET(claves!$A$2:$AS423,W$2,{claves!$A$2;$E362}),1,0)</f>
        <v>#VALUE!</v>
      </c>
      <c r="AU362" s="436" t="str">
        <f t="array" ref="AU362">IF(X362=DGET(claves!$A$2:$AS423,X$2,{claves!$A$2;$E362}),1,0)</f>
        <v>#VALUE!</v>
      </c>
      <c r="AV362" s="436" t="str">
        <f t="array" ref="AV362">IF(Y362=DGET(claves!$A$2:$AS423,Y$2,{claves!$A$2;$E362}),1,0)</f>
        <v>#VALUE!</v>
      </c>
      <c r="AW362" s="436" t="str">
        <f t="array" ref="AW362">IF(Z362=DGET(claves!$A$2:$AS423,Z$2,{claves!$A$2;$E362}),1,0)</f>
        <v>#VALUE!</v>
      </c>
      <c r="AX362" s="436" t="str">
        <f t="array" ref="AX362">IF(AA362=DGET(claves!$A$2:$AS423,AA$2,{claves!$A$2;$E362}),1,0)</f>
        <v>#VALUE!</v>
      </c>
      <c r="AY362" s="436" t="str">
        <f t="array" ref="AY362">IF(AB362=DGET(claves!$A$2:$AS423,AB$2,{claves!$A$2;$E362}),1,0)</f>
        <v>#VALUE!</v>
      </c>
      <c r="AZ362" s="436" t="str">
        <f t="array" ref="AZ362">IF(AC362=DGET(claves!$A$2:$AS423,AC$2,{claves!$A$2;$E362}),1,0)</f>
        <v>#VALUE!</v>
      </c>
      <c r="BA362" s="436" t="str">
        <f t="array" ref="BA362">IF(AD362=DGET(claves!$A$2:$AS423,AD$2,{claves!$A$2;$E362}),1,0)</f>
        <v>#VALUE!</v>
      </c>
      <c r="BB362" s="436" t="str">
        <f t="array" ref="BB362">IF(AE362=DGET(claves!$A$2:$AS423,AE$2,{claves!$A$2;$E362}),1,0)</f>
        <v>#VALUE!</v>
      </c>
      <c r="BC362" s="436" t="str">
        <f t="array" ref="BC362">IF(AF362=DGET(claves!$A$2:$AS423,AF$2,{claves!$A$2;$E362}),1,0)</f>
        <v>#VALUE!</v>
      </c>
      <c r="BD362" s="437" t="str">
        <f t="shared" si="1"/>
        <v>#VALUE!</v>
      </c>
      <c r="BE362" s="435"/>
      <c r="BF362" s="415"/>
    </row>
    <row r="363" ht="14.25" customHeight="1">
      <c r="A363" s="408">
        <v>361.0</v>
      </c>
      <c r="B363" s="153" t="s">
        <v>227</v>
      </c>
      <c r="C363" s="153">
        <v>2024.0</v>
      </c>
      <c r="D363" s="77" t="s">
        <v>362</v>
      </c>
      <c r="E363" s="409" t="str">
        <f>IFERROR(__xludf.DUMMYFUNCTION("ARRAYFORMULA(JOIN("""", ARRAYFORMULA(MID(SPLIT(F363, "" ""), 1, 1))))
&amp;""/""&amp;G363"),"MQ/2 Primaria")</f>
        <v>MQ/2 Primaria</v>
      </c>
      <c r="F363" s="77" t="s">
        <v>1823</v>
      </c>
      <c r="G363" s="432" t="s">
        <v>15</v>
      </c>
      <c r="H363" s="433" t="s">
        <v>2029</v>
      </c>
      <c r="I363" s="433" t="s">
        <v>1684</v>
      </c>
      <c r="J363" s="433" t="s">
        <v>2030</v>
      </c>
      <c r="K363" s="432" t="s">
        <v>1665</v>
      </c>
      <c r="L363" s="415"/>
      <c r="M363" s="434" t="s">
        <v>1825</v>
      </c>
      <c r="N363" s="434" t="s">
        <v>1825</v>
      </c>
      <c r="O363" s="434" t="s">
        <v>1826</v>
      </c>
      <c r="P363" s="434" t="s">
        <v>1660</v>
      </c>
      <c r="Q363" s="434" t="s">
        <v>1826</v>
      </c>
      <c r="R363" s="434" t="s">
        <v>1660</v>
      </c>
      <c r="S363" s="434" t="s">
        <v>1826</v>
      </c>
      <c r="T363" s="434" t="s">
        <v>1660</v>
      </c>
      <c r="U363" s="434" t="s">
        <v>1660</v>
      </c>
      <c r="V363" s="434" t="s">
        <v>1826</v>
      </c>
      <c r="W363" s="434" t="s">
        <v>1660</v>
      </c>
      <c r="X363" s="434" t="s">
        <v>1826</v>
      </c>
      <c r="Y363" s="434" t="s">
        <v>1826</v>
      </c>
      <c r="Z363" s="434" t="s">
        <v>1825</v>
      </c>
      <c r="AA363" s="434" t="s">
        <v>1826</v>
      </c>
      <c r="AB363" s="434" t="s">
        <v>1825</v>
      </c>
      <c r="AC363" s="434" t="s">
        <v>1660</v>
      </c>
      <c r="AD363" s="434" t="s">
        <v>1826</v>
      </c>
      <c r="AE363" s="434" t="s">
        <v>1826</v>
      </c>
      <c r="AF363" s="434" t="s">
        <v>1660</v>
      </c>
      <c r="AG363" s="427">
        <v>11.0</v>
      </c>
      <c r="AH363" s="435" t="s">
        <v>24</v>
      </c>
      <c r="AI363" s="415"/>
      <c r="AJ363" s="436" t="str">
        <f t="array" ref="AJ363">IF(M363=DGET(claves!$A$2:$AS423,M$2,{claves!$A$2;$E363}),1,0)</f>
        <v>#VALUE!</v>
      </c>
      <c r="AK363" s="436" t="str">
        <f t="array" ref="AK363">IF(N363=DGET(claves!$A$2:$AS423,N$2,{claves!$A$2;$E363}),1,0)</f>
        <v>#VALUE!</v>
      </c>
      <c r="AL363" s="436" t="str">
        <f t="array" ref="AL363">IF(O363=DGET(claves!$A$2:$AS423,O$2,{claves!$A$2;$E363}),1,0)</f>
        <v>#VALUE!</v>
      </c>
      <c r="AM363" s="436" t="str">
        <f t="array" ref="AM363">IF(P363=DGET(claves!$A$2:$AS423,P$2,{claves!$A$2;$E363}),1,0)</f>
        <v>#VALUE!</v>
      </c>
      <c r="AN363" s="436" t="str">
        <f t="array" ref="AN363">IF(Q363=DGET(claves!$A$2:$AS423,Q$2,{claves!$A$2;$E363}),1,0)</f>
        <v>#VALUE!</v>
      </c>
      <c r="AO363" s="436" t="str">
        <f t="array" ref="AO363">IF(R363=DGET(claves!$A$2:$AS423,R$2,{claves!$A$2;$E363}),1,0)</f>
        <v>#VALUE!</v>
      </c>
      <c r="AP363" s="436" t="str">
        <f t="array" ref="AP363">IF(S363=DGET(claves!$A$2:$AS423,S$2,{claves!$A$2;$E363}),1,0)</f>
        <v>#VALUE!</v>
      </c>
      <c r="AQ363" s="436" t="str">
        <f t="array" ref="AQ363">IF(T363=DGET(claves!$A$2:$AS423,T$2,{claves!$A$2;$E363}),1,0)</f>
        <v>#VALUE!</v>
      </c>
      <c r="AR363" s="436" t="str">
        <f t="array" ref="AR363">IF(U363=DGET(claves!$A$2:$AS423,U$2,{claves!$A$2;$E363}),1,0)</f>
        <v>#VALUE!</v>
      </c>
      <c r="AS363" s="436" t="str">
        <f t="array" ref="AS363">IF(V363=DGET(claves!$A$2:$AS423,V$2,{claves!$A$2;$E363}),1,0)</f>
        <v>#VALUE!</v>
      </c>
      <c r="AT363" s="436" t="str">
        <f t="array" ref="AT363">IF(W363=DGET(claves!$A$2:$AS423,W$2,{claves!$A$2;$E363}),1,0)</f>
        <v>#VALUE!</v>
      </c>
      <c r="AU363" s="436" t="str">
        <f t="array" ref="AU363">IF(X363=DGET(claves!$A$2:$AS423,X$2,{claves!$A$2;$E363}),1,0)</f>
        <v>#VALUE!</v>
      </c>
      <c r="AV363" s="436" t="str">
        <f t="array" ref="AV363">IF(Y363=DGET(claves!$A$2:$AS423,Y$2,{claves!$A$2;$E363}),1,0)</f>
        <v>#VALUE!</v>
      </c>
      <c r="AW363" s="436" t="str">
        <f t="array" ref="AW363">IF(Z363=DGET(claves!$A$2:$AS423,Z$2,{claves!$A$2;$E363}),1,0)</f>
        <v>#VALUE!</v>
      </c>
      <c r="AX363" s="436" t="str">
        <f t="array" ref="AX363">IF(AA363=DGET(claves!$A$2:$AS423,AA$2,{claves!$A$2;$E363}),1,0)</f>
        <v>#VALUE!</v>
      </c>
      <c r="AY363" s="436" t="str">
        <f t="array" ref="AY363">IF(AB363=DGET(claves!$A$2:$AS423,AB$2,{claves!$A$2;$E363}),1,0)</f>
        <v>#VALUE!</v>
      </c>
      <c r="AZ363" s="436" t="str">
        <f t="array" ref="AZ363">IF(AC363=DGET(claves!$A$2:$AS423,AC$2,{claves!$A$2;$E363}),1,0)</f>
        <v>#VALUE!</v>
      </c>
      <c r="BA363" s="436" t="str">
        <f t="array" ref="BA363">IF(AD363=DGET(claves!$A$2:$AS423,AD$2,{claves!$A$2;$E363}),1,0)</f>
        <v>#VALUE!</v>
      </c>
      <c r="BB363" s="436" t="str">
        <f t="array" ref="BB363">IF(AE363=DGET(claves!$A$2:$AS423,AE$2,{claves!$A$2;$E363}),1,0)</f>
        <v>#VALUE!</v>
      </c>
      <c r="BC363" s="436" t="str">
        <f t="array" ref="BC363">IF(AF363=DGET(claves!$A$2:$AS423,AF$2,{claves!$A$2;$E363}),1,0)</f>
        <v>#VALUE!</v>
      </c>
      <c r="BD363" s="437" t="str">
        <f t="shared" si="1"/>
        <v>#VALUE!</v>
      </c>
      <c r="BE363" s="435"/>
      <c r="BF363" s="415"/>
    </row>
    <row r="364" ht="14.25" customHeight="1">
      <c r="A364" s="408">
        <v>362.0</v>
      </c>
      <c r="B364" s="153" t="s">
        <v>227</v>
      </c>
      <c r="C364" s="153">
        <v>2024.0</v>
      </c>
      <c r="D364" s="77" t="s">
        <v>1817</v>
      </c>
      <c r="E364" s="409" t="str">
        <f>IFERROR(__xludf.DUMMYFUNCTION("ARRAYFORMULA(JOIN("""", ARRAYFORMULA(MID(SPLIT(F364, "" ""), 1, 1))))
&amp;""/""&amp;G364"),"CLQ/2 Primaria")</f>
        <v>CLQ/2 Primaria</v>
      </c>
      <c r="F364" s="77" t="s">
        <v>1827</v>
      </c>
      <c r="G364" s="432" t="s">
        <v>15</v>
      </c>
      <c r="H364" s="433" t="s">
        <v>2029</v>
      </c>
      <c r="I364" s="433" t="s">
        <v>1684</v>
      </c>
      <c r="J364" s="433" t="s">
        <v>2030</v>
      </c>
      <c r="K364" s="432" t="s">
        <v>1665</v>
      </c>
      <c r="L364" s="415"/>
      <c r="M364" s="434" t="s">
        <v>1660</v>
      </c>
      <c r="N364" s="434" t="s">
        <v>1660</v>
      </c>
      <c r="O364" s="434" t="s">
        <v>1825</v>
      </c>
      <c r="P364" s="434" t="s">
        <v>1660</v>
      </c>
      <c r="Q364" s="434" t="s">
        <v>1825</v>
      </c>
      <c r="R364" s="434" t="s">
        <v>1660</v>
      </c>
      <c r="S364" s="434" t="s">
        <v>1826</v>
      </c>
      <c r="T364" s="434" t="s">
        <v>1660</v>
      </c>
      <c r="U364" s="434" t="s">
        <v>1825</v>
      </c>
      <c r="V364" s="434" t="s">
        <v>1826</v>
      </c>
      <c r="W364" s="434" t="s">
        <v>1660</v>
      </c>
      <c r="X364" s="434" t="s">
        <v>1825</v>
      </c>
      <c r="Y364" s="434" t="s">
        <v>1660</v>
      </c>
      <c r="Z364" s="434" t="s">
        <v>1660</v>
      </c>
      <c r="AA364" s="434" t="s">
        <v>1826</v>
      </c>
      <c r="AB364" s="434" t="s">
        <v>1825</v>
      </c>
      <c r="AC364" s="434" t="s">
        <v>1660</v>
      </c>
      <c r="AD364" s="434" t="s">
        <v>1826</v>
      </c>
      <c r="AE364" s="434" t="s">
        <v>1826</v>
      </c>
      <c r="AF364" s="434" t="s">
        <v>1826</v>
      </c>
      <c r="AG364" s="427">
        <v>10.0</v>
      </c>
      <c r="AH364" s="435" t="s">
        <v>18</v>
      </c>
      <c r="AI364" s="415"/>
      <c r="AJ364" s="436" t="str">
        <f t="array" ref="AJ364">IF(M364=DGET(claves!$A$2:$AS423,M$2,{claves!$A$2;$E364}),1,0)</f>
        <v>#VALUE!</v>
      </c>
      <c r="AK364" s="436" t="str">
        <f t="array" ref="AK364">IF(N364=DGET(claves!$A$2:$AS423,N$2,{claves!$A$2;$E364}),1,0)</f>
        <v>#VALUE!</v>
      </c>
      <c r="AL364" s="436" t="str">
        <f t="array" ref="AL364">IF(O364=DGET(claves!$A$2:$AS423,O$2,{claves!$A$2;$E364}),1,0)</f>
        <v>#VALUE!</v>
      </c>
      <c r="AM364" s="436" t="str">
        <f t="array" ref="AM364">IF(P364=DGET(claves!$A$2:$AS423,P$2,{claves!$A$2;$E364}),1,0)</f>
        <v>#VALUE!</v>
      </c>
      <c r="AN364" s="436" t="str">
        <f t="array" ref="AN364">IF(Q364=DGET(claves!$A$2:$AS423,Q$2,{claves!$A$2;$E364}),1,0)</f>
        <v>#VALUE!</v>
      </c>
      <c r="AO364" s="436" t="str">
        <f t="array" ref="AO364">IF(R364=DGET(claves!$A$2:$AS423,R$2,{claves!$A$2;$E364}),1,0)</f>
        <v>#VALUE!</v>
      </c>
      <c r="AP364" s="436" t="str">
        <f t="array" ref="AP364">IF(S364=DGET(claves!$A$2:$AS423,S$2,{claves!$A$2;$E364}),1,0)</f>
        <v>#VALUE!</v>
      </c>
      <c r="AQ364" s="436" t="str">
        <f t="array" ref="AQ364">IF(T364=DGET(claves!$A$2:$AS423,T$2,{claves!$A$2;$E364}),1,0)</f>
        <v>#VALUE!</v>
      </c>
      <c r="AR364" s="436" t="str">
        <f t="array" ref="AR364">IF(U364=DGET(claves!$A$2:$AS423,U$2,{claves!$A$2;$E364}),1,0)</f>
        <v>#VALUE!</v>
      </c>
      <c r="AS364" s="436" t="str">
        <f t="array" ref="AS364">IF(V364=DGET(claves!$A$2:$AS423,V$2,{claves!$A$2;$E364}),1,0)</f>
        <v>#VALUE!</v>
      </c>
      <c r="AT364" s="436" t="str">
        <f t="array" ref="AT364">IF(W364=DGET(claves!$A$2:$AS423,W$2,{claves!$A$2;$E364}),1,0)</f>
        <v>#VALUE!</v>
      </c>
      <c r="AU364" s="436" t="str">
        <f t="array" ref="AU364">IF(X364=DGET(claves!$A$2:$AS423,X$2,{claves!$A$2;$E364}),1,0)</f>
        <v>#VALUE!</v>
      </c>
      <c r="AV364" s="436" t="str">
        <f t="array" ref="AV364">IF(Y364=DGET(claves!$A$2:$AS423,Y$2,{claves!$A$2;$E364}),1,0)</f>
        <v>#VALUE!</v>
      </c>
      <c r="AW364" s="436" t="str">
        <f t="array" ref="AW364">IF(Z364=DGET(claves!$A$2:$AS423,Z$2,{claves!$A$2;$E364}),1,0)</f>
        <v>#VALUE!</v>
      </c>
      <c r="AX364" s="436" t="str">
        <f t="array" ref="AX364">IF(AA364=DGET(claves!$A$2:$AS423,AA$2,{claves!$A$2;$E364}),1,0)</f>
        <v>#VALUE!</v>
      </c>
      <c r="AY364" s="436" t="str">
        <f t="array" ref="AY364">IF(AB364=DGET(claves!$A$2:$AS423,AB$2,{claves!$A$2;$E364}),1,0)</f>
        <v>#VALUE!</v>
      </c>
      <c r="AZ364" s="436" t="str">
        <f t="array" ref="AZ364">IF(AC364=DGET(claves!$A$2:$AS423,AC$2,{claves!$A$2;$E364}),1,0)</f>
        <v>#VALUE!</v>
      </c>
      <c r="BA364" s="436" t="str">
        <f t="array" ref="BA364">IF(AD364=DGET(claves!$A$2:$AS423,AD$2,{claves!$A$2;$E364}),1,0)</f>
        <v>#VALUE!</v>
      </c>
      <c r="BB364" s="436" t="str">
        <f t="array" ref="BB364">IF(AE364=DGET(claves!$A$2:$AS423,AE$2,{claves!$A$2;$E364}),1,0)</f>
        <v>#VALUE!</v>
      </c>
      <c r="BC364" s="436" t="str">
        <f t="array" ref="BC364">IF(AF364=DGET(claves!$A$2:$AS423,AF$2,{claves!$A$2;$E364}),1,0)</f>
        <v>#VALUE!</v>
      </c>
      <c r="BD364" s="437" t="str">
        <f t="shared" si="1"/>
        <v>#VALUE!</v>
      </c>
      <c r="BE364" s="435"/>
      <c r="BF364" s="415"/>
    </row>
    <row r="365" ht="14.25" customHeight="1">
      <c r="A365" s="408">
        <v>363.0</v>
      </c>
      <c r="B365" s="153" t="s">
        <v>227</v>
      </c>
      <c r="C365" s="153">
        <v>2024.0</v>
      </c>
      <c r="D365" s="77" t="s">
        <v>362</v>
      </c>
      <c r="E365" s="409" t="str">
        <f>IFERROR(__xludf.DUMMYFUNCTION("ARRAYFORMULA(JOIN("""", ARRAYFORMULA(MID(SPLIT(F365, "" ""), 1, 1))))
&amp;""/""&amp;G365"),"MQ/4 Primaria")</f>
        <v>MQ/4 Primaria</v>
      </c>
      <c r="F365" s="77" t="s">
        <v>1823</v>
      </c>
      <c r="G365" s="432" t="s">
        <v>20</v>
      </c>
      <c r="H365" s="433" t="s">
        <v>1962</v>
      </c>
      <c r="I365" s="433" t="s">
        <v>2031</v>
      </c>
      <c r="J365" s="433" t="s">
        <v>2032</v>
      </c>
      <c r="K365" s="432" t="s">
        <v>1665</v>
      </c>
      <c r="L365" s="415"/>
      <c r="M365" s="434" t="s">
        <v>1659</v>
      </c>
      <c r="N365" s="434" t="s">
        <v>1659</v>
      </c>
      <c r="O365" s="434" t="s">
        <v>1689</v>
      </c>
      <c r="P365" s="434" t="s">
        <v>1689</v>
      </c>
      <c r="Q365" s="434" t="s">
        <v>1661</v>
      </c>
      <c r="R365" s="434" t="s">
        <v>1689</v>
      </c>
      <c r="S365" s="434" t="s">
        <v>1661</v>
      </c>
      <c r="T365" s="434" t="s">
        <v>1661</v>
      </c>
      <c r="U365" s="434" t="s">
        <v>1659</v>
      </c>
      <c r="V365" s="434" t="s">
        <v>1660</v>
      </c>
      <c r="W365" s="434" t="s">
        <v>1659</v>
      </c>
      <c r="X365" s="434" t="s">
        <v>1660</v>
      </c>
      <c r="Y365" s="434" t="s">
        <v>1661</v>
      </c>
      <c r="Z365" s="434" t="s">
        <v>1659</v>
      </c>
      <c r="AA365" s="434" t="s">
        <v>1660</v>
      </c>
      <c r="AB365" s="434" t="s">
        <v>1659</v>
      </c>
      <c r="AC365" s="434" t="s">
        <v>1689</v>
      </c>
      <c r="AD365" s="434" t="s">
        <v>1659</v>
      </c>
      <c r="AE365" s="434" t="s">
        <v>1689</v>
      </c>
      <c r="AF365" s="434" t="s">
        <v>1659</v>
      </c>
      <c r="AG365" s="427">
        <v>7.0</v>
      </c>
      <c r="AH365" s="435" t="s">
        <v>18</v>
      </c>
      <c r="AI365" s="415"/>
      <c r="AJ365" s="436" t="str">
        <f t="array" ref="AJ365">IF(M365=DGET(claves!$A$2:$AS423,M$2,{claves!$A$2;$E365}),1,0)</f>
        <v>#VALUE!</v>
      </c>
      <c r="AK365" s="436" t="str">
        <f t="array" ref="AK365">IF(N365=DGET(claves!$A$2:$AS423,N$2,{claves!$A$2;$E365}),1,0)</f>
        <v>#VALUE!</v>
      </c>
      <c r="AL365" s="436" t="str">
        <f t="array" ref="AL365">IF(O365=DGET(claves!$A$2:$AS423,O$2,{claves!$A$2;$E365}),1,0)</f>
        <v>#VALUE!</v>
      </c>
      <c r="AM365" s="436" t="str">
        <f t="array" ref="AM365">IF(P365=DGET(claves!$A$2:$AS423,P$2,{claves!$A$2;$E365}),1,0)</f>
        <v>#VALUE!</v>
      </c>
      <c r="AN365" s="436" t="str">
        <f t="array" ref="AN365">IF(Q365=DGET(claves!$A$2:$AS423,Q$2,{claves!$A$2;$E365}),1,0)</f>
        <v>#VALUE!</v>
      </c>
      <c r="AO365" s="436" t="str">
        <f t="array" ref="AO365">IF(R365=DGET(claves!$A$2:$AS423,R$2,{claves!$A$2;$E365}),1,0)</f>
        <v>#VALUE!</v>
      </c>
      <c r="AP365" s="436" t="str">
        <f t="array" ref="AP365">IF(S365=DGET(claves!$A$2:$AS423,S$2,{claves!$A$2;$E365}),1,0)</f>
        <v>#VALUE!</v>
      </c>
      <c r="AQ365" s="436" t="str">
        <f t="array" ref="AQ365">IF(T365=DGET(claves!$A$2:$AS423,T$2,{claves!$A$2;$E365}),1,0)</f>
        <v>#VALUE!</v>
      </c>
      <c r="AR365" s="436" t="str">
        <f t="array" ref="AR365">IF(U365=DGET(claves!$A$2:$AS423,U$2,{claves!$A$2;$E365}),1,0)</f>
        <v>#VALUE!</v>
      </c>
      <c r="AS365" s="436" t="str">
        <f t="array" ref="AS365">IF(V365=DGET(claves!$A$2:$AS423,V$2,{claves!$A$2;$E365}),1,0)</f>
        <v>#VALUE!</v>
      </c>
      <c r="AT365" s="436" t="str">
        <f t="array" ref="AT365">IF(W365=DGET(claves!$A$2:$AS423,W$2,{claves!$A$2;$E365}),1,0)</f>
        <v>#VALUE!</v>
      </c>
      <c r="AU365" s="436" t="str">
        <f t="array" ref="AU365">IF(X365=DGET(claves!$A$2:$AS423,X$2,{claves!$A$2;$E365}),1,0)</f>
        <v>#VALUE!</v>
      </c>
      <c r="AV365" s="436" t="str">
        <f t="array" ref="AV365">IF(Y365=DGET(claves!$A$2:$AS423,Y$2,{claves!$A$2;$E365}),1,0)</f>
        <v>#VALUE!</v>
      </c>
      <c r="AW365" s="436" t="str">
        <f t="array" ref="AW365">IF(Z365=DGET(claves!$A$2:$AS423,Z$2,{claves!$A$2;$E365}),1,0)</f>
        <v>#VALUE!</v>
      </c>
      <c r="AX365" s="436" t="str">
        <f t="array" ref="AX365">IF(AA365=DGET(claves!$A$2:$AS423,AA$2,{claves!$A$2;$E365}),1,0)</f>
        <v>#VALUE!</v>
      </c>
      <c r="AY365" s="436" t="str">
        <f t="array" ref="AY365">IF(AB365=DGET(claves!$A$2:$AS423,AB$2,{claves!$A$2;$E365}),1,0)</f>
        <v>#VALUE!</v>
      </c>
      <c r="AZ365" s="436" t="str">
        <f t="array" ref="AZ365">IF(AC365=DGET(claves!$A$2:$AS423,AC$2,{claves!$A$2;$E365}),1,0)</f>
        <v>#VALUE!</v>
      </c>
      <c r="BA365" s="436" t="str">
        <f t="array" ref="BA365">IF(AD365=DGET(claves!$A$2:$AS423,AD$2,{claves!$A$2;$E365}),1,0)</f>
        <v>#VALUE!</v>
      </c>
      <c r="BB365" s="436" t="str">
        <f t="array" ref="BB365">IF(AE365=DGET(claves!$A$2:$AS423,AE$2,{claves!$A$2;$E365}),1,0)</f>
        <v>#VALUE!</v>
      </c>
      <c r="BC365" s="436" t="str">
        <f t="array" ref="BC365">IF(AF365=DGET(claves!$A$2:$AS423,AF$2,{claves!$A$2;$E365}),1,0)</f>
        <v>#VALUE!</v>
      </c>
      <c r="BD365" s="437" t="str">
        <f t="shared" si="1"/>
        <v>#VALUE!</v>
      </c>
      <c r="BE365" s="435"/>
      <c r="BF365" s="415"/>
    </row>
    <row r="366" ht="14.25" customHeight="1">
      <c r="A366" s="408">
        <v>364.0</v>
      </c>
      <c r="B366" s="153" t="s">
        <v>227</v>
      </c>
      <c r="C366" s="153">
        <v>2024.0</v>
      </c>
      <c r="D366" s="77" t="s">
        <v>1817</v>
      </c>
      <c r="E366" s="409" t="str">
        <f>IFERROR(__xludf.DUMMYFUNCTION("ARRAYFORMULA(JOIN("""", ARRAYFORMULA(MID(SPLIT(F366, "" ""), 1, 1))))
&amp;""/""&amp;G366"),"CLQ/4 Primaria")</f>
        <v>CLQ/4 Primaria</v>
      </c>
      <c r="F366" s="77" t="s">
        <v>1827</v>
      </c>
      <c r="G366" s="432" t="s">
        <v>20</v>
      </c>
      <c r="H366" s="433" t="s">
        <v>1962</v>
      </c>
      <c r="I366" s="433" t="s">
        <v>2031</v>
      </c>
      <c r="J366" s="433" t="s">
        <v>2032</v>
      </c>
      <c r="K366" s="432" t="s">
        <v>1665</v>
      </c>
      <c r="L366" s="415"/>
      <c r="M366" s="434" t="s">
        <v>1659</v>
      </c>
      <c r="N366" s="434" t="s">
        <v>1660</v>
      </c>
      <c r="O366" s="434" t="s">
        <v>1660</v>
      </c>
      <c r="P366" s="434" t="s">
        <v>1659</v>
      </c>
      <c r="Q366" s="434" t="s">
        <v>1661</v>
      </c>
      <c r="R366" s="434" t="s">
        <v>1661</v>
      </c>
      <c r="S366" s="434" t="s">
        <v>1660</v>
      </c>
      <c r="T366" s="434" t="s">
        <v>1660</v>
      </c>
      <c r="U366" s="434" t="s">
        <v>1689</v>
      </c>
      <c r="V366" s="434" t="s">
        <v>1661</v>
      </c>
      <c r="W366" s="434" t="s">
        <v>1660</v>
      </c>
      <c r="X366" s="434" t="s">
        <v>1661</v>
      </c>
      <c r="Y366" s="434" t="s">
        <v>1659</v>
      </c>
      <c r="Z366" s="434" t="s">
        <v>1659</v>
      </c>
      <c r="AA366" s="434" t="s">
        <v>1661</v>
      </c>
      <c r="AB366" s="434" t="s">
        <v>1661</v>
      </c>
      <c r="AC366" s="434" t="s">
        <v>1661</v>
      </c>
      <c r="AD366" s="434" t="s">
        <v>1660</v>
      </c>
      <c r="AE366" s="434" t="s">
        <v>1659</v>
      </c>
      <c r="AF366" s="434" t="s">
        <v>1659</v>
      </c>
      <c r="AG366" s="427">
        <v>13.0</v>
      </c>
      <c r="AH366" s="435" t="s">
        <v>24</v>
      </c>
      <c r="AI366" s="415"/>
      <c r="AJ366" s="436" t="str">
        <f t="array" ref="AJ366">IF(M366=DGET(claves!$A$2:$AS423,M$2,{claves!$A$2;$E366}),1,0)</f>
        <v>#VALUE!</v>
      </c>
      <c r="AK366" s="436" t="str">
        <f t="array" ref="AK366">IF(N366=DGET(claves!$A$2:$AS423,N$2,{claves!$A$2;$E366}),1,0)</f>
        <v>#VALUE!</v>
      </c>
      <c r="AL366" s="436" t="str">
        <f t="array" ref="AL366">IF(O366=DGET(claves!$A$2:$AS423,O$2,{claves!$A$2;$E366}),1,0)</f>
        <v>#VALUE!</v>
      </c>
      <c r="AM366" s="436" t="str">
        <f t="array" ref="AM366">IF(P366=DGET(claves!$A$2:$AS423,P$2,{claves!$A$2;$E366}),1,0)</f>
        <v>#VALUE!</v>
      </c>
      <c r="AN366" s="436" t="str">
        <f t="array" ref="AN366">IF(Q366=DGET(claves!$A$2:$AS423,Q$2,{claves!$A$2;$E366}),1,0)</f>
        <v>#VALUE!</v>
      </c>
      <c r="AO366" s="436" t="str">
        <f t="array" ref="AO366">IF(R366=DGET(claves!$A$2:$AS423,R$2,{claves!$A$2;$E366}),1,0)</f>
        <v>#VALUE!</v>
      </c>
      <c r="AP366" s="436" t="str">
        <f t="array" ref="AP366">IF(S366=DGET(claves!$A$2:$AS423,S$2,{claves!$A$2;$E366}),1,0)</f>
        <v>#VALUE!</v>
      </c>
      <c r="AQ366" s="436" t="str">
        <f t="array" ref="AQ366">IF(T366=DGET(claves!$A$2:$AS423,T$2,{claves!$A$2;$E366}),1,0)</f>
        <v>#VALUE!</v>
      </c>
      <c r="AR366" s="436" t="str">
        <f t="array" ref="AR366">IF(U366=DGET(claves!$A$2:$AS423,U$2,{claves!$A$2;$E366}),1,0)</f>
        <v>#VALUE!</v>
      </c>
      <c r="AS366" s="436" t="str">
        <f t="array" ref="AS366">IF(V366=DGET(claves!$A$2:$AS423,V$2,{claves!$A$2;$E366}),1,0)</f>
        <v>#VALUE!</v>
      </c>
      <c r="AT366" s="436" t="str">
        <f t="array" ref="AT366">IF(W366=DGET(claves!$A$2:$AS423,W$2,{claves!$A$2;$E366}),1,0)</f>
        <v>#VALUE!</v>
      </c>
      <c r="AU366" s="436" t="str">
        <f t="array" ref="AU366">IF(X366=DGET(claves!$A$2:$AS423,X$2,{claves!$A$2;$E366}),1,0)</f>
        <v>#VALUE!</v>
      </c>
      <c r="AV366" s="436" t="str">
        <f t="array" ref="AV366">IF(Y366=DGET(claves!$A$2:$AS423,Y$2,{claves!$A$2;$E366}),1,0)</f>
        <v>#VALUE!</v>
      </c>
      <c r="AW366" s="436" t="str">
        <f t="array" ref="AW366">IF(Z366=DGET(claves!$A$2:$AS423,Z$2,{claves!$A$2;$E366}),1,0)</f>
        <v>#VALUE!</v>
      </c>
      <c r="AX366" s="436" t="str">
        <f t="array" ref="AX366">IF(AA366=DGET(claves!$A$2:$AS423,AA$2,{claves!$A$2;$E366}),1,0)</f>
        <v>#VALUE!</v>
      </c>
      <c r="AY366" s="436" t="str">
        <f t="array" ref="AY366">IF(AB366=DGET(claves!$A$2:$AS423,AB$2,{claves!$A$2;$E366}),1,0)</f>
        <v>#VALUE!</v>
      </c>
      <c r="AZ366" s="436" t="str">
        <f t="array" ref="AZ366">IF(AC366=DGET(claves!$A$2:$AS423,AC$2,{claves!$A$2;$E366}),1,0)</f>
        <v>#VALUE!</v>
      </c>
      <c r="BA366" s="436" t="str">
        <f t="array" ref="BA366">IF(AD366=DGET(claves!$A$2:$AS423,AD$2,{claves!$A$2;$E366}),1,0)</f>
        <v>#VALUE!</v>
      </c>
      <c r="BB366" s="436" t="str">
        <f t="array" ref="BB366">IF(AE366=DGET(claves!$A$2:$AS423,AE$2,{claves!$A$2;$E366}),1,0)</f>
        <v>#VALUE!</v>
      </c>
      <c r="BC366" s="436" t="str">
        <f t="array" ref="BC366">IF(AF366=DGET(claves!$A$2:$AS423,AF$2,{claves!$A$2;$E366}),1,0)</f>
        <v>#VALUE!</v>
      </c>
      <c r="BD366" s="437" t="str">
        <f t="shared" si="1"/>
        <v>#VALUE!</v>
      </c>
      <c r="BE366" s="435"/>
      <c r="BF366" s="415"/>
    </row>
    <row r="367" ht="14.25" customHeight="1">
      <c r="A367" s="408">
        <v>365.0</v>
      </c>
      <c r="B367" s="153" t="s">
        <v>227</v>
      </c>
      <c r="C367" s="153">
        <v>2024.0</v>
      </c>
      <c r="D367" s="77" t="s">
        <v>362</v>
      </c>
      <c r="E367" s="409" t="str">
        <f>IFERROR(__xludf.DUMMYFUNCTION("ARRAYFORMULA(JOIN("""", ARRAYFORMULA(MID(SPLIT(F367, "" ""), 1, 1))))
&amp;""/""&amp;G367"),"MQ/4 Primaria")</f>
        <v>MQ/4 Primaria</v>
      </c>
      <c r="F367" s="77" t="s">
        <v>1823</v>
      </c>
      <c r="G367" s="432" t="s">
        <v>20</v>
      </c>
      <c r="H367" s="433" t="s">
        <v>1684</v>
      </c>
      <c r="I367" s="433" t="s">
        <v>1875</v>
      </c>
      <c r="J367" s="433" t="s">
        <v>2033</v>
      </c>
      <c r="K367" s="432" t="s">
        <v>1665</v>
      </c>
      <c r="L367" s="415"/>
      <c r="M367" s="434" t="s">
        <v>1689</v>
      </c>
      <c r="N367" s="434" t="s">
        <v>1661</v>
      </c>
      <c r="O367" s="434" t="s">
        <v>1689</v>
      </c>
      <c r="P367" s="434" t="s">
        <v>1689</v>
      </c>
      <c r="Q367" s="434" t="s">
        <v>1661</v>
      </c>
      <c r="R367" s="434" t="s">
        <v>1660</v>
      </c>
      <c r="S367" s="434" t="s">
        <v>1661</v>
      </c>
      <c r="T367" s="434" t="s">
        <v>1689</v>
      </c>
      <c r="U367" s="434" t="s">
        <v>1659</v>
      </c>
      <c r="V367" s="434" t="s">
        <v>1660</v>
      </c>
      <c r="W367" s="434" t="s">
        <v>1689</v>
      </c>
      <c r="X367" s="434" t="s">
        <v>1660</v>
      </c>
      <c r="Y367" s="434" t="s">
        <v>1661</v>
      </c>
      <c r="Z367" s="434" t="s">
        <v>1659</v>
      </c>
      <c r="AA367" s="434" t="s">
        <v>1689</v>
      </c>
      <c r="AB367" s="434" t="s">
        <v>1660</v>
      </c>
      <c r="AC367" s="434" t="s">
        <v>1689</v>
      </c>
      <c r="AD367" s="434" t="s">
        <v>1661</v>
      </c>
      <c r="AE367" s="434" t="s">
        <v>1660</v>
      </c>
      <c r="AF367" s="434" t="s">
        <v>1660</v>
      </c>
      <c r="AG367" s="427">
        <v>10.0</v>
      </c>
      <c r="AH367" s="435" t="s">
        <v>18</v>
      </c>
      <c r="AI367" s="415"/>
      <c r="AJ367" s="436" t="str">
        <f t="array" ref="AJ367">IF(M367=DGET(claves!$A$2:$AS423,M$2,{claves!$A$2;$E367}),1,0)</f>
        <v>#VALUE!</v>
      </c>
      <c r="AK367" s="436" t="str">
        <f t="array" ref="AK367">IF(N367=DGET(claves!$A$2:$AS423,N$2,{claves!$A$2;$E367}),1,0)</f>
        <v>#VALUE!</v>
      </c>
      <c r="AL367" s="436" t="str">
        <f t="array" ref="AL367">IF(O367=DGET(claves!$A$2:$AS423,O$2,{claves!$A$2;$E367}),1,0)</f>
        <v>#VALUE!</v>
      </c>
      <c r="AM367" s="436" t="str">
        <f t="array" ref="AM367">IF(P367=DGET(claves!$A$2:$AS423,P$2,{claves!$A$2;$E367}),1,0)</f>
        <v>#VALUE!</v>
      </c>
      <c r="AN367" s="436" t="str">
        <f t="array" ref="AN367">IF(Q367=DGET(claves!$A$2:$AS423,Q$2,{claves!$A$2;$E367}),1,0)</f>
        <v>#VALUE!</v>
      </c>
      <c r="AO367" s="436" t="str">
        <f t="array" ref="AO367">IF(R367=DGET(claves!$A$2:$AS423,R$2,{claves!$A$2;$E367}),1,0)</f>
        <v>#VALUE!</v>
      </c>
      <c r="AP367" s="436" t="str">
        <f t="array" ref="AP367">IF(S367=DGET(claves!$A$2:$AS423,S$2,{claves!$A$2;$E367}),1,0)</f>
        <v>#VALUE!</v>
      </c>
      <c r="AQ367" s="436" t="str">
        <f t="array" ref="AQ367">IF(T367=DGET(claves!$A$2:$AS423,T$2,{claves!$A$2;$E367}),1,0)</f>
        <v>#VALUE!</v>
      </c>
      <c r="AR367" s="436" t="str">
        <f t="array" ref="AR367">IF(U367=DGET(claves!$A$2:$AS423,U$2,{claves!$A$2;$E367}),1,0)</f>
        <v>#VALUE!</v>
      </c>
      <c r="AS367" s="436" t="str">
        <f t="array" ref="AS367">IF(V367=DGET(claves!$A$2:$AS423,V$2,{claves!$A$2;$E367}),1,0)</f>
        <v>#VALUE!</v>
      </c>
      <c r="AT367" s="436" t="str">
        <f t="array" ref="AT367">IF(W367=DGET(claves!$A$2:$AS423,W$2,{claves!$A$2;$E367}),1,0)</f>
        <v>#VALUE!</v>
      </c>
      <c r="AU367" s="436" t="str">
        <f t="array" ref="AU367">IF(X367=DGET(claves!$A$2:$AS423,X$2,{claves!$A$2;$E367}),1,0)</f>
        <v>#VALUE!</v>
      </c>
      <c r="AV367" s="436" t="str">
        <f t="array" ref="AV367">IF(Y367=DGET(claves!$A$2:$AS423,Y$2,{claves!$A$2;$E367}),1,0)</f>
        <v>#VALUE!</v>
      </c>
      <c r="AW367" s="436" t="str">
        <f t="array" ref="AW367">IF(Z367=DGET(claves!$A$2:$AS423,Z$2,{claves!$A$2;$E367}),1,0)</f>
        <v>#VALUE!</v>
      </c>
      <c r="AX367" s="436" t="str">
        <f t="array" ref="AX367">IF(AA367=DGET(claves!$A$2:$AS423,AA$2,{claves!$A$2;$E367}),1,0)</f>
        <v>#VALUE!</v>
      </c>
      <c r="AY367" s="436" t="str">
        <f t="array" ref="AY367">IF(AB367=DGET(claves!$A$2:$AS423,AB$2,{claves!$A$2;$E367}),1,0)</f>
        <v>#VALUE!</v>
      </c>
      <c r="AZ367" s="436" t="str">
        <f t="array" ref="AZ367">IF(AC367=DGET(claves!$A$2:$AS423,AC$2,{claves!$A$2;$E367}),1,0)</f>
        <v>#VALUE!</v>
      </c>
      <c r="BA367" s="436" t="str">
        <f t="array" ref="BA367">IF(AD367=DGET(claves!$A$2:$AS423,AD$2,{claves!$A$2;$E367}),1,0)</f>
        <v>#VALUE!</v>
      </c>
      <c r="BB367" s="436" t="str">
        <f t="array" ref="BB367">IF(AE367=DGET(claves!$A$2:$AS423,AE$2,{claves!$A$2;$E367}),1,0)</f>
        <v>#VALUE!</v>
      </c>
      <c r="BC367" s="436" t="str">
        <f t="array" ref="BC367">IF(AF367=DGET(claves!$A$2:$AS423,AF$2,{claves!$A$2;$E367}),1,0)</f>
        <v>#VALUE!</v>
      </c>
      <c r="BD367" s="437" t="str">
        <f t="shared" si="1"/>
        <v>#VALUE!</v>
      </c>
      <c r="BE367" s="435"/>
      <c r="BF367" s="415"/>
    </row>
    <row r="368" ht="14.25" customHeight="1">
      <c r="A368" s="408">
        <v>366.0</v>
      </c>
      <c r="B368" s="153" t="s">
        <v>227</v>
      </c>
      <c r="C368" s="153">
        <v>2024.0</v>
      </c>
      <c r="D368" s="77" t="s">
        <v>1817</v>
      </c>
      <c r="E368" s="409" t="str">
        <f>IFERROR(__xludf.DUMMYFUNCTION("ARRAYFORMULA(JOIN("""", ARRAYFORMULA(MID(SPLIT(F368, "" ""), 1, 1))))
&amp;""/""&amp;G368"),"CLQ/4 Primaria")</f>
        <v>CLQ/4 Primaria</v>
      </c>
      <c r="F368" s="77" t="s">
        <v>1827</v>
      </c>
      <c r="G368" s="432" t="s">
        <v>20</v>
      </c>
      <c r="H368" s="433" t="s">
        <v>1684</v>
      </c>
      <c r="I368" s="433" t="s">
        <v>1875</v>
      </c>
      <c r="J368" s="433" t="s">
        <v>2033</v>
      </c>
      <c r="K368" s="432" t="s">
        <v>1665</v>
      </c>
      <c r="L368" s="415"/>
      <c r="M368" s="434" t="s">
        <v>1659</v>
      </c>
      <c r="N368" s="434" t="s">
        <v>1660</v>
      </c>
      <c r="O368" s="434" t="s">
        <v>1660</v>
      </c>
      <c r="P368" s="434" t="s">
        <v>1659</v>
      </c>
      <c r="Q368" s="434" t="s">
        <v>1661</v>
      </c>
      <c r="R368" s="434" t="s">
        <v>1660</v>
      </c>
      <c r="S368" s="434" t="s">
        <v>1660</v>
      </c>
      <c r="T368" s="434" t="s">
        <v>1661</v>
      </c>
      <c r="U368" s="434" t="s">
        <v>1689</v>
      </c>
      <c r="V368" s="434" t="s">
        <v>1661</v>
      </c>
      <c r="W368" s="434" t="s">
        <v>1689</v>
      </c>
      <c r="X368" s="434" t="s">
        <v>1660</v>
      </c>
      <c r="Y368" s="434" t="s">
        <v>1659</v>
      </c>
      <c r="Z368" s="434" t="s">
        <v>1659</v>
      </c>
      <c r="AA368" s="434" t="s">
        <v>1661</v>
      </c>
      <c r="AB368" s="434" t="s">
        <v>1661</v>
      </c>
      <c r="AC368" s="434" t="s">
        <v>1661</v>
      </c>
      <c r="AD368" s="434" t="s">
        <v>1659</v>
      </c>
      <c r="AE368" s="434" t="s">
        <v>1659</v>
      </c>
      <c r="AF368" s="434" t="s">
        <v>1689</v>
      </c>
      <c r="AG368" s="427">
        <v>18.0</v>
      </c>
      <c r="AH368" s="438" t="s">
        <v>32</v>
      </c>
      <c r="AI368" s="415"/>
      <c r="AJ368" s="436" t="str">
        <f t="array" ref="AJ368">IF(M368=DGET(claves!$A$2:$AS423,M$2,{claves!$A$2;$E368}),1,0)</f>
        <v>#VALUE!</v>
      </c>
      <c r="AK368" s="436" t="str">
        <f t="array" ref="AK368">IF(N368=DGET(claves!$A$2:$AS423,N$2,{claves!$A$2;$E368}),1,0)</f>
        <v>#VALUE!</v>
      </c>
      <c r="AL368" s="436" t="str">
        <f t="array" ref="AL368">IF(O368=DGET(claves!$A$2:$AS423,O$2,{claves!$A$2;$E368}),1,0)</f>
        <v>#VALUE!</v>
      </c>
      <c r="AM368" s="436" t="str">
        <f t="array" ref="AM368">IF(P368=DGET(claves!$A$2:$AS423,P$2,{claves!$A$2;$E368}),1,0)</f>
        <v>#VALUE!</v>
      </c>
      <c r="AN368" s="436" t="str">
        <f t="array" ref="AN368">IF(Q368=DGET(claves!$A$2:$AS423,Q$2,{claves!$A$2;$E368}),1,0)</f>
        <v>#VALUE!</v>
      </c>
      <c r="AO368" s="436" t="str">
        <f t="array" ref="AO368">IF(R368=DGET(claves!$A$2:$AS423,R$2,{claves!$A$2;$E368}),1,0)</f>
        <v>#VALUE!</v>
      </c>
      <c r="AP368" s="436" t="str">
        <f t="array" ref="AP368">IF(S368=DGET(claves!$A$2:$AS423,S$2,{claves!$A$2;$E368}),1,0)</f>
        <v>#VALUE!</v>
      </c>
      <c r="AQ368" s="436" t="str">
        <f t="array" ref="AQ368">IF(T368=DGET(claves!$A$2:$AS423,T$2,{claves!$A$2;$E368}),1,0)</f>
        <v>#VALUE!</v>
      </c>
      <c r="AR368" s="436" t="str">
        <f t="array" ref="AR368">IF(U368=DGET(claves!$A$2:$AS423,U$2,{claves!$A$2;$E368}),1,0)</f>
        <v>#VALUE!</v>
      </c>
      <c r="AS368" s="436" t="str">
        <f t="array" ref="AS368">IF(V368=DGET(claves!$A$2:$AS423,V$2,{claves!$A$2;$E368}),1,0)</f>
        <v>#VALUE!</v>
      </c>
      <c r="AT368" s="436" t="str">
        <f t="array" ref="AT368">IF(W368=DGET(claves!$A$2:$AS423,W$2,{claves!$A$2;$E368}),1,0)</f>
        <v>#VALUE!</v>
      </c>
      <c r="AU368" s="436" t="str">
        <f t="array" ref="AU368">IF(X368=DGET(claves!$A$2:$AS423,X$2,{claves!$A$2;$E368}),1,0)</f>
        <v>#VALUE!</v>
      </c>
      <c r="AV368" s="436" t="str">
        <f t="array" ref="AV368">IF(Y368=DGET(claves!$A$2:$AS423,Y$2,{claves!$A$2;$E368}),1,0)</f>
        <v>#VALUE!</v>
      </c>
      <c r="AW368" s="436" t="str">
        <f t="array" ref="AW368">IF(Z368=DGET(claves!$A$2:$AS423,Z$2,{claves!$A$2;$E368}),1,0)</f>
        <v>#VALUE!</v>
      </c>
      <c r="AX368" s="436" t="str">
        <f t="array" ref="AX368">IF(AA368=DGET(claves!$A$2:$AS423,AA$2,{claves!$A$2;$E368}),1,0)</f>
        <v>#VALUE!</v>
      </c>
      <c r="AY368" s="436" t="str">
        <f t="array" ref="AY368">IF(AB368=DGET(claves!$A$2:$AS423,AB$2,{claves!$A$2;$E368}),1,0)</f>
        <v>#VALUE!</v>
      </c>
      <c r="AZ368" s="436" t="str">
        <f t="array" ref="AZ368">IF(AC368=DGET(claves!$A$2:$AS423,AC$2,{claves!$A$2;$E368}),1,0)</f>
        <v>#VALUE!</v>
      </c>
      <c r="BA368" s="436" t="str">
        <f t="array" ref="BA368">IF(AD368=DGET(claves!$A$2:$AS423,AD$2,{claves!$A$2;$E368}),1,0)</f>
        <v>#VALUE!</v>
      </c>
      <c r="BB368" s="436" t="str">
        <f t="array" ref="BB368">IF(AE368=DGET(claves!$A$2:$AS423,AE$2,{claves!$A$2;$E368}),1,0)</f>
        <v>#VALUE!</v>
      </c>
      <c r="BC368" s="436" t="str">
        <f t="array" ref="BC368">IF(AF368=DGET(claves!$A$2:$AS423,AF$2,{claves!$A$2;$E368}),1,0)</f>
        <v>#VALUE!</v>
      </c>
      <c r="BD368" s="437" t="str">
        <f t="shared" si="1"/>
        <v>#VALUE!</v>
      </c>
      <c r="BE368" s="435"/>
      <c r="BF368" s="415"/>
    </row>
    <row r="369" ht="14.25" customHeight="1">
      <c r="A369" s="408">
        <v>367.0</v>
      </c>
      <c r="B369" s="153" t="s">
        <v>227</v>
      </c>
      <c r="C369" s="153">
        <v>2024.0</v>
      </c>
      <c r="D369" s="77" t="s">
        <v>362</v>
      </c>
      <c r="E369" s="409" t="str">
        <f>IFERROR(__xludf.DUMMYFUNCTION("ARRAYFORMULA(JOIN("""", ARRAYFORMULA(MID(SPLIT(F369, "" ""), 1, 1))))
&amp;""/""&amp;G369"),"MQ/4 Primaria")</f>
        <v>MQ/4 Primaria</v>
      </c>
      <c r="F369" s="77" t="s">
        <v>1823</v>
      </c>
      <c r="G369" s="432" t="s">
        <v>20</v>
      </c>
      <c r="H369" s="433" t="s">
        <v>1684</v>
      </c>
      <c r="I369" s="433" t="s">
        <v>1684</v>
      </c>
      <c r="J369" s="433" t="s">
        <v>1859</v>
      </c>
      <c r="K369" s="432" t="s">
        <v>1665</v>
      </c>
      <c r="L369" s="415"/>
      <c r="M369" s="434" t="s">
        <v>1659</v>
      </c>
      <c r="N369" s="434" t="s">
        <v>1661</v>
      </c>
      <c r="O369" s="434" t="s">
        <v>1689</v>
      </c>
      <c r="P369" s="434" t="s">
        <v>1661</v>
      </c>
      <c r="Q369" s="434" t="s">
        <v>1689</v>
      </c>
      <c r="R369" s="434" t="s">
        <v>1689</v>
      </c>
      <c r="S369" s="434" t="s">
        <v>1660</v>
      </c>
      <c r="T369" s="434" t="s">
        <v>1661</v>
      </c>
      <c r="U369" s="434"/>
      <c r="V369" s="434"/>
      <c r="W369" s="434"/>
      <c r="X369" s="434" t="s">
        <v>1660</v>
      </c>
      <c r="Y369" s="434" t="s">
        <v>1660</v>
      </c>
      <c r="Z369" s="434" t="s">
        <v>1661</v>
      </c>
      <c r="AA369" s="434" t="s">
        <v>1660</v>
      </c>
      <c r="AB369" s="434" t="s">
        <v>1661</v>
      </c>
      <c r="AC369" s="434" t="s">
        <v>1661</v>
      </c>
      <c r="AD369" s="434" t="s">
        <v>1661</v>
      </c>
      <c r="AE369" s="434" t="s">
        <v>1660</v>
      </c>
      <c r="AF369" s="434" t="s">
        <v>1659</v>
      </c>
      <c r="AG369" s="427">
        <v>7.0</v>
      </c>
      <c r="AH369" s="435" t="s">
        <v>18</v>
      </c>
      <c r="AI369" s="415"/>
      <c r="AJ369" s="436" t="str">
        <f t="array" ref="AJ369">IF(M369=DGET(claves!$A$2:$AS423,M$2,{claves!$A$2;$E369}),1,0)</f>
        <v>#VALUE!</v>
      </c>
      <c r="AK369" s="436" t="str">
        <f t="array" ref="AK369">IF(N369=DGET(claves!$A$2:$AS423,N$2,{claves!$A$2;$E369}),1,0)</f>
        <v>#VALUE!</v>
      </c>
      <c r="AL369" s="436" t="str">
        <f t="array" ref="AL369">IF(O369=DGET(claves!$A$2:$AS423,O$2,{claves!$A$2;$E369}),1,0)</f>
        <v>#VALUE!</v>
      </c>
      <c r="AM369" s="436" t="str">
        <f t="array" ref="AM369">IF(P369=DGET(claves!$A$2:$AS423,P$2,{claves!$A$2;$E369}),1,0)</f>
        <v>#VALUE!</v>
      </c>
      <c r="AN369" s="436" t="str">
        <f t="array" ref="AN369">IF(Q369=DGET(claves!$A$2:$AS423,Q$2,{claves!$A$2;$E369}),1,0)</f>
        <v>#VALUE!</v>
      </c>
      <c r="AO369" s="436" t="str">
        <f t="array" ref="AO369">IF(R369=DGET(claves!$A$2:$AS423,R$2,{claves!$A$2;$E369}),1,0)</f>
        <v>#VALUE!</v>
      </c>
      <c r="AP369" s="436" t="str">
        <f t="array" ref="AP369">IF(S369=DGET(claves!$A$2:$AS423,S$2,{claves!$A$2;$E369}),1,0)</f>
        <v>#VALUE!</v>
      </c>
      <c r="AQ369" s="436" t="str">
        <f t="array" ref="AQ369">IF(T369=DGET(claves!$A$2:$AS423,T$2,{claves!$A$2;$E369}),1,0)</f>
        <v>#VALUE!</v>
      </c>
      <c r="AR369" s="436" t="str">
        <f t="array" ref="AR369">IF(U369=DGET(claves!$A$2:$AS423,U$2,{claves!$A$2;$E369}),1,0)</f>
        <v>#VALUE!</v>
      </c>
      <c r="AS369" s="436" t="str">
        <f t="array" ref="AS369">IF(V369=DGET(claves!$A$2:$AS423,V$2,{claves!$A$2;$E369}),1,0)</f>
        <v>#VALUE!</v>
      </c>
      <c r="AT369" s="436" t="str">
        <f t="array" ref="AT369">IF(W369=DGET(claves!$A$2:$AS423,W$2,{claves!$A$2;$E369}),1,0)</f>
        <v>#VALUE!</v>
      </c>
      <c r="AU369" s="436" t="str">
        <f t="array" ref="AU369">IF(X369=DGET(claves!$A$2:$AS423,X$2,{claves!$A$2;$E369}),1,0)</f>
        <v>#VALUE!</v>
      </c>
      <c r="AV369" s="436" t="str">
        <f t="array" ref="AV369">IF(Y369=DGET(claves!$A$2:$AS423,Y$2,{claves!$A$2;$E369}),1,0)</f>
        <v>#VALUE!</v>
      </c>
      <c r="AW369" s="436" t="str">
        <f t="array" ref="AW369">IF(Z369=DGET(claves!$A$2:$AS423,Z$2,{claves!$A$2;$E369}),1,0)</f>
        <v>#VALUE!</v>
      </c>
      <c r="AX369" s="436" t="str">
        <f t="array" ref="AX369">IF(AA369=DGET(claves!$A$2:$AS423,AA$2,{claves!$A$2;$E369}),1,0)</f>
        <v>#VALUE!</v>
      </c>
      <c r="AY369" s="436" t="str">
        <f t="array" ref="AY369">IF(AB369=DGET(claves!$A$2:$AS423,AB$2,{claves!$A$2;$E369}),1,0)</f>
        <v>#VALUE!</v>
      </c>
      <c r="AZ369" s="436" t="str">
        <f t="array" ref="AZ369">IF(AC369=DGET(claves!$A$2:$AS423,AC$2,{claves!$A$2;$E369}),1,0)</f>
        <v>#VALUE!</v>
      </c>
      <c r="BA369" s="436" t="str">
        <f t="array" ref="BA369">IF(AD369=DGET(claves!$A$2:$AS423,AD$2,{claves!$A$2;$E369}),1,0)</f>
        <v>#VALUE!</v>
      </c>
      <c r="BB369" s="436" t="str">
        <f t="array" ref="BB369">IF(AE369=DGET(claves!$A$2:$AS423,AE$2,{claves!$A$2;$E369}),1,0)</f>
        <v>#VALUE!</v>
      </c>
      <c r="BC369" s="436" t="str">
        <f t="array" ref="BC369">IF(AF369=DGET(claves!$A$2:$AS423,AF$2,{claves!$A$2;$E369}),1,0)</f>
        <v>#VALUE!</v>
      </c>
      <c r="BD369" s="437" t="str">
        <f t="shared" si="1"/>
        <v>#VALUE!</v>
      </c>
      <c r="BE369" s="435"/>
      <c r="BF369" s="415"/>
    </row>
    <row r="370" ht="14.25" customHeight="1">
      <c r="A370" s="408">
        <v>368.0</v>
      </c>
      <c r="B370" s="153" t="s">
        <v>227</v>
      </c>
      <c r="C370" s="153">
        <v>2024.0</v>
      </c>
      <c r="D370" s="77" t="s">
        <v>1817</v>
      </c>
      <c r="E370" s="409" t="str">
        <f>IFERROR(__xludf.DUMMYFUNCTION("ARRAYFORMULA(JOIN("""", ARRAYFORMULA(MID(SPLIT(F370, "" ""), 1, 1))))
&amp;""/""&amp;G370"),"CLQ/4 Primaria")</f>
        <v>CLQ/4 Primaria</v>
      </c>
      <c r="F370" s="77" t="s">
        <v>1827</v>
      </c>
      <c r="G370" s="432" t="s">
        <v>20</v>
      </c>
      <c r="H370" s="433" t="s">
        <v>1684</v>
      </c>
      <c r="I370" s="433" t="s">
        <v>1684</v>
      </c>
      <c r="J370" s="433" t="s">
        <v>1859</v>
      </c>
      <c r="K370" s="433" t="s">
        <v>1658</v>
      </c>
      <c r="L370" s="415"/>
      <c r="M370" s="434" t="s">
        <v>1659</v>
      </c>
      <c r="N370" s="434" t="s">
        <v>1689</v>
      </c>
      <c r="O370" s="434" t="s">
        <v>1660</v>
      </c>
      <c r="P370" s="434" t="s">
        <v>1689</v>
      </c>
      <c r="Q370" s="434" t="s">
        <v>1689</v>
      </c>
      <c r="R370" s="434" t="s">
        <v>1661</v>
      </c>
      <c r="S370" s="434" t="s">
        <v>1659</v>
      </c>
      <c r="T370" s="434" t="s">
        <v>1661</v>
      </c>
      <c r="U370" s="434" t="s">
        <v>1661</v>
      </c>
      <c r="V370" s="434" t="s">
        <v>1661</v>
      </c>
      <c r="W370" s="434" t="s">
        <v>1660</v>
      </c>
      <c r="X370" s="434" t="s">
        <v>1660</v>
      </c>
      <c r="Y370" s="434" t="s">
        <v>1660</v>
      </c>
      <c r="Z370" s="434" t="s">
        <v>1689</v>
      </c>
      <c r="AA370" s="434" t="s">
        <v>1689</v>
      </c>
      <c r="AB370" s="434" t="s">
        <v>1689</v>
      </c>
      <c r="AC370" s="434" t="s">
        <v>1689</v>
      </c>
      <c r="AD370" s="434" t="s">
        <v>1661</v>
      </c>
      <c r="AE370" s="434" t="s">
        <v>1661</v>
      </c>
      <c r="AF370" s="434" t="s">
        <v>1660</v>
      </c>
      <c r="AG370" s="427">
        <v>4.0</v>
      </c>
      <c r="AH370" s="435" t="s">
        <v>18</v>
      </c>
      <c r="AI370" s="415"/>
      <c r="AJ370" s="436" t="str">
        <f t="array" ref="AJ370">IF(M370=DGET(claves!$A$2:$AS423,M$2,{claves!$A$2;$E370}),1,0)</f>
        <v>#VALUE!</v>
      </c>
      <c r="AK370" s="436" t="str">
        <f t="array" ref="AK370">IF(N370=DGET(claves!$A$2:$AS423,N$2,{claves!$A$2;$E370}),1,0)</f>
        <v>#VALUE!</v>
      </c>
      <c r="AL370" s="436" t="str">
        <f t="array" ref="AL370">IF(O370=DGET(claves!$A$2:$AS423,O$2,{claves!$A$2;$E370}),1,0)</f>
        <v>#VALUE!</v>
      </c>
      <c r="AM370" s="436" t="str">
        <f t="array" ref="AM370">IF(P370=DGET(claves!$A$2:$AS423,P$2,{claves!$A$2;$E370}),1,0)</f>
        <v>#VALUE!</v>
      </c>
      <c r="AN370" s="436" t="str">
        <f t="array" ref="AN370">IF(Q370=DGET(claves!$A$2:$AS423,Q$2,{claves!$A$2;$E370}),1,0)</f>
        <v>#VALUE!</v>
      </c>
      <c r="AO370" s="436" t="str">
        <f t="array" ref="AO370">IF(R370=DGET(claves!$A$2:$AS423,R$2,{claves!$A$2;$E370}),1,0)</f>
        <v>#VALUE!</v>
      </c>
      <c r="AP370" s="436" t="str">
        <f t="array" ref="AP370">IF(S370=DGET(claves!$A$2:$AS423,S$2,{claves!$A$2;$E370}),1,0)</f>
        <v>#VALUE!</v>
      </c>
      <c r="AQ370" s="436" t="str">
        <f t="array" ref="AQ370">IF(T370=DGET(claves!$A$2:$AS423,T$2,{claves!$A$2;$E370}),1,0)</f>
        <v>#VALUE!</v>
      </c>
      <c r="AR370" s="436" t="str">
        <f t="array" ref="AR370">IF(U370=DGET(claves!$A$2:$AS423,U$2,{claves!$A$2;$E370}),1,0)</f>
        <v>#VALUE!</v>
      </c>
      <c r="AS370" s="436" t="str">
        <f t="array" ref="AS370">IF(V370=DGET(claves!$A$2:$AS423,V$2,{claves!$A$2;$E370}),1,0)</f>
        <v>#VALUE!</v>
      </c>
      <c r="AT370" s="436" t="str">
        <f t="array" ref="AT370">IF(W370=DGET(claves!$A$2:$AS423,W$2,{claves!$A$2;$E370}),1,0)</f>
        <v>#VALUE!</v>
      </c>
      <c r="AU370" s="436" t="str">
        <f t="array" ref="AU370">IF(X370=DGET(claves!$A$2:$AS423,X$2,{claves!$A$2;$E370}),1,0)</f>
        <v>#VALUE!</v>
      </c>
      <c r="AV370" s="436" t="str">
        <f t="array" ref="AV370">IF(Y370=DGET(claves!$A$2:$AS423,Y$2,{claves!$A$2;$E370}),1,0)</f>
        <v>#VALUE!</v>
      </c>
      <c r="AW370" s="436" t="str">
        <f t="array" ref="AW370">IF(Z370=DGET(claves!$A$2:$AS423,Z$2,{claves!$A$2;$E370}),1,0)</f>
        <v>#VALUE!</v>
      </c>
      <c r="AX370" s="436" t="str">
        <f t="array" ref="AX370">IF(AA370=DGET(claves!$A$2:$AS423,AA$2,{claves!$A$2;$E370}),1,0)</f>
        <v>#VALUE!</v>
      </c>
      <c r="AY370" s="436" t="str">
        <f t="array" ref="AY370">IF(AB370=DGET(claves!$A$2:$AS423,AB$2,{claves!$A$2;$E370}),1,0)</f>
        <v>#VALUE!</v>
      </c>
      <c r="AZ370" s="436" t="str">
        <f t="array" ref="AZ370">IF(AC370=DGET(claves!$A$2:$AS423,AC$2,{claves!$A$2;$E370}),1,0)</f>
        <v>#VALUE!</v>
      </c>
      <c r="BA370" s="436" t="str">
        <f t="array" ref="BA370">IF(AD370=DGET(claves!$A$2:$AS423,AD$2,{claves!$A$2;$E370}),1,0)</f>
        <v>#VALUE!</v>
      </c>
      <c r="BB370" s="436" t="str">
        <f t="array" ref="BB370">IF(AE370=DGET(claves!$A$2:$AS423,AE$2,{claves!$A$2;$E370}),1,0)</f>
        <v>#VALUE!</v>
      </c>
      <c r="BC370" s="436" t="str">
        <f t="array" ref="BC370">IF(AF370=DGET(claves!$A$2:$AS423,AF$2,{claves!$A$2;$E370}),1,0)</f>
        <v>#VALUE!</v>
      </c>
      <c r="BD370" s="437" t="str">
        <f t="shared" si="1"/>
        <v>#VALUE!</v>
      </c>
      <c r="BE370" s="435"/>
      <c r="BF370" s="415"/>
    </row>
    <row r="371" ht="14.25" customHeight="1">
      <c r="A371" s="408">
        <v>369.0</v>
      </c>
      <c r="B371" s="153" t="s">
        <v>227</v>
      </c>
      <c r="C371" s="153">
        <v>2024.0</v>
      </c>
      <c r="D371" s="77" t="s">
        <v>362</v>
      </c>
      <c r="E371" s="409" t="str">
        <f>IFERROR(__xludf.DUMMYFUNCTION("ARRAYFORMULA(JOIN("""", ARRAYFORMULA(MID(SPLIT(F371, "" ""), 1, 1))))
&amp;""/""&amp;G371"),"MQ/6 Primaria")</f>
        <v>MQ/6 Primaria</v>
      </c>
      <c r="F371" s="77" t="s">
        <v>1823</v>
      </c>
      <c r="G371" s="432" t="s">
        <v>22</v>
      </c>
      <c r="H371" s="433" t="s">
        <v>1875</v>
      </c>
      <c r="I371" s="433" t="s">
        <v>1945</v>
      </c>
      <c r="J371" s="433" t="s">
        <v>2034</v>
      </c>
      <c r="K371" s="432" t="s">
        <v>1665</v>
      </c>
      <c r="L371" s="415"/>
      <c r="M371" s="434" t="s">
        <v>1661</v>
      </c>
      <c r="N371" s="434" t="s">
        <v>1689</v>
      </c>
      <c r="O371" s="434" t="s">
        <v>1689</v>
      </c>
      <c r="P371" s="434" t="s">
        <v>1659</v>
      </c>
      <c r="Q371" s="434" t="s">
        <v>1661</v>
      </c>
      <c r="R371" s="434" t="s">
        <v>1689</v>
      </c>
      <c r="S371" s="434" t="s">
        <v>1659</v>
      </c>
      <c r="T371" s="434" t="s">
        <v>1659</v>
      </c>
      <c r="U371" s="434" t="s">
        <v>1659</v>
      </c>
      <c r="V371" s="434" t="s">
        <v>1689</v>
      </c>
      <c r="W371" s="434" t="s">
        <v>1661</v>
      </c>
      <c r="X371" s="434" t="s">
        <v>1661</v>
      </c>
      <c r="Y371" s="434" t="s">
        <v>1660</v>
      </c>
      <c r="Z371" s="434" t="s">
        <v>1661</v>
      </c>
      <c r="AA371" s="434" t="s">
        <v>1659</v>
      </c>
      <c r="AB371" s="434" t="s">
        <v>1689</v>
      </c>
      <c r="AC371" s="434" t="s">
        <v>1660</v>
      </c>
      <c r="AD371" s="434" t="s">
        <v>1659</v>
      </c>
      <c r="AE371" s="434" t="s">
        <v>1689</v>
      </c>
      <c r="AF371" s="434" t="s">
        <v>1660</v>
      </c>
      <c r="AG371" s="427">
        <v>13.0</v>
      </c>
      <c r="AH371" s="435" t="s">
        <v>24</v>
      </c>
      <c r="AI371" s="415"/>
      <c r="AJ371" s="436" t="str">
        <f t="array" ref="AJ371">IF(M371=DGET(claves!$A$2:$AS423,M$2,{claves!$A$2;$E371}),1,0)</f>
        <v>#VALUE!</v>
      </c>
      <c r="AK371" s="436" t="str">
        <f t="array" ref="AK371">IF(N371=DGET(claves!$A$2:$AS423,N$2,{claves!$A$2;$E371}),1,0)</f>
        <v>#VALUE!</v>
      </c>
      <c r="AL371" s="436" t="str">
        <f t="array" ref="AL371">IF(O371=DGET(claves!$A$2:$AS423,O$2,{claves!$A$2;$E371}),1,0)</f>
        <v>#VALUE!</v>
      </c>
      <c r="AM371" s="436" t="str">
        <f t="array" ref="AM371">IF(P371=DGET(claves!$A$2:$AS423,P$2,{claves!$A$2;$E371}),1,0)</f>
        <v>#VALUE!</v>
      </c>
      <c r="AN371" s="436" t="str">
        <f t="array" ref="AN371">IF(Q371=DGET(claves!$A$2:$AS423,Q$2,{claves!$A$2;$E371}),1,0)</f>
        <v>#VALUE!</v>
      </c>
      <c r="AO371" s="436" t="str">
        <f t="array" ref="AO371">IF(R371=DGET(claves!$A$2:$AS423,R$2,{claves!$A$2;$E371}),1,0)</f>
        <v>#VALUE!</v>
      </c>
      <c r="AP371" s="436" t="str">
        <f t="array" ref="AP371">IF(S371=DGET(claves!$A$2:$AS423,S$2,{claves!$A$2;$E371}),1,0)</f>
        <v>#VALUE!</v>
      </c>
      <c r="AQ371" s="436" t="str">
        <f t="array" ref="AQ371">IF(T371=DGET(claves!$A$2:$AS423,T$2,{claves!$A$2;$E371}),1,0)</f>
        <v>#VALUE!</v>
      </c>
      <c r="AR371" s="436" t="str">
        <f t="array" ref="AR371">IF(U371=DGET(claves!$A$2:$AS423,U$2,{claves!$A$2;$E371}),1,0)</f>
        <v>#VALUE!</v>
      </c>
      <c r="AS371" s="436" t="str">
        <f t="array" ref="AS371">IF(V371=DGET(claves!$A$2:$AS423,V$2,{claves!$A$2;$E371}),1,0)</f>
        <v>#VALUE!</v>
      </c>
      <c r="AT371" s="436" t="str">
        <f t="array" ref="AT371">IF(W371=DGET(claves!$A$2:$AS423,W$2,{claves!$A$2;$E371}),1,0)</f>
        <v>#VALUE!</v>
      </c>
      <c r="AU371" s="436" t="str">
        <f t="array" ref="AU371">IF(X371=DGET(claves!$A$2:$AS423,X$2,{claves!$A$2;$E371}),1,0)</f>
        <v>#VALUE!</v>
      </c>
      <c r="AV371" s="436" t="str">
        <f t="array" ref="AV371">IF(Y371=DGET(claves!$A$2:$AS423,Y$2,{claves!$A$2;$E371}),1,0)</f>
        <v>#VALUE!</v>
      </c>
      <c r="AW371" s="436" t="str">
        <f t="array" ref="AW371">IF(Z371=DGET(claves!$A$2:$AS423,Z$2,{claves!$A$2;$E371}),1,0)</f>
        <v>#VALUE!</v>
      </c>
      <c r="AX371" s="436" t="str">
        <f t="array" ref="AX371">IF(AA371=DGET(claves!$A$2:$AS423,AA$2,{claves!$A$2;$E371}),1,0)</f>
        <v>#VALUE!</v>
      </c>
      <c r="AY371" s="436" t="str">
        <f t="array" ref="AY371">IF(AB371=DGET(claves!$A$2:$AS423,AB$2,{claves!$A$2;$E371}),1,0)</f>
        <v>#VALUE!</v>
      </c>
      <c r="AZ371" s="436" t="str">
        <f t="array" ref="AZ371">IF(AC371=DGET(claves!$A$2:$AS423,AC$2,{claves!$A$2;$E371}),1,0)</f>
        <v>#VALUE!</v>
      </c>
      <c r="BA371" s="436" t="str">
        <f t="array" ref="BA371">IF(AD371=DGET(claves!$A$2:$AS423,AD$2,{claves!$A$2;$E371}),1,0)</f>
        <v>#VALUE!</v>
      </c>
      <c r="BB371" s="436" t="str">
        <f t="array" ref="BB371">IF(AE371=DGET(claves!$A$2:$AS423,AE$2,{claves!$A$2;$E371}),1,0)</f>
        <v>#VALUE!</v>
      </c>
      <c r="BC371" s="436" t="str">
        <f t="array" ref="BC371">IF(AF371=DGET(claves!$A$2:$AS423,AF$2,{claves!$A$2;$E371}),1,0)</f>
        <v>#VALUE!</v>
      </c>
      <c r="BD371" s="437" t="str">
        <f t="shared" si="1"/>
        <v>#VALUE!</v>
      </c>
      <c r="BE371" s="435"/>
      <c r="BF371" s="415"/>
    </row>
    <row r="372" ht="14.25" customHeight="1">
      <c r="A372" s="408">
        <v>370.0</v>
      </c>
      <c r="B372" s="153" t="s">
        <v>227</v>
      </c>
      <c r="C372" s="153">
        <v>2024.0</v>
      </c>
      <c r="D372" s="77" t="s">
        <v>1817</v>
      </c>
      <c r="E372" s="409" t="str">
        <f>IFERROR(__xludf.DUMMYFUNCTION("ARRAYFORMULA(JOIN("""", ARRAYFORMULA(MID(SPLIT(F372, "" ""), 1, 1))))
&amp;""/""&amp;G372"),"CLQ/6 Primaria")</f>
        <v>CLQ/6 Primaria</v>
      </c>
      <c r="F372" s="77" t="s">
        <v>1827</v>
      </c>
      <c r="G372" s="432" t="s">
        <v>22</v>
      </c>
      <c r="H372" s="433" t="s">
        <v>1875</v>
      </c>
      <c r="I372" s="433" t="s">
        <v>1945</v>
      </c>
      <c r="J372" s="433" t="s">
        <v>2034</v>
      </c>
      <c r="K372" s="433" t="s">
        <v>1658</v>
      </c>
      <c r="L372" s="415"/>
      <c r="M372" s="434" t="s">
        <v>1661</v>
      </c>
      <c r="N372" s="434" t="s">
        <v>1660</v>
      </c>
      <c r="O372" s="434" t="s">
        <v>1689</v>
      </c>
      <c r="P372" s="434" t="s">
        <v>1689</v>
      </c>
      <c r="Q372" s="434" t="s">
        <v>1689</v>
      </c>
      <c r="R372" s="434" t="s">
        <v>1689</v>
      </c>
      <c r="S372" s="434" t="s">
        <v>1659</v>
      </c>
      <c r="T372" s="434" t="s">
        <v>1661</v>
      </c>
      <c r="U372" s="434" t="s">
        <v>1661</v>
      </c>
      <c r="V372" s="434" t="s">
        <v>1661</v>
      </c>
      <c r="W372" s="434" t="s">
        <v>1689</v>
      </c>
      <c r="X372" s="434" t="s">
        <v>1661</v>
      </c>
      <c r="Y372" s="434" t="s">
        <v>1660</v>
      </c>
      <c r="Z372" s="434" t="s">
        <v>1661</v>
      </c>
      <c r="AA372" s="434" t="s">
        <v>1660</v>
      </c>
      <c r="AB372" s="434" t="s">
        <v>1660</v>
      </c>
      <c r="AC372" s="434" t="s">
        <v>1689</v>
      </c>
      <c r="AD372" s="434" t="s">
        <v>1660</v>
      </c>
      <c r="AE372" s="434" t="s">
        <v>1689</v>
      </c>
      <c r="AF372" s="434" t="s">
        <v>1689</v>
      </c>
      <c r="AG372" s="427">
        <v>10.0</v>
      </c>
      <c r="AH372" s="435" t="s">
        <v>18</v>
      </c>
      <c r="AI372" s="415"/>
      <c r="AJ372" s="436" t="str">
        <f t="array" ref="AJ372">IF(M372=DGET(claves!$A$2:$AS423,M$2,{claves!$A$2;$E372}),1,0)</f>
        <v>#VALUE!</v>
      </c>
      <c r="AK372" s="436" t="str">
        <f t="array" ref="AK372">IF(N372=DGET(claves!$A$2:$AS423,N$2,{claves!$A$2;$E372}),1,0)</f>
        <v>#VALUE!</v>
      </c>
      <c r="AL372" s="436" t="str">
        <f t="array" ref="AL372">IF(O372=DGET(claves!$A$2:$AS423,O$2,{claves!$A$2;$E372}),1,0)</f>
        <v>#VALUE!</v>
      </c>
      <c r="AM372" s="436" t="str">
        <f t="array" ref="AM372">IF(P372=DGET(claves!$A$2:$AS423,P$2,{claves!$A$2;$E372}),1,0)</f>
        <v>#VALUE!</v>
      </c>
      <c r="AN372" s="436" t="str">
        <f t="array" ref="AN372">IF(Q372=DGET(claves!$A$2:$AS423,Q$2,{claves!$A$2;$E372}),1,0)</f>
        <v>#VALUE!</v>
      </c>
      <c r="AO372" s="436" t="str">
        <f t="array" ref="AO372">IF(R372=DGET(claves!$A$2:$AS423,R$2,{claves!$A$2;$E372}),1,0)</f>
        <v>#VALUE!</v>
      </c>
      <c r="AP372" s="436" t="str">
        <f t="array" ref="AP372">IF(S372=DGET(claves!$A$2:$AS423,S$2,{claves!$A$2;$E372}),1,0)</f>
        <v>#VALUE!</v>
      </c>
      <c r="AQ372" s="436" t="str">
        <f t="array" ref="AQ372">IF(T372=DGET(claves!$A$2:$AS423,T$2,{claves!$A$2;$E372}),1,0)</f>
        <v>#VALUE!</v>
      </c>
      <c r="AR372" s="436" t="str">
        <f t="array" ref="AR372">IF(U372=DGET(claves!$A$2:$AS423,U$2,{claves!$A$2;$E372}),1,0)</f>
        <v>#VALUE!</v>
      </c>
      <c r="AS372" s="436" t="str">
        <f t="array" ref="AS372">IF(V372=DGET(claves!$A$2:$AS423,V$2,{claves!$A$2;$E372}),1,0)</f>
        <v>#VALUE!</v>
      </c>
      <c r="AT372" s="436" t="str">
        <f t="array" ref="AT372">IF(W372=DGET(claves!$A$2:$AS423,W$2,{claves!$A$2;$E372}),1,0)</f>
        <v>#VALUE!</v>
      </c>
      <c r="AU372" s="436" t="str">
        <f t="array" ref="AU372">IF(X372=DGET(claves!$A$2:$AS423,X$2,{claves!$A$2;$E372}),1,0)</f>
        <v>#VALUE!</v>
      </c>
      <c r="AV372" s="436" t="str">
        <f t="array" ref="AV372">IF(Y372=DGET(claves!$A$2:$AS423,Y$2,{claves!$A$2;$E372}),1,0)</f>
        <v>#VALUE!</v>
      </c>
      <c r="AW372" s="436" t="str">
        <f t="array" ref="AW372">IF(Z372=DGET(claves!$A$2:$AS423,Z$2,{claves!$A$2;$E372}),1,0)</f>
        <v>#VALUE!</v>
      </c>
      <c r="AX372" s="436" t="str">
        <f t="array" ref="AX372">IF(AA372=DGET(claves!$A$2:$AS423,AA$2,{claves!$A$2;$E372}),1,0)</f>
        <v>#VALUE!</v>
      </c>
      <c r="AY372" s="436" t="str">
        <f t="array" ref="AY372">IF(AB372=DGET(claves!$A$2:$AS423,AB$2,{claves!$A$2;$E372}),1,0)</f>
        <v>#VALUE!</v>
      </c>
      <c r="AZ372" s="436" t="str">
        <f t="array" ref="AZ372">IF(AC372=DGET(claves!$A$2:$AS423,AC$2,{claves!$A$2;$E372}),1,0)</f>
        <v>#VALUE!</v>
      </c>
      <c r="BA372" s="436" t="str">
        <f t="array" ref="BA372">IF(AD372=DGET(claves!$A$2:$AS423,AD$2,{claves!$A$2;$E372}),1,0)</f>
        <v>#VALUE!</v>
      </c>
      <c r="BB372" s="436" t="str">
        <f t="array" ref="BB372">IF(AE372=DGET(claves!$A$2:$AS423,AE$2,{claves!$A$2;$E372}),1,0)</f>
        <v>#VALUE!</v>
      </c>
      <c r="BC372" s="436" t="str">
        <f t="array" ref="BC372">IF(AF372=DGET(claves!$A$2:$AS423,AF$2,{claves!$A$2;$E372}),1,0)</f>
        <v>#VALUE!</v>
      </c>
      <c r="BD372" s="437" t="str">
        <f t="shared" si="1"/>
        <v>#VALUE!</v>
      </c>
      <c r="BE372" s="435"/>
      <c r="BF372" s="415"/>
    </row>
    <row r="373" ht="14.25" customHeight="1">
      <c r="A373" s="408">
        <v>371.0</v>
      </c>
      <c r="B373" s="153" t="s">
        <v>227</v>
      </c>
      <c r="C373" s="153">
        <v>2024.0</v>
      </c>
      <c r="D373" s="77" t="s">
        <v>362</v>
      </c>
      <c r="E373" s="409" t="str">
        <f>IFERROR(__xludf.DUMMYFUNCTION("ARRAYFORMULA(JOIN("""", ARRAYFORMULA(MID(SPLIT(F373, "" ""), 1, 1))))
&amp;""/""&amp;G373"),"MQ/6 Primaria")</f>
        <v>MQ/6 Primaria</v>
      </c>
      <c r="F373" s="77" t="s">
        <v>1823</v>
      </c>
      <c r="G373" s="432" t="s">
        <v>22</v>
      </c>
      <c r="H373" s="433" t="s">
        <v>2035</v>
      </c>
      <c r="I373" s="433" t="s">
        <v>2036</v>
      </c>
      <c r="J373" s="433" t="s">
        <v>2037</v>
      </c>
      <c r="K373" s="432" t="s">
        <v>1665</v>
      </c>
      <c r="L373" s="415"/>
      <c r="M373" s="434" t="s">
        <v>1660</v>
      </c>
      <c r="N373" s="434" t="s">
        <v>1689</v>
      </c>
      <c r="O373" s="434" t="s">
        <v>1661</v>
      </c>
      <c r="P373" s="434" t="s">
        <v>1659</v>
      </c>
      <c r="Q373" s="434" t="s">
        <v>1659</v>
      </c>
      <c r="R373" s="434" t="s">
        <v>1659</v>
      </c>
      <c r="S373" s="434" t="s">
        <v>1659</v>
      </c>
      <c r="T373" s="434" t="s">
        <v>1659</v>
      </c>
      <c r="U373" s="434" t="s">
        <v>1659</v>
      </c>
      <c r="V373" s="434" t="s">
        <v>1661</v>
      </c>
      <c r="W373" s="434" t="s">
        <v>1661</v>
      </c>
      <c r="X373" s="434" t="s">
        <v>1689</v>
      </c>
      <c r="Y373" s="434" t="s">
        <v>1659</v>
      </c>
      <c r="Z373" s="434" t="s">
        <v>1659</v>
      </c>
      <c r="AA373" s="434" t="s">
        <v>1689</v>
      </c>
      <c r="AB373" s="434" t="s">
        <v>1689</v>
      </c>
      <c r="AC373" s="434" t="s">
        <v>1689</v>
      </c>
      <c r="AD373" s="434" t="s">
        <v>1659</v>
      </c>
      <c r="AE373" s="434" t="s">
        <v>1660</v>
      </c>
      <c r="AF373" s="434" t="s">
        <v>1660</v>
      </c>
      <c r="AG373" s="427">
        <v>12.0</v>
      </c>
      <c r="AH373" s="435" t="s">
        <v>24</v>
      </c>
      <c r="AI373" s="415"/>
      <c r="AJ373" s="436" t="str">
        <f t="array" ref="AJ373">IF(M373=DGET(claves!$A$2:$AS423,M$2,{claves!$A$2;$E373}),1,0)</f>
        <v>#VALUE!</v>
      </c>
      <c r="AK373" s="436" t="str">
        <f t="array" ref="AK373">IF(N373=DGET(claves!$A$2:$AS423,N$2,{claves!$A$2;$E373}),1,0)</f>
        <v>#VALUE!</v>
      </c>
      <c r="AL373" s="436" t="str">
        <f t="array" ref="AL373">IF(O373=DGET(claves!$A$2:$AS423,O$2,{claves!$A$2;$E373}),1,0)</f>
        <v>#VALUE!</v>
      </c>
      <c r="AM373" s="436" t="str">
        <f t="array" ref="AM373">IF(P373=DGET(claves!$A$2:$AS423,P$2,{claves!$A$2;$E373}),1,0)</f>
        <v>#VALUE!</v>
      </c>
      <c r="AN373" s="436" t="str">
        <f t="array" ref="AN373">IF(Q373=DGET(claves!$A$2:$AS423,Q$2,{claves!$A$2;$E373}),1,0)</f>
        <v>#VALUE!</v>
      </c>
      <c r="AO373" s="436" t="str">
        <f t="array" ref="AO373">IF(R373=DGET(claves!$A$2:$AS423,R$2,{claves!$A$2;$E373}),1,0)</f>
        <v>#VALUE!</v>
      </c>
      <c r="AP373" s="436" t="str">
        <f t="array" ref="AP373">IF(S373=DGET(claves!$A$2:$AS423,S$2,{claves!$A$2;$E373}),1,0)</f>
        <v>#VALUE!</v>
      </c>
      <c r="AQ373" s="436" t="str">
        <f t="array" ref="AQ373">IF(T373=DGET(claves!$A$2:$AS423,T$2,{claves!$A$2;$E373}),1,0)</f>
        <v>#VALUE!</v>
      </c>
      <c r="AR373" s="436" t="str">
        <f t="array" ref="AR373">IF(U373=DGET(claves!$A$2:$AS423,U$2,{claves!$A$2;$E373}),1,0)</f>
        <v>#VALUE!</v>
      </c>
      <c r="AS373" s="436" t="str">
        <f t="array" ref="AS373">IF(V373=DGET(claves!$A$2:$AS423,V$2,{claves!$A$2;$E373}),1,0)</f>
        <v>#VALUE!</v>
      </c>
      <c r="AT373" s="436" t="str">
        <f t="array" ref="AT373">IF(W373=DGET(claves!$A$2:$AS423,W$2,{claves!$A$2;$E373}),1,0)</f>
        <v>#VALUE!</v>
      </c>
      <c r="AU373" s="436" t="str">
        <f t="array" ref="AU373">IF(X373=DGET(claves!$A$2:$AS423,X$2,{claves!$A$2;$E373}),1,0)</f>
        <v>#VALUE!</v>
      </c>
      <c r="AV373" s="436" t="str">
        <f t="array" ref="AV373">IF(Y373=DGET(claves!$A$2:$AS423,Y$2,{claves!$A$2;$E373}),1,0)</f>
        <v>#VALUE!</v>
      </c>
      <c r="AW373" s="436" t="str">
        <f t="array" ref="AW373">IF(Z373=DGET(claves!$A$2:$AS423,Z$2,{claves!$A$2;$E373}),1,0)</f>
        <v>#VALUE!</v>
      </c>
      <c r="AX373" s="436" t="str">
        <f t="array" ref="AX373">IF(AA373=DGET(claves!$A$2:$AS423,AA$2,{claves!$A$2;$E373}),1,0)</f>
        <v>#VALUE!</v>
      </c>
      <c r="AY373" s="436" t="str">
        <f t="array" ref="AY373">IF(AB373=DGET(claves!$A$2:$AS423,AB$2,{claves!$A$2;$E373}),1,0)</f>
        <v>#VALUE!</v>
      </c>
      <c r="AZ373" s="436" t="str">
        <f t="array" ref="AZ373">IF(AC373=DGET(claves!$A$2:$AS423,AC$2,{claves!$A$2;$E373}),1,0)</f>
        <v>#VALUE!</v>
      </c>
      <c r="BA373" s="436" t="str">
        <f t="array" ref="BA373">IF(AD373=DGET(claves!$A$2:$AS423,AD$2,{claves!$A$2;$E373}),1,0)</f>
        <v>#VALUE!</v>
      </c>
      <c r="BB373" s="436" t="str">
        <f t="array" ref="BB373">IF(AE373=DGET(claves!$A$2:$AS423,AE$2,{claves!$A$2;$E373}),1,0)</f>
        <v>#VALUE!</v>
      </c>
      <c r="BC373" s="436" t="str">
        <f t="array" ref="BC373">IF(AF373=DGET(claves!$A$2:$AS423,AF$2,{claves!$A$2;$E373}),1,0)</f>
        <v>#VALUE!</v>
      </c>
      <c r="BD373" s="437" t="str">
        <f t="shared" si="1"/>
        <v>#VALUE!</v>
      </c>
      <c r="BE373" s="435"/>
      <c r="BF373" s="415"/>
    </row>
    <row r="374" ht="14.25" customHeight="1">
      <c r="A374" s="408">
        <v>372.0</v>
      </c>
      <c r="B374" s="153" t="s">
        <v>227</v>
      </c>
      <c r="C374" s="153">
        <v>2024.0</v>
      </c>
      <c r="D374" s="77" t="s">
        <v>1817</v>
      </c>
      <c r="E374" s="409" t="str">
        <f>IFERROR(__xludf.DUMMYFUNCTION("ARRAYFORMULA(JOIN("""", ARRAYFORMULA(MID(SPLIT(F374, "" ""), 1, 1))))
&amp;""/""&amp;G374"),"CLQ/6 Primaria")</f>
        <v>CLQ/6 Primaria</v>
      </c>
      <c r="F374" s="77" t="s">
        <v>1827</v>
      </c>
      <c r="G374" s="432" t="s">
        <v>22</v>
      </c>
      <c r="H374" s="433" t="s">
        <v>2035</v>
      </c>
      <c r="I374" s="433" t="s">
        <v>2036</v>
      </c>
      <c r="J374" s="433" t="s">
        <v>2037</v>
      </c>
      <c r="K374" s="432" t="s">
        <v>1665</v>
      </c>
      <c r="L374" s="415"/>
      <c r="M374" s="434" t="s">
        <v>1661</v>
      </c>
      <c r="N374" s="434" t="s">
        <v>1661</v>
      </c>
      <c r="O374" s="434" t="s">
        <v>1689</v>
      </c>
      <c r="P374" s="434" t="s">
        <v>1659</v>
      </c>
      <c r="Q374" s="434" t="s">
        <v>1660</v>
      </c>
      <c r="R374" s="434" t="s">
        <v>1689</v>
      </c>
      <c r="S374" s="434" t="s">
        <v>1661</v>
      </c>
      <c r="T374" s="434" t="s">
        <v>1661</v>
      </c>
      <c r="U374" s="434" t="s">
        <v>1661</v>
      </c>
      <c r="V374" s="434" t="s">
        <v>1659</v>
      </c>
      <c r="W374" s="434" t="s">
        <v>1689</v>
      </c>
      <c r="X374" s="434" t="s">
        <v>1689</v>
      </c>
      <c r="Y374" s="434" t="s">
        <v>1659</v>
      </c>
      <c r="Z374" s="434" t="s">
        <v>1661</v>
      </c>
      <c r="AA374" s="434" t="s">
        <v>1660</v>
      </c>
      <c r="AB374" s="434" t="s">
        <v>1689</v>
      </c>
      <c r="AC374" s="434" t="s">
        <v>1659</v>
      </c>
      <c r="AD374" s="434" t="s">
        <v>1660</v>
      </c>
      <c r="AE374" s="434" t="s">
        <v>1661</v>
      </c>
      <c r="AF374" s="434" t="s">
        <v>1689</v>
      </c>
      <c r="AG374" s="427">
        <v>17.0</v>
      </c>
      <c r="AH374" s="438" t="s">
        <v>32</v>
      </c>
      <c r="AI374" s="415"/>
      <c r="AJ374" s="436" t="str">
        <f t="array" ref="AJ374">IF(M374=DGET(claves!$A$2:$AS423,M$2,{claves!$A$2;$E374}),1,0)</f>
        <v>#VALUE!</v>
      </c>
      <c r="AK374" s="436" t="str">
        <f t="array" ref="AK374">IF(N374=DGET(claves!$A$2:$AS423,N$2,{claves!$A$2;$E374}),1,0)</f>
        <v>#VALUE!</v>
      </c>
      <c r="AL374" s="436" t="str">
        <f t="array" ref="AL374">IF(O374=DGET(claves!$A$2:$AS423,O$2,{claves!$A$2;$E374}),1,0)</f>
        <v>#VALUE!</v>
      </c>
      <c r="AM374" s="436" t="str">
        <f t="array" ref="AM374">IF(P374=DGET(claves!$A$2:$AS423,P$2,{claves!$A$2;$E374}),1,0)</f>
        <v>#VALUE!</v>
      </c>
      <c r="AN374" s="436" t="str">
        <f t="array" ref="AN374">IF(Q374=DGET(claves!$A$2:$AS423,Q$2,{claves!$A$2;$E374}),1,0)</f>
        <v>#VALUE!</v>
      </c>
      <c r="AO374" s="436" t="str">
        <f t="array" ref="AO374">IF(R374=DGET(claves!$A$2:$AS423,R$2,{claves!$A$2;$E374}),1,0)</f>
        <v>#VALUE!</v>
      </c>
      <c r="AP374" s="436" t="str">
        <f t="array" ref="AP374">IF(S374=DGET(claves!$A$2:$AS423,S$2,{claves!$A$2;$E374}),1,0)</f>
        <v>#VALUE!</v>
      </c>
      <c r="AQ374" s="436" t="str">
        <f t="array" ref="AQ374">IF(T374=DGET(claves!$A$2:$AS423,T$2,{claves!$A$2;$E374}),1,0)</f>
        <v>#VALUE!</v>
      </c>
      <c r="AR374" s="436" t="str">
        <f t="array" ref="AR374">IF(U374=DGET(claves!$A$2:$AS423,U$2,{claves!$A$2;$E374}),1,0)</f>
        <v>#VALUE!</v>
      </c>
      <c r="AS374" s="436" t="str">
        <f t="array" ref="AS374">IF(V374=DGET(claves!$A$2:$AS423,V$2,{claves!$A$2;$E374}),1,0)</f>
        <v>#VALUE!</v>
      </c>
      <c r="AT374" s="436" t="str">
        <f t="array" ref="AT374">IF(W374=DGET(claves!$A$2:$AS423,W$2,{claves!$A$2;$E374}),1,0)</f>
        <v>#VALUE!</v>
      </c>
      <c r="AU374" s="436" t="str">
        <f t="array" ref="AU374">IF(X374=DGET(claves!$A$2:$AS423,X$2,{claves!$A$2;$E374}),1,0)</f>
        <v>#VALUE!</v>
      </c>
      <c r="AV374" s="436" t="str">
        <f t="array" ref="AV374">IF(Y374=DGET(claves!$A$2:$AS423,Y$2,{claves!$A$2;$E374}),1,0)</f>
        <v>#VALUE!</v>
      </c>
      <c r="AW374" s="436" t="str">
        <f t="array" ref="AW374">IF(Z374=DGET(claves!$A$2:$AS423,Z$2,{claves!$A$2;$E374}),1,0)</f>
        <v>#VALUE!</v>
      </c>
      <c r="AX374" s="436" t="str">
        <f t="array" ref="AX374">IF(AA374=DGET(claves!$A$2:$AS423,AA$2,{claves!$A$2;$E374}),1,0)</f>
        <v>#VALUE!</v>
      </c>
      <c r="AY374" s="436" t="str">
        <f t="array" ref="AY374">IF(AB374=DGET(claves!$A$2:$AS423,AB$2,{claves!$A$2;$E374}),1,0)</f>
        <v>#VALUE!</v>
      </c>
      <c r="AZ374" s="436" t="str">
        <f t="array" ref="AZ374">IF(AC374=DGET(claves!$A$2:$AS423,AC$2,{claves!$A$2;$E374}),1,0)</f>
        <v>#VALUE!</v>
      </c>
      <c r="BA374" s="436" t="str">
        <f t="array" ref="BA374">IF(AD374=DGET(claves!$A$2:$AS423,AD$2,{claves!$A$2;$E374}),1,0)</f>
        <v>#VALUE!</v>
      </c>
      <c r="BB374" s="436" t="str">
        <f t="array" ref="BB374">IF(AE374=DGET(claves!$A$2:$AS423,AE$2,{claves!$A$2;$E374}),1,0)</f>
        <v>#VALUE!</v>
      </c>
      <c r="BC374" s="436" t="str">
        <f t="array" ref="BC374">IF(AF374=DGET(claves!$A$2:$AS423,AF$2,{claves!$A$2;$E374}),1,0)</f>
        <v>#VALUE!</v>
      </c>
      <c r="BD374" s="437" t="str">
        <f t="shared" si="1"/>
        <v>#VALUE!</v>
      </c>
      <c r="BE374" s="435"/>
      <c r="BF374" s="415"/>
    </row>
    <row r="375" ht="14.25" customHeight="1">
      <c r="A375" s="408">
        <v>373.0</v>
      </c>
      <c r="B375" s="153" t="s">
        <v>227</v>
      </c>
      <c r="C375" s="153">
        <v>2024.0</v>
      </c>
      <c r="D375" s="77" t="s">
        <v>362</v>
      </c>
      <c r="E375" s="409" t="str">
        <f>IFERROR(__xludf.DUMMYFUNCTION("ARRAYFORMULA(JOIN("""", ARRAYFORMULA(MID(SPLIT(F375, "" ""), 1, 1))))
&amp;""/""&amp;G375"),"MQ/6 Primaria")</f>
        <v>MQ/6 Primaria</v>
      </c>
      <c r="F375" s="77" t="s">
        <v>1823</v>
      </c>
      <c r="G375" s="432" t="s">
        <v>22</v>
      </c>
      <c r="H375" s="433" t="s">
        <v>2038</v>
      </c>
      <c r="I375" s="433" t="s">
        <v>1937</v>
      </c>
      <c r="J375" s="433" t="s">
        <v>2039</v>
      </c>
      <c r="K375" s="432" t="s">
        <v>1665</v>
      </c>
      <c r="L375" s="415"/>
      <c r="M375" s="434" t="s">
        <v>1660</v>
      </c>
      <c r="N375" s="434" t="s">
        <v>1689</v>
      </c>
      <c r="O375" s="434" t="s">
        <v>1660</v>
      </c>
      <c r="P375" s="434" t="s">
        <v>1689</v>
      </c>
      <c r="Q375" s="434" t="s">
        <v>1659</v>
      </c>
      <c r="R375" s="434" t="s">
        <v>1659</v>
      </c>
      <c r="S375" s="434" t="s">
        <v>1659</v>
      </c>
      <c r="T375" s="434" t="s">
        <v>1659</v>
      </c>
      <c r="U375" s="434" t="s">
        <v>1659</v>
      </c>
      <c r="V375" s="434" t="s">
        <v>1661</v>
      </c>
      <c r="W375" s="434" t="s">
        <v>1661</v>
      </c>
      <c r="X375" s="434" t="s">
        <v>1659</v>
      </c>
      <c r="Y375" s="434" t="s">
        <v>1660</v>
      </c>
      <c r="Z375" s="434" t="s">
        <v>1661</v>
      </c>
      <c r="AA375" s="434" t="s">
        <v>1661</v>
      </c>
      <c r="AB375" s="434" t="s">
        <v>1689</v>
      </c>
      <c r="AC375" s="434" t="s">
        <v>1661</v>
      </c>
      <c r="AD375" s="434" t="s">
        <v>1659</v>
      </c>
      <c r="AE375" s="434" t="s">
        <v>1689</v>
      </c>
      <c r="AF375" s="434" t="s">
        <v>1660</v>
      </c>
      <c r="AG375" s="427">
        <v>14.0</v>
      </c>
      <c r="AH375" s="435" t="s">
        <v>24</v>
      </c>
      <c r="AI375" s="415"/>
      <c r="AJ375" s="436" t="str">
        <f t="array" ref="AJ375">IF(M375=DGET(claves!$A$2:$AS423,M$2,{claves!$A$2;$E375}),1,0)</f>
        <v>#VALUE!</v>
      </c>
      <c r="AK375" s="436" t="str">
        <f t="array" ref="AK375">IF(N375=DGET(claves!$A$2:$AS423,N$2,{claves!$A$2;$E375}),1,0)</f>
        <v>#VALUE!</v>
      </c>
      <c r="AL375" s="436" t="str">
        <f t="array" ref="AL375">IF(O375=DGET(claves!$A$2:$AS423,O$2,{claves!$A$2;$E375}),1,0)</f>
        <v>#VALUE!</v>
      </c>
      <c r="AM375" s="436" t="str">
        <f t="array" ref="AM375">IF(P375=DGET(claves!$A$2:$AS423,P$2,{claves!$A$2;$E375}),1,0)</f>
        <v>#VALUE!</v>
      </c>
      <c r="AN375" s="436" t="str">
        <f t="array" ref="AN375">IF(Q375=DGET(claves!$A$2:$AS423,Q$2,{claves!$A$2;$E375}),1,0)</f>
        <v>#VALUE!</v>
      </c>
      <c r="AO375" s="436" t="str">
        <f t="array" ref="AO375">IF(R375=DGET(claves!$A$2:$AS423,R$2,{claves!$A$2;$E375}),1,0)</f>
        <v>#VALUE!</v>
      </c>
      <c r="AP375" s="436" t="str">
        <f t="array" ref="AP375">IF(S375=DGET(claves!$A$2:$AS423,S$2,{claves!$A$2;$E375}),1,0)</f>
        <v>#VALUE!</v>
      </c>
      <c r="AQ375" s="436" t="str">
        <f t="array" ref="AQ375">IF(T375=DGET(claves!$A$2:$AS423,T$2,{claves!$A$2;$E375}),1,0)</f>
        <v>#VALUE!</v>
      </c>
      <c r="AR375" s="436" t="str">
        <f t="array" ref="AR375">IF(U375=DGET(claves!$A$2:$AS423,U$2,{claves!$A$2;$E375}),1,0)</f>
        <v>#VALUE!</v>
      </c>
      <c r="AS375" s="436" t="str">
        <f t="array" ref="AS375">IF(V375=DGET(claves!$A$2:$AS423,V$2,{claves!$A$2;$E375}),1,0)</f>
        <v>#VALUE!</v>
      </c>
      <c r="AT375" s="436" t="str">
        <f t="array" ref="AT375">IF(W375=DGET(claves!$A$2:$AS423,W$2,{claves!$A$2;$E375}),1,0)</f>
        <v>#VALUE!</v>
      </c>
      <c r="AU375" s="436" t="str">
        <f t="array" ref="AU375">IF(X375=DGET(claves!$A$2:$AS423,X$2,{claves!$A$2;$E375}),1,0)</f>
        <v>#VALUE!</v>
      </c>
      <c r="AV375" s="436" t="str">
        <f t="array" ref="AV375">IF(Y375=DGET(claves!$A$2:$AS423,Y$2,{claves!$A$2;$E375}),1,0)</f>
        <v>#VALUE!</v>
      </c>
      <c r="AW375" s="436" t="str">
        <f t="array" ref="AW375">IF(Z375=DGET(claves!$A$2:$AS423,Z$2,{claves!$A$2;$E375}),1,0)</f>
        <v>#VALUE!</v>
      </c>
      <c r="AX375" s="436" t="str">
        <f t="array" ref="AX375">IF(AA375=DGET(claves!$A$2:$AS423,AA$2,{claves!$A$2;$E375}),1,0)</f>
        <v>#VALUE!</v>
      </c>
      <c r="AY375" s="436" t="str">
        <f t="array" ref="AY375">IF(AB375=DGET(claves!$A$2:$AS423,AB$2,{claves!$A$2;$E375}),1,0)</f>
        <v>#VALUE!</v>
      </c>
      <c r="AZ375" s="436" t="str">
        <f t="array" ref="AZ375">IF(AC375=DGET(claves!$A$2:$AS423,AC$2,{claves!$A$2;$E375}),1,0)</f>
        <v>#VALUE!</v>
      </c>
      <c r="BA375" s="436" t="str">
        <f t="array" ref="BA375">IF(AD375=DGET(claves!$A$2:$AS423,AD$2,{claves!$A$2;$E375}),1,0)</f>
        <v>#VALUE!</v>
      </c>
      <c r="BB375" s="436" t="str">
        <f t="array" ref="BB375">IF(AE375=DGET(claves!$A$2:$AS423,AE$2,{claves!$A$2;$E375}),1,0)</f>
        <v>#VALUE!</v>
      </c>
      <c r="BC375" s="436" t="str">
        <f t="array" ref="BC375">IF(AF375=DGET(claves!$A$2:$AS423,AF$2,{claves!$A$2;$E375}),1,0)</f>
        <v>#VALUE!</v>
      </c>
      <c r="BD375" s="437" t="str">
        <f t="shared" si="1"/>
        <v>#VALUE!</v>
      </c>
      <c r="BE375" s="435"/>
      <c r="BF375" s="415"/>
    </row>
    <row r="376" ht="14.25" customHeight="1">
      <c r="A376" s="408">
        <v>374.0</v>
      </c>
      <c r="B376" s="153" t="s">
        <v>227</v>
      </c>
      <c r="C376" s="153">
        <v>2024.0</v>
      </c>
      <c r="D376" s="77" t="s">
        <v>1817</v>
      </c>
      <c r="E376" s="409" t="str">
        <f>IFERROR(__xludf.DUMMYFUNCTION("ARRAYFORMULA(JOIN("""", ARRAYFORMULA(MID(SPLIT(F376, "" ""), 1, 1))))
&amp;""/""&amp;G376"),"CLQ/6 Primaria")</f>
        <v>CLQ/6 Primaria</v>
      </c>
      <c r="F376" s="77" t="s">
        <v>1827</v>
      </c>
      <c r="G376" s="432" t="s">
        <v>22</v>
      </c>
      <c r="H376" s="433" t="s">
        <v>2038</v>
      </c>
      <c r="I376" s="433" t="s">
        <v>1937</v>
      </c>
      <c r="J376" s="433" t="s">
        <v>2039</v>
      </c>
      <c r="K376" s="432" t="s">
        <v>1665</v>
      </c>
      <c r="L376" s="415"/>
      <c r="M376" s="434" t="s">
        <v>1661</v>
      </c>
      <c r="N376" s="434" t="s">
        <v>1660</v>
      </c>
      <c r="O376" s="434" t="s">
        <v>1689</v>
      </c>
      <c r="P376" s="434" t="s">
        <v>1659</v>
      </c>
      <c r="Q376" s="434" t="s">
        <v>1660</v>
      </c>
      <c r="R376" s="434" t="s">
        <v>1689</v>
      </c>
      <c r="S376" s="434" t="s">
        <v>1661</v>
      </c>
      <c r="T376" s="434" t="s">
        <v>1661</v>
      </c>
      <c r="U376" s="434" t="s">
        <v>1659</v>
      </c>
      <c r="V376" s="434" t="s">
        <v>1661</v>
      </c>
      <c r="W376" s="434" t="s">
        <v>1660</v>
      </c>
      <c r="X376" s="434" t="s">
        <v>1659</v>
      </c>
      <c r="Y376" s="434" t="s">
        <v>1689</v>
      </c>
      <c r="Z376" s="434" t="s">
        <v>1689</v>
      </c>
      <c r="AA376" s="434" t="s">
        <v>1661</v>
      </c>
      <c r="AB376" s="434" t="s">
        <v>1661</v>
      </c>
      <c r="AC376" s="434" t="s">
        <v>1689</v>
      </c>
      <c r="AD376" s="434" t="s">
        <v>1660</v>
      </c>
      <c r="AE376" s="434" t="s">
        <v>1689</v>
      </c>
      <c r="AF376" s="434" t="s">
        <v>1689</v>
      </c>
      <c r="AG376" s="427">
        <v>9.0</v>
      </c>
      <c r="AH376" s="435" t="s">
        <v>18</v>
      </c>
      <c r="AI376" s="415"/>
      <c r="AJ376" s="436" t="str">
        <f t="array" ref="AJ376">IF(M376=DGET(claves!$A$2:$AS423,M$2,{claves!$A$2;$E376}),1,0)</f>
        <v>#VALUE!</v>
      </c>
      <c r="AK376" s="436" t="str">
        <f t="array" ref="AK376">IF(N376=DGET(claves!$A$2:$AS423,N$2,{claves!$A$2;$E376}),1,0)</f>
        <v>#VALUE!</v>
      </c>
      <c r="AL376" s="436" t="str">
        <f t="array" ref="AL376">IF(O376=DGET(claves!$A$2:$AS423,O$2,{claves!$A$2;$E376}),1,0)</f>
        <v>#VALUE!</v>
      </c>
      <c r="AM376" s="436" t="str">
        <f t="array" ref="AM376">IF(P376=DGET(claves!$A$2:$AS423,P$2,{claves!$A$2;$E376}),1,0)</f>
        <v>#VALUE!</v>
      </c>
      <c r="AN376" s="436" t="str">
        <f t="array" ref="AN376">IF(Q376=DGET(claves!$A$2:$AS423,Q$2,{claves!$A$2;$E376}),1,0)</f>
        <v>#VALUE!</v>
      </c>
      <c r="AO376" s="436" t="str">
        <f t="array" ref="AO376">IF(R376=DGET(claves!$A$2:$AS423,R$2,{claves!$A$2;$E376}),1,0)</f>
        <v>#VALUE!</v>
      </c>
      <c r="AP376" s="436" t="str">
        <f t="array" ref="AP376">IF(S376=DGET(claves!$A$2:$AS423,S$2,{claves!$A$2;$E376}),1,0)</f>
        <v>#VALUE!</v>
      </c>
      <c r="AQ376" s="436" t="str">
        <f t="array" ref="AQ376">IF(T376=DGET(claves!$A$2:$AS423,T$2,{claves!$A$2;$E376}),1,0)</f>
        <v>#VALUE!</v>
      </c>
      <c r="AR376" s="436" t="str">
        <f t="array" ref="AR376">IF(U376=DGET(claves!$A$2:$AS423,U$2,{claves!$A$2;$E376}),1,0)</f>
        <v>#VALUE!</v>
      </c>
      <c r="AS376" s="436" t="str">
        <f t="array" ref="AS376">IF(V376=DGET(claves!$A$2:$AS423,V$2,{claves!$A$2;$E376}),1,0)</f>
        <v>#VALUE!</v>
      </c>
      <c r="AT376" s="436" t="str">
        <f t="array" ref="AT376">IF(W376=DGET(claves!$A$2:$AS423,W$2,{claves!$A$2;$E376}),1,0)</f>
        <v>#VALUE!</v>
      </c>
      <c r="AU376" s="436" t="str">
        <f t="array" ref="AU376">IF(X376=DGET(claves!$A$2:$AS423,X$2,{claves!$A$2;$E376}),1,0)</f>
        <v>#VALUE!</v>
      </c>
      <c r="AV376" s="436" t="str">
        <f t="array" ref="AV376">IF(Y376=DGET(claves!$A$2:$AS423,Y$2,{claves!$A$2;$E376}),1,0)</f>
        <v>#VALUE!</v>
      </c>
      <c r="AW376" s="436" t="str">
        <f t="array" ref="AW376">IF(Z376=DGET(claves!$A$2:$AS423,Z$2,{claves!$A$2;$E376}),1,0)</f>
        <v>#VALUE!</v>
      </c>
      <c r="AX376" s="436" t="str">
        <f t="array" ref="AX376">IF(AA376=DGET(claves!$A$2:$AS423,AA$2,{claves!$A$2;$E376}),1,0)</f>
        <v>#VALUE!</v>
      </c>
      <c r="AY376" s="436" t="str">
        <f t="array" ref="AY376">IF(AB376=DGET(claves!$A$2:$AS423,AB$2,{claves!$A$2;$E376}),1,0)</f>
        <v>#VALUE!</v>
      </c>
      <c r="AZ376" s="436" t="str">
        <f t="array" ref="AZ376">IF(AC376=DGET(claves!$A$2:$AS423,AC$2,{claves!$A$2;$E376}),1,0)</f>
        <v>#VALUE!</v>
      </c>
      <c r="BA376" s="436" t="str">
        <f t="array" ref="BA376">IF(AD376=DGET(claves!$A$2:$AS423,AD$2,{claves!$A$2;$E376}),1,0)</f>
        <v>#VALUE!</v>
      </c>
      <c r="BB376" s="436" t="str">
        <f t="array" ref="BB376">IF(AE376=DGET(claves!$A$2:$AS423,AE$2,{claves!$A$2;$E376}),1,0)</f>
        <v>#VALUE!</v>
      </c>
      <c r="BC376" s="436" t="str">
        <f t="array" ref="BC376">IF(AF376=DGET(claves!$A$2:$AS423,AF$2,{claves!$A$2;$E376}),1,0)</f>
        <v>#VALUE!</v>
      </c>
      <c r="BD376" s="437" t="str">
        <f t="shared" si="1"/>
        <v>#VALUE!</v>
      </c>
      <c r="BE376" s="435"/>
      <c r="BF376" s="415"/>
    </row>
    <row r="377" ht="14.25" customHeight="1">
      <c r="A377" s="408">
        <v>375.0</v>
      </c>
      <c r="B377" s="153" t="s">
        <v>2040</v>
      </c>
      <c r="C377" s="153" t="s">
        <v>1468</v>
      </c>
      <c r="D377" s="77" t="s">
        <v>1817</v>
      </c>
      <c r="E377" s="409" t="str">
        <f>IFERROR(__xludf.DUMMYFUNCTION("ARRAYFORMULA(JOIN("""", ARRAYFORMULA(MID(SPLIT(F377, "" ""), 1, 1))))
&amp;""/""&amp;G377"),"CLQ/2 Primaria")</f>
        <v>CLQ/2 Primaria</v>
      </c>
      <c r="F377" s="77" t="s">
        <v>1827</v>
      </c>
      <c r="G377" s="432" t="s">
        <v>15</v>
      </c>
      <c r="H377" s="433"/>
      <c r="I377" s="433"/>
      <c r="J377" s="433"/>
      <c r="K377" s="432" t="s">
        <v>1658</v>
      </c>
      <c r="L377" s="415"/>
      <c r="M377" s="434"/>
      <c r="N377" s="434"/>
      <c r="O377" s="434"/>
      <c r="P377" s="434"/>
      <c r="Q377" s="434"/>
      <c r="R377" s="434"/>
      <c r="S377" s="434"/>
      <c r="T377" s="434"/>
      <c r="U377" s="434"/>
      <c r="V377" s="434"/>
      <c r="W377" s="434"/>
      <c r="X377" s="434"/>
      <c r="Y377" s="434"/>
      <c r="Z377" s="434"/>
      <c r="AA377" s="434"/>
      <c r="AB377" s="434"/>
      <c r="AC377" s="434"/>
      <c r="AD377" s="434"/>
      <c r="AE377" s="434"/>
      <c r="AF377" s="434"/>
      <c r="AG377" s="427">
        <v>0.0</v>
      </c>
      <c r="AH377" s="435" t="s">
        <v>1468</v>
      </c>
      <c r="AI377" s="415"/>
      <c r="AJ377" s="436" t="str">
        <f t="array" ref="AJ377">IF(M377=DGET(claves!$A$2:$AS423,M$2,{claves!$A$2;$E377}),1,0)</f>
        <v>#VALUE!</v>
      </c>
      <c r="AK377" s="436" t="str">
        <f t="array" ref="AK377">IF(N377=DGET(claves!$A$2:$AS423,N$2,{claves!$A$2;$E377}),1,0)</f>
        <v>#VALUE!</v>
      </c>
      <c r="AL377" s="436" t="str">
        <f t="array" ref="AL377">IF(O377=DGET(claves!$A$2:$AS423,O$2,{claves!$A$2;$E377}),1,0)</f>
        <v>#VALUE!</v>
      </c>
      <c r="AM377" s="436" t="str">
        <f t="array" ref="AM377">IF(P377=DGET(claves!$A$2:$AS423,P$2,{claves!$A$2;$E377}),1,0)</f>
        <v>#VALUE!</v>
      </c>
      <c r="AN377" s="436" t="str">
        <f t="array" ref="AN377">IF(Q377=DGET(claves!$A$2:$AS423,Q$2,{claves!$A$2;$E377}),1,0)</f>
        <v>#VALUE!</v>
      </c>
      <c r="AO377" s="436" t="str">
        <f t="array" ref="AO377">IF(R377=DGET(claves!$A$2:$AS423,R$2,{claves!$A$2;$E377}),1,0)</f>
        <v>#VALUE!</v>
      </c>
      <c r="AP377" s="436" t="str">
        <f t="array" ref="AP377">IF(S377=DGET(claves!$A$2:$AS423,S$2,{claves!$A$2;$E377}),1,0)</f>
        <v>#VALUE!</v>
      </c>
      <c r="AQ377" s="436" t="str">
        <f t="array" ref="AQ377">IF(T377=DGET(claves!$A$2:$AS423,T$2,{claves!$A$2;$E377}),1,0)</f>
        <v>#VALUE!</v>
      </c>
      <c r="AR377" s="436" t="str">
        <f t="array" ref="AR377">IF(U377=DGET(claves!$A$2:$AS423,U$2,{claves!$A$2;$E377}),1,0)</f>
        <v>#VALUE!</v>
      </c>
      <c r="AS377" s="436" t="str">
        <f t="array" ref="AS377">IF(V377=DGET(claves!$A$2:$AS423,V$2,{claves!$A$2;$E377}),1,0)</f>
        <v>#VALUE!</v>
      </c>
      <c r="AT377" s="436" t="str">
        <f t="array" ref="AT377">IF(W377=DGET(claves!$A$2:$AS423,W$2,{claves!$A$2;$E377}),1,0)</f>
        <v>#VALUE!</v>
      </c>
      <c r="AU377" s="436" t="str">
        <f t="array" ref="AU377">IF(X377=DGET(claves!$A$2:$AS423,X$2,{claves!$A$2;$E377}),1,0)</f>
        <v>#VALUE!</v>
      </c>
      <c r="AV377" s="436" t="str">
        <f t="array" ref="AV377">IF(Y377=DGET(claves!$A$2:$AS423,Y$2,{claves!$A$2;$E377}),1,0)</f>
        <v>#VALUE!</v>
      </c>
      <c r="AW377" s="436" t="str">
        <f t="array" ref="AW377">IF(Z377=DGET(claves!$A$2:$AS423,Z$2,{claves!$A$2;$E377}),1,0)</f>
        <v>#VALUE!</v>
      </c>
      <c r="AX377" s="436" t="str">
        <f t="array" ref="AX377">IF(AA377=DGET(claves!$A$2:$AS423,AA$2,{claves!$A$2;$E377}),1,0)</f>
        <v>#VALUE!</v>
      </c>
      <c r="AY377" s="436" t="str">
        <f t="array" ref="AY377">IF(AB377=DGET(claves!$A$2:$AS423,AB$2,{claves!$A$2;$E377}),1,0)</f>
        <v>#VALUE!</v>
      </c>
      <c r="AZ377" s="436" t="str">
        <f t="array" ref="AZ377">IF(AC377=DGET(claves!$A$2:$AS423,AC$2,{claves!$A$2;$E377}),1,0)</f>
        <v>#VALUE!</v>
      </c>
      <c r="BA377" s="436" t="str">
        <f t="array" ref="BA377">IF(AD377=DGET(claves!$A$2:$AS423,AD$2,{claves!$A$2;$E377}),1,0)</f>
        <v>#VALUE!</v>
      </c>
      <c r="BB377" s="436" t="str">
        <f t="array" ref="BB377">IF(AE377=DGET(claves!$A$2:$AS423,AE$2,{claves!$A$2;$E377}),1,0)</f>
        <v>#VALUE!</v>
      </c>
      <c r="BC377" s="436" t="str">
        <f t="array" ref="BC377">IF(AF377=DGET(claves!$A$2:$AS423,AF$2,{claves!$A$2;$E377}),1,0)</f>
        <v>#VALUE!</v>
      </c>
      <c r="BD377" s="437" t="str">
        <f t="shared" si="1"/>
        <v>#VALUE!</v>
      </c>
      <c r="BE377" s="435" t="s">
        <v>1468</v>
      </c>
      <c r="BF377" s="415"/>
    </row>
    <row r="378" ht="14.25" customHeight="1">
      <c r="A378" s="408">
        <v>376.0</v>
      </c>
      <c r="B378" s="153" t="s">
        <v>2040</v>
      </c>
      <c r="C378" s="153">
        <v>2024.0</v>
      </c>
      <c r="D378" s="77" t="s">
        <v>1817</v>
      </c>
      <c r="E378" s="409" t="str">
        <f>IFERROR(__xludf.DUMMYFUNCTION("ARRAYFORMULA(JOIN("""", ARRAYFORMULA(MID(SPLIT(F378, "" ""), 1, 1))))
&amp;""/""&amp;G378"),"CLQ/2 Primaria")</f>
        <v>CLQ/2 Primaria</v>
      </c>
      <c r="F378" s="77" t="s">
        <v>1827</v>
      </c>
      <c r="G378" s="432" t="s">
        <v>15</v>
      </c>
      <c r="H378" s="433" t="s">
        <v>2041</v>
      </c>
      <c r="I378" s="433"/>
      <c r="J378" s="433"/>
      <c r="K378" s="432" t="s">
        <v>1665</v>
      </c>
      <c r="L378" s="415"/>
      <c r="M378" s="434"/>
      <c r="N378" s="434"/>
      <c r="O378" s="434"/>
      <c r="P378" s="434"/>
      <c r="Q378" s="434"/>
      <c r="R378" s="434"/>
      <c r="S378" s="434"/>
      <c r="T378" s="434"/>
      <c r="U378" s="434"/>
      <c r="V378" s="434"/>
      <c r="W378" s="434"/>
      <c r="X378" s="434"/>
      <c r="Y378" s="434"/>
      <c r="Z378" s="434"/>
      <c r="AA378" s="434"/>
      <c r="AB378" s="434"/>
      <c r="AC378" s="434"/>
      <c r="AD378" s="434"/>
      <c r="AE378" s="434"/>
      <c r="AF378" s="434"/>
      <c r="AG378" s="427">
        <v>0.0</v>
      </c>
      <c r="AH378" s="435" t="s">
        <v>1468</v>
      </c>
      <c r="AI378" s="415"/>
      <c r="AJ378" s="436" t="str">
        <f t="array" ref="AJ378">IF(M378=DGET(claves!$A$2:$AS423,M$2,{claves!$A$2;$E378}),1,0)</f>
        <v>#VALUE!</v>
      </c>
      <c r="AK378" s="436" t="str">
        <f t="array" ref="AK378">IF(N378=DGET(claves!$A$2:$AS423,N$2,{claves!$A$2;$E378}),1,0)</f>
        <v>#VALUE!</v>
      </c>
      <c r="AL378" s="436" t="str">
        <f t="array" ref="AL378">IF(O378=DGET(claves!$A$2:$AS423,O$2,{claves!$A$2;$E378}),1,0)</f>
        <v>#VALUE!</v>
      </c>
      <c r="AM378" s="436" t="str">
        <f t="array" ref="AM378">IF(P378=DGET(claves!$A$2:$AS423,P$2,{claves!$A$2;$E378}),1,0)</f>
        <v>#VALUE!</v>
      </c>
      <c r="AN378" s="436" t="str">
        <f t="array" ref="AN378">IF(Q378=DGET(claves!$A$2:$AS423,Q$2,{claves!$A$2;$E378}),1,0)</f>
        <v>#VALUE!</v>
      </c>
      <c r="AO378" s="436" t="str">
        <f t="array" ref="AO378">IF(R378=DGET(claves!$A$2:$AS423,R$2,{claves!$A$2;$E378}),1,0)</f>
        <v>#VALUE!</v>
      </c>
      <c r="AP378" s="436" t="str">
        <f t="array" ref="AP378">IF(S378=DGET(claves!$A$2:$AS423,S$2,{claves!$A$2;$E378}),1,0)</f>
        <v>#VALUE!</v>
      </c>
      <c r="AQ378" s="436" t="str">
        <f t="array" ref="AQ378">IF(T378=DGET(claves!$A$2:$AS423,T$2,{claves!$A$2;$E378}),1,0)</f>
        <v>#VALUE!</v>
      </c>
      <c r="AR378" s="436" t="str">
        <f t="array" ref="AR378">IF(U378=DGET(claves!$A$2:$AS423,U$2,{claves!$A$2;$E378}),1,0)</f>
        <v>#VALUE!</v>
      </c>
      <c r="AS378" s="436" t="str">
        <f t="array" ref="AS378">IF(V378=DGET(claves!$A$2:$AS423,V$2,{claves!$A$2;$E378}),1,0)</f>
        <v>#VALUE!</v>
      </c>
      <c r="AT378" s="436" t="str">
        <f t="array" ref="AT378">IF(W378=DGET(claves!$A$2:$AS423,W$2,{claves!$A$2;$E378}),1,0)</f>
        <v>#VALUE!</v>
      </c>
      <c r="AU378" s="436" t="str">
        <f t="array" ref="AU378">IF(X378=DGET(claves!$A$2:$AS423,X$2,{claves!$A$2;$E378}),1,0)</f>
        <v>#VALUE!</v>
      </c>
      <c r="AV378" s="436" t="str">
        <f t="array" ref="AV378">IF(Y378=DGET(claves!$A$2:$AS423,Y$2,{claves!$A$2;$E378}),1,0)</f>
        <v>#VALUE!</v>
      </c>
      <c r="AW378" s="436" t="str">
        <f t="array" ref="AW378">IF(Z378=DGET(claves!$A$2:$AS423,Z$2,{claves!$A$2;$E378}),1,0)</f>
        <v>#VALUE!</v>
      </c>
      <c r="AX378" s="436" t="str">
        <f t="array" ref="AX378">IF(AA378=DGET(claves!$A$2:$AS423,AA$2,{claves!$A$2;$E378}),1,0)</f>
        <v>#VALUE!</v>
      </c>
      <c r="AY378" s="436" t="str">
        <f t="array" ref="AY378">IF(AB378=DGET(claves!$A$2:$AS423,AB$2,{claves!$A$2;$E378}),1,0)</f>
        <v>#VALUE!</v>
      </c>
      <c r="AZ378" s="436" t="str">
        <f t="array" ref="AZ378">IF(AC378=DGET(claves!$A$2:$AS423,AC$2,{claves!$A$2;$E378}),1,0)</f>
        <v>#VALUE!</v>
      </c>
      <c r="BA378" s="436" t="str">
        <f t="array" ref="BA378">IF(AD378=DGET(claves!$A$2:$AS423,AD$2,{claves!$A$2;$E378}),1,0)</f>
        <v>#VALUE!</v>
      </c>
      <c r="BB378" s="436" t="str">
        <f t="array" ref="BB378">IF(AE378=DGET(claves!$A$2:$AS423,AE$2,{claves!$A$2;$E378}),1,0)</f>
        <v>#VALUE!</v>
      </c>
      <c r="BC378" s="436" t="str">
        <f t="array" ref="BC378">IF(AF378=DGET(claves!$A$2:$AS423,AF$2,{claves!$A$2;$E378}),1,0)</f>
        <v>#VALUE!</v>
      </c>
      <c r="BD378" s="437" t="str">
        <f t="shared" si="1"/>
        <v>#VALUE!</v>
      </c>
      <c r="BE378" s="435" t="s">
        <v>1468</v>
      </c>
      <c r="BF378" s="415"/>
    </row>
    <row r="379" ht="14.25" customHeight="1">
      <c r="A379" s="408">
        <v>377.0</v>
      </c>
      <c r="B379" s="153" t="s">
        <v>2040</v>
      </c>
      <c r="C379" s="153" t="s">
        <v>1468</v>
      </c>
      <c r="D379" s="77" t="s">
        <v>1817</v>
      </c>
      <c r="E379" s="409" t="str">
        <f>IFERROR(__xludf.DUMMYFUNCTION("ARRAYFORMULA(JOIN("""", ARRAYFORMULA(MID(SPLIT(F379, "" ""), 1, 1))))
&amp;""/""&amp;G379"),"CLQ/2 Primaria")</f>
        <v>CLQ/2 Primaria</v>
      </c>
      <c r="F379" s="77" t="s">
        <v>1827</v>
      </c>
      <c r="G379" s="432" t="s">
        <v>15</v>
      </c>
      <c r="H379" s="433"/>
      <c r="I379" s="433"/>
      <c r="J379" s="433"/>
      <c r="K379" s="432" t="s">
        <v>1665</v>
      </c>
      <c r="L379" s="415"/>
      <c r="M379" s="434"/>
      <c r="N379" s="434"/>
      <c r="O379" s="434"/>
      <c r="P379" s="434"/>
      <c r="Q379" s="434"/>
      <c r="R379" s="434"/>
      <c r="S379" s="434"/>
      <c r="T379" s="434"/>
      <c r="U379" s="434"/>
      <c r="V379" s="434"/>
      <c r="W379" s="434"/>
      <c r="X379" s="434"/>
      <c r="Y379" s="434"/>
      <c r="Z379" s="434"/>
      <c r="AA379" s="434"/>
      <c r="AB379" s="434"/>
      <c r="AC379" s="434"/>
      <c r="AD379" s="434"/>
      <c r="AE379" s="434"/>
      <c r="AF379" s="434"/>
      <c r="AG379" s="427">
        <v>0.0</v>
      </c>
      <c r="AH379" s="435" t="s">
        <v>1468</v>
      </c>
      <c r="AI379" s="415"/>
      <c r="AJ379" s="436" t="str">
        <f t="array" ref="AJ379">IF(M379=DGET(claves!$A$2:$AS423,M$2,{claves!$A$2;$E379}),1,0)</f>
        <v>#VALUE!</v>
      </c>
      <c r="AK379" s="436" t="str">
        <f t="array" ref="AK379">IF(N379=DGET(claves!$A$2:$AS423,N$2,{claves!$A$2;$E379}),1,0)</f>
        <v>#VALUE!</v>
      </c>
      <c r="AL379" s="436" t="str">
        <f t="array" ref="AL379">IF(O379=DGET(claves!$A$2:$AS423,O$2,{claves!$A$2;$E379}),1,0)</f>
        <v>#VALUE!</v>
      </c>
      <c r="AM379" s="436" t="str">
        <f t="array" ref="AM379">IF(P379=DGET(claves!$A$2:$AS423,P$2,{claves!$A$2;$E379}),1,0)</f>
        <v>#VALUE!</v>
      </c>
      <c r="AN379" s="436" t="str">
        <f t="array" ref="AN379">IF(Q379=DGET(claves!$A$2:$AS423,Q$2,{claves!$A$2;$E379}),1,0)</f>
        <v>#VALUE!</v>
      </c>
      <c r="AO379" s="436" t="str">
        <f t="array" ref="AO379">IF(R379=DGET(claves!$A$2:$AS423,R$2,{claves!$A$2;$E379}),1,0)</f>
        <v>#VALUE!</v>
      </c>
      <c r="AP379" s="436" t="str">
        <f t="array" ref="AP379">IF(S379=DGET(claves!$A$2:$AS423,S$2,{claves!$A$2;$E379}),1,0)</f>
        <v>#VALUE!</v>
      </c>
      <c r="AQ379" s="436" t="str">
        <f t="array" ref="AQ379">IF(T379=DGET(claves!$A$2:$AS423,T$2,{claves!$A$2;$E379}),1,0)</f>
        <v>#VALUE!</v>
      </c>
      <c r="AR379" s="436" t="str">
        <f t="array" ref="AR379">IF(U379=DGET(claves!$A$2:$AS423,U$2,{claves!$A$2;$E379}),1,0)</f>
        <v>#VALUE!</v>
      </c>
      <c r="AS379" s="436" t="str">
        <f t="array" ref="AS379">IF(V379=DGET(claves!$A$2:$AS423,V$2,{claves!$A$2;$E379}),1,0)</f>
        <v>#VALUE!</v>
      </c>
      <c r="AT379" s="436" t="str">
        <f t="array" ref="AT379">IF(W379=DGET(claves!$A$2:$AS423,W$2,{claves!$A$2;$E379}),1,0)</f>
        <v>#VALUE!</v>
      </c>
      <c r="AU379" s="436" t="str">
        <f t="array" ref="AU379">IF(X379=DGET(claves!$A$2:$AS423,X$2,{claves!$A$2;$E379}),1,0)</f>
        <v>#VALUE!</v>
      </c>
      <c r="AV379" s="436" t="str">
        <f t="array" ref="AV379">IF(Y379=DGET(claves!$A$2:$AS423,Y$2,{claves!$A$2;$E379}),1,0)</f>
        <v>#VALUE!</v>
      </c>
      <c r="AW379" s="436" t="str">
        <f t="array" ref="AW379">IF(Z379=DGET(claves!$A$2:$AS423,Z$2,{claves!$A$2;$E379}),1,0)</f>
        <v>#VALUE!</v>
      </c>
      <c r="AX379" s="436" t="str">
        <f t="array" ref="AX379">IF(AA379=DGET(claves!$A$2:$AS423,AA$2,{claves!$A$2;$E379}),1,0)</f>
        <v>#VALUE!</v>
      </c>
      <c r="AY379" s="436" t="str">
        <f t="array" ref="AY379">IF(AB379=DGET(claves!$A$2:$AS423,AB$2,{claves!$A$2;$E379}),1,0)</f>
        <v>#VALUE!</v>
      </c>
      <c r="AZ379" s="436" t="str">
        <f t="array" ref="AZ379">IF(AC379=DGET(claves!$A$2:$AS423,AC$2,{claves!$A$2;$E379}),1,0)</f>
        <v>#VALUE!</v>
      </c>
      <c r="BA379" s="436" t="str">
        <f t="array" ref="BA379">IF(AD379=DGET(claves!$A$2:$AS423,AD$2,{claves!$A$2;$E379}),1,0)</f>
        <v>#VALUE!</v>
      </c>
      <c r="BB379" s="436" t="str">
        <f t="array" ref="BB379">IF(AE379=DGET(claves!$A$2:$AS423,AE$2,{claves!$A$2;$E379}),1,0)</f>
        <v>#VALUE!</v>
      </c>
      <c r="BC379" s="436" t="str">
        <f t="array" ref="BC379">IF(AF379=DGET(claves!$A$2:$AS423,AF$2,{claves!$A$2;$E379}),1,0)</f>
        <v>#VALUE!</v>
      </c>
      <c r="BD379" s="437" t="str">
        <f t="shared" si="1"/>
        <v>#VALUE!</v>
      </c>
      <c r="BE379" s="435" t="s">
        <v>1468</v>
      </c>
      <c r="BF379" s="415"/>
    </row>
    <row r="380" ht="14.25" customHeight="1">
      <c r="A380" s="408">
        <v>378.0</v>
      </c>
      <c r="B380" s="153" t="s">
        <v>2040</v>
      </c>
      <c r="C380" s="153">
        <v>2024.0</v>
      </c>
      <c r="D380" s="77" t="s">
        <v>362</v>
      </c>
      <c r="E380" s="409" t="str">
        <f>IFERROR(__xludf.DUMMYFUNCTION("ARRAYFORMULA(JOIN("""", ARRAYFORMULA(MID(SPLIT(F380, "" ""), 1, 1))))
&amp;""/""&amp;G380"),"MQ/4 Primaria")</f>
        <v>MQ/4 Primaria</v>
      </c>
      <c r="F380" s="77" t="s">
        <v>1823</v>
      </c>
      <c r="G380" s="432" t="s">
        <v>20</v>
      </c>
      <c r="H380" s="433" t="s">
        <v>1808</v>
      </c>
      <c r="I380" s="433" t="s">
        <v>2042</v>
      </c>
      <c r="J380" s="433" t="s">
        <v>2043</v>
      </c>
      <c r="K380" s="433" t="s">
        <v>1658</v>
      </c>
      <c r="L380" s="415"/>
      <c r="M380" s="434" t="s">
        <v>1689</v>
      </c>
      <c r="N380" s="434" t="s">
        <v>1660</v>
      </c>
      <c r="O380" s="434" t="s">
        <v>1660</v>
      </c>
      <c r="P380" s="434" t="s">
        <v>1689</v>
      </c>
      <c r="Q380" s="434" t="s">
        <v>1661</v>
      </c>
      <c r="R380" s="434" t="s">
        <v>1660</v>
      </c>
      <c r="S380" s="434" t="s">
        <v>1659</v>
      </c>
      <c r="T380" s="434" t="s">
        <v>1661</v>
      </c>
      <c r="U380" s="434" t="s">
        <v>1660</v>
      </c>
      <c r="V380" s="434" t="s">
        <v>1659</v>
      </c>
      <c r="W380" s="434" t="s">
        <v>1689</v>
      </c>
      <c r="X380" s="434"/>
      <c r="Y380" s="434" t="s">
        <v>1661</v>
      </c>
      <c r="Z380" s="434" t="s">
        <v>1659</v>
      </c>
      <c r="AA380" s="434" t="s">
        <v>1689</v>
      </c>
      <c r="AB380" s="434" t="s">
        <v>1659</v>
      </c>
      <c r="AC380" s="434" t="s">
        <v>1661</v>
      </c>
      <c r="AD380" s="434" t="s">
        <v>1661</v>
      </c>
      <c r="AE380" s="434" t="s">
        <v>1661</v>
      </c>
      <c r="AF380" s="434" t="s">
        <v>1660</v>
      </c>
      <c r="AG380" s="427">
        <v>12.0</v>
      </c>
      <c r="AH380" s="435" t="s">
        <v>24</v>
      </c>
      <c r="AI380" s="415"/>
      <c r="AJ380" s="436" t="str">
        <f t="array" ref="AJ380">IF(M380=DGET(claves!$A$2:$AS423,M$2,{claves!$A$2;$E380}),1,0)</f>
        <v>#VALUE!</v>
      </c>
      <c r="AK380" s="436" t="str">
        <f t="array" ref="AK380">IF(N380=DGET(claves!$A$2:$AS423,N$2,{claves!$A$2;$E380}),1,0)</f>
        <v>#VALUE!</v>
      </c>
      <c r="AL380" s="436" t="str">
        <f t="array" ref="AL380">IF(O380=DGET(claves!$A$2:$AS423,O$2,{claves!$A$2;$E380}),1,0)</f>
        <v>#VALUE!</v>
      </c>
      <c r="AM380" s="436" t="str">
        <f t="array" ref="AM380">IF(P380=DGET(claves!$A$2:$AS423,P$2,{claves!$A$2;$E380}),1,0)</f>
        <v>#VALUE!</v>
      </c>
      <c r="AN380" s="436" t="str">
        <f t="array" ref="AN380">IF(Q380=DGET(claves!$A$2:$AS423,Q$2,{claves!$A$2;$E380}),1,0)</f>
        <v>#VALUE!</v>
      </c>
      <c r="AO380" s="436" t="str">
        <f t="array" ref="AO380">IF(R380=DGET(claves!$A$2:$AS423,R$2,{claves!$A$2;$E380}),1,0)</f>
        <v>#VALUE!</v>
      </c>
      <c r="AP380" s="436" t="str">
        <f t="array" ref="AP380">IF(S380=DGET(claves!$A$2:$AS423,S$2,{claves!$A$2;$E380}),1,0)</f>
        <v>#VALUE!</v>
      </c>
      <c r="AQ380" s="436" t="str">
        <f t="array" ref="AQ380">IF(T380=DGET(claves!$A$2:$AS423,T$2,{claves!$A$2;$E380}),1,0)</f>
        <v>#VALUE!</v>
      </c>
      <c r="AR380" s="436" t="str">
        <f t="array" ref="AR380">IF(U380=DGET(claves!$A$2:$AS423,U$2,{claves!$A$2;$E380}),1,0)</f>
        <v>#VALUE!</v>
      </c>
      <c r="AS380" s="436" t="str">
        <f t="array" ref="AS380">IF(V380=DGET(claves!$A$2:$AS423,V$2,{claves!$A$2;$E380}),1,0)</f>
        <v>#VALUE!</v>
      </c>
      <c r="AT380" s="436" t="str">
        <f t="array" ref="AT380">IF(W380=DGET(claves!$A$2:$AS423,W$2,{claves!$A$2;$E380}),1,0)</f>
        <v>#VALUE!</v>
      </c>
      <c r="AU380" s="436" t="str">
        <f t="array" ref="AU380">IF(X380=DGET(claves!$A$2:$AS423,X$2,{claves!$A$2;$E380}),1,0)</f>
        <v>#VALUE!</v>
      </c>
      <c r="AV380" s="436" t="str">
        <f t="array" ref="AV380">IF(Y380=DGET(claves!$A$2:$AS423,Y$2,{claves!$A$2;$E380}),1,0)</f>
        <v>#VALUE!</v>
      </c>
      <c r="AW380" s="436" t="str">
        <f t="array" ref="AW380">IF(Z380=DGET(claves!$A$2:$AS423,Z$2,{claves!$A$2;$E380}),1,0)</f>
        <v>#VALUE!</v>
      </c>
      <c r="AX380" s="436" t="str">
        <f t="array" ref="AX380">IF(AA380=DGET(claves!$A$2:$AS423,AA$2,{claves!$A$2;$E380}),1,0)</f>
        <v>#VALUE!</v>
      </c>
      <c r="AY380" s="436" t="str">
        <f t="array" ref="AY380">IF(AB380=DGET(claves!$A$2:$AS423,AB$2,{claves!$A$2;$E380}),1,0)</f>
        <v>#VALUE!</v>
      </c>
      <c r="AZ380" s="436" t="str">
        <f t="array" ref="AZ380">IF(AC380=DGET(claves!$A$2:$AS423,AC$2,{claves!$A$2;$E380}),1,0)</f>
        <v>#VALUE!</v>
      </c>
      <c r="BA380" s="436" t="str">
        <f t="array" ref="BA380">IF(AD380=DGET(claves!$A$2:$AS423,AD$2,{claves!$A$2;$E380}),1,0)</f>
        <v>#VALUE!</v>
      </c>
      <c r="BB380" s="436" t="str">
        <f t="array" ref="BB380">IF(AE380=DGET(claves!$A$2:$AS423,AE$2,{claves!$A$2;$E380}),1,0)</f>
        <v>#VALUE!</v>
      </c>
      <c r="BC380" s="436" t="str">
        <f t="array" ref="BC380">IF(AF380=DGET(claves!$A$2:$AS423,AF$2,{claves!$A$2;$E380}),1,0)</f>
        <v>#VALUE!</v>
      </c>
      <c r="BD380" s="437" t="str">
        <f t="shared" si="1"/>
        <v>#VALUE!</v>
      </c>
      <c r="BE380" s="435"/>
      <c r="BF380" s="415"/>
    </row>
    <row r="381" ht="14.25" customHeight="1">
      <c r="A381" s="408">
        <v>379.0</v>
      </c>
      <c r="B381" s="153" t="s">
        <v>2040</v>
      </c>
      <c r="C381" s="153">
        <v>2024.0</v>
      </c>
      <c r="D381" s="77" t="s">
        <v>1817</v>
      </c>
      <c r="E381" s="409" t="str">
        <f>IFERROR(__xludf.DUMMYFUNCTION("ARRAYFORMULA(JOIN("""", ARRAYFORMULA(MID(SPLIT(F381, "" ""), 1, 1))))
&amp;""/""&amp;G381"),"CLQ/4 Primaria")</f>
        <v>CLQ/4 Primaria</v>
      </c>
      <c r="F381" s="77" t="s">
        <v>1827</v>
      </c>
      <c r="G381" s="432" t="s">
        <v>20</v>
      </c>
      <c r="H381" s="433" t="s">
        <v>1808</v>
      </c>
      <c r="I381" s="433" t="s">
        <v>2042</v>
      </c>
      <c r="J381" s="433" t="s">
        <v>2043</v>
      </c>
      <c r="K381" s="433" t="s">
        <v>1658</v>
      </c>
      <c r="L381" s="415"/>
      <c r="M381" s="434" t="s">
        <v>1661</v>
      </c>
      <c r="N381" s="434" t="s">
        <v>1660</v>
      </c>
      <c r="O381" s="434" t="s">
        <v>1661</v>
      </c>
      <c r="P381" s="434" t="s">
        <v>1660</v>
      </c>
      <c r="Q381" s="434" t="s">
        <v>1661</v>
      </c>
      <c r="R381" s="434" t="s">
        <v>1660</v>
      </c>
      <c r="S381" s="434" t="s">
        <v>1659</v>
      </c>
      <c r="T381" s="434" t="s">
        <v>1661</v>
      </c>
      <c r="U381" s="434" t="s">
        <v>1689</v>
      </c>
      <c r="V381" s="434" t="s">
        <v>1661</v>
      </c>
      <c r="W381" s="434" t="s">
        <v>1689</v>
      </c>
      <c r="X381" s="434" t="s">
        <v>1660</v>
      </c>
      <c r="Y381" s="434" t="s">
        <v>1659</v>
      </c>
      <c r="Z381" s="434" t="s">
        <v>1659</v>
      </c>
      <c r="AA381" s="434" t="s">
        <v>1661</v>
      </c>
      <c r="AB381" s="434" t="s">
        <v>1689</v>
      </c>
      <c r="AC381" s="434" t="s">
        <v>1661</v>
      </c>
      <c r="AD381" s="434" t="s">
        <v>1689</v>
      </c>
      <c r="AE381" s="434" t="s">
        <v>1659</v>
      </c>
      <c r="AF381" s="434" t="s">
        <v>1689</v>
      </c>
      <c r="AG381" s="427">
        <v>16.0</v>
      </c>
      <c r="AH381" s="435" t="s">
        <v>24</v>
      </c>
      <c r="AI381" s="415"/>
      <c r="AJ381" s="436" t="str">
        <f t="array" ref="AJ381">IF(M381=DGET(claves!$A$2:$AS423,M$2,{claves!$A$2;$E381}),1,0)</f>
        <v>#VALUE!</v>
      </c>
      <c r="AK381" s="436" t="str">
        <f t="array" ref="AK381">IF(N381=DGET(claves!$A$2:$AS423,N$2,{claves!$A$2;$E381}),1,0)</f>
        <v>#VALUE!</v>
      </c>
      <c r="AL381" s="436" t="str">
        <f t="array" ref="AL381">IF(O381=DGET(claves!$A$2:$AS423,O$2,{claves!$A$2;$E381}),1,0)</f>
        <v>#VALUE!</v>
      </c>
      <c r="AM381" s="436" t="str">
        <f t="array" ref="AM381">IF(P381=DGET(claves!$A$2:$AS423,P$2,{claves!$A$2;$E381}),1,0)</f>
        <v>#VALUE!</v>
      </c>
      <c r="AN381" s="436" t="str">
        <f t="array" ref="AN381">IF(Q381=DGET(claves!$A$2:$AS423,Q$2,{claves!$A$2;$E381}),1,0)</f>
        <v>#VALUE!</v>
      </c>
      <c r="AO381" s="436" t="str">
        <f t="array" ref="AO381">IF(R381=DGET(claves!$A$2:$AS423,R$2,{claves!$A$2;$E381}),1,0)</f>
        <v>#VALUE!</v>
      </c>
      <c r="AP381" s="436" t="str">
        <f t="array" ref="AP381">IF(S381=DGET(claves!$A$2:$AS423,S$2,{claves!$A$2;$E381}),1,0)</f>
        <v>#VALUE!</v>
      </c>
      <c r="AQ381" s="436" t="str">
        <f t="array" ref="AQ381">IF(T381=DGET(claves!$A$2:$AS423,T$2,{claves!$A$2;$E381}),1,0)</f>
        <v>#VALUE!</v>
      </c>
      <c r="AR381" s="436" t="str">
        <f t="array" ref="AR381">IF(U381=DGET(claves!$A$2:$AS423,U$2,{claves!$A$2;$E381}),1,0)</f>
        <v>#VALUE!</v>
      </c>
      <c r="AS381" s="436" t="str">
        <f t="array" ref="AS381">IF(V381=DGET(claves!$A$2:$AS423,V$2,{claves!$A$2;$E381}),1,0)</f>
        <v>#VALUE!</v>
      </c>
      <c r="AT381" s="436" t="str">
        <f t="array" ref="AT381">IF(W381=DGET(claves!$A$2:$AS423,W$2,{claves!$A$2;$E381}),1,0)</f>
        <v>#VALUE!</v>
      </c>
      <c r="AU381" s="436" t="str">
        <f t="array" ref="AU381">IF(X381=DGET(claves!$A$2:$AS423,X$2,{claves!$A$2;$E381}),1,0)</f>
        <v>#VALUE!</v>
      </c>
      <c r="AV381" s="436" t="str">
        <f t="array" ref="AV381">IF(Y381=DGET(claves!$A$2:$AS423,Y$2,{claves!$A$2;$E381}),1,0)</f>
        <v>#VALUE!</v>
      </c>
      <c r="AW381" s="436" t="str">
        <f t="array" ref="AW381">IF(Z381=DGET(claves!$A$2:$AS423,Z$2,{claves!$A$2;$E381}),1,0)</f>
        <v>#VALUE!</v>
      </c>
      <c r="AX381" s="436" t="str">
        <f t="array" ref="AX381">IF(AA381=DGET(claves!$A$2:$AS423,AA$2,{claves!$A$2;$E381}),1,0)</f>
        <v>#VALUE!</v>
      </c>
      <c r="AY381" s="436" t="str">
        <f t="array" ref="AY381">IF(AB381=DGET(claves!$A$2:$AS423,AB$2,{claves!$A$2;$E381}),1,0)</f>
        <v>#VALUE!</v>
      </c>
      <c r="AZ381" s="436" t="str">
        <f t="array" ref="AZ381">IF(AC381=DGET(claves!$A$2:$AS423,AC$2,{claves!$A$2;$E381}),1,0)</f>
        <v>#VALUE!</v>
      </c>
      <c r="BA381" s="436" t="str">
        <f t="array" ref="BA381">IF(AD381=DGET(claves!$A$2:$AS423,AD$2,{claves!$A$2;$E381}),1,0)</f>
        <v>#VALUE!</v>
      </c>
      <c r="BB381" s="436" t="str">
        <f t="array" ref="BB381">IF(AE381=DGET(claves!$A$2:$AS423,AE$2,{claves!$A$2;$E381}),1,0)</f>
        <v>#VALUE!</v>
      </c>
      <c r="BC381" s="436" t="str">
        <f t="array" ref="BC381">IF(AF381=DGET(claves!$A$2:$AS423,AF$2,{claves!$A$2;$E381}),1,0)</f>
        <v>#VALUE!</v>
      </c>
      <c r="BD381" s="437" t="str">
        <f t="shared" si="1"/>
        <v>#VALUE!</v>
      </c>
      <c r="BE381" s="435"/>
      <c r="BF381" s="415"/>
    </row>
    <row r="382" ht="14.25" customHeight="1">
      <c r="A382" s="408">
        <v>380.0</v>
      </c>
      <c r="B382" s="153" t="s">
        <v>2040</v>
      </c>
      <c r="C382" s="153">
        <v>2024.0</v>
      </c>
      <c r="D382" s="77" t="s">
        <v>362</v>
      </c>
      <c r="E382" s="409" t="str">
        <f>IFERROR(__xludf.DUMMYFUNCTION("ARRAYFORMULA(JOIN("""", ARRAYFORMULA(MID(SPLIT(F382, "" ""), 1, 1))))
&amp;""/""&amp;G382"),"MQ/4 Primaria")</f>
        <v>MQ/4 Primaria</v>
      </c>
      <c r="F382" s="77" t="s">
        <v>1823</v>
      </c>
      <c r="G382" s="432" t="s">
        <v>20</v>
      </c>
      <c r="H382" s="433" t="s">
        <v>2044</v>
      </c>
      <c r="I382" s="433" t="s">
        <v>2045</v>
      </c>
      <c r="J382" s="433" t="s">
        <v>2046</v>
      </c>
      <c r="K382" s="432" t="s">
        <v>1665</v>
      </c>
      <c r="L382" s="415"/>
      <c r="M382" s="434" t="s">
        <v>1659</v>
      </c>
      <c r="N382" s="434" t="s">
        <v>1659</v>
      </c>
      <c r="O382" s="434" t="s">
        <v>1661</v>
      </c>
      <c r="P382" s="434" t="s">
        <v>1661</v>
      </c>
      <c r="Q382" s="434" t="s">
        <v>1660</v>
      </c>
      <c r="R382" s="434" t="s">
        <v>1659</v>
      </c>
      <c r="S382" s="434" t="s">
        <v>1660</v>
      </c>
      <c r="T382" s="434" t="s">
        <v>1689</v>
      </c>
      <c r="U382" s="434" t="s">
        <v>1660</v>
      </c>
      <c r="V382" s="434" t="s">
        <v>1660</v>
      </c>
      <c r="W382" s="434" t="s">
        <v>1659</v>
      </c>
      <c r="X382" s="434" t="s">
        <v>1660</v>
      </c>
      <c r="Y382" s="434" t="s">
        <v>1661</v>
      </c>
      <c r="Z382" s="434" t="s">
        <v>1659</v>
      </c>
      <c r="AA382" s="434" t="s">
        <v>1659</v>
      </c>
      <c r="AB382" s="434" t="s">
        <v>1661</v>
      </c>
      <c r="AC382" s="434" t="s">
        <v>1661</v>
      </c>
      <c r="AD382" s="434" t="s">
        <v>1661</v>
      </c>
      <c r="AE382" s="434" t="s">
        <v>1661</v>
      </c>
      <c r="AF382" s="434" t="s">
        <v>1689</v>
      </c>
      <c r="AG382" s="427">
        <v>4.0</v>
      </c>
      <c r="AH382" s="435" t="s">
        <v>18</v>
      </c>
      <c r="AI382" s="415"/>
      <c r="AJ382" s="436" t="str">
        <f t="array" ref="AJ382">IF(M382=DGET(claves!$A$2:$AS423,M$2,{claves!$A$2;$E382}),1,0)</f>
        <v>#VALUE!</v>
      </c>
      <c r="AK382" s="436" t="str">
        <f t="array" ref="AK382">IF(N382=DGET(claves!$A$2:$AS423,N$2,{claves!$A$2;$E382}),1,0)</f>
        <v>#VALUE!</v>
      </c>
      <c r="AL382" s="436" t="str">
        <f t="array" ref="AL382">IF(O382=DGET(claves!$A$2:$AS423,O$2,{claves!$A$2;$E382}),1,0)</f>
        <v>#VALUE!</v>
      </c>
      <c r="AM382" s="436" t="str">
        <f t="array" ref="AM382">IF(P382=DGET(claves!$A$2:$AS423,P$2,{claves!$A$2;$E382}),1,0)</f>
        <v>#VALUE!</v>
      </c>
      <c r="AN382" s="436" t="str">
        <f t="array" ref="AN382">IF(Q382=DGET(claves!$A$2:$AS423,Q$2,{claves!$A$2;$E382}),1,0)</f>
        <v>#VALUE!</v>
      </c>
      <c r="AO382" s="436" t="str">
        <f t="array" ref="AO382">IF(R382=DGET(claves!$A$2:$AS423,R$2,{claves!$A$2;$E382}),1,0)</f>
        <v>#VALUE!</v>
      </c>
      <c r="AP382" s="436" t="str">
        <f t="array" ref="AP382">IF(S382=DGET(claves!$A$2:$AS423,S$2,{claves!$A$2;$E382}),1,0)</f>
        <v>#VALUE!</v>
      </c>
      <c r="AQ382" s="436" t="str">
        <f t="array" ref="AQ382">IF(T382=DGET(claves!$A$2:$AS423,T$2,{claves!$A$2;$E382}),1,0)</f>
        <v>#VALUE!</v>
      </c>
      <c r="AR382" s="436" t="str">
        <f t="array" ref="AR382">IF(U382=DGET(claves!$A$2:$AS423,U$2,{claves!$A$2;$E382}),1,0)</f>
        <v>#VALUE!</v>
      </c>
      <c r="AS382" s="436" t="str">
        <f t="array" ref="AS382">IF(V382=DGET(claves!$A$2:$AS423,V$2,{claves!$A$2;$E382}),1,0)</f>
        <v>#VALUE!</v>
      </c>
      <c r="AT382" s="436" t="str">
        <f t="array" ref="AT382">IF(W382=DGET(claves!$A$2:$AS423,W$2,{claves!$A$2;$E382}),1,0)</f>
        <v>#VALUE!</v>
      </c>
      <c r="AU382" s="436" t="str">
        <f t="array" ref="AU382">IF(X382=DGET(claves!$A$2:$AS423,X$2,{claves!$A$2;$E382}),1,0)</f>
        <v>#VALUE!</v>
      </c>
      <c r="AV382" s="436" t="str">
        <f t="array" ref="AV382">IF(Y382=DGET(claves!$A$2:$AS423,Y$2,{claves!$A$2;$E382}),1,0)</f>
        <v>#VALUE!</v>
      </c>
      <c r="AW382" s="436" t="str">
        <f t="array" ref="AW382">IF(Z382=DGET(claves!$A$2:$AS423,Z$2,{claves!$A$2;$E382}),1,0)</f>
        <v>#VALUE!</v>
      </c>
      <c r="AX382" s="436" t="str">
        <f t="array" ref="AX382">IF(AA382=DGET(claves!$A$2:$AS423,AA$2,{claves!$A$2;$E382}),1,0)</f>
        <v>#VALUE!</v>
      </c>
      <c r="AY382" s="436" t="str">
        <f t="array" ref="AY382">IF(AB382=DGET(claves!$A$2:$AS423,AB$2,{claves!$A$2;$E382}),1,0)</f>
        <v>#VALUE!</v>
      </c>
      <c r="AZ382" s="436" t="str">
        <f t="array" ref="AZ382">IF(AC382=DGET(claves!$A$2:$AS423,AC$2,{claves!$A$2;$E382}),1,0)</f>
        <v>#VALUE!</v>
      </c>
      <c r="BA382" s="436" t="str">
        <f t="array" ref="BA382">IF(AD382=DGET(claves!$A$2:$AS423,AD$2,{claves!$A$2;$E382}),1,0)</f>
        <v>#VALUE!</v>
      </c>
      <c r="BB382" s="436" t="str">
        <f t="array" ref="BB382">IF(AE382=DGET(claves!$A$2:$AS423,AE$2,{claves!$A$2;$E382}),1,0)</f>
        <v>#VALUE!</v>
      </c>
      <c r="BC382" s="436" t="str">
        <f t="array" ref="BC382">IF(AF382=DGET(claves!$A$2:$AS423,AF$2,{claves!$A$2;$E382}),1,0)</f>
        <v>#VALUE!</v>
      </c>
      <c r="BD382" s="437" t="str">
        <f t="shared" si="1"/>
        <v>#VALUE!</v>
      </c>
      <c r="BE382" s="435"/>
      <c r="BF382" s="415"/>
    </row>
    <row r="383" ht="14.25" customHeight="1">
      <c r="A383" s="408">
        <v>381.0</v>
      </c>
      <c r="B383" s="153" t="s">
        <v>2040</v>
      </c>
      <c r="C383" s="153">
        <v>2024.0</v>
      </c>
      <c r="D383" s="77" t="s">
        <v>1817</v>
      </c>
      <c r="E383" s="409" t="str">
        <f>IFERROR(__xludf.DUMMYFUNCTION("ARRAYFORMULA(JOIN("""", ARRAYFORMULA(MID(SPLIT(F383, "" ""), 1, 1))))
&amp;""/""&amp;G383"),"CLQ/4 Primaria")</f>
        <v>CLQ/4 Primaria</v>
      </c>
      <c r="F383" s="77" t="s">
        <v>1827</v>
      </c>
      <c r="G383" s="432" t="s">
        <v>20</v>
      </c>
      <c r="H383" s="433" t="s">
        <v>2044</v>
      </c>
      <c r="I383" s="433" t="s">
        <v>2045</v>
      </c>
      <c r="J383" s="433" t="s">
        <v>2046</v>
      </c>
      <c r="K383" s="432" t="s">
        <v>1665</v>
      </c>
      <c r="L383" s="415"/>
      <c r="M383" s="434" t="s">
        <v>1659</v>
      </c>
      <c r="N383" s="434" t="s">
        <v>1661</v>
      </c>
      <c r="O383" s="434" t="s">
        <v>1661</v>
      </c>
      <c r="P383" s="434" t="s">
        <v>1659</v>
      </c>
      <c r="Q383" s="434" t="s">
        <v>1661</v>
      </c>
      <c r="R383" s="434" t="s">
        <v>1659</v>
      </c>
      <c r="S383" s="434" t="s">
        <v>1660</v>
      </c>
      <c r="T383" s="434" t="s">
        <v>1660</v>
      </c>
      <c r="U383" s="434" t="s">
        <v>1689</v>
      </c>
      <c r="V383" s="434" t="s">
        <v>1661</v>
      </c>
      <c r="W383" s="434" t="s">
        <v>1659</v>
      </c>
      <c r="X383" s="434" t="s">
        <v>1660</v>
      </c>
      <c r="Y383" s="434" t="s">
        <v>1659</v>
      </c>
      <c r="Z383" s="434" t="s">
        <v>1661</v>
      </c>
      <c r="AA383" s="434" t="s">
        <v>1689</v>
      </c>
      <c r="AB383" s="434" t="s">
        <v>1689</v>
      </c>
      <c r="AC383" s="434" t="s">
        <v>1661</v>
      </c>
      <c r="AD383" s="434" t="s">
        <v>1660</v>
      </c>
      <c r="AE383" s="434" t="s">
        <v>1661</v>
      </c>
      <c r="AF383" s="434" t="s">
        <v>1659</v>
      </c>
      <c r="AG383" s="427">
        <v>10.0</v>
      </c>
      <c r="AH383" s="435" t="s">
        <v>18</v>
      </c>
      <c r="AI383" s="415"/>
      <c r="AJ383" s="436" t="str">
        <f t="array" ref="AJ383">IF(M383=DGET(claves!$A$2:$AS423,M$2,{claves!$A$2;$E383}),1,0)</f>
        <v>#VALUE!</v>
      </c>
      <c r="AK383" s="436" t="str">
        <f t="array" ref="AK383">IF(N383=DGET(claves!$A$2:$AS423,N$2,{claves!$A$2;$E383}),1,0)</f>
        <v>#VALUE!</v>
      </c>
      <c r="AL383" s="436" t="str">
        <f t="array" ref="AL383">IF(O383=DGET(claves!$A$2:$AS423,O$2,{claves!$A$2;$E383}),1,0)</f>
        <v>#VALUE!</v>
      </c>
      <c r="AM383" s="436" t="str">
        <f t="array" ref="AM383">IF(P383=DGET(claves!$A$2:$AS423,P$2,{claves!$A$2;$E383}),1,0)</f>
        <v>#VALUE!</v>
      </c>
      <c r="AN383" s="436" t="str">
        <f t="array" ref="AN383">IF(Q383=DGET(claves!$A$2:$AS423,Q$2,{claves!$A$2;$E383}),1,0)</f>
        <v>#VALUE!</v>
      </c>
      <c r="AO383" s="436" t="str">
        <f t="array" ref="AO383">IF(R383=DGET(claves!$A$2:$AS423,R$2,{claves!$A$2;$E383}),1,0)</f>
        <v>#VALUE!</v>
      </c>
      <c r="AP383" s="436" t="str">
        <f t="array" ref="AP383">IF(S383=DGET(claves!$A$2:$AS423,S$2,{claves!$A$2;$E383}),1,0)</f>
        <v>#VALUE!</v>
      </c>
      <c r="AQ383" s="436" t="str">
        <f t="array" ref="AQ383">IF(T383=DGET(claves!$A$2:$AS423,T$2,{claves!$A$2;$E383}),1,0)</f>
        <v>#VALUE!</v>
      </c>
      <c r="AR383" s="436" t="str">
        <f t="array" ref="AR383">IF(U383=DGET(claves!$A$2:$AS423,U$2,{claves!$A$2;$E383}),1,0)</f>
        <v>#VALUE!</v>
      </c>
      <c r="AS383" s="436" t="str">
        <f t="array" ref="AS383">IF(V383=DGET(claves!$A$2:$AS423,V$2,{claves!$A$2;$E383}),1,0)</f>
        <v>#VALUE!</v>
      </c>
      <c r="AT383" s="436" t="str">
        <f t="array" ref="AT383">IF(W383=DGET(claves!$A$2:$AS423,W$2,{claves!$A$2;$E383}),1,0)</f>
        <v>#VALUE!</v>
      </c>
      <c r="AU383" s="436" t="str">
        <f t="array" ref="AU383">IF(X383=DGET(claves!$A$2:$AS423,X$2,{claves!$A$2;$E383}),1,0)</f>
        <v>#VALUE!</v>
      </c>
      <c r="AV383" s="436" t="str">
        <f t="array" ref="AV383">IF(Y383=DGET(claves!$A$2:$AS423,Y$2,{claves!$A$2;$E383}),1,0)</f>
        <v>#VALUE!</v>
      </c>
      <c r="AW383" s="436" t="str">
        <f t="array" ref="AW383">IF(Z383=DGET(claves!$A$2:$AS423,Z$2,{claves!$A$2;$E383}),1,0)</f>
        <v>#VALUE!</v>
      </c>
      <c r="AX383" s="436" t="str">
        <f t="array" ref="AX383">IF(AA383=DGET(claves!$A$2:$AS423,AA$2,{claves!$A$2;$E383}),1,0)</f>
        <v>#VALUE!</v>
      </c>
      <c r="AY383" s="436" t="str">
        <f t="array" ref="AY383">IF(AB383=DGET(claves!$A$2:$AS423,AB$2,{claves!$A$2;$E383}),1,0)</f>
        <v>#VALUE!</v>
      </c>
      <c r="AZ383" s="436" t="str">
        <f t="array" ref="AZ383">IF(AC383=DGET(claves!$A$2:$AS423,AC$2,{claves!$A$2;$E383}),1,0)</f>
        <v>#VALUE!</v>
      </c>
      <c r="BA383" s="436" t="str">
        <f t="array" ref="BA383">IF(AD383=DGET(claves!$A$2:$AS423,AD$2,{claves!$A$2;$E383}),1,0)</f>
        <v>#VALUE!</v>
      </c>
      <c r="BB383" s="436" t="str">
        <f t="array" ref="BB383">IF(AE383=DGET(claves!$A$2:$AS423,AE$2,{claves!$A$2;$E383}),1,0)</f>
        <v>#VALUE!</v>
      </c>
      <c r="BC383" s="436" t="str">
        <f t="array" ref="BC383">IF(AF383=DGET(claves!$A$2:$AS423,AF$2,{claves!$A$2;$E383}),1,0)</f>
        <v>#VALUE!</v>
      </c>
      <c r="BD383" s="437" t="str">
        <f t="shared" si="1"/>
        <v>#VALUE!</v>
      </c>
      <c r="BE383" s="435"/>
      <c r="BF383" s="415"/>
    </row>
    <row r="384" ht="14.25" customHeight="1">
      <c r="A384" s="408">
        <v>382.0</v>
      </c>
      <c r="B384" s="153" t="s">
        <v>2040</v>
      </c>
      <c r="C384" s="153">
        <v>2024.0</v>
      </c>
      <c r="D384" s="77" t="s">
        <v>362</v>
      </c>
      <c r="E384" s="409" t="str">
        <f>IFERROR(__xludf.DUMMYFUNCTION("ARRAYFORMULA(JOIN("""", ARRAYFORMULA(MID(SPLIT(F384, "" ""), 1, 1))))
&amp;""/""&amp;G384"),"MQ/6 Primaria")</f>
        <v>MQ/6 Primaria</v>
      </c>
      <c r="F384" s="77" t="s">
        <v>1823</v>
      </c>
      <c r="G384" s="432" t="s">
        <v>22</v>
      </c>
      <c r="H384" s="433" t="s">
        <v>2047</v>
      </c>
      <c r="I384" s="433" t="s">
        <v>1766</v>
      </c>
      <c r="J384" s="433" t="s">
        <v>2048</v>
      </c>
      <c r="K384" s="432" t="s">
        <v>1665</v>
      </c>
      <c r="L384" s="415"/>
      <c r="M384" s="434" t="s">
        <v>1660</v>
      </c>
      <c r="N384" s="434" t="s">
        <v>1689</v>
      </c>
      <c r="O384" s="434" t="s">
        <v>1661</v>
      </c>
      <c r="P384" s="434" t="s">
        <v>1659</v>
      </c>
      <c r="Q384" s="434" t="s">
        <v>1659</v>
      </c>
      <c r="R384" s="434" t="s">
        <v>1659</v>
      </c>
      <c r="S384" s="434" t="s">
        <v>1659</v>
      </c>
      <c r="T384" s="434" t="s">
        <v>1659</v>
      </c>
      <c r="U384" s="434" t="s">
        <v>1659</v>
      </c>
      <c r="V384" s="434" t="s">
        <v>1689</v>
      </c>
      <c r="W384" s="434" t="s">
        <v>1689</v>
      </c>
      <c r="X384" s="434" t="s">
        <v>1689</v>
      </c>
      <c r="Y384" s="434" t="s">
        <v>1660</v>
      </c>
      <c r="Z384" s="434" t="s">
        <v>1661</v>
      </c>
      <c r="AA384" s="434" t="s">
        <v>1659</v>
      </c>
      <c r="AB384" s="434" t="s">
        <v>1689</v>
      </c>
      <c r="AC384" s="434" t="s">
        <v>1660</v>
      </c>
      <c r="AD384" s="434" t="s">
        <v>1659</v>
      </c>
      <c r="AE384" s="434" t="s">
        <v>1689</v>
      </c>
      <c r="AF384" s="434" t="s">
        <v>1660</v>
      </c>
      <c r="AG384" s="427">
        <v>17.0</v>
      </c>
      <c r="AH384" s="438" t="s">
        <v>32</v>
      </c>
      <c r="AI384" s="415"/>
      <c r="AJ384" s="436" t="str">
        <f t="array" ref="AJ384">IF(M384=DGET(claves!$A$2:$AS423,M$2,{claves!$A$2;$E384}),1,0)</f>
        <v>#VALUE!</v>
      </c>
      <c r="AK384" s="436" t="str">
        <f t="array" ref="AK384">IF(N384=DGET(claves!$A$2:$AS423,N$2,{claves!$A$2;$E384}),1,0)</f>
        <v>#VALUE!</v>
      </c>
      <c r="AL384" s="436" t="str">
        <f t="array" ref="AL384">IF(O384=DGET(claves!$A$2:$AS423,O$2,{claves!$A$2;$E384}),1,0)</f>
        <v>#VALUE!</v>
      </c>
      <c r="AM384" s="436" t="str">
        <f t="array" ref="AM384">IF(P384=DGET(claves!$A$2:$AS423,P$2,{claves!$A$2;$E384}),1,0)</f>
        <v>#VALUE!</v>
      </c>
      <c r="AN384" s="436" t="str">
        <f t="array" ref="AN384">IF(Q384=DGET(claves!$A$2:$AS423,Q$2,{claves!$A$2;$E384}),1,0)</f>
        <v>#VALUE!</v>
      </c>
      <c r="AO384" s="436" t="str">
        <f t="array" ref="AO384">IF(R384=DGET(claves!$A$2:$AS423,R$2,{claves!$A$2;$E384}),1,0)</f>
        <v>#VALUE!</v>
      </c>
      <c r="AP384" s="436" t="str">
        <f t="array" ref="AP384">IF(S384=DGET(claves!$A$2:$AS423,S$2,{claves!$A$2;$E384}),1,0)</f>
        <v>#VALUE!</v>
      </c>
      <c r="AQ384" s="436" t="str">
        <f t="array" ref="AQ384">IF(T384=DGET(claves!$A$2:$AS423,T$2,{claves!$A$2;$E384}),1,0)</f>
        <v>#VALUE!</v>
      </c>
      <c r="AR384" s="436" t="str">
        <f t="array" ref="AR384">IF(U384=DGET(claves!$A$2:$AS423,U$2,{claves!$A$2;$E384}),1,0)</f>
        <v>#VALUE!</v>
      </c>
      <c r="AS384" s="436" t="str">
        <f t="array" ref="AS384">IF(V384=DGET(claves!$A$2:$AS423,V$2,{claves!$A$2;$E384}),1,0)</f>
        <v>#VALUE!</v>
      </c>
      <c r="AT384" s="436" t="str">
        <f t="array" ref="AT384">IF(W384=DGET(claves!$A$2:$AS423,W$2,{claves!$A$2;$E384}),1,0)</f>
        <v>#VALUE!</v>
      </c>
      <c r="AU384" s="436" t="str">
        <f t="array" ref="AU384">IF(X384=DGET(claves!$A$2:$AS423,X$2,{claves!$A$2;$E384}),1,0)</f>
        <v>#VALUE!</v>
      </c>
      <c r="AV384" s="436" t="str">
        <f t="array" ref="AV384">IF(Y384=DGET(claves!$A$2:$AS423,Y$2,{claves!$A$2;$E384}),1,0)</f>
        <v>#VALUE!</v>
      </c>
      <c r="AW384" s="436" t="str">
        <f t="array" ref="AW384">IF(Z384=DGET(claves!$A$2:$AS423,Z$2,{claves!$A$2;$E384}),1,0)</f>
        <v>#VALUE!</v>
      </c>
      <c r="AX384" s="436" t="str">
        <f t="array" ref="AX384">IF(AA384=DGET(claves!$A$2:$AS423,AA$2,{claves!$A$2;$E384}),1,0)</f>
        <v>#VALUE!</v>
      </c>
      <c r="AY384" s="436" t="str">
        <f t="array" ref="AY384">IF(AB384=DGET(claves!$A$2:$AS423,AB$2,{claves!$A$2;$E384}),1,0)</f>
        <v>#VALUE!</v>
      </c>
      <c r="AZ384" s="436" t="str">
        <f t="array" ref="AZ384">IF(AC384=DGET(claves!$A$2:$AS423,AC$2,{claves!$A$2;$E384}),1,0)</f>
        <v>#VALUE!</v>
      </c>
      <c r="BA384" s="436" t="str">
        <f t="array" ref="BA384">IF(AD384=DGET(claves!$A$2:$AS423,AD$2,{claves!$A$2;$E384}),1,0)</f>
        <v>#VALUE!</v>
      </c>
      <c r="BB384" s="436" t="str">
        <f t="array" ref="BB384">IF(AE384=DGET(claves!$A$2:$AS423,AE$2,{claves!$A$2;$E384}),1,0)</f>
        <v>#VALUE!</v>
      </c>
      <c r="BC384" s="436" t="str">
        <f t="array" ref="BC384">IF(AF384=DGET(claves!$A$2:$AS423,AF$2,{claves!$A$2;$E384}),1,0)</f>
        <v>#VALUE!</v>
      </c>
      <c r="BD384" s="437" t="str">
        <f t="shared" si="1"/>
        <v>#VALUE!</v>
      </c>
      <c r="BE384" s="435"/>
      <c r="BF384" s="415"/>
    </row>
    <row r="385" ht="14.25" customHeight="1">
      <c r="A385" s="408">
        <v>383.0</v>
      </c>
      <c r="B385" s="153" t="s">
        <v>2040</v>
      </c>
      <c r="C385" s="153">
        <v>2024.0</v>
      </c>
      <c r="D385" s="77" t="s">
        <v>1817</v>
      </c>
      <c r="E385" s="409" t="str">
        <f>IFERROR(__xludf.DUMMYFUNCTION("ARRAYFORMULA(JOIN("""", ARRAYFORMULA(MID(SPLIT(F385, "" ""), 1, 1))))
&amp;""/""&amp;G385"),"CLQ/6 Primaria")</f>
        <v>CLQ/6 Primaria</v>
      </c>
      <c r="F385" s="77" t="s">
        <v>1827</v>
      </c>
      <c r="G385" s="432" t="s">
        <v>22</v>
      </c>
      <c r="H385" s="433" t="s">
        <v>2047</v>
      </c>
      <c r="I385" s="433" t="s">
        <v>1766</v>
      </c>
      <c r="J385" s="433" t="s">
        <v>2048</v>
      </c>
      <c r="K385" s="432" t="s">
        <v>1665</v>
      </c>
      <c r="L385" s="415"/>
      <c r="M385" s="434" t="s">
        <v>1661</v>
      </c>
      <c r="N385" s="434" t="s">
        <v>1661</v>
      </c>
      <c r="O385" s="434" t="s">
        <v>1689</v>
      </c>
      <c r="P385" s="434" t="s">
        <v>1660</v>
      </c>
      <c r="Q385" s="434" t="s">
        <v>1660</v>
      </c>
      <c r="R385" s="434" t="s">
        <v>1689</v>
      </c>
      <c r="S385" s="434" t="s">
        <v>1659</v>
      </c>
      <c r="T385" s="434" t="s">
        <v>1689</v>
      </c>
      <c r="U385" s="434" t="s">
        <v>1689</v>
      </c>
      <c r="V385" s="434" t="s">
        <v>1660</v>
      </c>
      <c r="W385" s="434" t="s">
        <v>1659</v>
      </c>
      <c r="X385" s="434" t="s">
        <v>1661</v>
      </c>
      <c r="Y385" s="434" t="s">
        <v>1660</v>
      </c>
      <c r="Z385" s="434" t="s">
        <v>1689</v>
      </c>
      <c r="AA385" s="434" t="s">
        <v>1660</v>
      </c>
      <c r="AB385" s="434" t="s">
        <v>1689</v>
      </c>
      <c r="AC385" s="434" t="s">
        <v>1659</v>
      </c>
      <c r="AD385" s="434" t="s">
        <v>1660</v>
      </c>
      <c r="AE385" s="434" t="s">
        <v>1661</v>
      </c>
      <c r="AF385" s="434" t="s">
        <v>1689</v>
      </c>
      <c r="AG385" s="427">
        <v>11.0</v>
      </c>
      <c r="AH385" s="435" t="s">
        <v>24</v>
      </c>
      <c r="AI385" s="415"/>
      <c r="AJ385" s="436" t="str">
        <f t="array" ref="AJ385">IF(M385=DGET(claves!$A$2:$AS423,M$2,{claves!$A$2;$E385}),1,0)</f>
        <v>#VALUE!</v>
      </c>
      <c r="AK385" s="436" t="str">
        <f t="array" ref="AK385">IF(N385=DGET(claves!$A$2:$AS423,N$2,{claves!$A$2;$E385}),1,0)</f>
        <v>#VALUE!</v>
      </c>
      <c r="AL385" s="436" t="str">
        <f t="array" ref="AL385">IF(O385=DGET(claves!$A$2:$AS423,O$2,{claves!$A$2;$E385}),1,0)</f>
        <v>#VALUE!</v>
      </c>
      <c r="AM385" s="436" t="str">
        <f t="array" ref="AM385">IF(P385=DGET(claves!$A$2:$AS423,P$2,{claves!$A$2;$E385}),1,0)</f>
        <v>#VALUE!</v>
      </c>
      <c r="AN385" s="436" t="str">
        <f t="array" ref="AN385">IF(Q385=DGET(claves!$A$2:$AS423,Q$2,{claves!$A$2;$E385}),1,0)</f>
        <v>#VALUE!</v>
      </c>
      <c r="AO385" s="436" t="str">
        <f t="array" ref="AO385">IF(R385=DGET(claves!$A$2:$AS423,R$2,{claves!$A$2;$E385}),1,0)</f>
        <v>#VALUE!</v>
      </c>
      <c r="AP385" s="436" t="str">
        <f t="array" ref="AP385">IF(S385=DGET(claves!$A$2:$AS423,S$2,{claves!$A$2;$E385}),1,0)</f>
        <v>#VALUE!</v>
      </c>
      <c r="AQ385" s="436" t="str">
        <f t="array" ref="AQ385">IF(T385=DGET(claves!$A$2:$AS423,T$2,{claves!$A$2;$E385}),1,0)</f>
        <v>#VALUE!</v>
      </c>
      <c r="AR385" s="436" t="str">
        <f t="array" ref="AR385">IF(U385=DGET(claves!$A$2:$AS423,U$2,{claves!$A$2;$E385}),1,0)</f>
        <v>#VALUE!</v>
      </c>
      <c r="AS385" s="436" t="str">
        <f t="array" ref="AS385">IF(V385=DGET(claves!$A$2:$AS423,V$2,{claves!$A$2;$E385}),1,0)</f>
        <v>#VALUE!</v>
      </c>
      <c r="AT385" s="436" t="str">
        <f t="array" ref="AT385">IF(W385=DGET(claves!$A$2:$AS423,W$2,{claves!$A$2;$E385}),1,0)</f>
        <v>#VALUE!</v>
      </c>
      <c r="AU385" s="436" t="str">
        <f t="array" ref="AU385">IF(X385=DGET(claves!$A$2:$AS423,X$2,{claves!$A$2;$E385}),1,0)</f>
        <v>#VALUE!</v>
      </c>
      <c r="AV385" s="436" t="str">
        <f t="array" ref="AV385">IF(Y385=DGET(claves!$A$2:$AS423,Y$2,{claves!$A$2;$E385}),1,0)</f>
        <v>#VALUE!</v>
      </c>
      <c r="AW385" s="436" t="str">
        <f t="array" ref="AW385">IF(Z385=DGET(claves!$A$2:$AS423,Z$2,{claves!$A$2;$E385}),1,0)</f>
        <v>#VALUE!</v>
      </c>
      <c r="AX385" s="436" t="str">
        <f t="array" ref="AX385">IF(AA385=DGET(claves!$A$2:$AS423,AA$2,{claves!$A$2;$E385}),1,0)</f>
        <v>#VALUE!</v>
      </c>
      <c r="AY385" s="436" t="str">
        <f t="array" ref="AY385">IF(AB385=DGET(claves!$A$2:$AS423,AB$2,{claves!$A$2;$E385}),1,0)</f>
        <v>#VALUE!</v>
      </c>
      <c r="AZ385" s="436" t="str">
        <f t="array" ref="AZ385">IF(AC385=DGET(claves!$A$2:$AS423,AC$2,{claves!$A$2;$E385}),1,0)</f>
        <v>#VALUE!</v>
      </c>
      <c r="BA385" s="436" t="str">
        <f t="array" ref="BA385">IF(AD385=DGET(claves!$A$2:$AS423,AD$2,{claves!$A$2;$E385}),1,0)</f>
        <v>#VALUE!</v>
      </c>
      <c r="BB385" s="436" t="str">
        <f t="array" ref="BB385">IF(AE385=DGET(claves!$A$2:$AS423,AE$2,{claves!$A$2;$E385}),1,0)</f>
        <v>#VALUE!</v>
      </c>
      <c r="BC385" s="436" t="str">
        <f t="array" ref="BC385">IF(AF385=DGET(claves!$A$2:$AS423,AF$2,{claves!$A$2;$E385}),1,0)</f>
        <v>#VALUE!</v>
      </c>
      <c r="BD385" s="437" t="str">
        <f t="shared" si="1"/>
        <v>#VALUE!</v>
      </c>
      <c r="BE385" s="435"/>
      <c r="BF385" s="415"/>
    </row>
    <row r="386" ht="14.25" customHeight="1">
      <c r="A386" s="408">
        <v>384.0</v>
      </c>
      <c r="B386" s="153" t="s">
        <v>2049</v>
      </c>
      <c r="C386" s="153">
        <v>2024.0</v>
      </c>
      <c r="D386" s="77" t="s">
        <v>362</v>
      </c>
      <c r="E386" s="409" t="str">
        <f>IFERROR(__xludf.DUMMYFUNCTION("ARRAYFORMULA(JOIN("""", ARRAYFORMULA(MID(SPLIT(F386, "" ""), 1, 1))))
&amp;""/""&amp;G386"),"MQ/2 Primaria")</f>
        <v>MQ/2 Primaria</v>
      </c>
      <c r="F386" s="77" t="s">
        <v>1823</v>
      </c>
      <c r="G386" s="432" t="s">
        <v>15</v>
      </c>
      <c r="H386" s="433" t="s">
        <v>1935</v>
      </c>
      <c r="I386" s="433" t="s">
        <v>2050</v>
      </c>
      <c r="J386" s="433" t="s">
        <v>2051</v>
      </c>
      <c r="K386" s="433" t="s">
        <v>1658</v>
      </c>
      <c r="L386" s="415"/>
      <c r="M386" s="434" t="s">
        <v>1825</v>
      </c>
      <c r="N386" s="434" t="s">
        <v>1825</v>
      </c>
      <c r="O386" s="434" t="s">
        <v>1660</v>
      </c>
      <c r="P386" s="434" t="s">
        <v>1660</v>
      </c>
      <c r="Q386" s="434" t="s">
        <v>1826</v>
      </c>
      <c r="R386" s="434" t="s">
        <v>1660</v>
      </c>
      <c r="S386" s="434" t="s">
        <v>1826</v>
      </c>
      <c r="T386" s="434" t="s">
        <v>1825</v>
      </c>
      <c r="U386" s="434" t="s">
        <v>1825</v>
      </c>
      <c r="V386" s="434" t="s">
        <v>1825</v>
      </c>
      <c r="W386" s="434" t="s">
        <v>1660</v>
      </c>
      <c r="X386" s="434" t="s">
        <v>1826</v>
      </c>
      <c r="Y386" s="434"/>
      <c r="Z386" s="434" t="s">
        <v>1825</v>
      </c>
      <c r="AA386" s="434"/>
      <c r="AB386" s="434"/>
      <c r="AC386" s="434" t="s">
        <v>1825</v>
      </c>
      <c r="AD386" s="434" t="s">
        <v>1825</v>
      </c>
      <c r="AE386" s="434" t="s">
        <v>1660</v>
      </c>
      <c r="AF386" s="434"/>
      <c r="AG386" s="427">
        <v>11.0</v>
      </c>
      <c r="AH386" s="435" t="s">
        <v>24</v>
      </c>
      <c r="AI386" s="415"/>
      <c r="AJ386" s="436" t="str">
        <f t="array" ref="AJ386">IF(M386=DGET(claves!$A$2:$AS423,M$2,{claves!$A$2;$E386}),1,0)</f>
        <v>#VALUE!</v>
      </c>
      <c r="AK386" s="436" t="str">
        <f t="array" ref="AK386">IF(N386=DGET(claves!$A$2:$AS423,N$2,{claves!$A$2;$E386}),1,0)</f>
        <v>#VALUE!</v>
      </c>
      <c r="AL386" s="436" t="str">
        <f t="array" ref="AL386">IF(O386=DGET(claves!$A$2:$AS423,O$2,{claves!$A$2;$E386}),1,0)</f>
        <v>#VALUE!</v>
      </c>
      <c r="AM386" s="436" t="str">
        <f t="array" ref="AM386">IF(P386=DGET(claves!$A$2:$AS423,P$2,{claves!$A$2;$E386}),1,0)</f>
        <v>#VALUE!</v>
      </c>
      <c r="AN386" s="436" t="str">
        <f t="array" ref="AN386">IF(Q386=DGET(claves!$A$2:$AS423,Q$2,{claves!$A$2;$E386}),1,0)</f>
        <v>#VALUE!</v>
      </c>
      <c r="AO386" s="436" t="str">
        <f t="array" ref="AO386">IF(R386=DGET(claves!$A$2:$AS423,R$2,{claves!$A$2;$E386}),1,0)</f>
        <v>#VALUE!</v>
      </c>
      <c r="AP386" s="436" t="str">
        <f t="array" ref="AP386">IF(S386=DGET(claves!$A$2:$AS423,S$2,{claves!$A$2;$E386}),1,0)</f>
        <v>#VALUE!</v>
      </c>
      <c r="AQ386" s="436" t="str">
        <f t="array" ref="AQ386">IF(T386=DGET(claves!$A$2:$AS423,T$2,{claves!$A$2;$E386}),1,0)</f>
        <v>#VALUE!</v>
      </c>
      <c r="AR386" s="436" t="str">
        <f t="array" ref="AR386">IF(U386=DGET(claves!$A$2:$AS423,U$2,{claves!$A$2;$E386}),1,0)</f>
        <v>#VALUE!</v>
      </c>
      <c r="AS386" s="436" t="str">
        <f t="array" ref="AS386">IF(V386=DGET(claves!$A$2:$AS423,V$2,{claves!$A$2;$E386}),1,0)</f>
        <v>#VALUE!</v>
      </c>
      <c r="AT386" s="436" t="str">
        <f t="array" ref="AT386">IF(W386=DGET(claves!$A$2:$AS423,W$2,{claves!$A$2;$E386}),1,0)</f>
        <v>#VALUE!</v>
      </c>
      <c r="AU386" s="436" t="str">
        <f t="array" ref="AU386">IF(X386=DGET(claves!$A$2:$AS423,X$2,{claves!$A$2;$E386}),1,0)</f>
        <v>#VALUE!</v>
      </c>
      <c r="AV386" s="436" t="str">
        <f t="array" ref="AV386">IF(Y386=DGET(claves!$A$2:$AS423,Y$2,{claves!$A$2;$E386}),1,0)</f>
        <v>#VALUE!</v>
      </c>
      <c r="AW386" s="436" t="str">
        <f t="array" ref="AW386">IF(Z386=DGET(claves!$A$2:$AS423,Z$2,{claves!$A$2;$E386}),1,0)</f>
        <v>#VALUE!</v>
      </c>
      <c r="AX386" s="436" t="str">
        <f t="array" ref="AX386">IF(AA386=DGET(claves!$A$2:$AS423,AA$2,{claves!$A$2;$E386}),1,0)</f>
        <v>#VALUE!</v>
      </c>
      <c r="AY386" s="436" t="str">
        <f t="array" ref="AY386">IF(AB386=DGET(claves!$A$2:$AS423,AB$2,{claves!$A$2;$E386}),1,0)</f>
        <v>#VALUE!</v>
      </c>
      <c r="AZ386" s="436" t="str">
        <f t="array" ref="AZ386">IF(AC386=DGET(claves!$A$2:$AS423,AC$2,{claves!$A$2;$E386}),1,0)</f>
        <v>#VALUE!</v>
      </c>
      <c r="BA386" s="436" t="str">
        <f t="array" ref="BA386">IF(AD386=DGET(claves!$A$2:$AS423,AD$2,{claves!$A$2;$E386}),1,0)</f>
        <v>#VALUE!</v>
      </c>
      <c r="BB386" s="436" t="str">
        <f t="array" ref="BB386">IF(AE386=DGET(claves!$A$2:$AS423,AE$2,{claves!$A$2;$E386}),1,0)</f>
        <v>#VALUE!</v>
      </c>
      <c r="BC386" s="436" t="str">
        <f t="array" ref="BC386">IF(AF386=DGET(claves!$A$2:$AS423,AF$2,{claves!$A$2;$E386}),1,0)</f>
        <v>#VALUE!</v>
      </c>
      <c r="BD386" s="437" t="str">
        <f t="shared" si="1"/>
        <v>#VALUE!</v>
      </c>
      <c r="BE386" s="435"/>
      <c r="BF386" s="415"/>
    </row>
    <row r="387" ht="14.25" customHeight="1">
      <c r="A387" s="408">
        <v>385.0</v>
      </c>
      <c r="B387" s="153" t="s">
        <v>2049</v>
      </c>
      <c r="C387" s="153">
        <v>2024.0</v>
      </c>
      <c r="D387" s="77" t="s">
        <v>1817</v>
      </c>
      <c r="E387" s="409" t="str">
        <f>IFERROR(__xludf.DUMMYFUNCTION("ARRAYFORMULA(JOIN("""", ARRAYFORMULA(MID(SPLIT(F387, "" ""), 1, 1))))
&amp;""/""&amp;G387"),"CLQ/2 Primaria")</f>
        <v>CLQ/2 Primaria</v>
      </c>
      <c r="F387" s="77" t="s">
        <v>1827</v>
      </c>
      <c r="G387" s="432" t="s">
        <v>15</v>
      </c>
      <c r="H387" s="433" t="s">
        <v>1935</v>
      </c>
      <c r="I387" s="433" t="s">
        <v>2050</v>
      </c>
      <c r="J387" s="433" t="s">
        <v>2051</v>
      </c>
      <c r="K387" s="433" t="s">
        <v>1658</v>
      </c>
      <c r="L387" s="415"/>
      <c r="M387" s="434" t="s">
        <v>1825</v>
      </c>
      <c r="N387" s="434" t="s">
        <v>1826</v>
      </c>
      <c r="O387" s="434" t="s">
        <v>1660</v>
      </c>
      <c r="P387" s="434" t="s">
        <v>1825</v>
      </c>
      <c r="Q387" s="434" t="s">
        <v>1825</v>
      </c>
      <c r="R387" s="434" t="s">
        <v>1660</v>
      </c>
      <c r="S387" s="434" t="s">
        <v>1660</v>
      </c>
      <c r="T387" s="434" t="s">
        <v>1826</v>
      </c>
      <c r="U387" s="434" t="s">
        <v>1825</v>
      </c>
      <c r="V387" s="434" t="s">
        <v>1660</v>
      </c>
      <c r="W387" s="434" t="s">
        <v>1825</v>
      </c>
      <c r="X387" s="434" t="s">
        <v>1826</v>
      </c>
      <c r="Y387" s="434" t="s">
        <v>1660</v>
      </c>
      <c r="Z387" s="434" t="s">
        <v>1660</v>
      </c>
      <c r="AA387" s="434" t="s">
        <v>1660</v>
      </c>
      <c r="AB387" s="434" t="s">
        <v>1826</v>
      </c>
      <c r="AC387" s="434" t="s">
        <v>1825</v>
      </c>
      <c r="AD387" s="434" t="s">
        <v>1825</v>
      </c>
      <c r="AE387" s="434" t="s">
        <v>1660</v>
      </c>
      <c r="AF387" s="434" t="s">
        <v>1825</v>
      </c>
      <c r="AG387" s="427">
        <v>11.0</v>
      </c>
      <c r="AH387" s="435" t="s">
        <v>24</v>
      </c>
      <c r="AI387" s="415"/>
      <c r="AJ387" s="436" t="str">
        <f t="array" ref="AJ387">IF(M387=DGET(claves!$A$2:$AS423,M$2,{claves!$A$2;$E387}),1,0)</f>
        <v>#VALUE!</v>
      </c>
      <c r="AK387" s="436" t="str">
        <f t="array" ref="AK387">IF(N387=DGET(claves!$A$2:$AS423,N$2,{claves!$A$2;$E387}),1,0)</f>
        <v>#VALUE!</v>
      </c>
      <c r="AL387" s="436" t="str">
        <f t="array" ref="AL387">IF(O387=DGET(claves!$A$2:$AS423,O$2,{claves!$A$2;$E387}),1,0)</f>
        <v>#VALUE!</v>
      </c>
      <c r="AM387" s="436" t="str">
        <f t="array" ref="AM387">IF(P387=DGET(claves!$A$2:$AS423,P$2,{claves!$A$2;$E387}),1,0)</f>
        <v>#VALUE!</v>
      </c>
      <c r="AN387" s="436" t="str">
        <f t="array" ref="AN387">IF(Q387=DGET(claves!$A$2:$AS423,Q$2,{claves!$A$2;$E387}),1,0)</f>
        <v>#VALUE!</v>
      </c>
      <c r="AO387" s="436" t="str">
        <f t="array" ref="AO387">IF(R387=DGET(claves!$A$2:$AS423,R$2,{claves!$A$2;$E387}),1,0)</f>
        <v>#VALUE!</v>
      </c>
      <c r="AP387" s="436" t="str">
        <f t="array" ref="AP387">IF(S387=DGET(claves!$A$2:$AS423,S$2,{claves!$A$2;$E387}),1,0)</f>
        <v>#VALUE!</v>
      </c>
      <c r="AQ387" s="436" t="str">
        <f t="array" ref="AQ387">IF(T387=DGET(claves!$A$2:$AS423,T$2,{claves!$A$2;$E387}),1,0)</f>
        <v>#VALUE!</v>
      </c>
      <c r="AR387" s="436" t="str">
        <f t="array" ref="AR387">IF(U387=DGET(claves!$A$2:$AS423,U$2,{claves!$A$2;$E387}),1,0)</f>
        <v>#VALUE!</v>
      </c>
      <c r="AS387" s="436" t="str">
        <f t="array" ref="AS387">IF(V387=DGET(claves!$A$2:$AS423,V$2,{claves!$A$2;$E387}),1,0)</f>
        <v>#VALUE!</v>
      </c>
      <c r="AT387" s="436" t="str">
        <f t="array" ref="AT387">IF(W387=DGET(claves!$A$2:$AS423,W$2,{claves!$A$2;$E387}),1,0)</f>
        <v>#VALUE!</v>
      </c>
      <c r="AU387" s="436" t="str">
        <f t="array" ref="AU387">IF(X387=DGET(claves!$A$2:$AS423,X$2,{claves!$A$2;$E387}),1,0)</f>
        <v>#VALUE!</v>
      </c>
      <c r="AV387" s="436" t="str">
        <f t="array" ref="AV387">IF(Y387=DGET(claves!$A$2:$AS423,Y$2,{claves!$A$2;$E387}),1,0)</f>
        <v>#VALUE!</v>
      </c>
      <c r="AW387" s="436" t="str">
        <f t="array" ref="AW387">IF(Z387=DGET(claves!$A$2:$AS423,Z$2,{claves!$A$2;$E387}),1,0)</f>
        <v>#VALUE!</v>
      </c>
      <c r="AX387" s="436" t="str">
        <f t="array" ref="AX387">IF(AA387=DGET(claves!$A$2:$AS423,AA$2,{claves!$A$2;$E387}),1,0)</f>
        <v>#VALUE!</v>
      </c>
      <c r="AY387" s="436" t="str">
        <f t="array" ref="AY387">IF(AB387=DGET(claves!$A$2:$AS423,AB$2,{claves!$A$2;$E387}),1,0)</f>
        <v>#VALUE!</v>
      </c>
      <c r="AZ387" s="436" t="str">
        <f t="array" ref="AZ387">IF(AC387=DGET(claves!$A$2:$AS423,AC$2,{claves!$A$2;$E387}),1,0)</f>
        <v>#VALUE!</v>
      </c>
      <c r="BA387" s="436" t="str">
        <f t="array" ref="BA387">IF(AD387=DGET(claves!$A$2:$AS423,AD$2,{claves!$A$2;$E387}),1,0)</f>
        <v>#VALUE!</v>
      </c>
      <c r="BB387" s="436" t="str">
        <f t="array" ref="BB387">IF(AE387=DGET(claves!$A$2:$AS423,AE$2,{claves!$A$2;$E387}),1,0)</f>
        <v>#VALUE!</v>
      </c>
      <c r="BC387" s="436" t="str">
        <f t="array" ref="BC387">IF(AF387=DGET(claves!$A$2:$AS423,AF$2,{claves!$A$2;$E387}),1,0)</f>
        <v>#VALUE!</v>
      </c>
      <c r="BD387" s="437" t="str">
        <f t="shared" si="1"/>
        <v>#VALUE!</v>
      </c>
      <c r="BE387" s="435"/>
      <c r="BF387" s="415"/>
    </row>
    <row r="388" ht="14.25" customHeight="1">
      <c r="A388" s="408">
        <v>386.0</v>
      </c>
      <c r="B388" s="153" t="s">
        <v>2049</v>
      </c>
      <c r="C388" s="153">
        <v>2024.0</v>
      </c>
      <c r="D388" s="77" t="s">
        <v>362</v>
      </c>
      <c r="E388" s="409" t="str">
        <f>IFERROR(__xludf.DUMMYFUNCTION("ARRAYFORMULA(JOIN("""", ARRAYFORMULA(MID(SPLIT(F388, "" ""), 1, 1))))
&amp;""/""&amp;G388"),"MQ/2 Primaria")</f>
        <v>MQ/2 Primaria</v>
      </c>
      <c r="F388" s="77" t="s">
        <v>1823</v>
      </c>
      <c r="G388" s="432" t="s">
        <v>15</v>
      </c>
      <c r="H388" s="433" t="s">
        <v>1890</v>
      </c>
      <c r="I388" s="433" t="s">
        <v>2052</v>
      </c>
      <c r="J388" s="433" t="s">
        <v>2053</v>
      </c>
      <c r="K388" s="432" t="s">
        <v>1665</v>
      </c>
      <c r="L388" s="415"/>
      <c r="M388" s="434" t="s">
        <v>1825</v>
      </c>
      <c r="N388" s="434" t="s">
        <v>1825</v>
      </c>
      <c r="O388" s="434" t="s">
        <v>1826</v>
      </c>
      <c r="P388" s="434"/>
      <c r="Q388" s="434" t="s">
        <v>1826</v>
      </c>
      <c r="R388" s="434" t="s">
        <v>1825</v>
      </c>
      <c r="S388" s="434" t="s">
        <v>1825</v>
      </c>
      <c r="T388" s="434" t="s">
        <v>1660</v>
      </c>
      <c r="U388" s="434" t="s">
        <v>1826</v>
      </c>
      <c r="V388" s="434" t="s">
        <v>1825</v>
      </c>
      <c r="W388" s="434" t="s">
        <v>1826</v>
      </c>
      <c r="X388" s="434" t="s">
        <v>1825</v>
      </c>
      <c r="Y388" s="434" t="s">
        <v>1660</v>
      </c>
      <c r="Z388" s="434" t="s">
        <v>1825</v>
      </c>
      <c r="AA388" s="434" t="s">
        <v>1660</v>
      </c>
      <c r="AB388" s="434" t="s">
        <v>1825</v>
      </c>
      <c r="AC388" s="434" t="s">
        <v>1660</v>
      </c>
      <c r="AD388" s="434" t="s">
        <v>1660</v>
      </c>
      <c r="AE388" s="434" t="s">
        <v>1660</v>
      </c>
      <c r="AF388" s="434" t="s">
        <v>1825</v>
      </c>
      <c r="AG388" s="427">
        <v>11.0</v>
      </c>
      <c r="AH388" s="435" t="s">
        <v>24</v>
      </c>
      <c r="AI388" s="415"/>
      <c r="AJ388" s="436" t="str">
        <f t="array" ref="AJ388">IF(M388=DGET(claves!$A$2:$AS423,M$2,{claves!$A$2;$E388}),1,0)</f>
        <v>#VALUE!</v>
      </c>
      <c r="AK388" s="436" t="str">
        <f t="array" ref="AK388">IF(N388=DGET(claves!$A$2:$AS423,N$2,{claves!$A$2;$E388}),1,0)</f>
        <v>#VALUE!</v>
      </c>
      <c r="AL388" s="436" t="str">
        <f t="array" ref="AL388">IF(O388=DGET(claves!$A$2:$AS423,O$2,{claves!$A$2;$E388}),1,0)</f>
        <v>#VALUE!</v>
      </c>
      <c r="AM388" s="436" t="str">
        <f t="array" ref="AM388">IF(P388=DGET(claves!$A$2:$AS423,P$2,{claves!$A$2;$E388}),1,0)</f>
        <v>#VALUE!</v>
      </c>
      <c r="AN388" s="436" t="str">
        <f t="array" ref="AN388">IF(Q388=DGET(claves!$A$2:$AS423,Q$2,{claves!$A$2;$E388}),1,0)</f>
        <v>#VALUE!</v>
      </c>
      <c r="AO388" s="436" t="str">
        <f t="array" ref="AO388">IF(R388=DGET(claves!$A$2:$AS423,R$2,{claves!$A$2;$E388}),1,0)</f>
        <v>#VALUE!</v>
      </c>
      <c r="AP388" s="436" t="str">
        <f t="array" ref="AP388">IF(S388=DGET(claves!$A$2:$AS423,S$2,{claves!$A$2;$E388}),1,0)</f>
        <v>#VALUE!</v>
      </c>
      <c r="AQ388" s="436" t="str">
        <f t="array" ref="AQ388">IF(T388=DGET(claves!$A$2:$AS423,T$2,{claves!$A$2;$E388}),1,0)</f>
        <v>#VALUE!</v>
      </c>
      <c r="AR388" s="436" t="str">
        <f t="array" ref="AR388">IF(U388=DGET(claves!$A$2:$AS423,U$2,{claves!$A$2;$E388}),1,0)</f>
        <v>#VALUE!</v>
      </c>
      <c r="AS388" s="436" t="str">
        <f t="array" ref="AS388">IF(V388=DGET(claves!$A$2:$AS423,V$2,{claves!$A$2;$E388}),1,0)</f>
        <v>#VALUE!</v>
      </c>
      <c r="AT388" s="436" t="str">
        <f t="array" ref="AT388">IF(W388=DGET(claves!$A$2:$AS423,W$2,{claves!$A$2;$E388}),1,0)</f>
        <v>#VALUE!</v>
      </c>
      <c r="AU388" s="436" t="str">
        <f t="array" ref="AU388">IF(X388=DGET(claves!$A$2:$AS423,X$2,{claves!$A$2;$E388}),1,0)</f>
        <v>#VALUE!</v>
      </c>
      <c r="AV388" s="436" t="str">
        <f t="array" ref="AV388">IF(Y388=DGET(claves!$A$2:$AS423,Y$2,{claves!$A$2;$E388}),1,0)</f>
        <v>#VALUE!</v>
      </c>
      <c r="AW388" s="436" t="str">
        <f t="array" ref="AW388">IF(Z388=DGET(claves!$A$2:$AS423,Z$2,{claves!$A$2;$E388}),1,0)</f>
        <v>#VALUE!</v>
      </c>
      <c r="AX388" s="436" t="str">
        <f t="array" ref="AX388">IF(AA388=DGET(claves!$A$2:$AS423,AA$2,{claves!$A$2;$E388}),1,0)</f>
        <v>#VALUE!</v>
      </c>
      <c r="AY388" s="436" t="str">
        <f t="array" ref="AY388">IF(AB388=DGET(claves!$A$2:$AS423,AB$2,{claves!$A$2;$E388}),1,0)</f>
        <v>#VALUE!</v>
      </c>
      <c r="AZ388" s="436" t="str">
        <f t="array" ref="AZ388">IF(AC388=DGET(claves!$A$2:$AS423,AC$2,{claves!$A$2;$E388}),1,0)</f>
        <v>#VALUE!</v>
      </c>
      <c r="BA388" s="436" t="str">
        <f t="array" ref="BA388">IF(AD388=DGET(claves!$A$2:$AS423,AD$2,{claves!$A$2;$E388}),1,0)</f>
        <v>#VALUE!</v>
      </c>
      <c r="BB388" s="436" t="str">
        <f t="array" ref="BB388">IF(AE388=DGET(claves!$A$2:$AS423,AE$2,{claves!$A$2;$E388}),1,0)</f>
        <v>#VALUE!</v>
      </c>
      <c r="BC388" s="436" t="str">
        <f t="array" ref="BC388">IF(AF388=DGET(claves!$A$2:$AS423,AF$2,{claves!$A$2;$E388}),1,0)</f>
        <v>#VALUE!</v>
      </c>
      <c r="BD388" s="437" t="str">
        <f t="shared" si="1"/>
        <v>#VALUE!</v>
      </c>
      <c r="BE388" s="435"/>
      <c r="BF388" s="415"/>
    </row>
    <row r="389" ht="14.25" customHeight="1">
      <c r="A389" s="408">
        <v>387.0</v>
      </c>
      <c r="B389" s="153" t="s">
        <v>2049</v>
      </c>
      <c r="C389" s="153">
        <v>2024.0</v>
      </c>
      <c r="D389" s="77" t="s">
        <v>1817</v>
      </c>
      <c r="E389" s="409" t="str">
        <f>IFERROR(__xludf.DUMMYFUNCTION("ARRAYFORMULA(JOIN("""", ARRAYFORMULA(MID(SPLIT(F389, "" ""), 1, 1))))
&amp;""/""&amp;G389"),"CLQ/2 Primaria")</f>
        <v>CLQ/2 Primaria</v>
      </c>
      <c r="F389" s="77" t="s">
        <v>1827</v>
      </c>
      <c r="G389" s="432" t="s">
        <v>15</v>
      </c>
      <c r="H389" s="433" t="s">
        <v>1890</v>
      </c>
      <c r="I389" s="433" t="s">
        <v>2052</v>
      </c>
      <c r="J389" s="433" t="s">
        <v>2053</v>
      </c>
      <c r="K389" s="432" t="s">
        <v>1665</v>
      </c>
      <c r="L389" s="415"/>
      <c r="M389" s="434" t="s">
        <v>1825</v>
      </c>
      <c r="N389" s="434" t="s">
        <v>1825</v>
      </c>
      <c r="O389" s="434" t="s">
        <v>1660</v>
      </c>
      <c r="P389" s="434" t="s">
        <v>1660</v>
      </c>
      <c r="Q389" s="434" t="s">
        <v>1825</v>
      </c>
      <c r="R389" s="434" t="s">
        <v>1660</v>
      </c>
      <c r="S389" s="434" t="s">
        <v>1826</v>
      </c>
      <c r="T389" s="434" t="s">
        <v>1826</v>
      </c>
      <c r="U389" s="434" t="s">
        <v>1826</v>
      </c>
      <c r="V389" s="434" t="s">
        <v>1660</v>
      </c>
      <c r="W389" s="434" t="s">
        <v>1660</v>
      </c>
      <c r="X389" s="434" t="s">
        <v>1660</v>
      </c>
      <c r="Y389" s="434" t="s">
        <v>1826</v>
      </c>
      <c r="Z389" s="434" t="s">
        <v>1826</v>
      </c>
      <c r="AA389" s="434" t="s">
        <v>1826</v>
      </c>
      <c r="AB389" s="434" t="s">
        <v>1826</v>
      </c>
      <c r="AC389" s="434" t="s">
        <v>1660</v>
      </c>
      <c r="AD389" s="434" t="s">
        <v>1825</v>
      </c>
      <c r="AE389" s="434" t="s">
        <v>1660</v>
      </c>
      <c r="AF389" s="434" t="s">
        <v>1825</v>
      </c>
      <c r="AG389" s="427">
        <v>10.0</v>
      </c>
      <c r="AH389" s="435" t="s">
        <v>18</v>
      </c>
      <c r="AI389" s="415"/>
      <c r="AJ389" s="436" t="str">
        <f t="array" ref="AJ389">IF(M389=DGET(claves!$A$2:$AS423,M$2,{claves!$A$2;$E389}),1,0)</f>
        <v>#VALUE!</v>
      </c>
      <c r="AK389" s="436" t="str">
        <f t="array" ref="AK389">IF(N389=DGET(claves!$A$2:$AS423,N$2,{claves!$A$2;$E389}),1,0)</f>
        <v>#VALUE!</v>
      </c>
      <c r="AL389" s="436" t="str">
        <f t="array" ref="AL389">IF(O389=DGET(claves!$A$2:$AS423,O$2,{claves!$A$2;$E389}),1,0)</f>
        <v>#VALUE!</v>
      </c>
      <c r="AM389" s="436" t="str">
        <f t="array" ref="AM389">IF(P389=DGET(claves!$A$2:$AS423,P$2,{claves!$A$2;$E389}),1,0)</f>
        <v>#VALUE!</v>
      </c>
      <c r="AN389" s="436" t="str">
        <f t="array" ref="AN389">IF(Q389=DGET(claves!$A$2:$AS423,Q$2,{claves!$A$2;$E389}),1,0)</f>
        <v>#VALUE!</v>
      </c>
      <c r="AO389" s="436" t="str">
        <f t="array" ref="AO389">IF(R389=DGET(claves!$A$2:$AS423,R$2,{claves!$A$2;$E389}),1,0)</f>
        <v>#VALUE!</v>
      </c>
      <c r="AP389" s="436" t="str">
        <f t="array" ref="AP389">IF(S389=DGET(claves!$A$2:$AS423,S$2,{claves!$A$2;$E389}),1,0)</f>
        <v>#VALUE!</v>
      </c>
      <c r="AQ389" s="436" t="str">
        <f t="array" ref="AQ389">IF(T389=DGET(claves!$A$2:$AS423,T$2,{claves!$A$2;$E389}),1,0)</f>
        <v>#VALUE!</v>
      </c>
      <c r="AR389" s="436" t="str">
        <f t="array" ref="AR389">IF(U389=DGET(claves!$A$2:$AS423,U$2,{claves!$A$2;$E389}),1,0)</f>
        <v>#VALUE!</v>
      </c>
      <c r="AS389" s="436" t="str">
        <f t="array" ref="AS389">IF(V389=DGET(claves!$A$2:$AS423,V$2,{claves!$A$2;$E389}),1,0)</f>
        <v>#VALUE!</v>
      </c>
      <c r="AT389" s="436" t="str">
        <f t="array" ref="AT389">IF(W389=DGET(claves!$A$2:$AS423,W$2,{claves!$A$2;$E389}),1,0)</f>
        <v>#VALUE!</v>
      </c>
      <c r="AU389" s="436" t="str">
        <f t="array" ref="AU389">IF(X389=DGET(claves!$A$2:$AS423,X$2,{claves!$A$2;$E389}),1,0)</f>
        <v>#VALUE!</v>
      </c>
      <c r="AV389" s="436" t="str">
        <f t="array" ref="AV389">IF(Y389=DGET(claves!$A$2:$AS423,Y$2,{claves!$A$2;$E389}),1,0)</f>
        <v>#VALUE!</v>
      </c>
      <c r="AW389" s="436" t="str">
        <f t="array" ref="AW389">IF(Z389=DGET(claves!$A$2:$AS423,Z$2,{claves!$A$2;$E389}),1,0)</f>
        <v>#VALUE!</v>
      </c>
      <c r="AX389" s="436" t="str">
        <f t="array" ref="AX389">IF(AA389=DGET(claves!$A$2:$AS423,AA$2,{claves!$A$2;$E389}),1,0)</f>
        <v>#VALUE!</v>
      </c>
      <c r="AY389" s="436" t="str">
        <f t="array" ref="AY389">IF(AB389=DGET(claves!$A$2:$AS423,AB$2,{claves!$A$2;$E389}),1,0)</f>
        <v>#VALUE!</v>
      </c>
      <c r="AZ389" s="436" t="str">
        <f t="array" ref="AZ389">IF(AC389=DGET(claves!$A$2:$AS423,AC$2,{claves!$A$2;$E389}),1,0)</f>
        <v>#VALUE!</v>
      </c>
      <c r="BA389" s="436" t="str">
        <f t="array" ref="BA389">IF(AD389=DGET(claves!$A$2:$AS423,AD$2,{claves!$A$2;$E389}),1,0)</f>
        <v>#VALUE!</v>
      </c>
      <c r="BB389" s="436" t="str">
        <f t="array" ref="BB389">IF(AE389=DGET(claves!$A$2:$AS423,AE$2,{claves!$A$2;$E389}),1,0)</f>
        <v>#VALUE!</v>
      </c>
      <c r="BC389" s="436" t="str">
        <f t="array" ref="BC389">IF(AF389=DGET(claves!$A$2:$AS423,AF$2,{claves!$A$2;$E389}),1,0)</f>
        <v>#VALUE!</v>
      </c>
      <c r="BD389" s="437" t="str">
        <f t="shared" si="1"/>
        <v>#VALUE!</v>
      </c>
      <c r="BE389" s="435"/>
      <c r="BF389" s="415"/>
    </row>
    <row r="390" ht="14.25" customHeight="1">
      <c r="A390" s="408">
        <v>388.0</v>
      </c>
      <c r="B390" s="153" t="s">
        <v>2049</v>
      </c>
      <c r="C390" s="153">
        <v>2024.0</v>
      </c>
      <c r="D390" s="77" t="s">
        <v>362</v>
      </c>
      <c r="E390" s="409" t="str">
        <f>IFERROR(__xludf.DUMMYFUNCTION("ARRAYFORMULA(JOIN("""", ARRAYFORMULA(MID(SPLIT(F390, "" ""), 1, 1))))
&amp;""/""&amp;G390"),"MQ/2 Primaria")</f>
        <v>MQ/2 Primaria</v>
      </c>
      <c r="F390" s="77" t="s">
        <v>1823</v>
      </c>
      <c r="G390" s="432" t="s">
        <v>15</v>
      </c>
      <c r="H390" s="433" t="s">
        <v>2054</v>
      </c>
      <c r="I390" s="433" t="s">
        <v>2055</v>
      </c>
      <c r="J390" s="433" t="s">
        <v>2056</v>
      </c>
      <c r="K390" s="432" t="s">
        <v>1665</v>
      </c>
      <c r="L390" s="415"/>
      <c r="M390" s="434" t="s">
        <v>1825</v>
      </c>
      <c r="N390" s="434" t="s">
        <v>1825</v>
      </c>
      <c r="O390" s="434" t="s">
        <v>1826</v>
      </c>
      <c r="P390" s="434" t="s">
        <v>1825</v>
      </c>
      <c r="Q390" s="434" t="s">
        <v>1826</v>
      </c>
      <c r="R390" s="434" t="s">
        <v>1825</v>
      </c>
      <c r="S390" s="434" t="s">
        <v>1826</v>
      </c>
      <c r="T390" s="434" t="s">
        <v>1660</v>
      </c>
      <c r="U390" s="434" t="s">
        <v>1826</v>
      </c>
      <c r="V390" s="434" t="s">
        <v>1660</v>
      </c>
      <c r="W390" s="434" t="s">
        <v>1660</v>
      </c>
      <c r="X390" s="434" t="s">
        <v>1826</v>
      </c>
      <c r="Y390" s="434" t="s">
        <v>1825</v>
      </c>
      <c r="Z390" s="434" t="s">
        <v>1826</v>
      </c>
      <c r="AA390" s="434" t="s">
        <v>1825</v>
      </c>
      <c r="AB390" s="434" t="s">
        <v>1660</v>
      </c>
      <c r="AC390" s="434" t="s">
        <v>1825</v>
      </c>
      <c r="AD390" s="434" t="s">
        <v>1826</v>
      </c>
      <c r="AE390" s="434" t="s">
        <v>1825</v>
      </c>
      <c r="AF390" s="434" t="s">
        <v>1825</v>
      </c>
      <c r="AG390" s="427">
        <v>7.0</v>
      </c>
      <c r="AH390" s="435" t="s">
        <v>18</v>
      </c>
      <c r="AI390" s="415"/>
      <c r="AJ390" s="436" t="str">
        <f t="array" ref="AJ390">IF(M390=DGET(claves!$A$2:$AS423,M$2,{claves!$A$2;$E390}),1,0)</f>
        <v>#VALUE!</v>
      </c>
      <c r="AK390" s="436" t="str">
        <f t="array" ref="AK390">IF(N390=DGET(claves!$A$2:$AS423,N$2,{claves!$A$2;$E390}),1,0)</f>
        <v>#VALUE!</v>
      </c>
      <c r="AL390" s="436" t="str">
        <f t="array" ref="AL390">IF(O390=DGET(claves!$A$2:$AS423,O$2,{claves!$A$2;$E390}),1,0)</f>
        <v>#VALUE!</v>
      </c>
      <c r="AM390" s="436" t="str">
        <f t="array" ref="AM390">IF(P390=DGET(claves!$A$2:$AS423,P$2,{claves!$A$2;$E390}),1,0)</f>
        <v>#VALUE!</v>
      </c>
      <c r="AN390" s="436" t="str">
        <f t="array" ref="AN390">IF(Q390=DGET(claves!$A$2:$AS423,Q$2,{claves!$A$2;$E390}),1,0)</f>
        <v>#VALUE!</v>
      </c>
      <c r="AO390" s="436" t="str">
        <f t="array" ref="AO390">IF(R390=DGET(claves!$A$2:$AS423,R$2,{claves!$A$2;$E390}),1,0)</f>
        <v>#VALUE!</v>
      </c>
      <c r="AP390" s="436" t="str">
        <f t="array" ref="AP390">IF(S390=DGET(claves!$A$2:$AS423,S$2,{claves!$A$2;$E390}),1,0)</f>
        <v>#VALUE!</v>
      </c>
      <c r="AQ390" s="436" t="str">
        <f t="array" ref="AQ390">IF(T390=DGET(claves!$A$2:$AS423,T$2,{claves!$A$2;$E390}),1,0)</f>
        <v>#VALUE!</v>
      </c>
      <c r="AR390" s="436" t="str">
        <f t="array" ref="AR390">IF(U390=DGET(claves!$A$2:$AS423,U$2,{claves!$A$2;$E390}),1,0)</f>
        <v>#VALUE!</v>
      </c>
      <c r="AS390" s="436" t="str">
        <f t="array" ref="AS390">IF(V390=DGET(claves!$A$2:$AS423,V$2,{claves!$A$2;$E390}),1,0)</f>
        <v>#VALUE!</v>
      </c>
      <c r="AT390" s="436" t="str">
        <f t="array" ref="AT390">IF(W390=DGET(claves!$A$2:$AS423,W$2,{claves!$A$2;$E390}),1,0)</f>
        <v>#VALUE!</v>
      </c>
      <c r="AU390" s="436" t="str">
        <f t="array" ref="AU390">IF(X390=DGET(claves!$A$2:$AS423,X$2,{claves!$A$2;$E390}),1,0)</f>
        <v>#VALUE!</v>
      </c>
      <c r="AV390" s="436" t="str">
        <f t="array" ref="AV390">IF(Y390=DGET(claves!$A$2:$AS423,Y$2,{claves!$A$2;$E390}),1,0)</f>
        <v>#VALUE!</v>
      </c>
      <c r="AW390" s="436" t="str">
        <f t="array" ref="AW390">IF(Z390=DGET(claves!$A$2:$AS423,Z$2,{claves!$A$2;$E390}),1,0)</f>
        <v>#VALUE!</v>
      </c>
      <c r="AX390" s="436" t="str">
        <f t="array" ref="AX390">IF(AA390=DGET(claves!$A$2:$AS423,AA$2,{claves!$A$2;$E390}),1,0)</f>
        <v>#VALUE!</v>
      </c>
      <c r="AY390" s="436" t="str">
        <f t="array" ref="AY390">IF(AB390=DGET(claves!$A$2:$AS423,AB$2,{claves!$A$2;$E390}),1,0)</f>
        <v>#VALUE!</v>
      </c>
      <c r="AZ390" s="436" t="str">
        <f t="array" ref="AZ390">IF(AC390=DGET(claves!$A$2:$AS423,AC$2,{claves!$A$2;$E390}),1,0)</f>
        <v>#VALUE!</v>
      </c>
      <c r="BA390" s="436" t="str">
        <f t="array" ref="BA390">IF(AD390=DGET(claves!$A$2:$AS423,AD$2,{claves!$A$2;$E390}),1,0)</f>
        <v>#VALUE!</v>
      </c>
      <c r="BB390" s="436" t="str">
        <f t="array" ref="BB390">IF(AE390=DGET(claves!$A$2:$AS423,AE$2,{claves!$A$2;$E390}),1,0)</f>
        <v>#VALUE!</v>
      </c>
      <c r="BC390" s="436" t="str">
        <f t="array" ref="BC390">IF(AF390=DGET(claves!$A$2:$AS423,AF$2,{claves!$A$2;$E390}),1,0)</f>
        <v>#VALUE!</v>
      </c>
      <c r="BD390" s="437" t="str">
        <f t="shared" si="1"/>
        <v>#VALUE!</v>
      </c>
      <c r="BE390" s="435"/>
      <c r="BF390" s="415"/>
    </row>
    <row r="391" ht="14.25" customHeight="1">
      <c r="A391" s="408">
        <v>389.0</v>
      </c>
      <c r="B391" s="153" t="s">
        <v>2049</v>
      </c>
      <c r="C391" s="153">
        <v>2024.0</v>
      </c>
      <c r="D391" s="77" t="s">
        <v>1817</v>
      </c>
      <c r="E391" s="409" t="str">
        <f>IFERROR(__xludf.DUMMYFUNCTION("ARRAYFORMULA(JOIN("""", ARRAYFORMULA(MID(SPLIT(F391, "" ""), 1, 1))))
&amp;""/""&amp;G391"),"CLQ/2 Primaria")</f>
        <v>CLQ/2 Primaria</v>
      </c>
      <c r="F391" s="77" t="s">
        <v>1827</v>
      </c>
      <c r="G391" s="432" t="s">
        <v>15</v>
      </c>
      <c r="H391" s="433" t="s">
        <v>2054</v>
      </c>
      <c r="I391" s="433" t="s">
        <v>2055</v>
      </c>
      <c r="J391" s="433" t="s">
        <v>2056</v>
      </c>
      <c r="K391" s="432" t="s">
        <v>1665</v>
      </c>
      <c r="L391" s="415"/>
      <c r="M391" s="434" t="s">
        <v>1825</v>
      </c>
      <c r="N391" s="434" t="s">
        <v>1825</v>
      </c>
      <c r="O391" s="434" t="s">
        <v>1826</v>
      </c>
      <c r="P391" s="434" t="s">
        <v>1660</v>
      </c>
      <c r="Q391" s="434" t="s">
        <v>1825</v>
      </c>
      <c r="R391" s="434" t="s">
        <v>1826</v>
      </c>
      <c r="S391" s="434" t="s">
        <v>1826</v>
      </c>
      <c r="T391" s="434" t="s">
        <v>1826</v>
      </c>
      <c r="U391" s="434" t="s">
        <v>1660</v>
      </c>
      <c r="V391" s="434" t="s">
        <v>1825</v>
      </c>
      <c r="W391" s="434" t="s">
        <v>1825</v>
      </c>
      <c r="X391" s="434" t="s">
        <v>1660</v>
      </c>
      <c r="Y391" s="434" t="s">
        <v>1826</v>
      </c>
      <c r="Z391" s="434" t="s">
        <v>1826</v>
      </c>
      <c r="AA391" s="434" t="s">
        <v>1660</v>
      </c>
      <c r="AB391" s="434" t="s">
        <v>1826</v>
      </c>
      <c r="AC391" s="434" t="s">
        <v>1825</v>
      </c>
      <c r="AD391" s="434" t="s">
        <v>1660</v>
      </c>
      <c r="AE391" s="434" t="s">
        <v>1660</v>
      </c>
      <c r="AF391" s="434" t="s">
        <v>1825</v>
      </c>
      <c r="AG391" s="427">
        <v>9.0</v>
      </c>
      <c r="AH391" s="435" t="s">
        <v>18</v>
      </c>
      <c r="AI391" s="415"/>
      <c r="AJ391" s="436" t="str">
        <f t="array" ref="AJ391">IF(M391=DGET(claves!$A$2:$AS423,M$2,{claves!$A$2;$E391}),1,0)</f>
        <v>#VALUE!</v>
      </c>
      <c r="AK391" s="436" t="str">
        <f t="array" ref="AK391">IF(N391=DGET(claves!$A$2:$AS423,N$2,{claves!$A$2;$E391}),1,0)</f>
        <v>#VALUE!</v>
      </c>
      <c r="AL391" s="436" t="str">
        <f t="array" ref="AL391">IF(O391=DGET(claves!$A$2:$AS423,O$2,{claves!$A$2;$E391}),1,0)</f>
        <v>#VALUE!</v>
      </c>
      <c r="AM391" s="436" t="str">
        <f t="array" ref="AM391">IF(P391=DGET(claves!$A$2:$AS423,P$2,{claves!$A$2;$E391}),1,0)</f>
        <v>#VALUE!</v>
      </c>
      <c r="AN391" s="436" t="str">
        <f t="array" ref="AN391">IF(Q391=DGET(claves!$A$2:$AS423,Q$2,{claves!$A$2;$E391}),1,0)</f>
        <v>#VALUE!</v>
      </c>
      <c r="AO391" s="436" t="str">
        <f t="array" ref="AO391">IF(R391=DGET(claves!$A$2:$AS423,R$2,{claves!$A$2;$E391}),1,0)</f>
        <v>#VALUE!</v>
      </c>
      <c r="AP391" s="436" t="str">
        <f t="array" ref="AP391">IF(S391=DGET(claves!$A$2:$AS423,S$2,{claves!$A$2;$E391}),1,0)</f>
        <v>#VALUE!</v>
      </c>
      <c r="AQ391" s="436" t="str">
        <f t="array" ref="AQ391">IF(T391=DGET(claves!$A$2:$AS423,T$2,{claves!$A$2;$E391}),1,0)</f>
        <v>#VALUE!</v>
      </c>
      <c r="AR391" s="436" t="str">
        <f t="array" ref="AR391">IF(U391=DGET(claves!$A$2:$AS423,U$2,{claves!$A$2;$E391}),1,0)</f>
        <v>#VALUE!</v>
      </c>
      <c r="AS391" s="436" t="str">
        <f t="array" ref="AS391">IF(V391=DGET(claves!$A$2:$AS423,V$2,{claves!$A$2;$E391}),1,0)</f>
        <v>#VALUE!</v>
      </c>
      <c r="AT391" s="436" t="str">
        <f t="array" ref="AT391">IF(W391=DGET(claves!$A$2:$AS423,W$2,{claves!$A$2;$E391}),1,0)</f>
        <v>#VALUE!</v>
      </c>
      <c r="AU391" s="436" t="str">
        <f t="array" ref="AU391">IF(X391=DGET(claves!$A$2:$AS423,X$2,{claves!$A$2;$E391}),1,0)</f>
        <v>#VALUE!</v>
      </c>
      <c r="AV391" s="436" t="str">
        <f t="array" ref="AV391">IF(Y391=DGET(claves!$A$2:$AS423,Y$2,{claves!$A$2;$E391}),1,0)</f>
        <v>#VALUE!</v>
      </c>
      <c r="AW391" s="436" t="str">
        <f t="array" ref="AW391">IF(Z391=DGET(claves!$A$2:$AS423,Z$2,{claves!$A$2;$E391}),1,0)</f>
        <v>#VALUE!</v>
      </c>
      <c r="AX391" s="436" t="str">
        <f t="array" ref="AX391">IF(AA391=DGET(claves!$A$2:$AS423,AA$2,{claves!$A$2;$E391}),1,0)</f>
        <v>#VALUE!</v>
      </c>
      <c r="AY391" s="436" t="str">
        <f t="array" ref="AY391">IF(AB391=DGET(claves!$A$2:$AS423,AB$2,{claves!$A$2;$E391}),1,0)</f>
        <v>#VALUE!</v>
      </c>
      <c r="AZ391" s="436" t="str">
        <f t="array" ref="AZ391">IF(AC391=DGET(claves!$A$2:$AS423,AC$2,{claves!$A$2;$E391}),1,0)</f>
        <v>#VALUE!</v>
      </c>
      <c r="BA391" s="436" t="str">
        <f t="array" ref="BA391">IF(AD391=DGET(claves!$A$2:$AS423,AD$2,{claves!$A$2;$E391}),1,0)</f>
        <v>#VALUE!</v>
      </c>
      <c r="BB391" s="436" t="str">
        <f t="array" ref="BB391">IF(AE391=DGET(claves!$A$2:$AS423,AE$2,{claves!$A$2;$E391}),1,0)</f>
        <v>#VALUE!</v>
      </c>
      <c r="BC391" s="436" t="str">
        <f t="array" ref="BC391">IF(AF391=DGET(claves!$A$2:$AS423,AF$2,{claves!$A$2;$E391}),1,0)</f>
        <v>#VALUE!</v>
      </c>
      <c r="BD391" s="437" t="str">
        <f t="shared" si="1"/>
        <v>#VALUE!</v>
      </c>
      <c r="BE391" s="435"/>
      <c r="BF391" s="415"/>
    </row>
    <row r="392" ht="14.25" customHeight="1">
      <c r="A392" s="408">
        <v>390.0</v>
      </c>
      <c r="B392" s="153" t="s">
        <v>2049</v>
      </c>
      <c r="C392" s="153">
        <v>2024.0</v>
      </c>
      <c r="D392" s="77" t="s">
        <v>362</v>
      </c>
      <c r="E392" s="409" t="str">
        <f>IFERROR(__xludf.DUMMYFUNCTION("ARRAYFORMULA(JOIN("""", ARRAYFORMULA(MID(SPLIT(F392, "" ""), 1, 1))))
&amp;""/""&amp;G392"),"MQ/4 Primaria")</f>
        <v>MQ/4 Primaria</v>
      </c>
      <c r="F392" s="77" t="s">
        <v>1823</v>
      </c>
      <c r="G392" s="432" t="s">
        <v>20</v>
      </c>
      <c r="H392" s="433" t="s">
        <v>1771</v>
      </c>
      <c r="I392" s="433" t="s">
        <v>1684</v>
      </c>
      <c r="J392" s="433" t="s">
        <v>2057</v>
      </c>
      <c r="K392" s="433" t="s">
        <v>1658</v>
      </c>
      <c r="L392" s="415"/>
      <c r="M392" s="434" t="s">
        <v>1689</v>
      </c>
      <c r="N392" s="434" t="s">
        <v>1659</v>
      </c>
      <c r="O392" s="434" t="s">
        <v>1689</v>
      </c>
      <c r="P392" s="434" t="s">
        <v>1689</v>
      </c>
      <c r="Q392" s="434" t="s">
        <v>1661</v>
      </c>
      <c r="R392" s="434" t="s">
        <v>1660</v>
      </c>
      <c r="S392" s="434" t="s">
        <v>1689</v>
      </c>
      <c r="T392" s="434" t="s">
        <v>1661</v>
      </c>
      <c r="U392" s="434" t="s">
        <v>1659</v>
      </c>
      <c r="V392" s="434" t="s">
        <v>1659</v>
      </c>
      <c r="W392" s="434" t="s">
        <v>1659</v>
      </c>
      <c r="X392" s="434" t="s">
        <v>1661</v>
      </c>
      <c r="Y392" s="434" t="s">
        <v>1661</v>
      </c>
      <c r="Z392" s="434" t="s">
        <v>1689</v>
      </c>
      <c r="AA392" s="434" t="s">
        <v>1659</v>
      </c>
      <c r="AB392" s="434" t="s">
        <v>1659</v>
      </c>
      <c r="AC392" s="434" t="s">
        <v>1659</v>
      </c>
      <c r="AD392" s="434" t="s">
        <v>1661</v>
      </c>
      <c r="AE392" s="434" t="s">
        <v>1661</v>
      </c>
      <c r="AF392" s="434" t="s">
        <v>1660</v>
      </c>
      <c r="AG392" s="427">
        <v>11.0</v>
      </c>
      <c r="AH392" s="435" t="s">
        <v>24</v>
      </c>
      <c r="AI392" s="415"/>
      <c r="AJ392" s="436" t="str">
        <f t="array" ref="AJ392">IF(M392=DGET(claves!$A$2:$AS423,M$2,{claves!$A$2;$E392}),1,0)</f>
        <v>#VALUE!</v>
      </c>
      <c r="AK392" s="436" t="str">
        <f t="array" ref="AK392">IF(N392=DGET(claves!$A$2:$AS423,N$2,{claves!$A$2;$E392}),1,0)</f>
        <v>#VALUE!</v>
      </c>
      <c r="AL392" s="436" t="str">
        <f t="array" ref="AL392">IF(O392=DGET(claves!$A$2:$AS423,O$2,{claves!$A$2;$E392}),1,0)</f>
        <v>#VALUE!</v>
      </c>
      <c r="AM392" s="436" t="str">
        <f t="array" ref="AM392">IF(P392=DGET(claves!$A$2:$AS423,P$2,{claves!$A$2;$E392}),1,0)</f>
        <v>#VALUE!</v>
      </c>
      <c r="AN392" s="436" t="str">
        <f t="array" ref="AN392">IF(Q392=DGET(claves!$A$2:$AS423,Q$2,{claves!$A$2;$E392}),1,0)</f>
        <v>#VALUE!</v>
      </c>
      <c r="AO392" s="436" t="str">
        <f t="array" ref="AO392">IF(R392=DGET(claves!$A$2:$AS423,R$2,{claves!$A$2;$E392}),1,0)</f>
        <v>#VALUE!</v>
      </c>
      <c r="AP392" s="436" t="str">
        <f t="array" ref="AP392">IF(S392=DGET(claves!$A$2:$AS423,S$2,{claves!$A$2;$E392}),1,0)</f>
        <v>#VALUE!</v>
      </c>
      <c r="AQ392" s="436" t="str">
        <f t="array" ref="AQ392">IF(T392=DGET(claves!$A$2:$AS423,T$2,{claves!$A$2;$E392}),1,0)</f>
        <v>#VALUE!</v>
      </c>
      <c r="AR392" s="436" t="str">
        <f t="array" ref="AR392">IF(U392=DGET(claves!$A$2:$AS423,U$2,{claves!$A$2;$E392}),1,0)</f>
        <v>#VALUE!</v>
      </c>
      <c r="AS392" s="436" t="str">
        <f t="array" ref="AS392">IF(V392=DGET(claves!$A$2:$AS423,V$2,{claves!$A$2;$E392}),1,0)</f>
        <v>#VALUE!</v>
      </c>
      <c r="AT392" s="436" t="str">
        <f t="array" ref="AT392">IF(W392=DGET(claves!$A$2:$AS423,W$2,{claves!$A$2;$E392}),1,0)</f>
        <v>#VALUE!</v>
      </c>
      <c r="AU392" s="436" t="str">
        <f t="array" ref="AU392">IF(X392=DGET(claves!$A$2:$AS423,X$2,{claves!$A$2;$E392}),1,0)</f>
        <v>#VALUE!</v>
      </c>
      <c r="AV392" s="436" t="str">
        <f t="array" ref="AV392">IF(Y392=DGET(claves!$A$2:$AS423,Y$2,{claves!$A$2;$E392}),1,0)</f>
        <v>#VALUE!</v>
      </c>
      <c r="AW392" s="436" t="str">
        <f t="array" ref="AW392">IF(Z392=DGET(claves!$A$2:$AS423,Z$2,{claves!$A$2;$E392}),1,0)</f>
        <v>#VALUE!</v>
      </c>
      <c r="AX392" s="436" t="str">
        <f t="array" ref="AX392">IF(AA392=DGET(claves!$A$2:$AS423,AA$2,{claves!$A$2;$E392}),1,0)</f>
        <v>#VALUE!</v>
      </c>
      <c r="AY392" s="436" t="str">
        <f t="array" ref="AY392">IF(AB392=DGET(claves!$A$2:$AS423,AB$2,{claves!$A$2;$E392}),1,0)</f>
        <v>#VALUE!</v>
      </c>
      <c r="AZ392" s="436" t="str">
        <f t="array" ref="AZ392">IF(AC392=DGET(claves!$A$2:$AS423,AC$2,{claves!$A$2;$E392}),1,0)</f>
        <v>#VALUE!</v>
      </c>
      <c r="BA392" s="436" t="str">
        <f t="array" ref="BA392">IF(AD392=DGET(claves!$A$2:$AS423,AD$2,{claves!$A$2;$E392}),1,0)</f>
        <v>#VALUE!</v>
      </c>
      <c r="BB392" s="436" t="str">
        <f t="array" ref="BB392">IF(AE392=DGET(claves!$A$2:$AS423,AE$2,{claves!$A$2;$E392}),1,0)</f>
        <v>#VALUE!</v>
      </c>
      <c r="BC392" s="436" t="str">
        <f t="array" ref="BC392">IF(AF392=DGET(claves!$A$2:$AS423,AF$2,{claves!$A$2;$E392}),1,0)</f>
        <v>#VALUE!</v>
      </c>
      <c r="BD392" s="437" t="str">
        <f t="shared" si="1"/>
        <v>#VALUE!</v>
      </c>
      <c r="BE392" s="435"/>
      <c r="BF392" s="415"/>
    </row>
    <row r="393" ht="14.25" customHeight="1">
      <c r="A393" s="408">
        <v>391.0</v>
      </c>
      <c r="B393" s="153" t="s">
        <v>2049</v>
      </c>
      <c r="C393" s="153">
        <v>2024.0</v>
      </c>
      <c r="D393" s="77" t="s">
        <v>1817</v>
      </c>
      <c r="E393" s="409" t="str">
        <f>IFERROR(__xludf.DUMMYFUNCTION("ARRAYFORMULA(JOIN("""", ARRAYFORMULA(MID(SPLIT(F393, "" ""), 1, 1))))
&amp;""/""&amp;G393"),"CLQ/4 Primaria")</f>
        <v>CLQ/4 Primaria</v>
      </c>
      <c r="F393" s="77" t="s">
        <v>1827</v>
      </c>
      <c r="G393" s="432" t="s">
        <v>20</v>
      </c>
      <c r="H393" s="433" t="s">
        <v>1771</v>
      </c>
      <c r="I393" s="433" t="s">
        <v>1684</v>
      </c>
      <c r="J393" s="433" t="s">
        <v>2057</v>
      </c>
      <c r="K393" s="433" t="s">
        <v>1658</v>
      </c>
      <c r="L393" s="415"/>
      <c r="M393" s="434" t="s">
        <v>1659</v>
      </c>
      <c r="N393" s="434" t="s">
        <v>1660</v>
      </c>
      <c r="O393" s="434" t="s">
        <v>1660</v>
      </c>
      <c r="P393" s="434" t="s">
        <v>1689</v>
      </c>
      <c r="Q393" s="434" t="s">
        <v>1661</v>
      </c>
      <c r="R393" s="434" t="s">
        <v>1660</v>
      </c>
      <c r="S393" s="434" t="s">
        <v>1660</v>
      </c>
      <c r="T393" s="434" t="s">
        <v>1661</v>
      </c>
      <c r="U393" s="434" t="s">
        <v>1689</v>
      </c>
      <c r="V393" s="434" t="s">
        <v>1661</v>
      </c>
      <c r="W393" s="434" t="s">
        <v>1660</v>
      </c>
      <c r="X393" s="434" t="s">
        <v>1689</v>
      </c>
      <c r="Y393" s="434" t="s">
        <v>1659</v>
      </c>
      <c r="Z393" s="434" t="s">
        <v>1659</v>
      </c>
      <c r="AA393" s="434" t="s">
        <v>1660</v>
      </c>
      <c r="AB393" s="434" t="s">
        <v>1689</v>
      </c>
      <c r="AC393" s="434" t="s">
        <v>1661</v>
      </c>
      <c r="AD393" s="434" t="s">
        <v>1689</v>
      </c>
      <c r="AE393" s="434" t="s">
        <v>1660</v>
      </c>
      <c r="AF393" s="434" t="s">
        <v>1660</v>
      </c>
      <c r="AG393" s="427">
        <v>12.0</v>
      </c>
      <c r="AH393" s="435" t="s">
        <v>24</v>
      </c>
      <c r="AI393" s="415"/>
      <c r="AJ393" s="436" t="str">
        <f t="array" ref="AJ393">IF(M393=DGET(claves!$A$2:$AS423,M$2,{claves!$A$2;$E393}),1,0)</f>
        <v>#VALUE!</v>
      </c>
      <c r="AK393" s="436" t="str">
        <f t="array" ref="AK393">IF(N393=DGET(claves!$A$2:$AS423,N$2,{claves!$A$2;$E393}),1,0)</f>
        <v>#VALUE!</v>
      </c>
      <c r="AL393" s="436" t="str">
        <f t="array" ref="AL393">IF(O393=DGET(claves!$A$2:$AS423,O$2,{claves!$A$2;$E393}),1,0)</f>
        <v>#VALUE!</v>
      </c>
      <c r="AM393" s="436" t="str">
        <f t="array" ref="AM393">IF(P393=DGET(claves!$A$2:$AS423,P$2,{claves!$A$2;$E393}),1,0)</f>
        <v>#VALUE!</v>
      </c>
      <c r="AN393" s="436" t="str">
        <f t="array" ref="AN393">IF(Q393=DGET(claves!$A$2:$AS423,Q$2,{claves!$A$2;$E393}),1,0)</f>
        <v>#VALUE!</v>
      </c>
      <c r="AO393" s="436" t="str">
        <f t="array" ref="AO393">IF(R393=DGET(claves!$A$2:$AS423,R$2,{claves!$A$2;$E393}),1,0)</f>
        <v>#VALUE!</v>
      </c>
      <c r="AP393" s="436" t="str">
        <f t="array" ref="AP393">IF(S393=DGET(claves!$A$2:$AS423,S$2,{claves!$A$2;$E393}),1,0)</f>
        <v>#VALUE!</v>
      </c>
      <c r="AQ393" s="436" t="str">
        <f t="array" ref="AQ393">IF(T393=DGET(claves!$A$2:$AS423,T$2,{claves!$A$2;$E393}),1,0)</f>
        <v>#VALUE!</v>
      </c>
      <c r="AR393" s="436" t="str">
        <f t="array" ref="AR393">IF(U393=DGET(claves!$A$2:$AS423,U$2,{claves!$A$2;$E393}),1,0)</f>
        <v>#VALUE!</v>
      </c>
      <c r="AS393" s="436" t="str">
        <f t="array" ref="AS393">IF(V393=DGET(claves!$A$2:$AS423,V$2,{claves!$A$2;$E393}),1,0)</f>
        <v>#VALUE!</v>
      </c>
      <c r="AT393" s="436" t="str">
        <f t="array" ref="AT393">IF(W393=DGET(claves!$A$2:$AS423,W$2,{claves!$A$2;$E393}),1,0)</f>
        <v>#VALUE!</v>
      </c>
      <c r="AU393" s="436" t="str">
        <f t="array" ref="AU393">IF(X393=DGET(claves!$A$2:$AS423,X$2,{claves!$A$2;$E393}),1,0)</f>
        <v>#VALUE!</v>
      </c>
      <c r="AV393" s="436" t="str">
        <f t="array" ref="AV393">IF(Y393=DGET(claves!$A$2:$AS423,Y$2,{claves!$A$2;$E393}),1,0)</f>
        <v>#VALUE!</v>
      </c>
      <c r="AW393" s="436" t="str">
        <f t="array" ref="AW393">IF(Z393=DGET(claves!$A$2:$AS423,Z$2,{claves!$A$2;$E393}),1,0)</f>
        <v>#VALUE!</v>
      </c>
      <c r="AX393" s="436" t="str">
        <f t="array" ref="AX393">IF(AA393=DGET(claves!$A$2:$AS423,AA$2,{claves!$A$2;$E393}),1,0)</f>
        <v>#VALUE!</v>
      </c>
      <c r="AY393" s="436" t="str">
        <f t="array" ref="AY393">IF(AB393=DGET(claves!$A$2:$AS423,AB$2,{claves!$A$2;$E393}),1,0)</f>
        <v>#VALUE!</v>
      </c>
      <c r="AZ393" s="436" t="str">
        <f t="array" ref="AZ393">IF(AC393=DGET(claves!$A$2:$AS423,AC$2,{claves!$A$2;$E393}),1,0)</f>
        <v>#VALUE!</v>
      </c>
      <c r="BA393" s="436" t="str">
        <f t="array" ref="BA393">IF(AD393=DGET(claves!$A$2:$AS423,AD$2,{claves!$A$2;$E393}),1,0)</f>
        <v>#VALUE!</v>
      </c>
      <c r="BB393" s="436" t="str">
        <f t="array" ref="BB393">IF(AE393=DGET(claves!$A$2:$AS423,AE$2,{claves!$A$2;$E393}),1,0)</f>
        <v>#VALUE!</v>
      </c>
      <c r="BC393" s="436" t="str">
        <f t="array" ref="BC393">IF(AF393=DGET(claves!$A$2:$AS423,AF$2,{claves!$A$2;$E393}),1,0)</f>
        <v>#VALUE!</v>
      </c>
      <c r="BD393" s="437" t="str">
        <f t="shared" si="1"/>
        <v>#VALUE!</v>
      </c>
      <c r="BE393" s="435"/>
      <c r="BF393" s="415"/>
    </row>
    <row r="394" ht="14.25" customHeight="1">
      <c r="A394" s="408">
        <v>392.0</v>
      </c>
      <c r="B394" s="153" t="s">
        <v>2049</v>
      </c>
      <c r="C394" s="153">
        <v>2024.0</v>
      </c>
      <c r="D394" s="77" t="s">
        <v>362</v>
      </c>
      <c r="E394" s="409" t="str">
        <f>IFERROR(__xludf.DUMMYFUNCTION("ARRAYFORMULA(JOIN("""", ARRAYFORMULA(MID(SPLIT(F394, "" ""), 1, 1))))
&amp;""/""&amp;G394"),"MQ/4 Primaria")</f>
        <v>MQ/4 Primaria</v>
      </c>
      <c r="F394" s="77" t="s">
        <v>1823</v>
      </c>
      <c r="G394" s="432" t="s">
        <v>20</v>
      </c>
      <c r="H394" s="433" t="s">
        <v>1857</v>
      </c>
      <c r="I394" s="433" t="s">
        <v>1684</v>
      </c>
      <c r="J394" s="433" t="s">
        <v>2058</v>
      </c>
      <c r="K394" s="432" t="s">
        <v>1665</v>
      </c>
      <c r="L394" s="415"/>
      <c r="M394" s="434" t="s">
        <v>1659</v>
      </c>
      <c r="N394" s="434" t="s">
        <v>1659</v>
      </c>
      <c r="O394" s="434" t="s">
        <v>1689</v>
      </c>
      <c r="P394" s="434" t="s">
        <v>1659</v>
      </c>
      <c r="Q394" s="434" t="s">
        <v>1659</v>
      </c>
      <c r="R394" s="434" t="s">
        <v>1659</v>
      </c>
      <c r="S394" s="434" t="s">
        <v>1661</v>
      </c>
      <c r="T394" s="434" t="s">
        <v>1689</v>
      </c>
      <c r="U394" s="434" t="s">
        <v>1660</v>
      </c>
      <c r="V394" s="434" t="s">
        <v>1661</v>
      </c>
      <c r="W394" s="434" t="s">
        <v>1660</v>
      </c>
      <c r="X394" s="434" t="s">
        <v>1661</v>
      </c>
      <c r="Y394" s="434" t="s">
        <v>1689</v>
      </c>
      <c r="Z394" s="434" t="s">
        <v>1660</v>
      </c>
      <c r="AA394" s="434" t="s">
        <v>1659</v>
      </c>
      <c r="AB394" s="434" t="s">
        <v>1659</v>
      </c>
      <c r="AC394" s="434" t="s">
        <v>1659</v>
      </c>
      <c r="AD394" s="434" t="s">
        <v>1661</v>
      </c>
      <c r="AE394" s="434" t="s">
        <v>1661</v>
      </c>
      <c r="AF394" s="434" t="s">
        <v>1689</v>
      </c>
      <c r="AG394" s="427">
        <v>5.0</v>
      </c>
      <c r="AH394" s="435" t="s">
        <v>18</v>
      </c>
      <c r="AI394" s="415"/>
      <c r="AJ394" s="436" t="str">
        <f t="array" ref="AJ394">IF(M394=DGET(claves!$A$2:$AS423,M$2,{claves!$A$2;$E394}),1,0)</f>
        <v>#VALUE!</v>
      </c>
      <c r="AK394" s="436" t="str">
        <f t="array" ref="AK394">IF(N394=DGET(claves!$A$2:$AS423,N$2,{claves!$A$2;$E394}),1,0)</f>
        <v>#VALUE!</v>
      </c>
      <c r="AL394" s="436" t="str">
        <f t="array" ref="AL394">IF(O394=DGET(claves!$A$2:$AS423,O$2,{claves!$A$2;$E394}),1,0)</f>
        <v>#VALUE!</v>
      </c>
      <c r="AM394" s="436" t="str">
        <f t="array" ref="AM394">IF(P394=DGET(claves!$A$2:$AS423,P$2,{claves!$A$2;$E394}),1,0)</f>
        <v>#VALUE!</v>
      </c>
      <c r="AN394" s="436" t="str">
        <f t="array" ref="AN394">IF(Q394=DGET(claves!$A$2:$AS423,Q$2,{claves!$A$2;$E394}),1,0)</f>
        <v>#VALUE!</v>
      </c>
      <c r="AO394" s="436" t="str">
        <f t="array" ref="AO394">IF(R394=DGET(claves!$A$2:$AS423,R$2,{claves!$A$2;$E394}),1,0)</f>
        <v>#VALUE!</v>
      </c>
      <c r="AP394" s="436" t="str">
        <f t="array" ref="AP394">IF(S394=DGET(claves!$A$2:$AS423,S$2,{claves!$A$2;$E394}),1,0)</f>
        <v>#VALUE!</v>
      </c>
      <c r="AQ394" s="436" t="str">
        <f t="array" ref="AQ394">IF(T394=DGET(claves!$A$2:$AS423,T$2,{claves!$A$2;$E394}),1,0)</f>
        <v>#VALUE!</v>
      </c>
      <c r="AR394" s="436" t="str">
        <f t="array" ref="AR394">IF(U394=DGET(claves!$A$2:$AS423,U$2,{claves!$A$2;$E394}),1,0)</f>
        <v>#VALUE!</v>
      </c>
      <c r="AS394" s="436" t="str">
        <f t="array" ref="AS394">IF(V394=DGET(claves!$A$2:$AS423,V$2,{claves!$A$2;$E394}),1,0)</f>
        <v>#VALUE!</v>
      </c>
      <c r="AT394" s="436" t="str">
        <f t="array" ref="AT394">IF(W394=DGET(claves!$A$2:$AS423,W$2,{claves!$A$2;$E394}),1,0)</f>
        <v>#VALUE!</v>
      </c>
      <c r="AU394" s="436" t="str">
        <f t="array" ref="AU394">IF(X394=DGET(claves!$A$2:$AS423,X$2,{claves!$A$2;$E394}),1,0)</f>
        <v>#VALUE!</v>
      </c>
      <c r="AV394" s="436" t="str">
        <f t="array" ref="AV394">IF(Y394=DGET(claves!$A$2:$AS423,Y$2,{claves!$A$2;$E394}),1,0)</f>
        <v>#VALUE!</v>
      </c>
      <c r="AW394" s="436" t="str">
        <f t="array" ref="AW394">IF(Z394=DGET(claves!$A$2:$AS423,Z$2,{claves!$A$2;$E394}),1,0)</f>
        <v>#VALUE!</v>
      </c>
      <c r="AX394" s="436" t="str">
        <f t="array" ref="AX394">IF(AA394=DGET(claves!$A$2:$AS423,AA$2,{claves!$A$2;$E394}),1,0)</f>
        <v>#VALUE!</v>
      </c>
      <c r="AY394" s="436" t="str">
        <f t="array" ref="AY394">IF(AB394=DGET(claves!$A$2:$AS423,AB$2,{claves!$A$2;$E394}),1,0)</f>
        <v>#VALUE!</v>
      </c>
      <c r="AZ394" s="436" t="str">
        <f t="array" ref="AZ394">IF(AC394=DGET(claves!$A$2:$AS423,AC$2,{claves!$A$2;$E394}),1,0)</f>
        <v>#VALUE!</v>
      </c>
      <c r="BA394" s="436" t="str">
        <f t="array" ref="BA394">IF(AD394=DGET(claves!$A$2:$AS423,AD$2,{claves!$A$2;$E394}),1,0)</f>
        <v>#VALUE!</v>
      </c>
      <c r="BB394" s="436" t="str">
        <f t="array" ref="BB394">IF(AE394=DGET(claves!$A$2:$AS423,AE$2,{claves!$A$2;$E394}),1,0)</f>
        <v>#VALUE!</v>
      </c>
      <c r="BC394" s="436" t="str">
        <f t="array" ref="BC394">IF(AF394=DGET(claves!$A$2:$AS423,AF$2,{claves!$A$2;$E394}),1,0)</f>
        <v>#VALUE!</v>
      </c>
      <c r="BD394" s="437" t="str">
        <f t="shared" si="1"/>
        <v>#VALUE!</v>
      </c>
      <c r="BE394" s="435"/>
      <c r="BF394" s="415"/>
    </row>
    <row r="395" ht="14.25" customHeight="1">
      <c r="A395" s="408">
        <v>393.0</v>
      </c>
      <c r="B395" s="153" t="s">
        <v>2049</v>
      </c>
      <c r="C395" s="153">
        <v>2024.0</v>
      </c>
      <c r="D395" s="77" t="s">
        <v>1817</v>
      </c>
      <c r="E395" s="409" t="str">
        <f>IFERROR(__xludf.DUMMYFUNCTION("ARRAYFORMULA(JOIN("""", ARRAYFORMULA(MID(SPLIT(F395, "" ""), 1, 1))))
&amp;""/""&amp;G395"),"CLQ/4 Primaria")</f>
        <v>CLQ/4 Primaria</v>
      </c>
      <c r="F395" s="77" t="s">
        <v>1827</v>
      </c>
      <c r="G395" s="432" t="s">
        <v>20</v>
      </c>
      <c r="H395" s="433" t="s">
        <v>1857</v>
      </c>
      <c r="I395" s="433" t="s">
        <v>1684</v>
      </c>
      <c r="J395" s="433" t="s">
        <v>2058</v>
      </c>
      <c r="K395" s="432" t="s">
        <v>1665</v>
      </c>
      <c r="L395" s="415"/>
      <c r="M395" s="434" t="s">
        <v>1659</v>
      </c>
      <c r="N395" s="434" t="s">
        <v>1660</v>
      </c>
      <c r="O395" s="434" t="s">
        <v>1660</v>
      </c>
      <c r="P395" s="434" t="s">
        <v>1689</v>
      </c>
      <c r="Q395" s="434" t="s">
        <v>1689</v>
      </c>
      <c r="R395" s="434" t="s">
        <v>1661</v>
      </c>
      <c r="S395" s="434" t="s">
        <v>1689</v>
      </c>
      <c r="T395" s="434" t="s">
        <v>1659</v>
      </c>
      <c r="U395" s="434" t="s">
        <v>1661</v>
      </c>
      <c r="V395" s="434" t="s">
        <v>1659</v>
      </c>
      <c r="W395" s="434" t="s">
        <v>1661</v>
      </c>
      <c r="X395" s="434" t="s">
        <v>1689</v>
      </c>
      <c r="Y395" s="434" t="s">
        <v>1689</v>
      </c>
      <c r="Z395" s="434" t="s">
        <v>1661</v>
      </c>
      <c r="AA395" s="434" t="s">
        <v>1689</v>
      </c>
      <c r="AB395" s="434" t="s">
        <v>1659</v>
      </c>
      <c r="AC395" s="434" t="s">
        <v>1659</v>
      </c>
      <c r="AD395" s="434" t="s">
        <v>1659</v>
      </c>
      <c r="AE395" s="434" t="s">
        <v>1660</v>
      </c>
      <c r="AF395" s="434" t="s">
        <v>1689</v>
      </c>
      <c r="AG395" s="427">
        <v>3.0</v>
      </c>
      <c r="AH395" s="435" t="s">
        <v>18</v>
      </c>
      <c r="AI395" s="415"/>
      <c r="AJ395" s="436" t="str">
        <f t="array" ref="AJ395">IF(M395=DGET(claves!$A$2:$AS423,M$2,{claves!$A$2;$E395}),1,0)</f>
        <v>#VALUE!</v>
      </c>
      <c r="AK395" s="436" t="str">
        <f t="array" ref="AK395">IF(N395=DGET(claves!$A$2:$AS423,N$2,{claves!$A$2;$E395}),1,0)</f>
        <v>#VALUE!</v>
      </c>
      <c r="AL395" s="436" t="str">
        <f t="array" ref="AL395">IF(O395=DGET(claves!$A$2:$AS423,O$2,{claves!$A$2;$E395}),1,0)</f>
        <v>#VALUE!</v>
      </c>
      <c r="AM395" s="436" t="str">
        <f t="array" ref="AM395">IF(P395=DGET(claves!$A$2:$AS423,P$2,{claves!$A$2;$E395}),1,0)</f>
        <v>#VALUE!</v>
      </c>
      <c r="AN395" s="436" t="str">
        <f t="array" ref="AN395">IF(Q395=DGET(claves!$A$2:$AS423,Q$2,{claves!$A$2;$E395}),1,0)</f>
        <v>#VALUE!</v>
      </c>
      <c r="AO395" s="436" t="str">
        <f t="array" ref="AO395">IF(R395=DGET(claves!$A$2:$AS423,R$2,{claves!$A$2;$E395}),1,0)</f>
        <v>#VALUE!</v>
      </c>
      <c r="AP395" s="436" t="str">
        <f t="array" ref="AP395">IF(S395=DGET(claves!$A$2:$AS423,S$2,{claves!$A$2;$E395}),1,0)</f>
        <v>#VALUE!</v>
      </c>
      <c r="AQ395" s="436" t="str">
        <f t="array" ref="AQ395">IF(T395=DGET(claves!$A$2:$AS423,T$2,{claves!$A$2;$E395}),1,0)</f>
        <v>#VALUE!</v>
      </c>
      <c r="AR395" s="436" t="str">
        <f t="array" ref="AR395">IF(U395=DGET(claves!$A$2:$AS423,U$2,{claves!$A$2;$E395}),1,0)</f>
        <v>#VALUE!</v>
      </c>
      <c r="AS395" s="436" t="str">
        <f t="array" ref="AS395">IF(V395=DGET(claves!$A$2:$AS423,V$2,{claves!$A$2;$E395}),1,0)</f>
        <v>#VALUE!</v>
      </c>
      <c r="AT395" s="436" t="str">
        <f t="array" ref="AT395">IF(W395=DGET(claves!$A$2:$AS423,W$2,{claves!$A$2;$E395}),1,0)</f>
        <v>#VALUE!</v>
      </c>
      <c r="AU395" s="436" t="str">
        <f t="array" ref="AU395">IF(X395=DGET(claves!$A$2:$AS423,X$2,{claves!$A$2;$E395}),1,0)</f>
        <v>#VALUE!</v>
      </c>
      <c r="AV395" s="436" t="str">
        <f t="array" ref="AV395">IF(Y395=DGET(claves!$A$2:$AS423,Y$2,{claves!$A$2;$E395}),1,0)</f>
        <v>#VALUE!</v>
      </c>
      <c r="AW395" s="436" t="str">
        <f t="array" ref="AW395">IF(Z395=DGET(claves!$A$2:$AS423,Z$2,{claves!$A$2;$E395}),1,0)</f>
        <v>#VALUE!</v>
      </c>
      <c r="AX395" s="436" t="str">
        <f t="array" ref="AX395">IF(AA395=DGET(claves!$A$2:$AS423,AA$2,{claves!$A$2;$E395}),1,0)</f>
        <v>#VALUE!</v>
      </c>
      <c r="AY395" s="436" t="str">
        <f t="array" ref="AY395">IF(AB395=DGET(claves!$A$2:$AS423,AB$2,{claves!$A$2;$E395}),1,0)</f>
        <v>#VALUE!</v>
      </c>
      <c r="AZ395" s="436" t="str">
        <f t="array" ref="AZ395">IF(AC395=DGET(claves!$A$2:$AS423,AC$2,{claves!$A$2;$E395}),1,0)</f>
        <v>#VALUE!</v>
      </c>
      <c r="BA395" s="436" t="str">
        <f t="array" ref="BA395">IF(AD395=DGET(claves!$A$2:$AS423,AD$2,{claves!$A$2;$E395}),1,0)</f>
        <v>#VALUE!</v>
      </c>
      <c r="BB395" s="436" t="str">
        <f t="array" ref="BB395">IF(AE395=DGET(claves!$A$2:$AS423,AE$2,{claves!$A$2;$E395}),1,0)</f>
        <v>#VALUE!</v>
      </c>
      <c r="BC395" s="436" t="str">
        <f t="array" ref="BC395">IF(AF395=DGET(claves!$A$2:$AS423,AF$2,{claves!$A$2;$E395}),1,0)</f>
        <v>#VALUE!</v>
      </c>
      <c r="BD395" s="437" t="str">
        <f t="shared" si="1"/>
        <v>#VALUE!</v>
      </c>
      <c r="BE395" s="435"/>
      <c r="BF395" s="415"/>
    </row>
    <row r="396" ht="14.25" customHeight="1">
      <c r="A396" s="408">
        <v>394.0</v>
      </c>
      <c r="B396" s="153" t="s">
        <v>2049</v>
      </c>
      <c r="C396" s="153">
        <v>2024.0</v>
      </c>
      <c r="D396" s="77" t="s">
        <v>362</v>
      </c>
      <c r="E396" s="409" t="str">
        <f>IFERROR(__xludf.DUMMYFUNCTION("ARRAYFORMULA(JOIN("""", ARRAYFORMULA(MID(SPLIT(F396, "" ""), 1, 1))))
&amp;""/""&amp;G396"),"MQ/4 Primaria")</f>
        <v>MQ/4 Primaria</v>
      </c>
      <c r="F396" s="77" t="s">
        <v>1823</v>
      </c>
      <c r="G396" s="432" t="s">
        <v>20</v>
      </c>
      <c r="H396" s="433" t="s">
        <v>1935</v>
      </c>
      <c r="I396" s="433" t="s">
        <v>1962</v>
      </c>
      <c r="J396" s="433" t="s">
        <v>1859</v>
      </c>
      <c r="K396" s="433" t="s">
        <v>1658</v>
      </c>
      <c r="L396" s="415"/>
      <c r="M396" s="434" t="s">
        <v>1659</v>
      </c>
      <c r="N396" s="434" t="s">
        <v>1661</v>
      </c>
      <c r="O396" s="434" t="s">
        <v>1660</v>
      </c>
      <c r="P396" s="434" t="s">
        <v>1660</v>
      </c>
      <c r="Q396" s="434" t="s">
        <v>1661</v>
      </c>
      <c r="R396" s="434" t="s">
        <v>1659</v>
      </c>
      <c r="S396" s="434" t="s">
        <v>1660</v>
      </c>
      <c r="T396" s="434" t="s">
        <v>1660</v>
      </c>
      <c r="U396" s="434" t="s">
        <v>1660</v>
      </c>
      <c r="V396" s="434" t="s">
        <v>1689</v>
      </c>
      <c r="W396" s="434" t="s">
        <v>1659</v>
      </c>
      <c r="X396" s="434" t="s">
        <v>1660</v>
      </c>
      <c r="Y396" s="434" t="s">
        <v>1661</v>
      </c>
      <c r="Z396" s="434" t="s">
        <v>1659</v>
      </c>
      <c r="AA396" s="434" t="s">
        <v>1661</v>
      </c>
      <c r="AB396" s="434" t="s">
        <v>1659</v>
      </c>
      <c r="AC396" s="434" t="s">
        <v>1659</v>
      </c>
      <c r="AD396" s="434" t="s">
        <v>1659</v>
      </c>
      <c r="AE396" s="434" t="s">
        <v>1661</v>
      </c>
      <c r="AF396" s="434" t="s">
        <v>1660</v>
      </c>
      <c r="AG396" s="427">
        <v>5.0</v>
      </c>
      <c r="AH396" s="435" t="s">
        <v>18</v>
      </c>
      <c r="AI396" s="415"/>
      <c r="AJ396" s="436" t="str">
        <f t="array" ref="AJ396">IF(M396=DGET(claves!$A$2:$AS423,M$2,{claves!$A$2;$E396}),1,0)</f>
        <v>#VALUE!</v>
      </c>
      <c r="AK396" s="436" t="str">
        <f t="array" ref="AK396">IF(N396=DGET(claves!$A$2:$AS423,N$2,{claves!$A$2;$E396}),1,0)</f>
        <v>#VALUE!</v>
      </c>
      <c r="AL396" s="436" t="str">
        <f t="array" ref="AL396">IF(O396=DGET(claves!$A$2:$AS423,O$2,{claves!$A$2;$E396}),1,0)</f>
        <v>#VALUE!</v>
      </c>
      <c r="AM396" s="436" t="str">
        <f t="array" ref="AM396">IF(P396=DGET(claves!$A$2:$AS423,P$2,{claves!$A$2;$E396}),1,0)</f>
        <v>#VALUE!</v>
      </c>
      <c r="AN396" s="436" t="str">
        <f t="array" ref="AN396">IF(Q396=DGET(claves!$A$2:$AS423,Q$2,{claves!$A$2;$E396}),1,0)</f>
        <v>#VALUE!</v>
      </c>
      <c r="AO396" s="436" t="str">
        <f t="array" ref="AO396">IF(R396=DGET(claves!$A$2:$AS423,R$2,{claves!$A$2;$E396}),1,0)</f>
        <v>#VALUE!</v>
      </c>
      <c r="AP396" s="436" t="str">
        <f t="array" ref="AP396">IF(S396=DGET(claves!$A$2:$AS423,S$2,{claves!$A$2;$E396}),1,0)</f>
        <v>#VALUE!</v>
      </c>
      <c r="AQ396" s="436" t="str">
        <f t="array" ref="AQ396">IF(T396=DGET(claves!$A$2:$AS423,T$2,{claves!$A$2;$E396}),1,0)</f>
        <v>#VALUE!</v>
      </c>
      <c r="AR396" s="436" t="str">
        <f t="array" ref="AR396">IF(U396=DGET(claves!$A$2:$AS423,U$2,{claves!$A$2;$E396}),1,0)</f>
        <v>#VALUE!</v>
      </c>
      <c r="AS396" s="436" t="str">
        <f t="array" ref="AS396">IF(V396=DGET(claves!$A$2:$AS423,V$2,{claves!$A$2;$E396}),1,0)</f>
        <v>#VALUE!</v>
      </c>
      <c r="AT396" s="436" t="str">
        <f t="array" ref="AT396">IF(W396=DGET(claves!$A$2:$AS423,W$2,{claves!$A$2;$E396}),1,0)</f>
        <v>#VALUE!</v>
      </c>
      <c r="AU396" s="436" t="str">
        <f t="array" ref="AU396">IF(X396=DGET(claves!$A$2:$AS423,X$2,{claves!$A$2;$E396}),1,0)</f>
        <v>#VALUE!</v>
      </c>
      <c r="AV396" s="436" t="str">
        <f t="array" ref="AV396">IF(Y396=DGET(claves!$A$2:$AS423,Y$2,{claves!$A$2;$E396}),1,0)</f>
        <v>#VALUE!</v>
      </c>
      <c r="AW396" s="436" t="str">
        <f t="array" ref="AW396">IF(Z396=DGET(claves!$A$2:$AS423,Z$2,{claves!$A$2;$E396}),1,0)</f>
        <v>#VALUE!</v>
      </c>
      <c r="AX396" s="436" t="str">
        <f t="array" ref="AX396">IF(AA396=DGET(claves!$A$2:$AS423,AA$2,{claves!$A$2;$E396}),1,0)</f>
        <v>#VALUE!</v>
      </c>
      <c r="AY396" s="436" t="str">
        <f t="array" ref="AY396">IF(AB396=DGET(claves!$A$2:$AS423,AB$2,{claves!$A$2;$E396}),1,0)</f>
        <v>#VALUE!</v>
      </c>
      <c r="AZ396" s="436" t="str">
        <f t="array" ref="AZ396">IF(AC396=DGET(claves!$A$2:$AS423,AC$2,{claves!$A$2;$E396}),1,0)</f>
        <v>#VALUE!</v>
      </c>
      <c r="BA396" s="436" t="str">
        <f t="array" ref="BA396">IF(AD396=DGET(claves!$A$2:$AS423,AD$2,{claves!$A$2;$E396}),1,0)</f>
        <v>#VALUE!</v>
      </c>
      <c r="BB396" s="436" t="str">
        <f t="array" ref="BB396">IF(AE396=DGET(claves!$A$2:$AS423,AE$2,{claves!$A$2;$E396}),1,0)</f>
        <v>#VALUE!</v>
      </c>
      <c r="BC396" s="436" t="str">
        <f t="array" ref="BC396">IF(AF396=DGET(claves!$A$2:$AS423,AF$2,{claves!$A$2;$E396}),1,0)</f>
        <v>#VALUE!</v>
      </c>
      <c r="BD396" s="437" t="str">
        <f t="shared" si="1"/>
        <v>#VALUE!</v>
      </c>
      <c r="BE396" s="435"/>
      <c r="BF396" s="415"/>
    </row>
    <row r="397" ht="14.25" customHeight="1">
      <c r="A397" s="408">
        <v>395.0</v>
      </c>
      <c r="B397" s="153" t="s">
        <v>2049</v>
      </c>
      <c r="C397" s="153">
        <v>2024.0</v>
      </c>
      <c r="D397" s="77" t="s">
        <v>1817</v>
      </c>
      <c r="E397" s="409" t="str">
        <f>IFERROR(__xludf.DUMMYFUNCTION("ARRAYFORMULA(JOIN("""", ARRAYFORMULA(MID(SPLIT(F397, "" ""), 1, 1))))
&amp;""/""&amp;G397"),"CLQ/4 Primaria")</f>
        <v>CLQ/4 Primaria</v>
      </c>
      <c r="F397" s="77" t="s">
        <v>1827</v>
      </c>
      <c r="G397" s="432" t="s">
        <v>20</v>
      </c>
      <c r="H397" s="433" t="s">
        <v>1935</v>
      </c>
      <c r="I397" s="433" t="s">
        <v>1962</v>
      </c>
      <c r="J397" s="433" t="s">
        <v>1859</v>
      </c>
      <c r="K397" s="433" t="s">
        <v>1658</v>
      </c>
      <c r="L397" s="415"/>
      <c r="M397" s="434" t="s">
        <v>1659</v>
      </c>
      <c r="N397" s="434" t="s">
        <v>1661</v>
      </c>
      <c r="O397" s="434" t="s">
        <v>1661</v>
      </c>
      <c r="P397" s="434" t="s">
        <v>1659</v>
      </c>
      <c r="Q397" s="434" t="s">
        <v>1660</v>
      </c>
      <c r="R397" s="434" t="s">
        <v>1660</v>
      </c>
      <c r="S397" s="434" t="s">
        <v>1689</v>
      </c>
      <c r="T397" s="434" t="s">
        <v>1661</v>
      </c>
      <c r="U397" s="434" t="s">
        <v>1689</v>
      </c>
      <c r="V397" s="434" t="s">
        <v>1661</v>
      </c>
      <c r="W397" s="434" t="s">
        <v>1689</v>
      </c>
      <c r="X397" s="434" t="s">
        <v>1659</v>
      </c>
      <c r="Y397" s="434" t="s">
        <v>1660</v>
      </c>
      <c r="Z397" s="434" t="s">
        <v>1659</v>
      </c>
      <c r="AA397" s="434" t="s">
        <v>1660</v>
      </c>
      <c r="AB397" s="434" t="s">
        <v>1689</v>
      </c>
      <c r="AC397" s="434" t="s">
        <v>1661</v>
      </c>
      <c r="AD397" s="434" t="s">
        <v>1660</v>
      </c>
      <c r="AE397" s="434" t="s">
        <v>1661</v>
      </c>
      <c r="AF397" s="434" t="s">
        <v>1661</v>
      </c>
      <c r="AG397" s="427">
        <v>10.0</v>
      </c>
      <c r="AH397" s="435" t="s">
        <v>18</v>
      </c>
      <c r="AI397" s="415"/>
      <c r="AJ397" s="436" t="str">
        <f t="array" ref="AJ397">IF(M397=DGET(claves!$A$2:$AS423,M$2,{claves!$A$2;$E397}),1,0)</f>
        <v>#VALUE!</v>
      </c>
      <c r="AK397" s="436" t="str">
        <f t="array" ref="AK397">IF(N397=DGET(claves!$A$2:$AS423,N$2,{claves!$A$2;$E397}),1,0)</f>
        <v>#VALUE!</v>
      </c>
      <c r="AL397" s="436" t="str">
        <f t="array" ref="AL397">IF(O397=DGET(claves!$A$2:$AS423,O$2,{claves!$A$2;$E397}),1,0)</f>
        <v>#VALUE!</v>
      </c>
      <c r="AM397" s="436" t="str">
        <f t="array" ref="AM397">IF(P397=DGET(claves!$A$2:$AS423,P$2,{claves!$A$2;$E397}),1,0)</f>
        <v>#VALUE!</v>
      </c>
      <c r="AN397" s="436" t="str">
        <f t="array" ref="AN397">IF(Q397=DGET(claves!$A$2:$AS423,Q$2,{claves!$A$2;$E397}),1,0)</f>
        <v>#VALUE!</v>
      </c>
      <c r="AO397" s="436" t="str">
        <f t="array" ref="AO397">IF(R397=DGET(claves!$A$2:$AS423,R$2,{claves!$A$2;$E397}),1,0)</f>
        <v>#VALUE!</v>
      </c>
      <c r="AP397" s="436" t="str">
        <f t="array" ref="AP397">IF(S397=DGET(claves!$A$2:$AS423,S$2,{claves!$A$2;$E397}),1,0)</f>
        <v>#VALUE!</v>
      </c>
      <c r="AQ397" s="436" t="str">
        <f t="array" ref="AQ397">IF(T397=DGET(claves!$A$2:$AS423,T$2,{claves!$A$2;$E397}),1,0)</f>
        <v>#VALUE!</v>
      </c>
      <c r="AR397" s="436" t="str">
        <f t="array" ref="AR397">IF(U397=DGET(claves!$A$2:$AS423,U$2,{claves!$A$2;$E397}),1,0)</f>
        <v>#VALUE!</v>
      </c>
      <c r="AS397" s="436" t="str">
        <f t="array" ref="AS397">IF(V397=DGET(claves!$A$2:$AS423,V$2,{claves!$A$2;$E397}),1,0)</f>
        <v>#VALUE!</v>
      </c>
      <c r="AT397" s="436" t="str">
        <f t="array" ref="AT397">IF(W397=DGET(claves!$A$2:$AS423,W$2,{claves!$A$2;$E397}),1,0)</f>
        <v>#VALUE!</v>
      </c>
      <c r="AU397" s="436" t="str">
        <f t="array" ref="AU397">IF(X397=DGET(claves!$A$2:$AS423,X$2,{claves!$A$2;$E397}),1,0)</f>
        <v>#VALUE!</v>
      </c>
      <c r="AV397" s="436" t="str">
        <f t="array" ref="AV397">IF(Y397=DGET(claves!$A$2:$AS423,Y$2,{claves!$A$2;$E397}),1,0)</f>
        <v>#VALUE!</v>
      </c>
      <c r="AW397" s="436" t="str">
        <f t="array" ref="AW397">IF(Z397=DGET(claves!$A$2:$AS423,Z$2,{claves!$A$2;$E397}),1,0)</f>
        <v>#VALUE!</v>
      </c>
      <c r="AX397" s="436" t="str">
        <f t="array" ref="AX397">IF(AA397=DGET(claves!$A$2:$AS423,AA$2,{claves!$A$2;$E397}),1,0)</f>
        <v>#VALUE!</v>
      </c>
      <c r="AY397" s="436" t="str">
        <f t="array" ref="AY397">IF(AB397=DGET(claves!$A$2:$AS423,AB$2,{claves!$A$2;$E397}),1,0)</f>
        <v>#VALUE!</v>
      </c>
      <c r="AZ397" s="436" t="str">
        <f t="array" ref="AZ397">IF(AC397=DGET(claves!$A$2:$AS423,AC$2,{claves!$A$2;$E397}),1,0)</f>
        <v>#VALUE!</v>
      </c>
      <c r="BA397" s="436" t="str">
        <f t="array" ref="BA397">IF(AD397=DGET(claves!$A$2:$AS423,AD$2,{claves!$A$2;$E397}),1,0)</f>
        <v>#VALUE!</v>
      </c>
      <c r="BB397" s="436" t="str">
        <f t="array" ref="BB397">IF(AE397=DGET(claves!$A$2:$AS423,AE$2,{claves!$A$2;$E397}),1,0)</f>
        <v>#VALUE!</v>
      </c>
      <c r="BC397" s="436" t="str">
        <f t="array" ref="BC397">IF(AF397=DGET(claves!$A$2:$AS423,AF$2,{claves!$A$2;$E397}),1,0)</f>
        <v>#VALUE!</v>
      </c>
      <c r="BD397" s="437" t="str">
        <f t="shared" si="1"/>
        <v>#VALUE!</v>
      </c>
      <c r="BE397" s="435"/>
      <c r="BF397" s="415"/>
    </row>
    <row r="398" ht="14.25" customHeight="1">
      <c r="A398" s="408">
        <v>396.0</v>
      </c>
      <c r="B398" s="153" t="s">
        <v>2049</v>
      </c>
      <c r="C398" s="153">
        <v>2024.0</v>
      </c>
      <c r="D398" s="77" t="s">
        <v>362</v>
      </c>
      <c r="E398" s="409" t="str">
        <f>IFERROR(__xludf.DUMMYFUNCTION("ARRAYFORMULA(JOIN("""", ARRAYFORMULA(MID(SPLIT(F398, "" ""), 1, 1))))
&amp;""/""&amp;G398"),"MQ/4 Primaria")</f>
        <v>MQ/4 Primaria</v>
      </c>
      <c r="F398" s="77" t="s">
        <v>1823</v>
      </c>
      <c r="G398" s="432" t="s">
        <v>20</v>
      </c>
      <c r="H398" s="433" t="s">
        <v>1862</v>
      </c>
      <c r="I398" s="433" t="s">
        <v>1737</v>
      </c>
      <c r="J398" s="433" t="s">
        <v>2059</v>
      </c>
      <c r="K398" s="433" t="s">
        <v>1658</v>
      </c>
      <c r="L398" s="415"/>
      <c r="M398" s="434" t="s">
        <v>1689</v>
      </c>
      <c r="N398" s="434" t="s">
        <v>1661</v>
      </c>
      <c r="O398" s="434" t="s">
        <v>1689</v>
      </c>
      <c r="P398" s="434" t="s">
        <v>1660</v>
      </c>
      <c r="Q398" s="434" t="s">
        <v>1661</v>
      </c>
      <c r="R398" s="434" t="s">
        <v>1689</v>
      </c>
      <c r="S398" s="434" t="s">
        <v>1660</v>
      </c>
      <c r="T398" s="434" t="s">
        <v>1689</v>
      </c>
      <c r="U398" s="434" t="s">
        <v>1661</v>
      </c>
      <c r="V398" s="434" t="s">
        <v>1660</v>
      </c>
      <c r="W398" s="434" t="s">
        <v>1660</v>
      </c>
      <c r="X398" s="434" t="s">
        <v>1660</v>
      </c>
      <c r="Y398" s="434" t="s">
        <v>1660</v>
      </c>
      <c r="Z398" s="434" t="s">
        <v>1659</v>
      </c>
      <c r="AA398" s="434" t="s">
        <v>1660</v>
      </c>
      <c r="AB398" s="434" t="s">
        <v>1659</v>
      </c>
      <c r="AC398" s="434" t="s">
        <v>1659</v>
      </c>
      <c r="AD398" s="434" t="s">
        <v>1661</v>
      </c>
      <c r="AE398" s="434" t="s">
        <v>1659</v>
      </c>
      <c r="AF398" s="434" t="s">
        <v>1660</v>
      </c>
      <c r="AG398" s="427">
        <v>11.0</v>
      </c>
      <c r="AH398" s="435" t="s">
        <v>24</v>
      </c>
      <c r="AI398" s="415"/>
      <c r="AJ398" s="436" t="str">
        <f t="array" ref="AJ398">IF(M398=DGET(claves!$A$2:$AS423,M$2,{claves!$A$2;$E398}),1,0)</f>
        <v>#VALUE!</v>
      </c>
      <c r="AK398" s="436" t="str">
        <f t="array" ref="AK398">IF(N398=DGET(claves!$A$2:$AS423,N$2,{claves!$A$2;$E398}),1,0)</f>
        <v>#VALUE!</v>
      </c>
      <c r="AL398" s="436" t="str">
        <f t="array" ref="AL398">IF(O398=DGET(claves!$A$2:$AS423,O$2,{claves!$A$2;$E398}),1,0)</f>
        <v>#VALUE!</v>
      </c>
      <c r="AM398" s="436" t="str">
        <f t="array" ref="AM398">IF(P398=DGET(claves!$A$2:$AS423,P$2,{claves!$A$2;$E398}),1,0)</f>
        <v>#VALUE!</v>
      </c>
      <c r="AN398" s="436" t="str">
        <f t="array" ref="AN398">IF(Q398=DGET(claves!$A$2:$AS423,Q$2,{claves!$A$2;$E398}),1,0)</f>
        <v>#VALUE!</v>
      </c>
      <c r="AO398" s="436" t="str">
        <f t="array" ref="AO398">IF(R398=DGET(claves!$A$2:$AS423,R$2,{claves!$A$2;$E398}),1,0)</f>
        <v>#VALUE!</v>
      </c>
      <c r="AP398" s="436" t="str">
        <f t="array" ref="AP398">IF(S398=DGET(claves!$A$2:$AS423,S$2,{claves!$A$2;$E398}),1,0)</f>
        <v>#VALUE!</v>
      </c>
      <c r="AQ398" s="436" t="str">
        <f t="array" ref="AQ398">IF(T398=DGET(claves!$A$2:$AS423,T$2,{claves!$A$2;$E398}),1,0)</f>
        <v>#VALUE!</v>
      </c>
      <c r="AR398" s="436" t="str">
        <f t="array" ref="AR398">IF(U398=DGET(claves!$A$2:$AS423,U$2,{claves!$A$2;$E398}),1,0)</f>
        <v>#VALUE!</v>
      </c>
      <c r="AS398" s="436" t="str">
        <f t="array" ref="AS398">IF(V398=DGET(claves!$A$2:$AS423,V$2,{claves!$A$2;$E398}),1,0)</f>
        <v>#VALUE!</v>
      </c>
      <c r="AT398" s="436" t="str">
        <f t="array" ref="AT398">IF(W398=DGET(claves!$A$2:$AS423,W$2,{claves!$A$2;$E398}),1,0)</f>
        <v>#VALUE!</v>
      </c>
      <c r="AU398" s="436" t="str">
        <f t="array" ref="AU398">IF(X398=DGET(claves!$A$2:$AS423,X$2,{claves!$A$2;$E398}),1,0)</f>
        <v>#VALUE!</v>
      </c>
      <c r="AV398" s="436" t="str">
        <f t="array" ref="AV398">IF(Y398=DGET(claves!$A$2:$AS423,Y$2,{claves!$A$2;$E398}),1,0)</f>
        <v>#VALUE!</v>
      </c>
      <c r="AW398" s="436" t="str">
        <f t="array" ref="AW398">IF(Z398=DGET(claves!$A$2:$AS423,Z$2,{claves!$A$2;$E398}),1,0)</f>
        <v>#VALUE!</v>
      </c>
      <c r="AX398" s="436" t="str">
        <f t="array" ref="AX398">IF(AA398=DGET(claves!$A$2:$AS423,AA$2,{claves!$A$2;$E398}),1,0)</f>
        <v>#VALUE!</v>
      </c>
      <c r="AY398" s="436" t="str">
        <f t="array" ref="AY398">IF(AB398=DGET(claves!$A$2:$AS423,AB$2,{claves!$A$2;$E398}),1,0)</f>
        <v>#VALUE!</v>
      </c>
      <c r="AZ398" s="436" t="str">
        <f t="array" ref="AZ398">IF(AC398=DGET(claves!$A$2:$AS423,AC$2,{claves!$A$2;$E398}),1,0)</f>
        <v>#VALUE!</v>
      </c>
      <c r="BA398" s="436" t="str">
        <f t="array" ref="BA398">IF(AD398=DGET(claves!$A$2:$AS423,AD$2,{claves!$A$2;$E398}),1,0)</f>
        <v>#VALUE!</v>
      </c>
      <c r="BB398" s="436" t="str">
        <f t="array" ref="BB398">IF(AE398=DGET(claves!$A$2:$AS423,AE$2,{claves!$A$2;$E398}),1,0)</f>
        <v>#VALUE!</v>
      </c>
      <c r="BC398" s="436" t="str">
        <f t="array" ref="BC398">IF(AF398=DGET(claves!$A$2:$AS423,AF$2,{claves!$A$2;$E398}),1,0)</f>
        <v>#VALUE!</v>
      </c>
      <c r="BD398" s="437" t="str">
        <f t="shared" si="1"/>
        <v>#VALUE!</v>
      </c>
      <c r="BE398" s="435"/>
      <c r="BF398" s="415"/>
    </row>
    <row r="399" ht="14.25" customHeight="1">
      <c r="A399" s="408">
        <v>397.0</v>
      </c>
      <c r="B399" s="153" t="s">
        <v>2049</v>
      </c>
      <c r="C399" s="153">
        <v>2024.0</v>
      </c>
      <c r="D399" s="77" t="s">
        <v>1817</v>
      </c>
      <c r="E399" s="409" t="str">
        <f>IFERROR(__xludf.DUMMYFUNCTION("ARRAYFORMULA(JOIN("""", ARRAYFORMULA(MID(SPLIT(F399, "" ""), 1, 1))))
&amp;""/""&amp;G399"),"CLQ/4 Primaria")</f>
        <v>CLQ/4 Primaria</v>
      </c>
      <c r="F399" s="77" t="s">
        <v>1827</v>
      </c>
      <c r="G399" s="432" t="s">
        <v>20</v>
      </c>
      <c r="H399" s="433" t="s">
        <v>1862</v>
      </c>
      <c r="I399" s="433" t="s">
        <v>1737</v>
      </c>
      <c r="J399" s="433" t="s">
        <v>2059</v>
      </c>
      <c r="K399" s="433" t="s">
        <v>1658</v>
      </c>
      <c r="L399" s="415"/>
      <c r="M399" s="434" t="s">
        <v>1659</v>
      </c>
      <c r="N399" s="434" t="s">
        <v>1661</v>
      </c>
      <c r="O399" s="434" t="s">
        <v>1660</v>
      </c>
      <c r="P399" s="434" t="s">
        <v>1659</v>
      </c>
      <c r="Q399" s="434" t="s">
        <v>1659</v>
      </c>
      <c r="R399" s="434" t="s">
        <v>1660</v>
      </c>
      <c r="S399" s="434" t="s">
        <v>1660</v>
      </c>
      <c r="T399" s="434" t="s">
        <v>1659</v>
      </c>
      <c r="U399" s="434" t="s">
        <v>1689</v>
      </c>
      <c r="V399" s="434" t="s">
        <v>1659</v>
      </c>
      <c r="W399" s="434" t="s">
        <v>1689</v>
      </c>
      <c r="X399" s="434" t="s">
        <v>1660</v>
      </c>
      <c r="Y399" s="434" t="s">
        <v>1660</v>
      </c>
      <c r="Z399" s="434" t="s">
        <v>1660</v>
      </c>
      <c r="AA399" s="434" t="s">
        <v>1661</v>
      </c>
      <c r="AB399" s="434" t="s">
        <v>1659</v>
      </c>
      <c r="AC399" s="434" t="s">
        <v>1661</v>
      </c>
      <c r="AD399" s="434" t="s">
        <v>1661</v>
      </c>
      <c r="AE399" s="434" t="s">
        <v>1659</v>
      </c>
      <c r="AF399" s="434" t="s">
        <v>1689</v>
      </c>
      <c r="AG399" s="427">
        <v>11.0</v>
      </c>
      <c r="AH399" s="435" t="s">
        <v>24</v>
      </c>
      <c r="AI399" s="415"/>
      <c r="AJ399" s="436" t="str">
        <f t="array" ref="AJ399">IF(M399=DGET(claves!$A$2:$AS423,M$2,{claves!$A$2;$E399}),1,0)</f>
        <v>#VALUE!</v>
      </c>
      <c r="AK399" s="436" t="str">
        <f t="array" ref="AK399">IF(N399=DGET(claves!$A$2:$AS423,N$2,{claves!$A$2;$E399}),1,0)</f>
        <v>#VALUE!</v>
      </c>
      <c r="AL399" s="436" t="str">
        <f t="array" ref="AL399">IF(O399=DGET(claves!$A$2:$AS423,O$2,{claves!$A$2;$E399}),1,0)</f>
        <v>#VALUE!</v>
      </c>
      <c r="AM399" s="436" t="str">
        <f t="array" ref="AM399">IF(P399=DGET(claves!$A$2:$AS423,P$2,{claves!$A$2;$E399}),1,0)</f>
        <v>#VALUE!</v>
      </c>
      <c r="AN399" s="436" t="str">
        <f t="array" ref="AN399">IF(Q399=DGET(claves!$A$2:$AS423,Q$2,{claves!$A$2;$E399}),1,0)</f>
        <v>#VALUE!</v>
      </c>
      <c r="AO399" s="436" t="str">
        <f t="array" ref="AO399">IF(R399=DGET(claves!$A$2:$AS423,R$2,{claves!$A$2;$E399}),1,0)</f>
        <v>#VALUE!</v>
      </c>
      <c r="AP399" s="436" t="str">
        <f t="array" ref="AP399">IF(S399=DGET(claves!$A$2:$AS423,S$2,{claves!$A$2;$E399}),1,0)</f>
        <v>#VALUE!</v>
      </c>
      <c r="AQ399" s="436" t="str">
        <f t="array" ref="AQ399">IF(T399=DGET(claves!$A$2:$AS423,T$2,{claves!$A$2;$E399}),1,0)</f>
        <v>#VALUE!</v>
      </c>
      <c r="AR399" s="436" t="str">
        <f t="array" ref="AR399">IF(U399=DGET(claves!$A$2:$AS423,U$2,{claves!$A$2;$E399}),1,0)</f>
        <v>#VALUE!</v>
      </c>
      <c r="AS399" s="436" t="str">
        <f t="array" ref="AS399">IF(V399=DGET(claves!$A$2:$AS423,V$2,{claves!$A$2;$E399}),1,0)</f>
        <v>#VALUE!</v>
      </c>
      <c r="AT399" s="436" t="str">
        <f t="array" ref="AT399">IF(W399=DGET(claves!$A$2:$AS423,W$2,{claves!$A$2;$E399}),1,0)</f>
        <v>#VALUE!</v>
      </c>
      <c r="AU399" s="436" t="str">
        <f t="array" ref="AU399">IF(X399=DGET(claves!$A$2:$AS423,X$2,{claves!$A$2;$E399}),1,0)</f>
        <v>#VALUE!</v>
      </c>
      <c r="AV399" s="436" t="str">
        <f t="array" ref="AV399">IF(Y399=DGET(claves!$A$2:$AS423,Y$2,{claves!$A$2;$E399}),1,0)</f>
        <v>#VALUE!</v>
      </c>
      <c r="AW399" s="436" t="str">
        <f t="array" ref="AW399">IF(Z399=DGET(claves!$A$2:$AS423,Z$2,{claves!$A$2;$E399}),1,0)</f>
        <v>#VALUE!</v>
      </c>
      <c r="AX399" s="436" t="str">
        <f t="array" ref="AX399">IF(AA399=DGET(claves!$A$2:$AS423,AA$2,{claves!$A$2;$E399}),1,0)</f>
        <v>#VALUE!</v>
      </c>
      <c r="AY399" s="436" t="str">
        <f t="array" ref="AY399">IF(AB399=DGET(claves!$A$2:$AS423,AB$2,{claves!$A$2;$E399}),1,0)</f>
        <v>#VALUE!</v>
      </c>
      <c r="AZ399" s="436" t="str">
        <f t="array" ref="AZ399">IF(AC399=DGET(claves!$A$2:$AS423,AC$2,{claves!$A$2;$E399}),1,0)</f>
        <v>#VALUE!</v>
      </c>
      <c r="BA399" s="436" t="str">
        <f t="array" ref="BA399">IF(AD399=DGET(claves!$A$2:$AS423,AD$2,{claves!$A$2;$E399}),1,0)</f>
        <v>#VALUE!</v>
      </c>
      <c r="BB399" s="436" t="str">
        <f t="array" ref="BB399">IF(AE399=DGET(claves!$A$2:$AS423,AE$2,{claves!$A$2;$E399}),1,0)</f>
        <v>#VALUE!</v>
      </c>
      <c r="BC399" s="436" t="str">
        <f t="array" ref="BC399">IF(AF399=DGET(claves!$A$2:$AS423,AF$2,{claves!$A$2;$E399}),1,0)</f>
        <v>#VALUE!</v>
      </c>
      <c r="BD399" s="437" t="str">
        <f t="shared" si="1"/>
        <v>#VALUE!</v>
      </c>
      <c r="BE399" s="435"/>
      <c r="BF399" s="415"/>
    </row>
    <row r="400" ht="14.25" customHeight="1">
      <c r="A400" s="408">
        <v>398.0</v>
      </c>
      <c r="B400" s="153" t="s">
        <v>2049</v>
      </c>
      <c r="C400" s="153">
        <v>2024.0</v>
      </c>
      <c r="D400" s="77" t="s">
        <v>362</v>
      </c>
      <c r="E400" s="409" t="str">
        <f>IFERROR(__xludf.DUMMYFUNCTION("ARRAYFORMULA(JOIN("""", ARRAYFORMULA(MID(SPLIT(F400, "" ""), 1, 1))))
&amp;""/""&amp;G400"),"MQ/6 Primaria")</f>
        <v>MQ/6 Primaria</v>
      </c>
      <c r="F400" s="77" t="s">
        <v>1823</v>
      </c>
      <c r="G400" s="432" t="s">
        <v>22</v>
      </c>
      <c r="H400" s="433" t="s">
        <v>1940</v>
      </c>
      <c r="I400" s="433" t="s">
        <v>1935</v>
      </c>
      <c r="J400" s="433" t="s">
        <v>2060</v>
      </c>
      <c r="K400" s="433" t="s">
        <v>1658</v>
      </c>
      <c r="L400" s="415"/>
      <c r="M400" s="434" t="s">
        <v>1661</v>
      </c>
      <c r="N400" s="434" t="s">
        <v>1660</v>
      </c>
      <c r="O400" s="434" t="s">
        <v>1659</v>
      </c>
      <c r="P400" s="434" t="s">
        <v>1661</v>
      </c>
      <c r="Q400" s="434" t="s">
        <v>1689</v>
      </c>
      <c r="R400" s="434" t="s">
        <v>1660</v>
      </c>
      <c r="S400" s="434" t="s">
        <v>1659</v>
      </c>
      <c r="T400" s="434" t="s">
        <v>1660</v>
      </c>
      <c r="U400" s="434" t="s">
        <v>1659</v>
      </c>
      <c r="V400" s="434" t="s">
        <v>1689</v>
      </c>
      <c r="W400" s="434" t="s">
        <v>1661</v>
      </c>
      <c r="X400" s="434" t="s">
        <v>1661</v>
      </c>
      <c r="Y400" s="434" t="s">
        <v>1660</v>
      </c>
      <c r="Z400" s="434" t="s">
        <v>1661</v>
      </c>
      <c r="AA400" s="434" t="s">
        <v>1660</v>
      </c>
      <c r="AB400" s="434" t="s">
        <v>1659</v>
      </c>
      <c r="AC400" s="434" t="s">
        <v>1661</v>
      </c>
      <c r="AD400" s="434" t="s">
        <v>1660</v>
      </c>
      <c r="AE400" s="434" t="s">
        <v>1659</v>
      </c>
      <c r="AF400" s="434" t="s">
        <v>1661</v>
      </c>
      <c r="AG400" s="427">
        <v>7.0</v>
      </c>
      <c r="AH400" s="435" t="s">
        <v>18</v>
      </c>
      <c r="AI400" s="415"/>
      <c r="AJ400" s="436" t="str">
        <f t="array" ref="AJ400">IF(M400=DGET(claves!$A$2:$AS423,M$2,{claves!$A$2;$E400}),1,0)</f>
        <v>#VALUE!</v>
      </c>
      <c r="AK400" s="436" t="str">
        <f t="array" ref="AK400">IF(N400=DGET(claves!$A$2:$AS423,N$2,{claves!$A$2;$E400}),1,0)</f>
        <v>#VALUE!</v>
      </c>
      <c r="AL400" s="436" t="str">
        <f t="array" ref="AL400">IF(O400=DGET(claves!$A$2:$AS423,O$2,{claves!$A$2;$E400}),1,0)</f>
        <v>#VALUE!</v>
      </c>
      <c r="AM400" s="436" t="str">
        <f t="array" ref="AM400">IF(P400=DGET(claves!$A$2:$AS423,P$2,{claves!$A$2;$E400}),1,0)</f>
        <v>#VALUE!</v>
      </c>
      <c r="AN400" s="436" t="str">
        <f t="array" ref="AN400">IF(Q400=DGET(claves!$A$2:$AS423,Q$2,{claves!$A$2;$E400}),1,0)</f>
        <v>#VALUE!</v>
      </c>
      <c r="AO400" s="436" t="str">
        <f t="array" ref="AO400">IF(R400=DGET(claves!$A$2:$AS423,R$2,{claves!$A$2;$E400}),1,0)</f>
        <v>#VALUE!</v>
      </c>
      <c r="AP400" s="436" t="str">
        <f t="array" ref="AP400">IF(S400=DGET(claves!$A$2:$AS423,S$2,{claves!$A$2;$E400}),1,0)</f>
        <v>#VALUE!</v>
      </c>
      <c r="AQ400" s="436" t="str">
        <f t="array" ref="AQ400">IF(T400=DGET(claves!$A$2:$AS423,T$2,{claves!$A$2;$E400}),1,0)</f>
        <v>#VALUE!</v>
      </c>
      <c r="AR400" s="436" t="str">
        <f t="array" ref="AR400">IF(U400=DGET(claves!$A$2:$AS423,U$2,{claves!$A$2;$E400}),1,0)</f>
        <v>#VALUE!</v>
      </c>
      <c r="AS400" s="436" t="str">
        <f t="array" ref="AS400">IF(V400=DGET(claves!$A$2:$AS423,V$2,{claves!$A$2;$E400}),1,0)</f>
        <v>#VALUE!</v>
      </c>
      <c r="AT400" s="436" t="str">
        <f t="array" ref="AT400">IF(W400=DGET(claves!$A$2:$AS423,W$2,{claves!$A$2;$E400}),1,0)</f>
        <v>#VALUE!</v>
      </c>
      <c r="AU400" s="436" t="str">
        <f t="array" ref="AU400">IF(X400=DGET(claves!$A$2:$AS423,X$2,{claves!$A$2;$E400}),1,0)</f>
        <v>#VALUE!</v>
      </c>
      <c r="AV400" s="436" t="str">
        <f t="array" ref="AV400">IF(Y400=DGET(claves!$A$2:$AS423,Y$2,{claves!$A$2;$E400}),1,0)</f>
        <v>#VALUE!</v>
      </c>
      <c r="AW400" s="436" t="str">
        <f t="array" ref="AW400">IF(Z400=DGET(claves!$A$2:$AS423,Z$2,{claves!$A$2;$E400}),1,0)</f>
        <v>#VALUE!</v>
      </c>
      <c r="AX400" s="436" t="str">
        <f t="array" ref="AX400">IF(AA400=DGET(claves!$A$2:$AS423,AA$2,{claves!$A$2;$E400}),1,0)</f>
        <v>#VALUE!</v>
      </c>
      <c r="AY400" s="436" t="str">
        <f t="array" ref="AY400">IF(AB400=DGET(claves!$A$2:$AS423,AB$2,{claves!$A$2;$E400}),1,0)</f>
        <v>#VALUE!</v>
      </c>
      <c r="AZ400" s="436" t="str">
        <f t="array" ref="AZ400">IF(AC400=DGET(claves!$A$2:$AS423,AC$2,{claves!$A$2;$E400}),1,0)</f>
        <v>#VALUE!</v>
      </c>
      <c r="BA400" s="436" t="str">
        <f t="array" ref="BA400">IF(AD400=DGET(claves!$A$2:$AS423,AD$2,{claves!$A$2;$E400}),1,0)</f>
        <v>#VALUE!</v>
      </c>
      <c r="BB400" s="436" t="str">
        <f t="array" ref="BB400">IF(AE400=DGET(claves!$A$2:$AS423,AE$2,{claves!$A$2;$E400}),1,0)</f>
        <v>#VALUE!</v>
      </c>
      <c r="BC400" s="436" t="str">
        <f t="array" ref="BC400">IF(AF400=DGET(claves!$A$2:$AS423,AF$2,{claves!$A$2;$E400}),1,0)</f>
        <v>#VALUE!</v>
      </c>
      <c r="BD400" s="437" t="str">
        <f t="shared" si="1"/>
        <v>#VALUE!</v>
      </c>
      <c r="BE400" s="435"/>
      <c r="BF400" s="415"/>
    </row>
    <row r="401" ht="14.25" customHeight="1">
      <c r="A401" s="408">
        <v>399.0</v>
      </c>
      <c r="B401" s="153" t="s">
        <v>2049</v>
      </c>
      <c r="C401" s="153">
        <v>2024.0</v>
      </c>
      <c r="D401" s="77" t="s">
        <v>1817</v>
      </c>
      <c r="E401" s="409" t="str">
        <f>IFERROR(__xludf.DUMMYFUNCTION("ARRAYFORMULA(JOIN("""", ARRAYFORMULA(MID(SPLIT(F401, "" ""), 1, 1))))
&amp;""/""&amp;G401"),"CLQ/6 Primaria")</f>
        <v>CLQ/6 Primaria</v>
      </c>
      <c r="F401" s="77" t="s">
        <v>1827</v>
      </c>
      <c r="G401" s="432" t="s">
        <v>22</v>
      </c>
      <c r="H401" s="433" t="s">
        <v>1940</v>
      </c>
      <c r="I401" s="433" t="s">
        <v>1935</v>
      </c>
      <c r="J401" s="433" t="s">
        <v>2060</v>
      </c>
      <c r="K401" s="433" t="s">
        <v>1658</v>
      </c>
      <c r="L401" s="415"/>
      <c r="M401" s="434" t="s">
        <v>1659</v>
      </c>
      <c r="N401" s="434" t="s">
        <v>1659</v>
      </c>
      <c r="O401" s="434" t="s">
        <v>1661</v>
      </c>
      <c r="P401" s="434" t="s">
        <v>1659</v>
      </c>
      <c r="Q401" s="434" t="s">
        <v>1660</v>
      </c>
      <c r="R401" s="434" t="s">
        <v>1689</v>
      </c>
      <c r="S401" s="434" t="s">
        <v>1659</v>
      </c>
      <c r="T401" s="434" t="s">
        <v>1689</v>
      </c>
      <c r="U401" s="434" t="s">
        <v>1659</v>
      </c>
      <c r="V401" s="434" t="s">
        <v>1659</v>
      </c>
      <c r="W401" s="434" t="s">
        <v>1659</v>
      </c>
      <c r="X401" s="434" t="s">
        <v>1661</v>
      </c>
      <c r="Y401" s="434" t="s">
        <v>1659</v>
      </c>
      <c r="Z401" s="434" t="s">
        <v>1661</v>
      </c>
      <c r="AA401" s="434" t="s">
        <v>1660</v>
      </c>
      <c r="AB401" s="434" t="s">
        <v>1661</v>
      </c>
      <c r="AC401" s="434" t="s">
        <v>1661</v>
      </c>
      <c r="AD401" s="434" t="s">
        <v>1660</v>
      </c>
      <c r="AE401" s="434" t="s">
        <v>1661</v>
      </c>
      <c r="AF401" s="434" t="s">
        <v>1660</v>
      </c>
      <c r="AG401" s="427">
        <v>7.0</v>
      </c>
      <c r="AH401" s="435" t="s">
        <v>18</v>
      </c>
      <c r="AI401" s="415"/>
      <c r="AJ401" s="436" t="str">
        <f t="array" ref="AJ401">IF(M401=DGET(claves!$A$2:$AS423,M$2,{claves!$A$2;$E401}),1,0)</f>
        <v>#VALUE!</v>
      </c>
      <c r="AK401" s="436" t="str">
        <f t="array" ref="AK401">IF(N401=DGET(claves!$A$2:$AS423,N$2,{claves!$A$2;$E401}),1,0)</f>
        <v>#VALUE!</v>
      </c>
      <c r="AL401" s="436" t="str">
        <f t="array" ref="AL401">IF(O401=DGET(claves!$A$2:$AS423,O$2,{claves!$A$2;$E401}),1,0)</f>
        <v>#VALUE!</v>
      </c>
      <c r="AM401" s="436" t="str">
        <f t="array" ref="AM401">IF(P401=DGET(claves!$A$2:$AS423,P$2,{claves!$A$2;$E401}),1,0)</f>
        <v>#VALUE!</v>
      </c>
      <c r="AN401" s="436" t="str">
        <f t="array" ref="AN401">IF(Q401=DGET(claves!$A$2:$AS423,Q$2,{claves!$A$2;$E401}),1,0)</f>
        <v>#VALUE!</v>
      </c>
      <c r="AO401" s="436" t="str">
        <f t="array" ref="AO401">IF(R401=DGET(claves!$A$2:$AS423,R$2,{claves!$A$2;$E401}),1,0)</f>
        <v>#VALUE!</v>
      </c>
      <c r="AP401" s="436" t="str">
        <f t="array" ref="AP401">IF(S401=DGET(claves!$A$2:$AS423,S$2,{claves!$A$2;$E401}),1,0)</f>
        <v>#VALUE!</v>
      </c>
      <c r="AQ401" s="436" t="str">
        <f t="array" ref="AQ401">IF(T401=DGET(claves!$A$2:$AS423,T$2,{claves!$A$2;$E401}),1,0)</f>
        <v>#VALUE!</v>
      </c>
      <c r="AR401" s="436" t="str">
        <f t="array" ref="AR401">IF(U401=DGET(claves!$A$2:$AS423,U$2,{claves!$A$2;$E401}),1,0)</f>
        <v>#VALUE!</v>
      </c>
      <c r="AS401" s="436" t="str">
        <f t="array" ref="AS401">IF(V401=DGET(claves!$A$2:$AS423,V$2,{claves!$A$2;$E401}),1,0)</f>
        <v>#VALUE!</v>
      </c>
      <c r="AT401" s="436" t="str">
        <f t="array" ref="AT401">IF(W401=DGET(claves!$A$2:$AS423,W$2,{claves!$A$2;$E401}),1,0)</f>
        <v>#VALUE!</v>
      </c>
      <c r="AU401" s="436" t="str">
        <f t="array" ref="AU401">IF(X401=DGET(claves!$A$2:$AS423,X$2,{claves!$A$2;$E401}),1,0)</f>
        <v>#VALUE!</v>
      </c>
      <c r="AV401" s="436" t="str">
        <f t="array" ref="AV401">IF(Y401=DGET(claves!$A$2:$AS423,Y$2,{claves!$A$2;$E401}),1,0)</f>
        <v>#VALUE!</v>
      </c>
      <c r="AW401" s="436" t="str">
        <f t="array" ref="AW401">IF(Z401=DGET(claves!$A$2:$AS423,Z$2,{claves!$A$2;$E401}),1,0)</f>
        <v>#VALUE!</v>
      </c>
      <c r="AX401" s="436" t="str">
        <f t="array" ref="AX401">IF(AA401=DGET(claves!$A$2:$AS423,AA$2,{claves!$A$2;$E401}),1,0)</f>
        <v>#VALUE!</v>
      </c>
      <c r="AY401" s="436" t="str">
        <f t="array" ref="AY401">IF(AB401=DGET(claves!$A$2:$AS423,AB$2,{claves!$A$2;$E401}),1,0)</f>
        <v>#VALUE!</v>
      </c>
      <c r="AZ401" s="436" t="str">
        <f t="array" ref="AZ401">IF(AC401=DGET(claves!$A$2:$AS423,AC$2,{claves!$A$2;$E401}),1,0)</f>
        <v>#VALUE!</v>
      </c>
      <c r="BA401" s="436" t="str">
        <f t="array" ref="BA401">IF(AD401=DGET(claves!$A$2:$AS423,AD$2,{claves!$A$2;$E401}),1,0)</f>
        <v>#VALUE!</v>
      </c>
      <c r="BB401" s="436" t="str">
        <f t="array" ref="BB401">IF(AE401=DGET(claves!$A$2:$AS423,AE$2,{claves!$A$2;$E401}),1,0)</f>
        <v>#VALUE!</v>
      </c>
      <c r="BC401" s="436" t="str">
        <f t="array" ref="BC401">IF(AF401=DGET(claves!$A$2:$AS423,AF$2,{claves!$A$2;$E401}),1,0)</f>
        <v>#VALUE!</v>
      </c>
      <c r="BD401" s="437" t="str">
        <f t="shared" si="1"/>
        <v>#VALUE!</v>
      </c>
      <c r="BE401" s="435"/>
      <c r="BF401" s="415"/>
    </row>
    <row r="402" ht="14.25" customHeight="1">
      <c r="A402" s="408">
        <v>400.0</v>
      </c>
      <c r="B402" s="153" t="s">
        <v>2049</v>
      </c>
      <c r="C402" s="153">
        <v>2024.0</v>
      </c>
      <c r="D402" s="77" t="s">
        <v>362</v>
      </c>
      <c r="E402" s="409" t="str">
        <f>IFERROR(__xludf.DUMMYFUNCTION("ARRAYFORMULA(JOIN("""", ARRAYFORMULA(MID(SPLIT(F402, "" ""), 1, 1))))
&amp;""/""&amp;G402"),"MQ/6 Primaria")</f>
        <v>MQ/6 Primaria</v>
      </c>
      <c r="F402" s="77" t="s">
        <v>1823</v>
      </c>
      <c r="G402" s="432" t="s">
        <v>22</v>
      </c>
      <c r="H402" s="433" t="s">
        <v>2061</v>
      </c>
      <c r="I402" s="433" t="s">
        <v>2062</v>
      </c>
      <c r="J402" s="433" t="s">
        <v>2063</v>
      </c>
      <c r="K402" s="432" t="s">
        <v>1665</v>
      </c>
      <c r="L402" s="415"/>
      <c r="M402" s="434" t="s">
        <v>1689</v>
      </c>
      <c r="N402" s="434" t="s">
        <v>1659</v>
      </c>
      <c r="O402" s="434" t="s">
        <v>1659</v>
      </c>
      <c r="P402" s="434" t="s">
        <v>1660</v>
      </c>
      <c r="Q402" s="434" t="s">
        <v>1659</v>
      </c>
      <c r="R402" s="434" t="s">
        <v>1661</v>
      </c>
      <c r="S402" s="434" t="s">
        <v>1689</v>
      </c>
      <c r="T402" s="434" t="s">
        <v>1659</v>
      </c>
      <c r="U402" s="434" t="s">
        <v>1659</v>
      </c>
      <c r="V402" s="434" t="s">
        <v>1659</v>
      </c>
      <c r="W402" s="434" t="s">
        <v>1661</v>
      </c>
      <c r="X402" s="434" t="s">
        <v>1689</v>
      </c>
      <c r="Y402" s="434" t="s">
        <v>1660</v>
      </c>
      <c r="Z402" s="434" t="s">
        <v>1659</v>
      </c>
      <c r="AA402" s="434" t="s">
        <v>1661</v>
      </c>
      <c r="AB402" s="434" t="s">
        <v>1661</v>
      </c>
      <c r="AC402" s="434" t="s">
        <v>1660</v>
      </c>
      <c r="AD402" s="434" t="s">
        <v>1659</v>
      </c>
      <c r="AE402" s="434" t="s">
        <v>1661</v>
      </c>
      <c r="AF402" s="434" t="s">
        <v>1659</v>
      </c>
      <c r="AG402" s="427">
        <v>8.0</v>
      </c>
      <c r="AH402" s="435" t="s">
        <v>18</v>
      </c>
      <c r="AI402" s="415"/>
      <c r="AJ402" s="436" t="str">
        <f t="array" ref="AJ402">IF(M402=DGET(claves!$A$2:$AS423,M$2,{claves!$A$2;$E402}),1,0)</f>
        <v>#VALUE!</v>
      </c>
      <c r="AK402" s="436" t="str">
        <f t="array" ref="AK402">IF(N402=DGET(claves!$A$2:$AS423,N$2,{claves!$A$2;$E402}),1,0)</f>
        <v>#VALUE!</v>
      </c>
      <c r="AL402" s="436" t="str">
        <f t="array" ref="AL402">IF(O402=DGET(claves!$A$2:$AS423,O$2,{claves!$A$2;$E402}),1,0)</f>
        <v>#VALUE!</v>
      </c>
      <c r="AM402" s="436" t="str">
        <f t="array" ref="AM402">IF(P402=DGET(claves!$A$2:$AS423,P$2,{claves!$A$2;$E402}),1,0)</f>
        <v>#VALUE!</v>
      </c>
      <c r="AN402" s="436" t="str">
        <f t="array" ref="AN402">IF(Q402=DGET(claves!$A$2:$AS423,Q$2,{claves!$A$2;$E402}),1,0)</f>
        <v>#VALUE!</v>
      </c>
      <c r="AO402" s="436" t="str">
        <f t="array" ref="AO402">IF(R402=DGET(claves!$A$2:$AS423,R$2,{claves!$A$2;$E402}),1,0)</f>
        <v>#VALUE!</v>
      </c>
      <c r="AP402" s="436" t="str">
        <f t="array" ref="AP402">IF(S402=DGET(claves!$A$2:$AS423,S$2,{claves!$A$2;$E402}),1,0)</f>
        <v>#VALUE!</v>
      </c>
      <c r="AQ402" s="436" t="str">
        <f t="array" ref="AQ402">IF(T402=DGET(claves!$A$2:$AS423,T$2,{claves!$A$2;$E402}),1,0)</f>
        <v>#VALUE!</v>
      </c>
      <c r="AR402" s="436" t="str">
        <f t="array" ref="AR402">IF(U402=DGET(claves!$A$2:$AS423,U$2,{claves!$A$2;$E402}),1,0)</f>
        <v>#VALUE!</v>
      </c>
      <c r="AS402" s="436" t="str">
        <f t="array" ref="AS402">IF(V402=DGET(claves!$A$2:$AS423,V$2,{claves!$A$2;$E402}),1,0)</f>
        <v>#VALUE!</v>
      </c>
      <c r="AT402" s="436" t="str">
        <f t="array" ref="AT402">IF(W402=DGET(claves!$A$2:$AS423,W$2,{claves!$A$2;$E402}),1,0)</f>
        <v>#VALUE!</v>
      </c>
      <c r="AU402" s="436" t="str">
        <f t="array" ref="AU402">IF(X402=DGET(claves!$A$2:$AS423,X$2,{claves!$A$2;$E402}),1,0)</f>
        <v>#VALUE!</v>
      </c>
      <c r="AV402" s="436" t="str">
        <f t="array" ref="AV402">IF(Y402=DGET(claves!$A$2:$AS423,Y$2,{claves!$A$2;$E402}),1,0)</f>
        <v>#VALUE!</v>
      </c>
      <c r="AW402" s="436" t="str">
        <f t="array" ref="AW402">IF(Z402=DGET(claves!$A$2:$AS423,Z$2,{claves!$A$2;$E402}),1,0)</f>
        <v>#VALUE!</v>
      </c>
      <c r="AX402" s="436" t="str">
        <f t="array" ref="AX402">IF(AA402=DGET(claves!$A$2:$AS423,AA$2,{claves!$A$2;$E402}),1,0)</f>
        <v>#VALUE!</v>
      </c>
      <c r="AY402" s="436" t="str">
        <f t="array" ref="AY402">IF(AB402=DGET(claves!$A$2:$AS423,AB$2,{claves!$A$2;$E402}),1,0)</f>
        <v>#VALUE!</v>
      </c>
      <c r="AZ402" s="436" t="str">
        <f t="array" ref="AZ402">IF(AC402=DGET(claves!$A$2:$AS423,AC$2,{claves!$A$2;$E402}),1,0)</f>
        <v>#VALUE!</v>
      </c>
      <c r="BA402" s="436" t="str">
        <f t="array" ref="BA402">IF(AD402=DGET(claves!$A$2:$AS423,AD$2,{claves!$A$2;$E402}),1,0)</f>
        <v>#VALUE!</v>
      </c>
      <c r="BB402" s="436" t="str">
        <f t="array" ref="BB402">IF(AE402=DGET(claves!$A$2:$AS423,AE$2,{claves!$A$2;$E402}),1,0)</f>
        <v>#VALUE!</v>
      </c>
      <c r="BC402" s="436" t="str">
        <f t="array" ref="BC402">IF(AF402=DGET(claves!$A$2:$AS423,AF$2,{claves!$A$2;$E402}),1,0)</f>
        <v>#VALUE!</v>
      </c>
      <c r="BD402" s="437" t="str">
        <f t="shared" si="1"/>
        <v>#VALUE!</v>
      </c>
      <c r="BE402" s="435"/>
      <c r="BF402" s="415"/>
    </row>
    <row r="403" ht="14.25" customHeight="1">
      <c r="A403" s="408">
        <v>401.0</v>
      </c>
      <c r="B403" s="153" t="s">
        <v>2049</v>
      </c>
      <c r="C403" s="153">
        <v>2024.0</v>
      </c>
      <c r="D403" s="77" t="s">
        <v>1817</v>
      </c>
      <c r="E403" s="409" t="str">
        <f>IFERROR(__xludf.DUMMYFUNCTION("ARRAYFORMULA(JOIN("""", ARRAYFORMULA(MID(SPLIT(F403, "" ""), 1, 1))))
&amp;""/""&amp;G403"),"CLQ/6 Primaria")</f>
        <v>CLQ/6 Primaria</v>
      </c>
      <c r="F403" s="77" t="s">
        <v>1827</v>
      </c>
      <c r="G403" s="432" t="s">
        <v>22</v>
      </c>
      <c r="H403" s="433" t="s">
        <v>2061</v>
      </c>
      <c r="I403" s="433" t="s">
        <v>2062</v>
      </c>
      <c r="J403" s="433" t="s">
        <v>2063</v>
      </c>
      <c r="K403" s="432" t="s">
        <v>1665</v>
      </c>
      <c r="L403" s="415"/>
      <c r="M403" s="434" t="s">
        <v>1659</v>
      </c>
      <c r="N403" s="434" t="s">
        <v>1660</v>
      </c>
      <c r="O403" s="434" t="s">
        <v>1659</v>
      </c>
      <c r="P403" s="434"/>
      <c r="Q403" s="434" t="s">
        <v>1689</v>
      </c>
      <c r="R403" s="434" t="s">
        <v>1660</v>
      </c>
      <c r="S403" s="434" t="s">
        <v>1659</v>
      </c>
      <c r="T403" s="434" t="s">
        <v>1661</v>
      </c>
      <c r="U403" s="434" t="s">
        <v>1660</v>
      </c>
      <c r="V403" s="434" t="s">
        <v>1661</v>
      </c>
      <c r="W403" s="434" t="s">
        <v>1661</v>
      </c>
      <c r="X403" s="434" t="s">
        <v>1660</v>
      </c>
      <c r="Y403" s="434" t="s">
        <v>1660</v>
      </c>
      <c r="Z403" s="434" t="s">
        <v>1660</v>
      </c>
      <c r="AA403" s="434" t="s">
        <v>1660</v>
      </c>
      <c r="AB403" s="434" t="s">
        <v>1659</v>
      </c>
      <c r="AC403" s="434" t="s">
        <v>1659</v>
      </c>
      <c r="AD403" s="434"/>
      <c r="AE403" s="434" t="s">
        <v>1661</v>
      </c>
      <c r="AF403" s="434" t="s">
        <v>1660</v>
      </c>
      <c r="AG403" s="427">
        <v>5.0</v>
      </c>
      <c r="AH403" s="435" t="s">
        <v>18</v>
      </c>
      <c r="AI403" s="415"/>
      <c r="AJ403" s="436" t="str">
        <f t="array" ref="AJ403">IF(M403=DGET(claves!$A$2:$AS423,M$2,{claves!$A$2;$E403}),1,0)</f>
        <v>#VALUE!</v>
      </c>
      <c r="AK403" s="436" t="str">
        <f t="array" ref="AK403">IF(N403=DGET(claves!$A$2:$AS423,N$2,{claves!$A$2;$E403}),1,0)</f>
        <v>#VALUE!</v>
      </c>
      <c r="AL403" s="436" t="str">
        <f t="array" ref="AL403">IF(O403=DGET(claves!$A$2:$AS423,O$2,{claves!$A$2;$E403}),1,0)</f>
        <v>#VALUE!</v>
      </c>
      <c r="AM403" s="436" t="str">
        <f t="array" ref="AM403">IF(P403=DGET(claves!$A$2:$AS423,P$2,{claves!$A$2;$E403}),1,0)</f>
        <v>#VALUE!</v>
      </c>
      <c r="AN403" s="436" t="str">
        <f t="array" ref="AN403">IF(Q403=DGET(claves!$A$2:$AS423,Q$2,{claves!$A$2;$E403}),1,0)</f>
        <v>#VALUE!</v>
      </c>
      <c r="AO403" s="436" t="str">
        <f t="array" ref="AO403">IF(R403=DGET(claves!$A$2:$AS423,R$2,{claves!$A$2;$E403}),1,0)</f>
        <v>#VALUE!</v>
      </c>
      <c r="AP403" s="436" t="str">
        <f t="array" ref="AP403">IF(S403=DGET(claves!$A$2:$AS423,S$2,{claves!$A$2;$E403}),1,0)</f>
        <v>#VALUE!</v>
      </c>
      <c r="AQ403" s="436" t="str">
        <f t="array" ref="AQ403">IF(T403=DGET(claves!$A$2:$AS423,T$2,{claves!$A$2;$E403}),1,0)</f>
        <v>#VALUE!</v>
      </c>
      <c r="AR403" s="436" t="str">
        <f t="array" ref="AR403">IF(U403=DGET(claves!$A$2:$AS423,U$2,{claves!$A$2;$E403}),1,0)</f>
        <v>#VALUE!</v>
      </c>
      <c r="AS403" s="436" t="str">
        <f t="array" ref="AS403">IF(V403=DGET(claves!$A$2:$AS423,V$2,{claves!$A$2;$E403}),1,0)</f>
        <v>#VALUE!</v>
      </c>
      <c r="AT403" s="436" t="str">
        <f t="array" ref="AT403">IF(W403=DGET(claves!$A$2:$AS423,W$2,{claves!$A$2;$E403}),1,0)</f>
        <v>#VALUE!</v>
      </c>
      <c r="AU403" s="436" t="str">
        <f t="array" ref="AU403">IF(X403=DGET(claves!$A$2:$AS423,X$2,{claves!$A$2;$E403}),1,0)</f>
        <v>#VALUE!</v>
      </c>
      <c r="AV403" s="436" t="str">
        <f t="array" ref="AV403">IF(Y403=DGET(claves!$A$2:$AS423,Y$2,{claves!$A$2;$E403}),1,0)</f>
        <v>#VALUE!</v>
      </c>
      <c r="AW403" s="436" t="str">
        <f t="array" ref="AW403">IF(Z403=DGET(claves!$A$2:$AS423,Z$2,{claves!$A$2;$E403}),1,0)</f>
        <v>#VALUE!</v>
      </c>
      <c r="AX403" s="436" t="str">
        <f t="array" ref="AX403">IF(AA403=DGET(claves!$A$2:$AS423,AA$2,{claves!$A$2;$E403}),1,0)</f>
        <v>#VALUE!</v>
      </c>
      <c r="AY403" s="436" t="str">
        <f t="array" ref="AY403">IF(AB403=DGET(claves!$A$2:$AS423,AB$2,{claves!$A$2;$E403}),1,0)</f>
        <v>#VALUE!</v>
      </c>
      <c r="AZ403" s="436" t="str">
        <f t="array" ref="AZ403">IF(AC403=DGET(claves!$A$2:$AS423,AC$2,{claves!$A$2;$E403}),1,0)</f>
        <v>#VALUE!</v>
      </c>
      <c r="BA403" s="436" t="str">
        <f t="array" ref="BA403">IF(AD403=DGET(claves!$A$2:$AS423,AD$2,{claves!$A$2;$E403}),1,0)</f>
        <v>#VALUE!</v>
      </c>
      <c r="BB403" s="436" t="str">
        <f t="array" ref="BB403">IF(AE403=DGET(claves!$A$2:$AS423,AE$2,{claves!$A$2;$E403}),1,0)</f>
        <v>#VALUE!</v>
      </c>
      <c r="BC403" s="436" t="str">
        <f t="array" ref="BC403">IF(AF403=DGET(claves!$A$2:$AS423,AF$2,{claves!$A$2;$E403}),1,0)</f>
        <v>#VALUE!</v>
      </c>
      <c r="BD403" s="437" t="str">
        <f t="shared" si="1"/>
        <v>#VALUE!</v>
      </c>
      <c r="BE403" s="435"/>
      <c r="BF403" s="415"/>
    </row>
    <row r="404" ht="14.25" customHeight="1">
      <c r="A404" s="408">
        <v>402.0</v>
      </c>
      <c r="B404" s="153" t="s">
        <v>2049</v>
      </c>
      <c r="C404" s="153">
        <v>2024.0</v>
      </c>
      <c r="D404" s="77" t="s">
        <v>362</v>
      </c>
      <c r="E404" s="409" t="str">
        <f>IFERROR(__xludf.DUMMYFUNCTION("ARRAYFORMULA(JOIN("""", ARRAYFORMULA(MID(SPLIT(F404, "" ""), 1, 1))))
&amp;""/""&amp;G404"),"MQ/6 Primaria")</f>
        <v>MQ/6 Primaria</v>
      </c>
      <c r="F404" s="77" t="s">
        <v>1823</v>
      </c>
      <c r="G404" s="432" t="s">
        <v>22</v>
      </c>
      <c r="H404" s="433" t="s">
        <v>2064</v>
      </c>
      <c r="I404" s="433" t="s">
        <v>1719</v>
      </c>
      <c r="J404" s="433" t="s">
        <v>2065</v>
      </c>
      <c r="K404" s="433" t="s">
        <v>1658</v>
      </c>
      <c r="L404" s="415"/>
      <c r="M404" s="434" t="s">
        <v>1660</v>
      </c>
      <c r="N404" s="434" t="s">
        <v>1689</v>
      </c>
      <c r="O404" s="434" t="s">
        <v>1659</v>
      </c>
      <c r="P404" s="434" t="s">
        <v>1689</v>
      </c>
      <c r="Q404" s="434" t="s">
        <v>1659</v>
      </c>
      <c r="R404" s="434" t="s">
        <v>1659</v>
      </c>
      <c r="S404" s="434" t="s">
        <v>1659</v>
      </c>
      <c r="T404" s="434" t="s">
        <v>1659</v>
      </c>
      <c r="U404" s="434" t="s">
        <v>1659</v>
      </c>
      <c r="V404" s="434" t="s">
        <v>1661</v>
      </c>
      <c r="W404" s="434" t="s">
        <v>1661</v>
      </c>
      <c r="X404" s="434" t="s">
        <v>1689</v>
      </c>
      <c r="Y404" s="434" t="s">
        <v>1661</v>
      </c>
      <c r="Z404" s="434" t="s">
        <v>1689</v>
      </c>
      <c r="AA404" s="434" t="s">
        <v>1661</v>
      </c>
      <c r="AB404" s="434" t="s">
        <v>1689</v>
      </c>
      <c r="AC404" s="434" t="s">
        <v>1689</v>
      </c>
      <c r="AD404" s="434" t="s">
        <v>1659</v>
      </c>
      <c r="AE404" s="434" t="s">
        <v>1689</v>
      </c>
      <c r="AF404" s="434" t="s">
        <v>1660</v>
      </c>
      <c r="AG404" s="427">
        <v>13.0</v>
      </c>
      <c r="AH404" s="435" t="s">
        <v>24</v>
      </c>
      <c r="AI404" s="415"/>
      <c r="AJ404" s="436" t="str">
        <f t="array" ref="AJ404">IF(M404=DGET(claves!$A$2:$AS423,M$2,{claves!$A$2;$E404}),1,0)</f>
        <v>#VALUE!</v>
      </c>
      <c r="AK404" s="436" t="str">
        <f t="array" ref="AK404">IF(N404=DGET(claves!$A$2:$AS423,N$2,{claves!$A$2;$E404}),1,0)</f>
        <v>#VALUE!</v>
      </c>
      <c r="AL404" s="436" t="str">
        <f t="array" ref="AL404">IF(O404=DGET(claves!$A$2:$AS423,O$2,{claves!$A$2;$E404}),1,0)</f>
        <v>#VALUE!</v>
      </c>
      <c r="AM404" s="436" t="str">
        <f t="array" ref="AM404">IF(P404=DGET(claves!$A$2:$AS423,P$2,{claves!$A$2;$E404}),1,0)</f>
        <v>#VALUE!</v>
      </c>
      <c r="AN404" s="436" t="str">
        <f t="array" ref="AN404">IF(Q404=DGET(claves!$A$2:$AS423,Q$2,{claves!$A$2;$E404}),1,0)</f>
        <v>#VALUE!</v>
      </c>
      <c r="AO404" s="436" t="str">
        <f t="array" ref="AO404">IF(R404=DGET(claves!$A$2:$AS423,R$2,{claves!$A$2;$E404}),1,0)</f>
        <v>#VALUE!</v>
      </c>
      <c r="AP404" s="436" t="str">
        <f t="array" ref="AP404">IF(S404=DGET(claves!$A$2:$AS423,S$2,{claves!$A$2;$E404}),1,0)</f>
        <v>#VALUE!</v>
      </c>
      <c r="AQ404" s="436" t="str">
        <f t="array" ref="AQ404">IF(T404=DGET(claves!$A$2:$AS423,T$2,{claves!$A$2;$E404}),1,0)</f>
        <v>#VALUE!</v>
      </c>
      <c r="AR404" s="436" t="str">
        <f t="array" ref="AR404">IF(U404=DGET(claves!$A$2:$AS423,U$2,{claves!$A$2;$E404}),1,0)</f>
        <v>#VALUE!</v>
      </c>
      <c r="AS404" s="436" t="str">
        <f t="array" ref="AS404">IF(V404=DGET(claves!$A$2:$AS423,V$2,{claves!$A$2;$E404}),1,0)</f>
        <v>#VALUE!</v>
      </c>
      <c r="AT404" s="436" t="str">
        <f t="array" ref="AT404">IF(W404=DGET(claves!$A$2:$AS423,W$2,{claves!$A$2;$E404}),1,0)</f>
        <v>#VALUE!</v>
      </c>
      <c r="AU404" s="436" t="str">
        <f t="array" ref="AU404">IF(X404=DGET(claves!$A$2:$AS423,X$2,{claves!$A$2;$E404}),1,0)</f>
        <v>#VALUE!</v>
      </c>
      <c r="AV404" s="436" t="str">
        <f t="array" ref="AV404">IF(Y404=DGET(claves!$A$2:$AS423,Y$2,{claves!$A$2;$E404}),1,0)</f>
        <v>#VALUE!</v>
      </c>
      <c r="AW404" s="436" t="str">
        <f t="array" ref="AW404">IF(Z404=DGET(claves!$A$2:$AS423,Z$2,{claves!$A$2;$E404}),1,0)</f>
        <v>#VALUE!</v>
      </c>
      <c r="AX404" s="436" t="str">
        <f t="array" ref="AX404">IF(AA404=DGET(claves!$A$2:$AS423,AA$2,{claves!$A$2;$E404}),1,0)</f>
        <v>#VALUE!</v>
      </c>
      <c r="AY404" s="436" t="str">
        <f t="array" ref="AY404">IF(AB404=DGET(claves!$A$2:$AS423,AB$2,{claves!$A$2;$E404}),1,0)</f>
        <v>#VALUE!</v>
      </c>
      <c r="AZ404" s="436" t="str">
        <f t="array" ref="AZ404">IF(AC404=DGET(claves!$A$2:$AS423,AC$2,{claves!$A$2;$E404}),1,0)</f>
        <v>#VALUE!</v>
      </c>
      <c r="BA404" s="436" t="str">
        <f t="array" ref="BA404">IF(AD404=DGET(claves!$A$2:$AS423,AD$2,{claves!$A$2;$E404}),1,0)</f>
        <v>#VALUE!</v>
      </c>
      <c r="BB404" s="436" t="str">
        <f t="array" ref="BB404">IF(AE404=DGET(claves!$A$2:$AS423,AE$2,{claves!$A$2;$E404}),1,0)</f>
        <v>#VALUE!</v>
      </c>
      <c r="BC404" s="436" t="str">
        <f t="array" ref="BC404">IF(AF404=DGET(claves!$A$2:$AS423,AF$2,{claves!$A$2;$E404}),1,0)</f>
        <v>#VALUE!</v>
      </c>
      <c r="BD404" s="437" t="str">
        <f t="shared" si="1"/>
        <v>#VALUE!</v>
      </c>
      <c r="BE404" s="435"/>
      <c r="BF404" s="415"/>
    </row>
    <row r="405" ht="14.25" customHeight="1">
      <c r="A405" s="408">
        <v>403.0</v>
      </c>
      <c r="B405" s="153" t="s">
        <v>2049</v>
      </c>
      <c r="C405" s="153">
        <v>2024.0</v>
      </c>
      <c r="D405" s="77" t="s">
        <v>1817</v>
      </c>
      <c r="E405" s="409" t="str">
        <f>IFERROR(__xludf.DUMMYFUNCTION("ARRAYFORMULA(JOIN("""", ARRAYFORMULA(MID(SPLIT(F405, "" ""), 1, 1))))
&amp;""/""&amp;G405"),"CLQ/6 Primaria")</f>
        <v>CLQ/6 Primaria</v>
      </c>
      <c r="F405" s="77" t="s">
        <v>1827</v>
      </c>
      <c r="G405" s="432" t="s">
        <v>22</v>
      </c>
      <c r="H405" s="433" t="s">
        <v>2064</v>
      </c>
      <c r="I405" s="433" t="s">
        <v>1719</v>
      </c>
      <c r="J405" s="433" t="s">
        <v>2065</v>
      </c>
      <c r="K405" s="433" t="s">
        <v>1658</v>
      </c>
      <c r="L405" s="415"/>
      <c r="M405" s="434" t="s">
        <v>1661</v>
      </c>
      <c r="N405" s="434" t="s">
        <v>1661</v>
      </c>
      <c r="O405" s="434" t="s">
        <v>1689</v>
      </c>
      <c r="P405" s="434" t="s">
        <v>1659</v>
      </c>
      <c r="Q405" s="434" t="s">
        <v>1689</v>
      </c>
      <c r="R405" s="434" t="s">
        <v>1689</v>
      </c>
      <c r="S405" s="434" t="s">
        <v>1689</v>
      </c>
      <c r="T405" s="434" t="s">
        <v>1659</v>
      </c>
      <c r="U405" s="434" t="s">
        <v>1689</v>
      </c>
      <c r="V405" s="434" t="s">
        <v>1659</v>
      </c>
      <c r="W405" s="434" t="s">
        <v>1660</v>
      </c>
      <c r="X405" s="434" t="s">
        <v>1689</v>
      </c>
      <c r="Y405" s="434" t="s">
        <v>1689</v>
      </c>
      <c r="Z405" s="434" t="s">
        <v>1661</v>
      </c>
      <c r="AA405" s="434" t="s">
        <v>1659</v>
      </c>
      <c r="AB405" s="434" t="s">
        <v>1661</v>
      </c>
      <c r="AC405" s="434" t="s">
        <v>1661</v>
      </c>
      <c r="AD405" s="434" t="s">
        <v>1689</v>
      </c>
      <c r="AE405" s="434" t="s">
        <v>1661</v>
      </c>
      <c r="AF405" s="434" t="s">
        <v>1689</v>
      </c>
      <c r="AG405" s="427">
        <v>13.0</v>
      </c>
      <c r="AH405" s="435" t="s">
        <v>24</v>
      </c>
      <c r="AI405" s="415"/>
      <c r="AJ405" s="436" t="str">
        <f t="array" ref="AJ405">IF(M405=DGET(claves!$A$2:$AS423,M$2,{claves!$A$2;$E405}),1,0)</f>
        <v>#VALUE!</v>
      </c>
      <c r="AK405" s="436" t="str">
        <f t="array" ref="AK405">IF(N405=DGET(claves!$A$2:$AS423,N$2,{claves!$A$2;$E405}),1,0)</f>
        <v>#VALUE!</v>
      </c>
      <c r="AL405" s="436" t="str">
        <f t="array" ref="AL405">IF(O405=DGET(claves!$A$2:$AS423,O$2,{claves!$A$2;$E405}),1,0)</f>
        <v>#VALUE!</v>
      </c>
      <c r="AM405" s="436" t="str">
        <f t="array" ref="AM405">IF(P405=DGET(claves!$A$2:$AS423,P$2,{claves!$A$2;$E405}),1,0)</f>
        <v>#VALUE!</v>
      </c>
      <c r="AN405" s="436" t="str">
        <f t="array" ref="AN405">IF(Q405=DGET(claves!$A$2:$AS423,Q$2,{claves!$A$2;$E405}),1,0)</f>
        <v>#VALUE!</v>
      </c>
      <c r="AO405" s="436" t="str">
        <f t="array" ref="AO405">IF(R405=DGET(claves!$A$2:$AS423,R$2,{claves!$A$2;$E405}),1,0)</f>
        <v>#VALUE!</v>
      </c>
      <c r="AP405" s="436" t="str">
        <f t="array" ref="AP405">IF(S405=DGET(claves!$A$2:$AS423,S$2,{claves!$A$2;$E405}),1,0)</f>
        <v>#VALUE!</v>
      </c>
      <c r="AQ405" s="436" t="str">
        <f t="array" ref="AQ405">IF(T405=DGET(claves!$A$2:$AS423,T$2,{claves!$A$2;$E405}),1,0)</f>
        <v>#VALUE!</v>
      </c>
      <c r="AR405" s="436" t="str">
        <f t="array" ref="AR405">IF(U405=DGET(claves!$A$2:$AS423,U$2,{claves!$A$2;$E405}),1,0)</f>
        <v>#VALUE!</v>
      </c>
      <c r="AS405" s="436" t="str">
        <f t="array" ref="AS405">IF(V405=DGET(claves!$A$2:$AS423,V$2,{claves!$A$2;$E405}),1,0)</f>
        <v>#VALUE!</v>
      </c>
      <c r="AT405" s="436" t="str">
        <f t="array" ref="AT405">IF(W405=DGET(claves!$A$2:$AS423,W$2,{claves!$A$2;$E405}),1,0)</f>
        <v>#VALUE!</v>
      </c>
      <c r="AU405" s="436" t="str">
        <f t="array" ref="AU405">IF(X405=DGET(claves!$A$2:$AS423,X$2,{claves!$A$2;$E405}),1,0)</f>
        <v>#VALUE!</v>
      </c>
      <c r="AV405" s="436" t="str">
        <f t="array" ref="AV405">IF(Y405=DGET(claves!$A$2:$AS423,Y$2,{claves!$A$2;$E405}),1,0)</f>
        <v>#VALUE!</v>
      </c>
      <c r="AW405" s="436" t="str">
        <f t="array" ref="AW405">IF(Z405=DGET(claves!$A$2:$AS423,Z$2,{claves!$A$2;$E405}),1,0)</f>
        <v>#VALUE!</v>
      </c>
      <c r="AX405" s="436" t="str">
        <f t="array" ref="AX405">IF(AA405=DGET(claves!$A$2:$AS423,AA$2,{claves!$A$2;$E405}),1,0)</f>
        <v>#VALUE!</v>
      </c>
      <c r="AY405" s="436" t="str">
        <f t="array" ref="AY405">IF(AB405=DGET(claves!$A$2:$AS423,AB$2,{claves!$A$2;$E405}),1,0)</f>
        <v>#VALUE!</v>
      </c>
      <c r="AZ405" s="436" t="str">
        <f t="array" ref="AZ405">IF(AC405=DGET(claves!$A$2:$AS423,AC$2,{claves!$A$2;$E405}),1,0)</f>
        <v>#VALUE!</v>
      </c>
      <c r="BA405" s="436" t="str">
        <f t="array" ref="BA405">IF(AD405=DGET(claves!$A$2:$AS423,AD$2,{claves!$A$2;$E405}),1,0)</f>
        <v>#VALUE!</v>
      </c>
      <c r="BB405" s="436" t="str">
        <f t="array" ref="BB405">IF(AE405=DGET(claves!$A$2:$AS423,AE$2,{claves!$A$2;$E405}),1,0)</f>
        <v>#VALUE!</v>
      </c>
      <c r="BC405" s="436" t="str">
        <f t="array" ref="BC405">IF(AF405=DGET(claves!$A$2:$AS423,AF$2,{claves!$A$2;$E405}),1,0)</f>
        <v>#VALUE!</v>
      </c>
      <c r="BD405" s="437" t="str">
        <f t="shared" si="1"/>
        <v>#VALUE!</v>
      </c>
      <c r="BE405" s="435"/>
      <c r="BF405" s="415"/>
    </row>
    <row r="406" ht="14.25" customHeight="1">
      <c r="A406" s="408">
        <v>404.0</v>
      </c>
      <c r="B406" s="153" t="s">
        <v>2066</v>
      </c>
      <c r="C406" s="153">
        <v>2024.0</v>
      </c>
      <c r="D406" s="77" t="s">
        <v>362</v>
      </c>
      <c r="E406" s="409" t="str">
        <f>IFERROR(__xludf.DUMMYFUNCTION("ARRAYFORMULA(JOIN("""", ARRAYFORMULA(MID(SPLIT(F406, "" ""), 1, 1))))
&amp;""/""&amp;G406"),"MQ/2 Primaria")</f>
        <v>MQ/2 Primaria</v>
      </c>
      <c r="F406" s="77" t="s">
        <v>1823</v>
      </c>
      <c r="G406" s="432" t="s">
        <v>15</v>
      </c>
      <c r="H406" s="433" t="s">
        <v>1771</v>
      </c>
      <c r="I406" s="433" t="s">
        <v>1744</v>
      </c>
      <c r="J406" s="433" t="s">
        <v>2067</v>
      </c>
      <c r="K406" s="433" t="s">
        <v>1658</v>
      </c>
      <c r="L406" s="415"/>
      <c r="M406" s="434" t="s">
        <v>1825</v>
      </c>
      <c r="N406" s="434" t="s">
        <v>1660</v>
      </c>
      <c r="O406" s="434" t="s">
        <v>1825</v>
      </c>
      <c r="P406" s="434" t="s">
        <v>1660</v>
      </c>
      <c r="Q406" s="434" t="s">
        <v>1826</v>
      </c>
      <c r="R406" s="434" t="s">
        <v>1825</v>
      </c>
      <c r="S406" s="434" t="s">
        <v>1825</v>
      </c>
      <c r="T406" s="434" t="s">
        <v>1660</v>
      </c>
      <c r="U406" s="434" t="s">
        <v>1825</v>
      </c>
      <c r="V406" s="434" t="s">
        <v>1660</v>
      </c>
      <c r="W406" s="434" t="s">
        <v>1826</v>
      </c>
      <c r="X406" s="434" t="s">
        <v>1660</v>
      </c>
      <c r="Y406" s="434" t="s">
        <v>1660</v>
      </c>
      <c r="Z406" s="434" t="s">
        <v>1826</v>
      </c>
      <c r="AA406" s="434" t="s">
        <v>1826</v>
      </c>
      <c r="AB406" s="434" t="s">
        <v>1826</v>
      </c>
      <c r="AC406" s="434" t="s">
        <v>1660</v>
      </c>
      <c r="AD406" s="434" t="s">
        <v>1825</v>
      </c>
      <c r="AE406" s="434" t="s">
        <v>1826</v>
      </c>
      <c r="AF406" s="434" t="s">
        <v>1825</v>
      </c>
      <c r="AG406" s="427">
        <v>8.0</v>
      </c>
      <c r="AH406" s="435" t="s">
        <v>18</v>
      </c>
      <c r="AI406" s="415"/>
      <c r="AJ406" s="436" t="str">
        <f t="array" ref="AJ406">IF(M406=DGET(claves!$A$2:$AS423,M$2,{claves!$A$2;$E406}),1,0)</f>
        <v>#VALUE!</v>
      </c>
      <c r="AK406" s="436" t="str">
        <f t="array" ref="AK406">IF(N406=DGET(claves!$A$2:$AS423,N$2,{claves!$A$2;$E406}),1,0)</f>
        <v>#VALUE!</v>
      </c>
      <c r="AL406" s="436" t="str">
        <f t="array" ref="AL406">IF(O406=DGET(claves!$A$2:$AS423,O$2,{claves!$A$2;$E406}),1,0)</f>
        <v>#VALUE!</v>
      </c>
      <c r="AM406" s="436" t="str">
        <f t="array" ref="AM406">IF(P406=DGET(claves!$A$2:$AS423,P$2,{claves!$A$2;$E406}),1,0)</f>
        <v>#VALUE!</v>
      </c>
      <c r="AN406" s="436" t="str">
        <f t="array" ref="AN406">IF(Q406=DGET(claves!$A$2:$AS423,Q$2,{claves!$A$2;$E406}),1,0)</f>
        <v>#VALUE!</v>
      </c>
      <c r="AO406" s="436" t="str">
        <f t="array" ref="AO406">IF(R406=DGET(claves!$A$2:$AS423,R$2,{claves!$A$2;$E406}),1,0)</f>
        <v>#VALUE!</v>
      </c>
      <c r="AP406" s="436" t="str">
        <f t="array" ref="AP406">IF(S406=DGET(claves!$A$2:$AS423,S$2,{claves!$A$2;$E406}),1,0)</f>
        <v>#VALUE!</v>
      </c>
      <c r="AQ406" s="436" t="str">
        <f t="array" ref="AQ406">IF(T406=DGET(claves!$A$2:$AS423,T$2,{claves!$A$2;$E406}),1,0)</f>
        <v>#VALUE!</v>
      </c>
      <c r="AR406" s="436" t="str">
        <f t="array" ref="AR406">IF(U406=DGET(claves!$A$2:$AS423,U$2,{claves!$A$2;$E406}),1,0)</f>
        <v>#VALUE!</v>
      </c>
      <c r="AS406" s="436" t="str">
        <f t="array" ref="AS406">IF(V406=DGET(claves!$A$2:$AS423,V$2,{claves!$A$2;$E406}),1,0)</f>
        <v>#VALUE!</v>
      </c>
      <c r="AT406" s="436" t="str">
        <f t="array" ref="AT406">IF(W406=DGET(claves!$A$2:$AS423,W$2,{claves!$A$2;$E406}),1,0)</f>
        <v>#VALUE!</v>
      </c>
      <c r="AU406" s="436" t="str">
        <f t="array" ref="AU406">IF(X406=DGET(claves!$A$2:$AS423,X$2,{claves!$A$2;$E406}),1,0)</f>
        <v>#VALUE!</v>
      </c>
      <c r="AV406" s="436" t="str">
        <f t="array" ref="AV406">IF(Y406=DGET(claves!$A$2:$AS423,Y$2,{claves!$A$2;$E406}),1,0)</f>
        <v>#VALUE!</v>
      </c>
      <c r="AW406" s="436" t="str">
        <f t="array" ref="AW406">IF(Z406=DGET(claves!$A$2:$AS423,Z$2,{claves!$A$2;$E406}),1,0)</f>
        <v>#VALUE!</v>
      </c>
      <c r="AX406" s="436" t="str">
        <f t="array" ref="AX406">IF(AA406=DGET(claves!$A$2:$AS423,AA$2,{claves!$A$2;$E406}),1,0)</f>
        <v>#VALUE!</v>
      </c>
      <c r="AY406" s="436" t="str">
        <f t="array" ref="AY406">IF(AB406=DGET(claves!$A$2:$AS423,AB$2,{claves!$A$2;$E406}),1,0)</f>
        <v>#VALUE!</v>
      </c>
      <c r="AZ406" s="436" t="str">
        <f t="array" ref="AZ406">IF(AC406=DGET(claves!$A$2:$AS423,AC$2,{claves!$A$2;$E406}),1,0)</f>
        <v>#VALUE!</v>
      </c>
      <c r="BA406" s="436" t="str">
        <f t="array" ref="BA406">IF(AD406=DGET(claves!$A$2:$AS423,AD$2,{claves!$A$2;$E406}),1,0)</f>
        <v>#VALUE!</v>
      </c>
      <c r="BB406" s="436" t="str">
        <f t="array" ref="BB406">IF(AE406=DGET(claves!$A$2:$AS423,AE$2,{claves!$A$2;$E406}),1,0)</f>
        <v>#VALUE!</v>
      </c>
      <c r="BC406" s="436" t="str">
        <f t="array" ref="BC406">IF(AF406=DGET(claves!$A$2:$AS423,AF$2,{claves!$A$2;$E406}),1,0)</f>
        <v>#VALUE!</v>
      </c>
      <c r="BD406" s="437" t="str">
        <f t="shared" si="1"/>
        <v>#VALUE!</v>
      </c>
      <c r="BE406" s="435"/>
      <c r="BF406" s="415"/>
    </row>
    <row r="407" ht="14.25" customHeight="1">
      <c r="A407" s="408">
        <v>405.0</v>
      </c>
      <c r="B407" s="153" t="s">
        <v>2066</v>
      </c>
      <c r="C407" s="153">
        <v>2024.0</v>
      </c>
      <c r="D407" s="77" t="s">
        <v>1817</v>
      </c>
      <c r="E407" s="409" t="str">
        <f>IFERROR(__xludf.DUMMYFUNCTION("ARRAYFORMULA(JOIN("""", ARRAYFORMULA(MID(SPLIT(F407, "" ""), 1, 1))))
&amp;""/""&amp;G407"),"CLQ/2 Primaria")</f>
        <v>CLQ/2 Primaria</v>
      </c>
      <c r="F407" s="77" t="s">
        <v>1827</v>
      </c>
      <c r="G407" s="432" t="s">
        <v>15</v>
      </c>
      <c r="H407" s="433" t="s">
        <v>1771</v>
      </c>
      <c r="I407" s="433" t="s">
        <v>1744</v>
      </c>
      <c r="J407" s="433" t="s">
        <v>2067</v>
      </c>
      <c r="K407" s="433" t="s">
        <v>1658</v>
      </c>
      <c r="L407" s="415"/>
      <c r="M407" s="434" t="s">
        <v>1660</v>
      </c>
      <c r="N407" s="434" t="s">
        <v>1825</v>
      </c>
      <c r="O407" s="434" t="s">
        <v>1826</v>
      </c>
      <c r="P407" s="434" t="s">
        <v>1825</v>
      </c>
      <c r="Q407" s="434" t="s">
        <v>1825</v>
      </c>
      <c r="R407" s="434" t="s">
        <v>1660</v>
      </c>
      <c r="S407" s="434" t="s">
        <v>1826</v>
      </c>
      <c r="T407" s="434" t="s">
        <v>1660</v>
      </c>
      <c r="U407" s="434" t="s">
        <v>1660</v>
      </c>
      <c r="V407" s="434" t="s">
        <v>1825</v>
      </c>
      <c r="W407" s="434" t="s">
        <v>1660</v>
      </c>
      <c r="X407" s="434" t="s">
        <v>1825</v>
      </c>
      <c r="Y407" s="434" t="s">
        <v>1660</v>
      </c>
      <c r="Z407" s="434" t="s">
        <v>1660</v>
      </c>
      <c r="AA407" s="434" t="s">
        <v>1660</v>
      </c>
      <c r="AB407" s="434" t="s">
        <v>1825</v>
      </c>
      <c r="AC407" s="434" t="s">
        <v>1660</v>
      </c>
      <c r="AD407" s="434" t="s">
        <v>1825</v>
      </c>
      <c r="AE407" s="434" t="s">
        <v>1826</v>
      </c>
      <c r="AF407" s="434" t="s">
        <v>1825</v>
      </c>
      <c r="AG407" s="427">
        <v>11.0</v>
      </c>
      <c r="AH407" s="435" t="s">
        <v>24</v>
      </c>
      <c r="AI407" s="415"/>
      <c r="AJ407" s="436" t="str">
        <f t="array" ref="AJ407">IF(M407=DGET(claves!$A$2:$AS423,M$2,{claves!$A$2;$E407}),1,0)</f>
        <v>#VALUE!</v>
      </c>
      <c r="AK407" s="436" t="str">
        <f t="array" ref="AK407">IF(N407=DGET(claves!$A$2:$AS423,N$2,{claves!$A$2;$E407}),1,0)</f>
        <v>#VALUE!</v>
      </c>
      <c r="AL407" s="436" t="str">
        <f t="array" ref="AL407">IF(O407=DGET(claves!$A$2:$AS423,O$2,{claves!$A$2;$E407}),1,0)</f>
        <v>#VALUE!</v>
      </c>
      <c r="AM407" s="436" t="str">
        <f t="array" ref="AM407">IF(P407=DGET(claves!$A$2:$AS423,P$2,{claves!$A$2;$E407}),1,0)</f>
        <v>#VALUE!</v>
      </c>
      <c r="AN407" s="436" t="str">
        <f t="array" ref="AN407">IF(Q407=DGET(claves!$A$2:$AS423,Q$2,{claves!$A$2;$E407}),1,0)</f>
        <v>#VALUE!</v>
      </c>
      <c r="AO407" s="436" t="str">
        <f t="array" ref="AO407">IF(R407=DGET(claves!$A$2:$AS423,R$2,{claves!$A$2;$E407}),1,0)</f>
        <v>#VALUE!</v>
      </c>
      <c r="AP407" s="436" t="str">
        <f t="array" ref="AP407">IF(S407=DGET(claves!$A$2:$AS423,S$2,{claves!$A$2;$E407}),1,0)</f>
        <v>#VALUE!</v>
      </c>
      <c r="AQ407" s="436" t="str">
        <f t="array" ref="AQ407">IF(T407=DGET(claves!$A$2:$AS423,T$2,{claves!$A$2;$E407}),1,0)</f>
        <v>#VALUE!</v>
      </c>
      <c r="AR407" s="436" t="str">
        <f t="array" ref="AR407">IF(U407=DGET(claves!$A$2:$AS423,U$2,{claves!$A$2;$E407}),1,0)</f>
        <v>#VALUE!</v>
      </c>
      <c r="AS407" s="436" t="str">
        <f t="array" ref="AS407">IF(V407=DGET(claves!$A$2:$AS423,V$2,{claves!$A$2;$E407}),1,0)</f>
        <v>#VALUE!</v>
      </c>
      <c r="AT407" s="436" t="str">
        <f t="array" ref="AT407">IF(W407=DGET(claves!$A$2:$AS423,W$2,{claves!$A$2;$E407}),1,0)</f>
        <v>#VALUE!</v>
      </c>
      <c r="AU407" s="436" t="str">
        <f t="array" ref="AU407">IF(X407=DGET(claves!$A$2:$AS423,X$2,{claves!$A$2;$E407}),1,0)</f>
        <v>#VALUE!</v>
      </c>
      <c r="AV407" s="436" t="str">
        <f t="array" ref="AV407">IF(Y407=DGET(claves!$A$2:$AS423,Y$2,{claves!$A$2;$E407}),1,0)</f>
        <v>#VALUE!</v>
      </c>
      <c r="AW407" s="436" t="str">
        <f t="array" ref="AW407">IF(Z407=DGET(claves!$A$2:$AS423,Z$2,{claves!$A$2;$E407}),1,0)</f>
        <v>#VALUE!</v>
      </c>
      <c r="AX407" s="436" t="str">
        <f t="array" ref="AX407">IF(AA407=DGET(claves!$A$2:$AS423,AA$2,{claves!$A$2;$E407}),1,0)</f>
        <v>#VALUE!</v>
      </c>
      <c r="AY407" s="436" t="str">
        <f t="array" ref="AY407">IF(AB407=DGET(claves!$A$2:$AS423,AB$2,{claves!$A$2;$E407}),1,0)</f>
        <v>#VALUE!</v>
      </c>
      <c r="AZ407" s="436" t="str">
        <f t="array" ref="AZ407">IF(AC407=DGET(claves!$A$2:$AS423,AC$2,{claves!$A$2;$E407}),1,0)</f>
        <v>#VALUE!</v>
      </c>
      <c r="BA407" s="436" t="str">
        <f t="array" ref="BA407">IF(AD407=DGET(claves!$A$2:$AS423,AD$2,{claves!$A$2;$E407}),1,0)</f>
        <v>#VALUE!</v>
      </c>
      <c r="BB407" s="436" t="str">
        <f t="array" ref="BB407">IF(AE407=DGET(claves!$A$2:$AS423,AE$2,{claves!$A$2;$E407}),1,0)</f>
        <v>#VALUE!</v>
      </c>
      <c r="BC407" s="436" t="str">
        <f t="array" ref="BC407">IF(AF407=DGET(claves!$A$2:$AS423,AF$2,{claves!$A$2;$E407}),1,0)</f>
        <v>#VALUE!</v>
      </c>
      <c r="BD407" s="437" t="str">
        <f t="shared" si="1"/>
        <v>#VALUE!</v>
      </c>
      <c r="BE407" s="435"/>
      <c r="BF407" s="415"/>
    </row>
    <row r="408" ht="14.25" customHeight="1">
      <c r="A408" s="408">
        <v>406.0</v>
      </c>
      <c r="B408" s="153" t="s">
        <v>2066</v>
      </c>
      <c r="C408" s="153">
        <v>2024.0</v>
      </c>
      <c r="D408" s="77" t="s">
        <v>362</v>
      </c>
      <c r="E408" s="409" t="str">
        <f>IFERROR(__xludf.DUMMYFUNCTION("ARRAYFORMULA(JOIN("""", ARRAYFORMULA(MID(SPLIT(F408, "" ""), 1, 1))))
&amp;""/""&amp;G408"),"MQ/2 Primaria")</f>
        <v>MQ/2 Primaria</v>
      </c>
      <c r="F408" s="77" t="s">
        <v>1823</v>
      </c>
      <c r="G408" s="432" t="s">
        <v>15</v>
      </c>
      <c r="H408" s="433" t="s">
        <v>1744</v>
      </c>
      <c r="I408" s="433" t="s">
        <v>1744</v>
      </c>
      <c r="J408" s="433" t="s">
        <v>2068</v>
      </c>
      <c r="K408" s="433" t="s">
        <v>1658</v>
      </c>
      <c r="L408" s="415"/>
      <c r="M408" s="434" t="s">
        <v>1825</v>
      </c>
      <c r="N408" s="434" t="s">
        <v>1825</v>
      </c>
      <c r="O408" s="434" t="s">
        <v>1660</v>
      </c>
      <c r="P408" s="434" t="s">
        <v>1826</v>
      </c>
      <c r="Q408" s="434" t="s">
        <v>1826</v>
      </c>
      <c r="R408" s="434" t="s">
        <v>1825</v>
      </c>
      <c r="S408" s="434" t="s">
        <v>1660</v>
      </c>
      <c r="T408" s="434" t="s">
        <v>1825</v>
      </c>
      <c r="U408" s="434" t="s">
        <v>1826</v>
      </c>
      <c r="V408" s="434" t="s">
        <v>1825</v>
      </c>
      <c r="W408" s="434" t="s">
        <v>1825</v>
      </c>
      <c r="X408" s="434" t="s">
        <v>1826</v>
      </c>
      <c r="Y408" s="434" t="s">
        <v>1825</v>
      </c>
      <c r="Z408" s="434" t="s">
        <v>1825</v>
      </c>
      <c r="AA408" s="434" t="s">
        <v>1826</v>
      </c>
      <c r="AB408" s="434" t="s">
        <v>1825</v>
      </c>
      <c r="AC408" s="434" t="s">
        <v>1826</v>
      </c>
      <c r="AD408" s="434" t="s">
        <v>1660</v>
      </c>
      <c r="AE408" s="434" t="s">
        <v>1660</v>
      </c>
      <c r="AF408" s="434" t="s">
        <v>1825</v>
      </c>
      <c r="AG408" s="427">
        <v>12.0</v>
      </c>
      <c r="AH408" s="435" t="s">
        <v>24</v>
      </c>
      <c r="AI408" s="415"/>
      <c r="AJ408" s="436" t="str">
        <f t="array" ref="AJ408">IF(M408=DGET(claves!$A$2:$AS423,M$2,{claves!$A$2;$E408}),1,0)</f>
        <v>#VALUE!</v>
      </c>
      <c r="AK408" s="436" t="str">
        <f t="array" ref="AK408">IF(N408=DGET(claves!$A$2:$AS423,N$2,{claves!$A$2;$E408}),1,0)</f>
        <v>#VALUE!</v>
      </c>
      <c r="AL408" s="436" t="str">
        <f t="array" ref="AL408">IF(O408=DGET(claves!$A$2:$AS423,O$2,{claves!$A$2;$E408}),1,0)</f>
        <v>#VALUE!</v>
      </c>
      <c r="AM408" s="436" t="str">
        <f t="array" ref="AM408">IF(P408=DGET(claves!$A$2:$AS423,P$2,{claves!$A$2;$E408}),1,0)</f>
        <v>#VALUE!</v>
      </c>
      <c r="AN408" s="436" t="str">
        <f t="array" ref="AN408">IF(Q408=DGET(claves!$A$2:$AS423,Q$2,{claves!$A$2;$E408}),1,0)</f>
        <v>#VALUE!</v>
      </c>
      <c r="AO408" s="436" t="str">
        <f t="array" ref="AO408">IF(R408=DGET(claves!$A$2:$AS423,R$2,{claves!$A$2;$E408}),1,0)</f>
        <v>#VALUE!</v>
      </c>
      <c r="AP408" s="436" t="str">
        <f t="array" ref="AP408">IF(S408=DGET(claves!$A$2:$AS423,S$2,{claves!$A$2;$E408}),1,0)</f>
        <v>#VALUE!</v>
      </c>
      <c r="AQ408" s="436" t="str">
        <f t="array" ref="AQ408">IF(T408=DGET(claves!$A$2:$AS423,T$2,{claves!$A$2;$E408}),1,0)</f>
        <v>#VALUE!</v>
      </c>
      <c r="AR408" s="436" t="str">
        <f t="array" ref="AR408">IF(U408=DGET(claves!$A$2:$AS423,U$2,{claves!$A$2;$E408}),1,0)</f>
        <v>#VALUE!</v>
      </c>
      <c r="AS408" s="436" t="str">
        <f t="array" ref="AS408">IF(V408=DGET(claves!$A$2:$AS423,V$2,{claves!$A$2;$E408}),1,0)</f>
        <v>#VALUE!</v>
      </c>
      <c r="AT408" s="436" t="str">
        <f t="array" ref="AT408">IF(W408=DGET(claves!$A$2:$AS423,W$2,{claves!$A$2;$E408}),1,0)</f>
        <v>#VALUE!</v>
      </c>
      <c r="AU408" s="436" t="str">
        <f t="array" ref="AU408">IF(X408=DGET(claves!$A$2:$AS423,X$2,{claves!$A$2;$E408}),1,0)</f>
        <v>#VALUE!</v>
      </c>
      <c r="AV408" s="436" t="str">
        <f t="array" ref="AV408">IF(Y408=DGET(claves!$A$2:$AS423,Y$2,{claves!$A$2;$E408}),1,0)</f>
        <v>#VALUE!</v>
      </c>
      <c r="AW408" s="436" t="str">
        <f t="array" ref="AW408">IF(Z408=DGET(claves!$A$2:$AS423,Z$2,{claves!$A$2;$E408}),1,0)</f>
        <v>#VALUE!</v>
      </c>
      <c r="AX408" s="436" t="str">
        <f t="array" ref="AX408">IF(AA408=DGET(claves!$A$2:$AS423,AA$2,{claves!$A$2;$E408}),1,0)</f>
        <v>#VALUE!</v>
      </c>
      <c r="AY408" s="436" t="str">
        <f t="array" ref="AY408">IF(AB408=DGET(claves!$A$2:$AS423,AB$2,{claves!$A$2;$E408}),1,0)</f>
        <v>#VALUE!</v>
      </c>
      <c r="AZ408" s="436" t="str">
        <f t="array" ref="AZ408">IF(AC408=DGET(claves!$A$2:$AS423,AC$2,{claves!$A$2;$E408}),1,0)</f>
        <v>#VALUE!</v>
      </c>
      <c r="BA408" s="436" t="str">
        <f t="array" ref="BA408">IF(AD408=DGET(claves!$A$2:$AS423,AD$2,{claves!$A$2;$E408}),1,0)</f>
        <v>#VALUE!</v>
      </c>
      <c r="BB408" s="436" t="str">
        <f t="array" ref="BB408">IF(AE408=DGET(claves!$A$2:$AS423,AE$2,{claves!$A$2;$E408}),1,0)</f>
        <v>#VALUE!</v>
      </c>
      <c r="BC408" s="436" t="str">
        <f t="array" ref="BC408">IF(AF408=DGET(claves!$A$2:$AS423,AF$2,{claves!$A$2;$E408}),1,0)</f>
        <v>#VALUE!</v>
      </c>
      <c r="BD408" s="437" t="str">
        <f t="shared" si="1"/>
        <v>#VALUE!</v>
      </c>
      <c r="BE408" s="435"/>
      <c r="BF408" s="415"/>
    </row>
    <row r="409" ht="14.25" customHeight="1">
      <c r="A409" s="408">
        <v>407.0</v>
      </c>
      <c r="B409" s="153" t="s">
        <v>2066</v>
      </c>
      <c r="C409" s="153">
        <v>2024.0</v>
      </c>
      <c r="D409" s="77" t="s">
        <v>1817</v>
      </c>
      <c r="E409" s="409" t="str">
        <f>IFERROR(__xludf.DUMMYFUNCTION("ARRAYFORMULA(JOIN("""", ARRAYFORMULA(MID(SPLIT(F409, "" ""), 1, 1))))
&amp;""/""&amp;G409"),"CLQ/2 Primaria")</f>
        <v>CLQ/2 Primaria</v>
      </c>
      <c r="F409" s="77" t="s">
        <v>1827</v>
      </c>
      <c r="G409" s="432" t="s">
        <v>15</v>
      </c>
      <c r="H409" s="433" t="s">
        <v>1744</v>
      </c>
      <c r="I409" s="433" t="s">
        <v>1744</v>
      </c>
      <c r="J409" s="433" t="s">
        <v>2068</v>
      </c>
      <c r="K409" s="433" t="s">
        <v>1658</v>
      </c>
      <c r="L409" s="415"/>
      <c r="M409" s="434" t="s">
        <v>1825</v>
      </c>
      <c r="N409" s="434" t="s">
        <v>1660</v>
      </c>
      <c r="O409" s="434" t="s">
        <v>1826</v>
      </c>
      <c r="P409" s="434" t="s">
        <v>1825</v>
      </c>
      <c r="Q409" s="434" t="s">
        <v>1825</v>
      </c>
      <c r="R409" s="434" t="s">
        <v>1825</v>
      </c>
      <c r="S409" s="434" t="s">
        <v>1660</v>
      </c>
      <c r="T409" s="434" t="s">
        <v>1826</v>
      </c>
      <c r="U409" s="434" t="s">
        <v>1826</v>
      </c>
      <c r="V409" s="434" t="s">
        <v>1826</v>
      </c>
      <c r="W409" s="434" t="s">
        <v>1825</v>
      </c>
      <c r="X409" s="434" t="s">
        <v>1660</v>
      </c>
      <c r="Y409" s="434" t="s">
        <v>1826</v>
      </c>
      <c r="Z409" s="434" t="s">
        <v>1825</v>
      </c>
      <c r="AA409" s="434" t="s">
        <v>1660</v>
      </c>
      <c r="AB409" s="434" t="s">
        <v>1825</v>
      </c>
      <c r="AC409" s="434" t="s">
        <v>1826</v>
      </c>
      <c r="AD409" s="434" t="s">
        <v>1660</v>
      </c>
      <c r="AE409" s="434" t="s">
        <v>1826</v>
      </c>
      <c r="AF409" s="434" t="s">
        <v>1825</v>
      </c>
      <c r="AG409" s="427">
        <v>8.0</v>
      </c>
      <c r="AH409" s="435" t="s">
        <v>18</v>
      </c>
      <c r="AI409" s="415"/>
      <c r="AJ409" s="436" t="str">
        <f t="array" ref="AJ409">IF(M409=DGET(claves!$A$2:$AS423,M$2,{claves!$A$2;$E409}),1,0)</f>
        <v>#VALUE!</v>
      </c>
      <c r="AK409" s="436" t="str">
        <f t="array" ref="AK409">IF(N409=DGET(claves!$A$2:$AS423,N$2,{claves!$A$2;$E409}),1,0)</f>
        <v>#VALUE!</v>
      </c>
      <c r="AL409" s="436" t="str">
        <f t="array" ref="AL409">IF(O409=DGET(claves!$A$2:$AS423,O$2,{claves!$A$2;$E409}),1,0)</f>
        <v>#VALUE!</v>
      </c>
      <c r="AM409" s="436" t="str">
        <f t="array" ref="AM409">IF(P409=DGET(claves!$A$2:$AS423,P$2,{claves!$A$2;$E409}),1,0)</f>
        <v>#VALUE!</v>
      </c>
      <c r="AN409" s="436" t="str">
        <f t="array" ref="AN409">IF(Q409=DGET(claves!$A$2:$AS423,Q$2,{claves!$A$2;$E409}),1,0)</f>
        <v>#VALUE!</v>
      </c>
      <c r="AO409" s="436" t="str">
        <f t="array" ref="AO409">IF(R409=DGET(claves!$A$2:$AS423,R$2,{claves!$A$2;$E409}),1,0)</f>
        <v>#VALUE!</v>
      </c>
      <c r="AP409" s="436" t="str">
        <f t="array" ref="AP409">IF(S409=DGET(claves!$A$2:$AS423,S$2,{claves!$A$2;$E409}),1,0)</f>
        <v>#VALUE!</v>
      </c>
      <c r="AQ409" s="436" t="str">
        <f t="array" ref="AQ409">IF(T409=DGET(claves!$A$2:$AS423,T$2,{claves!$A$2;$E409}),1,0)</f>
        <v>#VALUE!</v>
      </c>
      <c r="AR409" s="436" t="str">
        <f t="array" ref="AR409">IF(U409=DGET(claves!$A$2:$AS423,U$2,{claves!$A$2;$E409}),1,0)</f>
        <v>#VALUE!</v>
      </c>
      <c r="AS409" s="436" t="str">
        <f t="array" ref="AS409">IF(V409=DGET(claves!$A$2:$AS423,V$2,{claves!$A$2;$E409}),1,0)</f>
        <v>#VALUE!</v>
      </c>
      <c r="AT409" s="436" t="str">
        <f t="array" ref="AT409">IF(W409=DGET(claves!$A$2:$AS423,W$2,{claves!$A$2;$E409}),1,0)</f>
        <v>#VALUE!</v>
      </c>
      <c r="AU409" s="436" t="str">
        <f t="array" ref="AU409">IF(X409=DGET(claves!$A$2:$AS423,X$2,{claves!$A$2;$E409}),1,0)</f>
        <v>#VALUE!</v>
      </c>
      <c r="AV409" s="436" t="str">
        <f t="array" ref="AV409">IF(Y409=DGET(claves!$A$2:$AS423,Y$2,{claves!$A$2;$E409}),1,0)</f>
        <v>#VALUE!</v>
      </c>
      <c r="AW409" s="436" t="str">
        <f t="array" ref="AW409">IF(Z409=DGET(claves!$A$2:$AS423,Z$2,{claves!$A$2;$E409}),1,0)</f>
        <v>#VALUE!</v>
      </c>
      <c r="AX409" s="436" t="str">
        <f t="array" ref="AX409">IF(AA409=DGET(claves!$A$2:$AS423,AA$2,{claves!$A$2;$E409}),1,0)</f>
        <v>#VALUE!</v>
      </c>
      <c r="AY409" s="436" t="str">
        <f t="array" ref="AY409">IF(AB409=DGET(claves!$A$2:$AS423,AB$2,{claves!$A$2;$E409}),1,0)</f>
        <v>#VALUE!</v>
      </c>
      <c r="AZ409" s="436" t="str">
        <f t="array" ref="AZ409">IF(AC409=DGET(claves!$A$2:$AS423,AC$2,{claves!$A$2;$E409}),1,0)</f>
        <v>#VALUE!</v>
      </c>
      <c r="BA409" s="436" t="str">
        <f t="array" ref="BA409">IF(AD409=DGET(claves!$A$2:$AS423,AD$2,{claves!$A$2;$E409}),1,0)</f>
        <v>#VALUE!</v>
      </c>
      <c r="BB409" s="436" t="str">
        <f t="array" ref="BB409">IF(AE409=DGET(claves!$A$2:$AS423,AE$2,{claves!$A$2;$E409}),1,0)</f>
        <v>#VALUE!</v>
      </c>
      <c r="BC409" s="436" t="str">
        <f t="array" ref="BC409">IF(AF409=DGET(claves!$A$2:$AS423,AF$2,{claves!$A$2;$E409}),1,0)</f>
        <v>#VALUE!</v>
      </c>
      <c r="BD409" s="437" t="str">
        <f t="shared" si="1"/>
        <v>#VALUE!</v>
      </c>
      <c r="BE409" s="435"/>
      <c r="BF409" s="415"/>
    </row>
    <row r="410" ht="14.25" customHeight="1">
      <c r="A410" s="408">
        <v>408.0</v>
      </c>
      <c r="B410" s="153" t="s">
        <v>2066</v>
      </c>
      <c r="C410" s="153">
        <v>2024.0</v>
      </c>
      <c r="D410" s="77" t="s">
        <v>362</v>
      </c>
      <c r="E410" s="409" t="str">
        <f>IFERROR(__xludf.DUMMYFUNCTION("ARRAYFORMULA(JOIN("""", ARRAYFORMULA(MID(SPLIT(F410, "" ""), 1, 1))))
&amp;""/""&amp;G410"),"MQ/2 Primaria")</f>
        <v>MQ/2 Primaria</v>
      </c>
      <c r="F410" s="77" t="s">
        <v>1823</v>
      </c>
      <c r="G410" s="432" t="s">
        <v>15</v>
      </c>
      <c r="H410" s="433" t="s">
        <v>2069</v>
      </c>
      <c r="I410" s="433" t="s">
        <v>1719</v>
      </c>
      <c r="J410" s="433" t="s">
        <v>2070</v>
      </c>
      <c r="K410" s="432" t="s">
        <v>1665</v>
      </c>
      <c r="L410" s="415"/>
      <c r="M410" s="434" t="s">
        <v>1825</v>
      </c>
      <c r="N410" s="434" t="s">
        <v>1660</v>
      </c>
      <c r="O410" s="434" t="s">
        <v>1660</v>
      </c>
      <c r="P410" s="434" t="s">
        <v>1826</v>
      </c>
      <c r="Q410" s="434" t="s">
        <v>1826</v>
      </c>
      <c r="R410" s="434" t="s">
        <v>1826</v>
      </c>
      <c r="S410" s="434" t="s">
        <v>1826</v>
      </c>
      <c r="T410" s="434" t="s">
        <v>1825</v>
      </c>
      <c r="U410" s="434" t="s">
        <v>1826</v>
      </c>
      <c r="V410" s="434" t="s">
        <v>1826</v>
      </c>
      <c r="W410" s="434" t="s">
        <v>1825</v>
      </c>
      <c r="X410" s="434" t="s">
        <v>1826</v>
      </c>
      <c r="Y410" s="434" t="s">
        <v>1825</v>
      </c>
      <c r="Z410" s="434" t="s">
        <v>1825</v>
      </c>
      <c r="AA410" s="434" t="s">
        <v>1826</v>
      </c>
      <c r="AB410" s="434" t="s">
        <v>1660</v>
      </c>
      <c r="AC410" s="434" t="s">
        <v>1660</v>
      </c>
      <c r="AD410" s="434" t="s">
        <v>1825</v>
      </c>
      <c r="AE410" s="434" t="s">
        <v>1826</v>
      </c>
      <c r="AF410" s="434" t="s">
        <v>1825</v>
      </c>
      <c r="AG410" s="427">
        <v>13.0</v>
      </c>
      <c r="AH410" s="435" t="s">
        <v>24</v>
      </c>
      <c r="AI410" s="415"/>
      <c r="AJ410" s="436" t="str">
        <f t="array" ref="AJ410">IF(M410=DGET(claves!$A$2:$AS423,M$2,{claves!$A$2;$E410}),1,0)</f>
        <v>#VALUE!</v>
      </c>
      <c r="AK410" s="436" t="str">
        <f t="array" ref="AK410">IF(N410=DGET(claves!$A$2:$AS423,N$2,{claves!$A$2;$E410}),1,0)</f>
        <v>#VALUE!</v>
      </c>
      <c r="AL410" s="436" t="str">
        <f t="array" ref="AL410">IF(O410=DGET(claves!$A$2:$AS423,O$2,{claves!$A$2;$E410}),1,0)</f>
        <v>#VALUE!</v>
      </c>
      <c r="AM410" s="436" t="str">
        <f t="array" ref="AM410">IF(P410=DGET(claves!$A$2:$AS423,P$2,{claves!$A$2;$E410}),1,0)</f>
        <v>#VALUE!</v>
      </c>
      <c r="AN410" s="436" t="str">
        <f t="array" ref="AN410">IF(Q410=DGET(claves!$A$2:$AS423,Q$2,{claves!$A$2;$E410}),1,0)</f>
        <v>#VALUE!</v>
      </c>
      <c r="AO410" s="436" t="str">
        <f t="array" ref="AO410">IF(R410=DGET(claves!$A$2:$AS423,R$2,{claves!$A$2;$E410}),1,0)</f>
        <v>#VALUE!</v>
      </c>
      <c r="AP410" s="436" t="str">
        <f t="array" ref="AP410">IF(S410=DGET(claves!$A$2:$AS423,S$2,{claves!$A$2;$E410}),1,0)</f>
        <v>#VALUE!</v>
      </c>
      <c r="AQ410" s="436" t="str">
        <f t="array" ref="AQ410">IF(T410=DGET(claves!$A$2:$AS423,T$2,{claves!$A$2;$E410}),1,0)</f>
        <v>#VALUE!</v>
      </c>
      <c r="AR410" s="436" t="str">
        <f t="array" ref="AR410">IF(U410=DGET(claves!$A$2:$AS423,U$2,{claves!$A$2;$E410}),1,0)</f>
        <v>#VALUE!</v>
      </c>
      <c r="AS410" s="436" t="str">
        <f t="array" ref="AS410">IF(V410=DGET(claves!$A$2:$AS423,V$2,{claves!$A$2;$E410}),1,0)</f>
        <v>#VALUE!</v>
      </c>
      <c r="AT410" s="436" t="str">
        <f t="array" ref="AT410">IF(W410=DGET(claves!$A$2:$AS423,W$2,{claves!$A$2;$E410}),1,0)</f>
        <v>#VALUE!</v>
      </c>
      <c r="AU410" s="436" t="str">
        <f t="array" ref="AU410">IF(X410=DGET(claves!$A$2:$AS423,X$2,{claves!$A$2;$E410}),1,0)</f>
        <v>#VALUE!</v>
      </c>
      <c r="AV410" s="436" t="str">
        <f t="array" ref="AV410">IF(Y410=DGET(claves!$A$2:$AS423,Y$2,{claves!$A$2;$E410}),1,0)</f>
        <v>#VALUE!</v>
      </c>
      <c r="AW410" s="436" t="str">
        <f t="array" ref="AW410">IF(Z410=DGET(claves!$A$2:$AS423,Z$2,{claves!$A$2;$E410}),1,0)</f>
        <v>#VALUE!</v>
      </c>
      <c r="AX410" s="436" t="str">
        <f t="array" ref="AX410">IF(AA410=DGET(claves!$A$2:$AS423,AA$2,{claves!$A$2;$E410}),1,0)</f>
        <v>#VALUE!</v>
      </c>
      <c r="AY410" s="436" t="str">
        <f t="array" ref="AY410">IF(AB410=DGET(claves!$A$2:$AS423,AB$2,{claves!$A$2;$E410}),1,0)</f>
        <v>#VALUE!</v>
      </c>
      <c r="AZ410" s="436" t="str">
        <f t="array" ref="AZ410">IF(AC410=DGET(claves!$A$2:$AS423,AC$2,{claves!$A$2;$E410}),1,0)</f>
        <v>#VALUE!</v>
      </c>
      <c r="BA410" s="436" t="str">
        <f t="array" ref="BA410">IF(AD410=DGET(claves!$A$2:$AS423,AD$2,{claves!$A$2;$E410}),1,0)</f>
        <v>#VALUE!</v>
      </c>
      <c r="BB410" s="436" t="str">
        <f t="array" ref="BB410">IF(AE410=DGET(claves!$A$2:$AS423,AE$2,{claves!$A$2;$E410}),1,0)</f>
        <v>#VALUE!</v>
      </c>
      <c r="BC410" s="436" t="str">
        <f t="array" ref="BC410">IF(AF410=DGET(claves!$A$2:$AS423,AF$2,{claves!$A$2;$E410}),1,0)</f>
        <v>#VALUE!</v>
      </c>
      <c r="BD410" s="437" t="str">
        <f t="shared" si="1"/>
        <v>#VALUE!</v>
      </c>
      <c r="BE410" s="435"/>
      <c r="BF410" s="415"/>
    </row>
    <row r="411" ht="14.25" customHeight="1">
      <c r="A411" s="408">
        <v>409.0</v>
      </c>
      <c r="B411" s="153" t="s">
        <v>2066</v>
      </c>
      <c r="C411" s="153">
        <v>2024.0</v>
      </c>
      <c r="D411" s="77" t="s">
        <v>1817</v>
      </c>
      <c r="E411" s="409" t="str">
        <f>IFERROR(__xludf.DUMMYFUNCTION("ARRAYFORMULA(JOIN("""", ARRAYFORMULA(MID(SPLIT(F411, "" ""), 1, 1))))
&amp;""/""&amp;G411"),"CLQ/2 Primaria")</f>
        <v>CLQ/2 Primaria</v>
      </c>
      <c r="F411" s="77" t="s">
        <v>1827</v>
      </c>
      <c r="G411" s="432" t="s">
        <v>15</v>
      </c>
      <c r="H411" s="433" t="s">
        <v>2069</v>
      </c>
      <c r="I411" s="433" t="s">
        <v>1719</v>
      </c>
      <c r="J411" s="433" t="s">
        <v>2070</v>
      </c>
      <c r="K411" s="432" t="s">
        <v>1665</v>
      </c>
      <c r="L411" s="415"/>
      <c r="M411" s="434" t="s">
        <v>1660</v>
      </c>
      <c r="N411" s="434" t="s">
        <v>1660</v>
      </c>
      <c r="O411" s="434" t="s">
        <v>1826</v>
      </c>
      <c r="P411" s="434" t="s">
        <v>1660</v>
      </c>
      <c r="Q411" s="434" t="s">
        <v>1825</v>
      </c>
      <c r="R411" s="434" t="s">
        <v>1660</v>
      </c>
      <c r="S411" s="434" t="s">
        <v>1825</v>
      </c>
      <c r="T411" s="434" t="s">
        <v>1825</v>
      </c>
      <c r="U411" s="434" t="s">
        <v>1825</v>
      </c>
      <c r="V411" s="434" t="s">
        <v>1660</v>
      </c>
      <c r="W411" s="434" t="s">
        <v>1825</v>
      </c>
      <c r="X411" s="434" t="s">
        <v>1826</v>
      </c>
      <c r="Y411" s="434" t="s">
        <v>1825</v>
      </c>
      <c r="Z411" s="434" t="s">
        <v>1825</v>
      </c>
      <c r="AA411" s="434" t="s">
        <v>1826</v>
      </c>
      <c r="AB411" s="434" t="s">
        <v>1826</v>
      </c>
      <c r="AC411" s="434" t="s">
        <v>1826</v>
      </c>
      <c r="AD411" s="434" t="s">
        <v>1660</v>
      </c>
      <c r="AE411" s="434" t="s">
        <v>1826</v>
      </c>
      <c r="AF411" s="434" t="s">
        <v>1825</v>
      </c>
      <c r="AG411" s="427">
        <v>8.0</v>
      </c>
      <c r="AH411" s="435" t="s">
        <v>18</v>
      </c>
      <c r="AI411" s="415"/>
      <c r="AJ411" s="436" t="str">
        <f t="array" ref="AJ411">IF(M411=DGET(claves!$A$2:$AS423,M$2,{claves!$A$2;$E411}),1,0)</f>
        <v>#VALUE!</v>
      </c>
      <c r="AK411" s="436" t="str">
        <f t="array" ref="AK411">IF(N411=DGET(claves!$A$2:$AS423,N$2,{claves!$A$2;$E411}),1,0)</f>
        <v>#VALUE!</v>
      </c>
      <c r="AL411" s="436" t="str">
        <f t="array" ref="AL411">IF(O411=DGET(claves!$A$2:$AS423,O$2,{claves!$A$2;$E411}),1,0)</f>
        <v>#VALUE!</v>
      </c>
      <c r="AM411" s="436" t="str">
        <f t="array" ref="AM411">IF(P411=DGET(claves!$A$2:$AS423,P$2,{claves!$A$2;$E411}),1,0)</f>
        <v>#VALUE!</v>
      </c>
      <c r="AN411" s="436" t="str">
        <f t="array" ref="AN411">IF(Q411=DGET(claves!$A$2:$AS423,Q$2,{claves!$A$2;$E411}),1,0)</f>
        <v>#VALUE!</v>
      </c>
      <c r="AO411" s="436" t="str">
        <f t="array" ref="AO411">IF(R411=DGET(claves!$A$2:$AS423,R$2,{claves!$A$2;$E411}),1,0)</f>
        <v>#VALUE!</v>
      </c>
      <c r="AP411" s="436" t="str">
        <f t="array" ref="AP411">IF(S411=DGET(claves!$A$2:$AS423,S$2,{claves!$A$2;$E411}),1,0)</f>
        <v>#VALUE!</v>
      </c>
      <c r="AQ411" s="436" t="str">
        <f t="array" ref="AQ411">IF(T411=DGET(claves!$A$2:$AS423,T$2,{claves!$A$2;$E411}),1,0)</f>
        <v>#VALUE!</v>
      </c>
      <c r="AR411" s="436" t="str">
        <f t="array" ref="AR411">IF(U411=DGET(claves!$A$2:$AS423,U$2,{claves!$A$2;$E411}),1,0)</f>
        <v>#VALUE!</v>
      </c>
      <c r="AS411" s="436" t="str">
        <f t="array" ref="AS411">IF(V411=DGET(claves!$A$2:$AS423,V$2,{claves!$A$2;$E411}),1,0)</f>
        <v>#VALUE!</v>
      </c>
      <c r="AT411" s="436" t="str">
        <f t="array" ref="AT411">IF(W411=DGET(claves!$A$2:$AS423,W$2,{claves!$A$2;$E411}),1,0)</f>
        <v>#VALUE!</v>
      </c>
      <c r="AU411" s="436" t="str">
        <f t="array" ref="AU411">IF(X411=DGET(claves!$A$2:$AS423,X$2,{claves!$A$2;$E411}),1,0)</f>
        <v>#VALUE!</v>
      </c>
      <c r="AV411" s="436" t="str">
        <f t="array" ref="AV411">IF(Y411=DGET(claves!$A$2:$AS423,Y$2,{claves!$A$2;$E411}),1,0)</f>
        <v>#VALUE!</v>
      </c>
      <c r="AW411" s="436" t="str">
        <f t="array" ref="AW411">IF(Z411=DGET(claves!$A$2:$AS423,Z$2,{claves!$A$2;$E411}),1,0)</f>
        <v>#VALUE!</v>
      </c>
      <c r="AX411" s="436" t="str">
        <f t="array" ref="AX411">IF(AA411=DGET(claves!$A$2:$AS423,AA$2,{claves!$A$2;$E411}),1,0)</f>
        <v>#VALUE!</v>
      </c>
      <c r="AY411" s="436" t="str">
        <f t="array" ref="AY411">IF(AB411=DGET(claves!$A$2:$AS423,AB$2,{claves!$A$2;$E411}),1,0)</f>
        <v>#VALUE!</v>
      </c>
      <c r="AZ411" s="436" t="str">
        <f t="array" ref="AZ411">IF(AC411=DGET(claves!$A$2:$AS423,AC$2,{claves!$A$2;$E411}),1,0)</f>
        <v>#VALUE!</v>
      </c>
      <c r="BA411" s="436" t="str">
        <f t="array" ref="BA411">IF(AD411=DGET(claves!$A$2:$AS423,AD$2,{claves!$A$2;$E411}),1,0)</f>
        <v>#VALUE!</v>
      </c>
      <c r="BB411" s="436" t="str">
        <f t="array" ref="BB411">IF(AE411=DGET(claves!$A$2:$AS423,AE$2,{claves!$A$2;$E411}),1,0)</f>
        <v>#VALUE!</v>
      </c>
      <c r="BC411" s="436" t="str">
        <f t="array" ref="BC411">IF(AF411=DGET(claves!$A$2:$AS423,AF$2,{claves!$A$2;$E411}),1,0)</f>
        <v>#VALUE!</v>
      </c>
      <c r="BD411" s="437" t="str">
        <f t="shared" si="1"/>
        <v>#VALUE!</v>
      </c>
      <c r="BE411" s="435"/>
      <c r="BF411" s="415"/>
    </row>
    <row r="412" ht="14.25" customHeight="1">
      <c r="A412" s="408">
        <v>410.0</v>
      </c>
      <c r="B412" s="153" t="s">
        <v>2066</v>
      </c>
      <c r="C412" s="153">
        <v>2024.0</v>
      </c>
      <c r="D412" s="77" t="s">
        <v>362</v>
      </c>
      <c r="E412" s="409" t="str">
        <f>IFERROR(__xludf.DUMMYFUNCTION("ARRAYFORMULA(JOIN("""", ARRAYFORMULA(MID(SPLIT(F412, "" ""), 1, 1))))
&amp;""/""&amp;G412"),"MQ/4 Primaria")</f>
        <v>MQ/4 Primaria</v>
      </c>
      <c r="F412" s="77" t="s">
        <v>1823</v>
      </c>
      <c r="G412" s="432" t="s">
        <v>20</v>
      </c>
      <c r="H412" s="433" t="s">
        <v>2071</v>
      </c>
      <c r="I412" s="433" t="s">
        <v>1837</v>
      </c>
      <c r="J412" s="433" t="s">
        <v>2072</v>
      </c>
      <c r="K412" s="433" t="s">
        <v>1658</v>
      </c>
      <c r="L412" s="415"/>
      <c r="M412" s="434" t="s">
        <v>1689</v>
      </c>
      <c r="N412" s="434" t="s">
        <v>1689</v>
      </c>
      <c r="O412" s="434" t="s">
        <v>1689</v>
      </c>
      <c r="P412" s="434" t="s">
        <v>1689</v>
      </c>
      <c r="Q412" s="434" t="s">
        <v>1689</v>
      </c>
      <c r="R412" s="434" t="s">
        <v>1661</v>
      </c>
      <c r="S412" s="434" t="s">
        <v>1659</v>
      </c>
      <c r="T412" s="434" t="s">
        <v>1661</v>
      </c>
      <c r="U412" s="434" t="s">
        <v>1660</v>
      </c>
      <c r="V412" s="434" t="s">
        <v>1659</v>
      </c>
      <c r="W412" s="434" t="s">
        <v>1659</v>
      </c>
      <c r="X412" s="434" t="s">
        <v>1659</v>
      </c>
      <c r="Y412" s="434" t="s">
        <v>1660</v>
      </c>
      <c r="Z412" s="434" t="s">
        <v>1660</v>
      </c>
      <c r="AA412" s="434" t="s">
        <v>1689</v>
      </c>
      <c r="AB412" s="434" t="s">
        <v>1689</v>
      </c>
      <c r="AC412" s="434" t="s">
        <v>1660</v>
      </c>
      <c r="AD412" s="434" t="s">
        <v>1689</v>
      </c>
      <c r="AE412" s="434" t="s">
        <v>1659</v>
      </c>
      <c r="AF412" s="434" t="s">
        <v>1661</v>
      </c>
      <c r="AG412" s="427">
        <v>8.0</v>
      </c>
      <c r="AH412" s="435" t="s">
        <v>18</v>
      </c>
      <c r="AI412" s="415"/>
      <c r="AJ412" s="436" t="str">
        <f t="array" ref="AJ412">IF(M412=DGET(claves!$A$2:$AS423,M$2,{claves!$A$2;$E412}),1,0)</f>
        <v>#VALUE!</v>
      </c>
      <c r="AK412" s="436" t="str">
        <f t="array" ref="AK412">IF(N412=DGET(claves!$A$2:$AS423,N$2,{claves!$A$2;$E412}),1,0)</f>
        <v>#VALUE!</v>
      </c>
      <c r="AL412" s="436" t="str">
        <f t="array" ref="AL412">IF(O412=DGET(claves!$A$2:$AS423,O$2,{claves!$A$2;$E412}),1,0)</f>
        <v>#VALUE!</v>
      </c>
      <c r="AM412" s="436" t="str">
        <f t="array" ref="AM412">IF(P412=DGET(claves!$A$2:$AS423,P$2,{claves!$A$2;$E412}),1,0)</f>
        <v>#VALUE!</v>
      </c>
      <c r="AN412" s="436" t="str">
        <f t="array" ref="AN412">IF(Q412=DGET(claves!$A$2:$AS423,Q$2,{claves!$A$2;$E412}),1,0)</f>
        <v>#VALUE!</v>
      </c>
      <c r="AO412" s="436" t="str">
        <f t="array" ref="AO412">IF(R412=DGET(claves!$A$2:$AS423,R$2,{claves!$A$2;$E412}),1,0)</f>
        <v>#VALUE!</v>
      </c>
      <c r="AP412" s="436" t="str">
        <f t="array" ref="AP412">IF(S412=DGET(claves!$A$2:$AS423,S$2,{claves!$A$2;$E412}),1,0)</f>
        <v>#VALUE!</v>
      </c>
      <c r="AQ412" s="436" t="str">
        <f t="array" ref="AQ412">IF(T412=DGET(claves!$A$2:$AS423,T$2,{claves!$A$2;$E412}),1,0)</f>
        <v>#VALUE!</v>
      </c>
      <c r="AR412" s="436" t="str">
        <f t="array" ref="AR412">IF(U412=DGET(claves!$A$2:$AS423,U$2,{claves!$A$2;$E412}),1,0)</f>
        <v>#VALUE!</v>
      </c>
      <c r="AS412" s="436" t="str">
        <f t="array" ref="AS412">IF(V412=DGET(claves!$A$2:$AS423,V$2,{claves!$A$2;$E412}),1,0)</f>
        <v>#VALUE!</v>
      </c>
      <c r="AT412" s="436" t="str">
        <f t="array" ref="AT412">IF(W412=DGET(claves!$A$2:$AS423,W$2,{claves!$A$2;$E412}),1,0)</f>
        <v>#VALUE!</v>
      </c>
      <c r="AU412" s="436" t="str">
        <f t="array" ref="AU412">IF(X412=DGET(claves!$A$2:$AS423,X$2,{claves!$A$2;$E412}),1,0)</f>
        <v>#VALUE!</v>
      </c>
      <c r="AV412" s="436" t="str">
        <f t="array" ref="AV412">IF(Y412=DGET(claves!$A$2:$AS423,Y$2,{claves!$A$2;$E412}),1,0)</f>
        <v>#VALUE!</v>
      </c>
      <c r="AW412" s="436" t="str">
        <f t="array" ref="AW412">IF(Z412=DGET(claves!$A$2:$AS423,Z$2,{claves!$A$2;$E412}),1,0)</f>
        <v>#VALUE!</v>
      </c>
      <c r="AX412" s="436" t="str">
        <f t="array" ref="AX412">IF(AA412=DGET(claves!$A$2:$AS423,AA$2,{claves!$A$2;$E412}),1,0)</f>
        <v>#VALUE!</v>
      </c>
      <c r="AY412" s="436" t="str">
        <f t="array" ref="AY412">IF(AB412=DGET(claves!$A$2:$AS423,AB$2,{claves!$A$2;$E412}),1,0)</f>
        <v>#VALUE!</v>
      </c>
      <c r="AZ412" s="436" t="str">
        <f t="array" ref="AZ412">IF(AC412=DGET(claves!$A$2:$AS423,AC$2,{claves!$A$2;$E412}),1,0)</f>
        <v>#VALUE!</v>
      </c>
      <c r="BA412" s="436" t="str">
        <f t="array" ref="BA412">IF(AD412=DGET(claves!$A$2:$AS423,AD$2,{claves!$A$2;$E412}),1,0)</f>
        <v>#VALUE!</v>
      </c>
      <c r="BB412" s="436" t="str">
        <f t="array" ref="BB412">IF(AE412=DGET(claves!$A$2:$AS423,AE$2,{claves!$A$2;$E412}),1,0)</f>
        <v>#VALUE!</v>
      </c>
      <c r="BC412" s="436" t="str">
        <f t="array" ref="BC412">IF(AF412=DGET(claves!$A$2:$AS423,AF$2,{claves!$A$2;$E412}),1,0)</f>
        <v>#VALUE!</v>
      </c>
      <c r="BD412" s="437" t="str">
        <f t="shared" si="1"/>
        <v>#VALUE!</v>
      </c>
      <c r="BE412" s="435"/>
      <c r="BF412" s="415"/>
    </row>
    <row r="413" ht="14.25" customHeight="1">
      <c r="A413" s="408">
        <v>411.0</v>
      </c>
      <c r="B413" s="153" t="s">
        <v>2066</v>
      </c>
      <c r="C413" s="153">
        <v>2024.0</v>
      </c>
      <c r="D413" s="77" t="s">
        <v>1817</v>
      </c>
      <c r="E413" s="409" t="str">
        <f>IFERROR(__xludf.DUMMYFUNCTION("ARRAYFORMULA(JOIN("""", ARRAYFORMULA(MID(SPLIT(F413, "" ""), 1, 1))))
&amp;""/""&amp;G413"),"CLQ/4 Primaria")</f>
        <v>CLQ/4 Primaria</v>
      </c>
      <c r="F413" s="77" t="s">
        <v>1827</v>
      </c>
      <c r="G413" s="432" t="s">
        <v>20</v>
      </c>
      <c r="H413" s="433" t="s">
        <v>2071</v>
      </c>
      <c r="I413" s="433" t="s">
        <v>1837</v>
      </c>
      <c r="J413" s="433" t="s">
        <v>2072</v>
      </c>
      <c r="K413" s="433" t="s">
        <v>1658</v>
      </c>
      <c r="L413" s="415"/>
      <c r="M413" s="434" t="s">
        <v>1659</v>
      </c>
      <c r="N413" s="434" t="s">
        <v>1660</v>
      </c>
      <c r="O413" s="434" t="s">
        <v>1660</v>
      </c>
      <c r="P413" s="434" t="s">
        <v>1659</v>
      </c>
      <c r="Q413" s="434" t="s">
        <v>1661</v>
      </c>
      <c r="R413" s="434" t="s">
        <v>1661</v>
      </c>
      <c r="S413" s="434" t="s">
        <v>1660</v>
      </c>
      <c r="T413" s="434" t="s">
        <v>1661</v>
      </c>
      <c r="U413" s="434" t="s">
        <v>1689</v>
      </c>
      <c r="V413" s="434" t="s">
        <v>1661</v>
      </c>
      <c r="W413" s="434" t="s">
        <v>1659</v>
      </c>
      <c r="X413" s="434" t="s">
        <v>1660</v>
      </c>
      <c r="Y413" s="434" t="s">
        <v>1659</v>
      </c>
      <c r="Z413" s="434" t="s">
        <v>1659</v>
      </c>
      <c r="AA413" s="434" t="s">
        <v>1660</v>
      </c>
      <c r="AB413" s="434" t="s">
        <v>1661</v>
      </c>
      <c r="AC413" s="434" t="s">
        <v>1661</v>
      </c>
      <c r="AD413" s="434" t="s">
        <v>1660</v>
      </c>
      <c r="AE413" s="434" t="s">
        <v>1659</v>
      </c>
      <c r="AF413" s="434" t="s">
        <v>1660</v>
      </c>
      <c r="AG413" s="427">
        <v>14.0</v>
      </c>
      <c r="AH413" s="435" t="s">
        <v>24</v>
      </c>
      <c r="AI413" s="415"/>
      <c r="AJ413" s="436" t="str">
        <f t="array" ref="AJ413">IF(M413=DGET(claves!$A$2:$AS423,M$2,{claves!$A$2;$E413}),1,0)</f>
        <v>#VALUE!</v>
      </c>
      <c r="AK413" s="436" t="str">
        <f t="array" ref="AK413">IF(N413=DGET(claves!$A$2:$AS423,N$2,{claves!$A$2;$E413}),1,0)</f>
        <v>#VALUE!</v>
      </c>
      <c r="AL413" s="436" t="str">
        <f t="array" ref="AL413">IF(O413=DGET(claves!$A$2:$AS423,O$2,{claves!$A$2;$E413}),1,0)</f>
        <v>#VALUE!</v>
      </c>
      <c r="AM413" s="436" t="str">
        <f t="array" ref="AM413">IF(P413=DGET(claves!$A$2:$AS423,P$2,{claves!$A$2;$E413}),1,0)</f>
        <v>#VALUE!</v>
      </c>
      <c r="AN413" s="436" t="str">
        <f t="array" ref="AN413">IF(Q413=DGET(claves!$A$2:$AS423,Q$2,{claves!$A$2;$E413}),1,0)</f>
        <v>#VALUE!</v>
      </c>
      <c r="AO413" s="436" t="str">
        <f t="array" ref="AO413">IF(R413=DGET(claves!$A$2:$AS423,R$2,{claves!$A$2;$E413}),1,0)</f>
        <v>#VALUE!</v>
      </c>
      <c r="AP413" s="436" t="str">
        <f t="array" ref="AP413">IF(S413=DGET(claves!$A$2:$AS423,S$2,{claves!$A$2;$E413}),1,0)</f>
        <v>#VALUE!</v>
      </c>
      <c r="AQ413" s="436" t="str">
        <f t="array" ref="AQ413">IF(T413=DGET(claves!$A$2:$AS423,T$2,{claves!$A$2;$E413}),1,0)</f>
        <v>#VALUE!</v>
      </c>
      <c r="AR413" s="436" t="str">
        <f t="array" ref="AR413">IF(U413=DGET(claves!$A$2:$AS423,U$2,{claves!$A$2;$E413}),1,0)</f>
        <v>#VALUE!</v>
      </c>
      <c r="AS413" s="436" t="str">
        <f t="array" ref="AS413">IF(V413=DGET(claves!$A$2:$AS423,V$2,{claves!$A$2;$E413}),1,0)</f>
        <v>#VALUE!</v>
      </c>
      <c r="AT413" s="436" t="str">
        <f t="array" ref="AT413">IF(W413=DGET(claves!$A$2:$AS423,W$2,{claves!$A$2;$E413}),1,0)</f>
        <v>#VALUE!</v>
      </c>
      <c r="AU413" s="436" t="str">
        <f t="array" ref="AU413">IF(X413=DGET(claves!$A$2:$AS423,X$2,{claves!$A$2;$E413}),1,0)</f>
        <v>#VALUE!</v>
      </c>
      <c r="AV413" s="436" t="str">
        <f t="array" ref="AV413">IF(Y413=DGET(claves!$A$2:$AS423,Y$2,{claves!$A$2;$E413}),1,0)</f>
        <v>#VALUE!</v>
      </c>
      <c r="AW413" s="436" t="str">
        <f t="array" ref="AW413">IF(Z413=DGET(claves!$A$2:$AS423,Z$2,{claves!$A$2;$E413}),1,0)</f>
        <v>#VALUE!</v>
      </c>
      <c r="AX413" s="436" t="str">
        <f t="array" ref="AX413">IF(AA413=DGET(claves!$A$2:$AS423,AA$2,{claves!$A$2;$E413}),1,0)</f>
        <v>#VALUE!</v>
      </c>
      <c r="AY413" s="436" t="str">
        <f t="array" ref="AY413">IF(AB413=DGET(claves!$A$2:$AS423,AB$2,{claves!$A$2;$E413}),1,0)</f>
        <v>#VALUE!</v>
      </c>
      <c r="AZ413" s="436" t="str">
        <f t="array" ref="AZ413">IF(AC413=DGET(claves!$A$2:$AS423,AC$2,{claves!$A$2;$E413}),1,0)</f>
        <v>#VALUE!</v>
      </c>
      <c r="BA413" s="436" t="str">
        <f t="array" ref="BA413">IF(AD413=DGET(claves!$A$2:$AS423,AD$2,{claves!$A$2;$E413}),1,0)</f>
        <v>#VALUE!</v>
      </c>
      <c r="BB413" s="436" t="str">
        <f t="array" ref="BB413">IF(AE413=DGET(claves!$A$2:$AS423,AE$2,{claves!$A$2;$E413}),1,0)</f>
        <v>#VALUE!</v>
      </c>
      <c r="BC413" s="436" t="str">
        <f t="array" ref="BC413">IF(AF413=DGET(claves!$A$2:$AS423,AF$2,{claves!$A$2;$E413}),1,0)</f>
        <v>#VALUE!</v>
      </c>
      <c r="BD413" s="437" t="str">
        <f t="shared" si="1"/>
        <v>#VALUE!</v>
      </c>
      <c r="BE413" s="435"/>
      <c r="BF413" s="415"/>
    </row>
    <row r="414" ht="14.25" customHeight="1">
      <c r="A414" s="408">
        <v>412.0</v>
      </c>
      <c r="B414" s="153" t="s">
        <v>2066</v>
      </c>
      <c r="C414" s="153">
        <v>2024.0</v>
      </c>
      <c r="D414" s="77" t="s">
        <v>362</v>
      </c>
      <c r="E414" s="409" t="str">
        <f>IFERROR(__xludf.DUMMYFUNCTION("ARRAYFORMULA(JOIN("""", ARRAYFORMULA(MID(SPLIT(F414, "" ""), 1, 1))))
&amp;""/""&amp;G414"),"MQ/4 Primaria")</f>
        <v>MQ/4 Primaria</v>
      </c>
      <c r="F414" s="77" t="s">
        <v>1823</v>
      </c>
      <c r="G414" s="432" t="s">
        <v>20</v>
      </c>
      <c r="H414" s="433" t="s">
        <v>1790</v>
      </c>
      <c r="I414" s="433" t="s">
        <v>1719</v>
      </c>
      <c r="J414" s="433" t="s">
        <v>2073</v>
      </c>
      <c r="K414" s="433" t="s">
        <v>1658</v>
      </c>
      <c r="L414" s="415"/>
      <c r="M414" s="434" t="s">
        <v>1689</v>
      </c>
      <c r="N414" s="434" t="s">
        <v>1661</v>
      </c>
      <c r="O414" s="434" t="s">
        <v>1689</v>
      </c>
      <c r="P414" s="434" t="s">
        <v>1659</v>
      </c>
      <c r="Q414" s="434" t="s">
        <v>1661</v>
      </c>
      <c r="R414" s="434" t="s">
        <v>1660</v>
      </c>
      <c r="S414" s="434" t="s">
        <v>1659</v>
      </c>
      <c r="T414" s="434" t="s">
        <v>1661</v>
      </c>
      <c r="U414" s="434" t="s">
        <v>1660</v>
      </c>
      <c r="V414" s="434" t="s">
        <v>1659</v>
      </c>
      <c r="W414" s="434" t="s">
        <v>1661</v>
      </c>
      <c r="X414" s="434" t="s">
        <v>1659</v>
      </c>
      <c r="Y414" s="434" t="s">
        <v>1661</v>
      </c>
      <c r="Z414" s="434" t="s">
        <v>1661</v>
      </c>
      <c r="AA414" s="434" t="s">
        <v>1660</v>
      </c>
      <c r="AB414" s="434" t="s">
        <v>1659</v>
      </c>
      <c r="AC414" s="434" t="s">
        <v>1661</v>
      </c>
      <c r="AD414" s="434" t="s">
        <v>1661</v>
      </c>
      <c r="AE414" s="434" t="s">
        <v>1659</v>
      </c>
      <c r="AF414" s="434" t="s">
        <v>1661</v>
      </c>
      <c r="AG414" s="427">
        <v>13.0</v>
      </c>
      <c r="AH414" s="435" t="s">
        <v>24</v>
      </c>
      <c r="AI414" s="415"/>
      <c r="AJ414" s="436" t="str">
        <f t="array" ref="AJ414">IF(M414=DGET(claves!$A$2:$AS423,M$2,{claves!$A$2;$E414}),1,0)</f>
        <v>#VALUE!</v>
      </c>
      <c r="AK414" s="436" t="str">
        <f t="array" ref="AK414">IF(N414=DGET(claves!$A$2:$AS423,N$2,{claves!$A$2;$E414}),1,0)</f>
        <v>#VALUE!</v>
      </c>
      <c r="AL414" s="436" t="str">
        <f t="array" ref="AL414">IF(O414=DGET(claves!$A$2:$AS423,O$2,{claves!$A$2;$E414}),1,0)</f>
        <v>#VALUE!</v>
      </c>
      <c r="AM414" s="436" t="str">
        <f t="array" ref="AM414">IF(P414=DGET(claves!$A$2:$AS423,P$2,{claves!$A$2;$E414}),1,0)</f>
        <v>#VALUE!</v>
      </c>
      <c r="AN414" s="436" t="str">
        <f t="array" ref="AN414">IF(Q414=DGET(claves!$A$2:$AS423,Q$2,{claves!$A$2;$E414}),1,0)</f>
        <v>#VALUE!</v>
      </c>
      <c r="AO414" s="436" t="str">
        <f t="array" ref="AO414">IF(R414=DGET(claves!$A$2:$AS423,R$2,{claves!$A$2;$E414}),1,0)</f>
        <v>#VALUE!</v>
      </c>
      <c r="AP414" s="436" t="str">
        <f t="array" ref="AP414">IF(S414=DGET(claves!$A$2:$AS423,S$2,{claves!$A$2;$E414}),1,0)</f>
        <v>#VALUE!</v>
      </c>
      <c r="AQ414" s="436" t="str">
        <f t="array" ref="AQ414">IF(T414=DGET(claves!$A$2:$AS423,T$2,{claves!$A$2;$E414}),1,0)</f>
        <v>#VALUE!</v>
      </c>
      <c r="AR414" s="436" t="str">
        <f t="array" ref="AR414">IF(U414=DGET(claves!$A$2:$AS423,U$2,{claves!$A$2;$E414}),1,0)</f>
        <v>#VALUE!</v>
      </c>
      <c r="AS414" s="436" t="str">
        <f t="array" ref="AS414">IF(V414=DGET(claves!$A$2:$AS423,V$2,{claves!$A$2;$E414}),1,0)</f>
        <v>#VALUE!</v>
      </c>
      <c r="AT414" s="436" t="str">
        <f t="array" ref="AT414">IF(W414=DGET(claves!$A$2:$AS423,W$2,{claves!$A$2;$E414}),1,0)</f>
        <v>#VALUE!</v>
      </c>
      <c r="AU414" s="436" t="str">
        <f t="array" ref="AU414">IF(X414=DGET(claves!$A$2:$AS423,X$2,{claves!$A$2;$E414}),1,0)</f>
        <v>#VALUE!</v>
      </c>
      <c r="AV414" s="436" t="str">
        <f t="array" ref="AV414">IF(Y414=DGET(claves!$A$2:$AS423,Y$2,{claves!$A$2;$E414}),1,0)</f>
        <v>#VALUE!</v>
      </c>
      <c r="AW414" s="436" t="str">
        <f t="array" ref="AW414">IF(Z414=DGET(claves!$A$2:$AS423,Z$2,{claves!$A$2;$E414}),1,0)</f>
        <v>#VALUE!</v>
      </c>
      <c r="AX414" s="436" t="str">
        <f t="array" ref="AX414">IF(AA414=DGET(claves!$A$2:$AS423,AA$2,{claves!$A$2;$E414}),1,0)</f>
        <v>#VALUE!</v>
      </c>
      <c r="AY414" s="436" t="str">
        <f t="array" ref="AY414">IF(AB414=DGET(claves!$A$2:$AS423,AB$2,{claves!$A$2;$E414}),1,0)</f>
        <v>#VALUE!</v>
      </c>
      <c r="AZ414" s="436" t="str">
        <f t="array" ref="AZ414">IF(AC414=DGET(claves!$A$2:$AS423,AC$2,{claves!$A$2;$E414}),1,0)</f>
        <v>#VALUE!</v>
      </c>
      <c r="BA414" s="436" t="str">
        <f t="array" ref="BA414">IF(AD414=DGET(claves!$A$2:$AS423,AD$2,{claves!$A$2;$E414}),1,0)</f>
        <v>#VALUE!</v>
      </c>
      <c r="BB414" s="436" t="str">
        <f t="array" ref="BB414">IF(AE414=DGET(claves!$A$2:$AS423,AE$2,{claves!$A$2;$E414}),1,0)</f>
        <v>#VALUE!</v>
      </c>
      <c r="BC414" s="436" t="str">
        <f t="array" ref="BC414">IF(AF414=DGET(claves!$A$2:$AS423,AF$2,{claves!$A$2;$E414}),1,0)</f>
        <v>#VALUE!</v>
      </c>
      <c r="BD414" s="437" t="str">
        <f t="shared" si="1"/>
        <v>#VALUE!</v>
      </c>
      <c r="BE414" s="435"/>
      <c r="BF414" s="415"/>
    </row>
    <row r="415" ht="14.25" customHeight="1">
      <c r="A415" s="408">
        <v>413.0</v>
      </c>
      <c r="B415" s="153" t="s">
        <v>2066</v>
      </c>
      <c r="C415" s="153">
        <v>2024.0</v>
      </c>
      <c r="D415" s="77" t="s">
        <v>1817</v>
      </c>
      <c r="E415" s="409" t="str">
        <f>IFERROR(__xludf.DUMMYFUNCTION("ARRAYFORMULA(JOIN("""", ARRAYFORMULA(MID(SPLIT(F415, "" ""), 1, 1))))
&amp;""/""&amp;G415"),"CLQ/4 Primaria")</f>
        <v>CLQ/4 Primaria</v>
      </c>
      <c r="F415" s="77" t="s">
        <v>1827</v>
      </c>
      <c r="G415" s="432" t="s">
        <v>20</v>
      </c>
      <c r="H415" s="433" t="s">
        <v>1790</v>
      </c>
      <c r="I415" s="433" t="s">
        <v>1719</v>
      </c>
      <c r="J415" s="433" t="s">
        <v>2073</v>
      </c>
      <c r="K415" s="433" t="s">
        <v>1658</v>
      </c>
      <c r="L415" s="415"/>
      <c r="M415" s="434" t="s">
        <v>1660</v>
      </c>
      <c r="N415" s="434" t="s">
        <v>1659</v>
      </c>
      <c r="O415" s="434" t="s">
        <v>1661</v>
      </c>
      <c r="P415" s="434" t="s">
        <v>1661</v>
      </c>
      <c r="Q415" s="434" t="s">
        <v>1659</v>
      </c>
      <c r="R415" s="434" t="s">
        <v>1659</v>
      </c>
      <c r="S415" s="434" t="s">
        <v>1661</v>
      </c>
      <c r="T415" s="434" t="s">
        <v>1689</v>
      </c>
      <c r="U415" s="434" t="s">
        <v>1689</v>
      </c>
      <c r="V415" s="434" t="s">
        <v>1661</v>
      </c>
      <c r="W415" s="434" t="s">
        <v>1660</v>
      </c>
      <c r="X415" s="434" t="s">
        <v>1661</v>
      </c>
      <c r="Y415" s="434" t="s">
        <v>1659</v>
      </c>
      <c r="Z415" s="434" t="s">
        <v>1660</v>
      </c>
      <c r="AA415" s="434" t="s">
        <v>1660</v>
      </c>
      <c r="AB415" s="434" t="s">
        <v>1689</v>
      </c>
      <c r="AC415" s="434" t="s">
        <v>1661</v>
      </c>
      <c r="AD415" s="434" t="s">
        <v>1689</v>
      </c>
      <c r="AE415" s="434" t="s">
        <v>1661</v>
      </c>
      <c r="AF415" s="434" t="s">
        <v>1659</v>
      </c>
      <c r="AG415" s="427">
        <v>6.0</v>
      </c>
      <c r="AH415" s="435" t="s">
        <v>18</v>
      </c>
      <c r="AI415" s="415"/>
      <c r="AJ415" s="436" t="str">
        <f t="array" ref="AJ415">IF(M415=DGET(claves!$A$2:$AS423,M$2,{claves!$A$2;$E415}),1,0)</f>
        <v>#VALUE!</v>
      </c>
      <c r="AK415" s="436" t="str">
        <f t="array" ref="AK415">IF(N415=DGET(claves!$A$2:$AS423,N$2,{claves!$A$2;$E415}),1,0)</f>
        <v>#VALUE!</v>
      </c>
      <c r="AL415" s="436" t="str">
        <f t="array" ref="AL415">IF(O415=DGET(claves!$A$2:$AS423,O$2,{claves!$A$2;$E415}),1,0)</f>
        <v>#VALUE!</v>
      </c>
      <c r="AM415" s="436" t="str">
        <f t="array" ref="AM415">IF(P415=DGET(claves!$A$2:$AS423,P$2,{claves!$A$2;$E415}),1,0)</f>
        <v>#VALUE!</v>
      </c>
      <c r="AN415" s="436" t="str">
        <f t="array" ref="AN415">IF(Q415=DGET(claves!$A$2:$AS423,Q$2,{claves!$A$2;$E415}),1,0)</f>
        <v>#VALUE!</v>
      </c>
      <c r="AO415" s="436" t="str">
        <f t="array" ref="AO415">IF(R415=DGET(claves!$A$2:$AS423,R$2,{claves!$A$2;$E415}),1,0)</f>
        <v>#VALUE!</v>
      </c>
      <c r="AP415" s="436" t="str">
        <f t="array" ref="AP415">IF(S415=DGET(claves!$A$2:$AS423,S$2,{claves!$A$2;$E415}),1,0)</f>
        <v>#VALUE!</v>
      </c>
      <c r="AQ415" s="436" t="str">
        <f t="array" ref="AQ415">IF(T415=DGET(claves!$A$2:$AS423,T$2,{claves!$A$2;$E415}),1,0)</f>
        <v>#VALUE!</v>
      </c>
      <c r="AR415" s="436" t="str">
        <f t="array" ref="AR415">IF(U415=DGET(claves!$A$2:$AS423,U$2,{claves!$A$2;$E415}),1,0)</f>
        <v>#VALUE!</v>
      </c>
      <c r="AS415" s="436" t="str">
        <f t="array" ref="AS415">IF(V415=DGET(claves!$A$2:$AS423,V$2,{claves!$A$2;$E415}),1,0)</f>
        <v>#VALUE!</v>
      </c>
      <c r="AT415" s="436" t="str">
        <f t="array" ref="AT415">IF(W415=DGET(claves!$A$2:$AS423,W$2,{claves!$A$2;$E415}),1,0)</f>
        <v>#VALUE!</v>
      </c>
      <c r="AU415" s="436" t="str">
        <f t="array" ref="AU415">IF(X415=DGET(claves!$A$2:$AS423,X$2,{claves!$A$2;$E415}),1,0)</f>
        <v>#VALUE!</v>
      </c>
      <c r="AV415" s="436" t="str">
        <f t="array" ref="AV415">IF(Y415=DGET(claves!$A$2:$AS423,Y$2,{claves!$A$2;$E415}),1,0)</f>
        <v>#VALUE!</v>
      </c>
      <c r="AW415" s="436" t="str">
        <f t="array" ref="AW415">IF(Z415=DGET(claves!$A$2:$AS423,Z$2,{claves!$A$2;$E415}),1,0)</f>
        <v>#VALUE!</v>
      </c>
      <c r="AX415" s="436" t="str">
        <f t="array" ref="AX415">IF(AA415=DGET(claves!$A$2:$AS423,AA$2,{claves!$A$2;$E415}),1,0)</f>
        <v>#VALUE!</v>
      </c>
      <c r="AY415" s="436" t="str">
        <f t="array" ref="AY415">IF(AB415=DGET(claves!$A$2:$AS423,AB$2,{claves!$A$2;$E415}),1,0)</f>
        <v>#VALUE!</v>
      </c>
      <c r="AZ415" s="436" t="str">
        <f t="array" ref="AZ415">IF(AC415=DGET(claves!$A$2:$AS423,AC$2,{claves!$A$2;$E415}),1,0)</f>
        <v>#VALUE!</v>
      </c>
      <c r="BA415" s="436" t="str">
        <f t="array" ref="BA415">IF(AD415=DGET(claves!$A$2:$AS423,AD$2,{claves!$A$2;$E415}),1,0)</f>
        <v>#VALUE!</v>
      </c>
      <c r="BB415" s="436" t="str">
        <f t="array" ref="BB415">IF(AE415=DGET(claves!$A$2:$AS423,AE$2,{claves!$A$2;$E415}),1,0)</f>
        <v>#VALUE!</v>
      </c>
      <c r="BC415" s="436" t="str">
        <f t="array" ref="BC415">IF(AF415=DGET(claves!$A$2:$AS423,AF$2,{claves!$A$2;$E415}),1,0)</f>
        <v>#VALUE!</v>
      </c>
      <c r="BD415" s="437" t="str">
        <f t="shared" si="1"/>
        <v>#VALUE!</v>
      </c>
      <c r="BE415" s="435"/>
      <c r="BF415" s="415"/>
    </row>
    <row r="416" ht="14.25" customHeight="1">
      <c r="A416" s="408">
        <v>414.0</v>
      </c>
      <c r="B416" s="153" t="s">
        <v>2066</v>
      </c>
      <c r="C416" s="153">
        <v>2024.0</v>
      </c>
      <c r="D416" s="77" t="s">
        <v>362</v>
      </c>
      <c r="E416" s="409" t="str">
        <f>IFERROR(__xludf.DUMMYFUNCTION("ARRAYFORMULA(JOIN("""", ARRAYFORMULA(MID(SPLIT(F416, "" ""), 1, 1))))
&amp;""/""&amp;G416"),"MQ/4 Primaria")</f>
        <v>MQ/4 Primaria</v>
      </c>
      <c r="F416" s="77" t="s">
        <v>1823</v>
      </c>
      <c r="G416" s="432" t="s">
        <v>20</v>
      </c>
      <c r="H416" s="433" t="s">
        <v>1888</v>
      </c>
      <c r="I416" s="433" t="s">
        <v>1771</v>
      </c>
      <c r="J416" s="433" t="s">
        <v>2074</v>
      </c>
      <c r="K416" s="432" t="s">
        <v>1665</v>
      </c>
      <c r="L416" s="415"/>
      <c r="M416" s="434" t="s">
        <v>1689</v>
      </c>
      <c r="N416" s="434" t="s">
        <v>1661</v>
      </c>
      <c r="O416" s="434" t="s">
        <v>1689</v>
      </c>
      <c r="P416" s="434" t="s">
        <v>1659</v>
      </c>
      <c r="Q416" s="434" t="s">
        <v>1661</v>
      </c>
      <c r="R416" s="434" t="s">
        <v>1660</v>
      </c>
      <c r="S416" s="434" t="s">
        <v>1659</v>
      </c>
      <c r="T416" s="434" t="s">
        <v>1661</v>
      </c>
      <c r="U416" s="434" t="s">
        <v>1660</v>
      </c>
      <c r="V416" s="434" t="s">
        <v>1660</v>
      </c>
      <c r="W416" s="434" t="s">
        <v>1659</v>
      </c>
      <c r="X416" s="434" t="s">
        <v>1660</v>
      </c>
      <c r="Y416" s="434" t="s">
        <v>1660</v>
      </c>
      <c r="Z416" s="434" t="s">
        <v>1661</v>
      </c>
      <c r="AA416" s="434" t="s">
        <v>1660</v>
      </c>
      <c r="AB416" s="434" t="s">
        <v>1659</v>
      </c>
      <c r="AC416" s="434" t="s">
        <v>1689</v>
      </c>
      <c r="AD416" s="434" t="s">
        <v>1661</v>
      </c>
      <c r="AE416" s="434" t="s">
        <v>1659</v>
      </c>
      <c r="AF416" s="434" t="s">
        <v>1660</v>
      </c>
      <c r="AG416" s="427">
        <v>15.0</v>
      </c>
      <c r="AH416" s="435" t="s">
        <v>24</v>
      </c>
      <c r="AI416" s="415"/>
      <c r="AJ416" s="436" t="str">
        <f t="array" ref="AJ416">IF(M416=DGET(claves!$A$2:$AS423,M$2,{claves!$A$2;$E416}),1,0)</f>
        <v>#VALUE!</v>
      </c>
      <c r="AK416" s="436" t="str">
        <f t="array" ref="AK416">IF(N416=DGET(claves!$A$2:$AS423,N$2,{claves!$A$2;$E416}),1,0)</f>
        <v>#VALUE!</v>
      </c>
      <c r="AL416" s="436" t="str">
        <f t="array" ref="AL416">IF(O416=DGET(claves!$A$2:$AS423,O$2,{claves!$A$2;$E416}),1,0)</f>
        <v>#VALUE!</v>
      </c>
      <c r="AM416" s="436" t="str">
        <f t="array" ref="AM416">IF(P416=DGET(claves!$A$2:$AS423,P$2,{claves!$A$2;$E416}),1,0)</f>
        <v>#VALUE!</v>
      </c>
      <c r="AN416" s="436" t="str">
        <f t="array" ref="AN416">IF(Q416=DGET(claves!$A$2:$AS423,Q$2,{claves!$A$2;$E416}),1,0)</f>
        <v>#VALUE!</v>
      </c>
      <c r="AO416" s="436" t="str">
        <f t="array" ref="AO416">IF(R416=DGET(claves!$A$2:$AS423,R$2,{claves!$A$2;$E416}),1,0)</f>
        <v>#VALUE!</v>
      </c>
      <c r="AP416" s="436" t="str">
        <f t="array" ref="AP416">IF(S416=DGET(claves!$A$2:$AS423,S$2,{claves!$A$2;$E416}),1,0)</f>
        <v>#VALUE!</v>
      </c>
      <c r="AQ416" s="436" t="str">
        <f t="array" ref="AQ416">IF(T416=DGET(claves!$A$2:$AS423,T$2,{claves!$A$2;$E416}),1,0)</f>
        <v>#VALUE!</v>
      </c>
      <c r="AR416" s="436" t="str">
        <f t="array" ref="AR416">IF(U416=DGET(claves!$A$2:$AS423,U$2,{claves!$A$2;$E416}),1,0)</f>
        <v>#VALUE!</v>
      </c>
      <c r="AS416" s="436" t="str">
        <f t="array" ref="AS416">IF(V416=DGET(claves!$A$2:$AS423,V$2,{claves!$A$2;$E416}),1,0)</f>
        <v>#VALUE!</v>
      </c>
      <c r="AT416" s="436" t="str">
        <f t="array" ref="AT416">IF(W416=DGET(claves!$A$2:$AS423,W$2,{claves!$A$2;$E416}),1,0)</f>
        <v>#VALUE!</v>
      </c>
      <c r="AU416" s="436" t="str">
        <f t="array" ref="AU416">IF(X416=DGET(claves!$A$2:$AS423,X$2,{claves!$A$2;$E416}),1,0)</f>
        <v>#VALUE!</v>
      </c>
      <c r="AV416" s="436" t="str">
        <f t="array" ref="AV416">IF(Y416=DGET(claves!$A$2:$AS423,Y$2,{claves!$A$2;$E416}),1,0)</f>
        <v>#VALUE!</v>
      </c>
      <c r="AW416" s="436" t="str">
        <f t="array" ref="AW416">IF(Z416=DGET(claves!$A$2:$AS423,Z$2,{claves!$A$2;$E416}),1,0)</f>
        <v>#VALUE!</v>
      </c>
      <c r="AX416" s="436" t="str">
        <f t="array" ref="AX416">IF(AA416=DGET(claves!$A$2:$AS423,AA$2,{claves!$A$2;$E416}),1,0)</f>
        <v>#VALUE!</v>
      </c>
      <c r="AY416" s="436" t="str">
        <f t="array" ref="AY416">IF(AB416=DGET(claves!$A$2:$AS423,AB$2,{claves!$A$2;$E416}),1,0)</f>
        <v>#VALUE!</v>
      </c>
      <c r="AZ416" s="436" t="str">
        <f t="array" ref="AZ416">IF(AC416=DGET(claves!$A$2:$AS423,AC$2,{claves!$A$2;$E416}),1,0)</f>
        <v>#VALUE!</v>
      </c>
      <c r="BA416" s="436" t="str">
        <f t="array" ref="BA416">IF(AD416=DGET(claves!$A$2:$AS423,AD$2,{claves!$A$2;$E416}),1,0)</f>
        <v>#VALUE!</v>
      </c>
      <c r="BB416" s="436" t="str">
        <f t="array" ref="BB416">IF(AE416=DGET(claves!$A$2:$AS423,AE$2,{claves!$A$2;$E416}),1,0)</f>
        <v>#VALUE!</v>
      </c>
      <c r="BC416" s="436" t="str">
        <f t="array" ref="BC416">IF(AF416=DGET(claves!$A$2:$AS423,AF$2,{claves!$A$2;$E416}),1,0)</f>
        <v>#VALUE!</v>
      </c>
      <c r="BD416" s="437" t="str">
        <f t="shared" si="1"/>
        <v>#VALUE!</v>
      </c>
      <c r="BE416" s="435"/>
      <c r="BF416" s="415"/>
    </row>
    <row r="417" ht="14.25" customHeight="1">
      <c r="A417" s="408">
        <v>415.0</v>
      </c>
      <c r="B417" s="153" t="s">
        <v>2066</v>
      </c>
      <c r="C417" s="153">
        <v>2024.0</v>
      </c>
      <c r="D417" s="77" t="s">
        <v>1817</v>
      </c>
      <c r="E417" s="409" t="str">
        <f>IFERROR(__xludf.DUMMYFUNCTION("ARRAYFORMULA(JOIN("""", ARRAYFORMULA(MID(SPLIT(F417, "" ""), 1, 1))))
&amp;""/""&amp;G417"),"CLQ/4 Primaria")</f>
        <v>CLQ/4 Primaria</v>
      </c>
      <c r="F417" s="77" t="s">
        <v>1827</v>
      </c>
      <c r="G417" s="432" t="s">
        <v>20</v>
      </c>
      <c r="H417" s="433" t="s">
        <v>1888</v>
      </c>
      <c r="I417" s="433" t="s">
        <v>1771</v>
      </c>
      <c r="J417" s="433" t="s">
        <v>2074</v>
      </c>
      <c r="K417" s="432" t="s">
        <v>1665</v>
      </c>
      <c r="L417" s="415"/>
      <c r="M417" s="434" t="s">
        <v>1659</v>
      </c>
      <c r="N417" s="434" t="s">
        <v>1660</v>
      </c>
      <c r="O417" s="434" t="s">
        <v>1660</v>
      </c>
      <c r="P417" s="434" t="s">
        <v>1661</v>
      </c>
      <c r="Q417" s="434" t="s">
        <v>1661</v>
      </c>
      <c r="R417" s="434" t="s">
        <v>1659</v>
      </c>
      <c r="S417" s="434" t="s">
        <v>1660</v>
      </c>
      <c r="T417" s="434" t="s">
        <v>1660</v>
      </c>
      <c r="U417" s="434" t="s">
        <v>1689</v>
      </c>
      <c r="V417" s="434" t="s">
        <v>1659</v>
      </c>
      <c r="W417" s="434" t="s">
        <v>1689</v>
      </c>
      <c r="X417" s="434" t="s">
        <v>1659</v>
      </c>
      <c r="Y417" s="434" t="s">
        <v>1659</v>
      </c>
      <c r="Z417" s="434" t="s">
        <v>1661</v>
      </c>
      <c r="AA417" s="434" t="s">
        <v>1661</v>
      </c>
      <c r="AB417" s="434" t="s">
        <v>1689</v>
      </c>
      <c r="AC417" s="434" t="s">
        <v>1661</v>
      </c>
      <c r="AD417" s="434" t="s">
        <v>1689</v>
      </c>
      <c r="AE417" s="434" t="s">
        <v>1659</v>
      </c>
      <c r="AF417" s="434" t="s">
        <v>1661</v>
      </c>
      <c r="AG417" s="427">
        <v>11.0</v>
      </c>
      <c r="AH417" s="435" t="s">
        <v>24</v>
      </c>
      <c r="AI417" s="415"/>
      <c r="AJ417" s="436" t="str">
        <f t="array" ref="AJ417">IF(M417=DGET(claves!$A$2:$AS423,M$2,{claves!$A$2;$E417}),1,0)</f>
        <v>#VALUE!</v>
      </c>
      <c r="AK417" s="436" t="str">
        <f t="array" ref="AK417">IF(N417=DGET(claves!$A$2:$AS423,N$2,{claves!$A$2;$E417}),1,0)</f>
        <v>#VALUE!</v>
      </c>
      <c r="AL417" s="436" t="str">
        <f t="array" ref="AL417">IF(O417=DGET(claves!$A$2:$AS423,O$2,{claves!$A$2;$E417}),1,0)</f>
        <v>#VALUE!</v>
      </c>
      <c r="AM417" s="436" t="str">
        <f t="array" ref="AM417">IF(P417=DGET(claves!$A$2:$AS423,P$2,{claves!$A$2;$E417}),1,0)</f>
        <v>#VALUE!</v>
      </c>
      <c r="AN417" s="436" t="str">
        <f t="array" ref="AN417">IF(Q417=DGET(claves!$A$2:$AS423,Q$2,{claves!$A$2;$E417}),1,0)</f>
        <v>#VALUE!</v>
      </c>
      <c r="AO417" s="436" t="str">
        <f t="array" ref="AO417">IF(R417=DGET(claves!$A$2:$AS423,R$2,{claves!$A$2;$E417}),1,0)</f>
        <v>#VALUE!</v>
      </c>
      <c r="AP417" s="436" t="str">
        <f t="array" ref="AP417">IF(S417=DGET(claves!$A$2:$AS423,S$2,{claves!$A$2;$E417}),1,0)</f>
        <v>#VALUE!</v>
      </c>
      <c r="AQ417" s="436" t="str">
        <f t="array" ref="AQ417">IF(T417=DGET(claves!$A$2:$AS423,T$2,{claves!$A$2;$E417}),1,0)</f>
        <v>#VALUE!</v>
      </c>
      <c r="AR417" s="436" t="str">
        <f t="array" ref="AR417">IF(U417=DGET(claves!$A$2:$AS423,U$2,{claves!$A$2;$E417}),1,0)</f>
        <v>#VALUE!</v>
      </c>
      <c r="AS417" s="436" t="str">
        <f t="array" ref="AS417">IF(V417=DGET(claves!$A$2:$AS423,V$2,{claves!$A$2;$E417}),1,0)</f>
        <v>#VALUE!</v>
      </c>
      <c r="AT417" s="436" t="str">
        <f t="array" ref="AT417">IF(W417=DGET(claves!$A$2:$AS423,W$2,{claves!$A$2;$E417}),1,0)</f>
        <v>#VALUE!</v>
      </c>
      <c r="AU417" s="436" t="str">
        <f t="array" ref="AU417">IF(X417=DGET(claves!$A$2:$AS423,X$2,{claves!$A$2;$E417}),1,0)</f>
        <v>#VALUE!</v>
      </c>
      <c r="AV417" s="436" t="str">
        <f t="array" ref="AV417">IF(Y417=DGET(claves!$A$2:$AS423,Y$2,{claves!$A$2;$E417}),1,0)</f>
        <v>#VALUE!</v>
      </c>
      <c r="AW417" s="436" t="str">
        <f t="array" ref="AW417">IF(Z417=DGET(claves!$A$2:$AS423,Z$2,{claves!$A$2;$E417}),1,0)</f>
        <v>#VALUE!</v>
      </c>
      <c r="AX417" s="436" t="str">
        <f t="array" ref="AX417">IF(AA417=DGET(claves!$A$2:$AS423,AA$2,{claves!$A$2;$E417}),1,0)</f>
        <v>#VALUE!</v>
      </c>
      <c r="AY417" s="436" t="str">
        <f t="array" ref="AY417">IF(AB417=DGET(claves!$A$2:$AS423,AB$2,{claves!$A$2;$E417}),1,0)</f>
        <v>#VALUE!</v>
      </c>
      <c r="AZ417" s="436" t="str">
        <f t="array" ref="AZ417">IF(AC417=DGET(claves!$A$2:$AS423,AC$2,{claves!$A$2;$E417}),1,0)</f>
        <v>#VALUE!</v>
      </c>
      <c r="BA417" s="436" t="str">
        <f t="array" ref="BA417">IF(AD417=DGET(claves!$A$2:$AS423,AD$2,{claves!$A$2;$E417}),1,0)</f>
        <v>#VALUE!</v>
      </c>
      <c r="BB417" s="436" t="str">
        <f t="array" ref="BB417">IF(AE417=DGET(claves!$A$2:$AS423,AE$2,{claves!$A$2;$E417}),1,0)</f>
        <v>#VALUE!</v>
      </c>
      <c r="BC417" s="436" t="str">
        <f t="array" ref="BC417">IF(AF417=DGET(claves!$A$2:$AS423,AF$2,{claves!$A$2;$E417}),1,0)</f>
        <v>#VALUE!</v>
      </c>
      <c r="BD417" s="437" t="str">
        <f t="shared" si="1"/>
        <v>#VALUE!</v>
      </c>
      <c r="BE417" s="435"/>
      <c r="BF417" s="415"/>
    </row>
    <row r="418" ht="14.25" customHeight="1">
      <c r="A418" s="408">
        <v>416.0</v>
      </c>
      <c r="B418" s="153" t="s">
        <v>2066</v>
      </c>
      <c r="C418" s="153">
        <v>2024.0</v>
      </c>
      <c r="D418" s="77" t="s">
        <v>362</v>
      </c>
      <c r="E418" s="409" t="str">
        <f>IFERROR(__xludf.DUMMYFUNCTION("ARRAYFORMULA(JOIN("""", ARRAYFORMULA(MID(SPLIT(F418, "" ""), 1, 1))))
&amp;""/""&amp;G418"),"MQ/6 Primaria")</f>
        <v>MQ/6 Primaria</v>
      </c>
      <c r="F418" s="77" t="s">
        <v>1823</v>
      </c>
      <c r="G418" s="432" t="s">
        <v>22</v>
      </c>
      <c r="H418" s="433" t="s">
        <v>2075</v>
      </c>
      <c r="I418" s="433" t="s">
        <v>2076</v>
      </c>
      <c r="J418" s="433" t="s">
        <v>2077</v>
      </c>
      <c r="K418" s="433" t="s">
        <v>1658</v>
      </c>
      <c r="L418" s="415"/>
      <c r="M418" s="434" t="s">
        <v>1660</v>
      </c>
      <c r="N418" s="434" t="s">
        <v>1689</v>
      </c>
      <c r="O418" s="434" t="s">
        <v>1661</v>
      </c>
      <c r="P418" s="434" t="s">
        <v>1689</v>
      </c>
      <c r="Q418" s="434" t="s">
        <v>1660</v>
      </c>
      <c r="R418" s="434" t="s">
        <v>1659</v>
      </c>
      <c r="S418" s="434" t="s">
        <v>1659</v>
      </c>
      <c r="T418" s="434" t="s">
        <v>1659</v>
      </c>
      <c r="U418" s="434" t="s">
        <v>1689</v>
      </c>
      <c r="V418" s="434" t="s">
        <v>1661</v>
      </c>
      <c r="W418" s="434" t="s">
        <v>1661</v>
      </c>
      <c r="X418" s="434" t="s">
        <v>1661</v>
      </c>
      <c r="Y418" s="434" t="s">
        <v>1689</v>
      </c>
      <c r="Z418" s="434" t="s">
        <v>1661</v>
      </c>
      <c r="AA418" s="434" t="s">
        <v>1660</v>
      </c>
      <c r="AB418" s="434" t="s">
        <v>1661</v>
      </c>
      <c r="AC418" s="434" t="s">
        <v>1660</v>
      </c>
      <c r="AD418" s="434" t="s">
        <v>1659</v>
      </c>
      <c r="AE418" s="434" t="s">
        <v>1689</v>
      </c>
      <c r="AF418" s="434" t="s">
        <v>1661</v>
      </c>
      <c r="AG418" s="427">
        <v>13.0</v>
      </c>
      <c r="AH418" s="435" t="s">
        <v>24</v>
      </c>
      <c r="AI418" s="415"/>
      <c r="AJ418" s="436" t="str">
        <f t="array" ref="AJ418">IF(M418=DGET(claves!$A$2:$AS423,M$2,{claves!$A$2;$E418}),1,0)</f>
        <v>#VALUE!</v>
      </c>
      <c r="AK418" s="436" t="str">
        <f t="array" ref="AK418">IF(N418=DGET(claves!$A$2:$AS423,N$2,{claves!$A$2;$E418}),1,0)</f>
        <v>#VALUE!</v>
      </c>
      <c r="AL418" s="436" t="str">
        <f t="array" ref="AL418">IF(O418=DGET(claves!$A$2:$AS423,O$2,{claves!$A$2;$E418}),1,0)</f>
        <v>#VALUE!</v>
      </c>
      <c r="AM418" s="436" t="str">
        <f t="array" ref="AM418">IF(P418=DGET(claves!$A$2:$AS423,P$2,{claves!$A$2;$E418}),1,0)</f>
        <v>#VALUE!</v>
      </c>
      <c r="AN418" s="436" t="str">
        <f t="array" ref="AN418">IF(Q418=DGET(claves!$A$2:$AS423,Q$2,{claves!$A$2;$E418}),1,0)</f>
        <v>#VALUE!</v>
      </c>
      <c r="AO418" s="436" t="str">
        <f t="array" ref="AO418">IF(R418=DGET(claves!$A$2:$AS423,R$2,{claves!$A$2;$E418}),1,0)</f>
        <v>#VALUE!</v>
      </c>
      <c r="AP418" s="436" t="str">
        <f t="array" ref="AP418">IF(S418=DGET(claves!$A$2:$AS423,S$2,{claves!$A$2;$E418}),1,0)</f>
        <v>#VALUE!</v>
      </c>
      <c r="AQ418" s="436" t="str">
        <f t="array" ref="AQ418">IF(T418=DGET(claves!$A$2:$AS423,T$2,{claves!$A$2;$E418}),1,0)</f>
        <v>#VALUE!</v>
      </c>
      <c r="AR418" s="436" t="str">
        <f t="array" ref="AR418">IF(U418=DGET(claves!$A$2:$AS423,U$2,{claves!$A$2;$E418}),1,0)</f>
        <v>#VALUE!</v>
      </c>
      <c r="AS418" s="436" t="str">
        <f t="array" ref="AS418">IF(V418=DGET(claves!$A$2:$AS423,V$2,{claves!$A$2;$E418}),1,0)</f>
        <v>#VALUE!</v>
      </c>
      <c r="AT418" s="436" t="str">
        <f t="array" ref="AT418">IF(W418=DGET(claves!$A$2:$AS423,W$2,{claves!$A$2;$E418}),1,0)</f>
        <v>#VALUE!</v>
      </c>
      <c r="AU418" s="436" t="str">
        <f t="array" ref="AU418">IF(X418=DGET(claves!$A$2:$AS423,X$2,{claves!$A$2;$E418}),1,0)</f>
        <v>#VALUE!</v>
      </c>
      <c r="AV418" s="436" t="str">
        <f t="array" ref="AV418">IF(Y418=DGET(claves!$A$2:$AS423,Y$2,{claves!$A$2;$E418}),1,0)</f>
        <v>#VALUE!</v>
      </c>
      <c r="AW418" s="436" t="str">
        <f t="array" ref="AW418">IF(Z418=DGET(claves!$A$2:$AS423,Z$2,{claves!$A$2;$E418}),1,0)</f>
        <v>#VALUE!</v>
      </c>
      <c r="AX418" s="436" t="str">
        <f t="array" ref="AX418">IF(AA418=DGET(claves!$A$2:$AS423,AA$2,{claves!$A$2;$E418}),1,0)</f>
        <v>#VALUE!</v>
      </c>
      <c r="AY418" s="436" t="str">
        <f t="array" ref="AY418">IF(AB418=DGET(claves!$A$2:$AS423,AB$2,{claves!$A$2;$E418}),1,0)</f>
        <v>#VALUE!</v>
      </c>
      <c r="AZ418" s="436" t="str">
        <f t="array" ref="AZ418">IF(AC418=DGET(claves!$A$2:$AS423,AC$2,{claves!$A$2;$E418}),1,0)</f>
        <v>#VALUE!</v>
      </c>
      <c r="BA418" s="436" t="str">
        <f t="array" ref="BA418">IF(AD418=DGET(claves!$A$2:$AS423,AD$2,{claves!$A$2;$E418}),1,0)</f>
        <v>#VALUE!</v>
      </c>
      <c r="BB418" s="436" t="str">
        <f t="array" ref="BB418">IF(AE418=DGET(claves!$A$2:$AS423,AE$2,{claves!$A$2;$E418}),1,0)</f>
        <v>#VALUE!</v>
      </c>
      <c r="BC418" s="436" t="str">
        <f t="array" ref="BC418">IF(AF418=DGET(claves!$A$2:$AS423,AF$2,{claves!$A$2;$E418}),1,0)</f>
        <v>#VALUE!</v>
      </c>
      <c r="BD418" s="437" t="str">
        <f t="shared" si="1"/>
        <v>#VALUE!</v>
      </c>
      <c r="BE418" s="435"/>
      <c r="BF418" s="415"/>
    </row>
    <row r="419" ht="14.25" customHeight="1">
      <c r="A419" s="408">
        <v>417.0</v>
      </c>
      <c r="B419" s="153" t="s">
        <v>2066</v>
      </c>
      <c r="C419" s="153">
        <v>2024.0</v>
      </c>
      <c r="D419" s="77" t="s">
        <v>1817</v>
      </c>
      <c r="E419" s="409" t="str">
        <f>IFERROR(__xludf.DUMMYFUNCTION("ARRAYFORMULA(JOIN("""", ARRAYFORMULA(MID(SPLIT(F419, "" ""), 1, 1))))
&amp;""/""&amp;G419"),"CLQ/6 Primaria")</f>
        <v>CLQ/6 Primaria</v>
      </c>
      <c r="F419" s="77" t="s">
        <v>1827</v>
      </c>
      <c r="G419" s="432" t="s">
        <v>22</v>
      </c>
      <c r="H419" s="433" t="s">
        <v>2075</v>
      </c>
      <c r="I419" s="433" t="s">
        <v>2076</v>
      </c>
      <c r="J419" s="433" t="s">
        <v>2077</v>
      </c>
      <c r="K419" s="433" t="s">
        <v>1658</v>
      </c>
      <c r="L419" s="415"/>
      <c r="M419" s="434" t="s">
        <v>1659</v>
      </c>
      <c r="N419" s="434" t="s">
        <v>1660</v>
      </c>
      <c r="O419" s="434" t="s">
        <v>1660</v>
      </c>
      <c r="P419" s="434" t="s">
        <v>1659</v>
      </c>
      <c r="Q419" s="434" t="s">
        <v>1661</v>
      </c>
      <c r="R419" s="434" t="s">
        <v>1689</v>
      </c>
      <c r="S419" s="434" t="s">
        <v>1661</v>
      </c>
      <c r="T419" s="434" t="s">
        <v>1689</v>
      </c>
      <c r="U419" s="434" t="s">
        <v>1689</v>
      </c>
      <c r="V419" s="434" t="s">
        <v>1660</v>
      </c>
      <c r="W419" s="434" t="s">
        <v>1689</v>
      </c>
      <c r="X419" s="434" t="s">
        <v>1661</v>
      </c>
      <c r="Y419" s="434" t="s">
        <v>1659</v>
      </c>
      <c r="Z419" s="434" t="s">
        <v>1661</v>
      </c>
      <c r="AA419" s="434" t="s">
        <v>1660</v>
      </c>
      <c r="AB419" s="434" t="s">
        <v>1659</v>
      </c>
      <c r="AC419" s="434" t="s">
        <v>1689</v>
      </c>
      <c r="AD419" s="434" t="s">
        <v>1689</v>
      </c>
      <c r="AE419" s="434" t="s">
        <v>1661</v>
      </c>
      <c r="AF419" s="434" t="s">
        <v>1661</v>
      </c>
      <c r="AG419" s="427">
        <v>8.0</v>
      </c>
      <c r="AH419" s="435" t="s">
        <v>18</v>
      </c>
      <c r="AI419" s="415"/>
      <c r="AJ419" s="436" t="str">
        <f t="array" ref="AJ419">IF(M419=DGET(claves!$A$2:$AS423,M$2,{claves!$A$2;$E419}),1,0)</f>
        <v>#VALUE!</v>
      </c>
      <c r="AK419" s="436" t="str">
        <f t="array" ref="AK419">IF(N419=DGET(claves!$A$2:$AS423,N$2,{claves!$A$2;$E419}),1,0)</f>
        <v>#VALUE!</v>
      </c>
      <c r="AL419" s="436" t="str">
        <f t="array" ref="AL419">IF(O419=DGET(claves!$A$2:$AS423,O$2,{claves!$A$2;$E419}),1,0)</f>
        <v>#VALUE!</v>
      </c>
      <c r="AM419" s="436" t="str">
        <f t="array" ref="AM419">IF(P419=DGET(claves!$A$2:$AS423,P$2,{claves!$A$2;$E419}),1,0)</f>
        <v>#VALUE!</v>
      </c>
      <c r="AN419" s="436" t="str">
        <f t="array" ref="AN419">IF(Q419=DGET(claves!$A$2:$AS423,Q$2,{claves!$A$2;$E419}),1,0)</f>
        <v>#VALUE!</v>
      </c>
      <c r="AO419" s="436" t="str">
        <f t="array" ref="AO419">IF(R419=DGET(claves!$A$2:$AS423,R$2,{claves!$A$2;$E419}),1,0)</f>
        <v>#VALUE!</v>
      </c>
      <c r="AP419" s="436" t="str">
        <f t="array" ref="AP419">IF(S419=DGET(claves!$A$2:$AS423,S$2,{claves!$A$2;$E419}),1,0)</f>
        <v>#VALUE!</v>
      </c>
      <c r="AQ419" s="436" t="str">
        <f t="array" ref="AQ419">IF(T419=DGET(claves!$A$2:$AS423,T$2,{claves!$A$2;$E419}),1,0)</f>
        <v>#VALUE!</v>
      </c>
      <c r="AR419" s="436" t="str">
        <f t="array" ref="AR419">IF(U419=DGET(claves!$A$2:$AS423,U$2,{claves!$A$2;$E419}),1,0)</f>
        <v>#VALUE!</v>
      </c>
      <c r="AS419" s="436" t="str">
        <f t="array" ref="AS419">IF(V419=DGET(claves!$A$2:$AS423,V$2,{claves!$A$2;$E419}),1,0)</f>
        <v>#VALUE!</v>
      </c>
      <c r="AT419" s="436" t="str">
        <f t="array" ref="AT419">IF(W419=DGET(claves!$A$2:$AS423,W$2,{claves!$A$2;$E419}),1,0)</f>
        <v>#VALUE!</v>
      </c>
      <c r="AU419" s="436" t="str">
        <f t="array" ref="AU419">IF(X419=DGET(claves!$A$2:$AS423,X$2,{claves!$A$2;$E419}),1,0)</f>
        <v>#VALUE!</v>
      </c>
      <c r="AV419" s="436" t="str">
        <f t="array" ref="AV419">IF(Y419=DGET(claves!$A$2:$AS423,Y$2,{claves!$A$2;$E419}),1,0)</f>
        <v>#VALUE!</v>
      </c>
      <c r="AW419" s="436" t="str">
        <f t="array" ref="AW419">IF(Z419=DGET(claves!$A$2:$AS423,Z$2,{claves!$A$2;$E419}),1,0)</f>
        <v>#VALUE!</v>
      </c>
      <c r="AX419" s="436" t="str">
        <f t="array" ref="AX419">IF(AA419=DGET(claves!$A$2:$AS423,AA$2,{claves!$A$2;$E419}),1,0)</f>
        <v>#VALUE!</v>
      </c>
      <c r="AY419" s="436" t="str">
        <f t="array" ref="AY419">IF(AB419=DGET(claves!$A$2:$AS423,AB$2,{claves!$A$2;$E419}),1,0)</f>
        <v>#VALUE!</v>
      </c>
      <c r="AZ419" s="436" t="str">
        <f t="array" ref="AZ419">IF(AC419=DGET(claves!$A$2:$AS423,AC$2,{claves!$A$2;$E419}),1,0)</f>
        <v>#VALUE!</v>
      </c>
      <c r="BA419" s="436" t="str">
        <f t="array" ref="BA419">IF(AD419=DGET(claves!$A$2:$AS423,AD$2,{claves!$A$2;$E419}),1,0)</f>
        <v>#VALUE!</v>
      </c>
      <c r="BB419" s="436" t="str">
        <f t="array" ref="BB419">IF(AE419=DGET(claves!$A$2:$AS423,AE$2,{claves!$A$2;$E419}),1,0)</f>
        <v>#VALUE!</v>
      </c>
      <c r="BC419" s="436" t="str">
        <f t="array" ref="BC419">IF(AF419=DGET(claves!$A$2:$AS423,AF$2,{claves!$A$2;$E419}),1,0)</f>
        <v>#VALUE!</v>
      </c>
      <c r="BD419" s="437" t="str">
        <f t="shared" si="1"/>
        <v>#VALUE!</v>
      </c>
      <c r="BE419" s="435"/>
      <c r="BF419" s="415"/>
    </row>
    <row r="420" ht="14.25" customHeight="1">
      <c r="A420" s="408">
        <v>418.0</v>
      </c>
      <c r="B420" s="153" t="s">
        <v>2066</v>
      </c>
      <c r="C420" s="153">
        <v>2024.0</v>
      </c>
      <c r="D420" s="77" t="s">
        <v>362</v>
      </c>
      <c r="E420" s="409" t="str">
        <f>IFERROR(__xludf.DUMMYFUNCTION("ARRAYFORMULA(JOIN("""", ARRAYFORMULA(MID(SPLIT(F420, "" ""), 1, 1))))
&amp;""/""&amp;G420"),"MQ/6 Primaria")</f>
        <v>MQ/6 Primaria</v>
      </c>
      <c r="F420" s="77" t="s">
        <v>1823</v>
      </c>
      <c r="G420" s="432" t="s">
        <v>22</v>
      </c>
      <c r="H420" s="433" t="s">
        <v>1965</v>
      </c>
      <c r="I420" s="433" t="s">
        <v>2078</v>
      </c>
      <c r="J420" s="433" t="s">
        <v>2079</v>
      </c>
      <c r="K420" s="432" t="s">
        <v>1665</v>
      </c>
      <c r="L420" s="415"/>
      <c r="M420" s="434" t="s">
        <v>1661</v>
      </c>
      <c r="N420" s="434" t="s">
        <v>1689</v>
      </c>
      <c r="O420" s="434" t="s">
        <v>1661</v>
      </c>
      <c r="P420" s="434" t="s">
        <v>1689</v>
      </c>
      <c r="Q420" s="434" t="s">
        <v>1659</v>
      </c>
      <c r="R420" s="434" t="s">
        <v>1689</v>
      </c>
      <c r="S420" s="434" t="s">
        <v>1660</v>
      </c>
      <c r="T420" s="434" t="s">
        <v>1659</v>
      </c>
      <c r="U420" s="434" t="s">
        <v>1689</v>
      </c>
      <c r="V420" s="434" t="s">
        <v>1689</v>
      </c>
      <c r="W420" s="434" t="s">
        <v>1661</v>
      </c>
      <c r="X420" s="434" t="s">
        <v>1660</v>
      </c>
      <c r="Y420" s="434" t="s">
        <v>1661</v>
      </c>
      <c r="Z420" s="434" t="s">
        <v>1689</v>
      </c>
      <c r="AA420" s="434" t="s">
        <v>1689</v>
      </c>
      <c r="AB420" s="434" t="s">
        <v>1689</v>
      </c>
      <c r="AC420" s="434" t="s">
        <v>1660</v>
      </c>
      <c r="AD420" s="434" t="s">
        <v>1661</v>
      </c>
      <c r="AE420" s="434" t="s">
        <v>1659</v>
      </c>
      <c r="AF420" s="434" t="s">
        <v>1660</v>
      </c>
      <c r="AG420" s="427">
        <v>9.0</v>
      </c>
      <c r="AH420" s="435" t="s">
        <v>18</v>
      </c>
      <c r="AI420" s="415"/>
      <c r="AJ420" s="436" t="str">
        <f t="array" ref="AJ420">IF(M420=DGET(claves!$A$2:$AS423,M$2,{claves!$A$2;$E420}),1,0)</f>
        <v>#VALUE!</v>
      </c>
      <c r="AK420" s="436" t="str">
        <f t="array" ref="AK420">IF(N420=DGET(claves!$A$2:$AS423,N$2,{claves!$A$2;$E420}),1,0)</f>
        <v>#VALUE!</v>
      </c>
      <c r="AL420" s="436" t="str">
        <f t="array" ref="AL420">IF(O420=DGET(claves!$A$2:$AS423,O$2,{claves!$A$2;$E420}),1,0)</f>
        <v>#VALUE!</v>
      </c>
      <c r="AM420" s="436" t="str">
        <f t="array" ref="AM420">IF(P420=DGET(claves!$A$2:$AS423,P$2,{claves!$A$2;$E420}),1,0)</f>
        <v>#VALUE!</v>
      </c>
      <c r="AN420" s="436" t="str">
        <f t="array" ref="AN420">IF(Q420=DGET(claves!$A$2:$AS423,Q$2,{claves!$A$2;$E420}),1,0)</f>
        <v>#VALUE!</v>
      </c>
      <c r="AO420" s="436" t="str">
        <f t="array" ref="AO420">IF(R420=DGET(claves!$A$2:$AS423,R$2,{claves!$A$2;$E420}),1,0)</f>
        <v>#VALUE!</v>
      </c>
      <c r="AP420" s="436" t="str">
        <f t="array" ref="AP420">IF(S420=DGET(claves!$A$2:$AS423,S$2,{claves!$A$2;$E420}),1,0)</f>
        <v>#VALUE!</v>
      </c>
      <c r="AQ420" s="436" t="str">
        <f t="array" ref="AQ420">IF(T420=DGET(claves!$A$2:$AS423,T$2,{claves!$A$2;$E420}),1,0)</f>
        <v>#VALUE!</v>
      </c>
      <c r="AR420" s="436" t="str">
        <f t="array" ref="AR420">IF(U420=DGET(claves!$A$2:$AS423,U$2,{claves!$A$2;$E420}),1,0)</f>
        <v>#VALUE!</v>
      </c>
      <c r="AS420" s="436" t="str">
        <f t="array" ref="AS420">IF(V420=DGET(claves!$A$2:$AS423,V$2,{claves!$A$2;$E420}),1,0)</f>
        <v>#VALUE!</v>
      </c>
      <c r="AT420" s="436" t="str">
        <f t="array" ref="AT420">IF(W420=DGET(claves!$A$2:$AS423,W$2,{claves!$A$2;$E420}),1,0)</f>
        <v>#VALUE!</v>
      </c>
      <c r="AU420" s="436" t="str">
        <f t="array" ref="AU420">IF(X420=DGET(claves!$A$2:$AS423,X$2,{claves!$A$2;$E420}),1,0)</f>
        <v>#VALUE!</v>
      </c>
      <c r="AV420" s="436" t="str">
        <f t="array" ref="AV420">IF(Y420=DGET(claves!$A$2:$AS423,Y$2,{claves!$A$2;$E420}),1,0)</f>
        <v>#VALUE!</v>
      </c>
      <c r="AW420" s="436" t="str">
        <f t="array" ref="AW420">IF(Z420=DGET(claves!$A$2:$AS423,Z$2,{claves!$A$2;$E420}),1,0)</f>
        <v>#VALUE!</v>
      </c>
      <c r="AX420" s="436" t="str">
        <f t="array" ref="AX420">IF(AA420=DGET(claves!$A$2:$AS423,AA$2,{claves!$A$2;$E420}),1,0)</f>
        <v>#VALUE!</v>
      </c>
      <c r="AY420" s="436" t="str">
        <f t="array" ref="AY420">IF(AB420=DGET(claves!$A$2:$AS423,AB$2,{claves!$A$2;$E420}),1,0)</f>
        <v>#VALUE!</v>
      </c>
      <c r="AZ420" s="436" t="str">
        <f t="array" ref="AZ420">IF(AC420=DGET(claves!$A$2:$AS423,AC$2,{claves!$A$2;$E420}),1,0)</f>
        <v>#VALUE!</v>
      </c>
      <c r="BA420" s="436" t="str">
        <f t="array" ref="BA420">IF(AD420=DGET(claves!$A$2:$AS423,AD$2,{claves!$A$2;$E420}),1,0)</f>
        <v>#VALUE!</v>
      </c>
      <c r="BB420" s="436" t="str">
        <f t="array" ref="BB420">IF(AE420=DGET(claves!$A$2:$AS423,AE$2,{claves!$A$2;$E420}),1,0)</f>
        <v>#VALUE!</v>
      </c>
      <c r="BC420" s="436" t="str">
        <f t="array" ref="BC420">IF(AF420=DGET(claves!$A$2:$AS423,AF$2,{claves!$A$2;$E420}),1,0)</f>
        <v>#VALUE!</v>
      </c>
      <c r="BD420" s="437" t="str">
        <f t="shared" si="1"/>
        <v>#VALUE!</v>
      </c>
      <c r="BE420" s="435"/>
      <c r="BF420" s="415"/>
    </row>
    <row r="421" ht="14.25" customHeight="1">
      <c r="A421" s="408">
        <v>419.0</v>
      </c>
      <c r="B421" s="153" t="s">
        <v>2066</v>
      </c>
      <c r="C421" s="153">
        <v>2024.0</v>
      </c>
      <c r="D421" s="77" t="s">
        <v>1817</v>
      </c>
      <c r="E421" s="409" t="str">
        <f>IFERROR(__xludf.DUMMYFUNCTION("ARRAYFORMULA(JOIN("""", ARRAYFORMULA(MID(SPLIT(F421, "" ""), 1, 1))))
&amp;""/""&amp;G421"),"CLQ/6 Primaria")</f>
        <v>CLQ/6 Primaria</v>
      </c>
      <c r="F421" s="77" t="s">
        <v>1827</v>
      </c>
      <c r="G421" s="432" t="s">
        <v>22</v>
      </c>
      <c r="H421" s="433" t="s">
        <v>1965</v>
      </c>
      <c r="I421" s="433" t="s">
        <v>2078</v>
      </c>
      <c r="J421" s="433" t="s">
        <v>2079</v>
      </c>
      <c r="K421" s="432" t="s">
        <v>1665</v>
      </c>
      <c r="L421" s="415"/>
      <c r="M421" s="434" t="s">
        <v>1659</v>
      </c>
      <c r="N421" s="434" t="s">
        <v>1661</v>
      </c>
      <c r="O421" s="434" t="s">
        <v>1661</v>
      </c>
      <c r="P421" s="434" t="s">
        <v>1660</v>
      </c>
      <c r="Q421" s="434" t="s">
        <v>1689</v>
      </c>
      <c r="R421" s="434" t="s">
        <v>1689</v>
      </c>
      <c r="S421" s="434" t="s">
        <v>1689</v>
      </c>
      <c r="T421" s="434" t="s">
        <v>1661</v>
      </c>
      <c r="U421" s="434" t="s">
        <v>1660</v>
      </c>
      <c r="V421" s="434" t="s">
        <v>1661</v>
      </c>
      <c r="W421" s="434" t="s">
        <v>1659</v>
      </c>
      <c r="X421" s="434" t="s">
        <v>1659</v>
      </c>
      <c r="Y421" s="434" t="s">
        <v>1660</v>
      </c>
      <c r="Z421" s="434" t="s">
        <v>1659</v>
      </c>
      <c r="AA421" s="434" t="s">
        <v>1659</v>
      </c>
      <c r="AB421" s="434" t="s">
        <v>1689</v>
      </c>
      <c r="AC421" s="434" t="s">
        <v>1689</v>
      </c>
      <c r="AD421" s="434" t="s">
        <v>1660</v>
      </c>
      <c r="AE421" s="434" t="s">
        <v>1661</v>
      </c>
      <c r="AF421" s="434" t="s">
        <v>1689</v>
      </c>
      <c r="AG421" s="427">
        <v>8.0</v>
      </c>
      <c r="AH421" s="435" t="s">
        <v>18</v>
      </c>
      <c r="AI421" s="415"/>
      <c r="AJ421" s="436" t="str">
        <f t="array" ref="AJ421">IF(M421=DGET(claves!$A$2:$AS423,M$2,{claves!$A$2;$E421}),1,0)</f>
        <v>#VALUE!</v>
      </c>
      <c r="AK421" s="436" t="str">
        <f t="array" ref="AK421">IF(N421=DGET(claves!$A$2:$AS423,N$2,{claves!$A$2;$E421}),1,0)</f>
        <v>#VALUE!</v>
      </c>
      <c r="AL421" s="436" t="str">
        <f t="array" ref="AL421">IF(O421=DGET(claves!$A$2:$AS423,O$2,{claves!$A$2;$E421}),1,0)</f>
        <v>#VALUE!</v>
      </c>
      <c r="AM421" s="436" t="str">
        <f t="array" ref="AM421">IF(P421=DGET(claves!$A$2:$AS423,P$2,{claves!$A$2;$E421}),1,0)</f>
        <v>#VALUE!</v>
      </c>
      <c r="AN421" s="436" t="str">
        <f t="array" ref="AN421">IF(Q421=DGET(claves!$A$2:$AS423,Q$2,{claves!$A$2;$E421}),1,0)</f>
        <v>#VALUE!</v>
      </c>
      <c r="AO421" s="436" t="str">
        <f t="array" ref="AO421">IF(R421=DGET(claves!$A$2:$AS423,R$2,{claves!$A$2;$E421}),1,0)</f>
        <v>#VALUE!</v>
      </c>
      <c r="AP421" s="436" t="str">
        <f t="array" ref="AP421">IF(S421=DGET(claves!$A$2:$AS423,S$2,{claves!$A$2;$E421}),1,0)</f>
        <v>#VALUE!</v>
      </c>
      <c r="AQ421" s="436" t="str">
        <f t="array" ref="AQ421">IF(T421=DGET(claves!$A$2:$AS423,T$2,{claves!$A$2;$E421}),1,0)</f>
        <v>#VALUE!</v>
      </c>
      <c r="AR421" s="436" t="str">
        <f t="array" ref="AR421">IF(U421=DGET(claves!$A$2:$AS423,U$2,{claves!$A$2;$E421}),1,0)</f>
        <v>#VALUE!</v>
      </c>
      <c r="AS421" s="436" t="str">
        <f t="array" ref="AS421">IF(V421=DGET(claves!$A$2:$AS423,V$2,{claves!$A$2;$E421}),1,0)</f>
        <v>#VALUE!</v>
      </c>
      <c r="AT421" s="436" t="str">
        <f t="array" ref="AT421">IF(W421=DGET(claves!$A$2:$AS423,W$2,{claves!$A$2;$E421}),1,0)</f>
        <v>#VALUE!</v>
      </c>
      <c r="AU421" s="436" t="str">
        <f t="array" ref="AU421">IF(X421=DGET(claves!$A$2:$AS423,X$2,{claves!$A$2;$E421}),1,0)</f>
        <v>#VALUE!</v>
      </c>
      <c r="AV421" s="436" t="str">
        <f t="array" ref="AV421">IF(Y421=DGET(claves!$A$2:$AS423,Y$2,{claves!$A$2;$E421}),1,0)</f>
        <v>#VALUE!</v>
      </c>
      <c r="AW421" s="436" t="str">
        <f t="array" ref="AW421">IF(Z421=DGET(claves!$A$2:$AS423,Z$2,{claves!$A$2;$E421}),1,0)</f>
        <v>#VALUE!</v>
      </c>
      <c r="AX421" s="436" t="str">
        <f t="array" ref="AX421">IF(AA421=DGET(claves!$A$2:$AS423,AA$2,{claves!$A$2;$E421}),1,0)</f>
        <v>#VALUE!</v>
      </c>
      <c r="AY421" s="436" t="str">
        <f t="array" ref="AY421">IF(AB421=DGET(claves!$A$2:$AS423,AB$2,{claves!$A$2;$E421}),1,0)</f>
        <v>#VALUE!</v>
      </c>
      <c r="AZ421" s="436" t="str">
        <f t="array" ref="AZ421">IF(AC421=DGET(claves!$A$2:$AS423,AC$2,{claves!$A$2;$E421}),1,0)</f>
        <v>#VALUE!</v>
      </c>
      <c r="BA421" s="436" t="str">
        <f t="array" ref="BA421">IF(AD421=DGET(claves!$A$2:$AS423,AD$2,{claves!$A$2;$E421}),1,0)</f>
        <v>#VALUE!</v>
      </c>
      <c r="BB421" s="436" t="str">
        <f t="array" ref="BB421">IF(AE421=DGET(claves!$A$2:$AS423,AE$2,{claves!$A$2;$E421}),1,0)</f>
        <v>#VALUE!</v>
      </c>
      <c r="BC421" s="436" t="str">
        <f t="array" ref="BC421">IF(AF421=DGET(claves!$A$2:$AS423,AF$2,{claves!$A$2;$E421}),1,0)</f>
        <v>#VALUE!</v>
      </c>
      <c r="BD421" s="437" t="str">
        <f t="shared" si="1"/>
        <v>#VALUE!</v>
      </c>
      <c r="BE421" s="435"/>
      <c r="BF421" s="415"/>
    </row>
    <row r="422" ht="14.25" customHeight="1">
      <c r="A422" s="408">
        <v>420.0</v>
      </c>
      <c r="B422" s="153" t="s">
        <v>2066</v>
      </c>
      <c r="C422" s="153">
        <v>2024.0</v>
      </c>
      <c r="D422" s="77" t="s">
        <v>362</v>
      </c>
      <c r="E422" s="409" t="str">
        <f>IFERROR(__xludf.DUMMYFUNCTION("ARRAYFORMULA(JOIN("""", ARRAYFORMULA(MID(SPLIT(F422, "" ""), 1, 1))))
&amp;""/""&amp;G422"),"MQ/6 Primaria")</f>
        <v>MQ/6 Primaria</v>
      </c>
      <c r="F422" s="77" t="s">
        <v>1823</v>
      </c>
      <c r="G422" s="432" t="s">
        <v>22</v>
      </c>
      <c r="H422" s="433" t="s">
        <v>2080</v>
      </c>
      <c r="I422" s="433" t="s">
        <v>1719</v>
      </c>
      <c r="J422" s="433" t="s">
        <v>2081</v>
      </c>
      <c r="K422" s="432" t="s">
        <v>1665</v>
      </c>
      <c r="L422" s="415"/>
      <c r="M422" s="434" t="s">
        <v>1660</v>
      </c>
      <c r="N422" s="434" t="s">
        <v>1689</v>
      </c>
      <c r="O422" s="434" t="s">
        <v>1661</v>
      </c>
      <c r="P422" s="434" t="s">
        <v>1689</v>
      </c>
      <c r="Q422" s="434" t="s">
        <v>1660</v>
      </c>
      <c r="R422" s="434" t="s">
        <v>1659</v>
      </c>
      <c r="S422" s="434" t="s">
        <v>1659</v>
      </c>
      <c r="T422" s="434" t="s">
        <v>1661</v>
      </c>
      <c r="U422" s="434" t="s">
        <v>1689</v>
      </c>
      <c r="V422" s="434" t="s">
        <v>1661</v>
      </c>
      <c r="W422" s="434" t="s">
        <v>1659</v>
      </c>
      <c r="X422" s="434" t="s">
        <v>1689</v>
      </c>
      <c r="Y422" s="434" t="s">
        <v>1660</v>
      </c>
      <c r="Z422" s="434" t="s">
        <v>1689</v>
      </c>
      <c r="AA422" s="434" t="s">
        <v>1689</v>
      </c>
      <c r="AB422" s="434" t="s">
        <v>1689</v>
      </c>
      <c r="AC422" s="434" t="s">
        <v>1661</v>
      </c>
      <c r="AD422" s="434" t="s">
        <v>1659</v>
      </c>
      <c r="AE422" s="434" t="s">
        <v>1689</v>
      </c>
      <c r="AF422" s="434" t="s">
        <v>1660</v>
      </c>
      <c r="AG422" s="427">
        <v>11.0</v>
      </c>
      <c r="AH422" s="435" t="s">
        <v>24</v>
      </c>
      <c r="AI422" s="415"/>
      <c r="AJ422" s="436" t="str">
        <f t="array" ref="AJ422">IF(M422=DGET(claves!$A$2:$AS423,M$2,{claves!$A$2;$E422}),1,0)</f>
        <v>#VALUE!</v>
      </c>
      <c r="AK422" s="436" t="str">
        <f t="array" ref="AK422">IF(N422=DGET(claves!$A$2:$AS423,N$2,{claves!$A$2;$E422}),1,0)</f>
        <v>#VALUE!</v>
      </c>
      <c r="AL422" s="436" t="str">
        <f t="array" ref="AL422">IF(O422=DGET(claves!$A$2:$AS423,O$2,{claves!$A$2;$E422}),1,0)</f>
        <v>#VALUE!</v>
      </c>
      <c r="AM422" s="436" t="str">
        <f t="array" ref="AM422">IF(P422=DGET(claves!$A$2:$AS423,P$2,{claves!$A$2;$E422}),1,0)</f>
        <v>#VALUE!</v>
      </c>
      <c r="AN422" s="436" t="str">
        <f t="array" ref="AN422">IF(Q422=DGET(claves!$A$2:$AS423,Q$2,{claves!$A$2;$E422}),1,0)</f>
        <v>#VALUE!</v>
      </c>
      <c r="AO422" s="436" t="str">
        <f t="array" ref="AO422">IF(R422=DGET(claves!$A$2:$AS423,R$2,{claves!$A$2;$E422}),1,0)</f>
        <v>#VALUE!</v>
      </c>
      <c r="AP422" s="436" t="str">
        <f t="array" ref="AP422">IF(S422=DGET(claves!$A$2:$AS423,S$2,{claves!$A$2;$E422}),1,0)</f>
        <v>#VALUE!</v>
      </c>
      <c r="AQ422" s="436" t="str">
        <f t="array" ref="AQ422">IF(T422=DGET(claves!$A$2:$AS423,T$2,{claves!$A$2;$E422}),1,0)</f>
        <v>#VALUE!</v>
      </c>
      <c r="AR422" s="436" t="str">
        <f t="array" ref="AR422">IF(U422=DGET(claves!$A$2:$AS423,U$2,{claves!$A$2;$E422}),1,0)</f>
        <v>#VALUE!</v>
      </c>
      <c r="AS422" s="436" t="str">
        <f t="array" ref="AS422">IF(V422=DGET(claves!$A$2:$AS423,V$2,{claves!$A$2;$E422}),1,0)</f>
        <v>#VALUE!</v>
      </c>
      <c r="AT422" s="436" t="str">
        <f t="array" ref="AT422">IF(W422=DGET(claves!$A$2:$AS423,W$2,{claves!$A$2;$E422}),1,0)</f>
        <v>#VALUE!</v>
      </c>
      <c r="AU422" s="436" t="str">
        <f t="array" ref="AU422">IF(X422=DGET(claves!$A$2:$AS423,X$2,{claves!$A$2;$E422}),1,0)</f>
        <v>#VALUE!</v>
      </c>
      <c r="AV422" s="436" t="str">
        <f t="array" ref="AV422">IF(Y422=DGET(claves!$A$2:$AS423,Y$2,{claves!$A$2;$E422}),1,0)</f>
        <v>#VALUE!</v>
      </c>
      <c r="AW422" s="436" t="str">
        <f t="array" ref="AW422">IF(Z422=DGET(claves!$A$2:$AS423,Z$2,{claves!$A$2;$E422}),1,0)</f>
        <v>#VALUE!</v>
      </c>
      <c r="AX422" s="436" t="str">
        <f t="array" ref="AX422">IF(AA422=DGET(claves!$A$2:$AS423,AA$2,{claves!$A$2;$E422}),1,0)</f>
        <v>#VALUE!</v>
      </c>
      <c r="AY422" s="436" t="str">
        <f t="array" ref="AY422">IF(AB422=DGET(claves!$A$2:$AS423,AB$2,{claves!$A$2;$E422}),1,0)</f>
        <v>#VALUE!</v>
      </c>
      <c r="AZ422" s="436" t="str">
        <f t="array" ref="AZ422">IF(AC422=DGET(claves!$A$2:$AS423,AC$2,{claves!$A$2;$E422}),1,0)</f>
        <v>#VALUE!</v>
      </c>
      <c r="BA422" s="436" t="str">
        <f t="array" ref="BA422">IF(AD422=DGET(claves!$A$2:$AS423,AD$2,{claves!$A$2;$E422}),1,0)</f>
        <v>#VALUE!</v>
      </c>
      <c r="BB422" s="436" t="str">
        <f t="array" ref="BB422">IF(AE422=DGET(claves!$A$2:$AS423,AE$2,{claves!$A$2;$E422}),1,0)</f>
        <v>#VALUE!</v>
      </c>
      <c r="BC422" s="436" t="str">
        <f t="array" ref="BC422">IF(AF422=DGET(claves!$A$2:$AS423,AF$2,{claves!$A$2;$E422}),1,0)</f>
        <v>#VALUE!</v>
      </c>
      <c r="BD422" s="437" t="str">
        <f t="shared" si="1"/>
        <v>#VALUE!</v>
      </c>
      <c r="BE422" s="435"/>
      <c r="BF422" s="415"/>
    </row>
    <row r="423" ht="14.25" customHeight="1">
      <c r="A423" s="408">
        <v>421.0</v>
      </c>
      <c r="B423" s="153" t="s">
        <v>2066</v>
      </c>
      <c r="C423" s="153">
        <v>2024.0</v>
      </c>
      <c r="D423" s="77" t="s">
        <v>1817</v>
      </c>
      <c r="E423" s="409" t="str">
        <f>IFERROR(__xludf.DUMMYFUNCTION("ARRAYFORMULA(JOIN("""", ARRAYFORMULA(MID(SPLIT(F423, "" ""), 1, 1))))
&amp;""/""&amp;G423"),"CLQ/6 Primaria")</f>
        <v>CLQ/6 Primaria</v>
      </c>
      <c r="F423" s="77" t="s">
        <v>1827</v>
      </c>
      <c r="G423" s="432" t="s">
        <v>22</v>
      </c>
      <c r="H423" s="433" t="s">
        <v>2080</v>
      </c>
      <c r="I423" s="433" t="s">
        <v>1719</v>
      </c>
      <c r="J423" s="433" t="s">
        <v>2081</v>
      </c>
      <c r="K423" s="432" t="s">
        <v>1665</v>
      </c>
      <c r="L423" s="415"/>
      <c r="M423" s="434" t="s">
        <v>1661</v>
      </c>
      <c r="N423" s="434" t="s">
        <v>1661</v>
      </c>
      <c r="O423" s="434" t="s">
        <v>1689</v>
      </c>
      <c r="P423" s="434" t="s">
        <v>1659</v>
      </c>
      <c r="Q423" s="434" t="s">
        <v>1660</v>
      </c>
      <c r="R423" s="434" t="s">
        <v>1689</v>
      </c>
      <c r="S423" s="434" t="s">
        <v>1659</v>
      </c>
      <c r="T423" s="434" t="s">
        <v>1661</v>
      </c>
      <c r="U423" s="434" t="s">
        <v>1689</v>
      </c>
      <c r="V423" s="434" t="s">
        <v>1660</v>
      </c>
      <c r="W423" s="434" t="s">
        <v>1659</v>
      </c>
      <c r="X423" s="434" t="s">
        <v>1689</v>
      </c>
      <c r="Y423" s="434" t="s">
        <v>1659</v>
      </c>
      <c r="Z423" s="434" t="s">
        <v>1661</v>
      </c>
      <c r="AA423" s="434" t="s">
        <v>1660</v>
      </c>
      <c r="AB423" s="434" t="s">
        <v>1661</v>
      </c>
      <c r="AC423" s="434" t="s">
        <v>1659</v>
      </c>
      <c r="AD423" s="434" t="s">
        <v>1660</v>
      </c>
      <c r="AE423" s="434" t="s">
        <v>1660</v>
      </c>
      <c r="AF423" s="434" t="s">
        <v>1661</v>
      </c>
      <c r="AG423" s="427">
        <v>12.0</v>
      </c>
      <c r="AH423" s="435" t="s">
        <v>24</v>
      </c>
      <c r="AI423" s="415"/>
      <c r="AJ423" s="436" t="str">
        <f t="array" ref="AJ423">IF(M423=DGET(claves!$A$2:$AS423,M$2,{claves!$A$2;$E423}),1,0)</f>
        <v>#VALUE!</v>
      </c>
      <c r="AK423" s="436" t="str">
        <f t="array" ref="AK423">IF(N423=DGET(claves!$A$2:$AS423,N$2,{claves!$A$2;$E423}),1,0)</f>
        <v>#VALUE!</v>
      </c>
      <c r="AL423" s="436" t="str">
        <f t="array" ref="AL423">IF(O423=DGET(claves!$A$2:$AS423,O$2,{claves!$A$2;$E423}),1,0)</f>
        <v>#VALUE!</v>
      </c>
      <c r="AM423" s="436" t="str">
        <f t="array" ref="AM423">IF(P423=DGET(claves!$A$2:$AS423,P$2,{claves!$A$2;$E423}),1,0)</f>
        <v>#VALUE!</v>
      </c>
      <c r="AN423" s="436" t="str">
        <f t="array" ref="AN423">IF(Q423=DGET(claves!$A$2:$AS423,Q$2,{claves!$A$2;$E423}),1,0)</f>
        <v>#VALUE!</v>
      </c>
      <c r="AO423" s="436" t="str">
        <f t="array" ref="AO423">IF(R423=DGET(claves!$A$2:$AS423,R$2,{claves!$A$2;$E423}),1,0)</f>
        <v>#VALUE!</v>
      </c>
      <c r="AP423" s="436" t="str">
        <f t="array" ref="AP423">IF(S423=DGET(claves!$A$2:$AS423,S$2,{claves!$A$2;$E423}),1,0)</f>
        <v>#VALUE!</v>
      </c>
      <c r="AQ423" s="436" t="str">
        <f t="array" ref="AQ423">IF(T423=DGET(claves!$A$2:$AS423,T$2,{claves!$A$2;$E423}),1,0)</f>
        <v>#VALUE!</v>
      </c>
      <c r="AR423" s="436" t="str">
        <f t="array" ref="AR423">IF(U423=DGET(claves!$A$2:$AS423,U$2,{claves!$A$2;$E423}),1,0)</f>
        <v>#VALUE!</v>
      </c>
      <c r="AS423" s="436" t="str">
        <f t="array" ref="AS423">IF(V423=DGET(claves!$A$2:$AS423,V$2,{claves!$A$2;$E423}),1,0)</f>
        <v>#VALUE!</v>
      </c>
      <c r="AT423" s="436" t="str">
        <f t="array" ref="AT423">IF(W423=DGET(claves!$A$2:$AS423,W$2,{claves!$A$2;$E423}),1,0)</f>
        <v>#VALUE!</v>
      </c>
      <c r="AU423" s="436" t="str">
        <f t="array" ref="AU423">IF(X423=DGET(claves!$A$2:$AS423,X$2,{claves!$A$2;$E423}),1,0)</f>
        <v>#VALUE!</v>
      </c>
      <c r="AV423" s="436" t="str">
        <f t="array" ref="AV423">IF(Y423=DGET(claves!$A$2:$AS423,Y$2,{claves!$A$2;$E423}),1,0)</f>
        <v>#VALUE!</v>
      </c>
      <c r="AW423" s="436" t="str">
        <f t="array" ref="AW423">IF(Z423=DGET(claves!$A$2:$AS423,Z$2,{claves!$A$2;$E423}),1,0)</f>
        <v>#VALUE!</v>
      </c>
      <c r="AX423" s="436" t="str">
        <f t="array" ref="AX423">IF(AA423=DGET(claves!$A$2:$AS423,AA$2,{claves!$A$2;$E423}),1,0)</f>
        <v>#VALUE!</v>
      </c>
      <c r="AY423" s="436" t="str">
        <f t="array" ref="AY423">IF(AB423=DGET(claves!$A$2:$AS423,AB$2,{claves!$A$2;$E423}),1,0)</f>
        <v>#VALUE!</v>
      </c>
      <c r="AZ423" s="436" t="str">
        <f t="array" ref="AZ423">IF(AC423=DGET(claves!$A$2:$AS423,AC$2,{claves!$A$2;$E423}),1,0)</f>
        <v>#VALUE!</v>
      </c>
      <c r="BA423" s="436" t="str">
        <f t="array" ref="BA423">IF(AD423=DGET(claves!$A$2:$AS423,AD$2,{claves!$A$2;$E423}),1,0)</f>
        <v>#VALUE!</v>
      </c>
      <c r="BB423" s="436" t="str">
        <f t="array" ref="BB423">IF(AE423=DGET(claves!$A$2:$AS423,AE$2,{claves!$A$2;$E423}),1,0)</f>
        <v>#VALUE!</v>
      </c>
      <c r="BC423" s="436" t="str">
        <f t="array" ref="BC423">IF(AF423=DGET(claves!$A$2:$AS423,AF$2,{claves!$A$2;$E423}),1,0)</f>
        <v>#VALUE!</v>
      </c>
      <c r="BD423" s="437" t="str">
        <f t="shared" si="1"/>
        <v>#VALUE!</v>
      </c>
      <c r="BE423" s="435"/>
      <c r="BF423" s="415"/>
    </row>
  </sheetData>
  <conditionalFormatting sqref="AH3:AH423 BE3:BE423">
    <cfRule type="containsText" dxfId="6" priority="1" operator="containsText" text="Logrado">
      <formula>NOT(ISERROR(SEARCH(("Logrado"),(AH3))))</formula>
    </cfRule>
  </conditionalFormatting>
  <conditionalFormatting sqref="AH3:AH423 BE3:BE423">
    <cfRule type="containsText" dxfId="7" priority="2" operator="containsText" text="Proceso">
      <formula>NOT(ISERROR(SEARCH(("Proceso"),(AH3))))</formula>
    </cfRule>
  </conditionalFormatting>
  <conditionalFormatting sqref="AH3:AH423 BE3:BE423">
    <cfRule type="containsText" dxfId="8" priority="3" operator="containsText" text="Inicio">
      <formula>NOT(ISERROR(SEARCH(("Inicio"),(AH3))))</formula>
    </cfRule>
  </conditionalFormatting>
  <dataValidations>
    <dataValidation type="list" allowBlank="1" showErrorMessage="1" sqref="K3:K423">
      <formula1>"FEMENINO,MASCULINO"</formula1>
    </dataValidation>
    <dataValidation type="list" allowBlank="1" sqref="F3:F423">
      <formula1>claves!$C$35:$C$55</formula1>
    </dataValidation>
  </dataValidations>
  <printOptions/>
  <pageMargins bottom="0.75" footer="0.0" header="0.0" left="0.7" right="0.7" top="0.75"/>
  <pageSetup paperSize="9" orientation="portrait"/>
  <drawing r:id="rId1"/>
</worksheet>
</file>